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hidePivotFieldList="1"/>
  <mc:AlternateContent xmlns:mc="http://schemas.openxmlformats.org/markup-compatibility/2006">
    <mc:Choice Requires="x15">
      <x15ac:absPath xmlns:x15ac="http://schemas.microsoft.com/office/spreadsheetml/2010/11/ac" url="C:\Users\ba\Desktop\FCBA_Bureau\VEM HB\Actualisation TER\"/>
    </mc:Choice>
  </mc:AlternateContent>
  <xr:revisionPtr revIDLastSave="0" documentId="13_ncr:1_{AA39233A-5A5B-4F84-9999-279873F7215D}" xr6:coauthVersionLast="47" xr6:coauthVersionMax="47" xr10:uidLastSave="{00000000-0000-0000-0000-000000000000}"/>
  <bookViews>
    <workbookView xWindow="-28920" yWindow="-4800" windowWidth="29040" windowHeight="15840" tabRatio="943" activeTab="7" xr2:uid="{00000000-000D-0000-FFFF-FFFF00000000}"/>
  </bookViews>
  <sheets>
    <sheet name="Branche - valeurs" sheetId="7" r:id="rId1"/>
    <sheet name="Tableaux de bord" sheetId="8" r:id="rId2"/>
    <sheet name="Groupe de branches" sheetId="15" r:id="rId3"/>
    <sheet name="Tableaux de bord Groupe" sheetId="18" r:id="rId4"/>
    <sheet name="Val-Vol (2)" sheetId="16" state="hidden" r:id="rId5"/>
    <sheet name="Comp2016-2017 (3)" sheetId="17" state="hidden" r:id="rId6"/>
    <sheet name="Table corresp." sheetId="11" state="hidden" r:id="rId7"/>
    <sheet name="Filière bois d'oeuvre" sheetId="10" r:id="rId8"/>
    <sheet name="Filière bois d'industrie" sheetId="12" r:id="rId9"/>
    <sheet name="Filière bois énergie" sheetId="13" r:id="rId10"/>
  </sheets>
  <externalReferences>
    <externalReference r:id="rId11"/>
  </externalReferences>
  <definedNames>
    <definedName name="_xlnm._FilterDatabase" localSheetId="0" hidden="1">'Branche - valeurs'!$C$9:$M$87</definedName>
    <definedName name="_xlnm._FilterDatabase" localSheetId="5" hidden="1">'Comp2016-2017 (3)'!$A$4:$U$289</definedName>
    <definedName name="_xlnm._FilterDatabase" localSheetId="8" hidden="1">'Filière bois d''industrie'!$C$9:$O$67</definedName>
    <definedName name="_xlnm._FilterDatabase" localSheetId="7" hidden="1">'Filière bois d''oeuvre'!$C$9:$N$20</definedName>
    <definedName name="_xlnm._FilterDatabase" localSheetId="9" hidden="1">'Filière bois énergie'!$C$9:$N$22</definedName>
    <definedName name="_xlnm._FilterDatabase" localSheetId="2" hidden="1">'Groupe de branches'!$C$9:$M$86</definedName>
    <definedName name="_xlnm._FilterDatabase" localSheetId="6" hidden="1">'Table corresp.'!$B$3:$D$61</definedName>
    <definedName name="_xlnm._FilterDatabase" localSheetId="4" hidden="1">'Val-Vol (2)'!$A$3:$AN$1858</definedName>
    <definedName name="Branche">'Groupe de branches'!$C$27:$C$83</definedName>
    <definedName name="Groupe">'Groupe de branches'!$AK$2:$AK$14</definedName>
    <definedName name="T_SELTEXT" localSheetId="6">'[1]Coresp._NC8_VEM'!#REF!</definedName>
    <definedName name="T_SELTEXT">'[1]Coresp._NC8_VEM'!#REF!</definedName>
    <definedName name="TER_57" localSheetId="6">#REF!</definedName>
    <definedName name="TER_57">#REF!</definedName>
    <definedName name="TER_restitution_57" localSheetId="6">#REF!</definedName>
    <definedName name="TER_restitution_57">#REF!</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85" i="17" l="1"/>
  <c r="Z249" i="17"/>
  <c r="Z250" i="17"/>
  <c r="Z251" i="17"/>
  <c r="Z252" i="17"/>
  <c r="Z253" i="17"/>
  <c r="Z254" i="17"/>
  <c r="Z255" i="17"/>
  <c r="Z256" i="17"/>
  <c r="Z257" i="17"/>
  <c r="Z258" i="17"/>
  <c r="Z259" i="17"/>
  <c r="Z260" i="17"/>
  <c r="Z261" i="17"/>
  <c r="Z262" i="17"/>
  <c r="Z263" i="17"/>
  <c r="Z264" i="17"/>
  <c r="Z265" i="17"/>
  <c r="Z266" i="17"/>
  <c r="Z267" i="17"/>
  <c r="Z268" i="17"/>
  <c r="Z269" i="17"/>
  <c r="Z270" i="17"/>
  <c r="Z271" i="17"/>
  <c r="Z272" i="17"/>
  <c r="Z273" i="17"/>
  <c r="Z274" i="17"/>
  <c r="Z275" i="17"/>
  <c r="Z276" i="17"/>
  <c r="Z277" i="17"/>
  <c r="Z278" i="17"/>
  <c r="Z279" i="17"/>
  <c r="Z280" i="17"/>
  <c r="Z281" i="17"/>
  <c r="Z282" i="17"/>
  <c r="Z283" i="17"/>
  <c r="Z284" i="17"/>
  <c r="Z285" i="17"/>
  <c r="Z286" i="17"/>
  <c r="Z287" i="17"/>
  <c r="Z288" i="17"/>
  <c r="Z289" i="17"/>
  <c r="O183" i="17"/>
  <c r="Z240" i="17"/>
  <c r="Z241" i="17"/>
  <c r="Z242" i="17"/>
  <c r="Z243" i="17"/>
  <c r="Z244" i="17"/>
  <c r="Z245" i="17"/>
  <c r="Z246" i="17"/>
  <c r="Z247" i="17"/>
  <c r="Z248" i="17"/>
  <c r="Z234" i="17"/>
  <c r="Z235" i="17"/>
  <c r="Z236" i="17"/>
  <c r="Z237" i="17"/>
  <c r="Z238" i="17"/>
  <c r="Z239" i="17"/>
  <c r="Z233" i="17"/>
  <c r="H130" i="18" l="1"/>
  <c r="H116" i="18"/>
  <c r="H102" i="18"/>
  <c r="G76" i="8"/>
  <c r="H76" i="8"/>
  <c r="G45" i="8"/>
  <c r="G17" i="8"/>
  <c r="G31" i="8"/>
  <c r="H62" i="18" l="1"/>
  <c r="G119" i="8"/>
  <c r="G105" i="8"/>
  <c r="G62" i="8"/>
  <c r="AN1858" i="16" l="1"/>
  <c r="AM1858" i="16"/>
  <c r="AL1858" i="16"/>
  <c r="AG1858" i="16"/>
  <c r="AC1858" i="16"/>
  <c r="Y1858" i="16"/>
  <c r="X1858" i="16"/>
  <c r="W1858" i="16"/>
  <c r="AJ1858" i="16" s="1"/>
  <c r="AN1857" i="16"/>
  <c r="AM1857" i="16"/>
  <c r="AL1857" i="16"/>
  <c r="Y1857" i="16"/>
  <c r="X1857" i="16"/>
  <c r="W1857" i="16"/>
  <c r="AN1856" i="16"/>
  <c r="AM1856" i="16"/>
  <c r="AL1856" i="16"/>
  <c r="AC1856" i="16"/>
  <c r="X1856" i="16"/>
  <c r="W1856" i="16"/>
  <c r="AJ1856" i="16" s="1"/>
  <c r="AN1855" i="16"/>
  <c r="AM1855" i="16"/>
  <c r="AL1855" i="16"/>
  <c r="Y1855" i="16"/>
  <c r="X1855" i="16"/>
  <c r="W1855" i="16"/>
  <c r="AN1854" i="16"/>
  <c r="AM1854" i="16"/>
  <c r="AL1854" i="16"/>
  <c r="AG1854" i="16"/>
  <c r="AC1854" i="16"/>
  <c r="Y1854" i="16"/>
  <c r="X1854" i="16"/>
  <c r="W1854" i="16"/>
  <c r="AJ1854" i="16" s="1"/>
  <c r="AN1853" i="16"/>
  <c r="AM1853" i="16"/>
  <c r="AL1853" i="16"/>
  <c r="AI1853" i="16"/>
  <c r="Y1853" i="16"/>
  <c r="X1853" i="16"/>
  <c r="W1853" i="16"/>
  <c r="AN1852" i="16"/>
  <c r="AM1852" i="16"/>
  <c r="AL1852" i="16"/>
  <c r="AG1852" i="16"/>
  <c r="AC1852" i="16"/>
  <c r="Y1852" i="16"/>
  <c r="X1852" i="16"/>
  <c r="W1852" i="16"/>
  <c r="AJ1852" i="16" s="1"/>
  <c r="AN1851" i="16"/>
  <c r="AM1851" i="16"/>
  <c r="AL1851" i="16"/>
  <c r="Y1851" i="16"/>
  <c r="X1851" i="16"/>
  <c r="W1851" i="16"/>
  <c r="AN1850" i="16"/>
  <c r="AM1850" i="16"/>
  <c r="AL1850" i="16"/>
  <c r="AG1850" i="16"/>
  <c r="AC1850" i="16"/>
  <c r="Y1850" i="16"/>
  <c r="X1850" i="16"/>
  <c r="W1850" i="16"/>
  <c r="AJ1850" i="16" s="1"/>
  <c r="AN1849" i="16"/>
  <c r="AM1849" i="16"/>
  <c r="AL1849" i="16"/>
  <c r="AI1849" i="16"/>
  <c r="Y1849" i="16"/>
  <c r="X1849" i="16"/>
  <c r="W1849" i="16"/>
  <c r="AN1848" i="16"/>
  <c r="AM1848" i="16"/>
  <c r="AL1848" i="16"/>
  <c r="AC1848" i="16"/>
  <c r="Y1848" i="16"/>
  <c r="X1848" i="16"/>
  <c r="W1848" i="16"/>
  <c r="AJ1848" i="16" s="1"/>
  <c r="AN1847" i="16"/>
  <c r="AM1847" i="16"/>
  <c r="AL1847" i="16"/>
  <c r="Y1847" i="16"/>
  <c r="X1847" i="16"/>
  <c r="W1847" i="16"/>
  <c r="AN1846" i="16"/>
  <c r="AM1846" i="16"/>
  <c r="AL1846" i="16"/>
  <c r="Y1846" i="16"/>
  <c r="X1846" i="16"/>
  <c r="W1846" i="16"/>
  <c r="AN1845" i="16"/>
  <c r="AM1845" i="16"/>
  <c r="AL1845" i="16"/>
  <c r="Y1845" i="16"/>
  <c r="X1845" i="16"/>
  <c r="W1845" i="16"/>
  <c r="AN1844" i="16"/>
  <c r="AM1844" i="16"/>
  <c r="AL1844" i="16"/>
  <c r="Y1844" i="16"/>
  <c r="X1844" i="16"/>
  <c r="W1844" i="16"/>
  <c r="AN1843" i="16"/>
  <c r="AM1843" i="16"/>
  <c r="AL1843" i="16"/>
  <c r="Y1843" i="16"/>
  <c r="X1843" i="16"/>
  <c r="W1843" i="16"/>
  <c r="AN1842" i="16"/>
  <c r="AM1842" i="16"/>
  <c r="AL1842" i="16"/>
  <c r="Y1842" i="16"/>
  <c r="X1842" i="16"/>
  <c r="W1842" i="16"/>
  <c r="AN1841" i="16"/>
  <c r="AM1841" i="16"/>
  <c r="AL1841" i="16"/>
  <c r="Y1841" i="16"/>
  <c r="X1841" i="16"/>
  <c r="W1841" i="16"/>
  <c r="AN1840" i="16"/>
  <c r="AM1840" i="16"/>
  <c r="AL1840" i="16"/>
  <c r="Y1840" i="16"/>
  <c r="X1840" i="16"/>
  <c r="W1840" i="16"/>
  <c r="AN1839" i="16"/>
  <c r="AM1839" i="16"/>
  <c r="AL1839" i="16"/>
  <c r="Y1839" i="16"/>
  <c r="X1839" i="16"/>
  <c r="W1839" i="16"/>
  <c r="AN1838" i="16"/>
  <c r="AM1838" i="16"/>
  <c r="AL1838" i="16"/>
  <c r="Y1838" i="16"/>
  <c r="X1838" i="16"/>
  <c r="W1838" i="16"/>
  <c r="AN1837" i="16"/>
  <c r="AM1837" i="16"/>
  <c r="AL1837" i="16"/>
  <c r="Y1837" i="16"/>
  <c r="X1837" i="16"/>
  <c r="W1837" i="16"/>
  <c r="AN1836" i="16"/>
  <c r="AM1836" i="16"/>
  <c r="AL1836" i="16"/>
  <c r="Y1836" i="16"/>
  <c r="X1836" i="16"/>
  <c r="W1836" i="16"/>
  <c r="AN1835" i="16"/>
  <c r="AM1835" i="16"/>
  <c r="AL1835" i="16"/>
  <c r="Y1835" i="16"/>
  <c r="X1835" i="16"/>
  <c r="W1835" i="16"/>
  <c r="AN1834" i="16"/>
  <c r="AM1834" i="16"/>
  <c r="AL1834" i="16"/>
  <c r="Y1834" i="16"/>
  <c r="X1834" i="16"/>
  <c r="W1834" i="16"/>
  <c r="AN1833" i="16"/>
  <c r="AM1833" i="16"/>
  <c r="AL1833" i="16"/>
  <c r="Y1833" i="16"/>
  <c r="X1833" i="16"/>
  <c r="W1833" i="16"/>
  <c r="AN1832" i="16"/>
  <c r="AM1832" i="16"/>
  <c r="AL1832" i="16"/>
  <c r="Y1832" i="16"/>
  <c r="X1832" i="16"/>
  <c r="W1832" i="16"/>
  <c r="AN1831" i="16"/>
  <c r="AM1831" i="16"/>
  <c r="AL1831" i="16"/>
  <c r="Y1831" i="16"/>
  <c r="X1831" i="16"/>
  <c r="W1831" i="16"/>
  <c r="AN1830" i="16"/>
  <c r="AM1830" i="16"/>
  <c r="AL1830" i="16"/>
  <c r="Y1830" i="16"/>
  <c r="X1830" i="16"/>
  <c r="W1830" i="16"/>
  <c r="AN1829" i="16"/>
  <c r="AM1829" i="16"/>
  <c r="AL1829" i="16"/>
  <c r="Y1829" i="16"/>
  <c r="X1829" i="16"/>
  <c r="W1829" i="16"/>
  <c r="AN1828" i="16"/>
  <c r="AM1828" i="16"/>
  <c r="AL1828" i="16"/>
  <c r="AJ1828" i="16"/>
  <c r="AH1828" i="16"/>
  <c r="AF1828" i="16"/>
  <c r="AD1828" i="16"/>
  <c r="Y1828" i="16"/>
  <c r="X1828" i="16"/>
  <c r="W1828" i="16"/>
  <c r="AN1827" i="16"/>
  <c r="AM1827" i="16"/>
  <c r="AL1827" i="16"/>
  <c r="AJ1827" i="16"/>
  <c r="AG1827" i="16"/>
  <c r="AF1827" i="16"/>
  <c r="AD1827" i="16"/>
  <c r="AC1827" i="16"/>
  <c r="Y1827" i="16"/>
  <c r="X1827" i="16"/>
  <c r="W1827" i="16"/>
  <c r="AI1827" i="16" s="1"/>
  <c r="AN1826" i="16"/>
  <c r="AM1826" i="16"/>
  <c r="AL1826" i="16"/>
  <c r="Y1826" i="16"/>
  <c r="X1826" i="16"/>
  <c r="W1826" i="16"/>
  <c r="AN1825" i="16"/>
  <c r="AM1825" i="16"/>
  <c r="AL1825" i="16"/>
  <c r="Y1825" i="16"/>
  <c r="X1825" i="16"/>
  <c r="W1825" i="16"/>
  <c r="AN1824" i="16"/>
  <c r="AM1824" i="16"/>
  <c r="AL1824" i="16"/>
  <c r="Y1824" i="16"/>
  <c r="X1824" i="16"/>
  <c r="W1824" i="16"/>
  <c r="AN1823" i="16"/>
  <c r="AM1823" i="16"/>
  <c r="AL1823" i="16"/>
  <c r="AH1823" i="16"/>
  <c r="AG1823" i="16"/>
  <c r="AF1823" i="16"/>
  <c r="AD1823" i="16"/>
  <c r="AC1823" i="16"/>
  <c r="Y1823" i="16"/>
  <c r="Z1823" i="16" s="1"/>
  <c r="X1823" i="16"/>
  <c r="W1823" i="16"/>
  <c r="AI1823" i="16" s="1"/>
  <c r="AN1821" i="16"/>
  <c r="AM1821" i="16"/>
  <c r="AL1821" i="16"/>
  <c r="AG1821" i="16"/>
  <c r="Y1821" i="16"/>
  <c r="X1821" i="16"/>
  <c r="W1821" i="16"/>
  <c r="AJ1821" i="16" s="1"/>
  <c r="AN1820" i="16"/>
  <c r="AM1820" i="16"/>
  <c r="AL1820" i="16"/>
  <c r="Y1820" i="16"/>
  <c r="X1820" i="16"/>
  <c r="W1820" i="16"/>
  <c r="AN1819" i="16"/>
  <c r="AM1819" i="16"/>
  <c r="AL1819" i="16"/>
  <c r="AG1819" i="16"/>
  <c r="AC1819" i="16"/>
  <c r="Y1819" i="16"/>
  <c r="X1819" i="16"/>
  <c r="W1819" i="16"/>
  <c r="AJ1819" i="16" s="1"/>
  <c r="AN1818" i="16"/>
  <c r="AM1818" i="16"/>
  <c r="AL1818" i="16"/>
  <c r="Y1818" i="16"/>
  <c r="X1818" i="16"/>
  <c r="W1818" i="16"/>
  <c r="AN1817" i="16"/>
  <c r="AM1817" i="16"/>
  <c r="AL1817" i="16"/>
  <c r="Y1817" i="16"/>
  <c r="X1817" i="16"/>
  <c r="W1817" i="16"/>
  <c r="AN1816" i="16"/>
  <c r="AM1816" i="16"/>
  <c r="AL1816" i="16"/>
  <c r="AI1816" i="16"/>
  <c r="Y1816" i="16"/>
  <c r="X1816" i="16"/>
  <c r="W1816" i="16"/>
  <c r="AN1815" i="16"/>
  <c r="AM1815" i="16"/>
  <c r="AL1815" i="16"/>
  <c r="AG1815" i="16"/>
  <c r="AC1815" i="16"/>
  <c r="Y1815" i="16"/>
  <c r="X1815" i="16"/>
  <c r="W1815" i="16"/>
  <c r="AJ1815" i="16" s="1"/>
  <c r="AN1814" i="16"/>
  <c r="AM1814" i="16"/>
  <c r="AL1814" i="16"/>
  <c r="Y1814" i="16"/>
  <c r="X1814" i="16"/>
  <c r="W1814" i="16"/>
  <c r="AN1813" i="16"/>
  <c r="AM1813" i="16"/>
  <c r="AL1813" i="16"/>
  <c r="Y1813" i="16"/>
  <c r="X1813" i="16"/>
  <c r="W1813" i="16"/>
  <c r="AN1812" i="16"/>
  <c r="AM1812" i="16"/>
  <c r="AL1812" i="16"/>
  <c r="Y1812" i="16"/>
  <c r="X1812" i="16"/>
  <c r="W1812" i="16"/>
  <c r="AN1811" i="16"/>
  <c r="AM1811" i="16"/>
  <c r="AL1811" i="16"/>
  <c r="Y1811" i="16"/>
  <c r="X1811" i="16"/>
  <c r="W1811" i="16"/>
  <c r="AN1810" i="16"/>
  <c r="AM1810" i="16"/>
  <c r="AL1810" i="16"/>
  <c r="Y1810" i="16"/>
  <c r="X1810" i="16"/>
  <c r="W1810" i="16"/>
  <c r="AN1809" i="16"/>
  <c r="AM1809" i="16"/>
  <c r="AL1809" i="16"/>
  <c r="Y1809" i="16"/>
  <c r="X1809" i="16"/>
  <c r="W1809" i="16"/>
  <c r="AN1808" i="16"/>
  <c r="AM1808" i="16"/>
  <c r="AL1808" i="16"/>
  <c r="Y1808" i="16"/>
  <c r="X1808" i="16"/>
  <c r="W1808" i="16"/>
  <c r="AN1807" i="16"/>
  <c r="AM1807" i="16"/>
  <c r="AL1807" i="16"/>
  <c r="Y1807" i="16"/>
  <c r="X1807" i="16"/>
  <c r="W1807" i="16"/>
  <c r="AN1806" i="16"/>
  <c r="AM1806" i="16"/>
  <c r="AL1806" i="16"/>
  <c r="Y1806" i="16"/>
  <c r="X1806" i="16"/>
  <c r="W1806" i="16"/>
  <c r="AN1805" i="16"/>
  <c r="AM1805" i="16"/>
  <c r="AL1805" i="16"/>
  <c r="AI1805" i="16"/>
  <c r="AG1805" i="16"/>
  <c r="Y1805" i="16"/>
  <c r="X1805" i="16"/>
  <c r="W1805" i="16"/>
  <c r="AN1804" i="16"/>
  <c r="AM1804" i="16"/>
  <c r="AL1804" i="16"/>
  <c r="AI1804" i="16"/>
  <c r="AG1804" i="16"/>
  <c r="Y1804" i="16"/>
  <c r="X1804" i="16"/>
  <c r="W1804" i="16"/>
  <c r="AN1803" i="16"/>
  <c r="AM1803" i="16"/>
  <c r="AL1803" i="16"/>
  <c r="AI1803" i="16"/>
  <c r="AG1803" i="16"/>
  <c r="Y1803" i="16"/>
  <c r="X1803" i="16"/>
  <c r="W1803" i="16"/>
  <c r="AN1802" i="16"/>
  <c r="AM1802" i="16"/>
  <c r="AL1802" i="16"/>
  <c r="AI1802" i="16"/>
  <c r="AG1802" i="16"/>
  <c r="Y1802" i="16"/>
  <c r="X1802" i="16"/>
  <c r="W1802" i="16"/>
  <c r="AN1801" i="16"/>
  <c r="AM1801" i="16"/>
  <c r="AL1801" i="16"/>
  <c r="AI1801" i="16"/>
  <c r="AG1801" i="16"/>
  <c r="Y1801" i="16"/>
  <c r="X1801" i="16"/>
  <c r="W1801" i="16"/>
  <c r="AN1800" i="16"/>
  <c r="AM1800" i="16"/>
  <c r="AL1800" i="16"/>
  <c r="AI1800" i="16"/>
  <c r="AG1800" i="16"/>
  <c r="Y1800" i="16"/>
  <c r="X1800" i="16"/>
  <c r="W1800" i="16"/>
  <c r="AN1799" i="16"/>
  <c r="AM1799" i="16"/>
  <c r="AL1799" i="16"/>
  <c r="AI1799" i="16"/>
  <c r="AG1799" i="16"/>
  <c r="Y1799" i="16"/>
  <c r="X1799" i="16"/>
  <c r="W1799" i="16"/>
  <c r="AN1798" i="16"/>
  <c r="AM1798" i="16"/>
  <c r="AL1798" i="16"/>
  <c r="AI1798" i="16"/>
  <c r="AG1798" i="16"/>
  <c r="Y1798" i="16"/>
  <c r="X1798" i="16"/>
  <c r="W1798" i="16"/>
  <c r="AN1797" i="16"/>
  <c r="AM1797" i="16"/>
  <c r="AL1797" i="16"/>
  <c r="AI1797" i="16"/>
  <c r="AG1797" i="16"/>
  <c r="Y1797" i="16"/>
  <c r="X1797" i="16"/>
  <c r="W1797" i="16"/>
  <c r="AN1796" i="16"/>
  <c r="AM1796" i="16"/>
  <c r="AL1796" i="16"/>
  <c r="AI1796" i="16"/>
  <c r="AG1796" i="16"/>
  <c r="Y1796" i="16"/>
  <c r="Z1796" i="16" s="1"/>
  <c r="X1796" i="16"/>
  <c r="W1796" i="16"/>
  <c r="AN1795" i="16"/>
  <c r="AM1795" i="16"/>
  <c r="AL1795" i="16"/>
  <c r="AI1795" i="16"/>
  <c r="AG1795" i="16"/>
  <c r="Y1795" i="16"/>
  <c r="X1795" i="16"/>
  <c r="W1795" i="16"/>
  <c r="AN1794" i="16"/>
  <c r="AM1794" i="16"/>
  <c r="AL1794" i="16"/>
  <c r="AI1794" i="16"/>
  <c r="AG1794" i="16"/>
  <c r="Y1794" i="16"/>
  <c r="X1794" i="16"/>
  <c r="W1794" i="16"/>
  <c r="AN1793" i="16"/>
  <c r="AM1793" i="16"/>
  <c r="AL1793" i="16"/>
  <c r="AH1793" i="16"/>
  <c r="Y1793" i="16"/>
  <c r="X1793" i="16"/>
  <c r="W1793" i="16"/>
  <c r="AJ1793" i="16" s="1"/>
  <c r="AN1792" i="16"/>
  <c r="AM1792" i="16"/>
  <c r="AL1792" i="16"/>
  <c r="AJ1792" i="16"/>
  <c r="AH1792" i="16"/>
  <c r="AG1792" i="16"/>
  <c r="AF1792" i="16"/>
  <c r="AC1792" i="16"/>
  <c r="Y1792" i="16"/>
  <c r="X1792" i="16"/>
  <c r="W1792" i="16"/>
  <c r="AI1792" i="16" s="1"/>
  <c r="AN1791" i="16"/>
  <c r="AM1791" i="16"/>
  <c r="AL1791" i="16"/>
  <c r="AH1791" i="16"/>
  <c r="AE1791" i="16"/>
  <c r="Y1791" i="16"/>
  <c r="X1791" i="16"/>
  <c r="W1791" i="16"/>
  <c r="AN1790" i="16"/>
  <c r="AM1790" i="16"/>
  <c r="AL1790" i="16"/>
  <c r="AJ1790" i="16"/>
  <c r="AH1790" i="16"/>
  <c r="AG1790" i="16"/>
  <c r="AF1790" i="16"/>
  <c r="AC1790" i="16"/>
  <c r="Y1790" i="16"/>
  <c r="X1790" i="16"/>
  <c r="W1790" i="16"/>
  <c r="AI1790" i="16" s="1"/>
  <c r="AN1789" i="16"/>
  <c r="AM1789" i="16"/>
  <c r="AL1789" i="16"/>
  <c r="Y1789" i="16"/>
  <c r="X1789" i="16"/>
  <c r="W1789" i="16"/>
  <c r="AN1788" i="16"/>
  <c r="AM1788" i="16"/>
  <c r="AL1788" i="16"/>
  <c r="AJ1788" i="16"/>
  <c r="AG1788" i="16"/>
  <c r="AF1788" i="16"/>
  <c r="AC1788" i="16"/>
  <c r="Y1788" i="16"/>
  <c r="X1788" i="16"/>
  <c r="W1788" i="16"/>
  <c r="AI1788" i="16" s="1"/>
  <c r="AN1787" i="16"/>
  <c r="AM1787" i="16"/>
  <c r="AL1787" i="16"/>
  <c r="Y1787" i="16"/>
  <c r="X1787" i="16"/>
  <c r="W1787" i="16"/>
  <c r="AN1786" i="16"/>
  <c r="AM1786" i="16"/>
  <c r="AL1786" i="16"/>
  <c r="AG1786" i="16"/>
  <c r="AF1786" i="16"/>
  <c r="AC1786" i="16"/>
  <c r="Y1786" i="16"/>
  <c r="Z1786" i="16" s="1"/>
  <c r="X1786" i="16"/>
  <c r="W1786" i="16"/>
  <c r="AI1786" i="16" s="1"/>
  <c r="AN1785" i="16"/>
  <c r="AM1785" i="16"/>
  <c r="AL1785" i="16"/>
  <c r="Y1785" i="16"/>
  <c r="Z1785" i="16" s="1"/>
  <c r="X1785" i="16"/>
  <c r="W1785" i="16"/>
  <c r="AN1784" i="16"/>
  <c r="AM1784" i="16"/>
  <c r="AL1784" i="16"/>
  <c r="AI1784" i="16"/>
  <c r="AF1784" i="16"/>
  <c r="AE1784" i="16"/>
  <c r="AC1784" i="16"/>
  <c r="Y1784" i="16"/>
  <c r="Z1784" i="16" s="1"/>
  <c r="X1784" i="16"/>
  <c r="W1784" i="16"/>
  <c r="AN1783" i="16"/>
  <c r="AM1783" i="16"/>
  <c r="AL1783" i="16"/>
  <c r="AI1783" i="16"/>
  <c r="AD1783" i="16"/>
  <c r="Y1783" i="16"/>
  <c r="Z1783" i="16" s="1"/>
  <c r="X1783" i="16"/>
  <c r="W1783" i="16"/>
  <c r="AE1783" i="16" s="1"/>
  <c r="AN1782" i="16"/>
  <c r="AM1782" i="16"/>
  <c r="AL1782" i="16"/>
  <c r="AI1782" i="16"/>
  <c r="AF1782" i="16"/>
  <c r="AC1782" i="16"/>
  <c r="Y1782" i="16"/>
  <c r="Z1782" i="16" s="1"/>
  <c r="X1782" i="16"/>
  <c r="W1782" i="16"/>
  <c r="AN1781" i="16"/>
  <c r="AM1781" i="16"/>
  <c r="AL1781" i="16"/>
  <c r="AI1781" i="16"/>
  <c r="AG1781" i="16"/>
  <c r="AD1781" i="16"/>
  <c r="Y1781" i="16"/>
  <c r="Z1781" i="16" s="1"/>
  <c r="X1781" i="16"/>
  <c r="W1781" i="16"/>
  <c r="AH1781" i="16" s="1"/>
  <c r="AN1780" i="16"/>
  <c r="AM1780" i="16"/>
  <c r="AL1780" i="16"/>
  <c r="AH1780" i="16"/>
  <c r="AF1780" i="16"/>
  <c r="AD1780" i="16"/>
  <c r="Y1780" i="16"/>
  <c r="Z1780" i="16" s="1"/>
  <c r="X1780" i="16"/>
  <c r="W1780" i="16"/>
  <c r="AG1780" i="16" s="1"/>
  <c r="AN1779" i="16"/>
  <c r="AM1779" i="16"/>
  <c r="AL1779" i="16"/>
  <c r="AH1779" i="16"/>
  <c r="AF1779" i="16"/>
  <c r="AD1779" i="16"/>
  <c r="Y1779" i="16"/>
  <c r="Z1779" i="16" s="1"/>
  <c r="X1779" i="16"/>
  <c r="W1779" i="16"/>
  <c r="AI1779" i="16" s="1"/>
  <c r="AN1778" i="16"/>
  <c r="AM1778" i="16"/>
  <c r="AL1778" i="16"/>
  <c r="AH1778" i="16"/>
  <c r="AF1778" i="16"/>
  <c r="AD1778" i="16"/>
  <c r="Y1778" i="16"/>
  <c r="Z1778" i="16" s="1"/>
  <c r="X1778" i="16"/>
  <c r="W1778" i="16"/>
  <c r="AG1778" i="16" s="1"/>
  <c r="AN1777" i="16"/>
  <c r="AM1777" i="16"/>
  <c r="AL1777" i="16"/>
  <c r="AH1777" i="16"/>
  <c r="AF1777" i="16"/>
  <c r="AD1777" i="16"/>
  <c r="Y1777" i="16"/>
  <c r="Z1777" i="16" s="1"/>
  <c r="X1777" i="16"/>
  <c r="W1777" i="16"/>
  <c r="AI1777" i="16" s="1"/>
  <c r="AN1776" i="16"/>
  <c r="AM1776" i="16"/>
  <c r="AL1776" i="16"/>
  <c r="AJ1776" i="16"/>
  <c r="AH1776" i="16"/>
  <c r="AF1776" i="16"/>
  <c r="AD1776" i="16"/>
  <c r="Y1776" i="16"/>
  <c r="X1776" i="16"/>
  <c r="W1776" i="16"/>
  <c r="AG1776" i="16" s="1"/>
  <c r="AN1775" i="16"/>
  <c r="AM1775" i="16"/>
  <c r="AL1775" i="16"/>
  <c r="AH1775" i="16"/>
  <c r="AF1775" i="16"/>
  <c r="AD1775" i="16"/>
  <c r="Y1775" i="16"/>
  <c r="X1775" i="16"/>
  <c r="W1775" i="16"/>
  <c r="AI1775" i="16" s="1"/>
  <c r="AN1774" i="16"/>
  <c r="AM1774" i="16"/>
  <c r="AL1774" i="16"/>
  <c r="Y1774" i="16"/>
  <c r="X1774" i="16"/>
  <c r="W1774" i="16"/>
  <c r="AN1773" i="16"/>
  <c r="AM1773" i="16"/>
  <c r="AL1773" i="16"/>
  <c r="AG1773" i="16"/>
  <c r="AC1773" i="16"/>
  <c r="Y1773" i="16"/>
  <c r="X1773" i="16"/>
  <c r="W1773" i="16"/>
  <c r="AJ1773" i="16" s="1"/>
  <c r="AN1772" i="16"/>
  <c r="AM1772" i="16"/>
  <c r="AL1772" i="16"/>
  <c r="Y1772" i="16"/>
  <c r="Z1772" i="16" s="1"/>
  <c r="X1772" i="16"/>
  <c r="W1772" i="16"/>
  <c r="AN1771" i="16"/>
  <c r="AM1771" i="16"/>
  <c r="AL1771" i="16"/>
  <c r="AG1771" i="16"/>
  <c r="AC1771" i="16"/>
  <c r="Y1771" i="16"/>
  <c r="Z1771" i="16" s="1"/>
  <c r="X1771" i="16"/>
  <c r="W1771" i="16"/>
  <c r="AN1770" i="16"/>
  <c r="AM1770" i="16"/>
  <c r="AL1770" i="16"/>
  <c r="AI1770" i="16"/>
  <c r="Y1770" i="16"/>
  <c r="X1770" i="16"/>
  <c r="W1770" i="16"/>
  <c r="AN1769" i="16"/>
  <c r="AM1769" i="16"/>
  <c r="AL1769" i="16"/>
  <c r="AG1769" i="16"/>
  <c r="AC1769" i="16"/>
  <c r="Y1769" i="16"/>
  <c r="Z1769" i="16" s="1"/>
  <c r="X1769" i="16"/>
  <c r="W1769" i="16"/>
  <c r="AN1768" i="16"/>
  <c r="AM1768" i="16"/>
  <c r="AL1768" i="16"/>
  <c r="AI1768" i="16"/>
  <c r="Y1768" i="16"/>
  <c r="X1768" i="16"/>
  <c r="W1768" i="16"/>
  <c r="AN1767" i="16"/>
  <c r="AM1767" i="16"/>
  <c r="AL1767" i="16"/>
  <c r="AG1767" i="16"/>
  <c r="AC1767" i="16"/>
  <c r="Y1767" i="16"/>
  <c r="X1767" i="16"/>
  <c r="W1767" i="16"/>
  <c r="AN1766" i="16"/>
  <c r="AM1766" i="16"/>
  <c r="AL1766" i="16"/>
  <c r="AI1766" i="16"/>
  <c r="Y1766" i="16"/>
  <c r="X1766" i="16"/>
  <c r="W1766" i="16"/>
  <c r="AN1765" i="16"/>
  <c r="AM1765" i="16"/>
  <c r="AL1765" i="16"/>
  <c r="AG1765" i="16"/>
  <c r="AC1765" i="16"/>
  <c r="Y1765" i="16"/>
  <c r="Z1765" i="16" s="1"/>
  <c r="X1765" i="16"/>
  <c r="W1765" i="16"/>
  <c r="AJ1765" i="16" s="1"/>
  <c r="AN1764" i="16"/>
  <c r="AM1764" i="16"/>
  <c r="AL1764" i="16"/>
  <c r="AI1764" i="16"/>
  <c r="Y1764" i="16"/>
  <c r="Z1764" i="16" s="1"/>
  <c r="X1764" i="16"/>
  <c r="W1764" i="16"/>
  <c r="AN1763" i="16"/>
  <c r="AM1763" i="16"/>
  <c r="AL1763" i="16"/>
  <c r="AI1763" i="16"/>
  <c r="AE1763" i="16"/>
  <c r="Y1763" i="16"/>
  <c r="X1763" i="16"/>
  <c r="W1763" i="16"/>
  <c r="AN1762" i="16"/>
  <c r="AM1762" i="16"/>
  <c r="AL1762" i="16"/>
  <c r="AI1762" i="16"/>
  <c r="AE1762" i="16"/>
  <c r="Y1762" i="16"/>
  <c r="X1762" i="16"/>
  <c r="W1762" i="16"/>
  <c r="AN1761" i="16"/>
  <c r="AM1761" i="16"/>
  <c r="AL1761" i="16"/>
  <c r="Y1761" i="16"/>
  <c r="Z1761" i="16" s="1"/>
  <c r="X1761" i="16"/>
  <c r="W1761" i="16"/>
  <c r="AN1760" i="16"/>
  <c r="AM1760" i="16"/>
  <c r="AL1760" i="16"/>
  <c r="AJ1760" i="16"/>
  <c r="AH1760" i="16"/>
  <c r="AG1760" i="16"/>
  <c r="AF1760" i="16"/>
  <c r="AD1760" i="16"/>
  <c r="Y1760" i="16"/>
  <c r="X1760" i="16"/>
  <c r="W1760" i="16"/>
  <c r="AI1760" i="16" s="1"/>
  <c r="AN1759" i="16"/>
  <c r="AM1759" i="16"/>
  <c r="AL1759" i="16"/>
  <c r="AH1759" i="16"/>
  <c r="AF1759" i="16"/>
  <c r="AD1759" i="16"/>
  <c r="Y1759" i="16"/>
  <c r="X1759" i="16"/>
  <c r="W1759" i="16"/>
  <c r="AG1759" i="16" s="1"/>
  <c r="AN1758" i="16"/>
  <c r="AM1758" i="16"/>
  <c r="AL1758" i="16"/>
  <c r="AJ1758" i="16"/>
  <c r="AH1758" i="16"/>
  <c r="AG1758" i="16"/>
  <c r="AD1758" i="16"/>
  <c r="AC1758" i="16"/>
  <c r="Y1758" i="16"/>
  <c r="Z1758" i="16" s="1"/>
  <c r="X1758" i="16"/>
  <c r="W1758" i="16"/>
  <c r="AI1758" i="16" s="1"/>
  <c r="AN1757" i="16"/>
  <c r="AM1757" i="16"/>
  <c r="AL1757" i="16"/>
  <c r="AH1757" i="16"/>
  <c r="AE1757" i="16"/>
  <c r="Y1757" i="16"/>
  <c r="X1757" i="16"/>
  <c r="W1757" i="16"/>
  <c r="AJ1757" i="16" s="1"/>
  <c r="AN1756" i="16"/>
  <c r="AM1756" i="16"/>
  <c r="AL1756" i="16"/>
  <c r="AJ1756" i="16"/>
  <c r="AH1756" i="16"/>
  <c r="AG1756" i="16"/>
  <c r="AD1756" i="16"/>
  <c r="AC1756" i="16"/>
  <c r="Y1756" i="16"/>
  <c r="Z1756" i="16" s="1"/>
  <c r="X1756" i="16"/>
  <c r="W1756" i="16"/>
  <c r="AI1756" i="16" s="1"/>
  <c r="AN1755" i="16"/>
  <c r="AM1755" i="16"/>
  <c r="AL1755" i="16"/>
  <c r="AJ1755" i="16"/>
  <c r="AH1755" i="16"/>
  <c r="AE1755" i="16"/>
  <c r="Y1755" i="16"/>
  <c r="Z1755" i="16" s="1"/>
  <c r="X1755" i="16"/>
  <c r="W1755" i="16"/>
  <c r="AN1754" i="16"/>
  <c r="AM1754" i="16"/>
  <c r="AL1754" i="16"/>
  <c r="AH1754" i="16"/>
  <c r="AG1754" i="16"/>
  <c r="AF1754" i="16"/>
  <c r="AD1754" i="16"/>
  <c r="AC1754" i="16"/>
  <c r="Y1754" i="16"/>
  <c r="X1754" i="16"/>
  <c r="W1754" i="16"/>
  <c r="AI1754" i="16" s="1"/>
  <c r="AN1753" i="16"/>
  <c r="AM1753" i="16"/>
  <c r="AL1753" i="16"/>
  <c r="AJ1753" i="16"/>
  <c r="AH1753" i="16"/>
  <c r="AE1753" i="16"/>
  <c r="Y1753" i="16"/>
  <c r="X1753" i="16"/>
  <c r="W1753" i="16"/>
  <c r="AI1753" i="16" s="1"/>
  <c r="AN1752" i="16"/>
  <c r="AM1752" i="16"/>
  <c r="AL1752" i="16"/>
  <c r="AJ1752" i="16"/>
  <c r="AH1752" i="16"/>
  <c r="AG1752" i="16"/>
  <c r="AF1752" i="16"/>
  <c r="AD1752" i="16"/>
  <c r="Y1752" i="16"/>
  <c r="X1752" i="16"/>
  <c r="W1752" i="16"/>
  <c r="AI1752" i="16" s="1"/>
  <c r="AN1751" i="16"/>
  <c r="AM1751" i="16"/>
  <c r="AL1751" i="16"/>
  <c r="AH1751" i="16"/>
  <c r="AE1751" i="16"/>
  <c r="Y1751" i="16"/>
  <c r="Z1751" i="16" s="1"/>
  <c r="X1751" i="16"/>
  <c r="W1751" i="16"/>
  <c r="AN1750" i="16"/>
  <c r="AM1750" i="16"/>
  <c r="AL1750" i="16"/>
  <c r="AJ1750" i="16"/>
  <c r="AH1750" i="16"/>
  <c r="AG1750" i="16"/>
  <c r="AF1750" i="16"/>
  <c r="AD1750" i="16"/>
  <c r="Y1750" i="16"/>
  <c r="X1750" i="16"/>
  <c r="W1750" i="16"/>
  <c r="AI1750" i="16" s="1"/>
  <c r="AN1749" i="16"/>
  <c r="AM1749" i="16"/>
  <c r="AL1749" i="16"/>
  <c r="AH1749" i="16"/>
  <c r="AE1749" i="16"/>
  <c r="Y1749" i="16"/>
  <c r="X1749" i="16"/>
  <c r="W1749" i="16"/>
  <c r="AI1749" i="16" s="1"/>
  <c r="AN1748" i="16"/>
  <c r="AM1748" i="16"/>
  <c r="AL1748" i="16"/>
  <c r="AJ1748" i="16"/>
  <c r="AH1748" i="16"/>
  <c r="AG1748" i="16"/>
  <c r="AF1748" i="16"/>
  <c r="AD1748" i="16"/>
  <c r="Y1748" i="16"/>
  <c r="X1748" i="16"/>
  <c r="W1748" i="16"/>
  <c r="AI1748" i="16" s="1"/>
  <c r="AN1747" i="16"/>
  <c r="AM1747" i="16"/>
  <c r="AL1747" i="16"/>
  <c r="AH1747" i="16"/>
  <c r="AF1747" i="16"/>
  <c r="AD1747" i="16"/>
  <c r="Y1747" i="16"/>
  <c r="Z1747" i="16" s="1"/>
  <c r="X1747" i="16"/>
  <c r="W1747" i="16"/>
  <c r="AI1747" i="16" s="1"/>
  <c r="AN1746" i="16"/>
  <c r="AM1746" i="16"/>
  <c r="AL1746" i="16"/>
  <c r="AJ1746" i="16"/>
  <c r="AH1746" i="16"/>
  <c r="AG1746" i="16"/>
  <c r="AF1746" i="16"/>
  <c r="AC1746" i="16"/>
  <c r="Y1746" i="16"/>
  <c r="X1746" i="16"/>
  <c r="W1746" i="16"/>
  <c r="AI1746" i="16" s="1"/>
  <c r="AN1745" i="16"/>
  <c r="AM1745" i="16"/>
  <c r="AL1745" i="16"/>
  <c r="AJ1745" i="16"/>
  <c r="AH1745" i="16"/>
  <c r="AF1745" i="16"/>
  <c r="Y1745" i="16"/>
  <c r="Z1745" i="16" s="1"/>
  <c r="X1745" i="16"/>
  <c r="W1745" i="16"/>
  <c r="AI1745" i="16" s="1"/>
  <c r="AN1744" i="16"/>
  <c r="AM1744" i="16"/>
  <c r="AL1744" i="16"/>
  <c r="AJ1744" i="16"/>
  <c r="AH1744" i="16"/>
  <c r="AG1744" i="16"/>
  <c r="AF1744" i="16"/>
  <c r="AC1744" i="16"/>
  <c r="Y1744" i="16"/>
  <c r="Z1744" i="16" s="1"/>
  <c r="X1744" i="16"/>
  <c r="W1744" i="16"/>
  <c r="AI1744" i="16" s="1"/>
  <c r="AN1743" i="16"/>
  <c r="AM1743" i="16"/>
  <c r="AL1743" i="16"/>
  <c r="AJ1743" i="16"/>
  <c r="AH1743" i="16"/>
  <c r="AF1743" i="16"/>
  <c r="AD1743" i="16"/>
  <c r="Y1743" i="16"/>
  <c r="X1743" i="16"/>
  <c r="W1743" i="16"/>
  <c r="AI1743" i="16" s="1"/>
  <c r="AN1742" i="16"/>
  <c r="AM1742" i="16"/>
  <c r="AL1742" i="16"/>
  <c r="AH1742" i="16"/>
  <c r="AG1742" i="16"/>
  <c r="AF1742" i="16"/>
  <c r="AD1742" i="16"/>
  <c r="AC1742" i="16"/>
  <c r="Y1742" i="16"/>
  <c r="X1742" i="16"/>
  <c r="W1742" i="16"/>
  <c r="AI1742" i="16" s="1"/>
  <c r="AN1741" i="16"/>
  <c r="AM1741" i="16"/>
  <c r="AL1741" i="16"/>
  <c r="Y1741" i="16"/>
  <c r="Z1741" i="16" s="1"/>
  <c r="X1741" i="16"/>
  <c r="W1741" i="16"/>
  <c r="AN1740" i="16"/>
  <c r="AM1740" i="16"/>
  <c r="AL1740" i="16"/>
  <c r="AG1740" i="16"/>
  <c r="AE1740" i="16"/>
  <c r="Y1740" i="16"/>
  <c r="X1740" i="16"/>
  <c r="W1740" i="16"/>
  <c r="AI1740" i="16" s="1"/>
  <c r="AN1739" i="16"/>
  <c r="AM1739" i="16"/>
  <c r="AL1739" i="16"/>
  <c r="AG1739" i="16"/>
  <c r="Y1739" i="16"/>
  <c r="X1739" i="16"/>
  <c r="W1739" i="16"/>
  <c r="AI1739" i="16" s="1"/>
  <c r="AN1738" i="16"/>
  <c r="AM1738" i="16"/>
  <c r="AL1738" i="16"/>
  <c r="Y1738" i="16"/>
  <c r="Z1738" i="16" s="1"/>
  <c r="X1738" i="16"/>
  <c r="W1738" i="16"/>
  <c r="AI1738" i="16" s="1"/>
  <c r="AN1737" i="16"/>
  <c r="AM1737" i="16"/>
  <c r="AL1737" i="16"/>
  <c r="AG1737" i="16"/>
  <c r="Y1737" i="16"/>
  <c r="X1737" i="16"/>
  <c r="W1737" i="16"/>
  <c r="AI1737" i="16" s="1"/>
  <c r="AN1736" i="16"/>
  <c r="AM1736" i="16"/>
  <c r="AL1736" i="16"/>
  <c r="AG1736" i="16"/>
  <c r="Y1736" i="16"/>
  <c r="X1736" i="16"/>
  <c r="W1736" i="16"/>
  <c r="AI1736" i="16" s="1"/>
  <c r="AN1735" i="16"/>
  <c r="AM1735" i="16"/>
  <c r="AL1735" i="16"/>
  <c r="AG1735" i="16"/>
  <c r="Y1735" i="16"/>
  <c r="X1735" i="16"/>
  <c r="W1735" i="16"/>
  <c r="AI1735" i="16" s="1"/>
  <c r="AN1734" i="16"/>
  <c r="AM1734" i="16"/>
  <c r="AL1734" i="16"/>
  <c r="AG1734" i="16"/>
  <c r="Y1734" i="16"/>
  <c r="Z1734" i="16" s="1"/>
  <c r="X1734" i="16"/>
  <c r="W1734" i="16"/>
  <c r="AI1734" i="16" s="1"/>
  <c r="AN1733" i="16"/>
  <c r="AM1733" i="16"/>
  <c r="AL1733" i="16"/>
  <c r="AG1733" i="16"/>
  <c r="Y1733" i="16"/>
  <c r="X1733" i="16"/>
  <c r="W1733" i="16"/>
  <c r="AI1733" i="16" s="1"/>
  <c r="AN1732" i="16"/>
  <c r="AM1732" i="16"/>
  <c r="AL1732" i="16"/>
  <c r="AG1732" i="16"/>
  <c r="Y1732" i="16"/>
  <c r="X1732" i="16"/>
  <c r="W1732" i="16"/>
  <c r="AI1732" i="16" s="1"/>
  <c r="AN1731" i="16"/>
  <c r="AM1731" i="16"/>
  <c r="AL1731" i="16"/>
  <c r="AG1731" i="16"/>
  <c r="Y1731" i="16"/>
  <c r="Z1731" i="16" s="1"/>
  <c r="AA1731" i="16" s="1"/>
  <c r="X1731" i="16"/>
  <c r="W1731" i="16"/>
  <c r="AI1731" i="16" s="1"/>
  <c r="AN1730" i="16"/>
  <c r="AM1730" i="16"/>
  <c r="AL1730" i="16"/>
  <c r="AG1730" i="16"/>
  <c r="Y1730" i="16"/>
  <c r="X1730" i="16"/>
  <c r="W1730" i="16"/>
  <c r="AI1730" i="16" s="1"/>
  <c r="AN1729" i="16"/>
  <c r="AM1729" i="16"/>
  <c r="AL1729" i="16"/>
  <c r="AG1729" i="16"/>
  <c r="Y1729" i="16"/>
  <c r="X1729" i="16"/>
  <c r="W1729" i="16"/>
  <c r="AI1729" i="16" s="1"/>
  <c r="AN1728" i="16"/>
  <c r="AM1728" i="16"/>
  <c r="AL1728" i="16"/>
  <c r="AG1728" i="16"/>
  <c r="Y1728" i="16"/>
  <c r="Z1728" i="16" s="1"/>
  <c r="X1728" i="16"/>
  <c r="W1728" i="16"/>
  <c r="AI1728" i="16" s="1"/>
  <c r="AN1727" i="16"/>
  <c r="AM1727" i="16"/>
  <c r="AL1727" i="16"/>
  <c r="AI1727" i="16"/>
  <c r="AF1727" i="16"/>
  <c r="Y1727" i="16"/>
  <c r="X1727" i="16"/>
  <c r="W1727" i="16"/>
  <c r="AN1726" i="16"/>
  <c r="AM1726" i="16"/>
  <c r="AL1726" i="16"/>
  <c r="Y1726" i="16"/>
  <c r="X1726" i="16"/>
  <c r="W1726" i="16"/>
  <c r="AE1726" i="16" s="1"/>
  <c r="AN1725" i="16"/>
  <c r="AM1725" i="16"/>
  <c r="AL1725" i="16"/>
  <c r="AJ1725" i="16"/>
  <c r="AI1725" i="16"/>
  <c r="AF1725" i="16"/>
  <c r="AE1725" i="16"/>
  <c r="AC1725" i="16"/>
  <c r="Y1725" i="16"/>
  <c r="X1725" i="16"/>
  <c r="W1725" i="16"/>
  <c r="AN1724" i="16"/>
  <c r="AM1724" i="16"/>
  <c r="AL1724" i="16"/>
  <c r="AI1724" i="16"/>
  <c r="Y1724" i="16"/>
  <c r="Z1724" i="16" s="1"/>
  <c r="X1724" i="16"/>
  <c r="W1724" i="16"/>
  <c r="AE1724" i="16" s="1"/>
  <c r="AN1723" i="16"/>
  <c r="AM1723" i="16"/>
  <c r="AL1723" i="16"/>
  <c r="AI1723" i="16"/>
  <c r="AE1723" i="16"/>
  <c r="X1723" i="16"/>
  <c r="AA1723" i="16" s="1"/>
  <c r="AB1723" i="16" s="1"/>
  <c r="W1723" i="16"/>
  <c r="AG1723" i="16" s="1"/>
  <c r="AN1722" i="16"/>
  <c r="AM1722" i="16"/>
  <c r="AL1722" i="16"/>
  <c r="Y1722" i="16"/>
  <c r="X1722" i="16"/>
  <c r="W1722" i="16"/>
  <c r="AG1722" i="16" s="1"/>
  <c r="AN1721" i="16"/>
  <c r="AM1721" i="16"/>
  <c r="AL1721" i="16"/>
  <c r="AG1721" i="16"/>
  <c r="AC1721" i="16"/>
  <c r="Y1721" i="16"/>
  <c r="X1721" i="16"/>
  <c r="W1721" i="16"/>
  <c r="AI1721" i="16" s="1"/>
  <c r="AN1720" i="16"/>
  <c r="AM1720" i="16"/>
  <c r="AL1720" i="16"/>
  <c r="Y1720" i="16"/>
  <c r="X1720" i="16"/>
  <c r="W1720" i="16"/>
  <c r="AG1720" i="16" s="1"/>
  <c r="AN1719" i="16"/>
  <c r="AM1719" i="16"/>
  <c r="AL1719" i="16"/>
  <c r="AG1719" i="16"/>
  <c r="AC1719" i="16"/>
  <c r="Y1719" i="16"/>
  <c r="X1719" i="16"/>
  <c r="W1719" i="16"/>
  <c r="AI1719" i="16" s="1"/>
  <c r="AN1718" i="16"/>
  <c r="AM1718" i="16"/>
  <c r="AL1718" i="16"/>
  <c r="Y1718" i="16"/>
  <c r="X1718" i="16"/>
  <c r="W1718" i="16"/>
  <c r="AN1717" i="16"/>
  <c r="AM1717" i="16"/>
  <c r="AL1717" i="16"/>
  <c r="AJ1717" i="16"/>
  <c r="AG1717" i="16"/>
  <c r="AF1717" i="16"/>
  <c r="AC1717" i="16"/>
  <c r="Y1717" i="16"/>
  <c r="X1717" i="16"/>
  <c r="W1717" i="16"/>
  <c r="AI1717" i="16" s="1"/>
  <c r="AN1716" i="16"/>
  <c r="AM1716" i="16"/>
  <c r="AL1716" i="16"/>
  <c r="Y1716" i="16"/>
  <c r="X1716" i="16"/>
  <c r="W1716" i="16"/>
  <c r="AN1715" i="16"/>
  <c r="AM1715" i="16"/>
  <c r="AL1715" i="16"/>
  <c r="AJ1715" i="16"/>
  <c r="AH1715" i="16"/>
  <c r="AG1715" i="16"/>
  <c r="AF1715" i="16"/>
  <c r="AC1715" i="16"/>
  <c r="Y1715" i="16"/>
  <c r="X1715" i="16"/>
  <c r="W1715" i="16"/>
  <c r="AI1715" i="16" s="1"/>
  <c r="AN1714" i="16"/>
  <c r="AM1714" i="16"/>
  <c r="AL1714" i="16"/>
  <c r="AI1714" i="16"/>
  <c r="Y1714" i="16"/>
  <c r="X1714" i="16"/>
  <c r="W1714" i="16"/>
  <c r="AN1713" i="16"/>
  <c r="AM1713" i="16"/>
  <c r="AL1713" i="16"/>
  <c r="AJ1713" i="16"/>
  <c r="AH1713" i="16"/>
  <c r="AG1713" i="16"/>
  <c r="AF1713" i="16"/>
  <c r="AD1713" i="16"/>
  <c r="AC1713" i="16"/>
  <c r="Y1713" i="16"/>
  <c r="X1713" i="16"/>
  <c r="W1713" i="16"/>
  <c r="AI1713" i="16" s="1"/>
  <c r="AN1712" i="16"/>
  <c r="AM1712" i="16"/>
  <c r="AL1712" i="16"/>
  <c r="AI1712" i="16"/>
  <c r="Y1712" i="16"/>
  <c r="X1712" i="16"/>
  <c r="W1712" i="16"/>
  <c r="AN1711" i="16"/>
  <c r="AM1711" i="16"/>
  <c r="AL1711" i="16"/>
  <c r="AJ1711" i="16"/>
  <c r="AH1711" i="16"/>
  <c r="AF1711" i="16"/>
  <c r="AD1711" i="16"/>
  <c r="AC1711" i="16"/>
  <c r="Y1711" i="16"/>
  <c r="Z1711" i="16" s="1"/>
  <c r="X1711" i="16"/>
  <c r="W1711" i="16"/>
  <c r="AI1711" i="16" s="1"/>
  <c r="AN1710" i="16"/>
  <c r="AM1710" i="16"/>
  <c r="AL1710" i="16"/>
  <c r="AI1710" i="16"/>
  <c r="Y1710" i="16"/>
  <c r="X1710" i="16"/>
  <c r="W1710" i="16"/>
  <c r="AN1709" i="16"/>
  <c r="AM1709" i="16"/>
  <c r="AL1709" i="16"/>
  <c r="AJ1709" i="16"/>
  <c r="AH1709" i="16"/>
  <c r="AG1709" i="16"/>
  <c r="AF1709" i="16"/>
  <c r="AC1709" i="16"/>
  <c r="Y1709" i="16"/>
  <c r="X1709" i="16"/>
  <c r="W1709" i="16"/>
  <c r="AI1709" i="16" s="1"/>
  <c r="AN1708" i="16"/>
  <c r="AM1708" i="16"/>
  <c r="AL1708" i="16"/>
  <c r="AH1708" i="16"/>
  <c r="Y1708" i="16"/>
  <c r="X1708" i="16"/>
  <c r="W1708" i="16"/>
  <c r="AE1708" i="16" s="1"/>
  <c r="AN1707" i="16"/>
  <c r="AM1707" i="16"/>
  <c r="AL1707" i="16"/>
  <c r="AJ1707" i="16"/>
  <c r="AH1707" i="16"/>
  <c r="AG1707" i="16"/>
  <c r="AF1707" i="16"/>
  <c r="AC1707" i="16"/>
  <c r="Y1707" i="16"/>
  <c r="X1707" i="16"/>
  <c r="W1707" i="16"/>
  <c r="AI1707" i="16" s="1"/>
  <c r="AN1706" i="16"/>
  <c r="AM1706" i="16"/>
  <c r="AL1706" i="16"/>
  <c r="Y1706" i="16"/>
  <c r="X1706" i="16"/>
  <c r="W1706" i="16"/>
  <c r="AN1705" i="16"/>
  <c r="AM1705" i="16"/>
  <c r="AL1705" i="16"/>
  <c r="AH1705" i="16"/>
  <c r="AG1705" i="16"/>
  <c r="AD1705" i="16"/>
  <c r="Y1705" i="16"/>
  <c r="Z1705" i="16" s="1"/>
  <c r="X1705" i="16"/>
  <c r="W1705" i="16"/>
  <c r="AJ1705" i="16" s="1"/>
  <c r="AN1704" i="16"/>
  <c r="AM1704" i="16"/>
  <c r="AL1704" i="16"/>
  <c r="Y1704" i="16"/>
  <c r="X1704" i="16"/>
  <c r="W1704" i="16"/>
  <c r="AI1704" i="16" s="1"/>
  <c r="AN1703" i="16"/>
  <c r="AM1703" i="16"/>
  <c r="AL1703" i="16"/>
  <c r="AG1703" i="16"/>
  <c r="AD1703" i="16"/>
  <c r="AC1703" i="16"/>
  <c r="Y1703" i="16"/>
  <c r="Z1703" i="16" s="1"/>
  <c r="X1703" i="16"/>
  <c r="W1703" i="16"/>
  <c r="AJ1703" i="16" s="1"/>
  <c r="AN1702" i="16"/>
  <c r="AM1702" i="16"/>
  <c r="AL1702" i="16"/>
  <c r="Y1702" i="16"/>
  <c r="X1702" i="16"/>
  <c r="W1702" i="16"/>
  <c r="AI1702" i="16" s="1"/>
  <c r="AN1701" i="16"/>
  <c r="AM1701" i="16"/>
  <c r="AL1701" i="16"/>
  <c r="AH1701" i="16"/>
  <c r="AG1701" i="16"/>
  <c r="AD1701" i="16"/>
  <c r="AC1701" i="16"/>
  <c r="Y1701" i="16"/>
  <c r="X1701" i="16"/>
  <c r="W1701" i="16"/>
  <c r="AN1700" i="16"/>
  <c r="AM1700" i="16"/>
  <c r="AL1700" i="16"/>
  <c r="Y1700" i="16"/>
  <c r="X1700" i="16"/>
  <c r="W1700" i="16"/>
  <c r="AI1700" i="16" s="1"/>
  <c r="AN1699" i="16"/>
  <c r="AM1699" i="16"/>
  <c r="AL1699" i="16"/>
  <c r="AH1699" i="16"/>
  <c r="AG1699" i="16"/>
  <c r="AC1699" i="16"/>
  <c r="Y1699" i="16"/>
  <c r="Z1699" i="16" s="1"/>
  <c r="X1699" i="16"/>
  <c r="W1699" i="16"/>
  <c r="AJ1699" i="16" s="1"/>
  <c r="AN1698" i="16"/>
  <c r="AM1698" i="16"/>
  <c r="AL1698" i="16"/>
  <c r="Y1698" i="16"/>
  <c r="X1698" i="16"/>
  <c r="W1698" i="16"/>
  <c r="AI1698" i="16" s="1"/>
  <c r="AN1697" i="16"/>
  <c r="AM1697" i="16"/>
  <c r="AL1697" i="16"/>
  <c r="AH1697" i="16"/>
  <c r="AG1697" i="16"/>
  <c r="AD1697" i="16"/>
  <c r="AC1697" i="16"/>
  <c r="Y1697" i="16"/>
  <c r="X1697" i="16"/>
  <c r="W1697" i="16"/>
  <c r="AN1696" i="16"/>
  <c r="AM1696" i="16"/>
  <c r="AL1696" i="16"/>
  <c r="Y1696" i="16"/>
  <c r="X1696" i="16"/>
  <c r="W1696" i="16"/>
  <c r="AI1696" i="16" s="1"/>
  <c r="AN1695" i="16"/>
  <c r="AM1695" i="16"/>
  <c r="AL1695" i="16"/>
  <c r="AJ1695" i="16"/>
  <c r="AH1695" i="16"/>
  <c r="AG1695" i="16"/>
  <c r="AF1695" i="16"/>
  <c r="AC1695" i="16"/>
  <c r="Y1695" i="16"/>
  <c r="X1695" i="16"/>
  <c r="W1695" i="16"/>
  <c r="AI1695" i="16" s="1"/>
  <c r="AN1694" i="16"/>
  <c r="AM1694" i="16"/>
  <c r="AL1694" i="16"/>
  <c r="AF1694" i="16"/>
  <c r="Y1694" i="16"/>
  <c r="X1694" i="16"/>
  <c r="W1694" i="16"/>
  <c r="AN1693" i="16"/>
  <c r="AM1693" i="16"/>
  <c r="AL1693" i="16"/>
  <c r="AJ1693" i="16"/>
  <c r="AH1693" i="16"/>
  <c r="AG1693" i="16"/>
  <c r="AF1693" i="16"/>
  <c r="AC1693" i="16"/>
  <c r="Y1693" i="16"/>
  <c r="X1693" i="16"/>
  <c r="W1693" i="16"/>
  <c r="AI1693" i="16" s="1"/>
  <c r="AN1692" i="16"/>
  <c r="AM1692" i="16"/>
  <c r="AL1692" i="16"/>
  <c r="Y1692" i="16"/>
  <c r="X1692" i="16"/>
  <c r="W1692" i="16"/>
  <c r="AJ1692" i="16" s="1"/>
  <c r="AN1691" i="16"/>
  <c r="AM1691" i="16"/>
  <c r="AL1691" i="16"/>
  <c r="AJ1691" i="16"/>
  <c r="AH1691" i="16"/>
  <c r="AG1691" i="16"/>
  <c r="AF1691" i="16"/>
  <c r="AC1691" i="16"/>
  <c r="Y1691" i="16"/>
  <c r="X1691" i="16"/>
  <c r="W1691" i="16"/>
  <c r="AI1691" i="16" s="1"/>
  <c r="AN1690" i="16"/>
  <c r="AM1690" i="16"/>
  <c r="AL1690" i="16"/>
  <c r="AJ1690" i="16"/>
  <c r="AI1690" i="16"/>
  <c r="AD1690" i="16"/>
  <c r="Y1690" i="16"/>
  <c r="X1690" i="16"/>
  <c r="W1690" i="16"/>
  <c r="AN1689" i="16"/>
  <c r="AM1689" i="16"/>
  <c r="AL1689" i="16"/>
  <c r="AJ1689" i="16"/>
  <c r="AH1689" i="16"/>
  <c r="AG1689" i="16"/>
  <c r="AF1689" i="16"/>
  <c r="AC1689" i="16"/>
  <c r="Y1689" i="16"/>
  <c r="X1689" i="16"/>
  <c r="W1689" i="16"/>
  <c r="AI1689" i="16" s="1"/>
  <c r="AN1688" i="16"/>
  <c r="AM1688" i="16"/>
  <c r="AL1688" i="16"/>
  <c r="Y1688" i="16"/>
  <c r="X1688" i="16"/>
  <c r="W1688" i="16"/>
  <c r="AJ1688" i="16" s="1"/>
  <c r="AN1687" i="16"/>
  <c r="AM1687" i="16"/>
  <c r="AL1687" i="16"/>
  <c r="AJ1687" i="16"/>
  <c r="AH1687" i="16"/>
  <c r="AG1687" i="16"/>
  <c r="AF1687" i="16"/>
  <c r="AC1687" i="16"/>
  <c r="Y1687" i="16"/>
  <c r="X1687" i="16"/>
  <c r="W1687" i="16"/>
  <c r="AI1687" i="16" s="1"/>
  <c r="AN1686" i="16"/>
  <c r="AM1686" i="16"/>
  <c r="AL1686" i="16"/>
  <c r="AJ1686" i="16"/>
  <c r="AI1686" i="16"/>
  <c r="AE1686" i="16"/>
  <c r="Y1686" i="16"/>
  <c r="X1686" i="16"/>
  <c r="W1686" i="16"/>
  <c r="AN1685" i="16"/>
  <c r="AM1685" i="16"/>
  <c r="AL1685" i="16"/>
  <c r="AJ1685" i="16"/>
  <c r="AH1685" i="16"/>
  <c r="AG1685" i="16"/>
  <c r="AF1685" i="16"/>
  <c r="AC1685" i="16"/>
  <c r="Y1685" i="16"/>
  <c r="X1685" i="16"/>
  <c r="W1685" i="16"/>
  <c r="AI1685" i="16" s="1"/>
  <c r="AN1684" i="16"/>
  <c r="AM1684" i="16"/>
  <c r="AL1684" i="16"/>
  <c r="Y1684" i="16"/>
  <c r="X1684" i="16"/>
  <c r="W1684" i="16"/>
  <c r="AJ1684" i="16" s="1"/>
  <c r="AN1683" i="16"/>
  <c r="AM1683" i="16"/>
  <c r="AL1683" i="16"/>
  <c r="AH1683" i="16"/>
  <c r="AG1683" i="16"/>
  <c r="AF1683" i="16"/>
  <c r="AD1683" i="16"/>
  <c r="AC1683" i="16"/>
  <c r="Y1683" i="16"/>
  <c r="X1683" i="16"/>
  <c r="W1683" i="16"/>
  <c r="AI1683" i="16" s="1"/>
  <c r="AN1682" i="16"/>
  <c r="AM1682" i="16"/>
  <c r="AL1682" i="16"/>
  <c r="AJ1682" i="16"/>
  <c r="AI1682" i="16"/>
  <c r="AE1682" i="16"/>
  <c r="Y1682" i="16"/>
  <c r="X1682" i="16"/>
  <c r="W1682" i="16"/>
  <c r="AN1681" i="16"/>
  <c r="AM1681" i="16"/>
  <c r="AL1681" i="16"/>
  <c r="AJ1681" i="16"/>
  <c r="AH1681" i="16"/>
  <c r="AG1681" i="16"/>
  <c r="AF1681" i="16"/>
  <c r="AC1681" i="16"/>
  <c r="Y1681" i="16"/>
  <c r="X1681" i="16"/>
  <c r="W1681" i="16"/>
  <c r="AI1681" i="16" s="1"/>
  <c r="AN1680" i="16"/>
  <c r="AM1680" i="16"/>
  <c r="AL1680" i="16"/>
  <c r="Y1680" i="16"/>
  <c r="X1680" i="16"/>
  <c r="W1680" i="16"/>
  <c r="AJ1680" i="16" s="1"/>
  <c r="AN1679" i="16"/>
  <c r="AM1679" i="16"/>
  <c r="AL1679" i="16"/>
  <c r="AJ1679" i="16"/>
  <c r="AH1679" i="16"/>
  <c r="AG1679" i="16"/>
  <c r="AF1679" i="16"/>
  <c r="AC1679" i="16"/>
  <c r="Y1679" i="16"/>
  <c r="X1679" i="16"/>
  <c r="W1679" i="16"/>
  <c r="AI1679" i="16" s="1"/>
  <c r="AN1678" i="16"/>
  <c r="AM1678" i="16"/>
  <c r="AL1678" i="16"/>
  <c r="Y1678" i="16"/>
  <c r="X1678" i="16"/>
  <c r="W1678" i="16"/>
  <c r="AJ1678" i="16" s="1"/>
  <c r="AN1677" i="16"/>
  <c r="AM1677" i="16"/>
  <c r="AL1677" i="16"/>
  <c r="AH1677" i="16"/>
  <c r="AG1677" i="16"/>
  <c r="AC1677" i="16"/>
  <c r="Y1677" i="16"/>
  <c r="X1677" i="16"/>
  <c r="W1677" i="16"/>
  <c r="AJ1677" i="16" s="1"/>
  <c r="AN1676" i="16"/>
  <c r="AM1676" i="16"/>
  <c r="AL1676" i="16"/>
  <c r="AF1676" i="16"/>
  <c r="AE1676" i="16"/>
  <c r="Y1676" i="16"/>
  <c r="X1676" i="16"/>
  <c r="W1676" i="16"/>
  <c r="AI1676" i="16" s="1"/>
  <c r="AN1675" i="16"/>
  <c r="AM1675" i="16"/>
  <c r="AL1675" i="16"/>
  <c r="AH1675" i="16"/>
  <c r="AG1675" i="16"/>
  <c r="AC1675" i="16"/>
  <c r="Y1675" i="16"/>
  <c r="X1675" i="16"/>
  <c r="W1675" i="16"/>
  <c r="AJ1675" i="16" s="1"/>
  <c r="AN1674" i="16"/>
  <c r="AM1674" i="16"/>
  <c r="AL1674" i="16"/>
  <c r="AF1674" i="16"/>
  <c r="AE1674" i="16"/>
  <c r="Y1674" i="16"/>
  <c r="X1674" i="16"/>
  <c r="W1674" i="16"/>
  <c r="AI1674" i="16" s="1"/>
  <c r="AN1673" i="16"/>
  <c r="AM1673" i="16"/>
  <c r="AL1673" i="16"/>
  <c r="AH1673" i="16"/>
  <c r="AG1673" i="16"/>
  <c r="AD1673" i="16"/>
  <c r="AC1673" i="16"/>
  <c r="Y1673" i="16"/>
  <c r="X1673" i="16"/>
  <c r="W1673" i="16"/>
  <c r="AN1672" i="16"/>
  <c r="AM1672" i="16"/>
  <c r="AL1672" i="16"/>
  <c r="AF1672" i="16"/>
  <c r="AE1672" i="16"/>
  <c r="Y1672" i="16"/>
  <c r="X1672" i="16"/>
  <c r="W1672" i="16"/>
  <c r="AI1672" i="16" s="1"/>
  <c r="AN1671" i="16"/>
  <c r="AM1671" i="16"/>
  <c r="AL1671" i="16"/>
  <c r="AG1671" i="16"/>
  <c r="AD1671" i="16"/>
  <c r="AC1671" i="16"/>
  <c r="Y1671" i="16"/>
  <c r="Z1671" i="16" s="1"/>
  <c r="X1671" i="16"/>
  <c r="W1671" i="16"/>
  <c r="AJ1671" i="16" s="1"/>
  <c r="AN1670" i="16"/>
  <c r="AM1670" i="16"/>
  <c r="AL1670" i="16"/>
  <c r="AF1670" i="16"/>
  <c r="AE1670" i="16"/>
  <c r="Y1670" i="16"/>
  <c r="X1670" i="16"/>
  <c r="W1670" i="16"/>
  <c r="AI1670" i="16" s="1"/>
  <c r="AN1669" i="16"/>
  <c r="AM1669" i="16"/>
  <c r="AL1669" i="16"/>
  <c r="AH1669" i="16"/>
  <c r="AG1669" i="16"/>
  <c r="AD1669" i="16"/>
  <c r="AC1669" i="16"/>
  <c r="Y1669" i="16"/>
  <c r="X1669" i="16"/>
  <c r="W1669" i="16"/>
  <c r="AJ1669" i="16" s="1"/>
  <c r="AN1668" i="16"/>
  <c r="AM1668" i="16"/>
  <c r="AL1668" i="16"/>
  <c r="AE1668" i="16"/>
  <c r="Y1668" i="16"/>
  <c r="X1668" i="16"/>
  <c r="W1668" i="16"/>
  <c r="AI1668" i="16" s="1"/>
  <c r="AN1667" i="16"/>
  <c r="AM1667" i="16"/>
  <c r="AL1667" i="16"/>
  <c r="Y1667" i="16"/>
  <c r="Z1667" i="16" s="1"/>
  <c r="X1667" i="16"/>
  <c r="W1667" i="16"/>
  <c r="AN1666" i="16"/>
  <c r="AM1666" i="16"/>
  <c r="AL1666" i="16"/>
  <c r="AF1666" i="16"/>
  <c r="AE1666" i="16"/>
  <c r="Y1666" i="16"/>
  <c r="X1666" i="16"/>
  <c r="W1666" i="16"/>
  <c r="AI1666" i="16" s="1"/>
  <c r="AN1665" i="16"/>
  <c r="AM1665" i="16"/>
  <c r="AL1665" i="16"/>
  <c r="AH1665" i="16"/>
  <c r="AG1665" i="16"/>
  <c r="AC1665" i="16"/>
  <c r="Y1665" i="16"/>
  <c r="Z1665" i="16" s="1"/>
  <c r="X1665" i="16"/>
  <c r="W1665" i="16"/>
  <c r="AJ1665" i="16" s="1"/>
  <c r="AN1664" i="16"/>
  <c r="AM1664" i="16"/>
  <c r="AL1664" i="16"/>
  <c r="AF1664" i="16"/>
  <c r="AE1664" i="16"/>
  <c r="Y1664" i="16"/>
  <c r="X1664" i="16"/>
  <c r="W1664" i="16"/>
  <c r="AI1664" i="16" s="1"/>
  <c r="AN1663" i="16"/>
  <c r="AM1663" i="16"/>
  <c r="AL1663" i="16"/>
  <c r="AJ1663" i="16"/>
  <c r="AH1663" i="16"/>
  <c r="AF1663" i="16"/>
  <c r="AD1663" i="16"/>
  <c r="AC1663" i="16"/>
  <c r="Y1663" i="16"/>
  <c r="X1663" i="16"/>
  <c r="W1663" i="16"/>
  <c r="AI1663" i="16" s="1"/>
  <c r="AN1662" i="16"/>
  <c r="AM1662" i="16"/>
  <c r="AL1662" i="16"/>
  <c r="AI1662" i="16"/>
  <c r="Y1662" i="16"/>
  <c r="X1662" i="16"/>
  <c r="W1662" i="16"/>
  <c r="AN1661" i="16"/>
  <c r="AM1661" i="16"/>
  <c r="AL1661" i="16"/>
  <c r="AJ1661" i="16"/>
  <c r="AH1661" i="16"/>
  <c r="AG1661" i="16"/>
  <c r="AF1661" i="16"/>
  <c r="AC1661" i="16"/>
  <c r="Y1661" i="16"/>
  <c r="X1661" i="16"/>
  <c r="W1661" i="16"/>
  <c r="AI1661" i="16" s="1"/>
  <c r="AN1660" i="16"/>
  <c r="AM1660" i="16"/>
  <c r="AL1660" i="16"/>
  <c r="Y1660" i="16"/>
  <c r="X1660" i="16"/>
  <c r="W1660" i="16"/>
  <c r="AJ1660" i="16" s="1"/>
  <c r="AN1659" i="16"/>
  <c r="AM1659" i="16"/>
  <c r="AL1659" i="16"/>
  <c r="AJ1659" i="16"/>
  <c r="AH1659" i="16"/>
  <c r="AG1659" i="16"/>
  <c r="AF1659" i="16"/>
  <c r="AC1659" i="16"/>
  <c r="Y1659" i="16"/>
  <c r="X1659" i="16"/>
  <c r="W1659" i="16"/>
  <c r="AI1659" i="16" s="1"/>
  <c r="AN1658" i="16"/>
  <c r="AM1658" i="16"/>
  <c r="AL1658" i="16"/>
  <c r="AJ1658" i="16"/>
  <c r="AI1658" i="16"/>
  <c r="AH1658" i="16"/>
  <c r="AE1658" i="16"/>
  <c r="Y1658" i="16"/>
  <c r="X1658" i="16"/>
  <c r="W1658" i="16"/>
  <c r="AN1657" i="16"/>
  <c r="AM1657" i="16"/>
  <c r="AL1657" i="16"/>
  <c r="AJ1657" i="16"/>
  <c r="AH1657" i="16"/>
  <c r="AG1657" i="16"/>
  <c r="AF1657" i="16"/>
  <c r="AC1657" i="16"/>
  <c r="Y1657" i="16"/>
  <c r="X1657" i="16"/>
  <c r="W1657" i="16"/>
  <c r="AI1657" i="16" s="1"/>
  <c r="AN1656" i="16"/>
  <c r="AM1656" i="16"/>
  <c r="AL1656" i="16"/>
  <c r="Y1656" i="16"/>
  <c r="X1656" i="16"/>
  <c r="W1656" i="16"/>
  <c r="AJ1656" i="16" s="1"/>
  <c r="AN1655" i="16"/>
  <c r="AM1655" i="16"/>
  <c r="AL1655" i="16"/>
  <c r="AJ1655" i="16"/>
  <c r="AH1655" i="16"/>
  <c r="AF1655" i="16"/>
  <c r="AD1655" i="16"/>
  <c r="AC1655" i="16"/>
  <c r="Y1655" i="16"/>
  <c r="Z1655" i="16" s="1"/>
  <c r="X1655" i="16"/>
  <c r="W1655" i="16"/>
  <c r="AI1655" i="16" s="1"/>
  <c r="AN1654" i="16"/>
  <c r="AM1654" i="16"/>
  <c r="AL1654" i="16"/>
  <c r="AJ1654" i="16"/>
  <c r="AI1654" i="16"/>
  <c r="AH1654" i="16"/>
  <c r="AE1654" i="16"/>
  <c r="Y1654" i="16"/>
  <c r="X1654" i="16"/>
  <c r="W1654" i="16"/>
  <c r="AN1653" i="16"/>
  <c r="AM1653" i="16"/>
  <c r="AL1653" i="16"/>
  <c r="Y1653" i="16"/>
  <c r="X1653" i="16"/>
  <c r="W1653" i="16"/>
  <c r="AN1652" i="16"/>
  <c r="AM1652" i="16"/>
  <c r="AL1652" i="16"/>
  <c r="Y1652" i="16"/>
  <c r="X1652" i="16"/>
  <c r="W1652" i="16"/>
  <c r="AN1651" i="16"/>
  <c r="AM1651" i="16"/>
  <c r="AL1651" i="16"/>
  <c r="AJ1651" i="16"/>
  <c r="AH1651" i="16"/>
  <c r="AG1651" i="16"/>
  <c r="AF1651" i="16"/>
  <c r="AD1651" i="16"/>
  <c r="Y1651" i="16"/>
  <c r="X1651" i="16"/>
  <c r="W1651" i="16"/>
  <c r="AI1651" i="16" s="1"/>
  <c r="AN1650" i="16"/>
  <c r="AM1650" i="16"/>
  <c r="AL1650" i="16"/>
  <c r="AI1650" i="16"/>
  <c r="AH1650" i="16"/>
  <c r="AE1650" i="16"/>
  <c r="AD1650" i="16"/>
  <c r="Y1650" i="16"/>
  <c r="X1650" i="16"/>
  <c r="W1650" i="16"/>
  <c r="AN1649" i="16"/>
  <c r="AM1649" i="16"/>
  <c r="AL1649" i="16"/>
  <c r="AJ1649" i="16"/>
  <c r="AH1649" i="16"/>
  <c r="AG1649" i="16"/>
  <c r="AF1649" i="16"/>
  <c r="AC1649" i="16"/>
  <c r="Y1649" i="16"/>
  <c r="X1649" i="16"/>
  <c r="W1649" i="16"/>
  <c r="AI1649" i="16" s="1"/>
  <c r="AN1648" i="16"/>
  <c r="AM1648" i="16"/>
  <c r="AL1648" i="16"/>
  <c r="Y1648" i="16"/>
  <c r="X1648" i="16"/>
  <c r="W1648" i="16"/>
  <c r="AJ1648" i="16" s="1"/>
  <c r="AN1647" i="16"/>
  <c r="AM1647" i="16"/>
  <c r="AL1647" i="16"/>
  <c r="AJ1647" i="16"/>
  <c r="AH1647" i="16"/>
  <c r="AG1647" i="16"/>
  <c r="AF1647" i="16"/>
  <c r="AC1647" i="16"/>
  <c r="Y1647" i="16"/>
  <c r="Z1647" i="16" s="1"/>
  <c r="X1647" i="16"/>
  <c r="W1647" i="16"/>
  <c r="AI1647" i="16" s="1"/>
  <c r="AN1646" i="16"/>
  <c r="AM1646" i="16"/>
  <c r="AL1646" i="16"/>
  <c r="AJ1646" i="16"/>
  <c r="AI1646" i="16"/>
  <c r="AH1646" i="16"/>
  <c r="AE1646" i="16"/>
  <c r="Y1646" i="16"/>
  <c r="X1646" i="16"/>
  <c r="W1646" i="16"/>
  <c r="AN1645" i="16"/>
  <c r="AM1645" i="16"/>
  <c r="AL1645" i="16"/>
  <c r="AJ1645" i="16"/>
  <c r="AH1645" i="16"/>
  <c r="AG1645" i="16"/>
  <c r="AF1645" i="16"/>
  <c r="AC1645" i="16"/>
  <c r="Y1645" i="16"/>
  <c r="X1645" i="16"/>
  <c r="W1645" i="16"/>
  <c r="AI1645" i="16" s="1"/>
  <c r="AN1644" i="16"/>
  <c r="AM1644" i="16"/>
  <c r="AL1644" i="16"/>
  <c r="Y1644" i="16"/>
  <c r="X1644" i="16"/>
  <c r="W1644" i="16"/>
  <c r="AJ1644" i="16" s="1"/>
  <c r="AN1643" i="16"/>
  <c r="AM1643" i="16"/>
  <c r="AL1643" i="16"/>
  <c r="AJ1643" i="16"/>
  <c r="AH1643" i="16"/>
  <c r="AG1643" i="16"/>
  <c r="AF1643" i="16"/>
  <c r="AC1643" i="16"/>
  <c r="Y1643" i="16"/>
  <c r="X1643" i="16"/>
  <c r="W1643" i="16"/>
  <c r="AI1643" i="16" s="1"/>
  <c r="AN1642" i="16"/>
  <c r="AM1642" i="16"/>
  <c r="AL1642" i="16"/>
  <c r="AJ1642" i="16"/>
  <c r="AI1642" i="16"/>
  <c r="AH1642" i="16"/>
  <c r="AE1642" i="16"/>
  <c r="AD1642" i="16"/>
  <c r="Y1642" i="16"/>
  <c r="X1642" i="16"/>
  <c r="W1642" i="16"/>
  <c r="AN1641" i="16"/>
  <c r="AM1641" i="16"/>
  <c r="AL1641" i="16"/>
  <c r="AJ1641" i="16"/>
  <c r="AH1641" i="16"/>
  <c r="AG1641" i="16"/>
  <c r="AF1641" i="16"/>
  <c r="AC1641" i="16"/>
  <c r="Y1641" i="16"/>
  <c r="X1641" i="16"/>
  <c r="W1641" i="16"/>
  <c r="AI1641" i="16" s="1"/>
  <c r="AN1640" i="16"/>
  <c r="AM1640" i="16"/>
  <c r="AL1640" i="16"/>
  <c r="Y1640" i="16"/>
  <c r="X1640" i="16"/>
  <c r="W1640" i="16"/>
  <c r="AJ1640" i="16" s="1"/>
  <c r="AN1639" i="16"/>
  <c r="AM1639" i="16"/>
  <c r="AL1639" i="16"/>
  <c r="Y1639" i="16"/>
  <c r="X1639" i="16"/>
  <c r="W1639" i="16"/>
  <c r="AN1638" i="16"/>
  <c r="AM1638" i="16"/>
  <c r="AL1638" i="16"/>
  <c r="Y1638" i="16"/>
  <c r="X1638" i="16"/>
  <c r="W1638" i="16"/>
  <c r="AN1637" i="16"/>
  <c r="AM1637" i="16"/>
  <c r="AL1637" i="16"/>
  <c r="AF1637" i="16"/>
  <c r="X1637" i="16"/>
  <c r="W1637" i="16"/>
  <c r="AI1637" i="16" s="1"/>
  <c r="AN1636" i="16"/>
  <c r="AM1636" i="16"/>
  <c r="AL1636" i="16"/>
  <c r="AH1636" i="16"/>
  <c r="AD1636" i="16"/>
  <c r="Y1636" i="16"/>
  <c r="X1636" i="16"/>
  <c r="W1636" i="16"/>
  <c r="AG1636" i="16" s="1"/>
  <c r="AN1635" i="16"/>
  <c r="AM1635" i="16"/>
  <c r="AL1635" i="16"/>
  <c r="AJ1635" i="16"/>
  <c r="AG1635" i="16"/>
  <c r="AF1635" i="16"/>
  <c r="AC1635" i="16"/>
  <c r="Y1635" i="16"/>
  <c r="X1635" i="16"/>
  <c r="W1635" i="16"/>
  <c r="AI1635" i="16" s="1"/>
  <c r="AN1634" i="16"/>
  <c r="AM1634" i="16"/>
  <c r="AL1634" i="16"/>
  <c r="AH1634" i="16"/>
  <c r="Y1634" i="16"/>
  <c r="X1634" i="16"/>
  <c r="W1634" i="16"/>
  <c r="AG1634" i="16" s="1"/>
  <c r="AN1633" i="16"/>
  <c r="AM1633" i="16"/>
  <c r="AL1633" i="16"/>
  <c r="AJ1633" i="16"/>
  <c r="AG1633" i="16"/>
  <c r="AF1633" i="16"/>
  <c r="AC1633" i="16"/>
  <c r="Y1633" i="16"/>
  <c r="X1633" i="16"/>
  <c r="W1633" i="16"/>
  <c r="AI1633" i="16" s="1"/>
  <c r="AN1632" i="16"/>
  <c r="AM1632" i="16"/>
  <c r="AL1632" i="16"/>
  <c r="AH1632" i="16"/>
  <c r="Y1632" i="16"/>
  <c r="X1632" i="16"/>
  <c r="W1632" i="16"/>
  <c r="AG1632" i="16" s="1"/>
  <c r="AN1631" i="16"/>
  <c r="AM1631" i="16"/>
  <c r="AL1631" i="16"/>
  <c r="AJ1631" i="16"/>
  <c r="AG1631" i="16"/>
  <c r="AF1631" i="16"/>
  <c r="AC1631" i="16"/>
  <c r="Y1631" i="16"/>
  <c r="X1631" i="16"/>
  <c r="W1631" i="16"/>
  <c r="AI1631" i="16" s="1"/>
  <c r="AN1630" i="16"/>
  <c r="AM1630" i="16"/>
  <c r="AL1630" i="16"/>
  <c r="AH1630" i="16"/>
  <c r="Y1630" i="16"/>
  <c r="X1630" i="16"/>
  <c r="W1630" i="16"/>
  <c r="AG1630" i="16" s="1"/>
  <c r="AN1629" i="16"/>
  <c r="AM1629" i="16"/>
  <c r="AL1629" i="16"/>
  <c r="AJ1629" i="16"/>
  <c r="AF1629" i="16"/>
  <c r="AC1629" i="16"/>
  <c r="Y1629" i="16"/>
  <c r="X1629" i="16"/>
  <c r="W1629" i="16"/>
  <c r="AI1629" i="16" s="1"/>
  <c r="AN1628" i="16"/>
  <c r="AM1628" i="16"/>
  <c r="AL1628" i="16"/>
  <c r="AH1628" i="16"/>
  <c r="Y1628" i="16"/>
  <c r="X1628" i="16"/>
  <c r="W1628" i="16"/>
  <c r="AG1628" i="16" s="1"/>
  <c r="AN1627" i="16"/>
  <c r="AM1627" i="16"/>
  <c r="AL1627" i="16"/>
  <c r="Y1627" i="16"/>
  <c r="X1627" i="16"/>
  <c r="W1627" i="16"/>
  <c r="AN1626" i="16"/>
  <c r="AM1626" i="16"/>
  <c r="AL1626" i="16"/>
  <c r="Y1626" i="16"/>
  <c r="X1626" i="16"/>
  <c r="W1626" i="16"/>
  <c r="AN1625" i="16"/>
  <c r="AM1625" i="16"/>
  <c r="AL1625" i="16"/>
  <c r="AJ1625" i="16"/>
  <c r="AG1625" i="16"/>
  <c r="AF1625" i="16"/>
  <c r="Y1625" i="16"/>
  <c r="X1625" i="16"/>
  <c r="W1625" i="16"/>
  <c r="AI1625" i="16" s="1"/>
  <c r="AN1624" i="16"/>
  <c r="AM1624" i="16"/>
  <c r="AL1624" i="16"/>
  <c r="AH1624" i="16"/>
  <c r="AD1624" i="16"/>
  <c r="Y1624" i="16"/>
  <c r="X1624" i="16"/>
  <c r="W1624" i="16"/>
  <c r="AG1624" i="16" s="1"/>
  <c r="AN1623" i="16"/>
  <c r="AM1623" i="16"/>
  <c r="AL1623" i="16"/>
  <c r="AJ1623" i="16"/>
  <c r="AH1623" i="16"/>
  <c r="AG1623" i="16"/>
  <c r="AF1623" i="16"/>
  <c r="AC1623" i="16"/>
  <c r="Y1623" i="16"/>
  <c r="X1623" i="16"/>
  <c r="W1623" i="16"/>
  <c r="AI1623" i="16" s="1"/>
  <c r="AN1622" i="16"/>
  <c r="AM1622" i="16"/>
  <c r="AL1622" i="16"/>
  <c r="AH1622" i="16"/>
  <c r="Y1622" i="16"/>
  <c r="X1622" i="16"/>
  <c r="W1622" i="16"/>
  <c r="AG1622" i="16" s="1"/>
  <c r="AN1621" i="16"/>
  <c r="AM1621" i="16"/>
  <c r="AL1621" i="16"/>
  <c r="AJ1621" i="16"/>
  <c r="AH1621" i="16"/>
  <c r="AG1621" i="16"/>
  <c r="AF1621" i="16"/>
  <c r="AC1621" i="16"/>
  <c r="Y1621" i="16"/>
  <c r="X1621" i="16"/>
  <c r="W1621" i="16"/>
  <c r="AI1621" i="16" s="1"/>
  <c r="AN1620" i="16"/>
  <c r="AM1620" i="16"/>
  <c r="AL1620" i="16"/>
  <c r="AH1620" i="16"/>
  <c r="Y1620" i="16"/>
  <c r="X1620" i="16"/>
  <c r="W1620" i="16"/>
  <c r="AG1620" i="16" s="1"/>
  <c r="AN1619" i="16"/>
  <c r="AM1619" i="16"/>
  <c r="AL1619" i="16"/>
  <c r="AJ1619" i="16"/>
  <c r="AH1619" i="16"/>
  <c r="AG1619" i="16"/>
  <c r="AF1619" i="16"/>
  <c r="AC1619" i="16"/>
  <c r="Y1619" i="16"/>
  <c r="X1619" i="16"/>
  <c r="W1619" i="16"/>
  <c r="AI1619" i="16" s="1"/>
  <c r="AN1618" i="16"/>
  <c r="AM1618" i="16"/>
  <c r="AL1618" i="16"/>
  <c r="AH1618" i="16"/>
  <c r="Y1618" i="16"/>
  <c r="X1618" i="16"/>
  <c r="W1618" i="16"/>
  <c r="AG1618" i="16" s="1"/>
  <c r="AN1617" i="16"/>
  <c r="AM1617" i="16"/>
  <c r="AL1617" i="16"/>
  <c r="AJ1617" i="16"/>
  <c r="AH1617" i="16"/>
  <c r="AG1617" i="16"/>
  <c r="AF1617" i="16"/>
  <c r="AC1617" i="16"/>
  <c r="Y1617" i="16"/>
  <c r="X1617" i="16"/>
  <c r="W1617" i="16"/>
  <c r="AI1617" i="16" s="1"/>
  <c r="AN1616" i="16"/>
  <c r="AM1616" i="16"/>
  <c r="AL1616" i="16"/>
  <c r="AH1616" i="16"/>
  <c r="Y1616" i="16"/>
  <c r="X1616" i="16"/>
  <c r="W1616" i="16"/>
  <c r="AG1616" i="16" s="1"/>
  <c r="AN1615" i="16"/>
  <c r="AM1615" i="16"/>
  <c r="AL1615" i="16"/>
  <c r="AJ1615" i="16"/>
  <c r="AH1615" i="16"/>
  <c r="AG1615" i="16"/>
  <c r="AF1615" i="16"/>
  <c r="AD1615" i="16"/>
  <c r="AC1615" i="16"/>
  <c r="Y1615" i="16"/>
  <c r="X1615" i="16"/>
  <c r="W1615" i="16"/>
  <c r="AN1614" i="16"/>
  <c r="AM1614" i="16"/>
  <c r="AL1614" i="16"/>
  <c r="AH1614" i="16"/>
  <c r="AD1614" i="16"/>
  <c r="Y1614" i="16"/>
  <c r="X1614" i="16"/>
  <c r="W1614" i="16"/>
  <c r="AG1614" i="16" s="1"/>
  <c r="AN1613" i="16"/>
  <c r="AM1613" i="16"/>
  <c r="AL1613" i="16"/>
  <c r="AJ1613" i="16"/>
  <c r="AH1613" i="16"/>
  <c r="AG1613" i="16"/>
  <c r="AF1613" i="16"/>
  <c r="AD1613" i="16"/>
  <c r="AC1613" i="16"/>
  <c r="Y1613" i="16"/>
  <c r="X1613" i="16"/>
  <c r="W1613" i="16"/>
  <c r="AN1612" i="16"/>
  <c r="AM1612" i="16"/>
  <c r="AL1612" i="16"/>
  <c r="AH1612" i="16"/>
  <c r="Y1612" i="16"/>
  <c r="X1612" i="16"/>
  <c r="W1612" i="16"/>
  <c r="AG1612" i="16" s="1"/>
  <c r="AN1611" i="16"/>
  <c r="AM1611" i="16"/>
  <c r="AL1611" i="16"/>
  <c r="AJ1611" i="16"/>
  <c r="AH1611" i="16"/>
  <c r="AG1611" i="16"/>
  <c r="AF1611" i="16"/>
  <c r="AC1611" i="16"/>
  <c r="Y1611" i="16"/>
  <c r="X1611" i="16"/>
  <c r="W1611" i="16"/>
  <c r="AI1611" i="16" s="1"/>
  <c r="AN1610" i="16"/>
  <c r="AM1610" i="16"/>
  <c r="AL1610" i="16"/>
  <c r="AH1610" i="16"/>
  <c r="AD1610" i="16"/>
  <c r="Y1610" i="16"/>
  <c r="X1610" i="16"/>
  <c r="W1610" i="16"/>
  <c r="AN1609" i="16"/>
  <c r="AM1609" i="16"/>
  <c r="AL1609" i="16"/>
  <c r="AJ1609" i="16"/>
  <c r="AH1609" i="16"/>
  <c r="AG1609" i="16"/>
  <c r="AF1609" i="16"/>
  <c r="AC1609" i="16"/>
  <c r="Y1609" i="16"/>
  <c r="X1609" i="16"/>
  <c r="W1609" i="16"/>
  <c r="AI1609" i="16" s="1"/>
  <c r="AN1608" i="16"/>
  <c r="AM1608" i="16"/>
  <c r="AL1608" i="16"/>
  <c r="AJ1608" i="16"/>
  <c r="AH1608" i="16"/>
  <c r="AF1608" i="16"/>
  <c r="Y1608" i="16"/>
  <c r="X1608" i="16"/>
  <c r="W1608" i="16"/>
  <c r="AG1608" i="16" s="1"/>
  <c r="AN1607" i="16"/>
  <c r="AM1607" i="16"/>
  <c r="AL1607" i="16"/>
  <c r="AJ1607" i="16"/>
  <c r="AH1607" i="16"/>
  <c r="AG1607" i="16"/>
  <c r="AF1607" i="16"/>
  <c r="AC1607" i="16"/>
  <c r="Y1607" i="16"/>
  <c r="X1607" i="16"/>
  <c r="W1607" i="16"/>
  <c r="AI1607" i="16" s="1"/>
  <c r="AN1606" i="16"/>
  <c r="AM1606" i="16"/>
  <c r="AL1606" i="16"/>
  <c r="AJ1606" i="16"/>
  <c r="AI1606" i="16"/>
  <c r="AH1606" i="16"/>
  <c r="AF1606" i="16"/>
  <c r="AE1606" i="16"/>
  <c r="X1606" i="16"/>
  <c r="AA1606" i="16" s="1"/>
  <c r="W1606" i="16"/>
  <c r="AG1606" i="16" s="1"/>
  <c r="AN1605" i="16"/>
  <c r="AM1605" i="16"/>
  <c r="AL1605" i="16"/>
  <c r="AJ1605" i="16"/>
  <c r="AH1605" i="16"/>
  <c r="AF1605" i="16"/>
  <c r="Y1605" i="16"/>
  <c r="Z1605" i="16" s="1"/>
  <c r="X1605" i="16"/>
  <c r="W1605" i="16"/>
  <c r="AG1605" i="16" s="1"/>
  <c r="AN1604" i="16"/>
  <c r="AM1604" i="16"/>
  <c r="AL1604" i="16"/>
  <c r="Y1604" i="16"/>
  <c r="X1604" i="16"/>
  <c r="W1604" i="16"/>
  <c r="AN1603" i="16"/>
  <c r="AM1603" i="16"/>
  <c r="AL1603" i="16"/>
  <c r="Y1603" i="16"/>
  <c r="Z1603" i="16" s="1"/>
  <c r="X1603" i="16"/>
  <c r="W1603" i="16"/>
  <c r="AN1602" i="16"/>
  <c r="AM1602" i="16"/>
  <c r="AL1602" i="16"/>
  <c r="AJ1602" i="16"/>
  <c r="AH1602" i="16"/>
  <c r="AG1602" i="16"/>
  <c r="AF1602" i="16"/>
  <c r="AD1602" i="16"/>
  <c r="Y1602" i="16"/>
  <c r="X1602" i="16"/>
  <c r="W1602" i="16"/>
  <c r="AI1602" i="16" s="1"/>
  <c r="AN1601" i="16"/>
  <c r="AM1601" i="16"/>
  <c r="AL1601" i="16"/>
  <c r="AI1601" i="16"/>
  <c r="AH1601" i="16"/>
  <c r="AE1601" i="16"/>
  <c r="AD1601" i="16"/>
  <c r="Y1601" i="16"/>
  <c r="X1601" i="16"/>
  <c r="W1601" i="16"/>
  <c r="AN1600" i="16"/>
  <c r="AM1600" i="16"/>
  <c r="AL1600" i="16"/>
  <c r="AJ1600" i="16"/>
  <c r="AH1600" i="16"/>
  <c r="AG1600" i="16"/>
  <c r="AF1600" i="16"/>
  <c r="AC1600" i="16"/>
  <c r="Y1600" i="16"/>
  <c r="X1600" i="16"/>
  <c r="W1600" i="16"/>
  <c r="AI1600" i="16" s="1"/>
  <c r="AN1599" i="16"/>
  <c r="AM1599" i="16"/>
  <c r="AL1599" i="16"/>
  <c r="Y1599" i="16"/>
  <c r="X1599" i="16"/>
  <c r="W1599" i="16"/>
  <c r="AN1598" i="16"/>
  <c r="AM1598" i="16"/>
  <c r="AL1598" i="16"/>
  <c r="AJ1598" i="16"/>
  <c r="AH1598" i="16"/>
  <c r="AG1598" i="16"/>
  <c r="AF1598" i="16"/>
  <c r="AD1598" i="16"/>
  <c r="AC1598" i="16"/>
  <c r="Y1598" i="16"/>
  <c r="X1598" i="16"/>
  <c r="W1598" i="16"/>
  <c r="AN1597" i="16"/>
  <c r="AM1597" i="16"/>
  <c r="AL1597" i="16"/>
  <c r="AJ1597" i="16"/>
  <c r="AI1597" i="16"/>
  <c r="AH1597" i="16"/>
  <c r="AD1597" i="16"/>
  <c r="Y1597" i="16"/>
  <c r="X1597" i="16"/>
  <c r="W1597" i="16"/>
  <c r="AN1596" i="16"/>
  <c r="AM1596" i="16"/>
  <c r="AL1596" i="16"/>
  <c r="AJ1596" i="16"/>
  <c r="AH1596" i="16"/>
  <c r="AG1596" i="16"/>
  <c r="AF1596" i="16"/>
  <c r="AD1596" i="16"/>
  <c r="AC1596" i="16"/>
  <c r="Y1596" i="16"/>
  <c r="X1596" i="16"/>
  <c r="W1596" i="16"/>
  <c r="AN1595" i="16"/>
  <c r="AM1595" i="16"/>
  <c r="AL1595" i="16"/>
  <c r="Y1595" i="16"/>
  <c r="X1595" i="16"/>
  <c r="W1595" i="16"/>
  <c r="AN1594" i="16"/>
  <c r="AM1594" i="16"/>
  <c r="AL1594" i="16"/>
  <c r="AJ1594" i="16"/>
  <c r="AH1594" i="16"/>
  <c r="AG1594" i="16"/>
  <c r="AF1594" i="16"/>
  <c r="AC1594" i="16"/>
  <c r="Y1594" i="16"/>
  <c r="X1594" i="16"/>
  <c r="W1594" i="16"/>
  <c r="AI1594" i="16" s="1"/>
  <c r="AN1593" i="16"/>
  <c r="AM1593" i="16"/>
  <c r="AL1593" i="16"/>
  <c r="AJ1593" i="16"/>
  <c r="AI1593" i="16"/>
  <c r="AH1593" i="16"/>
  <c r="AE1593" i="16"/>
  <c r="Y1593" i="16"/>
  <c r="X1593" i="16"/>
  <c r="W1593" i="16"/>
  <c r="AN1592" i="16"/>
  <c r="AM1592" i="16"/>
  <c r="AL1592" i="16"/>
  <c r="Y1592" i="16"/>
  <c r="Z1592" i="16" s="1"/>
  <c r="X1592" i="16"/>
  <c r="W1592" i="16"/>
  <c r="AN1591" i="16"/>
  <c r="AM1591" i="16"/>
  <c r="AL1591" i="16"/>
  <c r="Y1591" i="16"/>
  <c r="X1591" i="16"/>
  <c r="W1591" i="16"/>
  <c r="AN1590" i="16"/>
  <c r="AM1590" i="16"/>
  <c r="AL1590" i="16"/>
  <c r="AH1590" i="16"/>
  <c r="AG1590" i="16"/>
  <c r="AF1590" i="16"/>
  <c r="AD1590" i="16"/>
  <c r="AC1590" i="16"/>
  <c r="Y1590" i="16"/>
  <c r="X1590" i="16"/>
  <c r="W1590" i="16"/>
  <c r="AI1590" i="16" s="1"/>
  <c r="AN1589" i="16"/>
  <c r="AM1589" i="16"/>
  <c r="AL1589" i="16"/>
  <c r="AJ1589" i="16"/>
  <c r="AI1589" i="16"/>
  <c r="AH1589" i="16"/>
  <c r="AE1589" i="16"/>
  <c r="Y1589" i="16"/>
  <c r="X1589" i="16"/>
  <c r="W1589" i="16"/>
  <c r="AN1588" i="16"/>
  <c r="AM1588" i="16"/>
  <c r="AL1588" i="16"/>
  <c r="AJ1588" i="16"/>
  <c r="AH1588" i="16"/>
  <c r="AG1588" i="16"/>
  <c r="AF1588" i="16"/>
  <c r="AC1588" i="16"/>
  <c r="Y1588" i="16"/>
  <c r="X1588" i="16"/>
  <c r="W1588" i="16"/>
  <c r="AI1588" i="16" s="1"/>
  <c r="AN1587" i="16"/>
  <c r="AM1587" i="16"/>
  <c r="AL1587" i="16"/>
  <c r="Y1587" i="16"/>
  <c r="X1587" i="16"/>
  <c r="W1587" i="16"/>
  <c r="AN1586" i="16"/>
  <c r="AM1586" i="16"/>
  <c r="AL1586" i="16"/>
  <c r="AJ1586" i="16"/>
  <c r="AH1586" i="16"/>
  <c r="AG1586" i="16"/>
  <c r="AF1586" i="16"/>
  <c r="AC1586" i="16"/>
  <c r="Y1586" i="16"/>
  <c r="X1586" i="16"/>
  <c r="W1586" i="16"/>
  <c r="AI1586" i="16" s="1"/>
  <c r="AN1585" i="16"/>
  <c r="AM1585" i="16"/>
  <c r="AL1585" i="16"/>
  <c r="AJ1585" i="16"/>
  <c r="AH1585" i="16"/>
  <c r="AE1585" i="16"/>
  <c r="AD1585" i="16"/>
  <c r="Y1585" i="16"/>
  <c r="X1585" i="16"/>
  <c r="W1585" i="16"/>
  <c r="AN1584" i="16"/>
  <c r="AM1584" i="16"/>
  <c r="AL1584" i="16"/>
  <c r="AJ1584" i="16"/>
  <c r="AH1584" i="16"/>
  <c r="AG1584" i="16"/>
  <c r="AF1584" i="16"/>
  <c r="AD1584" i="16"/>
  <c r="AC1584" i="16"/>
  <c r="Y1584" i="16"/>
  <c r="X1584" i="16"/>
  <c r="W1584" i="16"/>
  <c r="AI1584" i="16" s="1"/>
  <c r="AN1583" i="16"/>
  <c r="AM1583" i="16"/>
  <c r="AL1583" i="16"/>
  <c r="Y1583" i="16"/>
  <c r="X1583" i="16"/>
  <c r="W1583" i="16"/>
  <c r="AN1582" i="16"/>
  <c r="AM1582" i="16"/>
  <c r="AL1582" i="16"/>
  <c r="AJ1582" i="16"/>
  <c r="AH1582" i="16"/>
  <c r="AG1582" i="16"/>
  <c r="AF1582" i="16"/>
  <c r="AC1582" i="16"/>
  <c r="Y1582" i="16"/>
  <c r="X1582" i="16"/>
  <c r="W1582" i="16"/>
  <c r="AI1582" i="16" s="1"/>
  <c r="AN1581" i="16"/>
  <c r="AM1581" i="16"/>
  <c r="AL1581" i="16"/>
  <c r="AJ1581" i="16"/>
  <c r="AI1581" i="16"/>
  <c r="AH1581" i="16"/>
  <c r="AE1581" i="16"/>
  <c r="AD1581" i="16"/>
  <c r="Y1581" i="16"/>
  <c r="X1581" i="16"/>
  <c r="W1581" i="16"/>
  <c r="AN1580" i="16"/>
  <c r="AM1580" i="16"/>
  <c r="AL1580" i="16"/>
  <c r="AJ1580" i="16"/>
  <c r="AH1580" i="16"/>
  <c r="AG1580" i="16"/>
  <c r="AF1580" i="16"/>
  <c r="AC1580" i="16"/>
  <c r="Y1580" i="16"/>
  <c r="X1580" i="16"/>
  <c r="W1580" i="16"/>
  <c r="AI1580" i="16" s="1"/>
  <c r="AN1579" i="16"/>
  <c r="AM1579" i="16"/>
  <c r="AL1579" i="16"/>
  <c r="Y1579" i="16"/>
  <c r="Z1579" i="16" s="1"/>
  <c r="X1579" i="16"/>
  <c r="W1579" i="16"/>
  <c r="AN1578" i="16"/>
  <c r="AM1578" i="16"/>
  <c r="AL1578" i="16"/>
  <c r="AJ1578" i="16"/>
  <c r="AH1578" i="16"/>
  <c r="AG1578" i="16"/>
  <c r="AF1578" i="16"/>
  <c r="AD1578" i="16"/>
  <c r="Y1578" i="16"/>
  <c r="X1578" i="16"/>
  <c r="W1578" i="16"/>
  <c r="AI1578" i="16" s="1"/>
  <c r="AN1577" i="16"/>
  <c r="AM1577" i="16"/>
  <c r="AL1577" i="16"/>
  <c r="AI1577" i="16"/>
  <c r="AH1577" i="16"/>
  <c r="AE1577" i="16"/>
  <c r="AD1577" i="16"/>
  <c r="Y1577" i="16"/>
  <c r="X1577" i="16"/>
  <c r="W1577" i="16"/>
  <c r="AN1576" i="16"/>
  <c r="AM1576" i="16"/>
  <c r="AL1576" i="16"/>
  <c r="AJ1576" i="16"/>
  <c r="AH1576" i="16"/>
  <c r="AG1576" i="16"/>
  <c r="AF1576" i="16"/>
  <c r="AC1576" i="16"/>
  <c r="Y1576" i="16"/>
  <c r="X1576" i="16"/>
  <c r="W1576" i="16"/>
  <c r="AI1576" i="16" s="1"/>
  <c r="AN1575" i="16"/>
  <c r="AM1575" i="16"/>
  <c r="AL1575" i="16"/>
  <c r="Y1575" i="16"/>
  <c r="X1575" i="16"/>
  <c r="W1575" i="16"/>
  <c r="AN1574" i="16"/>
  <c r="AM1574" i="16"/>
  <c r="AL1574" i="16"/>
  <c r="AJ1574" i="16"/>
  <c r="AH1574" i="16"/>
  <c r="AG1574" i="16"/>
  <c r="AF1574" i="16"/>
  <c r="AC1574" i="16"/>
  <c r="Y1574" i="16"/>
  <c r="X1574" i="16"/>
  <c r="W1574" i="16"/>
  <c r="AI1574" i="16" s="1"/>
  <c r="AN1573" i="16"/>
  <c r="AM1573" i="16"/>
  <c r="AL1573" i="16"/>
  <c r="AJ1573" i="16"/>
  <c r="AH1573" i="16"/>
  <c r="AE1573" i="16"/>
  <c r="AD1573" i="16"/>
  <c r="Y1573" i="16"/>
  <c r="X1573" i="16"/>
  <c r="W1573" i="16"/>
  <c r="AN1572" i="16"/>
  <c r="AM1572" i="16"/>
  <c r="AL1572" i="16"/>
  <c r="AJ1572" i="16"/>
  <c r="AH1572" i="16"/>
  <c r="AG1572" i="16"/>
  <c r="AF1572" i="16"/>
  <c r="AD1572" i="16"/>
  <c r="AC1572" i="16"/>
  <c r="Y1572" i="16"/>
  <c r="X1572" i="16"/>
  <c r="W1572" i="16"/>
  <c r="AI1572" i="16" s="1"/>
  <c r="AN1571" i="16"/>
  <c r="AM1571" i="16"/>
  <c r="AL1571" i="16"/>
  <c r="Y1571" i="16"/>
  <c r="X1571" i="16"/>
  <c r="W1571" i="16"/>
  <c r="AN1570" i="16"/>
  <c r="AM1570" i="16"/>
  <c r="AL1570" i="16"/>
  <c r="AJ1570" i="16"/>
  <c r="AH1570" i="16"/>
  <c r="AF1570" i="16"/>
  <c r="AD1570" i="16"/>
  <c r="AC1570" i="16"/>
  <c r="Y1570" i="16"/>
  <c r="X1570" i="16"/>
  <c r="W1570" i="16"/>
  <c r="AI1570" i="16" s="1"/>
  <c r="AN1569" i="16"/>
  <c r="AM1569" i="16"/>
  <c r="AL1569" i="16"/>
  <c r="AJ1569" i="16"/>
  <c r="AI1569" i="16"/>
  <c r="AH1569" i="16"/>
  <c r="AE1569" i="16"/>
  <c r="Y1569" i="16"/>
  <c r="X1569" i="16"/>
  <c r="W1569" i="16"/>
  <c r="AN1568" i="16"/>
  <c r="AM1568" i="16"/>
  <c r="AL1568" i="16"/>
  <c r="AJ1568" i="16"/>
  <c r="AH1568" i="16"/>
  <c r="AG1568" i="16"/>
  <c r="AF1568" i="16"/>
  <c r="AC1568" i="16"/>
  <c r="Y1568" i="16"/>
  <c r="X1568" i="16"/>
  <c r="W1568" i="16"/>
  <c r="AI1568" i="16" s="1"/>
  <c r="AN1567" i="16"/>
  <c r="AM1567" i="16"/>
  <c r="AL1567" i="16"/>
  <c r="Y1567" i="16"/>
  <c r="Z1567" i="16" s="1"/>
  <c r="X1567" i="16"/>
  <c r="W1567" i="16"/>
  <c r="AN1566" i="16"/>
  <c r="AM1566" i="16"/>
  <c r="AL1566" i="16"/>
  <c r="AJ1566" i="16"/>
  <c r="AH1566" i="16"/>
  <c r="AG1566" i="16"/>
  <c r="AF1566" i="16"/>
  <c r="AD1566" i="16"/>
  <c r="Y1566" i="16"/>
  <c r="X1566" i="16"/>
  <c r="W1566" i="16"/>
  <c r="AI1566" i="16" s="1"/>
  <c r="AN1565" i="16"/>
  <c r="AM1565" i="16"/>
  <c r="AL1565" i="16"/>
  <c r="AI1565" i="16"/>
  <c r="AH1565" i="16"/>
  <c r="AE1565" i="16"/>
  <c r="AD1565" i="16"/>
  <c r="Y1565" i="16"/>
  <c r="X1565" i="16"/>
  <c r="W1565" i="16"/>
  <c r="AN1564" i="16"/>
  <c r="AM1564" i="16"/>
  <c r="AL1564" i="16"/>
  <c r="AJ1564" i="16"/>
  <c r="AH1564" i="16"/>
  <c r="AG1564" i="16"/>
  <c r="AF1564" i="16"/>
  <c r="AC1564" i="16"/>
  <c r="Y1564" i="16"/>
  <c r="X1564" i="16"/>
  <c r="W1564" i="16"/>
  <c r="AI1564" i="16" s="1"/>
  <c r="AN1563" i="16"/>
  <c r="AM1563" i="16"/>
  <c r="AL1563" i="16"/>
  <c r="AJ1563" i="16"/>
  <c r="AF1563" i="16"/>
  <c r="AE1563" i="16"/>
  <c r="Y1563" i="16"/>
  <c r="X1563" i="16"/>
  <c r="W1563" i="16"/>
  <c r="AN1562" i="16"/>
  <c r="AM1562" i="16"/>
  <c r="AL1562" i="16"/>
  <c r="AJ1562" i="16"/>
  <c r="AH1562" i="16"/>
  <c r="AG1562" i="16"/>
  <c r="AF1562" i="16"/>
  <c r="AC1562" i="16"/>
  <c r="Y1562" i="16"/>
  <c r="Z1562" i="16" s="1"/>
  <c r="X1562" i="16"/>
  <c r="W1562" i="16"/>
  <c r="AI1562" i="16" s="1"/>
  <c r="AN1561" i="16"/>
  <c r="AM1561" i="16"/>
  <c r="AL1561" i="16"/>
  <c r="AJ1561" i="16"/>
  <c r="AI1561" i="16"/>
  <c r="AH1561" i="16"/>
  <c r="AE1561" i="16"/>
  <c r="Y1561" i="16"/>
  <c r="X1561" i="16"/>
  <c r="W1561" i="16"/>
  <c r="AN1560" i="16"/>
  <c r="AM1560" i="16"/>
  <c r="AL1560" i="16"/>
  <c r="AJ1560" i="16"/>
  <c r="AH1560" i="16"/>
  <c r="AG1560" i="16"/>
  <c r="AF1560" i="16"/>
  <c r="AD1560" i="16"/>
  <c r="AC1560" i="16"/>
  <c r="Y1560" i="16"/>
  <c r="X1560" i="16"/>
  <c r="W1560" i="16"/>
  <c r="AN1559" i="16"/>
  <c r="AM1559" i="16"/>
  <c r="AL1559" i="16"/>
  <c r="AJ1559" i="16"/>
  <c r="Y1559" i="16"/>
  <c r="X1559" i="16"/>
  <c r="W1559" i="16"/>
  <c r="AF1559" i="16" s="1"/>
  <c r="AN1558" i="16"/>
  <c r="AM1558" i="16"/>
  <c r="AL1558" i="16"/>
  <c r="AJ1558" i="16"/>
  <c r="AH1558" i="16"/>
  <c r="AG1558" i="16"/>
  <c r="AF1558" i="16"/>
  <c r="AC1558" i="16"/>
  <c r="Y1558" i="16"/>
  <c r="Z1558" i="16" s="1"/>
  <c r="X1558" i="16"/>
  <c r="W1558" i="16"/>
  <c r="AI1558" i="16" s="1"/>
  <c r="AN1557" i="16"/>
  <c r="AM1557" i="16"/>
  <c r="AL1557" i="16"/>
  <c r="AJ1557" i="16"/>
  <c r="AI1557" i="16"/>
  <c r="AH1557" i="16"/>
  <c r="AE1557" i="16"/>
  <c r="Y1557" i="16"/>
  <c r="X1557" i="16"/>
  <c r="W1557" i="16"/>
  <c r="AN1556" i="16"/>
  <c r="AM1556" i="16"/>
  <c r="AL1556" i="16"/>
  <c r="AJ1556" i="16"/>
  <c r="AH1556" i="16"/>
  <c r="AG1556" i="16"/>
  <c r="AF1556" i="16"/>
  <c r="AC1556" i="16"/>
  <c r="Y1556" i="16"/>
  <c r="X1556" i="16"/>
  <c r="W1556" i="16"/>
  <c r="AI1556" i="16" s="1"/>
  <c r="AN1555" i="16"/>
  <c r="AM1555" i="16"/>
  <c r="AL1555" i="16"/>
  <c r="Y1555" i="16"/>
  <c r="X1555" i="16"/>
  <c r="W1555" i="16"/>
  <c r="AJ1555" i="16" s="1"/>
  <c r="AN1554" i="16"/>
  <c r="AM1554" i="16"/>
  <c r="AL1554" i="16"/>
  <c r="Y1554" i="16"/>
  <c r="Z1554" i="16" s="1"/>
  <c r="X1554" i="16"/>
  <c r="W1554" i="16"/>
  <c r="AN1553" i="16"/>
  <c r="AM1553" i="16"/>
  <c r="AL1553" i="16"/>
  <c r="Y1553" i="16"/>
  <c r="X1553" i="16"/>
  <c r="W1553" i="16"/>
  <c r="AN1552" i="16"/>
  <c r="AM1552" i="16"/>
  <c r="AL1552" i="16"/>
  <c r="AH1552" i="16"/>
  <c r="AG1552" i="16"/>
  <c r="X1552" i="16"/>
  <c r="AA1552" i="16" s="1"/>
  <c r="W1552" i="16"/>
  <c r="AN1551" i="16"/>
  <c r="AM1551" i="16"/>
  <c r="AL1551" i="16"/>
  <c r="AD1551" i="16"/>
  <c r="X1551" i="16"/>
  <c r="AA1551" i="16" s="1"/>
  <c r="W1551" i="16"/>
  <c r="AC1551" i="16" s="1"/>
  <c r="AN1550" i="16"/>
  <c r="AM1550" i="16"/>
  <c r="AL1550" i="16"/>
  <c r="AJ1550" i="16"/>
  <c r="AH1550" i="16"/>
  <c r="AG1550" i="16"/>
  <c r="AF1550" i="16"/>
  <c r="AD1550" i="16"/>
  <c r="Y1550" i="16"/>
  <c r="X1550" i="16"/>
  <c r="W1550" i="16"/>
  <c r="AI1550" i="16" s="1"/>
  <c r="AN1549" i="16"/>
  <c r="AM1549" i="16"/>
  <c r="AL1549" i="16"/>
  <c r="AJ1549" i="16"/>
  <c r="AH1549" i="16"/>
  <c r="AE1549" i="16"/>
  <c r="AD1549" i="16"/>
  <c r="Y1549" i="16"/>
  <c r="X1549" i="16"/>
  <c r="W1549" i="16"/>
  <c r="AN1548" i="16"/>
  <c r="AM1548" i="16"/>
  <c r="AL1548" i="16"/>
  <c r="AH1548" i="16"/>
  <c r="Y1548" i="16"/>
  <c r="X1548" i="16"/>
  <c r="W1548" i="16"/>
  <c r="AG1548" i="16" s="1"/>
  <c r="AN1547" i="16"/>
  <c r="AM1547" i="16"/>
  <c r="AL1547" i="16"/>
  <c r="AH1547" i="16"/>
  <c r="AD1547" i="16"/>
  <c r="AC1547" i="16"/>
  <c r="Y1547" i="16"/>
  <c r="X1547" i="16"/>
  <c r="W1547" i="16"/>
  <c r="AJ1547" i="16" s="1"/>
  <c r="AN1546" i="16"/>
  <c r="AM1546" i="16"/>
  <c r="AL1546" i="16"/>
  <c r="Y1546" i="16"/>
  <c r="X1546" i="16"/>
  <c r="W1546" i="16"/>
  <c r="AN1545" i="16"/>
  <c r="AM1545" i="16"/>
  <c r="AL1545" i="16"/>
  <c r="AG1545" i="16"/>
  <c r="AD1545" i="16"/>
  <c r="AC1545" i="16"/>
  <c r="Y1545" i="16"/>
  <c r="X1545" i="16"/>
  <c r="W1545" i="16"/>
  <c r="AJ1545" i="16" s="1"/>
  <c r="AN1544" i="16"/>
  <c r="AM1544" i="16"/>
  <c r="AL1544" i="16"/>
  <c r="AI1544" i="16"/>
  <c r="AF1544" i="16"/>
  <c r="Y1544" i="16"/>
  <c r="X1544" i="16"/>
  <c r="W1544" i="16"/>
  <c r="AE1544" i="16" s="1"/>
  <c r="AN1543" i="16"/>
  <c r="AM1543" i="16"/>
  <c r="AL1543" i="16"/>
  <c r="AH1543" i="16"/>
  <c r="AD1543" i="16"/>
  <c r="AC1543" i="16"/>
  <c r="Y1543" i="16"/>
  <c r="X1543" i="16"/>
  <c r="W1543" i="16"/>
  <c r="AJ1543" i="16" s="1"/>
  <c r="AN1542" i="16"/>
  <c r="AM1542" i="16"/>
  <c r="AL1542" i="16"/>
  <c r="Y1542" i="16"/>
  <c r="X1542" i="16"/>
  <c r="W1542" i="16"/>
  <c r="AN1541" i="16"/>
  <c r="AM1541" i="16"/>
  <c r="AL1541" i="16"/>
  <c r="Y1541" i="16"/>
  <c r="X1541" i="16"/>
  <c r="W1541" i="16"/>
  <c r="AN1540" i="16"/>
  <c r="AM1540" i="16"/>
  <c r="AL1540" i="16"/>
  <c r="Y1540" i="16"/>
  <c r="X1540" i="16"/>
  <c r="W1540" i="16"/>
  <c r="AN1539" i="16"/>
  <c r="AM1539" i="16"/>
  <c r="AL1539" i="16"/>
  <c r="Y1539" i="16"/>
  <c r="X1539" i="16"/>
  <c r="W1539" i="16"/>
  <c r="AN1538" i="16"/>
  <c r="AM1538" i="16"/>
  <c r="AL1538" i="16"/>
  <c r="Y1538" i="16"/>
  <c r="X1538" i="16"/>
  <c r="W1538" i="16"/>
  <c r="AN1537" i="16"/>
  <c r="AM1537" i="16"/>
  <c r="AL1537" i="16"/>
  <c r="Y1537" i="16"/>
  <c r="X1537" i="16"/>
  <c r="W1537" i="16"/>
  <c r="AN1536" i="16"/>
  <c r="AM1536" i="16"/>
  <c r="AL1536" i="16"/>
  <c r="Y1536" i="16"/>
  <c r="X1536" i="16"/>
  <c r="W1536" i="16"/>
  <c r="AN1535" i="16"/>
  <c r="AM1535" i="16"/>
  <c r="AL1535" i="16"/>
  <c r="AG1535" i="16"/>
  <c r="AD1535" i="16"/>
  <c r="AC1535" i="16"/>
  <c r="Y1535" i="16"/>
  <c r="X1535" i="16"/>
  <c r="W1535" i="16"/>
  <c r="AJ1535" i="16" s="1"/>
  <c r="AN1534" i="16"/>
  <c r="AM1534" i="16"/>
  <c r="AL1534" i="16"/>
  <c r="Y1534" i="16"/>
  <c r="X1534" i="16"/>
  <c r="W1534" i="16"/>
  <c r="AN1533" i="16"/>
  <c r="AM1533" i="16"/>
  <c r="AL1533" i="16"/>
  <c r="AH1533" i="16"/>
  <c r="AG1533" i="16"/>
  <c r="AD1533" i="16"/>
  <c r="Y1533" i="16"/>
  <c r="X1533" i="16"/>
  <c r="W1533" i="16"/>
  <c r="AJ1533" i="16" s="1"/>
  <c r="AN1532" i="16"/>
  <c r="AM1532" i="16"/>
  <c r="AL1532" i="16"/>
  <c r="AI1532" i="16"/>
  <c r="AF1532" i="16"/>
  <c r="AE1532" i="16"/>
  <c r="Y1532" i="16"/>
  <c r="X1532" i="16"/>
  <c r="W1532" i="16"/>
  <c r="AN1531" i="16"/>
  <c r="AM1531" i="16"/>
  <c r="AL1531" i="16"/>
  <c r="AH1531" i="16"/>
  <c r="AG1531" i="16"/>
  <c r="AD1531" i="16"/>
  <c r="AC1531" i="16"/>
  <c r="Y1531" i="16"/>
  <c r="X1531" i="16"/>
  <c r="W1531" i="16"/>
  <c r="AJ1531" i="16" s="1"/>
  <c r="AN1530" i="16"/>
  <c r="AM1530" i="16"/>
  <c r="AL1530" i="16"/>
  <c r="AI1530" i="16"/>
  <c r="AE1530" i="16"/>
  <c r="Y1530" i="16"/>
  <c r="X1530" i="16"/>
  <c r="W1530" i="16"/>
  <c r="AN1529" i="16"/>
  <c r="AM1529" i="16"/>
  <c r="AL1529" i="16"/>
  <c r="AH1529" i="16"/>
  <c r="AD1529" i="16"/>
  <c r="AC1529" i="16"/>
  <c r="Y1529" i="16"/>
  <c r="X1529" i="16"/>
  <c r="W1529" i="16"/>
  <c r="AJ1529" i="16" s="1"/>
  <c r="AN1528" i="16"/>
  <c r="AM1528" i="16"/>
  <c r="AL1528" i="16"/>
  <c r="Y1528" i="16"/>
  <c r="X1528" i="16"/>
  <c r="W1528" i="16"/>
  <c r="AN1527" i="16"/>
  <c r="AM1527" i="16"/>
  <c r="AL1527" i="16"/>
  <c r="Y1527" i="16"/>
  <c r="X1527" i="16"/>
  <c r="W1527" i="16"/>
  <c r="AG1527" i="16" s="1"/>
  <c r="AN1526" i="16"/>
  <c r="AM1526" i="16"/>
  <c r="AL1526" i="16"/>
  <c r="AG1526" i="16"/>
  <c r="AF1526" i="16"/>
  <c r="Y1526" i="16"/>
  <c r="X1526" i="16"/>
  <c r="W1526" i="16"/>
  <c r="AN1525" i="16"/>
  <c r="AM1525" i="16"/>
  <c r="AL1525" i="16"/>
  <c r="AI1525" i="16"/>
  <c r="AE1525" i="16"/>
  <c r="AD1525" i="16"/>
  <c r="Y1525" i="16"/>
  <c r="X1525" i="16"/>
  <c r="W1525" i="16"/>
  <c r="AN1524" i="16"/>
  <c r="AM1524" i="16"/>
  <c r="AL1524" i="16"/>
  <c r="Y1524" i="16"/>
  <c r="X1524" i="16"/>
  <c r="W1524" i="16"/>
  <c r="AN1523" i="16"/>
  <c r="AM1523" i="16"/>
  <c r="AL1523" i="16"/>
  <c r="Y1523" i="16"/>
  <c r="X1523" i="16"/>
  <c r="W1523" i="16"/>
  <c r="AN1522" i="16"/>
  <c r="AM1522" i="16"/>
  <c r="AL1522" i="16"/>
  <c r="Y1522" i="16"/>
  <c r="X1522" i="16"/>
  <c r="W1522" i="16"/>
  <c r="AN1521" i="16"/>
  <c r="AM1521" i="16"/>
  <c r="AL1521" i="16"/>
  <c r="Y1521" i="16"/>
  <c r="X1521" i="16"/>
  <c r="W1521" i="16"/>
  <c r="AN1520" i="16"/>
  <c r="AM1520" i="16"/>
  <c r="AL1520" i="16"/>
  <c r="Y1520" i="16"/>
  <c r="X1520" i="16"/>
  <c r="W1520" i="16"/>
  <c r="AN1519" i="16"/>
  <c r="AM1519" i="16"/>
  <c r="AL1519" i="16"/>
  <c r="Y1519" i="16"/>
  <c r="X1519" i="16"/>
  <c r="W1519" i="16"/>
  <c r="AN1518" i="16"/>
  <c r="AM1518" i="16"/>
  <c r="AL1518" i="16"/>
  <c r="Y1518" i="16"/>
  <c r="X1518" i="16"/>
  <c r="W1518" i="16"/>
  <c r="AN1517" i="16"/>
  <c r="AM1517" i="16"/>
  <c r="AL1517" i="16"/>
  <c r="Y1517" i="16"/>
  <c r="X1517" i="16"/>
  <c r="W1517" i="16"/>
  <c r="AN1516" i="16"/>
  <c r="AM1516" i="16"/>
  <c r="AL1516" i="16"/>
  <c r="AJ1516" i="16"/>
  <c r="AE1516" i="16"/>
  <c r="Y1516" i="16"/>
  <c r="X1516" i="16"/>
  <c r="W1516" i="16"/>
  <c r="AN1515" i="16"/>
  <c r="AM1515" i="16"/>
  <c r="AL1515" i="16"/>
  <c r="Y1515" i="16"/>
  <c r="X1515" i="16"/>
  <c r="W1515" i="16"/>
  <c r="AN1514" i="16"/>
  <c r="AM1514" i="16"/>
  <c r="AL1514" i="16"/>
  <c r="AJ1514" i="16"/>
  <c r="AI1514" i="16"/>
  <c r="AH1514" i="16"/>
  <c r="AE1514" i="16"/>
  <c r="AD1514" i="16"/>
  <c r="Y1514" i="16"/>
  <c r="X1514" i="16"/>
  <c r="W1514" i="16"/>
  <c r="AN1513" i="16"/>
  <c r="AM1513" i="16"/>
  <c r="AL1513" i="16"/>
  <c r="AH1513" i="16"/>
  <c r="AG1513" i="16"/>
  <c r="AF1513" i="16"/>
  <c r="AD1513" i="16"/>
  <c r="AC1513" i="16"/>
  <c r="Y1513" i="16"/>
  <c r="X1513" i="16"/>
  <c r="W1513" i="16"/>
  <c r="AI1513" i="16" s="1"/>
  <c r="AN1512" i="16"/>
  <c r="AM1512" i="16"/>
  <c r="AL1512" i="16"/>
  <c r="AJ1512" i="16"/>
  <c r="AE1512" i="16"/>
  <c r="Y1512" i="16"/>
  <c r="X1512" i="16"/>
  <c r="W1512" i="16"/>
  <c r="AN1511" i="16"/>
  <c r="AM1511" i="16"/>
  <c r="AL1511" i="16"/>
  <c r="AJ1511" i="16"/>
  <c r="AH1511" i="16"/>
  <c r="AG1511" i="16"/>
  <c r="AF1511" i="16"/>
  <c r="AD1511" i="16"/>
  <c r="Y1511" i="16"/>
  <c r="X1511" i="16"/>
  <c r="W1511" i="16"/>
  <c r="AI1511" i="16" s="1"/>
  <c r="AN1510" i="16"/>
  <c r="AM1510" i="16"/>
  <c r="AL1510" i="16"/>
  <c r="AJ1510" i="16"/>
  <c r="AH1510" i="16"/>
  <c r="AE1510" i="16"/>
  <c r="AD1510" i="16"/>
  <c r="Y1510" i="16"/>
  <c r="X1510" i="16"/>
  <c r="W1510" i="16"/>
  <c r="AN1509" i="16"/>
  <c r="AM1509" i="16"/>
  <c r="AL1509" i="16"/>
  <c r="AJ1509" i="16"/>
  <c r="AH1509" i="16"/>
  <c r="AG1509" i="16"/>
  <c r="AD1509" i="16"/>
  <c r="AC1509" i="16"/>
  <c r="Y1509" i="16"/>
  <c r="X1509" i="16"/>
  <c r="W1509" i="16"/>
  <c r="AI1509" i="16" s="1"/>
  <c r="AN1508" i="16"/>
  <c r="AM1508" i="16"/>
  <c r="AL1508" i="16"/>
  <c r="Y1508" i="16"/>
  <c r="X1508" i="16"/>
  <c r="W1508" i="16"/>
  <c r="AN1507" i="16"/>
  <c r="AM1507" i="16"/>
  <c r="AL1507" i="16"/>
  <c r="AJ1507" i="16"/>
  <c r="AH1507" i="16"/>
  <c r="AG1507" i="16"/>
  <c r="AF1507" i="16"/>
  <c r="AD1507" i="16"/>
  <c r="Y1507" i="16"/>
  <c r="X1507" i="16"/>
  <c r="W1507" i="16"/>
  <c r="AI1507" i="16" s="1"/>
  <c r="AN1506" i="16"/>
  <c r="AM1506" i="16"/>
  <c r="AL1506" i="16"/>
  <c r="AI1506" i="16"/>
  <c r="AH1506" i="16"/>
  <c r="AE1506" i="16"/>
  <c r="AD1506" i="16"/>
  <c r="Y1506" i="16"/>
  <c r="X1506" i="16"/>
  <c r="W1506" i="16"/>
  <c r="AN1505" i="16"/>
  <c r="AM1505" i="16"/>
  <c r="AL1505" i="16"/>
  <c r="AJ1505" i="16"/>
  <c r="AH1505" i="16"/>
  <c r="AG1505" i="16"/>
  <c r="AF1505" i="16"/>
  <c r="AD1505" i="16"/>
  <c r="AC1505" i="16"/>
  <c r="Y1505" i="16"/>
  <c r="X1505" i="16"/>
  <c r="W1505" i="16"/>
  <c r="AN1504" i="16"/>
  <c r="AM1504" i="16"/>
  <c r="AL1504" i="16"/>
  <c r="AJ1504" i="16"/>
  <c r="AH1504" i="16"/>
  <c r="AE1504" i="16"/>
  <c r="Y1504" i="16"/>
  <c r="X1504" i="16"/>
  <c r="W1504" i="16"/>
  <c r="AN1503" i="16"/>
  <c r="AM1503" i="16"/>
  <c r="AL1503" i="16"/>
  <c r="Y1503" i="16"/>
  <c r="X1503" i="16"/>
  <c r="W1503" i="16"/>
  <c r="AN1502" i="16"/>
  <c r="AM1502" i="16"/>
  <c r="AL1502" i="16"/>
  <c r="AJ1502" i="16"/>
  <c r="AH1502" i="16"/>
  <c r="AE1502" i="16"/>
  <c r="Y1502" i="16"/>
  <c r="X1502" i="16"/>
  <c r="W1502" i="16"/>
  <c r="AI1502" i="16" s="1"/>
  <c r="AN1501" i="16"/>
  <c r="AM1501" i="16"/>
  <c r="AL1501" i="16"/>
  <c r="AJ1501" i="16"/>
  <c r="AH1501" i="16"/>
  <c r="AG1501" i="16"/>
  <c r="AF1501" i="16"/>
  <c r="AC1501" i="16"/>
  <c r="Y1501" i="16"/>
  <c r="X1501" i="16"/>
  <c r="W1501" i="16"/>
  <c r="AI1501" i="16" s="1"/>
  <c r="AN1500" i="16"/>
  <c r="AM1500" i="16"/>
  <c r="AL1500" i="16"/>
  <c r="AJ1500" i="16"/>
  <c r="AH1500" i="16"/>
  <c r="AE1500" i="16"/>
  <c r="Y1500" i="16"/>
  <c r="X1500" i="16"/>
  <c r="W1500" i="16"/>
  <c r="AN1499" i="16"/>
  <c r="AM1499" i="16"/>
  <c r="AL1499" i="16"/>
  <c r="Y1499" i="16"/>
  <c r="X1499" i="16"/>
  <c r="W1499" i="16"/>
  <c r="AN1498" i="16"/>
  <c r="AM1498" i="16"/>
  <c r="AL1498" i="16"/>
  <c r="Y1498" i="16"/>
  <c r="X1498" i="16"/>
  <c r="W1498" i="16"/>
  <c r="AN1497" i="16"/>
  <c r="AM1497" i="16"/>
  <c r="AL1497" i="16"/>
  <c r="Y1497" i="16"/>
  <c r="X1497" i="16"/>
  <c r="W1497" i="16"/>
  <c r="AN1496" i="16"/>
  <c r="AM1496" i="16"/>
  <c r="AL1496" i="16"/>
  <c r="Y1496" i="16"/>
  <c r="X1496" i="16"/>
  <c r="W1496" i="16"/>
  <c r="AN1495" i="16"/>
  <c r="AM1495" i="16"/>
  <c r="AL1495" i="16"/>
  <c r="Y1495" i="16"/>
  <c r="X1495" i="16"/>
  <c r="W1495" i="16"/>
  <c r="AN1494" i="16"/>
  <c r="AM1494" i="16"/>
  <c r="AL1494" i="16"/>
  <c r="Y1494" i="16"/>
  <c r="X1494" i="16"/>
  <c r="W1494" i="16"/>
  <c r="AN1493" i="16"/>
  <c r="AM1493" i="16"/>
  <c r="AL1493" i="16"/>
  <c r="Y1493" i="16"/>
  <c r="X1493" i="16"/>
  <c r="W1493" i="16"/>
  <c r="AN1492" i="16"/>
  <c r="AM1492" i="16"/>
  <c r="AL1492" i="16"/>
  <c r="Y1492" i="16"/>
  <c r="X1492" i="16"/>
  <c r="W1492" i="16"/>
  <c r="AN1491" i="16"/>
  <c r="AM1491" i="16"/>
  <c r="AL1491" i="16"/>
  <c r="AJ1491" i="16"/>
  <c r="AH1491" i="16"/>
  <c r="AG1491" i="16"/>
  <c r="AF1491" i="16"/>
  <c r="AD1491" i="16"/>
  <c r="Y1491" i="16"/>
  <c r="X1491" i="16"/>
  <c r="W1491" i="16"/>
  <c r="AI1491" i="16" s="1"/>
  <c r="AN1490" i="16"/>
  <c r="AM1490" i="16"/>
  <c r="AL1490" i="16"/>
  <c r="AH1490" i="16"/>
  <c r="AE1490" i="16"/>
  <c r="Y1490" i="16"/>
  <c r="X1490" i="16"/>
  <c r="W1490" i="16"/>
  <c r="AI1490" i="16" s="1"/>
  <c r="AN1489" i="16"/>
  <c r="AM1489" i="16"/>
  <c r="AL1489" i="16"/>
  <c r="Y1489" i="16"/>
  <c r="X1489" i="16"/>
  <c r="W1489" i="16"/>
  <c r="AN1488" i="16"/>
  <c r="AM1488" i="16"/>
  <c r="AL1488" i="16"/>
  <c r="Y1488" i="16"/>
  <c r="X1488" i="16"/>
  <c r="W1488" i="16"/>
  <c r="Z1588" i="16" l="1"/>
  <c r="Z1620" i="16"/>
  <c r="Z1610" i="16"/>
  <c r="Z1622" i="16"/>
  <c r="Z1648" i="16"/>
  <c r="Z1752" i="16"/>
  <c r="Z1791" i="16"/>
  <c r="Z1591" i="16"/>
  <c r="AA1591" i="16" s="1"/>
  <c r="Z1490" i="16"/>
  <c r="Z1568" i="16"/>
  <c r="Z1580" i="16"/>
  <c r="Z1594" i="16"/>
  <c r="Z1659" i="16"/>
  <c r="Z1669" i="16"/>
  <c r="Z1689" i="16"/>
  <c r="Z1697" i="16"/>
  <c r="Z1708" i="16"/>
  <c r="Z1726" i="16"/>
  <c r="Z1607" i="16"/>
  <c r="Z1638" i="16"/>
  <c r="Z1643" i="16"/>
  <c r="Z1649" i="16"/>
  <c r="Z1657" i="16"/>
  <c r="Z1664" i="16"/>
  <c r="Z1701" i="16"/>
  <c r="Z1759" i="16"/>
  <c r="Z1793" i="16"/>
  <c r="Z1488" i="16"/>
  <c r="Z1572" i="16"/>
  <c r="Z1596" i="16"/>
  <c r="Z1600" i="16"/>
  <c r="Z1645" i="16"/>
  <c r="Z1760" i="16"/>
  <c r="Z1616" i="16"/>
  <c r="Z1624" i="16"/>
  <c r="Z1511" i="16"/>
  <c r="Z1559" i="16"/>
  <c r="Z1584" i="16"/>
  <c r="Z1612" i="16"/>
  <c r="Z1651" i="16"/>
  <c r="Z1641" i="16"/>
  <c r="Z1661" i="16"/>
  <c r="Z1693" i="16"/>
  <c r="Z1746" i="16"/>
  <c r="Z1748" i="16"/>
  <c r="Z1762" i="16"/>
  <c r="Z1505" i="16"/>
  <c r="Z1491" i="16"/>
  <c r="Z1503" i="16"/>
  <c r="Z1534" i="16"/>
  <c r="Z1582" i="16"/>
  <c r="Z1623" i="16"/>
  <c r="Z1489" i="16"/>
  <c r="Z1504" i="16"/>
  <c r="Z1495" i="16"/>
  <c r="Z1497" i="16"/>
  <c r="Z1499" i="16"/>
  <c r="Z1507" i="16"/>
  <c r="Z1564" i="16"/>
  <c r="Z1575" i="16"/>
  <c r="Z1613" i="16"/>
  <c r="Z1617" i="16"/>
  <c r="Z1501" i="16"/>
  <c r="Z1521" i="16"/>
  <c r="Z1625" i="16"/>
  <c r="Z1508" i="16"/>
  <c r="Z1512" i="16"/>
  <c r="Z1517" i="16"/>
  <c r="Z1525" i="16"/>
  <c r="Z1535" i="16"/>
  <c r="Z1556" i="16"/>
  <c r="Z1570" i="16"/>
  <c r="Z1576" i="16"/>
  <c r="Z1599" i="16"/>
  <c r="Z1611" i="16"/>
  <c r="Z1662" i="16"/>
  <c r="Z1663" i="16"/>
  <c r="Z1673" i="16"/>
  <c r="Z1678" i="16"/>
  <c r="Z1691" i="16"/>
  <c r="Z1695" i="16"/>
  <c r="Z1794" i="16"/>
  <c r="Z1805" i="16"/>
  <c r="AA1805" i="16" s="1"/>
  <c r="Z1773" i="16"/>
  <c r="AA1773" i="16" s="1"/>
  <c r="Z1774" i="16"/>
  <c r="AA1774" i="16" s="1"/>
  <c r="AA1779" i="16"/>
  <c r="AB1779" i="16" s="1"/>
  <c r="AA1603" i="16"/>
  <c r="AA1622" i="16"/>
  <c r="AA1741" i="16"/>
  <c r="AA1762" i="16"/>
  <c r="AA1764" i="16"/>
  <c r="AB1764" i="16" s="1"/>
  <c r="AA1771" i="16"/>
  <c r="AB1771" i="16" s="1"/>
  <c r="AA1772" i="16"/>
  <c r="AA1616" i="16"/>
  <c r="AA1567" i="16"/>
  <c r="AJ1771" i="16"/>
  <c r="AA1559" i="16"/>
  <c r="AA1521" i="16"/>
  <c r="AA1708" i="16"/>
  <c r="AA1525" i="16"/>
  <c r="AA1535" i="16"/>
  <c r="AA1648" i="16"/>
  <c r="AA1662" i="16"/>
  <c r="AA1667" i="16"/>
  <c r="AA1673" i="16"/>
  <c r="AA1701" i="16"/>
  <c r="AA1703" i="16"/>
  <c r="AB1552" i="16"/>
  <c r="AA1579" i="16"/>
  <c r="AA1783" i="16"/>
  <c r="AB1783" i="16" s="1"/>
  <c r="AA1784" i="16"/>
  <c r="AB1784" i="16" s="1"/>
  <c r="AA1791" i="16"/>
  <c r="AA1793" i="16"/>
  <c r="AJ1637" i="16"/>
  <c r="AG1637" i="16"/>
  <c r="AA1777" i="16"/>
  <c r="AB1777" i="16" s="1"/>
  <c r="AJ1777" i="16" s="1"/>
  <c r="AA1664" i="16"/>
  <c r="AA1782" i="16"/>
  <c r="AB1782" i="16" s="1"/>
  <c r="AJ1782" i="16" s="1"/>
  <c r="AG1856" i="16"/>
  <c r="AA1823" i="16"/>
  <c r="AB1823" i="16" s="1"/>
  <c r="AJ1823" i="16" s="1"/>
  <c r="AA1575" i="16"/>
  <c r="AA1624" i="16"/>
  <c r="AA1638" i="16"/>
  <c r="AA1669" i="16"/>
  <c r="AA1699" i="16"/>
  <c r="AA1724" i="16"/>
  <c r="AA1728" i="16"/>
  <c r="AA1769" i="16"/>
  <c r="AA1785" i="16"/>
  <c r="AB1785" i="16" s="1"/>
  <c r="AA1794" i="16"/>
  <c r="AA1796" i="16"/>
  <c r="AA1599" i="16"/>
  <c r="AA1671" i="16"/>
  <c r="AA1705" i="16"/>
  <c r="AA1726" i="16"/>
  <c r="AA1734" i="16"/>
  <c r="AA1738" i="16"/>
  <c r="AA1765" i="16"/>
  <c r="AA1620" i="16"/>
  <c r="AH1835" i="16"/>
  <c r="AJ1835" i="16"/>
  <c r="AF1835" i="16"/>
  <c r="AC1835" i="16"/>
  <c r="AD1837" i="16"/>
  <c r="AJ1837" i="16"/>
  <c r="AF1837" i="16"/>
  <c r="AC1837" i="16"/>
  <c r="AJ1840" i="16"/>
  <c r="AF1840" i="16"/>
  <c r="AH1840" i="16"/>
  <c r="AC1840" i="16"/>
  <c r="AD1841" i="16"/>
  <c r="AJ1841" i="16"/>
  <c r="AF1841" i="16"/>
  <c r="AC1841" i="16"/>
  <c r="AH1843" i="16"/>
  <c r="AJ1843" i="16"/>
  <c r="AF1843" i="16"/>
  <c r="AC1843" i="16"/>
  <c r="AJ1844" i="16"/>
  <c r="AF1844" i="16"/>
  <c r="AH1844" i="16"/>
  <c r="AC1844" i="16"/>
  <c r="AH1845" i="16"/>
  <c r="AJ1845" i="16"/>
  <c r="AF1845" i="16"/>
  <c r="AC1845" i="16"/>
  <c r="AJ1846" i="16"/>
  <c r="AF1846" i="16"/>
  <c r="AH1846" i="16"/>
  <c r="AC1846" i="16"/>
  <c r="AH1847" i="16"/>
  <c r="AD1847" i="16"/>
  <c r="AC1847" i="16"/>
  <c r="AJ1847" i="16"/>
  <c r="AF1847" i="16"/>
  <c r="AE1847" i="16"/>
  <c r="AH1851" i="16"/>
  <c r="AD1851" i="16"/>
  <c r="AG1851" i="16"/>
  <c r="AC1851" i="16"/>
  <c r="AJ1851" i="16"/>
  <c r="AF1851" i="16"/>
  <c r="AE1851" i="16"/>
  <c r="AH1855" i="16"/>
  <c r="AD1855" i="16"/>
  <c r="AG1855" i="16"/>
  <c r="AC1855" i="16"/>
  <c r="AJ1855" i="16"/>
  <c r="AE1855" i="16"/>
  <c r="AA1489" i="16"/>
  <c r="AA1534" i="16"/>
  <c r="AE1823" i="16"/>
  <c r="AE1827" i="16"/>
  <c r="AC1828" i="16"/>
  <c r="AG1828" i="16"/>
  <c r="AE1835" i="16"/>
  <c r="AE1837" i="16"/>
  <c r="AE1840" i="16"/>
  <c r="AE1841" i="16"/>
  <c r="AE1843" i="16"/>
  <c r="AE1844" i="16"/>
  <c r="AE1845" i="16"/>
  <c r="AE1846" i="16"/>
  <c r="AI1847" i="16"/>
  <c r="AI1855" i="16"/>
  <c r="AA1746" i="16"/>
  <c r="AA1760" i="16"/>
  <c r="AA1761" i="16"/>
  <c r="AG1835" i="16"/>
  <c r="AG1837" i="16"/>
  <c r="AG1840" i="16"/>
  <c r="AG1841" i="16"/>
  <c r="AG1843" i="16"/>
  <c r="AG1844" i="16"/>
  <c r="AG1845" i="16"/>
  <c r="AG1846" i="16"/>
  <c r="AH1849" i="16"/>
  <c r="AG1849" i="16"/>
  <c r="AC1849" i="16"/>
  <c r="AJ1849" i="16"/>
  <c r="AF1849" i="16"/>
  <c r="AE1849" i="16"/>
  <c r="AH1853" i="16"/>
  <c r="AD1853" i="16"/>
  <c r="AG1853" i="16"/>
  <c r="AC1853" i="16"/>
  <c r="AJ1853" i="16"/>
  <c r="AE1853" i="16"/>
  <c r="AH1857" i="16"/>
  <c r="AD1857" i="16"/>
  <c r="AG1857" i="16"/>
  <c r="AC1857" i="16"/>
  <c r="AJ1857" i="16"/>
  <c r="AF1857" i="16"/>
  <c r="AA1488" i="16"/>
  <c r="AE1828" i="16"/>
  <c r="AI1835" i="16"/>
  <c r="AI1837" i="16"/>
  <c r="AI1840" i="16"/>
  <c r="AI1841" i="16"/>
  <c r="AI1843" i="16"/>
  <c r="AI1844" i="16"/>
  <c r="AI1845" i="16"/>
  <c r="AI1846" i="16"/>
  <c r="AI1857" i="16"/>
  <c r="AD1848" i="16"/>
  <c r="AH1848" i="16"/>
  <c r="AH1850" i="16"/>
  <c r="AD1852" i="16"/>
  <c r="AH1852" i="16"/>
  <c r="AD1854" i="16"/>
  <c r="AH1854" i="16"/>
  <c r="AD1856" i="16"/>
  <c r="AH1856" i="16"/>
  <c r="AD1858" i="16"/>
  <c r="AH1858" i="16"/>
  <c r="AE1848" i="16"/>
  <c r="AI1848" i="16"/>
  <c r="AE1850" i="16"/>
  <c r="AI1850" i="16"/>
  <c r="AE1852" i="16"/>
  <c r="AE1854" i="16"/>
  <c r="AI1854" i="16"/>
  <c r="AE1856" i="16"/>
  <c r="AE1858" i="16"/>
  <c r="AF1848" i="16"/>
  <c r="AF1850" i="16"/>
  <c r="AF1852" i="16"/>
  <c r="AF1856" i="16"/>
  <c r="AF1858" i="16"/>
  <c r="AB1551" i="16"/>
  <c r="AJ1551" i="16" s="1"/>
  <c r="AA1745" i="16"/>
  <c r="AA1759" i="16"/>
  <c r="AA1778" i="16"/>
  <c r="AB1778" i="16" s="1"/>
  <c r="AJ1778" i="16" s="1"/>
  <c r="AA1780" i="16"/>
  <c r="AB1780" i="16" s="1"/>
  <c r="AJ1780" i="16" s="1"/>
  <c r="AA1490" i="16"/>
  <c r="AA1556" i="16"/>
  <c r="AA1781" i="16"/>
  <c r="AB1781" i="16" s="1"/>
  <c r="AJ1781" i="16" s="1"/>
  <c r="AA1504" i="16"/>
  <c r="AA1512" i="16"/>
  <c r="AA1508" i="16"/>
  <c r="Z1492" i="16"/>
  <c r="AA1492" i="16" s="1"/>
  <c r="AD1490" i="16"/>
  <c r="AA1497" i="16"/>
  <c r="AC1500" i="16"/>
  <c r="AF1500" i="16"/>
  <c r="AA1501" i="16"/>
  <c r="AC1504" i="16"/>
  <c r="AF1504" i="16"/>
  <c r="AA1505" i="16"/>
  <c r="AG1512" i="16"/>
  <c r="AC1512" i="16"/>
  <c r="AF1512" i="16"/>
  <c r="Z1515" i="16"/>
  <c r="AA1515" i="16" s="1"/>
  <c r="AG1516" i="16"/>
  <c r="AC1516" i="16"/>
  <c r="AF1516" i="16"/>
  <c r="AA1517" i="16"/>
  <c r="Z1523" i="16"/>
  <c r="AA1523" i="16" s="1"/>
  <c r="Z1524" i="16"/>
  <c r="AA1524" i="16" s="1"/>
  <c r="AH1526" i="16"/>
  <c r="AJ1526" i="16"/>
  <c r="AE1526" i="16"/>
  <c r="AI1526" i="16"/>
  <c r="AC1526" i="16"/>
  <c r="Z1532" i="16"/>
  <c r="AA1532" i="16" s="1"/>
  <c r="Z1538" i="16"/>
  <c r="AA1538" i="16" s="1"/>
  <c r="Z1494" i="16"/>
  <c r="AA1494" i="16" s="1"/>
  <c r="Z1506" i="16"/>
  <c r="AA1506" i="16" s="1"/>
  <c r="Z1510" i="16"/>
  <c r="AA1510" i="16" s="1"/>
  <c r="Z1514" i="16"/>
  <c r="AA1514" i="16" s="1"/>
  <c r="Z1519" i="16"/>
  <c r="AA1519" i="16" s="1"/>
  <c r="Z1520" i="16"/>
  <c r="AA1520" i="16" s="1"/>
  <c r="Z1527" i="16"/>
  <c r="AA1527" i="16" s="1"/>
  <c r="Z1530" i="16"/>
  <c r="AA1530" i="16" s="1"/>
  <c r="Z1533" i="16"/>
  <c r="AA1533" i="16" s="1"/>
  <c r="Z1537" i="16"/>
  <c r="AA1537" i="16" s="1"/>
  <c r="Z1541" i="16"/>
  <c r="AA1541" i="16" s="1"/>
  <c r="Z1543" i="16"/>
  <c r="AA1543" i="16" s="1"/>
  <c r="Z1547" i="16"/>
  <c r="AA1547" i="16" s="1"/>
  <c r="Z1498" i="16"/>
  <c r="AA1498" i="16" s="1"/>
  <c r="Z1502" i="16"/>
  <c r="AA1502" i="16" s="1"/>
  <c r="AG1490" i="16"/>
  <c r="AC1490" i="16"/>
  <c r="AF1490" i="16"/>
  <c r="AA1491" i="16"/>
  <c r="Z1493" i="16"/>
  <c r="AA1493" i="16" s="1"/>
  <c r="AA1495" i="16"/>
  <c r="AA1499" i="16"/>
  <c r="AD1500" i="16"/>
  <c r="AI1500" i="16"/>
  <c r="AG1502" i="16"/>
  <c r="AC1502" i="16"/>
  <c r="AF1502" i="16"/>
  <c r="AA1503" i="16"/>
  <c r="AD1504" i="16"/>
  <c r="AI1504" i="16"/>
  <c r="AG1506" i="16"/>
  <c r="AC1506" i="16"/>
  <c r="AF1506" i="16"/>
  <c r="AA1507" i="16"/>
  <c r="Z1509" i="16"/>
  <c r="AA1509" i="16" s="1"/>
  <c r="AG1510" i="16"/>
  <c r="AC1510" i="16"/>
  <c r="AF1510" i="16"/>
  <c r="AA1511" i="16"/>
  <c r="AD1512" i="16"/>
  <c r="AI1512" i="16"/>
  <c r="Z1513" i="16"/>
  <c r="AA1513" i="16" s="1"/>
  <c r="AG1514" i="16"/>
  <c r="AF1514" i="16"/>
  <c r="AD1516" i="16"/>
  <c r="AI1516" i="16"/>
  <c r="Z1531" i="16"/>
  <c r="AA1531" i="16" s="1"/>
  <c r="Z1536" i="16"/>
  <c r="AA1536" i="16" s="1"/>
  <c r="Z1540" i="16"/>
  <c r="AA1540" i="16" s="1"/>
  <c r="Z1545" i="16"/>
  <c r="AA1545" i="16" s="1"/>
  <c r="Z1496" i="16"/>
  <c r="AA1496" i="16" s="1"/>
  <c r="Z1500" i="16"/>
  <c r="AA1500" i="16" s="1"/>
  <c r="Z1516" i="16"/>
  <c r="AA1516" i="16" s="1"/>
  <c r="AJ1527" i="16"/>
  <c r="AF1527" i="16"/>
  <c r="AE1527" i="16"/>
  <c r="AI1527" i="16"/>
  <c r="AD1527" i="16"/>
  <c r="AC1527" i="16"/>
  <c r="Z1528" i="16"/>
  <c r="AA1528" i="16" s="1"/>
  <c r="Z1529" i="16"/>
  <c r="AA1529" i="16" s="1"/>
  <c r="Z1539" i="16"/>
  <c r="AA1539" i="16" s="1"/>
  <c r="Z1550" i="16"/>
  <c r="AA1550" i="16" s="1"/>
  <c r="Z1565" i="16"/>
  <c r="AA1565" i="16" s="1"/>
  <c r="Z1561" i="16"/>
  <c r="Z1557" i="16"/>
  <c r="AA1557" i="16" s="1"/>
  <c r="Z1553" i="16"/>
  <c r="AA1553" i="16" s="1"/>
  <c r="Z1566" i="16"/>
  <c r="AA1566" i="16" s="1"/>
  <c r="Z1555" i="16"/>
  <c r="AA1555" i="16" s="1"/>
  <c r="AG1563" i="16"/>
  <c r="AC1563" i="16"/>
  <c r="AI1563" i="16"/>
  <c r="AH1563" i="16"/>
  <c r="AA1564" i="16"/>
  <c r="Z1542" i="16"/>
  <c r="AA1542" i="16" s="1"/>
  <c r="Z1544" i="16"/>
  <c r="AA1544" i="16" s="1"/>
  <c r="Z1546" i="16"/>
  <c r="AA1546" i="16" s="1"/>
  <c r="Z1548" i="16"/>
  <c r="AA1548" i="16" s="1"/>
  <c r="AG1555" i="16"/>
  <c r="AC1555" i="16"/>
  <c r="AI1555" i="16"/>
  <c r="AH1555" i="16"/>
  <c r="AJ1525" i="16"/>
  <c r="AF1525" i="16"/>
  <c r="AI1551" i="16"/>
  <c r="AE1551" i="16"/>
  <c r="AG1551" i="16"/>
  <c r="AF1551" i="16"/>
  <c r="AH1551" i="16"/>
  <c r="AC1552" i="16"/>
  <c r="AE1555" i="16"/>
  <c r="AG1559" i="16"/>
  <c r="AC1559" i="16"/>
  <c r="AI1559" i="16"/>
  <c r="AD1559" i="16"/>
  <c r="AH1559" i="16"/>
  <c r="AE1491" i="16"/>
  <c r="AE1501" i="16"/>
  <c r="AE1505" i="16"/>
  <c r="AE1507" i="16"/>
  <c r="AE1509" i="16"/>
  <c r="AE1511" i="16"/>
  <c r="AE1513" i="16"/>
  <c r="Z1518" i="16"/>
  <c r="AA1518" i="16" s="1"/>
  <c r="Z1522" i="16"/>
  <c r="AA1522" i="16" s="1"/>
  <c r="AC1525" i="16"/>
  <c r="AH1525" i="16"/>
  <c r="Z1526" i="16"/>
  <c r="AA1526" i="16" s="1"/>
  <c r="AH1530" i="16"/>
  <c r="AD1530" i="16"/>
  <c r="AG1530" i="16"/>
  <c r="AC1530" i="16"/>
  <c r="AJ1530" i="16"/>
  <c r="AH1532" i="16"/>
  <c r="AD1532" i="16"/>
  <c r="AG1532" i="16"/>
  <c r="AC1532" i="16"/>
  <c r="AH1544" i="16"/>
  <c r="AG1544" i="16"/>
  <c r="AC1544" i="16"/>
  <c r="AJ1544" i="16"/>
  <c r="AI1548" i="16"/>
  <c r="AE1548" i="16"/>
  <c r="AJ1548" i="16"/>
  <c r="AD1548" i="16"/>
  <c r="AC1548" i="16"/>
  <c r="AF1555" i="16"/>
  <c r="Z1560" i="16"/>
  <c r="AA1560" i="16" s="1"/>
  <c r="AA1561" i="16"/>
  <c r="Z1563" i="16"/>
  <c r="AA1563" i="16" s="1"/>
  <c r="AA1568" i="16"/>
  <c r="AG1571" i="16"/>
  <c r="AC1571" i="16"/>
  <c r="AF1571" i="16"/>
  <c r="AA1572" i="16"/>
  <c r="Z1574" i="16"/>
  <c r="AA1574" i="16" s="1"/>
  <c r="AG1575" i="16"/>
  <c r="AC1575" i="16"/>
  <c r="AF1575" i="16"/>
  <c r="AA1576" i="16"/>
  <c r="Z1578" i="16"/>
  <c r="AA1578" i="16" s="1"/>
  <c r="AA1580" i="16"/>
  <c r="AG1583" i="16"/>
  <c r="AC1583" i="16"/>
  <c r="AF1583" i="16"/>
  <c r="AA1584" i="16"/>
  <c r="Z1586" i="16"/>
  <c r="AA1586" i="16" s="1"/>
  <c r="AG1587" i="16"/>
  <c r="AC1587" i="16"/>
  <c r="AF1587" i="16"/>
  <c r="AA1588" i="16"/>
  <c r="Z1590" i="16"/>
  <c r="AA1590" i="16" s="1"/>
  <c r="AG1591" i="16"/>
  <c r="AF1591" i="16"/>
  <c r="AA1592" i="16"/>
  <c r="AG1595" i="16"/>
  <c r="AC1595" i="16"/>
  <c r="AF1595" i="16"/>
  <c r="AA1596" i="16"/>
  <c r="Z1598" i="16"/>
  <c r="AA1598" i="16" s="1"/>
  <c r="AG1599" i="16"/>
  <c r="AC1599" i="16"/>
  <c r="AF1599" i="16"/>
  <c r="AA1600" i="16"/>
  <c r="Z1602" i="16"/>
  <c r="AA1602" i="16" s="1"/>
  <c r="AE1529" i="16"/>
  <c r="AI1529" i="16"/>
  <c r="AE1531" i="16"/>
  <c r="AE1533" i="16"/>
  <c r="AI1533" i="16"/>
  <c r="AE1535" i="16"/>
  <c r="AI1535" i="16"/>
  <c r="AE1543" i="16"/>
  <c r="AI1543" i="16"/>
  <c r="AE1545" i="16"/>
  <c r="AI1545" i="16"/>
  <c r="AE1547" i="16"/>
  <c r="AI1547" i="16"/>
  <c r="Z1549" i="16"/>
  <c r="AA1549" i="16" s="1"/>
  <c r="AI1552" i="16"/>
  <c r="AE1552" i="16"/>
  <c r="AD1552" i="16"/>
  <c r="AJ1552" i="16"/>
  <c r="Z1569" i="16"/>
  <c r="AA1569" i="16" s="1"/>
  <c r="AH1571" i="16"/>
  <c r="Z1573" i="16"/>
  <c r="AA1573" i="16" s="1"/>
  <c r="AH1575" i="16"/>
  <c r="Z1577" i="16"/>
  <c r="AA1577" i="16" s="1"/>
  <c r="Z1581" i="16"/>
  <c r="AA1581" i="16" s="1"/>
  <c r="AH1583" i="16"/>
  <c r="Z1585" i="16"/>
  <c r="AA1585" i="16" s="1"/>
  <c r="AH1587" i="16"/>
  <c r="Z1589" i="16"/>
  <c r="AA1589" i="16" s="1"/>
  <c r="AH1591" i="16"/>
  <c r="Z1593" i="16"/>
  <c r="AA1593" i="16" s="1"/>
  <c r="AH1595" i="16"/>
  <c r="Z1597" i="16"/>
  <c r="AA1597" i="16" s="1"/>
  <c r="AH1599" i="16"/>
  <c r="Z1601" i="16"/>
  <c r="AA1601" i="16" s="1"/>
  <c r="AA1605" i="16"/>
  <c r="AA1607" i="16"/>
  <c r="Z1608" i="16"/>
  <c r="AA1608" i="16" s="1"/>
  <c r="Z1609" i="16"/>
  <c r="AA1609" i="16" s="1"/>
  <c r="AA1610" i="16"/>
  <c r="Z1618" i="16"/>
  <c r="AA1618" i="16" s="1"/>
  <c r="Z1619" i="16"/>
  <c r="AA1619" i="16" s="1"/>
  <c r="AF1529" i="16"/>
  <c r="AF1531" i="16"/>
  <c r="AF1533" i="16"/>
  <c r="AF1535" i="16"/>
  <c r="AF1543" i="16"/>
  <c r="AF1545" i="16"/>
  <c r="AF1547" i="16"/>
  <c r="AG1549" i="16"/>
  <c r="AC1549" i="16"/>
  <c r="AF1549" i="16"/>
  <c r="AF1552" i="16"/>
  <c r="AA1554" i="16"/>
  <c r="AG1557" i="16"/>
  <c r="AC1557" i="16"/>
  <c r="AF1557" i="16"/>
  <c r="AA1558" i="16"/>
  <c r="AG1561" i="16"/>
  <c r="AC1561" i="16"/>
  <c r="AF1561" i="16"/>
  <c r="AA1562" i="16"/>
  <c r="AG1565" i="16"/>
  <c r="AC1565" i="16"/>
  <c r="AF1565" i="16"/>
  <c r="AG1569" i="16"/>
  <c r="AC1569" i="16"/>
  <c r="AF1569" i="16"/>
  <c r="AA1570" i="16"/>
  <c r="AD1571" i="16"/>
  <c r="AG1573" i="16"/>
  <c r="AC1573" i="16"/>
  <c r="AF1573" i="16"/>
  <c r="AI1575" i="16"/>
  <c r="AG1577" i="16"/>
  <c r="AC1577" i="16"/>
  <c r="AF1577" i="16"/>
  <c r="AC1581" i="16"/>
  <c r="AF1581" i="16"/>
  <c r="AA1582" i="16"/>
  <c r="AD1583" i="16"/>
  <c r="AG1585" i="16"/>
  <c r="AC1585" i="16"/>
  <c r="AF1585" i="16"/>
  <c r="AI1587" i="16"/>
  <c r="AG1589" i="16"/>
  <c r="AC1589" i="16"/>
  <c r="AF1589" i="16"/>
  <c r="AD1591" i="16"/>
  <c r="AI1591" i="16"/>
  <c r="AG1593" i="16"/>
  <c r="AC1593" i="16"/>
  <c r="AF1593" i="16"/>
  <c r="AA1594" i="16"/>
  <c r="AI1595" i="16"/>
  <c r="AG1597" i="16"/>
  <c r="AC1597" i="16"/>
  <c r="AF1597" i="16"/>
  <c r="AI1599" i="16"/>
  <c r="AG1601" i="16"/>
  <c r="AC1601" i="16"/>
  <c r="AF1601" i="16"/>
  <c r="Z1604" i="16"/>
  <c r="AA1604" i="16" s="1"/>
  <c r="AA1611" i="16"/>
  <c r="AA1612" i="16"/>
  <c r="Z1614" i="16"/>
  <c r="AA1614" i="16" s="1"/>
  <c r="Z1615" i="16"/>
  <c r="AA1615" i="16" s="1"/>
  <c r="Z1621" i="16"/>
  <c r="AA1621" i="16" s="1"/>
  <c r="AA1623" i="16"/>
  <c r="Z1571" i="16"/>
  <c r="AA1571" i="16" s="1"/>
  <c r="AE1571" i="16"/>
  <c r="AJ1571" i="16"/>
  <c r="AE1575" i="16"/>
  <c r="AJ1575" i="16"/>
  <c r="Z1583" i="16"/>
  <c r="AA1583" i="16" s="1"/>
  <c r="AE1583" i="16"/>
  <c r="AJ1583" i="16"/>
  <c r="Z1587" i="16"/>
  <c r="AA1587" i="16" s="1"/>
  <c r="AE1587" i="16"/>
  <c r="AJ1587" i="16"/>
  <c r="AE1591" i="16"/>
  <c r="AJ1591" i="16"/>
  <c r="Z1595" i="16"/>
  <c r="AA1595" i="16" s="1"/>
  <c r="AE1595" i="16"/>
  <c r="AJ1595" i="16"/>
  <c r="AE1599" i="16"/>
  <c r="AJ1599" i="16"/>
  <c r="AA1613" i="16"/>
  <c r="AA1617" i="16"/>
  <c r="AA1625" i="16"/>
  <c r="AE1605" i="16"/>
  <c r="AI1605" i="16"/>
  <c r="AE1608" i="16"/>
  <c r="AI1608" i="16"/>
  <c r="AE1610" i="16"/>
  <c r="AI1610" i="16"/>
  <c r="AE1612" i="16"/>
  <c r="AI1612" i="16"/>
  <c r="AI1614" i="16"/>
  <c r="AE1616" i="16"/>
  <c r="AI1616" i="16"/>
  <c r="AE1618" i="16"/>
  <c r="AI1618" i="16"/>
  <c r="AE1620" i="16"/>
  <c r="AI1620" i="16"/>
  <c r="AE1622" i="16"/>
  <c r="AI1622" i="16"/>
  <c r="AE1624" i="16"/>
  <c r="AI1624" i="16"/>
  <c r="AE1628" i="16"/>
  <c r="AI1628" i="16"/>
  <c r="AE1630" i="16"/>
  <c r="AI1630" i="16"/>
  <c r="AE1632" i="16"/>
  <c r="AI1632" i="16"/>
  <c r="AE1634" i="16"/>
  <c r="AI1634" i="16"/>
  <c r="AE1636" i="16"/>
  <c r="AI1636" i="16"/>
  <c r="AH1640" i="16"/>
  <c r="Z1642" i="16"/>
  <c r="AA1642" i="16" s="1"/>
  <c r="AH1644" i="16"/>
  <c r="Z1646" i="16"/>
  <c r="AA1646" i="16" s="1"/>
  <c r="AH1648" i="16"/>
  <c r="Z1650" i="16"/>
  <c r="AA1650" i="16" s="1"/>
  <c r="Z1654" i="16"/>
  <c r="AA1654" i="16" s="1"/>
  <c r="AH1656" i="16"/>
  <c r="Z1658" i="16"/>
  <c r="AA1658" i="16" s="1"/>
  <c r="AH1660" i="16"/>
  <c r="AH1662" i="16"/>
  <c r="AD1662" i="16"/>
  <c r="AG1662" i="16"/>
  <c r="AC1662" i="16"/>
  <c r="Z1666" i="16"/>
  <c r="AA1666" i="16" s="1"/>
  <c r="Z1668" i="16"/>
  <c r="AA1668" i="16" s="1"/>
  <c r="Z1670" i="16"/>
  <c r="AA1670" i="16" s="1"/>
  <c r="Z1672" i="16"/>
  <c r="AA1672" i="16" s="1"/>
  <c r="Z1674" i="16"/>
  <c r="AA1674" i="16" s="1"/>
  <c r="Z1682" i="16"/>
  <c r="AA1682" i="16" s="1"/>
  <c r="Z1683" i="16"/>
  <c r="AA1683" i="16" s="1"/>
  <c r="Z1679" i="16"/>
  <c r="AA1679" i="16" s="1"/>
  <c r="Z1684" i="16"/>
  <c r="AA1684" i="16" s="1"/>
  <c r="Z1680" i="16"/>
  <c r="AA1680" i="16" s="1"/>
  <c r="Z1676" i="16"/>
  <c r="AA1676" i="16" s="1"/>
  <c r="AF1610" i="16"/>
  <c r="AJ1610" i="16"/>
  <c r="AF1612" i="16"/>
  <c r="AJ1612" i="16"/>
  <c r="AF1614" i="16"/>
  <c r="AJ1614" i="16"/>
  <c r="AF1616" i="16"/>
  <c r="AJ1616" i="16"/>
  <c r="AF1618" i="16"/>
  <c r="AJ1618" i="16"/>
  <c r="AF1620" i="16"/>
  <c r="AJ1620" i="16"/>
  <c r="AF1622" i="16"/>
  <c r="AJ1622" i="16"/>
  <c r="AF1624" i="16"/>
  <c r="AD1625" i="16"/>
  <c r="AH1625" i="16"/>
  <c r="AF1628" i="16"/>
  <c r="AJ1628" i="16"/>
  <c r="AD1629" i="16"/>
  <c r="AH1629" i="16"/>
  <c r="AF1630" i="16"/>
  <c r="AJ1630" i="16"/>
  <c r="AH1631" i="16"/>
  <c r="AF1632" i="16"/>
  <c r="AJ1632" i="16"/>
  <c r="AH1633" i="16"/>
  <c r="AF1634" i="16"/>
  <c r="AJ1634" i="16"/>
  <c r="AH1635" i="16"/>
  <c r="AF1636" i="16"/>
  <c r="AD1637" i="16"/>
  <c r="AH1637" i="16"/>
  <c r="Z1639" i="16"/>
  <c r="AA1639" i="16" s="1"/>
  <c r="AI1640" i="16"/>
  <c r="AC1642" i="16"/>
  <c r="AF1642" i="16"/>
  <c r="AA1643" i="16"/>
  <c r="AD1644" i="16"/>
  <c r="AI1644" i="16"/>
  <c r="AG1646" i="16"/>
  <c r="AC1646" i="16"/>
  <c r="AF1646" i="16"/>
  <c r="AA1647" i="16"/>
  <c r="AI1648" i="16"/>
  <c r="AG1650" i="16"/>
  <c r="AC1650" i="16"/>
  <c r="AF1650" i="16"/>
  <c r="AA1651" i="16"/>
  <c r="Z1653" i="16"/>
  <c r="AA1653" i="16" s="1"/>
  <c r="AG1654" i="16"/>
  <c r="AC1654" i="16"/>
  <c r="AF1654" i="16"/>
  <c r="AA1655" i="16"/>
  <c r="AI1656" i="16"/>
  <c r="AG1658" i="16"/>
  <c r="AC1658" i="16"/>
  <c r="AF1658" i="16"/>
  <c r="AA1659" i="16"/>
  <c r="AI1660" i="16"/>
  <c r="AE1662" i="16"/>
  <c r="AA1663" i="16"/>
  <c r="AB1663" i="16" s="1"/>
  <c r="Z1675" i="16"/>
  <c r="AA1675" i="16" s="1"/>
  <c r="Z1677" i="16"/>
  <c r="AA1677" i="16" s="1"/>
  <c r="AE1550" i="16"/>
  <c r="AE1556" i="16"/>
  <c r="AE1558" i="16"/>
  <c r="AE1560" i="16"/>
  <c r="AE1562" i="16"/>
  <c r="AE1564" i="16"/>
  <c r="AE1566" i="16"/>
  <c r="AE1568" i="16"/>
  <c r="AE1570" i="16"/>
  <c r="AE1574" i="16"/>
  <c r="AE1576" i="16"/>
  <c r="AE1578" i="16"/>
  <c r="AE1580" i="16"/>
  <c r="AE1582" i="16"/>
  <c r="AE1586" i="16"/>
  <c r="AE1588" i="16"/>
  <c r="AE1590" i="16"/>
  <c r="AE1594" i="16"/>
  <c r="AE1596" i="16"/>
  <c r="AE1598" i="16"/>
  <c r="AE1600" i="16"/>
  <c r="AE1602" i="16"/>
  <c r="AC1605" i="16"/>
  <c r="AC1606" i="16"/>
  <c r="AE1607" i="16"/>
  <c r="AC1608" i="16"/>
  <c r="AE1609" i="16"/>
  <c r="AC1610" i="16"/>
  <c r="AE1611" i="16"/>
  <c r="AC1612" i="16"/>
  <c r="AE1613" i="16"/>
  <c r="AC1614" i="16"/>
  <c r="AE1615" i="16"/>
  <c r="AC1616" i="16"/>
  <c r="AE1617" i="16"/>
  <c r="AC1618" i="16"/>
  <c r="AE1619" i="16"/>
  <c r="AC1620" i="16"/>
  <c r="AE1621" i="16"/>
  <c r="AC1622" i="16"/>
  <c r="AE1623" i="16"/>
  <c r="AC1624" i="16"/>
  <c r="AE1625" i="16"/>
  <c r="AC1628" i="16"/>
  <c r="AE1629" i="16"/>
  <c r="AC1630" i="16"/>
  <c r="AE1631" i="16"/>
  <c r="AC1632" i="16"/>
  <c r="AE1633" i="16"/>
  <c r="AC1634" i="16"/>
  <c r="AE1635" i="16"/>
  <c r="AC1636" i="16"/>
  <c r="AE1637" i="16"/>
  <c r="Z1640" i="16"/>
  <c r="AA1640" i="16" s="1"/>
  <c r="AE1640" i="16"/>
  <c r="Z1644" i="16"/>
  <c r="AA1644" i="16" s="1"/>
  <c r="AE1648" i="16"/>
  <c r="Z1652" i="16"/>
  <c r="AA1652" i="16" s="1"/>
  <c r="Z1656" i="16"/>
  <c r="AA1656" i="16" s="1"/>
  <c r="AE1656" i="16"/>
  <c r="Z1660" i="16"/>
  <c r="AA1660" i="16" s="1"/>
  <c r="AE1660" i="16"/>
  <c r="AF1662" i="16"/>
  <c r="AH1664" i="16"/>
  <c r="AD1664" i="16"/>
  <c r="AG1664" i="16"/>
  <c r="AJ1664" i="16"/>
  <c r="AH1666" i="16"/>
  <c r="AD1666" i="16"/>
  <c r="AG1666" i="16"/>
  <c r="AJ1666" i="16"/>
  <c r="AH1668" i="16"/>
  <c r="AD1668" i="16"/>
  <c r="AG1668" i="16"/>
  <c r="AC1668" i="16"/>
  <c r="AJ1668" i="16"/>
  <c r="AH1670" i="16"/>
  <c r="AD1670" i="16"/>
  <c r="AG1670" i="16"/>
  <c r="AJ1670" i="16"/>
  <c r="AD1672" i="16"/>
  <c r="AG1672" i="16"/>
  <c r="AC1672" i="16"/>
  <c r="AJ1672" i="16"/>
  <c r="AH1674" i="16"/>
  <c r="AD1674" i="16"/>
  <c r="AG1674" i="16"/>
  <c r="AJ1674" i="16"/>
  <c r="AH1676" i="16"/>
  <c r="AG1676" i="16"/>
  <c r="AC1676" i="16"/>
  <c r="AJ1676" i="16"/>
  <c r="AA1678" i="16"/>
  <c r="Z1681" i="16"/>
  <c r="AA1681" i="16" s="1"/>
  <c r="AG1640" i="16"/>
  <c r="AC1640" i="16"/>
  <c r="AF1640" i="16"/>
  <c r="AA1641" i="16"/>
  <c r="AG1644" i="16"/>
  <c r="AC1644" i="16"/>
  <c r="AF1644" i="16"/>
  <c r="AA1645" i="16"/>
  <c r="AG1648" i="16"/>
  <c r="AC1648" i="16"/>
  <c r="AF1648" i="16"/>
  <c r="AA1649" i="16"/>
  <c r="AG1656" i="16"/>
  <c r="AC1656" i="16"/>
  <c r="AF1656" i="16"/>
  <c r="AA1657" i="16"/>
  <c r="AG1660" i="16"/>
  <c r="AC1660" i="16"/>
  <c r="AF1660" i="16"/>
  <c r="AA1661" i="16"/>
  <c r="AA1665" i="16"/>
  <c r="AE1641" i="16"/>
  <c r="AE1643" i="16"/>
  <c r="AE1645" i="16"/>
  <c r="AE1647" i="16"/>
  <c r="AE1649" i="16"/>
  <c r="AE1651" i="16"/>
  <c r="AE1655" i="16"/>
  <c r="AE1657" i="16"/>
  <c r="AE1659" i="16"/>
  <c r="AE1661" i="16"/>
  <c r="AE1663" i="16"/>
  <c r="AE1665" i="16"/>
  <c r="AI1665" i="16"/>
  <c r="AE1669" i="16"/>
  <c r="AE1671" i="16"/>
  <c r="AI1671" i="16"/>
  <c r="AE1673" i="16"/>
  <c r="AI1673" i="16"/>
  <c r="AE1675" i="16"/>
  <c r="AI1675" i="16"/>
  <c r="AE1677" i="16"/>
  <c r="AI1677" i="16"/>
  <c r="AC1678" i="16"/>
  <c r="AG1678" i="16"/>
  <c r="AI1680" i="16"/>
  <c r="AG1682" i="16"/>
  <c r="AC1682" i="16"/>
  <c r="AF1682" i="16"/>
  <c r="AD1684" i="16"/>
  <c r="AI1684" i="16"/>
  <c r="Z1685" i="16"/>
  <c r="AA1685" i="16" s="1"/>
  <c r="AG1686" i="16"/>
  <c r="AC1686" i="16"/>
  <c r="AF1686" i="16"/>
  <c r="AI1688" i="16"/>
  <c r="AG1690" i="16"/>
  <c r="AC1690" i="16"/>
  <c r="AF1690" i="16"/>
  <c r="AA1691" i="16"/>
  <c r="AI1692" i="16"/>
  <c r="AH1694" i="16"/>
  <c r="AG1694" i="16"/>
  <c r="AC1694" i="16"/>
  <c r="AJ1694" i="16"/>
  <c r="AF1696" i="16"/>
  <c r="Z1698" i="16"/>
  <c r="AA1698" i="16" s="1"/>
  <c r="AF1698" i="16"/>
  <c r="Z1700" i="16"/>
  <c r="AA1700" i="16" s="1"/>
  <c r="AF1700" i="16"/>
  <c r="Z1702" i="16"/>
  <c r="AA1702" i="16" s="1"/>
  <c r="AF1702" i="16"/>
  <c r="Z1704" i="16"/>
  <c r="AA1704" i="16" s="1"/>
  <c r="AF1704" i="16"/>
  <c r="Z1706" i="16"/>
  <c r="AA1706" i="16" s="1"/>
  <c r="Z1707" i="16"/>
  <c r="AA1707" i="16" s="1"/>
  <c r="Z1712" i="16"/>
  <c r="AA1712" i="16" s="1"/>
  <c r="Z1710" i="16"/>
  <c r="AA1710" i="16" s="1"/>
  <c r="Z1713" i="16"/>
  <c r="AA1713" i="16" s="1"/>
  <c r="AG1716" i="16"/>
  <c r="AC1716" i="16"/>
  <c r="AJ1716" i="16"/>
  <c r="AF1716" i="16"/>
  <c r="AH1716" i="16"/>
  <c r="AE1716" i="16"/>
  <c r="AG1718" i="16"/>
  <c r="AC1718" i="16"/>
  <c r="AJ1718" i="16"/>
  <c r="AF1718" i="16"/>
  <c r="AH1718" i="16"/>
  <c r="AE1718" i="16"/>
  <c r="Z1720" i="16"/>
  <c r="AA1720" i="16" s="1"/>
  <c r="AF1665" i="16"/>
  <c r="AF1669" i="16"/>
  <c r="AF1671" i="16"/>
  <c r="AF1673" i="16"/>
  <c r="AF1675" i="16"/>
  <c r="AF1677" i="16"/>
  <c r="AH1678" i="16"/>
  <c r="AE1680" i="16"/>
  <c r="AH1682" i="16"/>
  <c r="AE1684" i="16"/>
  <c r="AH1686" i="16"/>
  <c r="Z1688" i="16"/>
  <c r="AA1688" i="16" s="1"/>
  <c r="AE1688" i="16"/>
  <c r="AH1690" i="16"/>
  <c r="Z1692" i="16"/>
  <c r="AA1692" i="16" s="1"/>
  <c r="AE1692" i="16"/>
  <c r="AE1694" i="16"/>
  <c r="AA1695" i="16"/>
  <c r="Z1709" i="16"/>
  <c r="AA1709" i="16" s="1"/>
  <c r="AA1711" i="16"/>
  <c r="AG1712" i="16"/>
  <c r="AC1712" i="16"/>
  <c r="AJ1712" i="16"/>
  <c r="AF1712" i="16"/>
  <c r="AH1712" i="16"/>
  <c r="AE1712" i="16"/>
  <c r="AI1716" i="16"/>
  <c r="AI1718" i="16"/>
  <c r="AE1678" i="16"/>
  <c r="AI1678" i="16"/>
  <c r="AG1680" i="16"/>
  <c r="AC1680" i="16"/>
  <c r="AF1680" i="16"/>
  <c r="AG1684" i="16"/>
  <c r="AF1684" i="16"/>
  <c r="Z1687" i="16"/>
  <c r="AA1687" i="16" s="1"/>
  <c r="AG1688" i="16"/>
  <c r="AC1688" i="16"/>
  <c r="AF1688" i="16"/>
  <c r="AA1689" i="16"/>
  <c r="AG1692" i="16"/>
  <c r="AC1692" i="16"/>
  <c r="AF1692" i="16"/>
  <c r="AA1693" i="16"/>
  <c r="AH1696" i="16"/>
  <c r="AG1696" i="16"/>
  <c r="AC1696" i="16"/>
  <c r="AJ1696" i="16"/>
  <c r="AH1698" i="16"/>
  <c r="AD1698" i="16"/>
  <c r="AG1698" i="16"/>
  <c r="AJ1698" i="16"/>
  <c r="AH1700" i="16"/>
  <c r="AG1700" i="16"/>
  <c r="AC1700" i="16"/>
  <c r="AJ1700" i="16"/>
  <c r="AH1702" i="16"/>
  <c r="AD1702" i="16"/>
  <c r="AG1702" i="16"/>
  <c r="AJ1702" i="16"/>
  <c r="AH1704" i="16"/>
  <c r="AD1704" i="16"/>
  <c r="AG1704" i="16"/>
  <c r="AC1704" i="16"/>
  <c r="Z1715" i="16"/>
  <c r="AA1715" i="16" s="1"/>
  <c r="Z1721" i="16"/>
  <c r="AA1721" i="16" s="1"/>
  <c r="Z1722" i="16"/>
  <c r="AA1722" i="16" s="1"/>
  <c r="AF1678" i="16"/>
  <c r="AH1680" i="16"/>
  <c r="AH1684" i="16"/>
  <c r="Z1696" i="16"/>
  <c r="AA1696" i="16" s="1"/>
  <c r="Z1694" i="16"/>
  <c r="AA1694" i="16" s="1"/>
  <c r="Z1686" i="16"/>
  <c r="AA1686" i="16" s="1"/>
  <c r="AH1688" i="16"/>
  <c r="Z1690" i="16"/>
  <c r="AA1690" i="16" s="1"/>
  <c r="AH1692" i="16"/>
  <c r="AI1694" i="16"/>
  <c r="AE1696" i="16"/>
  <c r="AA1697" i="16"/>
  <c r="AE1698" i="16"/>
  <c r="AE1700" i="16"/>
  <c r="AE1702" i="16"/>
  <c r="AE1704" i="16"/>
  <c r="AG1708" i="16"/>
  <c r="AC1708" i="16"/>
  <c r="AJ1708" i="16"/>
  <c r="AF1708" i="16"/>
  <c r="AI1708" i="16"/>
  <c r="AG1710" i="16"/>
  <c r="AC1710" i="16"/>
  <c r="AJ1710" i="16"/>
  <c r="AF1710" i="16"/>
  <c r="AH1710" i="16"/>
  <c r="AE1710" i="16"/>
  <c r="AG1714" i="16"/>
  <c r="AC1714" i="16"/>
  <c r="AJ1714" i="16"/>
  <c r="AF1714" i="16"/>
  <c r="AH1714" i="16"/>
  <c r="AE1714" i="16"/>
  <c r="Z1717" i="16"/>
  <c r="AA1717" i="16" s="1"/>
  <c r="Z1719" i="16"/>
  <c r="AA1719" i="16" s="1"/>
  <c r="Z1714" i="16"/>
  <c r="AA1714" i="16" s="1"/>
  <c r="Z1716" i="16"/>
  <c r="AA1716" i="16" s="1"/>
  <c r="Z1718" i="16"/>
  <c r="AA1718" i="16" s="1"/>
  <c r="AF1719" i="16"/>
  <c r="AJ1719" i="16"/>
  <c r="AH1720" i="16"/>
  <c r="AF1721" i="16"/>
  <c r="AD1722" i="16"/>
  <c r="AH1722" i="16"/>
  <c r="AD1723" i="16"/>
  <c r="AH1723" i="16"/>
  <c r="AC1724" i="16"/>
  <c r="AH1724" i="16"/>
  <c r="Z1725" i="16"/>
  <c r="AA1725" i="16" s="1"/>
  <c r="AH1727" i="16"/>
  <c r="AD1727" i="16"/>
  <c r="AG1727" i="16"/>
  <c r="AE1728" i="16"/>
  <c r="AE1729" i="16"/>
  <c r="AE1730" i="16"/>
  <c r="AE1731" i="16"/>
  <c r="AE1732" i="16"/>
  <c r="AE1733" i="16"/>
  <c r="AE1734" i="16"/>
  <c r="AE1735" i="16"/>
  <c r="AE1736" i="16"/>
  <c r="AE1737" i="16"/>
  <c r="AE1738" i="16"/>
  <c r="AE1739" i="16"/>
  <c r="Z1743" i="16"/>
  <c r="AA1743" i="16" s="1"/>
  <c r="Z1753" i="16"/>
  <c r="AA1753" i="16" s="1"/>
  <c r="Z1754" i="16"/>
  <c r="AE1720" i="16"/>
  <c r="AI1720" i="16"/>
  <c r="AE1722" i="16"/>
  <c r="AI1722" i="16"/>
  <c r="AF1726" i="16"/>
  <c r="AG1726" i="16"/>
  <c r="Z1729" i="16"/>
  <c r="AA1729" i="16" s="1"/>
  <c r="Z1730" i="16"/>
  <c r="AA1730" i="16" s="1"/>
  <c r="Z1732" i="16"/>
  <c r="AA1732" i="16" s="1"/>
  <c r="Z1733" i="16"/>
  <c r="AA1733" i="16" s="1"/>
  <c r="Z1735" i="16"/>
  <c r="AA1735" i="16" s="1"/>
  <c r="Z1736" i="16"/>
  <c r="AA1736" i="16" s="1"/>
  <c r="Z1737" i="16"/>
  <c r="AA1737" i="16" s="1"/>
  <c r="Z1739" i="16"/>
  <c r="AA1739" i="16" s="1"/>
  <c r="Z1740" i="16"/>
  <c r="AA1740" i="16" s="1"/>
  <c r="Z1749" i="16"/>
  <c r="AA1749" i="16" s="1"/>
  <c r="Z1750" i="16"/>
  <c r="AA1750" i="16" s="1"/>
  <c r="AE1679" i="16"/>
  <c r="AE1681" i="16"/>
  <c r="AE1683" i="16"/>
  <c r="AE1685" i="16"/>
  <c r="AE1687" i="16"/>
  <c r="AE1689" i="16"/>
  <c r="AE1691" i="16"/>
  <c r="AE1693" i="16"/>
  <c r="AE1695" i="16"/>
  <c r="AE1697" i="16"/>
  <c r="AI1697" i="16"/>
  <c r="AE1699" i="16"/>
  <c r="AI1699" i="16"/>
  <c r="AE1701" i="16"/>
  <c r="AI1701" i="16"/>
  <c r="AE1703" i="16"/>
  <c r="AI1703" i="16"/>
  <c r="AE1705" i="16"/>
  <c r="AI1705" i="16"/>
  <c r="AH1717" i="16"/>
  <c r="AH1719" i="16"/>
  <c r="AF1720" i="16"/>
  <c r="AJ1720" i="16"/>
  <c r="AD1721" i="16"/>
  <c r="AH1721" i="16"/>
  <c r="AF1722" i="16"/>
  <c r="AJ1722" i="16"/>
  <c r="AF1723" i="16"/>
  <c r="AJ1723" i="16"/>
  <c r="AH1725" i="16"/>
  <c r="AG1725" i="16"/>
  <c r="AC1726" i="16"/>
  <c r="AH1726" i="16"/>
  <c r="Z1727" i="16"/>
  <c r="AA1727" i="16" s="1"/>
  <c r="AE1727" i="16"/>
  <c r="AJ1727" i="16"/>
  <c r="Z1742" i="16"/>
  <c r="AA1742" i="16" s="1"/>
  <c r="AA1744" i="16"/>
  <c r="AA1747" i="16"/>
  <c r="AA1748" i="16"/>
  <c r="AF1697" i="16"/>
  <c r="AF1699" i="16"/>
  <c r="AF1701" i="16"/>
  <c r="AF1703" i="16"/>
  <c r="AF1705" i="16"/>
  <c r="AE1707" i="16"/>
  <c r="AE1709" i="16"/>
  <c r="AE1711" i="16"/>
  <c r="AE1715" i="16"/>
  <c r="AE1717" i="16"/>
  <c r="AE1719" i="16"/>
  <c r="AC1720" i="16"/>
  <c r="AE1721" i="16"/>
  <c r="AC1723" i="16"/>
  <c r="AJ1724" i="16"/>
  <c r="AF1724" i="16"/>
  <c r="AG1724" i="16"/>
  <c r="AD1726" i="16"/>
  <c r="AI1726" i="16"/>
  <c r="AH1728" i="16"/>
  <c r="AJ1728" i="16"/>
  <c r="AF1728" i="16"/>
  <c r="AC1728" i="16"/>
  <c r="AF1729" i="16"/>
  <c r="AH1729" i="16"/>
  <c r="AD1729" i="16"/>
  <c r="AC1729" i="16"/>
  <c r="AH1730" i="16"/>
  <c r="AD1730" i="16"/>
  <c r="AJ1730" i="16"/>
  <c r="AF1730" i="16"/>
  <c r="AJ1731" i="16"/>
  <c r="AF1731" i="16"/>
  <c r="AH1731" i="16"/>
  <c r="AC1731" i="16"/>
  <c r="AH1732" i="16"/>
  <c r="AD1732" i="16"/>
  <c r="AF1732" i="16"/>
  <c r="AC1732" i="16"/>
  <c r="AJ1733" i="16"/>
  <c r="AF1733" i="16"/>
  <c r="AH1733" i="16"/>
  <c r="AD1733" i="16"/>
  <c r="AH1734" i="16"/>
  <c r="AJ1734" i="16"/>
  <c r="AF1734" i="16"/>
  <c r="AC1734" i="16"/>
  <c r="AJ1735" i="16"/>
  <c r="AF1735" i="16"/>
  <c r="AH1735" i="16"/>
  <c r="AC1735" i="16"/>
  <c r="AH1736" i="16"/>
  <c r="AD1736" i="16"/>
  <c r="AF1736" i="16"/>
  <c r="AC1736" i="16"/>
  <c r="AJ1737" i="16"/>
  <c r="AF1737" i="16"/>
  <c r="AH1737" i="16"/>
  <c r="AD1737" i="16"/>
  <c r="AH1738" i="16"/>
  <c r="AD1738" i="16"/>
  <c r="AJ1738" i="16"/>
  <c r="AF1738" i="16"/>
  <c r="AC1738" i="16"/>
  <c r="AF1739" i="16"/>
  <c r="AH1739" i="16"/>
  <c r="AD1739" i="16"/>
  <c r="AC1739" i="16"/>
  <c r="AH1740" i="16"/>
  <c r="AD1740" i="16"/>
  <c r="AJ1740" i="16"/>
  <c r="AF1740" i="16"/>
  <c r="AA1751" i="16"/>
  <c r="AA1755" i="16"/>
  <c r="AE1742" i="16"/>
  <c r="AG1743" i="16"/>
  <c r="AE1744" i="16"/>
  <c r="AC1745" i="16"/>
  <c r="AG1745" i="16"/>
  <c r="AE1746" i="16"/>
  <c r="AC1747" i="16"/>
  <c r="AG1747" i="16"/>
  <c r="AE1748" i="16"/>
  <c r="AD1749" i="16"/>
  <c r="AG1751" i="16"/>
  <c r="AC1751" i="16"/>
  <c r="AF1751" i="16"/>
  <c r="AA1752" i="16"/>
  <c r="AG1755" i="16"/>
  <c r="AF1755" i="16"/>
  <c r="AA1756" i="16"/>
  <c r="AD1757" i="16"/>
  <c r="AH1762" i="16"/>
  <c r="AD1762" i="16"/>
  <c r="AF1762" i="16"/>
  <c r="AC1762" i="16"/>
  <c r="AJ1763" i="16"/>
  <c r="AF1763" i="16"/>
  <c r="AH1763" i="16"/>
  <c r="AD1763" i="16"/>
  <c r="AH1764" i="16"/>
  <c r="AD1764" i="16"/>
  <c r="AG1764" i="16"/>
  <c r="AC1764" i="16"/>
  <c r="AJ1764" i="16"/>
  <c r="AF1764" i="16"/>
  <c r="AE1764" i="16"/>
  <c r="Z1766" i="16"/>
  <c r="AA1766" i="16" s="1"/>
  <c r="AH1768" i="16"/>
  <c r="AD1768" i="16"/>
  <c r="AG1768" i="16"/>
  <c r="AJ1768" i="16"/>
  <c r="AF1768" i="16"/>
  <c r="AE1768" i="16"/>
  <c r="Z1770" i="16"/>
  <c r="AA1770" i="16" s="1"/>
  <c r="AJ1784" i="16"/>
  <c r="Z1757" i="16"/>
  <c r="AA1757" i="16" s="1"/>
  <c r="AA1758" i="16"/>
  <c r="AB1758" i="16" s="1"/>
  <c r="Z1767" i="16"/>
  <c r="AA1767" i="16" s="1"/>
  <c r="AE1743" i="16"/>
  <c r="AE1745" i="16"/>
  <c r="AE1747" i="16"/>
  <c r="AG1749" i="16"/>
  <c r="AC1749" i="16"/>
  <c r="AF1749" i="16"/>
  <c r="AD1751" i="16"/>
  <c r="AI1751" i="16"/>
  <c r="AG1753" i="16"/>
  <c r="AC1753" i="16"/>
  <c r="AF1753" i="16"/>
  <c r="AA1754" i="16"/>
  <c r="AD1755" i="16"/>
  <c r="AI1755" i="16"/>
  <c r="AG1757" i="16"/>
  <c r="AI1757" i="16"/>
  <c r="AF1757" i="16"/>
  <c r="AG1762" i="16"/>
  <c r="Z1763" i="16"/>
  <c r="AA1763" i="16" s="1"/>
  <c r="AB1762" i="16" s="1"/>
  <c r="AJ1762" i="16" s="1"/>
  <c r="AG1763" i="16"/>
  <c r="AH1766" i="16"/>
  <c r="AG1766" i="16"/>
  <c r="AC1766" i="16"/>
  <c r="AJ1766" i="16"/>
  <c r="AF1766" i="16"/>
  <c r="AE1766" i="16"/>
  <c r="Z1768" i="16"/>
  <c r="AA1768" i="16" s="1"/>
  <c r="AH1770" i="16"/>
  <c r="AD1770" i="16"/>
  <c r="AG1770" i="16"/>
  <c r="AJ1770" i="16"/>
  <c r="AF1770" i="16"/>
  <c r="AE1770" i="16"/>
  <c r="AJ1779" i="16"/>
  <c r="Z1776" i="16"/>
  <c r="AA1776" i="16" s="1"/>
  <c r="AG1785" i="16"/>
  <c r="AC1785" i="16"/>
  <c r="AJ1785" i="16"/>
  <c r="AF1785" i="16"/>
  <c r="AI1785" i="16"/>
  <c r="AG1787" i="16"/>
  <c r="AC1787" i="16"/>
  <c r="AJ1787" i="16"/>
  <c r="AF1787" i="16"/>
  <c r="AI1787" i="16"/>
  <c r="AG1789" i="16"/>
  <c r="AC1789" i="16"/>
  <c r="AJ1789" i="16"/>
  <c r="AF1789" i="16"/>
  <c r="AI1789" i="16"/>
  <c r="Z1795" i="16"/>
  <c r="AA1795" i="16" s="1"/>
  <c r="Z1797" i="16"/>
  <c r="AA1797" i="16" s="1"/>
  <c r="Z1798" i="16"/>
  <c r="AA1798" i="16" s="1"/>
  <c r="Z1799" i="16"/>
  <c r="AA1799" i="16" s="1"/>
  <c r="Z1800" i="16"/>
  <c r="AA1800" i="16" s="1"/>
  <c r="Z1801" i="16"/>
  <c r="AA1801" i="16" s="1"/>
  <c r="Z1802" i="16"/>
  <c r="AA1802" i="16" s="1"/>
  <c r="Z1803" i="16"/>
  <c r="AA1803" i="16" s="1"/>
  <c r="Z1804" i="16"/>
  <c r="AA1804" i="16" s="1"/>
  <c r="Z1806" i="16"/>
  <c r="AA1806" i="16" s="1"/>
  <c r="AE1759" i="16"/>
  <c r="AI1759" i="16"/>
  <c r="AH1765" i="16"/>
  <c r="AD1767" i="16"/>
  <c r="AH1767" i="16"/>
  <c r="AD1769" i="16"/>
  <c r="AH1769" i="16"/>
  <c r="AD1771" i="16"/>
  <c r="AH1771" i="16"/>
  <c r="AD1773" i="16"/>
  <c r="AC1775" i="16"/>
  <c r="AG1775" i="16"/>
  <c r="AE1776" i="16"/>
  <c r="AI1776" i="16"/>
  <c r="AC1777" i="16"/>
  <c r="AG1777" i="16"/>
  <c r="AE1778" i="16"/>
  <c r="AI1778" i="16"/>
  <c r="AC1779" i="16"/>
  <c r="AG1779" i="16"/>
  <c r="AE1780" i="16"/>
  <c r="AI1780" i="16"/>
  <c r="AC1781" i="16"/>
  <c r="AE1782" i="16"/>
  <c r="AH1784" i="16"/>
  <c r="AD1784" i="16"/>
  <c r="AG1784" i="16"/>
  <c r="AD1785" i="16"/>
  <c r="AA1786" i="16"/>
  <c r="AB1786" i="16" s="1"/>
  <c r="AG1791" i="16"/>
  <c r="AC1791" i="16"/>
  <c r="AJ1791" i="16"/>
  <c r="AF1791" i="16"/>
  <c r="AI1791" i="16"/>
  <c r="Z1809" i="16"/>
  <c r="AA1809" i="16" s="1"/>
  <c r="AE1765" i="16"/>
  <c r="AI1765" i="16"/>
  <c r="AE1767" i="16"/>
  <c r="AI1767" i="16"/>
  <c r="AE1769" i="16"/>
  <c r="AI1769" i="16"/>
  <c r="AE1771" i="16"/>
  <c r="AI1771" i="16"/>
  <c r="AE1773" i="16"/>
  <c r="AI1773" i="16"/>
  <c r="Z1775" i="16"/>
  <c r="AA1775" i="16" s="1"/>
  <c r="AJ1783" i="16"/>
  <c r="AF1783" i="16"/>
  <c r="AG1783" i="16"/>
  <c r="AE1785" i="16"/>
  <c r="AE1787" i="16"/>
  <c r="Z1788" i="16"/>
  <c r="AA1788" i="16" s="1"/>
  <c r="AE1789" i="16"/>
  <c r="Z1790" i="16"/>
  <c r="AA1790" i="16" s="1"/>
  <c r="Z1808" i="16"/>
  <c r="AA1808" i="16" s="1"/>
  <c r="AE1750" i="16"/>
  <c r="AE1752" i="16"/>
  <c r="AE1754" i="16"/>
  <c r="AE1756" i="16"/>
  <c r="AE1758" i="16"/>
  <c r="AC1759" i="16"/>
  <c r="AE1760" i="16"/>
  <c r="AF1765" i="16"/>
  <c r="AF1767" i="16"/>
  <c r="AF1769" i="16"/>
  <c r="AF1771" i="16"/>
  <c r="AF1773" i="16"/>
  <c r="AE1775" i="16"/>
  <c r="AE1777" i="16"/>
  <c r="AC1778" i="16"/>
  <c r="AE1779" i="16"/>
  <c r="AC1780" i="16"/>
  <c r="AF1781" i="16"/>
  <c r="AE1781" i="16"/>
  <c r="AH1782" i="16"/>
  <c r="AD1782" i="16"/>
  <c r="AG1782" i="16"/>
  <c r="AC1783" i="16"/>
  <c r="AH1783" i="16"/>
  <c r="AH1785" i="16"/>
  <c r="Z1787" i="16"/>
  <c r="AA1787" i="16" s="1"/>
  <c r="AH1787" i="16"/>
  <c r="Z1789" i="16"/>
  <c r="AA1789" i="16" s="1"/>
  <c r="AH1789" i="16"/>
  <c r="Z1792" i="16"/>
  <c r="AA1792" i="16" s="1"/>
  <c r="Z1807" i="16"/>
  <c r="AA1807" i="16" s="1"/>
  <c r="AD1786" i="16"/>
  <c r="AH1786" i="16"/>
  <c r="AH1788" i="16"/>
  <c r="AF1793" i="16"/>
  <c r="AH1794" i="16"/>
  <c r="AJ1794" i="16"/>
  <c r="AF1794" i="16"/>
  <c r="AC1794" i="16"/>
  <c r="AF1795" i="16"/>
  <c r="AH1795" i="16"/>
  <c r="AD1795" i="16"/>
  <c r="AC1795" i="16"/>
  <c r="AH1796" i="16"/>
  <c r="AJ1796" i="16"/>
  <c r="AF1796" i="16"/>
  <c r="AC1796" i="16"/>
  <c r="AJ1797" i="16"/>
  <c r="AF1797" i="16"/>
  <c r="AH1797" i="16"/>
  <c r="AC1797" i="16"/>
  <c r="AH1798" i="16"/>
  <c r="AJ1798" i="16"/>
  <c r="AF1798" i="16"/>
  <c r="AC1798" i="16"/>
  <c r="AJ1799" i="16"/>
  <c r="AF1799" i="16"/>
  <c r="AH1799" i="16"/>
  <c r="AC1799" i="16"/>
  <c r="AH1800" i="16"/>
  <c r="AJ1800" i="16"/>
  <c r="AF1800" i="16"/>
  <c r="AC1800" i="16"/>
  <c r="AJ1801" i="16"/>
  <c r="AF1801" i="16"/>
  <c r="AH1801" i="16"/>
  <c r="AC1801" i="16"/>
  <c r="AH1802" i="16"/>
  <c r="AJ1802" i="16"/>
  <c r="AF1802" i="16"/>
  <c r="AC1802" i="16"/>
  <c r="AJ1803" i="16"/>
  <c r="AF1803" i="16"/>
  <c r="AH1803" i="16"/>
  <c r="AC1803" i="16"/>
  <c r="AH1804" i="16"/>
  <c r="AD1804" i="16"/>
  <c r="AF1804" i="16"/>
  <c r="AC1804" i="16"/>
  <c r="AJ1805" i="16"/>
  <c r="AF1805" i="16"/>
  <c r="AD1805" i="16"/>
  <c r="AC1805" i="16"/>
  <c r="Z1812" i="16"/>
  <c r="AA1812" i="16" s="1"/>
  <c r="AH1814" i="16"/>
  <c r="AD1814" i="16"/>
  <c r="AC1814" i="16"/>
  <c r="AJ1814" i="16"/>
  <c r="AF1814" i="16"/>
  <c r="AE1814" i="16"/>
  <c r="Z1816" i="16"/>
  <c r="AA1816" i="16" s="1"/>
  <c r="AH1818" i="16"/>
  <c r="AD1818" i="16"/>
  <c r="AC1818" i="16"/>
  <c r="AJ1818" i="16"/>
  <c r="AF1818" i="16"/>
  <c r="AE1818" i="16"/>
  <c r="Z1820" i="16"/>
  <c r="AA1820" i="16" s="1"/>
  <c r="AE1786" i="16"/>
  <c r="AE1788" i="16"/>
  <c r="AE1790" i="16"/>
  <c r="AE1792" i="16"/>
  <c r="AC1793" i="16"/>
  <c r="AG1793" i="16"/>
  <c r="AE1794" i="16"/>
  <c r="AE1795" i="16"/>
  <c r="AE1796" i="16"/>
  <c r="AE1797" i="16"/>
  <c r="AE1798" i="16"/>
  <c r="AE1799" i="16"/>
  <c r="AE1800" i="16"/>
  <c r="AE1801" i="16"/>
  <c r="AE1802" i="16"/>
  <c r="AE1803" i="16"/>
  <c r="AE1804" i="16"/>
  <c r="AE1805" i="16"/>
  <c r="Z1813" i="16"/>
  <c r="AA1813" i="16" s="1"/>
  <c r="AI1814" i="16"/>
  <c r="Z1817" i="16"/>
  <c r="AA1817" i="16" s="1"/>
  <c r="AI1818" i="16"/>
  <c r="Z1821" i="16"/>
  <c r="AA1821" i="16" s="1"/>
  <c r="Z1810" i="16"/>
  <c r="AA1810" i="16" s="1"/>
  <c r="Z1814" i="16"/>
  <c r="AA1814" i="16" s="1"/>
  <c r="AD1816" i="16"/>
  <c r="AG1816" i="16"/>
  <c r="AC1816" i="16"/>
  <c r="AJ1816" i="16"/>
  <c r="AF1816" i="16"/>
  <c r="AE1816" i="16"/>
  <c r="Z1818" i="16"/>
  <c r="AA1818" i="16" s="1"/>
  <c r="AH1820" i="16"/>
  <c r="AD1820" i="16"/>
  <c r="AG1820" i="16"/>
  <c r="AC1820" i="16"/>
  <c r="AJ1820" i="16"/>
  <c r="AF1820" i="16"/>
  <c r="AE1820" i="16"/>
  <c r="AE1793" i="16"/>
  <c r="AI1793" i="16"/>
  <c r="Z1811" i="16"/>
  <c r="AA1811" i="16" s="1"/>
  <c r="Z1815" i="16"/>
  <c r="AA1815" i="16" s="1"/>
  <c r="Z1819" i="16"/>
  <c r="AA1819" i="16" s="1"/>
  <c r="AH1815" i="16"/>
  <c r="AD1819" i="16"/>
  <c r="AH1819" i="16"/>
  <c r="AD1821" i="16"/>
  <c r="AH1821" i="16"/>
  <c r="AE1815" i="16"/>
  <c r="AI1815" i="16"/>
  <c r="AE1819" i="16"/>
  <c r="AI1819" i="16"/>
  <c r="AE1821" i="16"/>
  <c r="AI1821" i="16"/>
  <c r="AF1815" i="16"/>
  <c r="AF1821" i="16"/>
  <c r="AA282" i="17"/>
  <c r="AA283" i="17" s="1"/>
  <c r="Q176" i="17"/>
  <c r="AB1770" i="16" l="1"/>
  <c r="AB1491" i="16"/>
  <c r="AB1768" i="16"/>
  <c r="AC1768" i="16" s="1"/>
  <c r="AB1727" i="16"/>
  <c r="AB1740" i="16"/>
  <c r="AC1740" i="16" s="1"/>
  <c r="AB1792" i="16"/>
  <c r="AK1823" i="16"/>
  <c r="AK1782" i="16"/>
  <c r="AB1752" i="16"/>
  <c r="AK1551" i="16"/>
  <c r="AB1769" i="16"/>
  <c r="AJ1769" i="16" s="1"/>
  <c r="AK1783" i="16"/>
  <c r="AK1764" i="16"/>
  <c r="AB1747" i="16"/>
  <c r="AB1732" i="16"/>
  <c r="AJ1732" i="16" s="1"/>
  <c r="AK1779" i="16"/>
  <c r="AB1766" i="16"/>
  <c r="AD1766" i="16" s="1"/>
  <c r="AK1781" i="16"/>
  <c r="AK1777" i="16"/>
  <c r="AB1819" i="16"/>
  <c r="AF1819" i="16" s="1"/>
  <c r="AK1780" i="16"/>
  <c r="AK1785" i="16"/>
  <c r="AK1723" i="16"/>
  <c r="AB1738" i="16"/>
  <c r="AB1717" i="16"/>
  <c r="AB1731" i="16"/>
  <c r="AD1731" i="16" s="1"/>
  <c r="AB1642" i="16"/>
  <c r="AB1615" i="16"/>
  <c r="AB1601" i="16"/>
  <c r="AJ1601" i="16" s="1"/>
  <c r="AK1601" i="16" s="1"/>
  <c r="AB1585" i="16"/>
  <c r="AI1585" i="16" s="1"/>
  <c r="AK1585" i="16" s="1"/>
  <c r="AB1549" i="16"/>
  <c r="AB1567" i="16"/>
  <c r="AG1567" i="16" s="1"/>
  <c r="AB1522" i="16"/>
  <c r="AB1513" i="16"/>
  <c r="AB1498" i="16"/>
  <c r="AB1754" i="16"/>
  <c r="AB1676" i="16"/>
  <c r="AD1676" i="16" s="1"/>
  <c r="AK1676" i="16" s="1"/>
  <c r="AB1742" i="16"/>
  <c r="AB1811" i="16"/>
  <c r="AB1794" i="16"/>
  <c r="AD1794" i="16" s="1"/>
  <c r="AK1794" i="16" s="1"/>
  <c r="AK1778" i="16"/>
  <c r="AK1771" i="16"/>
  <c r="AK1784" i="16"/>
  <c r="AB1804" i="16"/>
  <c r="AJ1804" i="16" s="1"/>
  <c r="AB1776" i="16"/>
  <c r="AC1776" i="16" s="1"/>
  <c r="AK1776" i="16" s="1"/>
  <c r="AB1765" i="16"/>
  <c r="AD1765" i="16" s="1"/>
  <c r="AB1757" i="16"/>
  <c r="AB1736" i="16"/>
  <c r="AJ1736" i="16" s="1"/>
  <c r="AK1736" i="16" s="1"/>
  <c r="AB1730" i="16"/>
  <c r="AC1730" i="16" s="1"/>
  <c r="AB1687" i="16"/>
  <c r="AD1687" i="16" s="1"/>
  <c r="AK1687" i="16" s="1"/>
  <c r="AB1496" i="16"/>
  <c r="AB1749" i="16"/>
  <c r="AB1760" i="16"/>
  <c r="AB1666" i="16"/>
  <c r="AC1666" i="16" s="1"/>
  <c r="AK1666" i="16" s="1"/>
  <c r="AB1654" i="16"/>
  <c r="AD1654" i="16" s="1"/>
  <c r="AK1654" i="16" s="1"/>
  <c r="AB1577" i="16"/>
  <c r="AJ1577" i="16" s="1"/>
  <c r="AK1577" i="16" s="1"/>
  <c r="AK1552" i="16"/>
  <c r="AB1509" i="16"/>
  <c r="AF1509" i="16" s="1"/>
  <c r="AK1509" i="16" s="1"/>
  <c r="AB1502" i="16"/>
  <c r="AD1502" i="16" s="1"/>
  <c r="AK1502" i="16" s="1"/>
  <c r="AB1719" i="16"/>
  <c r="AB1696" i="16"/>
  <c r="AB1674" i="16"/>
  <c r="AB1621" i="16"/>
  <c r="AB1569" i="16"/>
  <c r="AB1575" i="16"/>
  <c r="AB1560" i="16"/>
  <c r="AB1510" i="16"/>
  <c r="AB1492" i="16"/>
  <c r="AG1738" i="16"/>
  <c r="AK1738" i="16" s="1"/>
  <c r="AB1704" i="16"/>
  <c r="AB1703" i="16"/>
  <c r="AB1705" i="16"/>
  <c r="AB1700" i="16"/>
  <c r="AB1699" i="16"/>
  <c r="AB1701" i="16"/>
  <c r="AB1672" i="16"/>
  <c r="AB1671" i="16"/>
  <c r="AB1673" i="16"/>
  <c r="AI1615" i="16"/>
  <c r="AK1615" i="16" s="1"/>
  <c r="AB1604" i="16"/>
  <c r="AB1620" i="16"/>
  <c r="AB1606" i="16"/>
  <c r="AB1616" i="16"/>
  <c r="AB1622" i="16"/>
  <c r="AB1603" i="16"/>
  <c r="AE1603" i="16" s="1"/>
  <c r="AB1624" i="16"/>
  <c r="AB1593" i="16"/>
  <c r="AI1549" i="16"/>
  <c r="AK1549" i="16" s="1"/>
  <c r="AB1599" i="16"/>
  <c r="AB1548" i="16"/>
  <c r="AB1553" i="16"/>
  <c r="AF1553" i="16" s="1"/>
  <c r="AB1556" i="16"/>
  <c r="AB1559" i="16"/>
  <c r="AB1516" i="16"/>
  <c r="AB1540" i="16"/>
  <c r="AJ1513" i="16"/>
  <c r="AK1513" i="16" s="1"/>
  <c r="AB1520" i="16"/>
  <c r="AB1506" i="16"/>
  <c r="AB1788" i="16"/>
  <c r="AB1791" i="16"/>
  <c r="AD1717" i="16"/>
  <c r="AK1717" i="16" s="1"/>
  <c r="AB1721" i="16"/>
  <c r="AG1642" i="16"/>
  <c r="AK1642" i="16" s="1"/>
  <c r="AB1772" i="16"/>
  <c r="AC1727" i="16"/>
  <c r="AK1727" i="16" s="1"/>
  <c r="AB1724" i="16"/>
  <c r="AB1715" i="16"/>
  <c r="AB1639" i="16"/>
  <c r="AB1638" i="16"/>
  <c r="AB1648" i="16"/>
  <c r="AB1670" i="16"/>
  <c r="AB1619" i="16"/>
  <c r="AB1573" i="16"/>
  <c r="AB1528" i="16"/>
  <c r="AB1500" i="16"/>
  <c r="AB1536" i="16"/>
  <c r="AB1534" i="16"/>
  <c r="AB1535" i="16"/>
  <c r="AB1521" i="16"/>
  <c r="AB1494" i="16"/>
  <c r="AD1792" i="16"/>
  <c r="AK1792" i="16" s="1"/>
  <c r="AB1790" i="16"/>
  <c r="AC1757" i="16"/>
  <c r="AK1757" i="16" s="1"/>
  <c r="AB1709" i="16"/>
  <c r="AB1713" i="16"/>
  <c r="AB1706" i="16"/>
  <c r="AB1708" i="16"/>
  <c r="AB1702" i="16"/>
  <c r="AB1698" i="16"/>
  <c r="AB1668" i="16"/>
  <c r="AB1667" i="16"/>
  <c r="AH1667" i="16" s="1"/>
  <c r="AB1669" i="16"/>
  <c r="AB1646" i="16"/>
  <c r="AB1597" i="16"/>
  <c r="AB1589" i="16"/>
  <c r="AB1581" i="16"/>
  <c r="AB1493" i="16"/>
  <c r="AB1530" i="16"/>
  <c r="AB1514" i="16"/>
  <c r="AB1817" i="16"/>
  <c r="AB1820" i="16"/>
  <c r="AB1816" i="16"/>
  <c r="AB1812" i="16"/>
  <c r="AB1789" i="16"/>
  <c r="AJ1786" i="16"/>
  <c r="AK1786" i="16" s="1"/>
  <c r="AB1803" i="16"/>
  <c r="AB1799" i="16"/>
  <c r="AB1795" i="16"/>
  <c r="AB1774" i="16"/>
  <c r="AB1750" i="16"/>
  <c r="AK1766" i="16"/>
  <c r="AC1752" i="16"/>
  <c r="AK1752" i="16" s="1"/>
  <c r="AB1759" i="16"/>
  <c r="AB1746" i="16"/>
  <c r="AB1745" i="16"/>
  <c r="AB1744" i="16"/>
  <c r="AK1740" i="16"/>
  <c r="AB1735" i="16"/>
  <c r="AB1729" i="16"/>
  <c r="AB1718" i="16"/>
  <c r="AB1697" i="16"/>
  <c r="AB1690" i="16"/>
  <c r="AB1693" i="16"/>
  <c r="AB1689" i="16"/>
  <c r="AB1692" i="16"/>
  <c r="AH1604" i="16"/>
  <c r="AB1720" i="16"/>
  <c r="AB1656" i="16"/>
  <c r="AB1640" i="16"/>
  <c r="AB1677" i="16"/>
  <c r="AB1655" i="16"/>
  <c r="AF1638" i="16"/>
  <c r="AB1682" i="16"/>
  <c r="AB1613" i="16"/>
  <c r="AB1583" i="16"/>
  <c r="AB1612" i="16"/>
  <c r="AB1550" i="16"/>
  <c r="AB1664" i="16"/>
  <c r="AB1610" i="16"/>
  <c r="AB1605" i="16"/>
  <c r="AH1567" i="16"/>
  <c r="AB1588" i="16"/>
  <c r="AB1526" i="16"/>
  <c r="AB1542" i="16"/>
  <c r="AB1555" i="16"/>
  <c r="AB1539" i="16"/>
  <c r="AB1545" i="16"/>
  <c r="AB1507" i="16"/>
  <c r="AB1499" i="16"/>
  <c r="AB1537" i="16"/>
  <c r="AB1533" i="16"/>
  <c r="AB1523" i="16"/>
  <c r="AB1505" i="16"/>
  <c r="AB1815" i="16"/>
  <c r="AB1818" i="16"/>
  <c r="AB1814" i="16"/>
  <c r="AB1810" i="16"/>
  <c r="AB1807" i="16"/>
  <c r="AB1806" i="16"/>
  <c r="AB1802" i="16"/>
  <c r="AB1798" i="16"/>
  <c r="AB1773" i="16"/>
  <c r="AK1765" i="16"/>
  <c r="AC1770" i="16"/>
  <c r="AK1770" i="16" s="1"/>
  <c r="AK1768" i="16"/>
  <c r="AB1767" i="16"/>
  <c r="AB1755" i="16"/>
  <c r="AB1743" i="16"/>
  <c r="AB1753" i="16"/>
  <c r="AB1739" i="16"/>
  <c r="AB1733" i="16"/>
  <c r="AB1716" i="16"/>
  <c r="AB1734" i="16"/>
  <c r="AB1685" i="16"/>
  <c r="AB1681" i="16"/>
  <c r="AB1695" i="16"/>
  <c r="AB1728" i="16"/>
  <c r="AF1639" i="16"/>
  <c r="AF1604" i="16"/>
  <c r="AB1679" i="16"/>
  <c r="AB1680" i="16"/>
  <c r="AB1675" i="16"/>
  <c r="AB1647" i="16"/>
  <c r="AB1650" i="16"/>
  <c r="AB1625" i="16"/>
  <c r="AB1609" i="16"/>
  <c r="AB1587" i="16"/>
  <c r="AB1611" i="16"/>
  <c r="AB1602" i="16"/>
  <c r="AB1594" i="16"/>
  <c r="AB1586" i="16"/>
  <c r="AB1578" i="16"/>
  <c r="AB1570" i="16"/>
  <c r="AI1567" i="16"/>
  <c r="AH1639" i="16"/>
  <c r="AB1584" i="16"/>
  <c r="AB1580" i="16"/>
  <c r="AB1591" i="16"/>
  <c r="AB1557" i="16"/>
  <c r="AB1565" i="16"/>
  <c r="AB1538" i="16"/>
  <c r="AB1511" i="16"/>
  <c r="AC1491" i="16"/>
  <c r="AK1491" i="16" s="1"/>
  <c r="AB1543" i="16"/>
  <c r="AB1519" i="16"/>
  <c r="AB1501" i="16"/>
  <c r="AB1490" i="16"/>
  <c r="AK1819" i="16"/>
  <c r="AB1813" i="16"/>
  <c r="AB1787" i="16"/>
  <c r="AB1809" i="16"/>
  <c r="AB1805" i="16"/>
  <c r="AB1801" i="16"/>
  <c r="AB1797" i="16"/>
  <c r="AB1793" i="16"/>
  <c r="AB1763" i="16"/>
  <c r="AB1761" i="16"/>
  <c r="AJ1754" i="16"/>
  <c r="AK1754" i="16" s="1"/>
  <c r="AF1758" i="16"/>
  <c r="AK1758" i="16" s="1"/>
  <c r="AB1751" i="16"/>
  <c r="AB1748" i="16"/>
  <c r="AB1737" i="16"/>
  <c r="AK1732" i="16"/>
  <c r="AB1714" i="16"/>
  <c r="AI1528" i="16"/>
  <c r="AB1686" i="16"/>
  <c r="AB1726" i="16"/>
  <c r="AB1710" i="16"/>
  <c r="AB1691" i="16"/>
  <c r="AI1553" i="16"/>
  <c r="AB1665" i="16"/>
  <c r="AB1678" i="16"/>
  <c r="AB1660" i="16"/>
  <c r="AB1644" i="16"/>
  <c r="AG1663" i="16"/>
  <c r="AK1663" i="16" s="1"/>
  <c r="AB1659" i="16"/>
  <c r="AB1684" i="16"/>
  <c r="AI1638" i="16"/>
  <c r="AB1658" i="16"/>
  <c r="AB1608" i="16"/>
  <c r="AB1614" i="16"/>
  <c r="AG1553" i="16"/>
  <c r="AB1618" i="16"/>
  <c r="AG1638" i="16"/>
  <c r="AB1600" i="16"/>
  <c r="AB1576" i="16"/>
  <c r="AB1563" i="16"/>
  <c r="AB1518" i="16"/>
  <c r="AB1546" i="16"/>
  <c r="AF1546" i="16" s="1"/>
  <c r="AB1564" i="16"/>
  <c r="AB1532" i="16"/>
  <c r="AB1515" i="16"/>
  <c r="AB1503" i="16"/>
  <c r="AH1503" i="16" s="1"/>
  <c r="AB1495" i="16"/>
  <c r="AB1541" i="16"/>
  <c r="AB1527" i="16"/>
  <c r="AI1503" i="16"/>
  <c r="AB1497" i="16"/>
  <c r="AB1508" i="16"/>
  <c r="AB1525" i="16"/>
  <c r="AB1512" i="16"/>
  <c r="AB1488" i="16"/>
  <c r="AB1821" i="16"/>
  <c r="AB1808" i="16"/>
  <c r="AK1804" i="16"/>
  <c r="AB1800" i="16"/>
  <c r="AB1796" i="16"/>
  <c r="AK1769" i="16"/>
  <c r="AB1775" i="16"/>
  <c r="AB1756" i="16"/>
  <c r="AK1762" i="16"/>
  <c r="AJ1749" i="16"/>
  <c r="AK1749" i="16" s="1"/>
  <c r="AJ1747" i="16"/>
  <c r="AK1747" i="16" s="1"/>
  <c r="AC1760" i="16"/>
  <c r="AK1760" i="16" s="1"/>
  <c r="AK1730" i="16"/>
  <c r="AJ1742" i="16"/>
  <c r="AK1742" i="16" s="1"/>
  <c r="AB1725" i="16"/>
  <c r="AB1741" i="16"/>
  <c r="AF1528" i="16"/>
  <c r="AB1707" i="16"/>
  <c r="AB1694" i="16"/>
  <c r="AB1722" i="16"/>
  <c r="AK1731" i="16"/>
  <c r="AB1711" i="16"/>
  <c r="AB1688" i="16"/>
  <c r="AB1712" i="16"/>
  <c r="AG1639" i="16"/>
  <c r="AG1604" i="16"/>
  <c r="AB1683" i="16"/>
  <c r="AE1553" i="16"/>
  <c r="AB1661" i="16"/>
  <c r="AB1657" i="16"/>
  <c r="AB1653" i="16"/>
  <c r="AB1649" i="16"/>
  <c r="AB1645" i="16"/>
  <c r="AB1641" i="16"/>
  <c r="AH1638" i="16"/>
  <c r="AH1553" i="16"/>
  <c r="AB1652" i="16"/>
  <c r="AF1652" i="16" s="1"/>
  <c r="AI1639" i="16"/>
  <c r="AB1651" i="16"/>
  <c r="AB1643" i="16"/>
  <c r="AH1652" i="16"/>
  <c r="AE1638" i="16"/>
  <c r="AB1662" i="16"/>
  <c r="AB1617" i="16"/>
  <c r="AI1604" i="16"/>
  <c r="AB1595" i="16"/>
  <c r="AB1571" i="16"/>
  <c r="AB1623" i="16"/>
  <c r="AI1603" i="16"/>
  <c r="AB1598" i="16"/>
  <c r="AB1590" i="16"/>
  <c r="AB1582" i="16"/>
  <c r="AB1574" i="16"/>
  <c r="AB1566" i="16"/>
  <c r="AB1562" i="16"/>
  <c r="AB1558" i="16"/>
  <c r="AB1554" i="16"/>
  <c r="AB1607" i="16"/>
  <c r="AB1596" i="16"/>
  <c r="AB1592" i="16"/>
  <c r="AI1592" i="16" s="1"/>
  <c r="AB1572" i="16"/>
  <c r="AB1568" i="16"/>
  <c r="AB1561" i="16"/>
  <c r="AH1528" i="16"/>
  <c r="AB1579" i="16"/>
  <c r="AF1579" i="16" s="1"/>
  <c r="AB1544" i="16"/>
  <c r="AB1529" i="16"/>
  <c r="AB1531" i="16"/>
  <c r="AB1547" i="16"/>
  <c r="AB1524" i="16"/>
  <c r="AB1517" i="16"/>
  <c r="AB1489" i="16"/>
  <c r="AB1504" i="16"/>
  <c r="I1877" i="16"/>
  <c r="J1877" i="16"/>
  <c r="K1877" i="16"/>
  <c r="L1877" i="16"/>
  <c r="M1877" i="16"/>
  <c r="N1877" i="16"/>
  <c r="O1877" i="16"/>
  <c r="P1877" i="16"/>
  <c r="Q1877" i="16"/>
  <c r="R1877" i="16"/>
  <c r="H1877" i="16"/>
  <c r="G1877" i="16"/>
  <c r="AF1567" i="16" l="1"/>
  <c r="AF1537" i="16" s="1"/>
  <c r="AF1503" i="16"/>
  <c r="AF1667" i="16"/>
  <c r="AI1667" i="16"/>
  <c r="AH1603" i="16"/>
  <c r="AG1603" i="16"/>
  <c r="AH1546" i="16"/>
  <c r="AF1603" i="16"/>
  <c r="AF1538" i="16"/>
  <c r="AF1520" i="16"/>
  <c r="AF1494" i="16"/>
  <c r="AF1809" i="16"/>
  <c r="AD1568" i="16"/>
  <c r="AK1568" i="16" s="1"/>
  <c r="AD1607" i="16"/>
  <c r="AK1607" i="16" s="1"/>
  <c r="AC1566" i="16"/>
  <c r="AK1566" i="16" s="1"/>
  <c r="AI1571" i="16"/>
  <c r="AK1571" i="16" s="1"/>
  <c r="AC1651" i="16"/>
  <c r="AK1651" i="16" s="1"/>
  <c r="AG1529" i="16"/>
  <c r="AK1529" i="16" s="1"/>
  <c r="AE1572" i="16"/>
  <c r="AK1572" i="16" s="1"/>
  <c r="AD1574" i="16"/>
  <c r="AK1574" i="16" s="1"/>
  <c r="AI1598" i="16"/>
  <c r="AK1598" i="16" s="1"/>
  <c r="AD1595" i="16"/>
  <c r="AK1595" i="16" s="1"/>
  <c r="AJ1662" i="16"/>
  <c r="AK1662" i="16" s="1"/>
  <c r="AH1592" i="16"/>
  <c r="AD1712" i="16"/>
  <c r="AK1712" i="16" s="1"/>
  <c r="AG1711" i="16"/>
  <c r="AD1707" i="16"/>
  <c r="AK1707" i="16" s="1"/>
  <c r="AG1741" i="16"/>
  <c r="AK1741" i="16" s="1"/>
  <c r="AD1796" i="16"/>
  <c r="AK1796" i="16" s="1"/>
  <c r="AC1821" i="16"/>
  <c r="AK1821" i="16" s="1"/>
  <c r="AH1527" i="16"/>
  <c r="AK1527" i="16" s="1"/>
  <c r="AI1508" i="16"/>
  <c r="AD1563" i="16"/>
  <c r="AK1563" i="16" s="1"/>
  <c r="AD1658" i="16"/>
  <c r="AK1658" i="16" s="1"/>
  <c r="AD1659" i="16"/>
  <c r="AK1659" i="16" s="1"/>
  <c r="AD1678" i="16"/>
  <c r="AK1678" i="16" s="1"/>
  <c r="AD1686" i="16"/>
  <c r="AK1686" i="16" s="1"/>
  <c r="AI1546" i="16"/>
  <c r="AC1748" i="16"/>
  <c r="AK1748" i="16" s="1"/>
  <c r="AD1793" i="16"/>
  <c r="AK1793" i="16" s="1"/>
  <c r="AJ1490" i="16"/>
  <c r="AK1490" i="16" s="1"/>
  <c r="AJ1565" i="16"/>
  <c r="AK1565" i="16" s="1"/>
  <c r="AD1594" i="16"/>
  <c r="AK1594" i="16" s="1"/>
  <c r="AD1587" i="16"/>
  <c r="AK1587" i="16" s="1"/>
  <c r="AJ1650" i="16"/>
  <c r="AK1650" i="16" s="1"/>
  <c r="AI1653" i="16"/>
  <c r="AF1554" i="16"/>
  <c r="AD1681" i="16"/>
  <c r="AK1681" i="16" s="1"/>
  <c r="AD1716" i="16"/>
  <c r="AK1716" i="16" s="1"/>
  <c r="AC1743" i="16"/>
  <c r="AK1743" i="16" s="1"/>
  <c r="AD1802" i="16"/>
  <c r="AK1802" i="16" s="1"/>
  <c r="AG1814" i="16"/>
  <c r="AK1814" i="16" s="1"/>
  <c r="AI1505" i="16"/>
  <c r="AK1505" i="16" s="1"/>
  <c r="AH1537" i="16"/>
  <c r="AH1493" i="16"/>
  <c r="AH1808" i="16"/>
  <c r="AH1519" i="16"/>
  <c r="AC1550" i="16"/>
  <c r="AK1550" i="16" s="1"/>
  <c r="AI1583" i="16"/>
  <c r="AK1583" i="16" s="1"/>
  <c r="AF1541" i="16"/>
  <c r="AF1812" i="16"/>
  <c r="AF1498" i="16"/>
  <c r="AF1523" i="16"/>
  <c r="AD1693" i="16"/>
  <c r="AK1693" i="16" s="1"/>
  <c r="AD1718" i="16"/>
  <c r="AK1718" i="16" s="1"/>
  <c r="AD1744" i="16"/>
  <c r="AK1744" i="16" s="1"/>
  <c r="AJ1795" i="16"/>
  <c r="AK1795" i="16" s="1"/>
  <c r="AI1820" i="16"/>
  <c r="AK1820" i="16" s="1"/>
  <c r="AE1597" i="16"/>
  <c r="AK1597" i="16" s="1"/>
  <c r="AF1668" i="16"/>
  <c r="AK1668" i="16" s="1"/>
  <c r="AC1698" i="16"/>
  <c r="AE1713" i="16"/>
  <c r="AD1619" i="16"/>
  <c r="AK1619" i="16" s="1"/>
  <c r="AF1772" i="16"/>
  <c r="AI1772" i="16"/>
  <c r="AJ1721" i="16"/>
  <c r="AK1721" i="16" s="1"/>
  <c r="AD1788" i="16"/>
  <c r="AK1788" i="16" s="1"/>
  <c r="AE1559" i="16"/>
  <c r="AK1559" i="16" s="1"/>
  <c r="AD1622" i="16"/>
  <c r="AK1622" i="16" s="1"/>
  <c r="AH1671" i="16"/>
  <c r="AK1671" i="16" s="1"/>
  <c r="AD1700" i="16"/>
  <c r="AK1700" i="16" s="1"/>
  <c r="AD1569" i="16"/>
  <c r="AK1569" i="16" s="1"/>
  <c r="AC1674" i="16"/>
  <c r="AK1674" i="16" s="1"/>
  <c r="AI1596" i="16"/>
  <c r="AJ1590" i="16"/>
  <c r="AK1590" i="16" s="1"/>
  <c r="AG1504" i="16"/>
  <c r="AK1504" i="16" s="1"/>
  <c r="AD1544" i="16"/>
  <c r="AK1544" i="16" s="1"/>
  <c r="AD1558" i="16"/>
  <c r="AK1558" i="16" s="1"/>
  <c r="AI1579" i="16"/>
  <c r="AD1641" i="16"/>
  <c r="AK1641" i="16" s="1"/>
  <c r="AD1657" i="16"/>
  <c r="AK1657" i="16" s="1"/>
  <c r="AD1725" i="16"/>
  <c r="AK1725" i="16" s="1"/>
  <c r="AF1756" i="16"/>
  <c r="AK1756" i="16" s="1"/>
  <c r="AD1800" i="16"/>
  <c r="AK1800" i="16" s="1"/>
  <c r="AD1576" i="16"/>
  <c r="AK1576" i="16" s="1"/>
  <c r="AG1541" i="16"/>
  <c r="AG1523" i="16"/>
  <c r="AG1498" i="16"/>
  <c r="AG1812" i="16"/>
  <c r="AE1614" i="16"/>
  <c r="AK1614" i="16" s="1"/>
  <c r="AE1644" i="16"/>
  <c r="AK1644" i="16" s="1"/>
  <c r="AD1665" i="16"/>
  <c r="AK1665" i="16" s="1"/>
  <c r="AD1691" i="16"/>
  <c r="AK1691" i="16" s="1"/>
  <c r="AD1714" i="16"/>
  <c r="AK1714" i="16" s="1"/>
  <c r="AJ1751" i="16"/>
  <c r="AK1751" i="16" s="1"/>
  <c r="AD1797" i="16"/>
  <c r="AK1797" i="16" s="1"/>
  <c r="AD1787" i="16"/>
  <c r="AK1787" i="16" s="1"/>
  <c r="AD1501" i="16"/>
  <c r="AK1501" i="16" s="1"/>
  <c r="AD1557" i="16"/>
  <c r="AK1557" i="16" s="1"/>
  <c r="AD1580" i="16"/>
  <c r="AK1580" i="16" s="1"/>
  <c r="AI1554" i="16"/>
  <c r="AG1570" i="16"/>
  <c r="AC1602" i="16"/>
  <c r="AK1602" i="16" s="1"/>
  <c r="AG1592" i="16"/>
  <c r="AD1685" i="16"/>
  <c r="AH1508" i="16"/>
  <c r="AC1733" i="16"/>
  <c r="AK1733" i="16" s="1"/>
  <c r="AC1755" i="16"/>
  <c r="AK1755" i="16" s="1"/>
  <c r="AG1818" i="16"/>
  <c r="AK1818" i="16" s="1"/>
  <c r="AD1555" i="16"/>
  <c r="AK1555" i="16" s="1"/>
  <c r="AD1588" i="16"/>
  <c r="AK1588" i="16" s="1"/>
  <c r="AD1605" i="16"/>
  <c r="AK1605" i="16" s="1"/>
  <c r="AF1536" i="16"/>
  <c r="AF1518" i="16"/>
  <c r="AF1807" i="16"/>
  <c r="AF1492" i="16"/>
  <c r="AG1655" i="16"/>
  <c r="AK1655" i="16" s="1"/>
  <c r="AH1653" i="16"/>
  <c r="AH1524" i="16" s="1"/>
  <c r="AJ1729" i="16"/>
  <c r="AK1729" i="16" s="1"/>
  <c r="AD1745" i="16"/>
  <c r="AK1745" i="16" s="1"/>
  <c r="AJ1759" i="16"/>
  <c r="AK1759" i="16" s="1"/>
  <c r="AD1799" i="16"/>
  <c r="AK1799" i="16" s="1"/>
  <c r="AD1789" i="16"/>
  <c r="AK1789" i="16" s="1"/>
  <c r="AH1817" i="16"/>
  <c r="AI1817" i="16"/>
  <c r="AF1817" i="16"/>
  <c r="AD1646" i="16"/>
  <c r="AK1646" i="16" s="1"/>
  <c r="AH1579" i="16"/>
  <c r="AC1702" i="16"/>
  <c r="AK1702" i="16" s="1"/>
  <c r="AD1709" i="16"/>
  <c r="AK1709" i="16" s="1"/>
  <c r="AD1790" i="16"/>
  <c r="AK1790" i="16" s="1"/>
  <c r="AG1500" i="16"/>
  <c r="AK1500" i="16" s="1"/>
  <c r="AG1579" i="16"/>
  <c r="AD1724" i="16"/>
  <c r="AK1724" i="16" s="1"/>
  <c r="AJ1506" i="16"/>
  <c r="AK1506" i="16" s="1"/>
  <c r="AK1556" i="16"/>
  <c r="AD1556" i="16"/>
  <c r="AD1616" i="16"/>
  <c r="AK1616" i="16" s="1"/>
  <c r="AH1672" i="16"/>
  <c r="AK1672" i="16" s="1"/>
  <c r="AC1705" i="16"/>
  <c r="AK1705" i="16" s="1"/>
  <c r="AI1510" i="16"/>
  <c r="AK1510" i="16" s="1"/>
  <c r="AD1696" i="16"/>
  <c r="AK1696" i="16" s="1"/>
  <c r="AI1531" i="16"/>
  <c r="AK1531" i="16" s="1"/>
  <c r="AG1547" i="16"/>
  <c r="AK1547" i="16" s="1"/>
  <c r="AD1561" i="16"/>
  <c r="AK1561" i="16" s="1"/>
  <c r="AD1562" i="16"/>
  <c r="AK1562" i="16" s="1"/>
  <c r="AD1582" i="16"/>
  <c r="AK1582" i="16" s="1"/>
  <c r="AD1623" i="16"/>
  <c r="AK1623" i="16" s="1"/>
  <c r="AD1617" i="16"/>
  <c r="AK1617" i="16" s="1"/>
  <c r="AD1643" i="16"/>
  <c r="AK1643" i="16" s="1"/>
  <c r="AH1541" i="16"/>
  <c r="AH1498" i="16"/>
  <c r="AH1523" i="16"/>
  <c r="AH1812" i="16"/>
  <c r="AD1645" i="16"/>
  <c r="AK1645" i="16" s="1"/>
  <c r="AD1661" i="16"/>
  <c r="AK1661" i="16" s="1"/>
  <c r="AJ1683" i="16"/>
  <c r="AF1592" i="16"/>
  <c r="AC1722" i="16"/>
  <c r="AJ1775" i="16"/>
  <c r="AK1775" i="16" s="1"/>
  <c r="AH1512" i="16"/>
  <c r="AK1512" i="16" s="1"/>
  <c r="AJ1532" i="16"/>
  <c r="AK1532" i="16" s="1"/>
  <c r="AD1600" i="16"/>
  <c r="AK1600" i="16" s="1"/>
  <c r="AD1618" i="16"/>
  <c r="AK1618" i="16" s="1"/>
  <c r="AI1812" i="16"/>
  <c r="AI1523" i="16"/>
  <c r="AI1541" i="16"/>
  <c r="AI1498" i="16"/>
  <c r="AE1652" i="16"/>
  <c r="AD1710" i="16"/>
  <c r="AK1710" i="16" s="1"/>
  <c r="AF1761" i="16"/>
  <c r="AK1761" i="16" s="1"/>
  <c r="AD1801" i="16"/>
  <c r="AK1801" i="16" s="1"/>
  <c r="AC1511" i="16"/>
  <c r="AK1511" i="16" s="1"/>
  <c r="AC1591" i="16"/>
  <c r="AK1591" i="16" s="1"/>
  <c r="AE1584" i="16"/>
  <c r="AK1584" i="16" s="1"/>
  <c r="AH1539" i="16"/>
  <c r="AH1496" i="16"/>
  <c r="AH1521" i="16"/>
  <c r="AH1810" i="16"/>
  <c r="AC1578" i="16"/>
  <c r="AK1578" i="16" s="1"/>
  <c r="AD1611" i="16"/>
  <c r="AK1611" i="16" s="1"/>
  <c r="AD1609" i="16"/>
  <c r="AK1609" i="16" s="1"/>
  <c r="AD1647" i="16"/>
  <c r="AK1647" i="16" s="1"/>
  <c r="AD1680" i="16"/>
  <c r="AK1680" i="16" s="1"/>
  <c r="AD1728" i="16"/>
  <c r="AK1728" i="16" s="1"/>
  <c r="AD1734" i="16"/>
  <c r="AK1734" i="16" s="1"/>
  <c r="AJ1739" i="16"/>
  <c r="AK1739" i="16" s="1"/>
  <c r="AJ1767" i="16"/>
  <c r="AK1767" i="16" s="1"/>
  <c r="AH1773" i="16"/>
  <c r="AK1773" i="16" s="1"/>
  <c r="AD1815" i="16"/>
  <c r="AK1815" i="16" s="1"/>
  <c r="AC1533" i="16"/>
  <c r="AK1533" i="16" s="1"/>
  <c r="AC1507" i="16"/>
  <c r="AK1507" i="16" s="1"/>
  <c r="AG1610" i="16"/>
  <c r="AG1521" i="16" s="1"/>
  <c r="AD1612" i="16"/>
  <c r="AK1612" i="16" s="1"/>
  <c r="AD1682" i="16"/>
  <c r="AK1682" i="16" s="1"/>
  <c r="AD1677" i="16"/>
  <c r="AK1677" i="16" s="1"/>
  <c r="AD1640" i="16"/>
  <c r="AK1640" i="16" s="1"/>
  <c r="AD1720" i="16"/>
  <c r="AK1720" i="16" s="1"/>
  <c r="AD1692" i="16"/>
  <c r="AK1692" i="16" s="1"/>
  <c r="AE1690" i="16"/>
  <c r="AD1735" i="16"/>
  <c r="AK1735" i="16" s="1"/>
  <c r="AD1746" i="16"/>
  <c r="AK1746" i="16" s="1"/>
  <c r="AC1750" i="16"/>
  <c r="AK1750" i="16" s="1"/>
  <c r="AD1803" i="16"/>
  <c r="AK1803" i="16" s="1"/>
  <c r="AC1514" i="16"/>
  <c r="AK1514" i="16" s="1"/>
  <c r="AG1581" i="16"/>
  <c r="AK1581" i="16" s="1"/>
  <c r="AI1669" i="16"/>
  <c r="AK1669" i="16" s="1"/>
  <c r="AI1652" i="16"/>
  <c r="AF1519" i="16"/>
  <c r="AD1708" i="16"/>
  <c r="AK1708" i="16" s="1"/>
  <c r="AF1508" i="16"/>
  <c r="AH1535" i="16"/>
  <c r="AK1535" i="16" s="1"/>
  <c r="AD1648" i="16"/>
  <c r="AK1648" i="16" s="1"/>
  <c r="AD1599" i="16"/>
  <c r="AK1599" i="16" s="1"/>
  <c r="AJ1624" i="16"/>
  <c r="AK1624" i="16" s="1"/>
  <c r="AD1606" i="16"/>
  <c r="AK1606" i="16" s="1"/>
  <c r="AJ1701" i="16"/>
  <c r="AK1701" i="16" s="1"/>
  <c r="AH1703" i="16"/>
  <c r="AK1703" i="16" s="1"/>
  <c r="AI1560" i="16"/>
  <c r="AK1560" i="16" s="1"/>
  <c r="AE1579" i="16"/>
  <c r="AD1719" i="16"/>
  <c r="AK1719" i="16" s="1"/>
  <c r="AD1649" i="16"/>
  <c r="AK1649" i="16" s="1"/>
  <c r="AG1554" i="16"/>
  <c r="AG1807" i="16" s="1"/>
  <c r="AG1653" i="16"/>
  <c r="AD1688" i="16"/>
  <c r="AK1688" i="16" s="1"/>
  <c r="AD1694" i="16"/>
  <c r="AK1694" i="16" s="1"/>
  <c r="AG1525" i="16"/>
  <c r="AK1525" i="16" s="1"/>
  <c r="AD1564" i="16"/>
  <c r="AK1564" i="16" s="1"/>
  <c r="AF1496" i="16"/>
  <c r="AF1810" i="16"/>
  <c r="AF1521" i="16"/>
  <c r="AF1539" i="16"/>
  <c r="AD1608" i="16"/>
  <c r="AK1608" i="16" s="1"/>
  <c r="AC1684" i="16"/>
  <c r="AD1660" i="16"/>
  <c r="AK1660" i="16" s="1"/>
  <c r="AJ1726" i="16"/>
  <c r="AK1726" i="16" s="1"/>
  <c r="AC1737" i="16"/>
  <c r="AK1737" i="16" s="1"/>
  <c r="AC1763" i="16"/>
  <c r="AK1763" i="16" s="1"/>
  <c r="AH1805" i="16"/>
  <c r="AK1805" i="16" s="1"/>
  <c r="AG1543" i="16"/>
  <c r="AK1543" i="16" s="1"/>
  <c r="AD1586" i="16"/>
  <c r="AK1586" i="16" s="1"/>
  <c r="AC1625" i="16"/>
  <c r="AK1625" i="16" s="1"/>
  <c r="AD1675" i="16"/>
  <c r="AD1679" i="16"/>
  <c r="AK1679" i="16" s="1"/>
  <c r="AF1653" i="16"/>
  <c r="AF1813" i="16" s="1"/>
  <c r="AD1695" i="16"/>
  <c r="AK1695" i="16" s="1"/>
  <c r="AD1753" i="16"/>
  <c r="AK1753" i="16" s="1"/>
  <c r="AD1798" i="16"/>
  <c r="AK1798" i="16" s="1"/>
  <c r="AH1545" i="16"/>
  <c r="AK1545" i="16" s="1"/>
  <c r="AD1526" i="16"/>
  <c r="AK1526" i="16" s="1"/>
  <c r="AC1664" i="16"/>
  <c r="AK1664" i="16" s="1"/>
  <c r="AI1613" i="16"/>
  <c r="AI1496" i="16" s="1"/>
  <c r="AE1592" i="16"/>
  <c r="AD1656" i="16"/>
  <c r="AK1656" i="16" s="1"/>
  <c r="AH1554" i="16"/>
  <c r="AH1536" i="16" s="1"/>
  <c r="AD1689" i="16"/>
  <c r="AK1689" i="16" s="1"/>
  <c r="AJ1697" i="16"/>
  <c r="AJ1774" i="16"/>
  <c r="AK1774" i="16" s="1"/>
  <c r="AH1816" i="16"/>
  <c r="AK1816" i="16" s="1"/>
  <c r="AF1530" i="16"/>
  <c r="AK1530" i="16" s="1"/>
  <c r="AD1589" i="16"/>
  <c r="AK1589" i="16" s="1"/>
  <c r="AG1652" i="16"/>
  <c r="AF1493" i="16"/>
  <c r="AJ1706" i="16"/>
  <c r="AI1573" i="16"/>
  <c r="AI1537" i="16" s="1"/>
  <c r="AC1670" i="16"/>
  <c r="AK1670" i="16" s="1"/>
  <c r="AD1715" i="16"/>
  <c r="AK1715" i="16" s="1"/>
  <c r="AD1791" i="16"/>
  <c r="AK1791" i="16" s="1"/>
  <c r="AH1516" i="16"/>
  <c r="AK1516" i="16" s="1"/>
  <c r="AF1548" i="16"/>
  <c r="AK1548" i="16" s="1"/>
  <c r="AD1593" i="16"/>
  <c r="AK1593" i="16" s="1"/>
  <c r="AD1620" i="16"/>
  <c r="AK1620" i="16" s="1"/>
  <c r="AJ1673" i="16"/>
  <c r="AK1673" i="16" s="1"/>
  <c r="AD1699" i="16"/>
  <c r="AK1699" i="16" s="1"/>
  <c r="AJ1704" i="16"/>
  <c r="AK1704" i="16" s="1"/>
  <c r="AD1575" i="16"/>
  <c r="AK1575" i="16" s="1"/>
  <c r="AD1621" i="16"/>
  <c r="AK1621" i="16" s="1"/>
  <c r="AH1772" i="16"/>
  <c r="AF1808" i="16" l="1"/>
  <c r="AI1495" i="16"/>
  <c r="AI1492" i="16"/>
  <c r="AI1518" i="16"/>
  <c r="AI1536" i="16"/>
  <c r="AI1807" i="16"/>
  <c r="AK1722" i="16"/>
  <c r="AK1685" i="16"/>
  <c r="AK1570" i="16"/>
  <c r="AK1698" i="16"/>
  <c r="AK1697" i="16"/>
  <c r="AF1495" i="16"/>
  <c r="AG1495" i="16"/>
  <c r="AK1711" i="16"/>
  <c r="AK1675" i="16"/>
  <c r="AE1495" i="16"/>
  <c r="AK1684" i="16"/>
  <c r="AK1690" i="16"/>
  <c r="AK1713" i="16"/>
  <c r="AH1495" i="16"/>
  <c r="AK1596" i="16"/>
  <c r="AG1813" i="16"/>
  <c r="AG1499" i="16"/>
  <c r="AG1524" i="16"/>
  <c r="AG1542" i="16"/>
  <c r="AJ1508" i="16"/>
  <c r="AJ1503" i="16"/>
  <c r="AJ1528" i="16"/>
  <c r="AJ1546" i="16"/>
  <c r="AJ1667" i="16"/>
  <c r="AJ1772" i="16"/>
  <c r="AJ1817" i="16"/>
  <c r="AK1573" i="16"/>
  <c r="AK1613" i="16"/>
  <c r="AI1542" i="16"/>
  <c r="AI1524" i="16"/>
  <c r="AI1499" i="16"/>
  <c r="AI1813" i="16"/>
  <c r="AE1554" i="16"/>
  <c r="AE1567" i="16"/>
  <c r="AE1604" i="16"/>
  <c r="AE1653" i="16"/>
  <c r="AE1639" i="16"/>
  <c r="AG1810" i="16"/>
  <c r="AG1519" i="16"/>
  <c r="AG1493" i="16"/>
  <c r="AG1808" i="16"/>
  <c r="AG1537" i="16"/>
  <c r="AI1521" i="16"/>
  <c r="AH1518" i="16"/>
  <c r="AH1813" i="16"/>
  <c r="AI1493" i="16"/>
  <c r="AG1536" i="16"/>
  <c r="AD1667" i="16"/>
  <c r="AD1503" i="16"/>
  <c r="AD1508" i="16"/>
  <c r="AD1772" i="16"/>
  <c r="AD1817" i="16"/>
  <c r="AD1528" i="16"/>
  <c r="AD1546" i="16"/>
  <c r="AF1499" i="16"/>
  <c r="AD1592" i="16"/>
  <c r="AD1638" i="16"/>
  <c r="AD1553" i="16"/>
  <c r="AD1652" i="16"/>
  <c r="AD1579" i="16"/>
  <c r="AD1603" i="16"/>
  <c r="AG1496" i="16"/>
  <c r="AH1494" i="16"/>
  <c r="AH1809" i="16"/>
  <c r="AH1520" i="16"/>
  <c r="AH1538" i="16"/>
  <c r="AI1539" i="16"/>
  <c r="AH1492" i="16"/>
  <c r="AH1499" i="16"/>
  <c r="AE1817" i="16"/>
  <c r="AE1528" i="16"/>
  <c r="AE1503" i="16"/>
  <c r="AE1772" i="16"/>
  <c r="AE1508" i="16"/>
  <c r="AE1546" i="16"/>
  <c r="AE1667" i="16"/>
  <c r="AI1808" i="16"/>
  <c r="AG1492" i="16"/>
  <c r="AF1542" i="16"/>
  <c r="AE1538" i="16"/>
  <c r="AE1494" i="16"/>
  <c r="AE1520" i="16"/>
  <c r="AE1809" i="16"/>
  <c r="AG1539" i="16"/>
  <c r="AE1542" i="16"/>
  <c r="AE1524" i="16"/>
  <c r="AE1813" i="16"/>
  <c r="AE1499" i="16"/>
  <c r="AJ1603" i="16"/>
  <c r="AJ1579" i="16"/>
  <c r="AJ1652" i="16"/>
  <c r="AJ1638" i="16"/>
  <c r="AJ1553" i="16"/>
  <c r="AJ1592" i="16"/>
  <c r="AD1653" i="16"/>
  <c r="AD1604" i="16"/>
  <c r="AD1554" i="16"/>
  <c r="AD1567" i="16"/>
  <c r="AD1639" i="16"/>
  <c r="AI1810" i="16"/>
  <c r="AI1809" i="16"/>
  <c r="AI1538" i="16"/>
  <c r="AI1520" i="16"/>
  <c r="AI1494" i="16"/>
  <c r="AH1807" i="16"/>
  <c r="AH1542" i="16"/>
  <c r="AI1519" i="16"/>
  <c r="AG1518" i="16"/>
  <c r="AG1772" i="16"/>
  <c r="AG1667" i="16"/>
  <c r="AG1817" i="16"/>
  <c r="AG1503" i="16"/>
  <c r="AG1528" i="16"/>
  <c r="AG1546" i="16"/>
  <c r="AG1508" i="16"/>
  <c r="AF1524" i="16"/>
  <c r="AK1706" i="16"/>
  <c r="AJ1639" i="16"/>
  <c r="AJ1567" i="16"/>
  <c r="AJ1653" i="16"/>
  <c r="AJ1604" i="16"/>
  <c r="AJ1554" i="16"/>
  <c r="AC1652" i="16"/>
  <c r="AC1553" i="16"/>
  <c r="AC1638" i="16"/>
  <c r="AC1579" i="16"/>
  <c r="AC1592" i="16"/>
  <c r="AC1603" i="16"/>
  <c r="AK1610" i="16"/>
  <c r="AC1772" i="16"/>
  <c r="AK1772" i="16" s="1"/>
  <c r="AC1503" i="16"/>
  <c r="AC1508" i="16"/>
  <c r="AC1528" i="16"/>
  <c r="AK1528" i="16" s="1"/>
  <c r="AC1817" i="16"/>
  <c r="AK1817" i="16" s="1"/>
  <c r="AC1546" i="16"/>
  <c r="AC1667" i="16"/>
  <c r="AK1683" i="16"/>
  <c r="AG1809" i="16"/>
  <c r="AG1520" i="16"/>
  <c r="AG1538" i="16"/>
  <c r="AG1494" i="16"/>
  <c r="AC1639" i="16"/>
  <c r="AC1554" i="16"/>
  <c r="AC1567" i="16"/>
  <c r="AC1653" i="16"/>
  <c r="AC1604" i="16"/>
  <c r="AK1653" i="16" l="1"/>
  <c r="AK1604" i="16"/>
  <c r="AK1546" i="16"/>
  <c r="AK1639" i="16"/>
  <c r="AK1508" i="16"/>
  <c r="AJ1495" i="16"/>
  <c r="AD1495" i="16"/>
  <c r="AK1554" i="16"/>
  <c r="AK1667" i="16"/>
  <c r="AK1503" i="16"/>
  <c r="AC1537" i="16"/>
  <c r="AC1493" i="16"/>
  <c r="AC1519" i="16"/>
  <c r="AC1808" i="16"/>
  <c r="AK1567" i="16"/>
  <c r="AC1520" i="16"/>
  <c r="AC1538" i="16"/>
  <c r="AC1494" i="16"/>
  <c r="AC1809" i="16"/>
  <c r="AK1579" i="16"/>
  <c r="AJ1493" i="16"/>
  <c r="AJ1808" i="16"/>
  <c r="AJ1537" i="16"/>
  <c r="AJ1519" i="16"/>
  <c r="AD1537" i="16"/>
  <c r="AD1493" i="16"/>
  <c r="AD1519" i="16"/>
  <c r="AD1808" i="16"/>
  <c r="AJ1499" i="16"/>
  <c r="AJ1524" i="16"/>
  <c r="AJ1813" i="16"/>
  <c r="AJ1542" i="16"/>
  <c r="AD1494" i="16"/>
  <c r="AD1809" i="16"/>
  <c r="AD1520" i="16"/>
  <c r="AD1538" i="16"/>
  <c r="AD1541" i="16"/>
  <c r="AD1523" i="16"/>
  <c r="AD1498" i="16"/>
  <c r="AD1812" i="16"/>
  <c r="AE1812" i="16"/>
  <c r="AE1498" i="16"/>
  <c r="AE1523" i="16"/>
  <c r="AE1541" i="16"/>
  <c r="AE1807" i="16"/>
  <c r="AE1518" i="16"/>
  <c r="AE1536" i="16"/>
  <c r="AE1492" i="16"/>
  <c r="AC1539" i="16"/>
  <c r="AC1521" i="16"/>
  <c r="AC1496" i="16"/>
  <c r="AC1810" i="16"/>
  <c r="AK1603" i="16"/>
  <c r="AC1541" i="16"/>
  <c r="AC1498" i="16"/>
  <c r="AC1523" i="16"/>
  <c r="AC1812" i="16"/>
  <c r="AK1638" i="16"/>
  <c r="AJ1520" i="16"/>
  <c r="AJ1494" i="16"/>
  <c r="AJ1538" i="16"/>
  <c r="AJ1809" i="16"/>
  <c r="AD1499" i="16"/>
  <c r="AD1524" i="16"/>
  <c r="AD1542" i="16"/>
  <c r="AD1813" i="16"/>
  <c r="AC1518" i="16"/>
  <c r="AC1807" i="16"/>
  <c r="AC1492" i="16"/>
  <c r="AC1536" i="16"/>
  <c r="AK1553" i="16"/>
  <c r="AJ1492" i="16"/>
  <c r="AJ1536" i="16"/>
  <c r="AJ1807" i="16"/>
  <c r="AJ1518" i="16"/>
  <c r="AJ1496" i="16"/>
  <c r="AJ1810" i="16"/>
  <c r="AJ1521" i="16"/>
  <c r="AJ1539" i="16"/>
  <c r="AD1807" i="16"/>
  <c r="AD1518" i="16"/>
  <c r="AD1536" i="16"/>
  <c r="AD1492" i="16"/>
  <c r="AE1496" i="16"/>
  <c r="AE1810" i="16"/>
  <c r="AE1539" i="16"/>
  <c r="AE1521" i="16"/>
  <c r="AC1495" i="16"/>
  <c r="AK1495" i="16" s="1"/>
  <c r="AK1592" i="16"/>
  <c r="AC1813" i="16"/>
  <c r="AK1813" i="16" s="1"/>
  <c r="AC1524" i="16"/>
  <c r="AK1524" i="16" s="1"/>
  <c r="AC1499" i="16"/>
  <c r="AK1499" i="16" s="1"/>
  <c r="AC1542" i="16"/>
  <c r="AK1542" i="16" s="1"/>
  <c r="AK1652" i="16"/>
  <c r="AJ1498" i="16"/>
  <c r="AJ1541" i="16"/>
  <c r="AJ1523" i="16"/>
  <c r="AJ1812" i="16"/>
  <c r="AD1539" i="16"/>
  <c r="AD1521" i="16"/>
  <c r="AD1810" i="16"/>
  <c r="AD1496" i="16"/>
  <c r="AE1493" i="16"/>
  <c r="AE1519" i="16"/>
  <c r="AE1537" i="16"/>
  <c r="AE1808" i="16"/>
  <c r="H129" i="18"/>
  <c r="H115" i="18"/>
  <c r="H101" i="18"/>
  <c r="G75" i="8"/>
  <c r="H75" i="8"/>
  <c r="G44" i="8"/>
  <c r="G16" i="8"/>
  <c r="AK1492" i="16" l="1"/>
  <c r="AK1498" i="16"/>
  <c r="AK1496" i="16"/>
  <c r="AK1538" i="16"/>
  <c r="AK1519" i="16"/>
  <c r="AK1807" i="16"/>
  <c r="AK1541" i="16"/>
  <c r="AK1521" i="16"/>
  <c r="AK1520" i="16"/>
  <c r="AK1493" i="16"/>
  <c r="AK1518" i="16"/>
  <c r="AK1812" i="16"/>
  <c r="AK1539" i="16"/>
  <c r="AK1809" i="16"/>
  <c r="AK1537" i="16"/>
  <c r="AK1536" i="16"/>
  <c r="AK1523" i="16"/>
  <c r="AK1810" i="16"/>
  <c r="AK1494" i="16"/>
  <c r="AK1808" i="16"/>
  <c r="G118" i="8"/>
  <c r="G104" i="8"/>
  <c r="K176" i="17"/>
  <c r="X1121" i="16"/>
  <c r="F1858" i="16"/>
  <c r="E1858" i="16"/>
  <c r="C1858" i="16"/>
  <c r="B1858" i="16"/>
  <c r="F1857" i="16"/>
  <c r="E1857" i="16"/>
  <c r="C1857" i="16"/>
  <c r="B1857" i="16"/>
  <c r="F1856" i="16"/>
  <c r="E1856" i="16"/>
  <c r="C1856" i="16"/>
  <c r="B1856" i="16"/>
  <c r="F1855" i="16"/>
  <c r="E1855" i="16"/>
  <c r="C1855" i="16"/>
  <c r="B1855" i="16"/>
  <c r="F1854" i="16"/>
  <c r="E1854" i="16"/>
  <c r="C1854" i="16"/>
  <c r="B1854" i="16"/>
  <c r="F1853" i="16"/>
  <c r="E1853" i="16"/>
  <c r="C1853" i="16"/>
  <c r="B1853" i="16"/>
  <c r="F1852" i="16"/>
  <c r="E1852" i="16"/>
  <c r="C1852" i="16"/>
  <c r="B1852" i="16"/>
  <c r="F1851" i="16"/>
  <c r="E1851" i="16"/>
  <c r="C1851" i="16"/>
  <c r="B1851" i="16"/>
  <c r="F1850" i="16"/>
  <c r="E1850" i="16"/>
  <c r="C1850" i="16"/>
  <c r="B1850" i="16"/>
  <c r="F1849" i="16"/>
  <c r="E1849" i="16"/>
  <c r="C1849" i="16"/>
  <c r="B1849" i="16"/>
  <c r="F1848" i="16"/>
  <c r="E1848" i="16"/>
  <c r="C1848" i="16"/>
  <c r="B1848" i="16"/>
  <c r="F1847" i="16"/>
  <c r="E1847" i="16"/>
  <c r="C1847" i="16"/>
  <c r="B1847" i="16"/>
  <c r="F1846" i="16"/>
  <c r="E1846" i="16"/>
  <c r="C1846" i="16"/>
  <c r="B1846" i="16"/>
  <c r="F1845" i="16"/>
  <c r="E1845" i="16"/>
  <c r="C1845" i="16"/>
  <c r="B1845" i="16"/>
  <c r="F1844" i="16"/>
  <c r="E1844" i="16"/>
  <c r="C1844" i="16"/>
  <c r="B1844" i="16"/>
  <c r="F1843" i="16"/>
  <c r="E1843" i="16"/>
  <c r="C1843" i="16"/>
  <c r="B1843" i="16"/>
  <c r="F1842" i="16"/>
  <c r="E1842" i="16"/>
  <c r="C1842" i="16"/>
  <c r="B1842" i="16"/>
  <c r="F1841" i="16"/>
  <c r="E1841" i="16"/>
  <c r="C1841" i="16"/>
  <c r="B1841" i="16"/>
  <c r="F1840" i="16"/>
  <c r="E1840" i="16"/>
  <c r="C1840" i="16"/>
  <c r="B1840" i="16"/>
  <c r="F1839" i="16"/>
  <c r="E1839" i="16"/>
  <c r="C1839" i="16"/>
  <c r="B1839" i="16"/>
  <c r="F1838" i="16"/>
  <c r="E1838" i="16"/>
  <c r="C1838" i="16"/>
  <c r="B1838" i="16"/>
  <c r="F1837" i="16"/>
  <c r="E1837" i="16"/>
  <c r="C1837" i="16"/>
  <c r="B1837" i="16"/>
  <c r="F1836" i="16"/>
  <c r="E1836" i="16"/>
  <c r="C1836" i="16"/>
  <c r="B1836" i="16"/>
  <c r="F1835" i="16"/>
  <c r="E1835" i="16"/>
  <c r="C1835" i="16"/>
  <c r="B1835" i="16"/>
  <c r="F1834" i="16"/>
  <c r="E1834" i="16"/>
  <c r="C1834" i="16"/>
  <c r="B1834" i="16"/>
  <c r="F1833" i="16"/>
  <c r="E1833" i="16"/>
  <c r="C1833" i="16"/>
  <c r="B1833" i="16"/>
  <c r="F1832" i="16"/>
  <c r="E1832" i="16"/>
  <c r="C1832" i="16"/>
  <c r="B1832" i="16"/>
  <c r="F1831" i="16"/>
  <c r="E1831" i="16"/>
  <c r="C1831" i="16"/>
  <c r="B1831" i="16"/>
  <c r="F1830" i="16"/>
  <c r="E1830" i="16"/>
  <c r="C1830" i="16"/>
  <c r="B1830" i="16"/>
  <c r="F1829" i="16"/>
  <c r="E1829" i="16"/>
  <c r="C1829" i="16"/>
  <c r="B1829" i="16"/>
  <c r="F1828" i="16"/>
  <c r="E1828" i="16"/>
  <c r="C1828" i="16"/>
  <c r="B1828" i="16"/>
  <c r="F1827" i="16"/>
  <c r="E1827" i="16"/>
  <c r="C1827" i="16"/>
  <c r="B1827" i="16"/>
  <c r="F1826" i="16"/>
  <c r="E1826" i="16"/>
  <c r="C1826" i="16"/>
  <c r="B1826" i="16"/>
  <c r="F1825" i="16"/>
  <c r="E1825" i="16"/>
  <c r="C1825" i="16"/>
  <c r="B1825" i="16"/>
  <c r="F1824" i="16"/>
  <c r="E1824" i="16"/>
  <c r="C1824" i="16"/>
  <c r="B1824" i="16"/>
  <c r="F1823" i="16"/>
  <c r="E1823" i="16"/>
  <c r="C1823" i="16"/>
  <c r="B1823" i="16"/>
  <c r="F1822" i="16"/>
  <c r="E1822" i="16"/>
  <c r="C1822" i="16"/>
  <c r="B1822" i="16"/>
  <c r="F1821" i="16"/>
  <c r="E1821" i="16"/>
  <c r="C1821" i="16"/>
  <c r="B1821" i="16"/>
  <c r="F1820" i="16"/>
  <c r="E1820" i="16"/>
  <c r="C1820" i="16"/>
  <c r="B1820" i="16"/>
  <c r="F1819" i="16"/>
  <c r="E1819" i="16"/>
  <c r="C1819" i="16"/>
  <c r="B1819" i="16"/>
  <c r="F1818" i="16"/>
  <c r="E1818" i="16"/>
  <c r="C1818" i="16"/>
  <c r="B1818" i="16"/>
  <c r="F1817" i="16"/>
  <c r="E1817" i="16"/>
  <c r="C1817" i="16"/>
  <c r="B1817" i="16"/>
  <c r="F1816" i="16"/>
  <c r="E1816" i="16"/>
  <c r="C1816" i="16"/>
  <c r="B1816" i="16"/>
  <c r="F1815" i="16"/>
  <c r="E1815" i="16"/>
  <c r="C1815" i="16"/>
  <c r="B1815" i="16"/>
  <c r="F1814" i="16"/>
  <c r="E1814" i="16"/>
  <c r="C1814" i="16"/>
  <c r="B1814" i="16"/>
  <c r="F1813" i="16"/>
  <c r="E1813" i="16"/>
  <c r="C1813" i="16"/>
  <c r="B1813" i="16"/>
  <c r="F1812" i="16"/>
  <c r="E1812" i="16"/>
  <c r="C1812" i="16"/>
  <c r="B1812" i="16"/>
  <c r="F1811" i="16"/>
  <c r="E1811" i="16"/>
  <c r="C1811" i="16"/>
  <c r="B1811" i="16"/>
  <c r="F1810" i="16"/>
  <c r="E1810" i="16"/>
  <c r="C1810" i="16"/>
  <c r="B1810" i="16"/>
  <c r="F1809" i="16"/>
  <c r="E1809" i="16"/>
  <c r="C1809" i="16"/>
  <c r="B1809" i="16"/>
  <c r="F1808" i="16"/>
  <c r="E1808" i="16"/>
  <c r="C1808" i="16"/>
  <c r="B1808" i="16"/>
  <c r="F1807" i="16"/>
  <c r="E1807" i="16"/>
  <c r="C1807" i="16"/>
  <c r="B1807" i="16"/>
  <c r="F1806" i="16"/>
  <c r="E1806" i="16"/>
  <c r="C1806" i="16"/>
  <c r="B1806" i="16"/>
  <c r="F1805" i="16"/>
  <c r="E1805" i="16"/>
  <c r="C1805" i="16"/>
  <c r="B1805" i="16"/>
  <c r="F1804" i="16"/>
  <c r="E1804" i="16"/>
  <c r="C1804" i="16"/>
  <c r="B1804" i="16"/>
  <c r="F1803" i="16"/>
  <c r="E1803" i="16"/>
  <c r="C1803" i="16"/>
  <c r="B1803" i="16"/>
  <c r="F1802" i="16"/>
  <c r="E1802" i="16"/>
  <c r="C1802" i="16"/>
  <c r="B1802" i="16"/>
  <c r="F1801" i="16"/>
  <c r="E1801" i="16"/>
  <c r="C1801" i="16"/>
  <c r="B1801" i="16"/>
  <c r="F1800" i="16"/>
  <c r="E1800" i="16"/>
  <c r="C1800" i="16"/>
  <c r="B1800" i="16"/>
  <c r="F1799" i="16"/>
  <c r="E1799" i="16"/>
  <c r="C1799" i="16"/>
  <c r="B1799" i="16"/>
  <c r="F1798" i="16"/>
  <c r="E1798" i="16"/>
  <c r="C1798" i="16"/>
  <c r="B1798" i="16"/>
  <c r="F1797" i="16"/>
  <c r="E1797" i="16"/>
  <c r="C1797" i="16"/>
  <c r="B1797" i="16"/>
  <c r="F1796" i="16"/>
  <c r="E1796" i="16"/>
  <c r="C1796" i="16"/>
  <c r="B1796" i="16"/>
  <c r="F1795" i="16"/>
  <c r="E1795" i="16"/>
  <c r="C1795" i="16"/>
  <c r="B1795" i="16"/>
  <c r="F1794" i="16"/>
  <c r="E1794" i="16"/>
  <c r="C1794" i="16"/>
  <c r="B1794" i="16"/>
  <c r="F1793" i="16"/>
  <c r="E1793" i="16"/>
  <c r="C1793" i="16"/>
  <c r="B1793" i="16"/>
  <c r="F1792" i="16"/>
  <c r="E1792" i="16"/>
  <c r="C1792" i="16"/>
  <c r="B1792" i="16"/>
  <c r="F1791" i="16"/>
  <c r="E1791" i="16"/>
  <c r="C1791" i="16"/>
  <c r="B1791" i="16"/>
  <c r="F1790" i="16"/>
  <c r="E1790" i="16"/>
  <c r="C1790" i="16"/>
  <c r="B1790" i="16"/>
  <c r="F1789" i="16"/>
  <c r="E1789" i="16"/>
  <c r="C1789" i="16"/>
  <c r="B1789" i="16"/>
  <c r="F1788" i="16"/>
  <c r="E1788" i="16"/>
  <c r="C1788" i="16"/>
  <c r="B1788" i="16"/>
  <c r="F1787" i="16"/>
  <c r="E1787" i="16"/>
  <c r="C1787" i="16"/>
  <c r="B1787" i="16"/>
  <c r="F1786" i="16"/>
  <c r="E1786" i="16"/>
  <c r="C1786" i="16"/>
  <c r="B1786" i="16"/>
  <c r="F1785" i="16"/>
  <c r="E1785" i="16"/>
  <c r="C1785" i="16"/>
  <c r="B1785" i="16"/>
  <c r="F1784" i="16"/>
  <c r="E1784" i="16"/>
  <c r="C1784" i="16"/>
  <c r="B1784" i="16"/>
  <c r="F1783" i="16"/>
  <c r="E1783" i="16"/>
  <c r="C1783" i="16"/>
  <c r="B1783" i="16"/>
  <c r="F1782" i="16"/>
  <c r="E1782" i="16"/>
  <c r="C1782" i="16"/>
  <c r="B1782" i="16"/>
  <c r="F1781" i="16"/>
  <c r="E1781" i="16"/>
  <c r="C1781" i="16"/>
  <c r="B1781" i="16"/>
  <c r="F1780" i="16"/>
  <c r="E1780" i="16"/>
  <c r="C1780" i="16"/>
  <c r="B1780" i="16"/>
  <c r="F1779" i="16"/>
  <c r="E1779" i="16"/>
  <c r="C1779" i="16"/>
  <c r="B1779" i="16"/>
  <c r="F1778" i="16"/>
  <c r="E1778" i="16"/>
  <c r="C1778" i="16"/>
  <c r="B1778" i="16"/>
  <c r="F1777" i="16"/>
  <c r="E1777" i="16"/>
  <c r="C1777" i="16"/>
  <c r="B1777" i="16"/>
  <c r="F1776" i="16"/>
  <c r="E1776" i="16"/>
  <c r="C1776" i="16"/>
  <c r="B1776" i="16"/>
  <c r="F1775" i="16"/>
  <c r="E1775" i="16"/>
  <c r="C1775" i="16"/>
  <c r="B1775" i="16"/>
  <c r="F1774" i="16"/>
  <c r="E1774" i="16"/>
  <c r="C1774" i="16"/>
  <c r="B1774" i="16"/>
  <c r="F1773" i="16"/>
  <c r="E1773" i="16"/>
  <c r="C1773" i="16"/>
  <c r="B1773" i="16"/>
  <c r="F1772" i="16"/>
  <c r="E1772" i="16"/>
  <c r="C1772" i="16"/>
  <c r="B1772" i="16"/>
  <c r="F1771" i="16"/>
  <c r="E1771" i="16"/>
  <c r="C1771" i="16"/>
  <c r="B1771" i="16"/>
  <c r="F1770" i="16"/>
  <c r="E1770" i="16"/>
  <c r="C1770" i="16"/>
  <c r="B1770" i="16"/>
  <c r="F1769" i="16"/>
  <c r="E1769" i="16"/>
  <c r="C1769" i="16"/>
  <c r="B1769" i="16"/>
  <c r="F1768" i="16"/>
  <c r="E1768" i="16"/>
  <c r="C1768" i="16"/>
  <c r="B1768" i="16"/>
  <c r="F1767" i="16"/>
  <c r="E1767" i="16"/>
  <c r="C1767" i="16"/>
  <c r="B1767" i="16"/>
  <c r="F1766" i="16"/>
  <c r="E1766" i="16"/>
  <c r="C1766" i="16"/>
  <c r="B1766" i="16"/>
  <c r="F1765" i="16"/>
  <c r="E1765" i="16"/>
  <c r="C1765" i="16"/>
  <c r="B1765" i="16"/>
  <c r="F1764" i="16"/>
  <c r="E1764" i="16"/>
  <c r="C1764" i="16"/>
  <c r="B1764" i="16"/>
  <c r="F1763" i="16"/>
  <c r="E1763" i="16"/>
  <c r="C1763" i="16"/>
  <c r="B1763" i="16"/>
  <c r="F1762" i="16"/>
  <c r="E1762" i="16"/>
  <c r="C1762" i="16"/>
  <c r="B1762" i="16"/>
  <c r="F1761" i="16"/>
  <c r="E1761" i="16"/>
  <c r="C1761" i="16"/>
  <c r="B1761" i="16"/>
  <c r="F1760" i="16"/>
  <c r="E1760" i="16"/>
  <c r="C1760" i="16"/>
  <c r="B1760" i="16"/>
  <c r="F1759" i="16"/>
  <c r="E1759" i="16"/>
  <c r="C1759" i="16"/>
  <c r="B1759" i="16"/>
  <c r="F1758" i="16"/>
  <c r="E1758" i="16"/>
  <c r="C1758" i="16"/>
  <c r="B1758" i="16"/>
  <c r="F1757" i="16"/>
  <c r="E1757" i="16"/>
  <c r="C1757" i="16"/>
  <c r="B1757" i="16"/>
  <c r="F1756" i="16"/>
  <c r="E1756" i="16"/>
  <c r="C1756" i="16"/>
  <c r="B1756" i="16"/>
  <c r="F1755" i="16"/>
  <c r="E1755" i="16"/>
  <c r="C1755" i="16"/>
  <c r="B1755" i="16"/>
  <c r="F1754" i="16"/>
  <c r="E1754" i="16"/>
  <c r="C1754" i="16"/>
  <c r="B1754" i="16"/>
  <c r="F1753" i="16"/>
  <c r="E1753" i="16"/>
  <c r="C1753" i="16"/>
  <c r="B1753" i="16"/>
  <c r="F1752" i="16"/>
  <c r="E1752" i="16"/>
  <c r="C1752" i="16"/>
  <c r="B1752" i="16"/>
  <c r="F1751" i="16"/>
  <c r="E1751" i="16"/>
  <c r="C1751" i="16"/>
  <c r="B1751" i="16"/>
  <c r="F1750" i="16"/>
  <c r="E1750" i="16"/>
  <c r="C1750" i="16"/>
  <c r="B1750" i="16"/>
  <c r="F1749" i="16"/>
  <c r="E1749" i="16"/>
  <c r="C1749" i="16"/>
  <c r="B1749" i="16"/>
  <c r="F1748" i="16"/>
  <c r="E1748" i="16"/>
  <c r="C1748" i="16"/>
  <c r="B1748" i="16"/>
  <c r="F1747" i="16"/>
  <c r="E1747" i="16"/>
  <c r="C1747" i="16"/>
  <c r="B1747" i="16"/>
  <c r="F1746" i="16"/>
  <c r="E1746" i="16"/>
  <c r="C1746" i="16"/>
  <c r="B1746" i="16"/>
  <c r="F1745" i="16"/>
  <c r="E1745" i="16"/>
  <c r="C1745" i="16"/>
  <c r="B1745" i="16"/>
  <c r="F1744" i="16"/>
  <c r="E1744" i="16"/>
  <c r="C1744" i="16"/>
  <c r="B1744" i="16"/>
  <c r="F1743" i="16"/>
  <c r="E1743" i="16"/>
  <c r="C1743" i="16"/>
  <c r="B1743" i="16"/>
  <c r="F1742" i="16"/>
  <c r="E1742" i="16"/>
  <c r="C1742" i="16"/>
  <c r="B1742" i="16"/>
  <c r="F1741" i="16"/>
  <c r="E1741" i="16"/>
  <c r="C1741" i="16"/>
  <c r="B1741" i="16"/>
  <c r="F1740" i="16"/>
  <c r="E1740" i="16"/>
  <c r="C1740" i="16"/>
  <c r="B1740" i="16"/>
  <c r="F1739" i="16"/>
  <c r="E1739" i="16"/>
  <c r="C1739" i="16"/>
  <c r="B1739" i="16"/>
  <c r="F1738" i="16"/>
  <c r="E1738" i="16"/>
  <c r="C1738" i="16"/>
  <c r="B1738" i="16"/>
  <c r="F1737" i="16"/>
  <c r="E1737" i="16"/>
  <c r="C1737" i="16"/>
  <c r="B1737" i="16"/>
  <c r="F1736" i="16"/>
  <c r="E1736" i="16"/>
  <c r="C1736" i="16"/>
  <c r="B1736" i="16"/>
  <c r="F1735" i="16"/>
  <c r="E1735" i="16"/>
  <c r="C1735" i="16"/>
  <c r="B1735" i="16"/>
  <c r="F1734" i="16"/>
  <c r="E1734" i="16"/>
  <c r="C1734" i="16"/>
  <c r="B1734" i="16"/>
  <c r="F1733" i="16"/>
  <c r="E1733" i="16"/>
  <c r="C1733" i="16"/>
  <c r="B1733" i="16"/>
  <c r="F1732" i="16"/>
  <c r="E1732" i="16"/>
  <c r="C1732" i="16"/>
  <c r="B1732" i="16"/>
  <c r="F1731" i="16"/>
  <c r="E1731" i="16"/>
  <c r="C1731" i="16"/>
  <c r="B1731" i="16"/>
  <c r="F1730" i="16"/>
  <c r="E1730" i="16"/>
  <c r="C1730" i="16"/>
  <c r="B1730" i="16"/>
  <c r="F1729" i="16"/>
  <c r="E1729" i="16"/>
  <c r="C1729" i="16"/>
  <c r="B1729" i="16"/>
  <c r="F1728" i="16"/>
  <c r="E1728" i="16"/>
  <c r="C1728" i="16"/>
  <c r="B1728" i="16"/>
  <c r="F1727" i="16"/>
  <c r="E1727" i="16"/>
  <c r="C1727" i="16"/>
  <c r="B1727" i="16"/>
  <c r="F1726" i="16"/>
  <c r="E1726" i="16"/>
  <c r="C1726" i="16"/>
  <c r="B1726" i="16"/>
  <c r="F1725" i="16"/>
  <c r="E1725" i="16"/>
  <c r="C1725" i="16"/>
  <c r="B1725" i="16"/>
  <c r="F1724" i="16"/>
  <c r="E1724" i="16"/>
  <c r="C1724" i="16"/>
  <c r="B1724" i="16"/>
  <c r="F1723" i="16"/>
  <c r="E1723" i="16"/>
  <c r="C1723" i="16"/>
  <c r="B1723" i="16"/>
  <c r="F1722" i="16"/>
  <c r="E1722" i="16"/>
  <c r="C1722" i="16"/>
  <c r="B1722" i="16"/>
  <c r="F1721" i="16"/>
  <c r="E1721" i="16"/>
  <c r="C1721" i="16"/>
  <c r="B1721" i="16"/>
  <c r="F1720" i="16"/>
  <c r="E1720" i="16"/>
  <c r="C1720" i="16"/>
  <c r="B1720" i="16"/>
  <c r="F1719" i="16"/>
  <c r="E1719" i="16"/>
  <c r="C1719" i="16"/>
  <c r="B1719" i="16"/>
  <c r="F1718" i="16"/>
  <c r="E1718" i="16"/>
  <c r="C1718" i="16"/>
  <c r="B1718" i="16"/>
  <c r="F1717" i="16"/>
  <c r="E1717" i="16"/>
  <c r="C1717" i="16"/>
  <c r="B1717" i="16"/>
  <c r="F1716" i="16"/>
  <c r="E1716" i="16"/>
  <c r="C1716" i="16"/>
  <c r="B1716" i="16"/>
  <c r="F1715" i="16"/>
  <c r="E1715" i="16"/>
  <c r="C1715" i="16"/>
  <c r="B1715" i="16"/>
  <c r="F1714" i="16"/>
  <c r="E1714" i="16"/>
  <c r="C1714" i="16"/>
  <c r="B1714" i="16"/>
  <c r="F1713" i="16"/>
  <c r="E1713" i="16"/>
  <c r="C1713" i="16"/>
  <c r="B1713" i="16"/>
  <c r="F1712" i="16"/>
  <c r="E1712" i="16"/>
  <c r="C1712" i="16"/>
  <c r="B1712" i="16"/>
  <c r="F1711" i="16"/>
  <c r="E1711" i="16"/>
  <c r="C1711" i="16"/>
  <c r="B1711" i="16"/>
  <c r="F1710" i="16"/>
  <c r="E1710" i="16"/>
  <c r="C1710" i="16"/>
  <c r="B1710" i="16"/>
  <c r="F1709" i="16"/>
  <c r="E1709" i="16"/>
  <c r="C1709" i="16"/>
  <c r="B1709" i="16"/>
  <c r="F1708" i="16"/>
  <c r="E1708" i="16"/>
  <c r="C1708" i="16"/>
  <c r="B1708" i="16"/>
  <c r="F1707" i="16"/>
  <c r="E1707" i="16"/>
  <c r="C1707" i="16"/>
  <c r="B1707" i="16"/>
  <c r="F1706" i="16"/>
  <c r="E1706" i="16"/>
  <c r="C1706" i="16"/>
  <c r="B1706" i="16"/>
  <c r="F1705" i="16"/>
  <c r="E1705" i="16"/>
  <c r="C1705" i="16"/>
  <c r="B1705" i="16"/>
  <c r="F1704" i="16"/>
  <c r="E1704" i="16"/>
  <c r="C1704" i="16"/>
  <c r="B1704" i="16"/>
  <c r="F1703" i="16"/>
  <c r="E1703" i="16"/>
  <c r="C1703" i="16"/>
  <c r="B1703" i="16"/>
  <c r="F1702" i="16"/>
  <c r="E1702" i="16"/>
  <c r="C1702" i="16"/>
  <c r="B1702" i="16"/>
  <c r="F1701" i="16"/>
  <c r="E1701" i="16"/>
  <c r="C1701" i="16"/>
  <c r="B1701" i="16"/>
  <c r="F1700" i="16"/>
  <c r="E1700" i="16"/>
  <c r="C1700" i="16"/>
  <c r="B1700" i="16"/>
  <c r="F1699" i="16"/>
  <c r="E1699" i="16"/>
  <c r="C1699" i="16"/>
  <c r="B1699" i="16"/>
  <c r="F1698" i="16"/>
  <c r="E1698" i="16"/>
  <c r="C1698" i="16"/>
  <c r="B1698" i="16"/>
  <c r="F1697" i="16"/>
  <c r="E1697" i="16"/>
  <c r="C1697" i="16"/>
  <c r="B1697" i="16"/>
  <c r="F1696" i="16"/>
  <c r="E1696" i="16"/>
  <c r="C1696" i="16"/>
  <c r="B1696" i="16"/>
  <c r="F1695" i="16"/>
  <c r="E1695" i="16"/>
  <c r="C1695" i="16"/>
  <c r="B1695" i="16"/>
  <c r="F1694" i="16"/>
  <c r="E1694" i="16"/>
  <c r="C1694" i="16"/>
  <c r="B1694" i="16"/>
  <c r="F1693" i="16"/>
  <c r="E1693" i="16"/>
  <c r="C1693" i="16"/>
  <c r="B1693" i="16"/>
  <c r="F1692" i="16"/>
  <c r="E1692" i="16"/>
  <c r="C1692" i="16"/>
  <c r="B1692" i="16"/>
  <c r="F1691" i="16"/>
  <c r="E1691" i="16"/>
  <c r="C1691" i="16"/>
  <c r="B1691" i="16"/>
  <c r="F1690" i="16"/>
  <c r="E1690" i="16"/>
  <c r="C1690" i="16"/>
  <c r="B1690" i="16"/>
  <c r="F1689" i="16"/>
  <c r="E1689" i="16"/>
  <c r="C1689" i="16"/>
  <c r="B1689" i="16"/>
  <c r="F1688" i="16"/>
  <c r="E1688" i="16"/>
  <c r="C1688" i="16"/>
  <c r="B1688" i="16"/>
  <c r="F1687" i="16"/>
  <c r="E1687" i="16"/>
  <c r="C1687" i="16"/>
  <c r="B1687" i="16"/>
  <c r="F1686" i="16"/>
  <c r="E1686" i="16"/>
  <c r="C1686" i="16"/>
  <c r="B1686" i="16"/>
  <c r="F1685" i="16"/>
  <c r="E1685" i="16"/>
  <c r="C1685" i="16"/>
  <c r="B1685" i="16"/>
  <c r="F1684" i="16"/>
  <c r="E1684" i="16"/>
  <c r="C1684" i="16"/>
  <c r="B1684" i="16"/>
  <c r="F1683" i="16"/>
  <c r="E1683" i="16"/>
  <c r="C1683" i="16"/>
  <c r="B1683" i="16"/>
  <c r="F1682" i="16"/>
  <c r="E1682" i="16"/>
  <c r="C1682" i="16"/>
  <c r="B1682" i="16"/>
  <c r="F1681" i="16"/>
  <c r="E1681" i="16"/>
  <c r="C1681" i="16"/>
  <c r="B1681" i="16"/>
  <c r="F1680" i="16"/>
  <c r="E1680" i="16"/>
  <c r="C1680" i="16"/>
  <c r="B1680" i="16"/>
  <c r="F1679" i="16"/>
  <c r="E1679" i="16"/>
  <c r="C1679" i="16"/>
  <c r="B1679" i="16"/>
  <c r="F1678" i="16"/>
  <c r="E1678" i="16"/>
  <c r="C1678" i="16"/>
  <c r="B1678" i="16"/>
  <c r="F1677" i="16"/>
  <c r="E1677" i="16"/>
  <c r="C1677" i="16"/>
  <c r="B1677" i="16"/>
  <c r="F1676" i="16"/>
  <c r="E1676" i="16"/>
  <c r="C1676" i="16"/>
  <c r="B1676" i="16"/>
  <c r="F1675" i="16"/>
  <c r="E1675" i="16"/>
  <c r="C1675" i="16"/>
  <c r="B1675" i="16"/>
  <c r="F1674" i="16"/>
  <c r="E1674" i="16"/>
  <c r="C1674" i="16"/>
  <c r="B1674" i="16"/>
  <c r="F1673" i="16"/>
  <c r="E1673" i="16"/>
  <c r="C1673" i="16"/>
  <c r="B1673" i="16"/>
  <c r="F1672" i="16"/>
  <c r="E1672" i="16"/>
  <c r="C1672" i="16"/>
  <c r="B1672" i="16"/>
  <c r="F1671" i="16"/>
  <c r="E1671" i="16"/>
  <c r="C1671" i="16"/>
  <c r="B1671" i="16"/>
  <c r="F1670" i="16"/>
  <c r="E1670" i="16"/>
  <c r="C1670" i="16"/>
  <c r="B1670" i="16"/>
  <c r="F1669" i="16"/>
  <c r="E1669" i="16"/>
  <c r="C1669" i="16"/>
  <c r="B1669" i="16"/>
  <c r="F1668" i="16"/>
  <c r="E1668" i="16"/>
  <c r="C1668" i="16"/>
  <c r="B1668" i="16"/>
  <c r="F1667" i="16"/>
  <c r="E1667" i="16"/>
  <c r="C1667" i="16"/>
  <c r="B1667" i="16"/>
  <c r="F1666" i="16"/>
  <c r="E1666" i="16"/>
  <c r="C1666" i="16"/>
  <c r="B1666" i="16"/>
  <c r="F1665" i="16"/>
  <c r="E1665" i="16"/>
  <c r="C1665" i="16"/>
  <c r="B1665" i="16"/>
  <c r="F1664" i="16"/>
  <c r="E1664" i="16"/>
  <c r="C1664" i="16"/>
  <c r="B1664" i="16"/>
  <c r="F1663" i="16"/>
  <c r="E1663" i="16"/>
  <c r="C1663" i="16"/>
  <c r="B1663" i="16"/>
  <c r="F1662" i="16"/>
  <c r="E1662" i="16"/>
  <c r="C1662" i="16"/>
  <c r="B1662" i="16"/>
  <c r="F1661" i="16"/>
  <c r="E1661" i="16"/>
  <c r="C1661" i="16"/>
  <c r="B1661" i="16"/>
  <c r="F1660" i="16"/>
  <c r="E1660" i="16"/>
  <c r="C1660" i="16"/>
  <c r="B1660" i="16"/>
  <c r="F1659" i="16"/>
  <c r="E1659" i="16"/>
  <c r="C1659" i="16"/>
  <c r="B1659" i="16"/>
  <c r="F1658" i="16"/>
  <c r="E1658" i="16"/>
  <c r="C1658" i="16"/>
  <c r="B1658" i="16"/>
  <c r="F1657" i="16"/>
  <c r="E1657" i="16"/>
  <c r="C1657" i="16"/>
  <c r="B1657" i="16"/>
  <c r="F1656" i="16"/>
  <c r="E1656" i="16"/>
  <c r="C1656" i="16"/>
  <c r="B1656" i="16"/>
  <c r="F1655" i="16"/>
  <c r="E1655" i="16"/>
  <c r="C1655" i="16"/>
  <c r="B1655" i="16"/>
  <c r="F1654" i="16"/>
  <c r="E1654" i="16"/>
  <c r="C1654" i="16"/>
  <c r="B1654" i="16"/>
  <c r="F1653" i="16"/>
  <c r="E1653" i="16"/>
  <c r="C1653" i="16"/>
  <c r="B1653" i="16"/>
  <c r="F1652" i="16"/>
  <c r="E1652" i="16"/>
  <c r="C1652" i="16"/>
  <c r="B1652" i="16"/>
  <c r="F1651" i="16"/>
  <c r="E1651" i="16"/>
  <c r="C1651" i="16"/>
  <c r="B1651" i="16"/>
  <c r="F1650" i="16"/>
  <c r="E1650" i="16"/>
  <c r="C1650" i="16"/>
  <c r="B1650" i="16"/>
  <c r="F1649" i="16"/>
  <c r="E1649" i="16"/>
  <c r="C1649" i="16"/>
  <c r="B1649" i="16"/>
  <c r="F1648" i="16"/>
  <c r="E1648" i="16"/>
  <c r="C1648" i="16"/>
  <c r="B1648" i="16"/>
  <c r="F1647" i="16"/>
  <c r="E1647" i="16"/>
  <c r="C1647" i="16"/>
  <c r="B1647" i="16"/>
  <c r="F1646" i="16"/>
  <c r="E1646" i="16"/>
  <c r="C1646" i="16"/>
  <c r="B1646" i="16"/>
  <c r="F1645" i="16"/>
  <c r="E1645" i="16"/>
  <c r="C1645" i="16"/>
  <c r="B1645" i="16"/>
  <c r="F1644" i="16"/>
  <c r="E1644" i="16"/>
  <c r="C1644" i="16"/>
  <c r="B1644" i="16"/>
  <c r="F1643" i="16"/>
  <c r="E1643" i="16"/>
  <c r="C1643" i="16"/>
  <c r="B1643" i="16"/>
  <c r="F1642" i="16"/>
  <c r="E1642" i="16"/>
  <c r="C1642" i="16"/>
  <c r="B1642" i="16"/>
  <c r="F1641" i="16"/>
  <c r="E1641" i="16"/>
  <c r="C1641" i="16"/>
  <c r="B1641" i="16"/>
  <c r="F1640" i="16"/>
  <c r="E1640" i="16"/>
  <c r="C1640" i="16"/>
  <c r="B1640" i="16"/>
  <c r="F1639" i="16"/>
  <c r="E1639" i="16"/>
  <c r="C1639" i="16"/>
  <c r="B1639" i="16"/>
  <c r="F1638" i="16"/>
  <c r="E1638" i="16"/>
  <c r="C1638" i="16"/>
  <c r="B1638" i="16"/>
  <c r="F1637" i="16"/>
  <c r="Y1637" i="16" s="1"/>
  <c r="E1637" i="16"/>
  <c r="C1637" i="16"/>
  <c r="B1637" i="16"/>
  <c r="F1636" i="16"/>
  <c r="E1636" i="16"/>
  <c r="C1636" i="16"/>
  <c r="B1636" i="16"/>
  <c r="F1635" i="16"/>
  <c r="E1635" i="16"/>
  <c r="C1635" i="16"/>
  <c r="B1635" i="16"/>
  <c r="F1634" i="16"/>
  <c r="E1634" i="16"/>
  <c r="C1634" i="16"/>
  <c r="B1634" i="16"/>
  <c r="F1633" i="16"/>
  <c r="E1633" i="16"/>
  <c r="C1633" i="16"/>
  <c r="B1633" i="16"/>
  <c r="F1632" i="16"/>
  <c r="E1632" i="16"/>
  <c r="C1632" i="16"/>
  <c r="B1632" i="16"/>
  <c r="F1631" i="16"/>
  <c r="E1631" i="16"/>
  <c r="C1631" i="16"/>
  <c r="B1631" i="16"/>
  <c r="F1630" i="16"/>
  <c r="E1630" i="16"/>
  <c r="C1630" i="16"/>
  <c r="B1630" i="16"/>
  <c r="F1629" i="16"/>
  <c r="E1629" i="16"/>
  <c r="C1629" i="16"/>
  <c r="B1629" i="16"/>
  <c r="F1628" i="16"/>
  <c r="E1628" i="16"/>
  <c r="C1628" i="16"/>
  <c r="B1628" i="16"/>
  <c r="F1627" i="16"/>
  <c r="E1627" i="16"/>
  <c r="C1627" i="16"/>
  <c r="B1627" i="16"/>
  <c r="F1626" i="16"/>
  <c r="E1626" i="16"/>
  <c r="C1626" i="16"/>
  <c r="B1626" i="16"/>
  <c r="F1625" i="16"/>
  <c r="E1625" i="16"/>
  <c r="C1625" i="16"/>
  <c r="B1625" i="16"/>
  <c r="F1624" i="16"/>
  <c r="E1624" i="16"/>
  <c r="C1624" i="16"/>
  <c r="B1624" i="16"/>
  <c r="F1623" i="16"/>
  <c r="E1623" i="16"/>
  <c r="C1623" i="16"/>
  <c r="B1623" i="16"/>
  <c r="F1622" i="16"/>
  <c r="E1622" i="16"/>
  <c r="C1622" i="16"/>
  <c r="B1622" i="16"/>
  <c r="F1621" i="16"/>
  <c r="E1621" i="16"/>
  <c r="C1621" i="16"/>
  <c r="B1621" i="16"/>
  <c r="F1620" i="16"/>
  <c r="E1620" i="16"/>
  <c r="C1620" i="16"/>
  <c r="B1620" i="16"/>
  <c r="F1619" i="16"/>
  <c r="E1619" i="16"/>
  <c r="C1619" i="16"/>
  <c r="B1619" i="16"/>
  <c r="F1618" i="16"/>
  <c r="E1618" i="16"/>
  <c r="C1618" i="16"/>
  <c r="B1618" i="16"/>
  <c r="F1617" i="16"/>
  <c r="E1617" i="16"/>
  <c r="C1617" i="16"/>
  <c r="B1617" i="16"/>
  <c r="F1616" i="16"/>
  <c r="E1616" i="16"/>
  <c r="C1616" i="16"/>
  <c r="B1616" i="16"/>
  <c r="F1615" i="16"/>
  <c r="E1615" i="16"/>
  <c r="C1615" i="16"/>
  <c r="B1615" i="16"/>
  <c r="F1614" i="16"/>
  <c r="E1614" i="16"/>
  <c r="C1614" i="16"/>
  <c r="B1614" i="16"/>
  <c r="F1613" i="16"/>
  <c r="E1613" i="16"/>
  <c r="C1613" i="16"/>
  <c r="B1613" i="16"/>
  <c r="F1612" i="16"/>
  <c r="E1612" i="16"/>
  <c r="C1612" i="16"/>
  <c r="B1612" i="16"/>
  <c r="F1611" i="16"/>
  <c r="E1611" i="16"/>
  <c r="C1611" i="16"/>
  <c r="B1611" i="16"/>
  <c r="F1610" i="16"/>
  <c r="E1610" i="16"/>
  <c r="C1610" i="16"/>
  <c r="B1610" i="16"/>
  <c r="F1609" i="16"/>
  <c r="E1609" i="16"/>
  <c r="C1609" i="16"/>
  <c r="B1609" i="16"/>
  <c r="F1608" i="16"/>
  <c r="E1608" i="16"/>
  <c r="C1608" i="16"/>
  <c r="B1608" i="16"/>
  <c r="F1607" i="16"/>
  <c r="E1607" i="16"/>
  <c r="C1607" i="16"/>
  <c r="B1607" i="16"/>
  <c r="F1606" i="16"/>
  <c r="E1606" i="16"/>
  <c r="C1606" i="16"/>
  <c r="B1606" i="16"/>
  <c r="F1605" i="16"/>
  <c r="E1605" i="16"/>
  <c r="C1605" i="16"/>
  <c r="B1605" i="16"/>
  <c r="F1604" i="16"/>
  <c r="E1604" i="16"/>
  <c r="C1604" i="16"/>
  <c r="B1604" i="16"/>
  <c r="F1603" i="16"/>
  <c r="E1603" i="16"/>
  <c r="C1603" i="16"/>
  <c r="B1603" i="16"/>
  <c r="F1602" i="16"/>
  <c r="E1602" i="16"/>
  <c r="C1602" i="16"/>
  <c r="B1602" i="16"/>
  <c r="F1601" i="16"/>
  <c r="E1601" i="16"/>
  <c r="C1601" i="16"/>
  <c r="B1601" i="16"/>
  <c r="F1600" i="16"/>
  <c r="E1600" i="16"/>
  <c r="C1600" i="16"/>
  <c r="B1600" i="16"/>
  <c r="F1599" i="16"/>
  <c r="E1599" i="16"/>
  <c r="C1599" i="16"/>
  <c r="B1599" i="16"/>
  <c r="F1598" i="16"/>
  <c r="E1598" i="16"/>
  <c r="C1598" i="16"/>
  <c r="B1598" i="16"/>
  <c r="F1597" i="16"/>
  <c r="E1597" i="16"/>
  <c r="C1597" i="16"/>
  <c r="B1597" i="16"/>
  <c r="F1596" i="16"/>
  <c r="E1596" i="16"/>
  <c r="C1596" i="16"/>
  <c r="B1596" i="16"/>
  <c r="F1595" i="16"/>
  <c r="E1595" i="16"/>
  <c r="C1595" i="16"/>
  <c r="B1595" i="16"/>
  <c r="F1594" i="16"/>
  <c r="E1594" i="16"/>
  <c r="C1594" i="16"/>
  <c r="B1594" i="16"/>
  <c r="F1593" i="16"/>
  <c r="E1593" i="16"/>
  <c r="C1593" i="16"/>
  <c r="B1593" i="16"/>
  <c r="F1592" i="16"/>
  <c r="E1592" i="16"/>
  <c r="C1592" i="16"/>
  <c r="B1592" i="16"/>
  <c r="F1591" i="16"/>
  <c r="E1591" i="16"/>
  <c r="C1591" i="16"/>
  <c r="B1591" i="16"/>
  <c r="F1590" i="16"/>
  <c r="E1590" i="16"/>
  <c r="C1590" i="16"/>
  <c r="B1590" i="16"/>
  <c r="F1589" i="16"/>
  <c r="E1589" i="16"/>
  <c r="C1589" i="16"/>
  <c r="B1589" i="16"/>
  <c r="F1588" i="16"/>
  <c r="E1588" i="16"/>
  <c r="C1588" i="16"/>
  <c r="B1588" i="16"/>
  <c r="F1587" i="16"/>
  <c r="E1587" i="16"/>
  <c r="C1587" i="16"/>
  <c r="B1587" i="16"/>
  <c r="F1586" i="16"/>
  <c r="E1586" i="16"/>
  <c r="C1586" i="16"/>
  <c r="B1586" i="16"/>
  <c r="F1585" i="16"/>
  <c r="E1585" i="16"/>
  <c r="C1585" i="16"/>
  <c r="B1585" i="16"/>
  <c r="F1584" i="16"/>
  <c r="E1584" i="16"/>
  <c r="C1584" i="16"/>
  <c r="B1584" i="16"/>
  <c r="F1583" i="16"/>
  <c r="E1583" i="16"/>
  <c r="C1583" i="16"/>
  <c r="B1583" i="16"/>
  <c r="F1582" i="16"/>
  <c r="E1582" i="16"/>
  <c r="C1582" i="16"/>
  <c r="B1582" i="16"/>
  <c r="F1581" i="16"/>
  <c r="E1581" i="16"/>
  <c r="C1581" i="16"/>
  <c r="B1581" i="16"/>
  <c r="F1580" i="16"/>
  <c r="E1580" i="16"/>
  <c r="C1580" i="16"/>
  <c r="B1580" i="16"/>
  <c r="F1579" i="16"/>
  <c r="E1579" i="16"/>
  <c r="C1579" i="16"/>
  <c r="B1579" i="16"/>
  <c r="F1578" i="16"/>
  <c r="E1578" i="16"/>
  <c r="C1578" i="16"/>
  <c r="B1578" i="16"/>
  <c r="F1577" i="16"/>
  <c r="E1577" i="16"/>
  <c r="C1577" i="16"/>
  <c r="B1577" i="16"/>
  <c r="F1576" i="16"/>
  <c r="E1576" i="16"/>
  <c r="C1576" i="16"/>
  <c r="B1576" i="16"/>
  <c r="F1575" i="16"/>
  <c r="E1575" i="16"/>
  <c r="C1575" i="16"/>
  <c r="B1575" i="16"/>
  <c r="F1574" i="16"/>
  <c r="E1574" i="16"/>
  <c r="C1574" i="16"/>
  <c r="B1574" i="16"/>
  <c r="F1573" i="16"/>
  <c r="E1573" i="16"/>
  <c r="C1573" i="16"/>
  <c r="B1573" i="16"/>
  <c r="F1572" i="16"/>
  <c r="E1572" i="16"/>
  <c r="C1572" i="16"/>
  <c r="B1572" i="16"/>
  <c r="F1571" i="16"/>
  <c r="E1571" i="16"/>
  <c r="C1571" i="16"/>
  <c r="B1571" i="16"/>
  <c r="F1570" i="16"/>
  <c r="E1570" i="16"/>
  <c r="C1570" i="16"/>
  <c r="B1570" i="16"/>
  <c r="F1569" i="16"/>
  <c r="E1569" i="16"/>
  <c r="C1569" i="16"/>
  <c r="B1569" i="16"/>
  <c r="F1568" i="16"/>
  <c r="E1568" i="16"/>
  <c r="C1568" i="16"/>
  <c r="B1568" i="16"/>
  <c r="F1567" i="16"/>
  <c r="E1567" i="16"/>
  <c r="C1567" i="16"/>
  <c r="B1567" i="16"/>
  <c r="F1566" i="16"/>
  <c r="E1566" i="16"/>
  <c r="C1566" i="16"/>
  <c r="B1566" i="16"/>
  <c r="F1565" i="16"/>
  <c r="E1565" i="16"/>
  <c r="C1565" i="16"/>
  <c r="B1565" i="16"/>
  <c r="F1564" i="16"/>
  <c r="E1564" i="16"/>
  <c r="C1564" i="16"/>
  <c r="B1564" i="16"/>
  <c r="F1563" i="16"/>
  <c r="E1563" i="16"/>
  <c r="C1563" i="16"/>
  <c r="B1563" i="16"/>
  <c r="F1562" i="16"/>
  <c r="E1562" i="16"/>
  <c r="C1562" i="16"/>
  <c r="B1562" i="16"/>
  <c r="F1561" i="16"/>
  <c r="E1561" i="16"/>
  <c r="C1561" i="16"/>
  <c r="B1561" i="16"/>
  <c r="F1560" i="16"/>
  <c r="E1560" i="16"/>
  <c r="C1560" i="16"/>
  <c r="B1560" i="16"/>
  <c r="F1559" i="16"/>
  <c r="E1559" i="16"/>
  <c r="C1559" i="16"/>
  <c r="B1559" i="16"/>
  <c r="F1558" i="16"/>
  <c r="E1558" i="16"/>
  <c r="C1558" i="16"/>
  <c r="B1558" i="16"/>
  <c r="F1557" i="16"/>
  <c r="E1557" i="16"/>
  <c r="C1557" i="16"/>
  <c r="B1557" i="16"/>
  <c r="F1556" i="16"/>
  <c r="E1556" i="16"/>
  <c r="C1556" i="16"/>
  <c r="B1556" i="16"/>
  <c r="F1555" i="16"/>
  <c r="E1555" i="16"/>
  <c r="C1555" i="16"/>
  <c r="B1555" i="16"/>
  <c r="F1554" i="16"/>
  <c r="E1554" i="16"/>
  <c r="C1554" i="16"/>
  <c r="B1554" i="16"/>
  <c r="F1553" i="16"/>
  <c r="E1553" i="16"/>
  <c r="C1553" i="16"/>
  <c r="B1553" i="16"/>
  <c r="F1552" i="16"/>
  <c r="E1552" i="16"/>
  <c r="C1552" i="16"/>
  <c r="B1552" i="16"/>
  <c r="F1551" i="16"/>
  <c r="E1551" i="16"/>
  <c r="C1551" i="16"/>
  <c r="B1551" i="16"/>
  <c r="F1550" i="16"/>
  <c r="E1550" i="16"/>
  <c r="C1550" i="16"/>
  <c r="B1550" i="16"/>
  <c r="F1549" i="16"/>
  <c r="E1549" i="16"/>
  <c r="C1549" i="16"/>
  <c r="B1549" i="16"/>
  <c r="F1548" i="16"/>
  <c r="E1548" i="16"/>
  <c r="C1548" i="16"/>
  <c r="B1548" i="16"/>
  <c r="F1547" i="16"/>
  <c r="E1547" i="16"/>
  <c r="C1547" i="16"/>
  <c r="B1547" i="16"/>
  <c r="F1546" i="16"/>
  <c r="E1546" i="16"/>
  <c r="C1546" i="16"/>
  <c r="B1546" i="16"/>
  <c r="F1545" i="16"/>
  <c r="E1545" i="16"/>
  <c r="C1545" i="16"/>
  <c r="B1545" i="16"/>
  <c r="F1544" i="16"/>
  <c r="E1544" i="16"/>
  <c r="C1544" i="16"/>
  <c r="B1544" i="16"/>
  <c r="F1543" i="16"/>
  <c r="E1543" i="16"/>
  <c r="C1543" i="16"/>
  <c r="B1543" i="16"/>
  <c r="F1542" i="16"/>
  <c r="E1542" i="16"/>
  <c r="C1542" i="16"/>
  <c r="B1542" i="16"/>
  <c r="F1541" i="16"/>
  <c r="E1541" i="16"/>
  <c r="C1541" i="16"/>
  <c r="B1541" i="16"/>
  <c r="F1540" i="16"/>
  <c r="E1540" i="16"/>
  <c r="C1540" i="16"/>
  <c r="B1540" i="16"/>
  <c r="F1539" i="16"/>
  <c r="E1539" i="16"/>
  <c r="C1539" i="16"/>
  <c r="B1539" i="16"/>
  <c r="F1538" i="16"/>
  <c r="E1538" i="16"/>
  <c r="C1538" i="16"/>
  <c r="B1538" i="16"/>
  <c r="F1537" i="16"/>
  <c r="E1537" i="16"/>
  <c r="C1537" i="16"/>
  <c r="B1537" i="16"/>
  <c r="F1536" i="16"/>
  <c r="E1536" i="16"/>
  <c r="C1536" i="16"/>
  <c r="B1536" i="16"/>
  <c r="F1535" i="16"/>
  <c r="E1535" i="16"/>
  <c r="C1535" i="16"/>
  <c r="B1535" i="16"/>
  <c r="F1534" i="16"/>
  <c r="E1534" i="16"/>
  <c r="C1534" i="16"/>
  <c r="B1534" i="16"/>
  <c r="F1533" i="16"/>
  <c r="E1533" i="16"/>
  <c r="C1533" i="16"/>
  <c r="B1533" i="16"/>
  <c r="F1532" i="16"/>
  <c r="E1532" i="16"/>
  <c r="C1532" i="16"/>
  <c r="B1532" i="16"/>
  <c r="F1531" i="16"/>
  <c r="E1531" i="16"/>
  <c r="C1531" i="16"/>
  <c r="B1531" i="16"/>
  <c r="F1530" i="16"/>
  <c r="E1530" i="16"/>
  <c r="C1530" i="16"/>
  <c r="B1530" i="16"/>
  <c r="F1529" i="16"/>
  <c r="E1529" i="16"/>
  <c r="C1529" i="16"/>
  <c r="B1529" i="16"/>
  <c r="F1528" i="16"/>
  <c r="E1528" i="16"/>
  <c r="C1528" i="16"/>
  <c r="B1528" i="16"/>
  <c r="F1527" i="16"/>
  <c r="E1527" i="16"/>
  <c r="C1527" i="16"/>
  <c r="B1527" i="16"/>
  <c r="F1526" i="16"/>
  <c r="E1526" i="16"/>
  <c r="C1526" i="16"/>
  <c r="B1526" i="16"/>
  <c r="F1525" i="16"/>
  <c r="E1525" i="16"/>
  <c r="C1525" i="16"/>
  <c r="B1525" i="16"/>
  <c r="F1524" i="16"/>
  <c r="E1524" i="16"/>
  <c r="C1524" i="16"/>
  <c r="B1524" i="16"/>
  <c r="F1523" i="16"/>
  <c r="E1523" i="16"/>
  <c r="C1523" i="16"/>
  <c r="B1523" i="16"/>
  <c r="F1522" i="16"/>
  <c r="E1522" i="16"/>
  <c r="C1522" i="16"/>
  <c r="B1522" i="16"/>
  <c r="F1521" i="16"/>
  <c r="E1521" i="16"/>
  <c r="C1521" i="16"/>
  <c r="B1521" i="16"/>
  <c r="F1520" i="16"/>
  <c r="E1520" i="16"/>
  <c r="C1520" i="16"/>
  <c r="B1520" i="16"/>
  <c r="F1519" i="16"/>
  <c r="E1519" i="16"/>
  <c r="C1519" i="16"/>
  <c r="B1519" i="16"/>
  <c r="F1518" i="16"/>
  <c r="E1518" i="16"/>
  <c r="C1518" i="16"/>
  <c r="B1518" i="16"/>
  <c r="F1517" i="16"/>
  <c r="E1517" i="16"/>
  <c r="C1517" i="16"/>
  <c r="B1517" i="16"/>
  <c r="F1516" i="16"/>
  <c r="E1516" i="16"/>
  <c r="C1516" i="16"/>
  <c r="B1516" i="16"/>
  <c r="F1515" i="16"/>
  <c r="E1515" i="16"/>
  <c r="C1515" i="16"/>
  <c r="B1515" i="16"/>
  <c r="F1514" i="16"/>
  <c r="E1514" i="16"/>
  <c r="C1514" i="16"/>
  <c r="B1514" i="16"/>
  <c r="F1513" i="16"/>
  <c r="E1513" i="16"/>
  <c r="C1513" i="16"/>
  <c r="B1513" i="16"/>
  <c r="F1512" i="16"/>
  <c r="E1512" i="16"/>
  <c r="C1512" i="16"/>
  <c r="B1512" i="16"/>
  <c r="F1511" i="16"/>
  <c r="E1511" i="16"/>
  <c r="C1511" i="16"/>
  <c r="B1511" i="16"/>
  <c r="F1510" i="16"/>
  <c r="E1510" i="16"/>
  <c r="C1510" i="16"/>
  <c r="B1510" i="16"/>
  <c r="F1509" i="16"/>
  <c r="E1509" i="16"/>
  <c r="C1509" i="16"/>
  <c r="B1509" i="16"/>
  <c r="F1508" i="16"/>
  <c r="E1508" i="16"/>
  <c r="C1508" i="16"/>
  <c r="B1508" i="16"/>
  <c r="F1507" i="16"/>
  <c r="E1507" i="16"/>
  <c r="C1507" i="16"/>
  <c r="B1507" i="16"/>
  <c r="F1506" i="16"/>
  <c r="E1506" i="16"/>
  <c r="C1506" i="16"/>
  <c r="B1506" i="16"/>
  <c r="F1505" i="16"/>
  <c r="E1505" i="16"/>
  <c r="C1505" i="16"/>
  <c r="B1505" i="16"/>
  <c r="F1504" i="16"/>
  <c r="E1504" i="16"/>
  <c r="C1504" i="16"/>
  <c r="B1504" i="16"/>
  <c r="F1503" i="16"/>
  <c r="E1503" i="16"/>
  <c r="C1503" i="16"/>
  <c r="B1503" i="16"/>
  <c r="F1502" i="16"/>
  <c r="E1502" i="16"/>
  <c r="C1502" i="16"/>
  <c r="B1502" i="16"/>
  <c r="F1501" i="16"/>
  <c r="E1501" i="16"/>
  <c r="C1501" i="16"/>
  <c r="B1501" i="16"/>
  <c r="F1500" i="16"/>
  <c r="E1500" i="16"/>
  <c r="C1500" i="16"/>
  <c r="B1500" i="16"/>
  <c r="F1499" i="16"/>
  <c r="E1499" i="16"/>
  <c r="C1499" i="16"/>
  <c r="B1499" i="16"/>
  <c r="F1498" i="16"/>
  <c r="E1498" i="16"/>
  <c r="C1498" i="16"/>
  <c r="B1498" i="16"/>
  <c r="F1497" i="16"/>
  <c r="E1497" i="16"/>
  <c r="C1497" i="16"/>
  <c r="B1497" i="16"/>
  <c r="F1496" i="16"/>
  <c r="E1496" i="16"/>
  <c r="C1496" i="16"/>
  <c r="B1496" i="16"/>
  <c r="F1495" i="16"/>
  <c r="E1495" i="16"/>
  <c r="C1495" i="16"/>
  <c r="B1495" i="16"/>
  <c r="F1494" i="16"/>
  <c r="E1494" i="16"/>
  <c r="C1494" i="16"/>
  <c r="B1494" i="16"/>
  <c r="F1493" i="16"/>
  <c r="E1493" i="16"/>
  <c r="C1493" i="16"/>
  <c r="B1493" i="16"/>
  <c r="F1492" i="16"/>
  <c r="E1492" i="16"/>
  <c r="C1492" i="16"/>
  <c r="B1492" i="16"/>
  <c r="F1491" i="16"/>
  <c r="E1491" i="16"/>
  <c r="C1491" i="16"/>
  <c r="B1491" i="16"/>
  <c r="F1490" i="16"/>
  <c r="E1490" i="16"/>
  <c r="C1490" i="16"/>
  <c r="B1490" i="16"/>
  <c r="F1489" i="16"/>
  <c r="E1489" i="16"/>
  <c r="C1489" i="16"/>
  <c r="B1489" i="16"/>
  <c r="F1488" i="16"/>
  <c r="E1488" i="16"/>
  <c r="C1488" i="16"/>
  <c r="B1488" i="16"/>
  <c r="Q177" i="17"/>
  <c r="Q178" i="17"/>
  <c r="Q179" i="17"/>
  <c r="Q180" i="17"/>
  <c r="Q181" i="17"/>
  <c r="Q182" i="17"/>
  <c r="Q183" i="17"/>
  <c r="Q184" i="17"/>
  <c r="Q185" i="17"/>
  <c r="Q186" i="17"/>
  <c r="Q187" i="17"/>
  <c r="Q188" i="17"/>
  <c r="Q189" i="17"/>
  <c r="Q190" i="17"/>
  <c r="Q191" i="17"/>
  <c r="Q192" i="17"/>
  <c r="Q193" i="17"/>
  <c r="Q194" i="17"/>
  <c r="Q195" i="17"/>
  <c r="Q196" i="17"/>
  <c r="Q197" i="17"/>
  <c r="Q198" i="17"/>
  <c r="Q199" i="17"/>
  <c r="Q200" i="17"/>
  <c r="Q201" i="17"/>
  <c r="Q202" i="17"/>
  <c r="Q203" i="17"/>
  <c r="Q204" i="17"/>
  <c r="Q205" i="17"/>
  <c r="Q206" i="17"/>
  <c r="Q207" i="17"/>
  <c r="Q208" i="17"/>
  <c r="Q209" i="17"/>
  <c r="Q210" i="17"/>
  <c r="Q211" i="17"/>
  <c r="Q212" i="17"/>
  <c r="Q213" i="17"/>
  <c r="Q214" i="17"/>
  <c r="Q215" i="17"/>
  <c r="Q216" i="17"/>
  <c r="Q217" i="17"/>
  <c r="Q218" i="17"/>
  <c r="Q219" i="17"/>
  <c r="Q220" i="17"/>
  <c r="Q221" i="17"/>
  <c r="Q222" i="17"/>
  <c r="Q223" i="17"/>
  <c r="Q224" i="17"/>
  <c r="Q225" i="17"/>
  <c r="Q226" i="17"/>
  <c r="Q227" i="17"/>
  <c r="Q228" i="17"/>
  <c r="Q229" i="17"/>
  <c r="Q230" i="17"/>
  <c r="Q231" i="17"/>
  <c r="Q232" i="17"/>
  <c r="K177" i="17"/>
  <c r="K178" i="17"/>
  <c r="K179" i="17"/>
  <c r="K180" i="17"/>
  <c r="K181" i="17"/>
  <c r="K182" i="17"/>
  <c r="K183" i="17"/>
  <c r="K184" i="17"/>
  <c r="K185" i="17"/>
  <c r="K186" i="17"/>
  <c r="K187" i="17"/>
  <c r="K188" i="17"/>
  <c r="K189" i="17"/>
  <c r="K190" i="17"/>
  <c r="K191" i="17"/>
  <c r="K192" i="17"/>
  <c r="K193" i="17"/>
  <c r="K194" i="17"/>
  <c r="K195" i="17"/>
  <c r="K196" i="17"/>
  <c r="K197" i="17"/>
  <c r="K198" i="17"/>
  <c r="K199" i="17"/>
  <c r="K200" i="17"/>
  <c r="K201" i="17"/>
  <c r="K202" i="17"/>
  <c r="K203" i="17"/>
  <c r="K204" i="17"/>
  <c r="K205" i="17"/>
  <c r="K206" i="17"/>
  <c r="K207" i="17"/>
  <c r="K208" i="17"/>
  <c r="K209" i="17"/>
  <c r="K210" i="17"/>
  <c r="K211" i="17"/>
  <c r="K212" i="17"/>
  <c r="K213" i="17"/>
  <c r="K214" i="17"/>
  <c r="K215" i="17"/>
  <c r="K216" i="17"/>
  <c r="K217" i="17"/>
  <c r="K218" i="17"/>
  <c r="K219" i="17"/>
  <c r="K220" i="17"/>
  <c r="K221" i="17"/>
  <c r="K222" i="17"/>
  <c r="K223" i="17"/>
  <c r="K224" i="17"/>
  <c r="K225" i="17"/>
  <c r="K226" i="17"/>
  <c r="K227" i="17"/>
  <c r="K228" i="17"/>
  <c r="K229" i="17"/>
  <c r="K230" i="17"/>
  <c r="K231" i="17"/>
  <c r="K232" i="17"/>
  <c r="Y6" i="17"/>
  <c r="Y7" i="17"/>
  <c r="O178" i="17" s="1"/>
  <c r="Y8" i="17"/>
  <c r="Y9" i="17"/>
  <c r="O180" i="17" s="1"/>
  <c r="Y10" i="17"/>
  <c r="Y11" i="17"/>
  <c r="Y12" i="17"/>
  <c r="Y13" i="17"/>
  <c r="Y14" i="17"/>
  <c r="Y15" i="17"/>
  <c r="Y16" i="17"/>
  <c r="O187" i="17" s="1"/>
  <c r="Y17" i="17"/>
  <c r="Y18" i="17"/>
  <c r="O189" i="17" s="1"/>
  <c r="Y19" i="17"/>
  <c r="O190" i="17" s="1"/>
  <c r="Y20" i="17"/>
  <c r="O191" i="17" s="1"/>
  <c r="Y21" i="17"/>
  <c r="Y22" i="17"/>
  <c r="O193" i="17" s="1"/>
  <c r="Y23" i="17"/>
  <c r="O194" i="17" s="1"/>
  <c r="Y24" i="17"/>
  <c r="O195" i="17" s="1"/>
  <c r="Y25" i="17"/>
  <c r="Y26" i="17"/>
  <c r="O197" i="17" s="1"/>
  <c r="Y27" i="17"/>
  <c r="O198" i="17" s="1"/>
  <c r="Y28" i="17"/>
  <c r="O199" i="17" s="1"/>
  <c r="Y29" i="17"/>
  <c r="Y30" i="17"/>
  <c r="Y31" i="17"/>
  <c r="O202" i="17" s="1"/>
  <c r="Y32" i="17"/>
  <c r="Y33" i="17"/>
  <c r="O204" i="17" s="1"/>
  <c r="Y34" i="17"/>
  <c r="Y35" i="17"/>
  <c r="O206" i="17" s="1"/>
  <c r="Y36" i="17"/>
  <c r="Y37" i="17"/>
  <c r="O208" i="17" s="1"/>
  <c r="Y38" i="17"/>
  <c r="Y39" i="17"/>
  <c r="O210" i="17" s="1"/>
  <c r="Y40" i="17"/>
  <c r="Y41" i="17"/>
  <c r="O212" i="17" s="1"/>
  <c r="Y42" i="17"/>
  <c r="Y43" i="17"/>
  <c r="O214" i="17" s="1"/>
  <c r="Y44" i="17"/>
  <c r="Y45" i="17"/>
  <c r="O216" i="17" s="1"/>
  <c r="Y46" i="17"/>
  <c r="Y47" i="17"/>
  <c r="O218" i="17" s="1"/>
  <c r="Y48" i="17"/>
  <c r="Y49" i="17"/>
  <c r="O220" i="17" s="1"/>
  <c r="Y50" i="17"/>
  <c r="Y51" i="17"/>
  <c r="O222" i="17" s="1"/>
  <c r="Y52" i="17"/>
  <c r="Y53" i="17"/>
  <c r="O224" i="17" s="1"/>
  <c r="Y54" i="17"/>
  <c r="Y55" i="17"/>
  <c r="O226" i="17" s="1"/>
  <c r="Y56" i="17"/>
  <c r="Y57" i="17"/>
  <c r="O228" i="17" s="1"/>
  <c r="Y58" i="17"/>
  <c r="Y59" i="17"/>
  <c r="O230" i="17" s="1"/>
  <c r="Y60" i="17"/>
  <c r="Y61" i="17"/>
  <c r="O232" i="17" s="1"/>
  <c r="Y5" i="17"/>
  <c r="Z1637" i="16" l="1"/>
  <c r="AA1637" i="16" s="1"/>
  <c r="Z1628" i="16"/>
  <c r="AA1628" i="16" s="1"/>
  <c r="Z1636" i="16"/>
  <c r="AA1636" i="16" s="1"/>
  <c r="Z1632" i="16"/>
  <c r="AA1632" i="16" s="1"/>
  <c r="Z1626" i="16"/>
  <c r="AA1626" i="16" s="1"/>
  <c r="Z1634" i="16"/>
  <c r="AA1634" i="16" s="1"/>
  <c r="Z1630" i="16"/>
  <c r="AA1630" i="16" s="1"/>
  <c r="Z1633" i="16"/>
  <c r="AA1633" i="16" s="1"/>
  <c r="Z1629" i="16"/>
  <c r="AA1629" i="16" s="1"/>
  <c r="AB1629" i="16" s="1"/>
  <c r="AG1629" i="16" s="1"/>
  <c r="Z1631" i="16"/>
  <c r="AA1631" i="16" s="1"/>
  <c r="AB1631" i="16" s="1"/>
  <c r="AD1631" i="16" s="1"/>
  <c r="AK1631" i="16" s="1"/>
  <c r="Z1627" i="16"/>
  <c r="AA1627" i="16" s="1"/>
  <c r="AB1627" i="16" s="1"/>
  <c r="Z1635" i="16"/>
  <c r="AA1635" i="16" s="1"/>
  <c r="AB1635" i="16" s="1"/>
  <c r="AD1635" i="16" s="1"/>
  <c r="AK1635" i="16" s="1"/>
  <c r="Y1856" i="16"/>
  <c r="O207" i="17"/>
  <c r="O231" i="17"/>
  <c r="O219" i="17"/>
  <c r="S176" i="17"/>
  <c r="O223" i="17"/>
  <c r="O203" i="17"/>
  <c r="O215" i="17"/>
  <c r="G30" i="8" s="1"/>
  <c r="O177" i="17"/>
  <c r="O227" i="17"/>
  <c r="O211" i="17"/>
  <c r="O225" i="17"/>
  <c r="O217" i="17"/>
  <c r="O201" i="17"/>
  <c r="O176" i="17"/>
  <c r="O209" i="17"/>
  <c r="O181" i="17"/>
  <c r="O229" i="17"/>
  <c r="O221" i="17"/>
  <c r="O213" i="17"/>
  <c r="O205" i="17"/>
  <c r="O179" i="17"/>
  <c r="O186" i="17"/>
  <c r="O196" i="17"/>
  <c r="O192" i="17"/>
  <c r="O188" i="17"/>
  <c r="O184" i="17"/>
  <c r="W1118" i="16"/>
  <c r="X1118" i="16"/>
  <c r="AL1118" i="16"/>
  <c r="AM1118" i="16"/>
  <c r="AN1118" i="16"/>
  <c r="W1119" i="16"/>
  <c r="X1119" i="16"/>
  <c r="AL1119" i="16"/>
  <c r="AM1119" i="16"/>
  <c r="AN1119" i="16"/>
  <c r="W1120" i="16"/>
  <c r="X1120" i="16"/>
  <c r="AL1120" i="16"/>
  <c r="AM1120" i="16"/>
  <c r="AN1120" i="16"/>
  <c r="W1121" i="16"/>
  <c r="AL1121" i="16"/>
  <c r="AM1121" i="16"/>
  <c r="AN1121" i="16"/>
  <c r="W1122" i="16"/>
  <c r="X1122" i="16"/>
  <c r="AL1122" i="16"/>
  <c r="AM1122" i="16"/>
  <c r="AN1122" i="16"/>
  <c r="W1123" i="16"/>
  <c r="X1123" i="16"/>
  <c r="AL1123" i="16"/>
  <c r="AM1123" i="16"/>
  <c r="AN1123" i="16"/>
  <c r="W1124" i="16"/>
  <c r="X1124" i="16"/>
  <c r="AL1124" i="16"/>
  <c r="AM1124" i="16"/>
  <c r="AN1124" i="16"/>
  <c r="W1125" i="16"/>
  <c r="X1125" i="16"/>
  <c r="AL1125" i="16"/>
  <c r="AM1125" i="16"/>
  <c r="AN1125" i="16"/>
  <c r="W1126" i="16"/>
  <c r="X1126" i="16"/>
  <c r="AL1126" i="16"/>
  <c r="AM1126" i="16"/>
  <c r="AN1126" i="16"/>
  <c r="W1127" i="16"/>
  <c r="X1127" i="16"/>
  <c r="AL1127" i="16"/>
  <c r="AM1127" i="16"/>
  <c r="AN1127" i="16"/>
  <c r="W1128" i="16"/>
  <c r="X1128" i="16"/>
  <c r="AL1128" i="16"/>
  <c r="AM1128" i="16"/>
  <c r="AN1128" i="16"/>
  <c r="W1129" i="16"/>
  <c r="X1129" i="16"/>
  <c r="AL1129" i="16"/>
  <c r="AM1129" i="16"/>
  <c r="AN1129" i="16"/>
  <c r="W1130" i="16"/>
  <c r="X1130" i="16"/>
  <c r="AL1130" i="16"/>
  <c r="AM1130" i="16"/>
  <c r="AN1130" i="16"/>
  <c r="W1131" i="16"/>
  <c r="X1131" i="16"/>
  <c r="AL1131" i="16"/>
  <c r="AM1131" i="16"/>
  <c r="AN1131" i="16"/>
  <c r="W1132" i="16"/>
  <c r="X1132" i="16"/>
  <c r="AL1132" i="16"/>
  <c r="AM1132" i="16"/>
  <c r="AN1132" i="16"/>
  <c r="W1133" i="16"/>
  <c r="X1133" i="16"/>
  <c r="AL1133" i="16"/>
  <c r="AM1133" i="16"/>
  <c r="AN1133" i="16"/>
  <c r="W1134" i="16"/>
  <c r="X1134" i="16"/>
  <c r="AL1134" i="16"/>
  <c r="AM1134" i="16"/>
  <c r="AN1134" i="16"/>
  <c r="W1135" i="16"/>
  <c r="X1135" i="16"/>
  <c r="AL1135" i="16"/>
  <c r="AM1135" i="16"/>
  <c r="AN1135" i="16"/>
  <c r="W1136" i="16"/>
  <c r="X1136" i="16"/>
  <c r="AL1136" i="16"/>
  <c r="AM1136" i="16"/>
  <c r="AN1136" i="16"/>
  <c r="W1137" i="16"/>
  <c r="X1137" i="16"/>
  <c r="AL1137" i="16"/>
  <c r="AM1137" i="16"/>
  <c r="AN1137" i="16"/>
  <c r="W1138" i="16"/>
  <c r="X1138" i="16"/>
  <c r="AL1138" i="16"/>
  <c r="AM1138" i="16"/>
  <c r="AN1138" i="16"/>
  <c r="W1139" i="16"/>
  <c r="X1139" i="16"/>
  <c r="AL1139" i="16"/>
  <c r="AM1139" i="16"/>
  <c r="AN1139" i="16"/>
  <c r="W1140" i="16"/>
  <c r="X1140" i="16"/>
  <c r="AL1140" i="16"/>
  <c r="AM1140" i="16"/>
  <c r="AN1140" i="16"/>
  <c r="W1141" i="16"/>
  <c r="X1141" i="16"/>
  <c r="AL1141" i="16"/>
  <c r="AM1141" i="16"/>
  <c r="AN1141" i="16"/>
  <c r="W1142" i="16"/>
  <c r="X1142" i="16"/>
  <c r="AL1142" i="16"/>
  <c r="AM1142" i="16"/>
  <c r="AN1142" i="16"/>
  <c r="W1143" i="16"/>
  <c r="X1143" i="16"/>
  <c r="AL1143" i="16"/>
  <c r="AM1143" i="16"/>
  <c r="AN1143" i="16"/>
  <c r="W1144" i="16"/>
  <c r="X1144" i="16"/>
  <c r="AL1144" i="16"/>
  <c r="AM1144" i="16"/>
  <c r="AN1144" i="16"/>
  <c r="W1145" i="16"/>
  <c r="X1145" i="16"/>
  <c r="AL1145" i="16"/>
  <c r="AM1145" i="16"/>
  <c r="AN1145" i="16"/>
  <c r="W1146" i="16"/>
  <c r="X1146" i="16"/>
  <c r="AL1146" i="16"/>
  <c r="AM1146" i="16"/>
  <c r="AN1146" i="16"/>
  <c r="W1147" i="16"/>
  <c r="X1147" i="16"/>
  <c r="AL1147" i="16"/>
  <c r="AM1147" i="16"/>
  <c r="AN1147" i="16"/>
  <c r="W1148" i="16"/>
  <c r="X1148" i="16"/>
  <c r="AL1148" i="16"/>
  <c r="AM1148" i="16"/>
  <c r="AN1148" i="16"/>
  <c r="W1149" i="16"/>
  <c r="X1149" i="16"/>
  <c r="AL1149" i="16"/>
  <c r="AM1149" i="16"/>
  <c r="AN1149" i="16"/>
  <c r="W1150" i="16"/>
  <c r="X1150" i="16"/>
  <c r="AL1150" i="16"/>
  <c r="AM1150" i="16"/>
  <c r="AN1150" i="16"/>
  <c r="W1151" i="16"/>
  <c r="X1151" i="16"/>
  <c r="AL1151" i="16"/>
  <c r="AM1151" i="16"/>
  <c r="AN1151" i="16"/>
  <c r="W1152" i="16"/>
  <c r="X1152" i="16"/>
  <c r="AL1152" i="16"/>
  <c r="AM1152" i="16"/>
  <c r="AN1152" i="16"/>
  <c r="W1153" i="16"/>
  <c r="X1153" i="16"/>
  <c r="AL1153" i="16"/>
  <c r="AM1153" i="16"/>
  <c r="AN1153" i="16"/>
  <c r="W1154" i="16"/>
  <c r="X1154" i="16"/>
  <c r="AL1154" i="16"/>
  <c r="AM1154" i="16"/>
  <c r="AN1154" i="16"/>
  <c r="W1155" i="16"/>
  <c r="X1155" i="16"/>
  <c r="AL1155" i="16"/>
  <c r="AM1155" i="16"/>
  <c r="AN1155" i="16"/>
  <c r="W1156" i="16"/>
  <c r="X1156" i="16"/>
  <c r="AL1156" i="16"/>
  <c r="AM1156" i="16"/>
  <c r="AN1156" i="16"/>
  <c r="W1157" i="16"/>
  <c r="X1157" i="16"/>
  <c r="AL1157" i="16"/>
  <c r="AM1157" i="16"/>
  <c r="AN1157" i="16"/>
  <c r="W1158" i="16"/>
  <c r="X1158" i="16"/>
  <c r="AL1158" i="16"/>
  <c r="AM1158" i="16"/>
  <c r="AN1158" i="16"/>
  <c r="W1159" i="16"/>
  <c r="X1159" i="16"/>
  <c r="AL1159" i="16"/>
  <c r="AM1159" i="16"/>
  <c r="AN1159" i="16"/>
  <c r="W1160" i="16"/>
  <c r="X1160" i="16"/>
  <c r="AL1160" i="16"/>
  <c r="AM1160" i="16"/>
  <c r="AN1160" i="16"/>
  <c r="W1161" i="16"/>
  <c r="X1161" i="16"/>
  <c r="AL1161" i="16"/>
  <c r="AM1161" i="16"/>
  <c r="AN1161" i="16"/>
  <c r="W1162" i="16"/>
  <c r="X1162" i="16"/>
  <c r="AL1162" i="16"/>
  <c r="AM1162" i="16"/>
  <c r="AN1162" i="16"/>
  <c r="W1163" i="16"/>
  <c r="X1163" i="16"/>
  <c r="AL1163" i="16"/>
  <c r="AM1163" i="16"/>
  <c r="AN1163" i="16"/>
  <c r="W1164" i="16"/>
  <c r="X1164" i="16"/>
  <c r="AL1164" i="16"/>
  <c r="AM1164" i="16"/>
  <c r="AN1164" i="16"/>
  <c r="W1165" i="16"/>
  <c r="X1165" i="16"/>
  <c r="AL1165" i="16"/>
  <c r="AM1165" i="16"/>
  <c r="AN1165" i="16"/>
  <c r="W1166" i="16"/>
  <c r="X1166" i="16"/>
  <c r="AL1166" i="16"/>
  <c r="AM1166" i="16"/>
  <c r="AN1166" i="16"/>
  <c r="W1167" i="16"/>
  <c r="X1167" i="16"/>
  <c r="AL1167" i="16"/>
  <c r="AM1167" i="16"/>
  <c r="AN1167" i="16"/>
  <c r="W1168" i="16"/>
  <c r="X1168" i="16"/>
  <c r="AL1168" i="16"/>
  <c r="AM1168" i="16"/>
  <c r="AN1168" i="16"/>
  <c r="W1169" i="16"/>
  <c r="X1169" i="16"/>
  <c r="AL1169" i="16"/>
  <c r="AM1169" i="16"/>
  <c r="AN1169" i="16"/>
  <c r="W1170" i="16"/>
  <c r="X1170" i="16"/>
  <c r="AL1170" i="16"/>
  <c r="AM1170" i="16"/>
  <c r="AN1170" i="16"/>
  <c r="W1171" i="16"/>
  <c r="X1171" i="16"/>
  <c r="AL1171" i="16"/>
  <c r="AM1171" i="16"/>
  <c r="AN1171" i="16"/>
  <c r="W1172" i="16"/>
  <c r="X1172" i="16"/>
  <c r="AL1172" i="16"/>
  <c r="AM1172" i="16"/>
  <c r="AN1172" i="16"/>
  <c r="W1173" i="16"/>
  <c r="X1173" i="16"/>
  <c r="AL1173" i="16"/>
  <c r="AM1173" i="16"/>
  <c r="AN1173" i="16"/>
  <c r="W1174" i="16"/>
  <c r="X1174" i="16"/>
  <c r="AL1174" i="16"/>
  <c r="AM1174" i="16"/>
  <c r="AN1174" i="16"/>
  <c r="W1175" i="16"/>
  <c r="X1175" i="16"/>
  <c r="AL1175" i="16"/>
  <c r="AM1175" i="16"/>
  <c r="AN1175" i="16"/>
  <c r="W1176" i="16"/>
  <c r="X1176" i="16"/>
  <c r="AL1176" i="16"/>
  <c r="AM1176" i="16"/>
  <c r="AN1176" i="16"/>
  <c r="W1177" i="16"/>
  <c r="X1177" i="16"/>
  <c r="AL1177" i="16"/>
  <c r="AM1177" i="16"/>
  <c r="AN1177" i="16"/>
  <c r="W1178" i="16"/>
  <c r="X1178" i="16"/>
  <c r="AL1178" i="16"/>
  <c r="AM1178" i="16"/>
  <c r="AN1178" i="16"/>
  <c r="W1179" i="16"/>
  <c r="X1179" i="16"/>
  <c r="AL1179" i="16"/>
  <c r="AM1179" i="16"/>
  <c r="AN1179" i="16"/>
  <c r="W1180" i="16"/>
  <c r="X1180" i="16"/>
  <c r="AL1180" i="16"/>
  <c r="AM1180" i="16"/>
  <c r="AN1180" i="16"/>
  <c r="W1181" i="16"/>
  <c r="X1181" i="16"/>
  <c r="AL1181" i="16"/>
  <c r="AM1181" i="16"/>
  <c r="AN1181" i="16"/>
  <c r="W1182" i="16"/>
  <c r="X1182" i="16"/>
  <c r="AL1182" i="16"/>
  <c r="AM1182" i="16"/>
  <c r="AN1182" i="16"/>
  <c r="W1183" i="16"/>
  <c r="X1183" i="16"/>
  <c r="AL1183" i="16"/>
  <c r="AM1183" i="16"/>
  <c r="AN1183" i="16"/>
  <c r="W1184" i="16"/>
  <c r="X1184" i="16"/>
  <c r="AL1184" i="16"/>
  <c r="AM1184" i="16"/>
  <c r="AN1184" i="16"/>
  <c r="W1185" i="16"/>
  <c r="X1185" i="16"/>
  <c r="AL1185" i="16"/>
  <c r="AM1185" i="16"/>
  <c r="AN1185" i="16"/>
  <c r="W1186" i="16"/>
  <c r="X1186" i="16"/>
  <c r="AL1186" i="16"/>
  <c r="AM1186" i="16"/>
  <c r="AN1186" i="16"/>
  <c r="W1187" i="16"/>
  <c r="X1187" i="16"/>
  <c r="AL1187" i="16"/>
  <c r="AM1187" i="16"/>
  <c r="AN1187" i="16"/>
  <c r="W1188" i="16"/>
  <c r="X1188" i="16"/>
  <c r="AL1188" i="16"/>
  <c r="AM1188" i="16"/>
  <c r="AN1188" i="16"/>
  <c r="W1189" i="16"/>
  <c r="X1189" i="16"/>
  <c r="AL1189" i="16"/>
  <c r="AM1189" i="16"/>
  <c r="AN1189" i="16"/>
  <c r="W1190" i="16"/>
  <c r="X1190" i="16"/>
  <c r="AL1190" i="16"/>
  <c r="AM1190" i="16"/>
  <c r="AN1190" i="16"/>
  <c r="W1191" i="16"/>
  <c r="X1191" i="16"/>
  <c r="AL1191" i="16"/>
  <c r="AM1191" i="16"/>
  <c r="AN1191" i="16"/>
  <c r="W1192" i="16"/>
  <c r="X1192" i="16"/>
  <c r="AL1192" i="16"/>
  <c r="AM1192" i="16"/>
  <c r="AN1192" i="16"/>
  <c r="W1193" i="16"/>
  <c r="X1193" i="16"/>
  <c r="AL1193" i="16"/>
  <c r="AM1193" i="16"/>
  <c r="AN1193" i="16"/>
  <c r="W1194" i="16"/>
  <c r="X1194" i="16"/>
  <c r="AL1194" i="16"/>
  <c r="AM1194" i="16"/>
  <c r="AN1194" i="16"/>
  <c r="W1195" i="16"/>
  <c r="X1195" i="16"/>
  <c r="AL1195" i="16"/>
  <c r="AM1195" i="16"/>
  <c r="AN1195" i="16"/>
  <c r="W1196" i="16"/>
  <c r="X1196" i="16"/>
  <c r="AL1196" i="16"/>
  <c r="AM1196" i="16"/>
  <c r="AN1196" i="16"/>
  <c r="W1197" i="16"/>
  <c r="X1197" i="16"/>
  <c r="AL1197" i="16"/>
  <c r="AM1197" i="16"/>
  <c r="AN1197" i="16"/>
  <c r="W1198" i="16"/>
  <c r="X1198" i="16"/>
  <c r="AL1198" i="16"/>
  <c r="AM1198" i="16"/>
  <c r="AN1198" i="16"/>
  <c r="W1199" i="16"/>
  <c r="X1199" i="16"/>
  <c r="AL1199" i="16"/>
  <c r="AM1199" i="16"/>
  <c r="AN1199" i="16"/>
  <c r="W1200" i="16"/>
  <c r="X1200" i="16"/>
  <c r="AL1200" i="16"/>
  <c r="AM1200" i="16"/>
  <c r="AN1200" i="16"/>
  <c r="W1201" i="16"/>
  <c r="X1201" i="16"/>
  <c r="AL1201" i="16"/>
  <c r="AM1201" i="16"/>
  <c r="AN1201" i="16"/>
  <c r="W1202" i="16"/>
  <c r="X1202" i="16"/>
  <c r="AL1202" i="16"/>
  <c r="AM1202" i="16"/>
  <c r="AN1202" i="16"/>
  <c r="W1203" i="16"/>
  <c r="X1203" i="16"/>
  <c r="AL1203" i="16"/>
  <c r="AM1203" i="16"/>
  <c r="AN1203" i="16"/>
  <c r="W1204" i="16"/>
  <c r="X1204" i="16"/>
  <c r="AL1204" i="16"/>
  <c r="AM1204" i="16"/>
  <c r="AN1204" i="16"/>
  <c r="W1205" i="16"/>
  <c r="X1205" i="16"/>
  <c r="AL1205" i="16"/>
  <c r="AM1205" i="16"/>
  <c r="AN1205" i="16"/>
  <c r="W1206" i="16"/>
  <c r="X1206" i="16"/>
  <c r="AL1206" i="16"/>
  <c r="AM1206" i="16"/>
  <c r="AN1206" i="16"/>
  <c r="W1207" i="16"/>
  <c r="X1207" i="16"/>
  <c r="AL1207" i="16"/>
  <c r="AM1207" i="16"/>
  <c r="AN1207" i="16"/>
  <c r="W1208" i="16"/>
  <c r="X1208" i="16"/>
  <c r="AL1208" i="16"/>
  <c r="AM1208" i="16"/>
  <c r="AN1208" i="16"/>
  <c r="W1209" i="16"/>
  <c r="X1209" i="16"/>
  <c r="AL1209" i="16"/>
  <c r="AM1209" i="16"/>
  <c r="AN1209" i="16"/>
  <c r="W1210" i="16"/>
  <c r="X1210" i="16"/>
  <c r="AL1210" i="16"/>
  <c r="AM1210" i="16"/>
  <c r="AN1210" i="16"/>
  <c r="W1211" i="16"/>
  <c r="X1211" i="16"/>
  <c r="AL1211" i="16"/>
  <c r="AM1211" i="16"/>
  <c r="AN1211" i="16"/>
  <c r="W1212" i="16"/>
  <c r="X1212" i="16"/>
  <c r="AL1212" i="16"/>
  <c r="AM1212" i="16"/>
  <c r="AN1212" i="16"/>
  <c r="W1213" i="16"/>
  <c r="X1213" i="16"/>
  <c r="AL1213" i="16"/>
  <c r="AM1213" i="16"/>
  <c r="AN1213" i="16"/>
  <c r="W1214" i="16"/>
  <c r="X1214" i="16"/>
  <c r="AL1214" i="16"/>
  <c r="AM1214" i="16"/>
  <c r="AN1214" i="16"/>
  <c r="W1215" i="16"/>
  <c r="X1215" i="16"/>
  <c r="AL1215" i="16"/>
  <c r="AM1215" i="16"/>
  <c r="AN1215" i="16"/>
  <c r="W1216" i="16"/>
  <c r="X1216" i="16"/>
  <c r="AL1216" i="16"/>
  <c r="AM1216" i="16"/>
  <c r="AN1216" i="16"/>
  <c r="W1217" i="16"/>
  <c r="X1217" i="16"/>
  <c r="AL1217" i="16"/>
  <c r="AM1217" i="16"/>
  <c r="AN1217" i="16"/>
  <c r="W1218" i="16"/>
  <c r="X1218" i="16"/>
  <c r="AL1218" i="16"/>
  <c r="AM1218" i="16"/>
  <c r="AN1218" i="16"/>
  <c r="W1219" i="16"/>
  <c r="X1219" i="16"/>
  <c r="AL1219" i="16"/>
  <c r="AM1219" i="16"/>
  <c r="AN1219" i="16"/>
  <c r="W1220" i="16"/>
  <c r="X1220" i="16"/>
  <c r="AL1220" i="16"/>
  <c r="AM1220" i="16"/>
  <c r="AN1220" i="16"/>
  <c r="W1221" i="16"/>
  <c r="X1221" i="16"/>
  <c r="AL1221" i="16"/>
  <c r="AM1221" i="16"/>
  <c r="AN1221" i="16"/>
  <c r="W1222" i="16"/>
  <c r="X1222" i="16"/>
  <c r="AL1222" i="16"/>
  <c r="AM1222" i="16"/>
  <c r="AN1222" i="16"/>
  <c r="W1223" i="16"/>
  <c r="X1223" i="16"/>
  <c r="AL1223" i="16"/>
  <c r="AM1223" i="16"/>
  <c r="AN1223" i="16"/>
  <c r="W1224" i="16"/>
  <c r="X1224" i="16"/>
  <c r="AL1224" i="16"/>
  <c r="AM1224" i="16"/>
  <c r="AN1224" i="16"/>
  <c r="W1225" i="16"/>
  <c r="X1225" i="16"/>
  <c r="AL1225" i="16"/>
  <c r="AM1225" i="16"/>
  <c r="AN1225" i="16"/>
  <c r="W1226" i="16"/>
  <c r="X1226" i="16"/>
  <c r="AL1226" i="16"/>
  <c r="AM1226" i="16"/>
  <c r="AN1226" i="16"/>
  <c r="W1227" i="16"/>
  <c r="X1227" i="16"/>
  <c r="AL1227" i="16"/>
  <c r="AM1227" i="16"/>
  <c r="AN1227" i="16"/>
  <c r="W1228" i="16"/>
  <c r="X1228" i="16"/>
  <c r="AL1228" i="16"/>
  <c r="AM1228" i="16"/>
  <c r="AN1228" i="16"/>
  <c r="W1229" i="16"/>
  <c r="X1229" i="16"/>
  <c r="AL1229" i="16"/>
  <c r="AM1229" i="16"/>
  <c r="AN1229" i="16"/>
  <c r="W1230" i="16"/>
  <c r="X1230" i="16"/>
  <c r="AL1230" i="16"/>
  <c r="AM1230" i="16"/>
  <c r="AN1230" i="16"/>
  <c r="W1231" i="16"/>
  <c r="X1231" i="16"/>
  <c r="AL1231" i="16"/>
  <c r="AM1231" i="16"/>
  <c r="AN1231" i="16"/>
  <c r="W1232" i="16"/>
  <c r="X1232" i="16"/>
  <c r="AL1232" i="16"/>
  <c r="AM1232" i="16"/>
  <c r="AN1232" i="16"/>
  <c r="W1233" i="16"/>
  <c r="X1233" i="16"/>
  <c r="AL1233" i="16"/>
  <c r="AM1233" i="16"/>
  <c r="AN1233" i="16"/>
  <c r="W1234" i="16"/>
  <c r="X1234" i="16"/>
  <c r="AL1234" i="16"/>
  <c r="AM1234" i="16"/>
  <c r="AN1234" i="16"/>
  <c r="W1235" i="16"/>
  <c r="X1235" i="16"/>
  <c r="AL1235" i="16"/>
  <c r="AM1235" i="16"/>
  <c r="AN1235" i="16"/>
  <c r="W1236" i="16"/>
  <c r="X1236" i="16"/>
  <c r="AL1236" i="16"/>
  <c r="AM1236" i="16"/>
  <c r="AN1236" i="16"/>
  <c r="W1237" i="16"/>
  <c r="X1237" i="16"/>
  <c r="AL1237" i="16"/>
  <c r="AM1237" i="16"/>
  <c r="AN1237" i="16"/>
  <c r="W1238" i="16"/>
  <c r="X1238" i="16"/>
  <c r="AL1238" i="16"/>
  <c r="AM1238" i="16"/>
  <c r="AN1238" i="16"/>
  <c r="W1239" i="16"/>
  <c r="X1239" i="16"/>
  <c r="AL1239" i="16"/>
  <c r="AM1239" i="16"/>
  <c r="AN1239" i="16"/>
  <c r="W1240" i="16"/>
  <c r="X1240" i="16"/>
  <c r="AL1240" i="16"/>
  <c r="AM1240" i="16"/>
  <c r="AN1240" i="16"/>
  <c r="W1241" i="16"/>
  <c r="X1241" i="16"/>
  <c r="AL1241" i="16"/>
  <c r="AM1241" i="16"/>
  <c r="AN1241" i="16"/>
  <c r="W1242" i="16"/>
  <c r="X1242" i="16"/>
  <c r="AL1242" i="16"/>
  <c r="AM1242" i="16"/>
  <c r="AN1242" i="16"/>
  <c r="W1243" i="16"/>
  <c r="X1243" i="16"/>
  <c r="AL1243" i="16"/>
  <c r="AM1243" i="16"/>
  <c r="AN1243" i="16"/>
  <c r="W1244" i="16"/>
  <c r="X1244" i="16"/>
  <c r="AL1244" i="16"/>
  <c r="AM1244" i="16"/>
  <c r="AN1244" i="16"/>
  <c r="W1245" i="16"/>
  <c r="X1245" i="16"/>
  <c r="AL1245" i="16"/>
  <c r="AM1245" i="16"/>
  <c r="AN1245" i="16"/>
  <c r="W1246" i="16"/>
  <c r="X1246" i="16"/>
  <c r="AL1246" i="16"/>
  <c r="AM1246" i="16"/>
  <c r="AN1246" i="16"/>
  <c r="W1247" i="16"/>
  <c r="X1247" i="16"/>
  <c r="AL1247" i="16"/>
  <c r="AM1247" i="16"/>
  <c r="AN1247" i="16"/>
  <c r="W1248" i="16"/>
  <c r="X1248" i="16"/>
  <c r="AL1248" i="16"/>
  <c r="AM1248" i="16"/>
  <c r="AN1248" i="16"/>
  <c r="W1249" i="16"/>
  <c r="X1249" i="16"/>
  <c r="AL1249" i="16"/>
  <c r="AM1249" i="16"/>
  <c r="AN1249" i="16"/>
  <c r="W1250" i="16"/>
  <c r="X1250" i="16"/>
  <c r="AL1250" i="16"/>
  <c r="AM1250" i="16"/>
  <c r="AN1250" i="16"/>
  <c r="W1251" i="16"/>
  <c r="X1251" i="16"/>
  <c r="AL1251" i="16"/>
  <c r="AM1251" i="16"/>
  <c r="AN1251" i="16"/>
  <c r="W1252" i="16"/>
  <c r="X1252" i="16"/>
  <c r="AL1252" i="16"/>
  <c r="AM1252" i="16"/>
  <c r="AN1252" i="16"/>
  <c r="W1253" i="16"/>
  <c r="X1253" i="16"/>
  <c r="AL1253" i="16"/>
  <c r="AM1253" i="16"/>
  <c r="AN1253" i="16"/>
  <c r="W1254" i="16"/>
  <c r="X1254" i="16"/>
  <c r="AL1254" i="16"/>
  <c r="AM1254" i="16"/>
  <c r="AN1254" i="16"/>
  <c r="W1255" i="16"/>
  <c r="X1255" i="16"/>
  <c r="AL1255" i="16"/>
  <c r="AM1255" i="16"/>
  <c r="AN1255" i="16"/>
  <c r="W1256" i="16"/>
  <c r="X1256" i="16"/>
  <c r="AL1256" i="16"/>
  <c r="AM1256" i="16"/>
  <c r="AN1256" i="16"/>
  <c r="W1257" i="16"/>
  <c r="X1257" i="16"/>
  <c r="AL1257" i="16"/>
  <c r="AM1257" i="16"/>
  <c r="AN1257" i="16"/>
  <c r="W1258" i="16"/>
  <c r="X1258" i="16"/>
  <c r="AL1258" i="16"/>
  <c r="AM1258" i="16"/>
  <c r="AN1258" i="16"/>
  <c r="W1259" i="16"/>
  <c r="X1259" i="16"/>
  <c r="AL1259" i="16"/>
  <c r="AM1259" i="16"/>
  <c r="AN1259" i="16"/>
  <c r="W1260" i="16"/>
  <c r="X1260" i="16"/>
  <c r="AL1260" i="16"/>
  <c r="AM1260" i="16"/>
  <c r="AN1260" i="16"/>
  <c r="W1261" i="16"/>
  <c r="X1261" i="16"/>
  <c r="AL1261" i="16"/>
  <c r="AM1261" i="16"/>
  <c r="AN1261" i="16"/>
  <c r="W1262" i="16"/>
  <c r="X1262" i="16"/>
  <c r="AL1262" i="16"/>
  <c r="AM1262" i="16"/>
  <c r="AN1262" i="16"/>
  <c r="W1263" i="16"/>
  <c r="X1263" i="16"/>
  <c r="AL1263" i="16"/>
  <c r="AM1263" i="16"/>
  <c r="AN1263" i="16"/>
  <c r="W1264" i="16"/>
  <c r="X1264" i="16"/>
  <c r="AL1264" i="16"/>
  <c r="AM1264" i="16"/>
  <c r="AN1264" i="16"/>
  <c r="W1265" i="16"/>
  <c r="X1265" i="16"/>
  <c r="AL1265" i="16"/>
  <c r="AM1265" i="16"/>
  <c r="AN1265" i="16"/>
  <c r="W1266" i="16"/>
  <c r="X1266" i="16"/>
  <c r="AL1266" i="16"/>
  <c r="AM1266" i="16"/>
  <c r="AN1266" i="16"/>
  <c r="W1267" i="16"/>
  <c r="X1267" i="16"/>
  <c r="AL1267" i="16"/>
  <c r="AM1267" i="16"/>
  <c r="AN1267" i="16"/>
  <c r="W1268" i="16"/>
  <c r="X1268" i="16"/>
  <c r="AL1268" i="16"/>
  <c r="AM1268" i="16"/>
  <c r="AN1268" i="16"/>
  <c r="W1269" i="16"/>
  <c r="X1269" i="16"/>
  <c r="AL1269" i="16"/>
  <c r="AM1269" i="16"/>
  <c r="AN1269" i="16"/>
  <c r="W1270" i="16"/>
  <c r="X1270" i="16"/>
  <c r="AL1270" i="16"/>
  <c r="AM1270" i="16"/>
  <c r="AN1270" i="16"/>
  <c r="W1271" i="16"/>
  <c r="X1271" i="16"/>
  <c r="AL1271" i="16"/>
  <c r="AM1271" i="16"/>
  <c r="AN1271" i="16"/>
  <c r="W1272" i="16"/>
  <c r="X1272" i="16"/>
  <c r="AL1272" i="16"/>
  <c r="AM1272" i="16"/>
  <c r="AN1272" i="16"/>
  <c r="W1273" i="16"/>
  <c r="X1273" i="16"/>
  <c r="AL1273" i="16"/>
  <c r="AM1273" i="16"/>
  <c r="AN1273" i="16"/>
  <c r="W1274" i="16"/>
  <c r="X1274" i="16"/>
  <c r="AL1274" i="16"/>
  <c r="AM1274" i="16"/>
  <c r="AN1274" i="16"/>
  <c r="W1275" i="16"/>
  <c r="X1275" i="16"/>
  <c r="AL1275" i="16"/>
  <c r="AM1275" i="16"/>
  <c r="AN1275" i="16"/>
  <c r="W1276" i="16"/>
  <c r="X1276" i="16"/>
  <c r="AL1276" i="16"/>
  <c r="AM1276" i="16"/>
  <c r="AN1276" i="16"/>
  <c r="W1277" i="16"/>
  <c r="X1277" i="16"/>
  <c r="AL1277" i="16"/>
  <c r="AM1277" i="16"/>
  <c r="AN1277" i="16"/>
  <c r="W1278" i="16"/>
  <c r="X1278" i="16"/>
  <c r="AL1278" i="16"/>
  <c r="AM1278" i="16"/>
  <c r="AN1278" i="16"/>
  <c r="W1279" i="16"/>
  <c r="X1279" i="16"/>
  <c r="AL1279" i="16"/>
  <c r="AM1279" i="16"/>
  <c r="AN1279" i="16"/>
  <c r="W1280" i="16"/>
  <c r="X1280" i="16"/>
  <c r="AL1280" i="16"/>
  <c r="AM1280" i="16"/>
  <c r="AN1280" i="16"/>
  <c r="W1281" i="16"/>
  <c r="X1281" i="16"/>
  <c r="AL1281" i="16"/>
  <c r="AM1281" i="16"/>
  <c r="AN1281" i="16"/>
  <c r="W1282" i="16"/>
  <c r="X1282" i="16"/>
  <c r="AL1282" i="16"/>
  <c r="AM1282" i="16"/>
  <c r="AN1282" i="16"/>
  <c r="W1283" i="16"/>
  <c r="X1283" i="16"/>
  <c r="AL1283" i="16"/>
  <c r="AM1283" i="16"/>
  <c r="AN1283" i="16"/>
  <c r="W1284" i="16"/>
  <c r="X1284" i="16"/>
  <c r="AL1284" i="16"/>
  <c r="AM1284" i="16"/>
  <c r="AN1284" i="16"/>
  <c r="W1285" i="16"/>
  <c r="X1285" i="16"/>
  <c r="AL1285" i="16"/>
  <c r="AM1285" i="16"/>
  <c r="AN1285" i="16"/>
  <c r="W1286" i="16"/>
  <c r="X1286" i="16"/>
  <c r="AL1286" i="16"/>
  <c r="AM1286" i="16"/>
  <c r="AN1286" i="16"/>
  <c r="W1287" i="16"/>
  <c r="X1287" i="16"/>
  <c r="AL1287" i="16"/>
  <c r="AM1287" i="16"/>
  <c r="AN1287" i="16"/>
  <c r="W1288" i="16"/>
  <c r="X1288" i="16"/>
  <c r="AL1288" i="16"/>
  <c r="AM1288" i="16"/>
  <c r="AN1288" i="16"/>
  <c r="W1289" i="16"/>
  <c r="X1289" i="16"/>
  <c r="AL1289" i="16"/>
  <c r="AM1289" i="16"/>
  <c r="AN1289" i="16"/>
  <c r="W1290" i="16"/>
  <c r="X1290" i="16"/>
  <c r="AL1290" i="16"/>
  <c r="AM1290" i="16"/>
  <c r="AN1290" i="16"/>
  <c r="W1291" i="16"/>
  <c r="X1291" i="16"/>
  <c r="AL1291" i="16"/>
  <c r="AM1291" i="16"/>
  <c r="AN1291" i="16"/>
  <c r="W1292" i="16"/>
  <c r="X1292" i="16"/>
  <c r="AL1292" i="16"/>
  <c r="AM1292" i="16"/>
  <c r="AN1292" i="16"/>
  <c r="W1293" i="16"/>
  <c r="X1293" i="16"/>
  <c r="AL1293" i="16"/>
  <c r="AM1293" i="16"/>
  <c r="AN1293" i="16"/>
  <c r="W1294" i="16"/>
  <c r="X1294" i="16"/>
  <c r="AL1294" i="16"/>
  <c r="AM1294" i="16"/>
  <c r="AN1294" i="16"/>
  <c r="W1295" i="16"/>
  <c r="X1295" i="16"/>
  <c r="AL1295" i="16"/>
  <c r="AM1295" i="16"/>
  <c r="AN1295" i="16"/>
  <c r="W1296" i="16"/>
  <c r="X1296" i="16"/>
  <c r="AL1296" i="16"/>
  <c r="AM1296" i="16"/>
  <c r="AN1296" i="16"/>
  <c r="W1297" i="16"/>
  <c r="X1297" i="16"/>
  <c r="AL1297" i="16"/>
  <c r="AM1297" i="16"/>
  <c r="AN1297" i="16"/>
  <c r="W1298" i="16"/>
  <c r="X1298" i="16"/>
  <c r="AL1298" i="16"/>
  <c r="AM1298" i="16"/>
  <c r="AN1298" i="16"/>
  <c r="W1299" i="16"/>
  <c r="X1299" i="16"/>
  <c r="AL1299" i="16"/>
  <c r="AM1299" i="16"/>
  <c r="AN1299" i="16"/>
  <c r="W1300" i="16"/>
  <c r="X1300" i="16"/>
  <c r="AL1300" i="16"/>
  <c r="AM1300" i="16"/>
  <c r="AN1300" i="16"/>
  <c r="W1301" i="16"/>
  <c r="X1301" i="16"/>
  <c r="AL1301" i="16"/>
  <c r="AM1301" i="16"/>
  <c r="AN1301" i="16"/>
  <c r="W1302" i="16"/>
  <c r="X1302" i="16"/>
  <c r="AL1302" i="16"/>
  <c r="AM1302" i="16"/>
  <c r="AN1302" i="16"/>
  <c r="W1303" i="16"/>
  <c r="X1303" i="16"/>
  <c r="AL1303" i="16"/>
  <c r="AM1303" i="16"/>
  <c r="AN1303" i="16"/>
  <c r="W1304" i="16"/>
  <c r="X1304" i="16"/>
  <c r="AL1304" i="16"/>
  <c r="AM1304" i="16"/>
  <c r="AN1304" i="16"/>
  <c r="W1305" i="16"/>
  <c r="X1305" i="16"/>
  <c r="AL1305" i="16"/>
  <c r="AM1305" i="16"/>
  <c r="AN1305" i="16"/>
  <c r="W1306" i="16"/>
  <c r="X1306" i="16"/>
  <c r="AL1306" i="16"/>
  <c r="AM1306" i="16"/>
  <c r="AN1306" i="16"/>
  <c r="W1307" i="16"/>
  <c r="X1307" i="16"/>
  <c r="AL1307" i="16"/>
  <c r="AM1307" i="16"/>
  <c r="AN1307" i="16"/>
  <c r="W1308" i="16"/>
  <c r="X1308" i="16"/>
  <c r="AL1308" i="16"/>
  <c r="AM1308" i="16"/>
  <c r="AN1308" i="16"/>
  <c r="W1309" i="16"/>
  <c r="X1309" i="16"/>
  <c r="AL1309" i="16"/>
  <c r="AM1309" i="16"/>
  <c r="AN1309" i="16"/>
  <c r="W1310" i="16"/>
  <c r="X1310" i="16"/>
  <c r="AL1310" i="16"/>
  <c r="AM1310" i="16"/>
  <c r="AN1310" i="16"/>
  <c r="W1311" i="16"/>
  <c r="X1311" i="16"/>
  <c r="AL1311" i="16"/>
  <c r="AM1311" i="16"/>
  <c r="AN1311" i="16"/>
  <c r="W1312" i="16"/>
  <c r="X1312" i="16"/>
  <c r="AL1312" i="16"/>
  <c r="AM1312" i="16"/>
  <c r="AN1312" i="16"/>
  <c r="W1313" i="16"/>
  <c r="X1313" i="16"/>
  <c r="AL1313" i="16"/>
  <c r="AM1313" i="16"/>
  <c r="AN1313" i="16"/>
  <c r="W1314" i="16"/>
  <c r="X1314" i="16"/>
  <c r="AL1314" i="16"/>
  <c r="AM1314" i="16"/>
  <c r="AN1314" i="16"/>
  <c r="W1315" i="16"/>
  <c r="X1315" i="16"/>
  <c r="AL1315" i="16"/>
  <c r="AM1315" i="16"/>
  <c r="AN1315" i="16"/>
  <c r="W1316" i="16"/>
  <c r="X1316" i="16"/>
  <c r="AL1316" i="16"/>
  <c r="AM1316" i="16"/>
  <c r="AN1316" i="16"/>
  <c r="W1317" i="16"/>
  <c r="X1317" i="16"/>
  <c r="AL1317" i="16"/>
  <c r="AM1317" i="16"/>
  <c r="AN1317" i="16"/>
  <c r="W1318" i="16"/>
  <c r="X1318" i="16"/>
  <c r="AL1318" i="16"/>
  <c r="AM1318" i="16"/>
  <c r="AN1318" i="16"/>
  <c r="W1319" i="16"/>
  <c r="X1319" i="16"/>
  <c r="AL1319" i="16"/>
  <c r="AM1319" i="16"/>
  <c r="AN1319" i="16"/>
  <c r="W1320" i="16"/>
  <c r="X1320" i="16"/>
  <c r="AL1320" i="16"/>
  <c r="AM1320" i="16"/>
  <c r="AN1320" i="16"/>
  <c r="W1321" i="16"/>
  <c r="X1321" i="16"/>
  <c r="AL1321" i="16"/>
  <c r="AM1321" i="16"/>
  <c r="AN1321" i="16"/>
  <c r="W1322" i="16"/>
  <c r="X1322" i="16"/>
  <c r="AL1322" i="16"/>
  <c r="AM1322" i="16"/>
  <c r="AN1322" i="16"/>
  <c r="W1323" i="16"/>
  <c r="X1323" i="16"/>
  <c r="AL1323" i="16"/>
  <c r="AM1323" i="16"/>
  <c r="AN1323" i="16"/>
  <c r="W1324" i="16"/>
  <c r="X1324" i="16"/>
  <c r="AL1324" i="16"/>
  <c r="AM1324" i="16"/>
  <c r="AN1324" i="16"/>
  <c r="W1325" i="16"/>
  <c r="X1325" i="16"/>
  <c r="AL1325" i="16"/>
  <c r="AM1325" i="16"/>
  <c r="AN1325" i="16"/>
  <c r="W1326" i="16"/>
  <c r="X1326" i="16"/>
  <c r="AL1326" i="16"/>
  <c r="AM1326" i="16"/>
  <c r="AN1326" i="16"/>
  <c r="W1327" i="16"/>
  <c r="X1327" i="16"/>
  <c r="AL1327" i="16"/>
  <c r="AM1327" i="16"/>
  <c r="AN1327" i="16"/>
  <c r="W1328" i="16"/>
  <c r="X1328" i="16"/>
  <c r="AL1328" i="16"/>
  <c r="AM1328" i="16"/>
  <c r="AN1328" i="16"/>
  <c r="W1329" i="16"/>
  <c r="X1329" i="16"/>
  <c r="AL1329" i="16"/>
  <c r="AM1329" i="16"/>
  <c r="AN1329" i="16"/>
  <c r="W1330" i="16"/>
  <c r="X1330" i="16"/>
  <c r="AL1330" i="16"/>
  <c r="AM1330" i="16"/>
  <c r="AN1330" i="16"/>
  <c r="W1331" i="16"/>
  <c r="X1331" i="16"/>
  <c r="AL1331" i="16"/>
  <c r="AM1331" i="16"/>
  <c r="AN1331" i="16"/>
  <c r="W1332" i="16"/>
  <c r="X1332" i="16"/>
  <c r="AL1332" i="16"/>
  <c r="AM1332" i="16"/>
  <c r="AN1332" i="16"/>
  <c r="W1333" i="16"/>
  <c r="X1333" i="16"/>
  <c r="AL1333" i="16"/>
  <c r="AM1333" i="16"/>
  <c r="AN1333" i="16"/>
  <c r="W1334" i="16"/>
  <c r="X1334" i="16"/>
  <c r="AL1334" i="16"/>
  <c r="AM1334" i="16"/>
  <c r="AN1334" i="16"/>
  <c r="W1335" i="16"/>
  <c r="X1335" i="16"/>
  <c r="AL1335" i="16"/>
  <c r="AM1335" i="16"/>
  <c r="AN1335" i="16"/>
  <c r="W1336" i="16"/>
  <c r="X1336" i="16"/>
  <c r="AL1336" i="16"/>
  <c r="AM1336" i="16"/>
  <c r="AN1336" i="16"/>
  <c r="W1337" i="16"/>
  <c r="X1337" i="16"/>
  <c r="AL1337" i="16"/>
  <c r="AM1337" i="16"/>
  <c r="AN1337" i="16"/>
  <c r="W1338" i="16"/>
  <c r="X1338" i="16"/>
  <c r="AL1338" i="16"/>
  <c r="AM1338" i="16"/>
  <c r="AN1338" i="16"/>
  <c r="W1339" i="16"/>
  <c r="X1339" i="16"/>
  <c r="AL1339" i="16"/>
  <c r="AM1339" i="16"/>
  <c r="AN1339" i="16"/>
  <c r="W1340" i="16"/>
  <c r="X1340" i="16"/>
  <c r="AL1340" i="16"/>
  <c r="AM1340" i="16"/>
  <c r="AN1340" i="16"/>
  <c r="W1341" i="16"/>
  <c r="X1341" i="16"/>
  <c r="AL1341" i="16"/>
  <c r="AM1341" i="16"/>
  <c r="AN1341" i="16"/>
  <c r="W1342" i="16"/>
  <c r="X1342" i="16"/>
  <c r="AL1342" i="16"/>
  <c r="AM1342" i="16"/>
  <c r="AN1342" i="16"/>
  <c r="W1343" i="16"/>
  <c r="X1343" i="16"/>
  <c r="AL1343" i="16"/>
  <c r="AM1343" i="16"/>
  <c r="AN1343" i="16"/>
  <c r="W1344" i="16"/>
  <c r="X1344" i="16"/>
  <c r="AL1344" i="16"/>
  <c r="AM1344" i="16"/>
  <c r="AN1344" i="16"/>
  <c r="W1345" i="16"/>
  <c r="X1345" i="16"/>
  <c r="AL1345" i="16"/>
  <c r="AM1345" i="16"/>
  <c r="AN1345" i="16"/>
  <c r="W1346" i="16"/>
  <c r="X1346" i="16"/>
  <c r="AL1346" i="16"/>
  <c r="AM1346" i="16"/>
  <c r="AN1346" i="16"/>
  <c r="W1347" i="16"/>
  <c r="X1347" i="16"/>
  <c r="AL1347" i="16"/>
  <c r="AM1347" i="16"/>
  <c r="AN1347" i="16"/>
  <c r="W1348" i="16"/>
  <c r="X1348" i="16"/>
  <c r="AL1348" i="16"/>
  <c r="AM1348" i="16"/>
  <c r="AN1348" i="16"/>
  <c r="W1349" i="16"/>
  <c r="X1349" i="16"/>
  <c r="AL1349" i="16"/>
  <c r="AM1349" i="16"/>
  <c r="AN1349" i="16"/>
  <c r="W1350" i="16"/>
  <c r="X1350" i="16"/>
  <c r="AL1350" i="16"/>
  <c r="AM1350" i="16"/>
  <c r="AN1350" i="16"/>
  <c r="W1351" i="16"/>
  <c r="X1351" i="16"/>
  <c r="AL1351" i="16"/>
  <c r="AM1351" i="16"/>
  <c r="AN1351" i="16"/>
  <c r="W1352" i="16"/>
  <c r="X1352" i="16"/>
  <c r="AL1352" i="16"/>
  <c r="AM1352" i="16"/>
  <c r="AN1352" i="16"/>
  <c r="W1353" i="16"/>
  <c r="X1353" i="16"/>
  <c r="AL1353" i="16"/>
  <c r="AM1353" i="16"/>
  <c r="AN1353" i="16"/>
  <c r="W1354" i="16"/>
  <c r="X1354" i="16"/>
  <c r="AL1354" i="16"/>
  <c r="AM1354" i="16"/>
  <c r="AN1354" i="16"/>
  <c r="W1355" i="16"/>
  <c r="X1355" i="16"/>
  <c r="AL1355" i="16"/>
  <c r="AM1355" i="16"/>
  <c r="AN1355" i="16"/>
  <c r="W1356" i="16"/>
  <c r="X1356" i="16"/>
  <c r="AL1356" i="16"/>
  <c r="AM1356" i="16"/>
  <c r="AN1356" i="16"/>
  <c r="W1357" i="16"/>
  <c r="X1357" i="16"/>
  <c r="AL1357" i="16"/>
  <c r="AM1357" i="16"/>
  <c r="AN1357" i="16"/>
  <c r="W1358" i="16"/>
  <c r="X1358" i="16"/>
  <c r="AL1358" i="16"/>
  <c r="AM1358" i="16"/>
  <c r="AN1358" i="16"/>
  <c r="W1359" i="16"/>
  <c r="X1359" i="16"/>
  <c r="AL1359" i="16"/>
  <c r="AM1359" i="16"/>
  <c r="AN1359" i="16"/>
  <c r="W1360" i="16"/>
  <c r="X1360" i="16"/>
  <c r="AL1360" i="16"/>
  <c r="AM1360" i="16"/>
  <c r="AN1360" i="16"/>
  <c r="W1361" i="16"/>
  <c r="X1361" i="16"/>
  <c r="AL1361" i="16"/>
  <c r="AM1361" i="16"/>
  <c r="AN1361" i="16"/>
  <c r="W1362" i="16"/>
  <c r="X1362" i="16"/>
  <c r="AL1362" i="16"/>
  <c r="AM1362" i="16"/>
  <c r="AN1362" i="16"/>
  <c r="W1363" i="16"/>
  <c r="X1363" i="16"/>
  <c r="AL1363" i="16"/>
  <c r="AM1363" i="16"/>
  <c r="AN1363" i="16"/>
  <c r="W1364" i="16"/>
  <c r="X1364" i="16"/>
  <c r="AL1364" i="16"/>
  <c r="AM1364" i="16"/>
  <c r="AN1364" i="16"/>
  <c r="W1365" i="16"/>
  <c r="X1365" i="16"/>
  <c r="AL1365" i="16"/>
  <c r="AM1365" i="16"/>
  <c r="AN1365" i="16"/>
  <c r="W1366" i="16"/>
  <c r="X1366" i="16"/>
  <c r="AL1366" i="16"/>
  <c r="AM1366" i="16"/>
  <c r="AN1366" i="16"/>
  <c r="W1367" i="16"/>
  <c r="X1367" i="16"/>
  <c r="AL1367" i="16"/>
  <c r="AM1367" i="16"/>
  <c r="AN1367" i="16"/>
  <c r="W1368" i="16"/>
  <c r="X1368" i="16"/>
  <c r="AL1368" i="16"/>
  <c r="AM1368" i="16"/>
  <c r="AN1368" i="16"/>
  <c r="W1369" i="16"/>
  <c r="X1369" i="16"/>
  <c r="AL1369" i="16"/>
  <c r="AM1369" i="16"/>
  <c r="AN1369" i="16"/>
  <c r="W1370" i="16"/>
  <c r="X1370" i="16"/>
  <c r="AL1370" i="16"/>
  <c r="AM1370" i="16"/>
  <c r="AN1370" i="16"/>
  <c r="W1371" i="16"/>
  <c r="X1371" i="16"/>
  <c r="AL1371" i="16"/>
  <c r="AM1371" i="16"/>
  <c r="AN1371" i="16"/>
  <c r="W1372" i="16"/>
  <c r="X1372" i="16"/>
  <c r="AL1372" i="16"/>
  <c r="AM1372" i="16"/>
  <c r="AN1372" i="16"/>
  <c r="W1373" i="16"/>
  <c r="X1373" i="16"/>
  <c r="AL1373" i="16"/>
  <c r="AM1373" i="16"/>
  <c r="AN1373" i="16"/>
  <c r="W1374" i="16"/>
  <c r="X1374" i="16"/>
  <c r="AL1374" i="16"/>
  <c r="AM1374" i="16"/>
  <c r="AN1374" i="16"/>
  <c r="W1375" i="16"/>
  <c r="X1375" i="16"/>
  <c r="AL1375" i="16"/>
  <c r="AM1375" i="16"/>
  <c r="AN1375" i="16"/>
  <c r="W1376" i="16"/>
  <c r="X1376" i="16"/>
  <c r="AL1376" i="16"/>
  <c r="AM1376" i="16"/>
  <c r="AN1376" i="16"/>
  <c r="W1377" i="16"/>
  <c r="X1377" i="16"/>
  <c r="AL1377" i="16"/>
  <c r="AM1377" i="16"/>
  <c r="AN1377" i="16"/>
  <c r="W1378" i="16"/>
  <c r="X1378" i="16"/>
  <c r="AL1378" i="16"/>
  <c r="AM1378" i="16"/>
  <c r="AN1378" i="16"/>
  <c r="W1379" i="16"/>
  <c r="X1379" i="16"/>
  <c r="AL1379" i="16"/>
  <c r="AM1379" i="16"/>
  <c r="AN1379" i="16"/>
  <c r="W1380" i="16"/>
  <c r="X1380" i="16"/>
  <c r="AL1380" i="16"/>
  <c r="AM1380" i="16"/>
  <c r="AN1380" i="16"/>
  <c r="W1381" i="16"/>
  <c r="X1381" i="16"/>
  <c r="AL1381" i="16"/>
  <c r="AM1381" i="16"/>
  <c r="AN1381" i="16"/>
  <c r="W1382" i="16"/>
  <c r="X1382" i="16"/>
  <c r="AL1382" i="16"/>
  <c r="AM1382" i="16"/>
  <c r="AN1382" i="16"/>
  <c r="W1383" i="16"/>
  <c r="X1383" i="16"/>
  <c r="AL1383" i="16"/>
  <c r="AM1383" i="16"/>
  <c r="AN1383" i="16"/>
  <c r="W1384" i="16"/>
  <c r="X1384" i="16"/>
  <c r="AL1384" i="16"/>
  <c r="AM1384" i="16"/>
  <c r="AN1384" i="16"/>
  <c r="W1385" i="16"/>
  <c r="X1385" i="16"/>
  <c r="AL1385" i="16"/>
  <c r="AM1385" i="16"/>
  <c r="AN1385" i="16"/>
  <c r="W1386" i="16"/>
  <c r="X1386" i="16"/>
  <c r="AL1386" i="16"/>
  <c r="AM1386" i="16"/>
  <c r="AN1386" i="16"/>
  <c r="W1387" i="16"/>
  <c r="X1387" i="16"/>
  <c r="AL1387" i="16"/>
  <c r="AM1387" i="16"/>
  <c r="AN1387" i="16"/>
  <c r="W1388" i="16"/>
  <c r="X1388" i="16"/>
  <c r="AL1388" i="16"/>
  <c r="AM1388" i="16"/>
  <c r="AN1388" i="16"/>
  <c r="W1389" i="16"/>
  <c r="X1389" i="16"/>
  <c r="AL1389" i="16"/>
  <c r="AM1389" i="16"/>
  <c r="AN1389" i="16"/>
  <c r="W1390" i="16"/>
  <c r="X1390" i="16"/>
  <c r="AL1390" i="16"/>
  <c r="AM1390" i="16"/>
  <c r="AN1390" i="16"/>
  <c r="W1391" i="16"/>
  <c r="X1391" i="16"/>
  <c r="AL1391" i="16"/>
  <c r="AM1391" i="16"/>
  <c r="AN1391" i="16"/>
  <c r="W1392" i="16"/>
  <c r="X1392" i="16"/>
  <c r="AL1392" i="16"/>
  <c r="AM1392" i="16"/>
  <c r="AN1392" i="16"/>
  <c r="W1393" i="16"/>
  <c r="X1393" i="16"/>
  <c r="AL1393" i="16"/>
  <c r="AM1393" i="16"/>
  <c r="AN1393" i="16"/>
  <c r="W1394" i="16"/>
  <c r="X1394" i="16"/>
  <c r="AL1394" i="16"/>
  <c r="AM1394" i="16"/>
  <c r="AN1394" i="16"/>
  <c r="W1395" i="16"/>
  <c r="X1395" i="16"/>
  <c r="AL1395" i="16"/>
  <c r="AM1395" i="16"/>
  <c r="AN1395" i="16"/>
  <c r="W1396" i="16"/>
  <c r="X1396" i="16"/>
  <c r="AL1396" i="16"/>
  <c r="AM1396" i="16"/>
  <c r="AN1396" i="16"/>
  <c r="W1397" i="16"/>
  <c r="X1397" i="16"/>
  <c r="AL1397" i="16"/>
  <c r="AM1397" i="16"/>
  <c r="AN1397" i="16"/>
  <c r="W1398" i="16"/>
  <c r="X1398" i="16"/>
  <c r="AL1398" i="16"/>
  <c r="AM1398" i="16"/>
  <c r="AN1398" i="16"/>
  <c r="W1399" i="16"/>
  <c r="X1399" i="16"/>
  <c r="AL1399" i="16"/>
  <c r="AM1399" i="16"/>
  <c r="AN1399" i="16"/>
  <c r="W1400" i="16"/>
  <c r="X1400" i="16"/>
  <c r="AL1400" i="16"/>
  <c r="AM1400" i="16"/>
  <c r="AN1400" i="16"/>
  <c r="W1401" i="16"/>
  <c r="X1401" i="16"/>
  <c r="AL1401" i="16"/>
  <c r="AM1401" i="16"/>
  <c r="AN1401" i="16"/>
  <c r="W1402" i="16"/>
  <c r="X1402" i="16"/>
  <c r="AL1402" i="16"/>
  <c r="AM1402" i="16"/>
  <c r="AN1402" i="16"/>
  <c r="W1403" i="16"/>
  <c r="X1403" i="16"/>
  <c r="AL1403" i="16"/>
  <c r="AM1403" i="16"/>
  <c r="AN1403" i="16"/>
  <c r="W1404" i="16"/>
  <c r="X1404" i="16"/>
  <c r="AL1404" i="16"/>
  <c r="AM1404" i="16"/>
  <c r="AN1404" i="16"/>
  <c r="W1405" i="16"/>
  <c r="X1405" i="16"/>
  <c r="AL1405" i="16"/>
  <c r="AM1405" i="16"/>
  <c r="AN1405" i="16"/>
  <c r="W1406" i="16"/>
  <c r="X1406" i="16"/>
  <c r="AL1406" i="16"/>
  <c r="AM1406" i="16"/>
  <c r="AN1406" i="16"/>
  <c r="W1407" i="16"/>
  <c r="X1407" i="16"/>
  <c r="AL1407" i="16"/>
  <c r="AM1407" i="16"/>
  <c r="AN1407" i="16"/>
  <c r="W1408" i="16"/>
  <c r="X1408" i="16"/>
  <c r="AL1408" i="16"/>
  <c r="AM1408" i="16"/>
  <c r="AN1408" i="16"/>
  <c r="W1409" i="16"/>
  <c r="X1409" i="16"/>
  <c r="AL1409" i="16"/>
  <c r="AM1409" i="16"/>
  <c r="AN1409" i="16"/>
  <c r="W1410" i="16"/>
  <c r="X1410" i="16"/>
  <c r="AL1410" i="16"/>
  <c r="AM1410" i="16"/>
  <c r="AN1410" i="16"/>
  <c r="W1411" i="16"/>
  <c r="X1411" i="16"/>
  <c r="AL1411" i="16"/>
  <c r="AM1411" i="16"/>
  <c r="AN1411" i="16"/>
  <c r="W1412" i="16"/>
  <c r="X1412" i="16"/>
  <c r="AL1412" i="16"/>
  <c r="AM1412" i="16"/>
  <c r="AN1412" i="16"/>
  <c r="W1413" i="16"/>
  <c r="X1413" i="16"/>
  <c r="AL1413" i="16"/>
  <c r="AM1413" i="16"/>
  <c r="AN1413" i="16"/>
  <c r="W1414" i="16"/>
  <c r="X1414" i="16"/>
  <c r="AL1414" i="16"/>
  <c r="AM1414" i="16"/>
  <c r="AN1414" i="16"/>
  <c r="W1415" i="16"/>
  <c r="X1415" i="16"/>
  <c r="AL1415" i="16"/>
  <c r="AM1415" i="16"/>
  <c r="AN1415" i="16"/>
  <c r="W1416" i="16"/>
  <c r="X1416" i="16"/>
  <c r="AL1416" i="16"/>
  <c r="AM1416" i="16"/>
  <c r="AN1416" i="16"/>
  <c r="W1417" i="16"/>
  <c r="X1417" i="16"/>
  <c r="AL1417" i="16"/>
  <c r="AM1417" i="16"/>
  <c r="AN1417" i="16"/>
  <c r="W1418" i="16"/>
  <c r="X1418" i="16"/>
  <c r="AL1418" i="16"/>
  <c r="AM1418" i="16"/>
  <c r="AN1418" i="16"/>
  <c r="W1419" i="16"/>
  <c r="X1419" i="16"/>
  <c r="AL1419" i="16"/>
  <c r="AM1419" i="16"/>
  <c r="AN1419" i="16"/>
  <c r="W1420" i="16"/>
  <c r="X1420" i="16"/>
  <c r="AL1420" i="16"/>
  <c r="AM1420" i="16"/>
  <c r="AN1420" i="16"/>
  <c r="W1421" i="16"/>
  <c r="X1421" i="16"/>
  <c r="AL1421" i="16"/>
  <c r="AM1421" i="16"/>
  <c r="AN1421" i="16"/>
  <c r="W1422" i="16"/>
  <c r="X1422" i="16"/>
  <c r="AL1422" i="16"/>
  <c r="AM1422" i="16"/>
  <c r="AN1422" i="16"/>
  <c r="W1423" i="16"/>
  <c r="X1423" i="16"/>
  <c r="AL1423" i="16"/>
  <c r="AM1423" i="16"/>
  <c r="AN1423" i="16"/>
  <c r="W1424" i="16"/>
  <c r="X1424" i="16"/>
  <c r="AL1424" i="16"/>
  <c r="AM1424" i="16"/>
  <c r="AN1424" i="16"/>
  <c r="W1425" i="16"/>
  <c r="X1425" i="16"/>
  <c r="AL1425" i="16"/>
  <c r="AM1425" i="16"/>
  <c r="AN1425" i="16"/>
  <c r="W1426" i="16"/>
  <c r="X1426" i="16"/>
  <c r="AL1426" i="16"/>
  <c r="AM1426" i="16"/>
  <c r="AN1426" i="16"/>
  <c r="W1427" i="16"/>
  <c r="X1427" i="16"/>
  <c r="AL1427" i="16"/>
  <c r="AM1427" i="16"/>
  <c r="AN1427" i="16"/>
  <c r="W1428" i="16"/>
  <c r="X1428" i="16"/>
  <c r="AL1428" i="16"/>
  <c r="AM1428" i="16"/>
  <c r="AN1428" i="16"/>
  <c r="W1429" i="16"/>
  <c r="X1429" i="16"/>
  <c r="AL1429" i="16"/>
  <c r="AM1429" i="16"/>
  <c r="AN1429" i="16"/>
  <c r="W1430" i="16"/>
  <c r="X1430" i="16"/>
  <c r="AL1430" i="16"/>
  <c r="AM1430" i="16"/>
  <c r="AN1430" i="16"/>
  <c r="W1431" i="16"/>
  <c r="X1431" i="16"/>
  <c r="AL1431" i="16"/>
  <c r="AM1431" i="16"/>
  <c r="AN1431" i="16"/>
  <c r="W1432" i="16"/>
  <c r="X1432" i="16"/>
  <c r="AL1432" i="16"/>
  <c r="AM1432" i="16"/>
  <c r="AN1432" i="16"/>
  <c r="W1433" i="16"/>
  <c r="X1433" i="16"/>
  <c r="AL1433" i="16"/>
  <c r="AM1433" i="16"/>
  <c r="AN1433" i="16"/>
  <c r="W1434" i="16"/>
  <c r="X1434" i="16"/>
  <c r="AL1434" i="16"/>
  <c r="AM1434" i="16"/>
  <c r="AN1434" i="16"/>
  <c r="W1435" i="16"/>
  <c r="X1435" i="16"/>
  <c r="AL1435" i="16"/>
  <c r="AM1435" i="16"/>
  <c r="AN1435" i="16"/>
  <c r="W1436" i="16"/>
  <c r="X1436" i="16"/>
  <c r="AL1436" i="16"/>
  <c r="AM1436" i="16"/>
  <c r="AN1436" i="16"/>
  <c r="W1437" i="16"/>
  <c r="X1437" i="16"/>
  <c r="AL1437" i="16"/>
  <c r="AM1437" i="16"/>
  <c r="AN1437" i="16"/>
  <c r="W1438" i="16"/>
  <c r="X1438" i="16"/>
  <c r="AL1438" i="16"/>
  <c r="AM1438" i="16"/>
  <c r="AN1438" i="16"/>
  <c r="W1439" i="16"/>
  <c r="X1439" i="16"/>
  <c r="AL1439" i="16"/>
  <c r="AM1439" i="16"/>
  <c r="AN1439" i="16"/>
  <c r="W1440" i="16"/>
  <c r="X1440" i="16"/>
  <c r="AL1440" i="16"/>
  <c r="AM1440" i="16"/>
  <c r="AN1440" i="16"/>
  <c r="W1441" i="16"/>
  <c r="X1441" i="16"/>
  <c r="AL1441" i="16"/>
  <c r="AM1441" i="16"/>
  <c r="AN1441" i="16"/>
  <c r="W1442" i="16"/>
  <c r="X1442" i="16"/>
  <c r="AL1442" i="16"/>
  <c r="AM1442" i="16"/>
  <c r="AN1442" i="16"/>
  <c r="W1443" i="16"/>
  <c r="X1443" i="16"/>
  <c r="AL1443" i="16"/>
  <c r="AM1443" i="16"/>
  <c r="AN1443" i="16"/>
  <c r="W1444" i="16"/>
  <c r="X1444" i="16"/>
  <c r="AL1444" i="16"/>
  <c r="AM1444" i="16"/>
  <c r="AN1444" i="16"/>
  <c r="W1445" i="16"/>
  <c r="X1445" i="16"/>
  <c r="AL1445" i="16"/>
  <c r="AM1445" i="16"/>
  <c r="AN1445" i="16"/>
  <c r="W1446" i="16"/>
  <c r="X1446" i="16"/>
  <c r="AL1446" i="16"/>
  <c r="AM1446" i="16"/>
  <c r="AN1446" i="16"/>
  <c r="W1447" i="16"/>
  <c r="X1447" i="16"/>
  <c r="AL1447" i="16"/>
  <c r="AM1447" i="16"/>
  <c r="AN1447" i="16"/>
  <c r="W1448" i="16"/>
  <c r="X1448" i="16"/>
  <c r="AL1448" i="16"/>
  <c r="AM1448" i="16"/>
  <c r="AN1448" i="16"/>
  <c r="W1449" i="16"/>
  <c r="X1449" i="16"/>
  <c r="AL1449" i="16"/>
  <c r="AM1449" i="16"/>
  <c r="AN1449" i="16"/>
  <c r="W1450" i="16"/>
  <c r="X1450" i="16"/>
  <c r="AL1450" i="16"/>
  <c r="AM1450" i="16"/>
  <c r="AN1450" i="16"/>
  <c r="W1451" i="16"/>
  <c r="X1451" i="16"/>
  <c r="AL1451" i="16"/>
  <c r="AM1451" i="16"/>
  <c r="AN1451" i="16"/>
  <c r="W1452" i="16"/>
  <c r="X1452" i="16"/>
  <c r="AL1452" i="16"/>
  <c r="AM1452" i="16"/>
  <c r="AN1452" i="16"/>
  <c r="W1453" i="16"/>
  <c r="X1453" i="16"/>
  <c r="AL1453" i="16"/>
  <c r="AM1453" i="16"/>
  <c r="AN1453" i="16"/>
  <c r="W1454" i="16"/>
  <c r="X1454" i="16"/>
  <c r="AL1454" i="16"/>
  <c r="AM1454" i="16"/>
  <c r="AN1454" i="16"/>
  <c r="W1455" i="16"/>
  <c r="X1455" i="16"/>
  <c r="AL1455" i="16"/>
  <c r="AM1455" i="16"/>
  <c r="AN1455" i="16"/>
  <c r="W1456" i="16"/>
  <c r="X1456" i="16"/>
  <c r="AL1456" i="16"/>
  <c r="AM1456" i="16"/>
  <c r="AN1456" i="16"/>
  <c r="W1457" i="16"/>
  <c r="X1457" i="16"/>
  <c r="AL1457" i="16"/>
  <c r="AM1457" i="16"/>
  <c r="AN1457" i="16"/>
  <c r="W1458" i="16"/>
  <c r="X1458" i="16"/>
  <c r="AL1458" i="16"/>
  <c r="AM1458" i="16"/>
  <c r="AN1458" i="16"/>
  <c r="W1459" i="16"/>
  <c r="X1459" i="16"/>
  <c r="AL1459" i="16"/>
  <c r="AM1459" i="16"/>
  <c r="AN1459" i="16"/>
  <c r="W1460" i="16"/>
  <c r="X1460" i="16"/>
  <c r="AL1460" i="16"/>
  <c r="AM1460" i="16"/>
  <c r="AN1460" i="16"/>
  <c r="W1461" i="16"/>
  <c r="X1461" i="16"/>
  <c r="AL1461" i="16"/>
  <c r="AM1461" i="16"/>
  <c r="AN1461" i="16"/>
  <c r="W1462" i="16"/>
  <c r="X1462" i="16"/>
  <c r="AL1462" i="16"/>
  <c r="AM1462" i="16"/>
  <c r="AN1462" i="16"/>
  <c r="W1463" i="16"/>
  <c r="X1463" i="16"/>
  <c r="AL1463" i="16"/>
  <c r="AM1463" i="16"/>
  <c r="AN1463" i="16"/>
  <c r="W1464" i="16"/>
  <c r="X1464" i="16"/>
  <c r="AL1464" i="16"/>
  <c r="AM1464" i="16"/>
  <c r="AN1464" i="16"/>
  <c r="W1465" i="16"/>
  <c r="X1465" i="16"/>
  <c r="AL1465" i="16"/>
  <c r="AM1465" i="16"/>
  <c r="AN1465" i="16"/>
  <c r="W1466" i="16"/>
  <c r="X1466" i="16"/>
  <c r="AL1466" i="16"/>
  <c r="AM1466" i="16"/>
  <c r="AN1466" i="16"/>
  <c r="W1467" i="16"/>
  <c r="X1467" i="16"/>
  <c r="AL1467" i="16"/>
  <c r="AM1467" i="16"/>
  <c r="AN1467" i="16"/>
  <c r="W1468" i="16"/>
  <c r="X1468" i="16"/>
  <c r="AL1468" i="16"/>
  <c r="AM1468" i="16"/>
  <c r="AN1468" i="16"/>
  <c r="W1469" i="16"/>
  <c r="X1469" i="16"/>
  <c r="AL1469" i="16"/>
  <c r="AM1469" i="16"/>
  <c r="AN1469" i="16"/>
  <c r="W1470" i="16"/>
  <c r="X1470" i="16"/>
  <c r="AL1470" i="16"/>
  <c r="AM1470" i="16"/>
  <c r="AN1470" i="16"/>
  <c r="W1471" i="16"/>
  <c r="X1471" i="16"/>
  <c r="AL1471" i="16"/>
  <c r="AM1471" i="16"/>
  <c r="AN1471" i="16"/>
  <c r="W1472" i="16"/>
  <c r="X1472" i="16"/>
  <c r="AL1472" i="16"/>
  <c r="AM1472" i="16"/>
  <c r="AN1472" i="16"/>
  <c r="W1473" i="16"/>
  <c r="X1473" i="16"/>
  <c r="AL1473" i="16"/>
  <c r="AM1473" i="16"/>
  <c r="AN1473" i="16"/>
  <c r="W1474" i="16"/>
  <c r="X1474" i="16"/>
  <c r="AL1474" i="16"/>
  <c r="AM1474" i="16"/>
  <c r="AN1474" i="16"/>
  <c r="W1475" i="16"/>
  <c r="X1475" i="16"/>
  <c r="AL1475" i="16"/>
  <c r="AM1475" i="16"/>
  <c r="AN1475" i="16"/>
  <c r="W1476" i="16"/>
  <c r="X1476" i="16"/>
  <c r="AL1476" i="16"/>
  <c r="AM1476" i="16"/>
  <c r="AN1476" i="16"/>
  <c r="W1477" i="16"/>
  <c r="X1477" i="16"/>
  <c r="AL1477" i="16"/>
  <c r="AM1477" i="16"/>
  <c r="AN1477" i="16"/>
  <c r="W1478" i="16"/>
  <c r="X1478" i="16"/>
  <c r="AL1478" i="16"/>
  <c r="AM1478" i="16"/>
  <c r="AN1478" i="16"/>
  <c r="W1479" i="16"/>
  <c r="X1479" i="16"/>
  <c r="AL1479" i="16"/>
  <c r="AM1479" i="16"/>
  <c r="AN1479" i="16"/>
  <c r="W1480" i="16"/>
  <c r="X1480" i="16"/>
  <c r="AL1480" i="16"/>
  <c r="AM1480" i="16"/>
  <c r="AN1480" i="16"/>
  <c r="W1481" i="16"/>
  <c r="X1481" i="16"/>
  <c r="AL1481" i="16"/>
  <c r="AM1481" i="16"/>
  <c r="AN1481" i="16"/>
  <c r="W1482" i="16"/>
  <c r="X1482" i="16"/>
  <c r="AL1482" i="16"/>
  <c r="AM1482" i="16"/>
  <c r="AN1482" i="16"/>
  <c r="W1483" i="16"/>
  <c r="X1483" i="16"/>
  <c r="AL1483" i="16"/>
  <c r="AM1483" i="16"/>
  <c r="AN1483" i="16"/>
  <c r="W1484" i="16"/>
  <c r="X1484" i="16"/>
  <c r="AL1484" i="16"/>
  <c r="AM1484" i="16"/>
  <c r="AN1484" i="16"/>
  <c r="W1485" i="16"/>
  <c r="X1485" i="16"/>
  <c r="AL1485" i="16"/>
  <c r="AM1485" i="16"/>
  <c r="AN1485" i="16"/>
  <c r="W1486" i="16"/>
  <c r="X1486" i="16"/>
  <c r="AL1486" i="16"/>
  <c r="AM1486" i="16"/>
  <c r="AN1486" i="16"/>
  <c r="W1487" i="16"/>
  <c r="X1487" i="16"/>
  <c r="AL1487" i="16"/>
  <c r="AM1487" i="16"/>
  <c r="AN1487" i="16"/>
  <c r="AN1117" i="16"/>
  <c r="AM1117" i="16"/>
  <c r="AL1117" i="16"/>
  <c r="X1117" i="16"/>
  <c r="W1117" i="16"/>
  <c r="AB1633" i="16" l="1"/>
  <c r="AD1633" i="16" s="1"/>
  <c r="AK1633" i="16" s="1"/>
  <c r="AB1632" i="16"/>
  <c r="AD1632" i="16" s="1"/>
  <c r="AK1632" i="16" s="1"/>
  <c r="AF1627" i="16"/>
  <c r="AG1627" i="16"/>
  <c r="AH1627" i="16"/>
  <c r="AI1627" i="16"/>
  <c r="AD1627" i="16"/>
  <c r="AE1627" i="16"/>
  <c r="AJ1627" i="16"/>
  <c r="AC1627" i="16"/>
  <c r="AB1630" i="16"/>
  <c r="AD1630" i="16" s="1"/>
  <c r="AK1630" i="16" s="1"/>
  <c r="AB1636" i="16"/>
  <c r="AJ1636" i="16" s="1"/>
  <c r="AK1636" i="16" s="1"/>
  <c r="AB1634" i="16"/>
  <c r="AD1634" i="16" s="1"/>
  <c r="AK1634" i="16" s="1"/>
  <c r="AB1628" i="16"/>
  <c r="AD1628" i="16" s="1"/>
  <c r="AK1628" i="16" s="1"/>
  <c r="AK1629" i="16"/>
  <c r="AB1626" i="16"/>
  <c r="AB1637" i="16"/>
  <c r="AC1637" i="16" s="1"/>
  <c r="AK1637" i="16" s="1"/>
  <c r="Z1826" i="16"/>
  <c r="AA1826" i="16" s="1"/>
  <c r="Z1828" i="16"/>
  <c r="AA1828" i="16" s="1"/>
  <c r="Z1827" i="16"/>
  <c r="AA1827" i="16" s="1"/>
  <c r="Z1829" i="16"/>
  <c r="AA1829" i="16" s="1"/>
  <c r="Z1824" i="16"/>
  <c r="AA1824" i="16" s="1"/>
  <c r="Z1825" i="16"/>
  <c r="AA1825" i="16" s="1"/>
  <c r="Z1854" i="16"/>
  <c r="AA1854" i="16" s="1"/>
  <c r="Z1833" i="16"/>
  <c r="AA1833" i="16" s="1"/>
  <c r="Z1836" i="16"/>
  <c r="AA1836" i="16" s="1"/>
  <c r="Z1839" i="16"/>
  <c r="AA1839" i="16" s="1"/>
  <c r="Z1844" i="16"/>
  <c r="AA1844" i="16" s="1"/>
  <c r="Z1846" i="16"/>
  <c r="AA1846" i="16" s="1"/>
  <c r="Z1855" i="16"/>
  <c r="AA1855" i="16" s="1"/>
  <c r="Z1856" i="16"/>
  <c r="AA1856" i="16" s="1"/>
  <c r="Z1834" i="16"/>
  <c r="AA1834" i="16" s="1"/>
  <c r="Z1837" i="16"/>
  <c r="AA1837" i="16" s="1"/>
  <c r="Z1840" i="16"/>
  <c r="AA1840" i="16" s="1"/>
  <c r="Z1842" i="16"/>
  <c r="AA1842" i="16" s="1"/>
  <c r="Z1851" i="16"/>
  <c r="AA1851" i="16" s="1"/>
  <c r="Z1857" i="16"/>
  <c r="AA1857" i="16" s="1"/>
  <c r="Z1858" i="16"/>
  <c r="AA1858" i="16" s="1"/>
  <c r="Z1831" i="16"/>
  <c r="AA1831" i="16" s="1"/>
  <c r="Z1835" i="16"/>
  <c r="AA1835" i="16" s="1"/>
  <c r="Z1843" i="16"/>
  <c r="AA1843" i="16" s="1"/>
  <c r="Z1845" i="16"/>
  <c r="AA1845" i="16" s="1"/>
  <c r="Z1847" i="16"/>
  <c r="AA1847" i="16" s="1"/>
  <c r="Z1848" i="16"/>
  <c r="AA1848" i="16" s="1"/>
  <c r="Z1830" i="16"/>
  <c r="AA1830" i="16" s="1"/>
  <c r="Z1849" i="16"/>
  <c r="AA1849" i="16" s="1"/>
  <c r="Z1853" i="16"/>
  <c r="AA1853" i="16" s="1"/>
  <c r="Z1850" i="16"/>
  <c r="AA1850" i="16" s="1"/>
  <c r="Z1832" i="16"/>
  <c r="AA1832" i="16" s="1"/>
  <c r="Z1838" i="16"/>
  <c r="AA1838" i="16" s="1"/>
  <c r="Z1841" i="16"/>
  <c r="AA1841" i="16" s="1"/>
  <c r="Z1852" i="16"/>
  <c r="AA1852" i="16" s="1"/>
  <c r="I1870" i="16"/>
  <c r="Q1866" i="16"/>
  <c r="K1867" i="16"/>
  <c r="O1867" i="16"/>
  <c r="M1868" i="16"/>
  <c r="Q1872" i="16"/>
  <c r="H1870" i="16"/>
  <c r="H1867" i="16"/>
  <c r="H1871" i="16"/>
  <c r="H1868" i="16"/>
  <c r="O1869" i="16"/>
  <c r="Q1870" i="16"/>
  <c r="I1872" i="16"/>
  <c r="Q1874" i="16"/>
  <c r="H1866" i="16"/>
  <c r="M1873" i="16"/>
  <c r="Q1873" i="16"/>
  <c r="H1873" i="16"/>
  <c r="K1873" i="16"/>
  <c r="O1873" i="16"/>
  <c r="H61" i="18"/>
  <c r="G61" i="8"/>
  <c r="AI1486" i="16"/>
  <c r="AC1486" i="16"/>
  <c r="AH1486" i="16"/>
  <c r="AF1486" i="16"/>
  <c r="AJ1486" i="16"/>
  <c r="AG1486" i="16"/>
  <c r="AD1486" i="16"/>
  <c r="AE1482" i="16"/>
  <c r="AI1482" i="16"/>
  <c r="AC1482" i="16"/>
  <c r="AD1482" i="16"/>
  <c r="AJ1482" i="16"/>
  <c r="AG1482" i="16"/>
  <c r="AH1482" i="16"/>
  <c r="AD1466" i="16"/>
  <c r="AE1466" i="16"/>
  <c r="AI1466" i="16"/>
  <c r="AF1466" i="16"/>
  <c r="AG1466" i="16"/>
  <c r="AJ1466" i="16"/>
  <c r="AC1466" i="16"/>
  <c r="AH1422" i="16"/>
  <c r="AE1422" i="16"/>
  <c r="AI1422" i="16"/>
  <c r="AF1422" i="16"/>
  <c r="AC1422" i="16"/>
  <c r="AG1422" i="16"/>
  <c r="AJ1422" i="16"/>
  <c r="AD1410" i="16"/>
  <c r="AH1410" i="16"/>
  <c r="AE1410" i="16"/>
  <c r="AI1410" i="16"/>
  <c r="AF1410" i="16"/>
  <c r="AG1410" i="16"/>
  <c r="AC1410" i="16"/>
  <c r="AF1394" i="16"/>
  <c r="AJ1394" i="16"/>
  <c r="AI1394" i="16"/>
  <c r="AE1394" i="16"/>
  <c r="AG1394" i="16"/>
  <c r="AH1394" i="16"/>
  <c r="AC1394" i="16"/>
  <c r="AH1374" i="16"/>
  <c r="AC1374" i="16"/>
  <c r="AI1374" i="16"/>
  <c r="AE1374" i="16"/>
  <c r="AG1374" i="16"/>
  <c r="AJ1374" i="16"/>
  <c r="AF1374" i="16"/>
  <c r="AH1354" i="16"/>
  <c r="AC1354" i="16"/>
  <c r="AI1354" i="16"/>
  <c r="AJ1354" i="16"/>
  <c r="AF1354" i="16"/>
  <c r="AG1354" i="16"/>
  <c r="AE1354" i="16"/>
  <c r="AD1342" i="16"/>
  <c r="AH1342" i="16"/>
  <c r="AC1342" i="16"/>
  <c r="AI1342" i="16"/>
  <c r="AF1342" i="16"/>
  <c r="AG1342" i="16"/>
  <c r="AJ1342" i="16"/>
  <c r="AD1330" i="16"/>
  <c r="AH1330" i="16"/>
  <c r="AG1330" i="16"/>
  <c r="AF1330" i="16"/>
  <c r="AC1330" i="16"/>
  <c r="AI1330" i="16"/>
  <c r="AE1330" i="16"/>
  <c r="AH1322" i="16"/>
  <c r="AG1322" i="16"/>
  <c r="AF1322" i="16"/>
  <c r="AC1322" i="16"/>
  <c r="AE1322" i="16"/>
  <c r="AI1322" i="16"/>
  <c r="AJ1322" i="16"/>
  <c r="AH1278" i="16"/>
  <c r="AF1278" i="16"/>
  <c r="AI1278" i="16"/>
  <c r="AG1278" i="16"/>
  <c r="AC1278" i="16"/>
  <c r="AE1278" i="16"/>
  <c r="AJ1278" i="16"/>
  <c r="AF1262" i="16"/>
  <c r="AJ1262" i="16"/>
  <c r="AC1262" i="16"/>
  <c r="AH1262" i="16"/>
  <c r="AG1262" i="16"/>
  <c r="AE1262" i="16"/>
  <c r="AI1262" i="16"/>
  <c r="AF1258" i="16"/>
  <c r="AJ1258" i="16"/>
  <c r="AC1258" i="16"/>
  <c r="AH1258" i="16"/>
  <c r="AD1258" i="16"/>
  <c r="AI1258" i="16"/>
  <c r="AE1258" i="16"/>
  <c r="AF1254" i="16"/>
  <c r="AJ1254" i="16"/>
  <c r="AH1254" i="16"/>
  <c r="AE1254" i="16"/>
  <c r="AD1254" i="16"/>
  <c r="AG1254" i="16"/>
  <c r="AI1254" i="16"/>
  <c r="AF1238" i="16"/>
  <c r="AJ1238" i="16"/>
  <c r="AC1238" i="16"/>
  <c r="AH1238" i="16"/>
  <c r="AE1238" i="16"/>
  <c r="AI1238" i="16"/>
  <c r="AG1238" i="16"/>
  <c r="AF1222" i="16"/>
  <c r="AJ1222" i="16"/>
  <c r="AC1222" i="16"/>
  <c r="AH1222" i="16"/>
  <c r="AG1222" i="16"/>
  <c r="AE1222" i="16"/>
  <c r="AI1222" i="16"/>
  <c r="AC1178" i="16"/>
  <c r="AG1178" i="16"/>
  <c r="AD1178" i="16"/>
  <c r="AH1178" i="16"/>
  <c r="AE1178" i="16"/>
  <c r="AF1178" i="16"/>
  <c r="AJ1178" i="16"/>
  <c r="AC1134" i="16"/>
  <c r="AG1134" i="16"/>
  <c r="AD1134" i="16"/>
  <c r="AH1134" i="16"/>
  <c r="AE1134" i="16"/>
  <c r="AF1134" i="16"/>
  <c r="AJ1134" i="16"/>
  <c r="AD1450" i="16"/>
  <c r="AH1450" i="16"/>
  <c r="AE1450" i="16"/>
  <c r="AI1450" i="16"/>
  <c r="AF1450" i="16"/>
  <c r="AJ1450" i="16"/>
  <c r="AG1450" i="16"/>
  <c r="AH1430" i="16"/>
  <c r="AE1430" i="16"/>
  <c r="AI1430" i="16"/>
  <c r="AF1430" i="16"/>
  <c r="AJ1430" i="16"/>
  <c r="AG1430" i="16"/>
  <c r="AC1430" i="16"/>
  <c r="AH1426" i="16"/>
  <c r="AE1426" i="16"/>
  <c r="AI1426" i="16"/>
  <c r="AF1426" i="16"/>
  <c r="AC1426" i="16"/>
  <c r="AG1426" i="16"/>
  <c r="AJ1426" i="16"/>
  <c r="AD1298" i="16"/>
  <c r="AH1298" i="16"/>
  <c r="AG1298" i="16"/>
  <c r="AF1298" i="16"/>
  <c r="AC1298" i="16"/>
  <c r="AJ1298" i="16"/>
  <c r="AE1298" i="16"/>
  <c r="AF1266" i="16"/>
  <c r="AJ1266" i="16"/>
  <c r="AH1266" i="16"/>
  <c r="AD1266" i="16"/>
  <c r="AE1266" i="16"/>
  <c r="AG1266" i="16"/>
  <c r="AI1266" i="16"/>
  <c r="AF1250" i="16"/>
  <c r="AJ1250" i="16"/>
  <c r="AC1250" i="16"/>
  <c r="AH1250" i="16"/>
  <c r="AI1250" i="16"/>
  <c r="AG1250" i="16"/>
  <c r="AE1250" i="16"/>
  <c r="AF1246" i="16"/>
  <c r="AJ1246" i="16"/>
  <c r="AC1246" i="16"/>
  <c r="AH1246" i="16"/>
  <c r="AE1246" i="16"/>
  <c r="AG1246" i="16"/>
  <c r="AI1246" i="16"/>
  <c r="AF1242" i="16"/>
  <c r="AJ1242" i="16"/>
  <c r="AC1242" i="16"/>
  <c r="AH1242" i="16"/>
  <c r="AE1242" i="16"/>
  <c r="AG1242" i="16"/>
  <c r="AD1242" i="16"/>
  <c r="AF1214" i="16"/>
  <c r="AJ1214" i="16"/>
  <c r="AE1214" i="16"/>
  <c r="AC1214" i="16"/>
  <c r="AG1214" i="16"/>
  <c r="AH1214" i="16"/>
  <c r="AD1214" i="16"/>
  <c r="AF1198" i="16"/>
  <c r="AJ1198" i="16"/>
  <c r="AC1198" i="16"/>
  <c r="AH1198" i="16"/>
  <c r="AI1198" i="16"/>
  <c r="AE1198" i="16"/>
  <c r="AG1198" i="16"/>
  <c r="AF1194" i="16"/>
  <c r="AE1194" i="16"/>
  <c r="AD1194" i="16"/>
  <c r="AH1194" i="16"/>
  <c r="AI1194" i="16"/>
  <c r="AC1194" i="16"/>
  <c r="AG1194" i="16"/>
  <c r="AG1162" i="16"/>
  <c r="AD1162" i="16"/>
  <c r="AH1162" i="16"/>
  <c r="AE1162" i="16"/>
  <c r="AI1162" i="16"/>
  <c r="AJ1162" i="16"/>
  <c r="AF1162" i="16"/>
  <c r="AC1130" i="16"/>
  <c r="AG1130" i="16"/>
  <c r="AH1130" i="16"/>
  <c r="AE1130" i="16"/>
  <c r="AI1130" i="16"/>
  <c r="AF1130" i="16"/>
  <c r="AJ1130" i="16"/>
  <c r="AE1485" i="16"/>
  <c r="AC1485" i="16"/>
  <c r="AH1485" i="16"/>
  <c r="AF1485" i="16"/>
  <c r="AJ1485" i="16"/>
  <c r="AG1485" i="16"/>
  <c r="AD1485" i="16"/>
  <c r="AE1481" i="16"/>
  <c r="AC1481" i="16"/>
  <c r="AF1481" i="16"/>
  <c r="AJ1481" i="16"/>
  <c r="AG1481" i="16"/>
  <c r="AD1481" i="16"/>
  <c r="AH1481" i="16"/>
  <c r="AE1477" i="16"/>
  <c r="AI1477" i="16"/>
  <c r="AH1477" i="16"/>
  <c r="AF1477" i="16"/>
  <c r="AJ1477" i="16"/>
  <c r="AC1477" i="16"/>
  <c r="AD1477" i="16"/>
  <c r="AE1473" i="16"/>
  <c r="AI1473" i="16"/>
  <c r="AC1473" i="16"/>
  <c r="AF1473" i="16"/>
  <c r="AJ1473" i="16"/>
  <c r="AG1473" i="16"/>
  <c r="AH1473" i="16"/>
  <c r="AE1469" i="16"/>
  <c r="AI1469" i="16"/>
  <c r="AC1469" i="16"/>
  <c r="AF1469" i="16"/>
  <c r="AJ1469" i="16"/>
  <c r="AG1469" i="16"/>
  <c r="AH1469" i="16"/>
  <c r="AD1457" i="16"/>
  <c r="AH1457" i="16"/>
  <c r="AE1457" i="16"/>
  <c r="AF1457" i="16"/>
  <c r="AG1457" i="16"/>
  <c r="AJ1457" i="16"/>
  <c r="AC1457" i="16"/>
  <c r="AD1449" i="16"/>
  <c r="AH1449" i="16"/>
  <c r="AE1449" i="16"/>
  <c r="AF1449" i="16"/>
  <c r="AG1449" i="16"/>
  <c r="AJ1449" i="16"/>
  <c r="AC1449" i="16"/>
  <c r="AD1445" i="16"/>
  <c r="AE1445" i="16"/>
  <c r="AI1445" i="16"/>
  <c r="AF1445" i="16"/>
  <c r="AJ1445" i="16"/>
  <c r="AC1445" i="16"/>
  <c r="AG1445" i="16"/>
  <c r="AD1433" i="16"/>
  <c r="AH1433" i="16"/>
  <c r="AE1433" i="16"/>
  <c r="AI1433" i="16"/>
  <c r="AF1433" i="16"/>
  <c r="AC1433" i="16"/>
  <c r="AG1433" i="16"/>
  <c r="AH1429" i="16"/>
  <c r="AE1429" i="16"/>
  <c r="AI1429" i="16"/>
  <c r="AF1429" i="16"/>
  <c r="AG1429" i="16"/>
  <c r="AJ1429" i="16"/>
  <c r="AC1429" i="16"/>
  <c r="AH1425" i="16"/>
  <c r="AE1425" i="16"/>
  <c r="AI1425" i="16"/>
  <c r="AF1425" i="16"/>
  <c r="AJ1425" i="16"/>
  <c r="AG1425" i="16"/>
  <c r="AC1425" i="16"/>
  <c r="AH1421" i="16"/>
  <c r="AE1421" i="16"/>
  <c r="AI1421" i="16"/>
  <c r="AF1421" i="16"/>
  <c r="AJ1421" i="16"/>
  <c r="AG1421" i="16"/>
  <c r="AC1421" i="16"/>
  <c r="AH1417" i="16"/>
  <c r="AE1417" i="16"/>
  <c r="AI1417" i="16"/>
  <c r="AF1417" i="16"/>
  <c r="AJ1417" i="16"/>
  <c r="AC1417" i="16"/>
  <c r="AG1417" i="16"/>
  <c r="AD1413" i="16"/>
  <c r="AH1413" i="16"/>
  <c r="AE1413" i="16"/>
  <c r="AI1413" i="16"/>
  <c r="AF1413" i="16"/>
  <c r="AG1413" i="16"/>
  <c r="AC1413" i="16"/>
  <c r="AD1409" i="16"/>
  <c r="AH1409" i="16"/>
  <c r="AE1409" i="16"/>
  <c r="AI1409" i="16"/>
  <c r="AF1409" i="16"/>
  <c r="AG1409" i="16"/>
  <c r="AC1409" i="16"/>
  <c r="AF1405" i="16"/>
  <c r="AJ1405" i="16"/>
  <c r="AD1405" i="16"/>
  <c r="AI1405" i="16"/>
  <c r="AE1405" i="16"/>
  <c r="AG1405" i="16"/>
  <c r="AH1405" i="16"/>
  <c r="AF1397" i="16"/>
  <c r="AJ1397" i="16"/>
  <c r="AG1397" i="16"/>
  <c r="AH1397" i="16"/>
  <c r="AD1397" i="16"/>
  <c r="AI1397" i="16"/>
  <c r="AE1397" i="16"/>
  <c r="AF1393" i="16"/>
  <c r="AG1393" i="16"/>
  <c r="AC1393" i="16"/>
  <c r="AH1393" i="16"/>
  <c r="AD1393" i="16"/>
  <c r="AI1393" i="16"/>
  <c r="AE1393" i="16"/>
  <c r="AG1389" i="16"/>
  <c r="AI1389" i="16"/>
  <c r="AD1389" i="16"/>
  <c r="AH1389" i="16"/>
  <c r="AF1389" i="16"/>
  <c r="AE1389" i="16"/>
  <c r="AJ1389" i="16"/>
  <c r="AD1385" i="16"/>
  <c r="AH1385" i="16"/>
  <c r="AE1385" i="16"/>
  <c r="AG1385" i="16"/>
  <c r="AI1385" i="16"/>
  <c r="AJ1385" i="16"/>
  <c r="AC1385" i="16"/>
  <c r="AD1381" i="16"/>
  <c r="AH1381" i="16"/>
  <c r="AF1381" i="16"/>
  <c r="AI1381" i="16"/>
  <c r="AJ1381" i="16"/>
  <c r="AE1381" i="16"/>
  <c r="AG1381" i="16"/>
  <c r="AD1377" i="16"/>
  <c r="AH1377" i="16"/>
  <c r="AF1377" i="16"/>
  <c r="AI1377" i="16"/>
  <c r="AE1377" i="16"/>
  <c r="AG1377" i="16"/>
  <c r="AJ1377" i="16"/>
  <c r="AH1373" i="16"/>
  <c r="AF1373" i="16"/>
  <c r="AE1373" i="16"/>
  <c r="AG1373" i="16"/>
  <c r="AI1373" i="16"/>
  <c r="AC1373" i="16"/>
  <c r="AJ1373" i="16"/>
  <c r="AI1369" i="16"/>
  <c r="AE1369" i="16"/>
  <c r="AJ1369" i="16"/>
  <c r="AD1369" i="16"/>
  <c r="AF1369" i="16"/>
  <c r="AH1369" i="16"/>
  <c r="AG1369" i="16"/>
  <c r="AD1365" i="16"/>
  <c r="AH1365" i="16"/>
  <c r="AF1365" i="16"/>
  <c r="AC1365" i="16"/>
  <c r="AG1365" i="16"/>
  <c r="AI1365" i="16"/>
  <c r="AE1365" i="16"/>
  <c r="AD1361" i="16"/>
  <c r="AH1361" i="16"/>
  <c r="AF1361" i="16"/>
  <c r="AG1361" i="16"/>
  <c r="AC1361" i="16"/>
  <c r="AE1361" i="16"/>
  <c r="AI1361" i="16"/>
  <c r="AH1357" i="16"/>
  <c r="AF1357" i="16"/>
  <c r="AI1357" i="16"/>
  <c r="AC1357" i="16"/>
  <c r="AJ1357" i="16"/>
  <c r="AE1357" i="16"/>
  <c r="AG1357" i="16"/>
  <c r="AH1353" i="16"/>
  <c r="AF1353" i="16"/>
  <c r="AC1353" i="16"/>
  <c r="AJ1353" i="16"/>
  <c r="AE1353" i="16"/>
  <c r="AG1353" i="16"/>
  <c r="AI1353" i="16"/>
  <c r="AH1349" i="16"/>
  <c r="AF1349" i="16"/>
  <c r="AG1349" i="16"/>
  <c r="AI1349" i="16"/>
  <c r="AJ1349" i="16"/>
  <c r="AC1349" i="16"/>
  <c r="AE1349" i="16"/>
  <c r="AH1345" i="16"/>
  <c r="AF1345" i="16"/>
  <c r="AC1345" i="16"/>
  <c r="AJ1345" i="16"/>
  <c r="AE1345" i="16"/>
  <c r="AG1345" i="16"/>
  <c r="AI1345" i="16"/>
  <c r="AH1341" i="16"/>
  <c r="AF1341" i="16"/>
  <c r="AG1341" i="16"/>
  <c r="AE1341" i="16"/>
  <c r="AI1341" i="16"/>
  <c r="AJ1341" i="16"/>
  <c r="AC1341" i="16"/>
  <c r="AH1337" i="16"/>
  <c r="AG1337" i="16"/>
  <c r="AF1337" i="16"/>
  <c r="AI1337" i="16"/>
  <c r="AE1337" i="16"/>
  <c r="AJ1337" i="16"/>
  <c r="AC1337" i="16"/>
  <c r="AD1333" i="16"/>
  <c r="AH1333" i="16"/>
  <c r="AE1333" i="16"/>
  <c r="AC1333" i="16"/>
  <c r="AI1333" i="16"/>
  <c r="AF1333" i="16"/>
  <c r="AG1333" i="16"/>
  <c r="AH1329" i="16"/>
  <c r="AE1329" i="16"/>
  <c r="AJ1329" i="16"/>
  <c r="AC1329" i="16"/>
  <c r="AI1329" i="16"/>
  <c r="AF1329" i="16"/>
  <c r="AG1329" i="16"/>
  <c r="AH1325" i="16"/>
  <c r="AE1325" i="16"/>
  <c r="AJ1325" i="16"/>
  <c r="AC1325" i="16"/>
  <c r="AI1325" i="16"/>
  <c r="AG1325" i="16"/>
  <c r="AF1325" i="16"/>
  <c r="AH1321" i="16"/>
  <c r="AE1321" i="16"/>
  <c r="AJ1321" i="16"/>
  <c r="AC1321" i="16"/>
  <c r="AI1321" i="16"/>
  <c r="AF1321" i="16"/>
  <c r="AG1321" i="16"/>
  <c r="AH1317" i="16"/>
  <c r="AE1317" i="16"/>
  <c r="AJ1317" i="16"/>
  <c r="AC1317" i="16"/>
  <c r="AI1317" i="16"/>
  <c r="AF1317" i="16"/>
  <c r="AG1317" i="16"/>
  <c r="AD1313" i="16"/>
  <c r="AH1313" i="16"/>
  <c r="AE1313" i="16"/>
  <c r="AJ1313" i="16"/>
  <c r="AI1313" i="16"/>
  <c r="AF1313" i="16"/>
  <c r="AG1313" i="16"/>
  <c r="AH1309" i="16"/>
  <c r="AE1309" i="16"/>
  <c r="AJ1309" i="16"/>
  <c r="AC1309" i="16"/>
  <c r="AI1309" i="16"/>
  <c r="AG1309" i="16"/>
  <c r="AF1309" i="16"/>
  <c r="AH1305" i="16"/>
  <c r="AE1305" i="16"/>
  <c r="AJ1305" i="16"/>
  <c r="AC1305" i="16"/>
  <c r="AI1305" i="16"/>
  <c r="AF1305" i="16"/>
  <c r="AG1305" i="16"/>
  <c r="AD1301" i="16"/>
  <c r="AE1301" i="16"/>
  <c r="AJ1301" i="16"/>
  <c r="AC1301" i="16"/>
  <c r="AI1301" i="16"/>
  <c r="AF1301" i="16"/>
  <c r="AG1301" i="16"/>
  <c r="AD1297" i="16"/>
  <c r="AH1297" i="16"/>
  <c r="AE1297" i="16"/>
  <c r="AJ1297" i="16"/>
  <c r="AC1297" i="16"/>
  <c r="AI1297" i="16"/>
  <c r="AG1297" i="16"/>
  <c r="AD1293" i="16"/>
  <c r="AH1293" i="16"/>
  <c r="AG1293" i="16"/>
  <c r="AF1293" i="16"/>
  <c r="AE1293" i="16"/>
  <c r="AI1293" i="16"/>
  <c r="AJ1293" i="16"/>
  <c r="AH1289" i="16"/>
  <c r="AG1289" i="16"/>
  <c r="AF1289" i="16"/>
  <c r="AC1289" i="16"/>
  <c r="AE1289" i="16"/>
  <c r="AI1289" i="16"/>
  <c r="AJ1289" i="16"/>
  <c r="AH1285" i="16"/>
  <c r="AG1285" i="16"/>
  <c r="AF1285" i="16"/>
  <c r="AC1285" i="16"/>
  <c r="AI1285" i="16"/>
  <c r="AJ1285" i="16"/>
  <c r="AE1285" i="16"/>
  <c r="AH1277" i="16"/>
  <c r="AC1277" i="16"/>
  <c r="AI1277" i="16"/>
  <c r="AJ1277" i="16"/>
  <c r="AG1277" i="16"/>
  <c r="AE1277" i="16"/>
  <c r="AF1277" i="16"/>
  <c r="AF1273" i="16"/>
  <c r="AJ1273" i="16"/>
  <c r="AG1273" i="16"/>
  <c r="AC1273" i="16"/>
  <c r="AI1273" i="16"/>
  <c r="AD1273" i="16"/>
  <c r="AH1273" i="16"/>
  <c r="AF1269" i="16"/>
  <c r="AJ1269" i="16"/>
  <c r="AE1269" i="16"/>
  <c r="AC1269" i="16"/>
  <c r="AI1269" i="16"/>
  <c r="AG1269" i="16"/>
  <c r="AH1269" i="16"/>
  <c r="AF1265" i="16"/>
  <c r="AE1265" i="16"/>
  <c r="AD1265" i="16"/>
  <c r="AC1265" i="16"/>
  <c r="AI1265" i="16"/>
  <c r="AG1265" i="16"/>
  <c r="AH1265" i="16"/>
  <c r="AF1261" i="16"/>
  <c r="AJ1261" i="16"/>
  <c r="AE1261" i="16"/>
  <c r="AH1261" i="16"/>
  <c r="AC1261" i="16"/>
  <c r="AI1261" i="16"/>
  <c r="AG1261" i="16"/>
  <c r="AF1257" i="16"/>
  <c r="AJ1257" i="16"/>
  <c r="AE1257" i="16"/>
  <c r="AG1257" i="16"/>
  <c r="AH1257" i="16"/>
  <c r="AC1257" i="16"/>
  <c r="AI1257" i="16"/>
  <c r="AF1253" i="16"/>
  <c r="AE1253" i="16"/>
  <c r="AG1253" i="16"/>
  <c r="AC1253" i="16"/>
  <c r="AI1253" i="16"/>
  <c r="AH1253" i="16"/>
  <c r="AD1253" i="16"/>
  <c r="AF1249" i="16"/>
  <c r="AJ1249" i="16"/>
  <c r="AE1249" i="16"/>
  <c r="AC1249" i="16"/>
  <c r="AI1249" i="16"/>
  <c r="AG1249" i="16"/>
  <c r="AH1249" i="16"/>
  <c r="AF1245" i="16"/>
  <c r="AJ1245" i="16"/>
  <c r="AE1245" i="16"/>
  <c r="AG1245" i="16"/>
  <c r="AI1245" i="16"/>
  <c r="AH1245" i="16"/>
  <c r="AC1245" i="16"/>
  <c r="AF1241" i="16"/>
  <c r="AJ1241" i="16"/>
  <c r="AE1241" i="16"/>
  <c r="AC1241" i="16"/>
  <c r="AI1241" i="16"/>
  <c r="AG1241" i="16"/>
  <c r="AH1241" i="16"/>
  <c r="AF1237" i="16"/>
  <c r="AJ1237" i="16"/>
  <c r="AE1237" i="16"/>
  <c r="AG1237" i="16"/>
  <c r="AH1237" i="16"/>
  <c r="AI1237" i="16"/>
  <c r="AC1237" i="16"/>
  <c r="AF1229" i="16"/>
  <c r="AJ1229" i="16"/>
  <c r="AE1229" i="16"/>
  <c r="AH1229" i="16"/>
  <c r="AI1229" i="16"/>
  <c r="AG1229" i="16"/>
  <c r="AC1229" i="16"/>
  <c r="AF1225" i="16"/>
  <c r="AJ1225" i="16"/>
  <c r="AE1225" i="16"/>
  <c r="AH1225" i="16"/>
  <c r="AC1225" i="16"/>
  <c r="AD1225" i="16"/>
  <c r="AG1225" i="16"/>
  <c r="AF1217" i="16"/>
  <c r="AJ1217" i="16"/>
  <c r="AC1217" i="16"/>
  <c r="AH1217" i="16"/>
  <c r="AG1217" i="16"/>
  <c r="AI1217" i="16"/>
  <c r="AE1217" i="16"/>
  <c r="AF1213" i="16"/>
  <c r="AJ1213" i="16"/>
  <c r="AC1213" i="16"/>
  <c r="AH1213" i="16"/>
  <c r="AD1213" i="16"/>
  <c r="AG1213" i="16"/>
  <c r="AI1213" i="16"/>
  <c r="AF1209" i="16"/>
  <c r="AJ1209" i="16"/>
  <c r="AC1209" i="16"/>
  <c r="AH1209" i="16"/>
  <c r="AG1209" i="16"/>
  <c r="AI1209" i="16"/>
  <c r="AE1209" i="16"/>
  <c r="AF1205" i="16"/>
  <c r="AJ1205" i="16"/>
  <c r="AE1205" i="16"/>
  <c r="AC1205" i="16"/>
  <c r="AI1205" i="16"/>
  <c r="AH1205" i="16"/>
  <c r="AG1205" i="16"/>
  <c r="AF1201" i="16"/>
  <c r="AJ1201" i="16"/>
  <c r="AG1201" i="16"/>
  <c r="AH1201" i="16"/>
  <c r="AC1201" i="16"/>
  <c r="AD1201" i="16"/>
  <c r="AI1201" i="16"/>
  <c r="AF1197" i="16"/>
  <c r="AJ1197" i="16"/>
  <c r="AE1197" i="16"/>
  <c r="AC1197" i="16"/>
  <c r="AI1197" i="16"/>
  <c r="AH1197" i="16"/>
  <c r="AG1197" i="16"/>
  <c r="AF1193" i="16"/>
  <c r="AJ1193" i="16"/>
  <c r="AC1193" i="16"/>
  <c r="AH1193" i="16"/>
  <c r="AE1193" i="16"/>
  <c r="AG1193" i="16"/>
  <c r="AI1193" i="16"/>
  <c r="AC1189" i="16"/>
  <c r="AG1189" i="16"/>
  <c r="AE1189" i="16"/>
  <c r="AF1189" i="16"/>
  <c r="AH1189" i="16"/>
  <c r="AJ1189" i="16"/>
  <c r="AD1189" i="16"/>
  <c r="AC1185" i="16"/>
  <c r="AG1185" i="16"/>
  <c r="AH1185" i="16"/>
  <c r="AE1185" i="16"/>
  <c r="AI1185" i="16"/>
  <c r="AF1185" i="16"/>
  <c r="AJ1185" i="16"/>
  <c r="AG1181" i="16"/>
  <c r="AD1181" i="16"/>
  <c r="AH1181" i="16"/>
  <c r="AE1181" i="16"/>
  <c r="AI1181" i="16"/>
  <c r="AF1181" i="16"/>
  <c r="AJ1181" i="16"/>
  <c r="AC1177" i="16"/>
  <c r="AG1177" i="16"/>
  <c r="AD1177" i="16"/>
  <c r="AH1177" i="16"/>
  <c r="AE1177" i="16"/>
  <c r="AI1177" i="16"/>
  <c r="AJ1177" i="16"/>
  <c r="AC1173" i="16"/>
  <c r="AG1173" i="16"/>
  <c r="AH1173" i="16"/>
  <c r="AE1173" i="16"/>
  <c r="AI1173" i="16"/>
  <c r="AF1173" i="16"/>
  <c r="AJ1173" i="16"/>
  <c r="AC1161" i="16"/>
  <c r="AG1161" i="16"/>
  <c r="AD1161" i="16"/>
  <c r="AH1161" i="16"/>
  <c r="AE1161" i="16"/>
  <c r="AI1161" i="16"/>
  <c r="AF1161" i="16"/>
  <c r="AC1145" i="16"/>
  <c r="AG1145" i="16"/>
  <c r="AD1145" i="16"/>
  <c r="AE1145" i="16"/>
  <c r="AI1145" i="16"/>
  <c r="AF1145" i="16"/>
  <c r="AJ1145" i="16"/>
  <c r="AC1141" i="16"/>
  <c r="AG1141" i="16"/>
  <c r="AD1141" i="16"/>
  <c r="AE1141" i="16"/>
  <c r="AI1141" i="16"/>
  <c r="AF1141" i="16"/>
  <c r="AJ1141" i="16"/>
  <c r="AC1133" i="16"/>
  <c r="AD1133" i="16"/>
  <c r="AH1133" i="16"/>
  <c r="AE1133" i="16"/>
  <c r="AI1133" i="16"/>
  <c r="AJ1133" i="16"/>
  <c r="AF1133" i="16"/>
  <c r="AC1129" i="16"/>
  <c r="AD1129" i="16"/>
  <c r="AH1129" i="16"/>
  <c r="AE1129" i="16"/>
  <c r="AI1129" i="16"/>
  <c r="AF1129" i="16"/>
  <c r="AJ1129" i="16"/>
  <c r="AG1120" i="16"/>
  <c r="AD1120" i="16"/>
  <c r="AH1120" i="16"/>
  <c r="AE1120" i="16"/>
  <c r="AI1120" i="16"/>
  <c r="AF1120" i="16"/>
  <c r="AJ1120" i="16"/>
  <c r="AD1434" i="16"/>
  <c r="AE1434" i="16"/>
  <c r="AI1434" i="16"/>
  <c r="AF1434" i="16"/>
  <c r="AG1434" i="16"/>
  <c r="AJ1434" i="16"/>
  <c r="AC1434" i="16"/>
  <c r="AH1418" i="16"/>
  <c r="AE1418" i="16"/>
  <c r="AI1418" i="16"/>
  <c r="AF1418" i="16"/>
  <c r="AG1418" i="16"/>
  <c r="AJ1418" i="16"/>
  <c r="AC1418" i="16"/>
  <c r="AG1402" i="16"/>
  <c r="AC1402" i="16"/>
  <c r="AI1402" i="16"/>
  <c r="AD1402" i="16"/>
  <c r="AF1402" i="16"/>
  <c r="AE1402" i="16"/>
  <c r="AJ1402" i="16"/>
  <c r="AF1398" i="16"/>
  <c r="AD1398" i="16"/>
  <c r="AI1398" i="16"/>
  <c r="AE1398" i="16"/>
  <c r="AG1398" i="16"/>
  <c r="AH1398" i="16"/>
  <c r="AC1398" i="16"/>
  <c r="AD1386" i="16"/>
  <c r="AH1386" i="16"/>
  <c r="AI1386" i="16"/>
  <c r="AE1386" i="16"/>
  <c r="AF1386" i="16"/>
  <c r="AG1386" i="16"/>
  <c r="AJ1386" i="16"/>
  <c r="AH1382" i="16"/>
  <c r="AC1382" i="16"/>
  <c r="AI1382" i="16"/>
  <c r="AG1382" i="16"/>
  <c r="AJ1382" i="16"/>
  <c r="AF1382" i="16"/>
  <c r="AE1382" i="16"/>
  <c r="AD1358" i="16"/>
  <c r="AH1358" i="16"/>
  <c r="AC1358" i="16"/>
  <c r="AI1358" i="16"/>
  <c r="AG1358" i="16"/>
  <c r="AE1358" i="16"/>
  <c r="AF1358" i="16"/>
  <c r="AH1346" i="16"/>
  <c r="AC1346" i="16"/>
  <c r="AI1346" i="16"/>
  <c r="AJ1346" i="16"/>
  <c r="AE1346" i="16"/>
  <c r="AF1346" i="16"/>
  <c r="AG1346" i="16"/>
  <c r="AI1334" i="16"/>
  <c r="AE1334" i="16"/>
  <c r="AF1334" i="16"/>
  <c r="AG1334" i="16"/>
  <c r="AJ1334" i="16"/>
  <c r="AD1334" i="16"/>
  <c r="AH1334" i="16"/>
  <c r="AH1318" i="16"/>
  <c r="AG1318" i="16"/>
  <c r="AF1318" i="16"/>
  <c r="AC1318" i="16"/>
  <c r="AI1318" i="16"/>
  <c r="AJ1318" i="16"/>
  <c r="AE1318" i="16"/>
  <c r="AD1302" i="16"/>
  <c r="AH1302" i="16"/>
  <c r="AG1302" i="16"/>
  <c r="AF1302" i="16"/>
  <c r="AC1302" i="16"/>
  <c r="AI1302" i="16"/>
  <c r="AE1302" i="16"/>
  <c r="AH1286" i="16"/>
  <c r="AE1286" i="16"/>
  <c r="AJ1286" i="16"/>
  <c r="AC1286" i="16"/>
  <c r="AI1286" i="16"/>
  <c r="AF1286" i="16"/>
  <c r="AG1286" i="16"/>
  <c r="AF1234" i="16"/>
  <c r="AJ1234" i="16"/>
  <c r="AC1234" i="16"/>
  <c r="AH1234" i="16"/>
  <c r="AI1234" i="16"/>
  <c r="AG1234" i="16"/>
  <c r="AE1234" i="16"/>
  <c r="AF1230" i="16"/>
  <c r="AC1230" i="16"/>
  <c r="AH1230" i="16"/>
  <c r="AD1230" i="16"/>
  <c r="AI1230" i="16"/>
  <c r="AE1230" i="16"/>
  <c r="AG1230" i="16"/>
  <c r="AF1226" i="16"/>
  <c r="AJ1226" i="16"/>
  <c r="AC1226" i="16"/>
  <c r="AH1226" i="16"/>
  <c r="AG1226" i="16"/>
  <c r="AD1226" i="16"/>
  <c r="AI1226" i="16"/>
  <c r="AF1210" i="16"/>
  <c r="AJ1210" i="16"/>
  <c r="AE1210" i="16"/>
  <c r="AI1210" i="16"/>
  <c r="AC1210" i="16"/>
  <c r="AD1210" i="16"/>
  <c r="AH1210" i="16"/>
  <c r="AF1206" i="16"/>
  <c r="AC1206" i="16"/>
  <c r="AH1206" i="16"/>
  <c r="AI1206" i="16"/>
  <c r="AE1206" i="16"/>
  <c r="AD1206" i="16"/>
  <c r="AG1206" i="16"/>
  <c r="AC1190" i="16"/>
  <c r="AG1190" i="16"/>
  <c r="AE1190" i="16"/>
  <c r="AI1190" i="16"/>
  <c r="AF1190" i="16"/>
  <c r="AJ1190" i="16"/>
  <c r="AH1190" i="16"/>
  <c r="AC1174" i="16"/>
  <c r="AG1174" i="16"/>
  <c r="AD1174" i="16"/>
  <c r="AE1174" i="16"/>
  <c r="AI1174" i="16"/>
  <c r="AF1174" i="16"/>
  <c r="AJ1174" i="16"/>
  <c r="AC1158" i="16"/>
  <c r="AD1158" i="16"/>
  <c r="AH1158" i="16"/>
  <c r="AE1158" i="16"/>
  <c r="AI1158" i="16"/>
  <c r="AF1158" i="16"/>
  <c r="AJ1158" i="16"/>
  <c r="AC1142" i="16"/>
  <c r="AG1142" i="16"/>
  <c r="AD1142" i="16"/>
  <c r="AH1142" i="16"/>
  <c r="AE1142" i="16"/>
  <c r="AI1142" i="16"/>
  <c r="AF1142" i="16"/>
  <c r="AE1484" i="16"/>
  <c r="AI1484" i="16"/>
  <c r="AH1484" i="16"/>
  <c r="AJ1484" i="16"/>
  <c r="AC1484" i="16"/>
  <c r="AG1484" i="16"/>
  <c r="AD1484" i="16"/>
  <c r="AE1480" i="16"/>
  <c r="AH1480" i="16"/>
  <c r="AF1480" i="16"/>
  <c r="AJ1480" i="16"/>
  <c r="AC1480" i="16"/>
  <c r="AG1480" i="16"/>
  <c r="AD1480" i="16"/>
  <c r="AE1476" i="16"/>
  <c r="AI1476" i="16"/>
  <c r="AD1476" i="16"/>
  <c r="AF1476" i="16"/>
  <c r="AJ1476" i="16"/>
  <c r="AC1476" i="16"/>
  <c r="AH1476" i="16"/>
  <c r="AE1472" i="16"/>
  <c r="AI1472" i="16"/>
  <c r="AC1472" i="16"/>
  <c r="AH1472" i="16"/>
  <c r="AF1472" i="16"/>
  <c r="AJ1472" i="16"/>
  <c r="AG1472" i="16"/>
  <c r="AH1464" i="16"/>
  <c r="AE1464" i="16"/>
  <c r="AI1464" i="16"/>
  <c r="AF1464" i="16"/>
  <c r="AJ1464" i="16"/>
  <c r="AC1464" i="16"/>
  <c r="AG1464" i="16"/>
  <c r="AD1456" i="16"/>
  <c r="AE1456" i="16"/>
  <c r="AI1456" i="16"/>
  <c r="AF1456" i="16"/>
  <c r="AJ1456" i="16"/>
  <c r="AG1456" i="16"/>
  <c r="AC1456" i="16"/>
  <c r="AD1452" i="16"/>
  <c r="AH1452" i="16"/>
  <c r="AE1452" i="16"/>
  <c r="AI1452" i="16"/>
  <c r="AF1452" i="16"/>
  <c r="AC1452" i="16"/>
  <c r="AG1452" i="16"/>
  <c r="AD1448" i="16"/>
  <c r="AH1448" i="16"/>
  <c r="AE1448" i="16"/>
  <c r="AI1448" i="16"/>
  <c r="AJ1448" i="16"/>
  <c r="AC1448" i="16"/>
  <c r="AG1448" i="16"/>
  <c r="AH1444" i="16"/>
  <c r="AE1444" i="16"/>
  <c r="AI1444" i="16"/>
  <c r="AF1444" i="16"/>
  <c r="AG1444" i="16"/>
  <c r="AJ1444" i="16"/>
  <c r="AC1444" i="16"/>
  <c r="AH1432" i="16"/>
  <c r="AE1432" i="16"/>
  <c r="AI1432" i="16"/>
  <c r="AF1432" i="16"/>
  <c r="AG1432" i="16"/>
  <c r="AJ1432" i="16"/>
  <c r="AC1432" i="16"/>
  <c r="AH1428" i="16"/>
  <c r="AE1428" i="16"/>
  <c r="AI1428" i="16"/>
  <c r="AF1428" i="16"/>
  <c r="AJ1428" i="16"/>
  <c r="AC1428" i="16"/>
  <c r="AG1428" i="16"/>
  <c r="AD1424" i="16"/>
  <c r="AH1424" i="16"/>
  <c r="AE1424" i="16"/>
  <c r="AI1424" i="16"/>
  <c r="AF1424" i="16"/>
  <c r="AC1424" i="16"/>
  <c r="AG1424" i="16"/>
  <c r="AH1420" i="16"/>
  <c r="AE1420" i="16"/>
  <c r="AI1420" i="16"/>
  <c r="AF1420" i="16"/>
  <c r="AG1420" i="16"/>
  <c r="AJ1420" i="16"/>
  <c r="AC1420" i="16"/>
  <c r="AH1416" i="16"/>
  <c r="AE1416" i="16"/>
  <c r="AI1416" i="16"/>
  <c r="AF1416" i="16"/>
  <c r="AG1416" i="16"/>
  <c r="AJ1416" i="16"/>
  <c r="AC1416" i="16"/>
  <c r="AD1412" i="16"/>
  <c r="AH1412" i="16"/>
  <c r="AE1412" i="16"/>
  <c r="AI1412" i="16"/>
  <c r="AF1412" i="16"/>
  <c r="AG1412" i="16"/>
  <c r="AC1412" i="16"/>
  <c r="AD1408" i="16"/>
  <c r="AH1408" i="16"/>
  <c r="AE1408" i="16"/>
  <c r="AI1408" i="16"/>
  <c r="AF1408" i="16"/>
  <c r="AG1408" i="16"/>
  <c r="AC1408" i="16"/>
  <c r="AF1404" i="16"/>
  <c r="AG1404" i="16"/>
  <c r="AC1404" i="16"/>
  <c r="AH1404" i="16"/>
  <c r="AI1404" i="16"/>
  <c r="AD1404" i="16"/>
  <c r="AE1404" i="16"/>
  <c r="AF1400" i="16"/>
  <c r="AD1400" i="16"/>
  <c r="AI1400" i="16"/>
  <c r="AE1400" i="16"/>
  <c r="AH1400" i="16"/>
  <c r="AC1400" i="16"/>
  <c r="AG1400" i="16"/>
  <c r="AF1396" i="16"/>
  <c r="AD1396" i="16"/>
  <c r="AI1396" i="16"/>
  <c r="AE1396" i="16"/>
  <c r="AC1396" i="16"/>
  <c r="AG1396" i="16"/>
  <c r="AH1396" i="16"/>
  <c r="AF1392" i="16"/>
  <c r="AJ1392" i="16"/>
  <c r="AD1392" i="16"/>
  <c r="AI1392" i="16"/>
  <c r="AE1392" i="16"/>
  <c r="AG1392" i="16"/>
  <c r="AH1392" i="16"/>
  <c r="AF1388" i="16"/>
  <c r="AG1388" i="16"/>
  <c r="AC1388" i="16"/>
  <c r="AH1388" i="16"/>
  <c r="AD1388" i="16"/>
  <c r="AE1388" i="16"/>
  <c r="AI1388" i="16"/>
  <c r="AD1384" i="16"/>
  <c r="AH1384" i="16"/>
  <c r="AI1384" i="16"/>
  <c r="AF1384" i="16"/>
  <c r="AG1384" i="16"/>
  <c r="AJ1384" i="16"/>
  <c r="AE1384" i="16"/>
  <c r="AD1380" i="16"/>
  <c r="AH1380" i="16"/>
  <c r="AC1380" i="16"/>
  <c r="AI1380" i="16"/>
  <c r="AE1380" i="16"/>
  <c r="AF1380" i="16"/>
  <c r="AG1380" i="16"/>
  <c r="AD1376" i="16"/>
  <c r="AH1376" i="16"/>
  <c r="AC1376" i="16"/>
  <c r="AI1376" i="16"/>
  <c r="AE1376" i="16"/>
  <c r="AF1376" i="16"/>
  <c r="AG1376" i="16"/>
  <c r="AD1372" i="16"/>
  <c r="AH1372" i="16"/>
  <c r="AI1372" i="16"/>
  <c r="AF1372" i="16"/>
  <c r="AE1372" i="16"/>
  <c r="AG1372" i="16"/>
  <c r="AJ1372" i="16"/>
  <c r="AD1368" i="16"/>
  <c r="AH1368" i="16"/>
  <c r="AF1368" i="16"/>
  <c r="AI1368" i="16"/>
  <c r="AC1368" i="16"/>
  <c r="AG1368" i="16"/>
  <c r="AE1368" i="16"/>
  <c r="AH1364" i="16"/>
  <c r="AC1364" i="16"/>
  <c r="AI1364" i="16"/>
  <c r="AE1364" i="16"/>
  <c r="AF1364" i="16"/>
  <c r="AG1364" i="16"/>
  <c r="AJ1364" i="16"/>
  <c r="AH1360" i="16"/>
  <c r="AC1360" i="16"/>
  <c r="AI1360" i="16"/>
  <c r="AG1360" i="16"/>
  <c r="AJ1360" i="16"/>
  <c r="AE1360" i="16"/>
  <c r="AF1360" i="16"/>
  <c r="AD1356" i="16"/>
  <c r="AH1356" i="16"/>
  <c r="AI1356" i="16"/>
  <c r="AG1356" i="16"/>
  <c r="AJ1356" i="16"/>
  <c r="AE1356" i="16"/>
  <c r="AF1356" i="16"/>
  <c r="AD1352" i="16"/>
  <c r="AH1352" i="16"/>
  <c r="AC1352" i="16"/>
  <c r="AI1352" i="16"/>
  <c r="AE1352" i="16"/>
  <c r="AF1352" i="16"/>
  <c r="AG1352" i="16"/>
  <c r="AH1348" i="16"/>
  <c r="AC1348" i="16"/>
  <c r="AI1348" i="16"/>
  <c r="AG1348" i="16"/>
  <c r="AF1348" i="16"/>
  <c r="AJ1348" i="16"/>
  <c r="AE1348" i="16"/>
  <c r="AH1344" i="16"/>
  <c r="AC1344" i="16"/>
  <c r="AI1344" i="16"/>
  <c r="AE1344" i="16"/>
  <c r="AJ1344" i="16"/>
  <c r="AF1344" i="16"/>
  <c r="AG1344" i="16"/>
  <c r="AD1340" i="16"/>
  <c r="AH1340" i="16"/>
  <c r="AC1340" i="16"/>
  <c r="AI1340" i="16"/>
  <c r="AE1340" i="16"/>
  <c r="AF1340" i="16"/>
  <c r="AJ1340" i="16"/>
  <c r="AH1336" i="16"/>
  <c r="AE1336" i="16"/>
  <c r="AJ1336" i="16"/>
  <c r="AC1336" i="16"/>
  <c r="AI1336" i="16"/>
  <c r="AF1336" i="16"/>
  <c r="AG1336" i="16"/>
  <c r="AD1332" i="16"/>
  <c r="AG1332" i="16"/>
  <c r="AF1332" i="16"/>
  <c r="AI1332" i="16"/>
  <c r="AJ1332" i="16"/>
  <c r="AC1332" i="16"/>
  <c r="AE1332" i="16"/>
  <c r="AH1328" i="16"/>
  <c r="AG1328" i="16"/>
  <c r="AF1328" i="16"/>
  <c r="AI1328" i="16"/>
  <c r="AC1328" i="16"/>
  <c r="AE1328" i="16"/>
  <c r="AJ1328" i="16"/>
  <c r="AH1324" i="16"/>
  <c r="AG1324" i="16"/>
  <c r="AF1324" i="16"/>
  <c r="AI1324" i="16"/>
  <c r="AC1324" i="16"/>
  <c r="AE1324" i="16"/>
  <c r="AJ1324" i="16"/>
  <c r="AH1320" i="16"/>
  <c r="AG1320" i="16"/>
  <c r="AF1320" i="16"/>
  <c r="AI1320" i="16"/>
  <c r="AE1320" i="16"/>
  <c r="AJ1320" i="16"/>
  <c r="AC1320" i="16"/>
  <c r="AH1316" i="16"/>
  <c r="AG1316" i="16"/>
  <c r="AF1316" i="16"/>
  <c r="AI1316" i="16"/>
  <c r="AJ1316" i="16"/>
  <c r="AE1316" i="16"/>
  <c r="AC1316" i="16"/>
  <c r="AD1312" i="16"/>
  <c r="AH1312" i="16"/>
  <c r="AG1312" i="16"/>
  <c r="AF1312" i="16"/>
  <c r="AI1312" i="16"/>
  <c r="AC1312" i="16"/>
  <c r="AE1312" i="16"/>
  <c r="AH1308" i="16"/>
  <c r="AG1308" i="16"/>
  <c r="AF1308" i="16"/>
  <c r="AI1308" i="16"/>
  <c r="AC1308" i="16"/>
  <c r="AE1308" i="16"/>
  <c r="AJ1308" i="16"/>
  <c r="AH1304" i="16"/>
  <c r="AG1304" i="16"/>
  <c r="AF1304" i="16"/>
  <c r="AI1304" i="16"/>
  <c r="AE1304" i="16"/>
  <c r="AJ1304" i="16"/>
  <c r="AC1304" i="16"/>
  <c r="AD1300" i="16"/>
  <c r="AG1300" i="16"/>
  <c r="AF1300" i="16"/>
  <c r="AI1300" i="16"/>
  <c r="AJ1300" i="16"/>
  <c r="AC1300" i="16"/>
  <c r="AE1300" i="16"/>
  <c r="AD1292" i="16"/>
  <c r="AH1292" i="16"/>
  <c r="AE1292" i="16"/>
  <c r="AJ1292" i="16"/>
  <c r="AC1292" i="16"/>
  <c r="AI1292" i="16"/>
  <c r="AF1292" i="16"/>
  <c r="AH1288" i="16"/>
  <c r="AE1288" i="16"/>
  <c r="AJ1288" i="16"/>
  <c r="AC1288" i="16"/>
  <c r="AI1288" i="16"/>
  <c r="AF1288" i="16"/>
  <c r="AG1288" i="16"/>
  <c r="AD1284" i="16"/>
  <c r="AH1284" i="16"/>
  <c r="AE1284" i="16"/>
  <c r="AJ1284" i="16"/>
  <c r="AC1284" i="16"/>
  <c r="AI1284" i="16"/>
  <c r="AF1284" i="16"/>
  <c r="AD1280" i="16"/>
  <c r="AH1280" i="16"/>
  <c r="AF1280" i="16"/>
  <c r="AG1280" i="16"/>
  <c r="AE1280" i="16"/>
  <c r="AI1280" i="16"/>
  <c r="AJ1280" i="16"/>
  <c r="AH1276" i="16"/>
  <c r="AF1276" i="16"/>
  <c r="AC1276" i="16"/>
  <c r="AJ1276" i="16"/>
  <c r="AI1276" i="16"/>
  <c r="AE1276" i="16"/>
  <c r="AG1276" i="16"/>
  <c r="AF1272" i="16"/>
  <c r="AJ1272" i="16"/>
  <c r="AC1272" i="16"/>
  <c r="AH1272" i="16"/>
  <c r="AG1272" i="16"/>
  <c r="AI1272" i="16"/>
  <c r="AE1272" i="16"/>
  <c r="AF1264" i="16"/>
  <c r="AJ1264" i="16"/>
  <c r="AC1264" i="16"/>
  <c r="AH1264" i="16"/>
  <c r="AE1264" i="16"/>
  <c r="AI1264" i="16"/>
  <c r="AG1264" i="16"/>
  <c r="AF1260" i="16"/>
  <c r="AJ1260" i="16"/>
  <c r="AC1260" i="16"/>
  <c r="AH1260" i="16"/>
  <c r="AI1260" i="16"/>
  <c r="AG1260" i="16"/>
  <c r="AE1260" i="16"/>
  <c r="AF1252" i="16"/>
  <c r="AJ1252" i="16"/>
  <c r="AC1252" i="16"/>
  <c r="AH1252" i="16"/>
  <c r="AG1252" i="16"/>
  <c r="AE1252" i="16"/>
  <c r="AI1252" i="16"/>
  <c r="AF1248" i="16"/>
  <c r="AJ1248" i="16"/>
  <c r="AC1248" i="16"/>
  <c r="AH1248" i="16"/>
  <c r="AE1248" i="16"/>
  <c r="AI1248" i="16"/>
  <c r="AG1248" i="16"/>
  <c r="AF1244" i="16"/>
  <c r="AJ1244" i="16"/>
  <c r="AC1244" i="16"/>
  <c r="AH1244" i="16"/>
  <c r="AG1244" i="16"/>
  <c r="AE1244" i="16"/>
  <c r="AD1244" i="16"/>
  <c r="AF1240" i="16"/>
  <c r="AJ1240" i="16"/>
  <c r="AC1240" i="16"/>
  <c r="AH1240" i="16"/>
  <c r="AI1240" i="16"/>
  <c r="AE1240" i="16"/>
  <c r="AG1240" i="16"/>
  <c r="AF1236" i="16"/>
  <c r="AJ1236" i="16"/>
  <c r="AC1236" i="16"/>
  <c r="AH1236" i="16"/>
  <c r="AG1236" i="16"/>
  <c r="AE1236" i="16"/>
  <c r="AI1236" i="16"/>
  <c r="AF1228" i="16"/>
  <c r="AJ1228" i="16"/>
  <c r="AC1228" i="16"/>
  <c r="AH1228" i="16"/>
  <c r="AE1228" i="16"/>
  <c r="AG1228" i="16"/>
  <c r="AI1228" i="16"/>
  <c r="AF1224" i="16"/>
  <c r="AJ1224" i="16"/>
  <c r="AC1224" i="16"/>
  <c r="AH1224" i="16"/>
  <c r="AI1224" i="16"/>
  <c r="AG1224" i="16"/>
  <c r="AE1224" i="16"/>
  <c r="AF1220" i="16"/>
  <c r="AJ1220" i="16"/>
  <c r="AE1220" i="16"/>
  <c r="AD1220" i="16"/>
  <c r="AG1220" i="16"/>
  <c r="AI1220" i="16"/>
  <c r="AH1220" i="16"/>
  <c r="AF1216" i="16"/>
  <c r="AJ1216" i="16"/>
  <c r="AE1216" i="16"/>
  <c r="AH1216" i="16"/>
  <c r="AI1216" i="16"/>
  <c r="AC1216" i="16"/>
  <c r="AG1216" i="16"/>
  <c r="AF1212" i="16"/>
  <c r="AJ1212" i="16"/>
  <c r="AE1212" i="16"/>
  <c r="AD1212" i="16"/>
  <c r="AC1212" i="16"/>
  <c r="AH1212" i="16"/>
  <c r="AG1212" i="16"/>
  <c r="AF1204" i="16"/>
  <c r="AJ1204" i="16"/>
  <c r="AC1204" i="16"/>
  <c r="AH1204" i="16"/>
  <c r="AE1204" i="16"/>
  <c r="AG1204" i="16"/>
  <c r="AI1204" i="16"/>
  <c r="AF1200" i="16"/>
  <c r="AJ1200" i="16"/>
  <c r="AC1200" i="16"/>
  <c r="AH1200" i="16"/>
  <c r="AG1200" i="16"/>
  <c r="AE1200" i="16"/>
  <c r="AD1200" i="16"/>
  <c r="AC1192" i="16"/>
  <c r="AE1192" i="16"/>
  <c r="AF1192" i="16"/>
  <c r="AJ1192" i="16"/>
  <c r="AG1192" i="16"/>
  <c r="AH1192" i="16"/>
  <c r="AI1192" i="16"/>
  <c r="AC1188" i="16"/>
  <c r="AG1188" i="16"/>
  <c r="AD1188" i="16"/>
  <c r="AI1188" i="16"/>
  <c r="AF1188" i="16"/>
  <c r="AJ1188" i="16"/>
  <c r="AH1188" i="16"/>
  <c r="AC1184" i="16"/>
  <c r="AG1184" i="16"/>
  <c r="AH1184" i="16"/>
  <c r="AE1184" i="16"/>
  <c r="AI1184" i="16"/>
  <c r="AF1184" i="16"/>
  <c r="AJ1184" i="16"/>
  <c r="AC1180" i="16"/>
  <c r="AG1180" i="16"/>
  <c r="AD1180" i="16"/>
  <c r="AH1180" i="16"/>
  <c r="AE1180" i="16"/>
  <c r="AI1180" i="16"/>
  <c r="AF1180" i="16"/>
  <c r="AC1176" i="16"/>
  <c r="AD1176" i="16"/>
  <c r="AH1176" i="16"/>
  <c r="AE1176" i="16"/>
  <c r="AI1176" i="16"/>
  <c r="AF1176" i="16"/>
  <c r="AJ1176" i="16"/>
  <c r="AC1172" i="16"/>
  <c r="AD1172" i="16"/>
  <c r="AH1172" i="16"/>
  <c r="AE1172" i="16"/>
  <c r="AI1172" i="16"/>
  <c r="AF1172" i="16"/>
  <c r="AJ1172" i="16"/>
  <c r="AC1164" i="16"/>
  <c r="AG1164" i="16"/>
  <c r="AD1164" i="16"/>
  <c r="AE1164" i="16"/>
  <c r="AI1164" i="16"/>
  <c r="AF1164" i="16"/>
  <c r="AJ1164" i="16"/>
  <c r="AC1160" i="16"/>
  <c r="AG1160" i="16"/>
  <c r="AD1160" i="16"/>
  <c r="AH1160" i="16"/>
  <c r="AE1160" i="16"/>
  <c r="AJ1160" i="16"/>
  <c r="AF1160" i="16"/>
  <c r="AC1156" i="16"/>
  <c r="AG1156" i="16"/>
  <c r="AD1156" i="16"/>
  <c r="AE1156" i="16"/>
  <c r="AI1156" i="16"/>
  <c r="AF1156" i="16"/>
  <c r="AJ1156" i="16"/>
  <c r="AG1140" i="16"/>
  <c r="AD1140" i="16"/>
  <c r="AH1140" i="16"/>
  <c r="AE1140" i="16"/>
  <c r="AI1140" i="16"/>
  <c r="AF1140" i="16"/>
  <c r="AJ1140" i="16"/>
  <c r="AG1136" i="16"/>
  <c r="AD1136" i="16"/>
  <c r="AH1136" i="16"/>
  <c r="AE1136" i="16"/>
  <c r="AI1136" i="16"/>
  <c r="AF1136" i="16"/>
  <c r="AJ1136" i="16"/>
  <c r="AC1119" i="16"/>
  <c r="AG1119" i="16"/>
  <c r="AD1119" i="16"/>
  <c r="AH1119" i="16"/>
  <c r="AE1119" i="16"/>
  <c r="AI1119" i="16"/>
  <c r="AF1119" i="16"/>
  <c r="AE1478" i="16"/>
  <c r="AI1478" i="16"/>
  <c r="AG1478" i="16"/>
  <c r="AH1478" i="16"/>
  <c r="AF1478" i="16"/>
  <c r="AJ1478" i="16"/>
  <c r="AC1478" i="16"/>
  <c r="AE1474" i="16"/>
  <c r="AI1474" i="16"/>
  <c r="AC1474" i="16"/>
  <c r="AF1474" i="16"/>
  <c r="AJ1474" i="16"/>
  <c r="AG1474" i="16"/>
  <c r="AH1474" i="16"/>
  <c r="AE1470" i="16"/>
  <c r="AI1470" i="16"/>
  <c r="AC1470" i="16"/>
  <c r="AG1470" i="16"/>
  <c r="AD1470" i="16"/>
  <c r="AF1470" i="16"/>
  <c r="AJ1470" i="16"/>
  <c r="AD1414" i="16"/>
  <c r="AH1414" i="16"/>
  <c r="AE1414" i="16"/>
  <c r="AI1414" i="16"/>
  <c r="AF1414" i="16"/>
  <c r="AC1414" i="16"/>
  <c r="AG1414" i="16"/>
  <c r="AF1406" i="16"/>
  <c r="AG1406" i="16"/>
  <c r="AC1406" i="16"/>
  <c r="AH1406" i="16"/>
  <c r="AD1406" i="16"/>
  <c r="AE1406" i="16"/>
  <c r="AI1406" i="16"/>
  <c r="AD1378" i="16"/>
  <c r="AH1378" i="16"/>
  <c r="AC1378" i="16"/>
  <c r="AI1378" i="16"/>
  <c r="AE1378" i="16"/>
  <c r="AF1378" i="16"/>
  <c r="AG1378" i="16"/>
  <c r="AI1366" i="16"/>
  <c r="AE1366" i="16"/>
  <c r="AJ1366" i="16"/>
  <c r="AD1366" i="16"/>
  <c r="AF1366" i="16"/>
  <c r="AH1366" i="16"/>
  <c r="AG1366" i="16"/>
  <c r="AD1362" i="16"/>
  <c r="AH1362" i="16"/>
  <c r="AI1362" i="16"/>
  <c r="AF1362" i="16"/>
  <c r="AE1362" i="16"/>
  <c r="AJ1362" i="16"/>
  <c r="AG1362" i="16"/>
  <c r="AD1350" i="16"/>
  <c r="AH1350" i="16"/>
  <c r="AC1350" i="16"/>
  <c r="AI1350" i="16"/>
  <c r="AF1350" i="16"/>
  <c r="AE1350" i="16"/>
  <c r="AG1350" i="16"/>
  <c r="AH1338" i="16"/>
  <c r="AE1338" i="16"/>
  <c r="AC1338" i="16"/>
  <c r="AI1338" i="16"/>
  <c r="AJ1338" i="16"/>
  <c r="AF1338" i="16"/>
  <c r="AG1338" i="16"/>
  <c r="AD1326" i="16"/>
  <c r="AH1326" i="16"/>
  <c r="AG1326" i="16"/>
  <c r="AF1326" i="16"/>
  <c r="AC1326" i="16"/>
  <c r="AE1326" i="16"/>
  <c r="AI1326" i="16"/>
  <c r="AH1314" i="16"/>
  <c r="AG1314" i="16"/>
  <c r="AF1314" i="16"/>
  <c r="AC1314" i="16"/>
  <c r="AJ1314" i="16"/>
  <c r="AE1314" i="16"/>
  <c r="AI1314" i="16"/>
  <c r="AH1310" i="16"/>
  <c r="AG1310" i="16"/>
  <c r="AF1310" i="16"/>
  <c r="AC1310" i="16"/>
  <c r="AE1310" i="16"/>
  <c r="AI1310" i="16"/>
  <c r="AJ1310" i="16"/>
  <c r="AH1306" i="16"/>
  <c r="AG1306" i="16"/>
  <c r="AF1306" i="16"/>
  <c r="AC1306" i="16"/>
  <c r="AE1306" i="16"/>
  <c r="AI1306" i="16"/>
  <c r="AJ1306" i="16"/>
  <c r="AH1294" i="16"/>
  <c r="AE1294" i="16"/>
  <c r="AJ1294" i="16"/>
  <c r="AC1294" i="16"/>
  <c r="AI1294" i="16"/>
  <c r="AF1294" i="16"/>
  <c r="AG1294" i="16"/>
  <c r="AH1290" i="16"/>
  <c r="AE1290" i="16"/>
  <c r="AJ1290" i="16"/>
  <c r="AC1290" i="16"/>
  <c r="AI1290" i="16"/>
  <c r="AF1290" i="16"/>
  <c r="AG1290" i="16"/>
  <c r="AF1274" i="16"/>
  <c r="AC1274" i="16"/>
  <c r="AH1274" i="16"/>
  <c r="AE1274" i="16"/>
  <c r="AJ1274" i="16"/>
  <c r="AG1274" i="16"/>
  <c r="AI1274" i="16"/>
  <c r="AF1270" i="16"/>
  <c r="AJ1270" i="16"/>
  <c r="AC1270" i="16"/>
  <c r="AH1270" i="16"/>
  <c r="AI1270" i="16"/>
  <c r="AG1270" i="16"/>
  <c r="AE1270" i="16"/>
  <c r="AF1218" i="16"/>
  <c r="AJ1218" i="16"/>
  <c r="AE1218" i="16"/>
  <c r="AG1218" i="16"/>
  <c r="AC1218" i="16"/>
  <c r="AI1218" i="16"/>
  <c r="AH1218" i="16"/>
  <c r="AF1202" i="16"/>
  <c r="AJ1202" i="16"/>
  <c r="AC1202" i="16"/>
  <c r="AH1202" i="16"/>
  <c r="AE1202" i="16"/>
  <c r="AG1202" i="16"/>
  <c r="AD1202" i="16"/>
  <c r="AC1186" i="16"/>
  <c r="AG1186" i="16"/>
  <c r="AH1186" i="16"/>
  <c r="AE1186" i="16"/>
  <c r="AI1186" i="16"/>
  <c r="AF1186" i="16"/>
  <c r="AJ1186" i="16"/>
  <c r="AC1154" i="16"/>
  <c r="AD1154" i="16"/>
  <c r="AH1154" i="16"/>
  <c r="AE1154" i="16"/>
  <c r="AI1154" i="16"/>
  <c r="AF1154" i="16"/>
  <c r="AJ1154" i="16"/>
  <c r="AC1138" i="16"/>
  <c r="AG1138" i="16"/>
  <c r="AD1138" i="16"/>
  <c r="AH1138" i="16"/>
  <c r="AE1138" i="16"/>
  <c r="AI1138" i="16"/>
  <c r="AJ1138" i="16"/>
  <c r="AE1483" i="16"/>
  <c r="AI1483" i="16"/>
  <c r="AG1483" i="16"/>
  <c r="AH1483" i="16"/>
  <c r="AJ1483" i="16"/>
  <c r="AC1483" i="16"/>
  <c r="AD1483" i="16"/>
  <c r="AE1479" i="16"/>
  <c r="AI1479" i="16"/>
  <c r="AG1479" i="16"/>
  <c r="AH1479" i="16"/>
  <c r="AF1479" i="16"/>
  <c r="AJ1479" i="16"/>
  <c r="AC1479" i="16"/>
  <c r="AE1475" i="16"/>
  <c r="AI1475" i="16"/>
  <c r="AC1475" i="16"/>
  <c r="AF1475" i="16"/>
  <c r="AJ1475" i="16"/>
  <c r="AG1475" i="16"/>
  <c r="AH1475" i="16"/>
  <c r="AD1451" i="16"/>
  <c r="AH1451" i="16"/>
  <c r="AE1451" i="16"/>
  <c r="AF1451" i="16"/>
  <c r="AG1451" i="16"/>
  <c r="AJ1451" i="16"/>
  <c r="AC1451" i="16"/>
  <c r="AD1447" i="16"/>
  <c r="AH1447" i="16"/>
  <c r="AE1447" i="16"/>
  <c r="AI1447" i="16"/>
  <c r="AF1447" i="16"/>
  <c r="AJ1447" i="16"/>
  <c r="AC1447" i="16"/>
  <c r="AD1443" i="16"/>
  <c r="AH1443" i="16"/>
  <c r="AE1443" i="16"/>
  <c r="AI1443" i="16"/>
  <c r="AF1443" i="16"/>
  <c r="AJ1443" i="16"/>
  <c r="AC1443" i="16"/>
  <c r="AH1431" i="16"/>
  <c r="AE1431" i="16"/>
  <c r="AI1431" i="16"/>
  <c r="AF1431" i="16"/>
  <c r="AC1431" i="16"/>
  <c r="AG1431" i="16"/>
  <c r="AJ1431" i="16"/>
  <c r="AH1427" i="16"/>
  <c r="AE1427" i="16"/>
  <c r="AI1427" i="16"/>
  <c r="AF1427" i="16"/>
  <c r="AG1427" i="16"/>
  <c r="AJ1427" i="16"/>
  <c r="AC1427" i="16"/>
  <c r="AH1423" i="16"/>
  <c r="AE1423" i="16"/>
  <c r="AI1423" i="16"/>
  <c r="AF1423" i="16"/>
  <c r="AJ1423" i="16"/>
  <c r="AG1423" i="16"/>
  <c r="AC1423" i="16"/>
  <c r="AH1419" i="16"/>
  <c r="AE1419" i="16"/>
  <c r="AI1419" i="16"/>
  <c r="AF1419" i="16"/>
  <c r="AJ1419" i="16"/>
  <c r="AC1419" i="16"/>
  <c r="AG1419" i="16"/>
  <c r="AD1415" i="16"/>
  <c r="AH1415" i="16"/>
  <c r="AE1415" i="16"/>
  <c r="AI1415" i="16"/>
  <c r="AF1415" i="16"/>
  <c r="AG1415" i="16"/>
  <c r="AC1415" i="16"/>
  <c r="AD1411" i="16"/>
  <c r="AH1411" i="16"/>
  <c r="AE1411" i="16"/>
  <c r="AI1411" i="16"/>
  <c r="AF1411" i="16"/>
  <c r="AC1411" i="16"/>
  <c r="AG1411" i="16"/>
  <c r="AD1407" i="16"/>
  <c r="AH1407" i="16"/>
  <c r="AE1407" i="16"/>
  <c r="AI1407" i="16"/>
  <c r="AF1407" i="16"/>
  <c r="AC1407" i="16"/>
  <c r="AG1407" i="16"/>
  <c r="AF1399" i="16"/>
  <c r="AJ1399" i="16"/>
  <c r="AG1399" i="16"/>
  <c r="AH1399" i="16"/>
  <c r="AI1399" i="16"/>
  <c r="AD1399" i="16"/>
  <c r="AE1399" i="16"/>
  <c r="AF1395" i="16"/>
  <c r="AJ1395" i="16"/>
  <c r="AG1395" i="16"/>
  <c r="AC1395" i="16"/>
  <c r="AH1395" i="16"/>
  <c r="AI1395" i="16"/>
  <c r="AE1395" i="16"/>
  <c r="AF1391" i="16"/>
  <c r="AG1391" i="16"/>
  <c r="AC1391" i="16"/>
  <c r="AH1391" i="16"/>
  <c r="AI1391" i="16"/>
  <c r="AD1391" i="16"/>
  <c r="AE1391" i="16"/>
  <c r="AD1387" i="16"/>
  <c r="AJ1387" i="16"/>
  <c r="AC1387" i="16"/>
  <c r="AI1387" i="16"/>
  <c r="AE1387" i="16"/>
  <c r="AG1387" i="16"/>
  <c r="AH1387" i="16"/>
  <c r="AD1383" i="16"/>
  <c r="AH1383" i="16"/>
  <c r="AF1383" i="16"/>
  <c r="AG1383" i="16"/>
  <c r="AI1383" i="16"/>
  <c r="AC1383" i="16"/>
  <c r="AE1383" i="16"/>
  <c r="AD1379" i="16"/>
  <c r="AH1379" i="16"/>
  <c r="AF1379" i="16"/>
  <c r="AJ1379" i="16"/>
  <c r="AE1379" i="16"/>
  <c r="AG1379" i="16"/>
  <c r="AI1379" i="16"/>
  <c r="AH1375" i="16"/>
  <c r="AF1375" i="16"/>
  <c r="AC1375" i="16"/>
  <c r="AJ1375" i="16"/>
  <c r="AI1375" i="16"/>
  <c r="AE1375" i="16"/>
  <c r="AG1375" i="16"/>
  <c r="AD1371" i="16"/>
  <c r="AH1371" i="16"/>
  <c r="AF1371" i="16"/>
  <c r="AG1371" i="16"/>
  <c r="AC1371" i="16"/>
  <c r="AE1371" i="16"/>
  <c r="AI1371" i="16"/>
  <c r="AH1363" i="16"/>
  <c r="AF1363" i="16"/>
  <c r="AE1363" i="16"/>
  <c r="AC1363" i="16"/>
  <c r="AG1363" i="16"/>
  <c r="AI1363" i="16"/>
  <c r="AJ1363" i="16"/>
  <c r="AD1359" i="16"/>
  <c r="AH1359" i="16"/>
  <c r="AF1359" i="16"/>
  <c r="AI1359" i="16"/>
  <c r="AG1359" i="16"/>
  <c r="AJ1359" i="16"/>
  <c r="AE1359" i="16"/>
  <c r="AD1355" i="16"/>
  <c r="AH1355" i="16"/>
  <c r="AF1355" i="16"/>
  <c r="AI1355" i="16"/>
  <c r="AG1355" i="16"/>
  <c r="AC1355" i="16"/>
  <c r="AE1355" i="16"/>
  <c r="AD1351" i="16"/>
  <c r="AH1351" i="16"/>
  <c r="AF1351" i="16"/>
  <c r="AE1351" i="16"/>
  <c r="AJ1351" i="16"/>
  <c r="AG1351" i="16"/>
  <c r="AI1351" i="16"/>
  <c r="AH1347" i="16"/>
  <c r="AF1347" i="16"/>
  <c r="AI1347" i="16"/>
  <c r="AE1347" i="16"/>
  <c r="AG1347" i="16"/>
  <c r="AC1347" i="16"/>
  <c r="AJ1347" i="16"/>
  <c r="AH1343" i="16"/>
  <c r="AF1343" i="16"/>
  <c r="AE1343" i="16"/>
  <c r="AI1343" i="16"/>
  <c r="AJ1343" i="16"/>
  <c r="AG1343" i="16"/>
  <c r="AC1343" i="16"/>
  <c r="AH1339" i="16"/>
  <c r="AF1339" i="16"/>
  <c r="AI1339" i="16"/>
  <c r="AC1339" i="16"/>
  <c r="AE1339" i="16"/>
  <c r="AG1339" i="16"/>
  <c r="AJ1339" i="16"/>
  <c r="AD1331" i="16"/>
  <c r="AH1331" i="16"/>
  <c r="AE1331" i="16"/>
  <c r="AJ1331" i="16"/>
  <c r="AI1331" i="16"/>
  <c r="AF1331" i="16"/>
  <c r="AG1331" i="16"/>
  <c r="AD1327" i="16"/>
  <c r="AH1327" i="16"/>
  <c r="AE1327" i="16"/>
  <c r="AJ1327" i="16"/>
  <c r="AI1327" i="16"/>
  <c r="AF1327" i="16"/>
  <c r="AG1327" i="16"/>
  <c r="AH1323" i="16"/>
  <c r="AE1323" i="16"/>
  <c r="AJ1323" i="16"/>
  <c r="AC1323" i="16"/>
  <c r="AI1323" i="16"/>
  <c r="AF1323" i="16"/>
  <c r="AG1323" i="16"/>
  <c r="AD1319" i="16"/>
  <c r="AH1319" i="16"/>
  <c r="AJ1319" i="16"/>
  <c r="AC1319" i="16"/>
  <c r="AI1319" i="16"/>
  <c r="AF1319" i="16"/>
  <c r="AG1319" i="16"/>
  <c r="AH1315" i="16"/>
  <c r="AE1315" i="16"/>
  <c r="AJ1315" i="16"/>
  <c r="AC1315" i="16"/>
  <c r="AI1315" i="16"/>
  <c r="AF1315" i="16"/>
  <c r="AG1315" i="16"/>
  <c r="AH1311" i="16"/>
  <c r="AE1311" i="16"/>
  <c r="AJ1311" i="16"/>
  <c r="AC1311" i="16"/>
  <c r="AI1311" i="16"/>
  <c r="AF1311" i="16"/>
  <c r="AG1311" i="16"/>
  <c r="AH1307" i="16"/>
  <c r="AE1307" i="16"/>
  <c r="AJ1307" i="16"/>
  <c r="AC1307" i="16"/>
  <c r="AI1307" i="16"/>
  <c r="AF1307" i="16"/>
  <c r="AG1307" i="16"/>
  <c r="AD1303" i="16"/>
  <c r="AH1303" i="16"/>
  <c r="AE1303" i="16"/>
  <c r="AJ1303" i="16"/>
  <c r="AI1303" i="16"/>
  <c r="AF1303" i="16"/>
  <c r="AG1303" i="16"/>
  <c r="AD1299" i="16"/>
  <c r="AH1299" i="16"/>
  <c r="AE1299" i="16"/>
  <c r="AJ1299" i="16"/>
  <c r="AI1299" i="16"/>
  <c r="AF1299" i="16"/>
  <c r="AG1299" i="16"/>
  <c r="AD1295" i="16"/>
  <c r="AH1295" i="16"/>
  <c r="AG1295" i="16"/>
  <c r="AF1295" i="16"/>
  <c r="AI1295" i="16"/>
  <c r="AE1295" i="16"/>
  <c r="AJ1295" i="16"/>
  <c r="AD1291" i="16"/>
  <c r="AH1291" i="16"/>
  <c r="AG1291" i="16"/>
  <c r="AF1291" i="16"/>
  <c r="AI1291" i="16"/>
  <c r="AC1291" i="16"/>
  <c r="AE1291" i="16"/>
  <c r="AH1287" i="16"/>
  <c r="AG1287" i="16"/>
  <c r="AF1287" i="16"/>
  <c r="AI1287" i="16"/>
  <c r="AE1287" i="16"/>
  <c r="AJ1287" i="16"/>
  <c r="AC1287" i="16"/>
  <c r="AH1283" i="16"/>
  <c r="AC1283" i="16"/>
  <c r="AI1283" i="16"/>
  <c r="AF1283" i="16"/>
  <c r="AE1283" i="16"/>
  <c r="AG1283" i="16"/>
  <c r="AJ1283" i="16"/>
  <c r="AD1279" i="16"/>
  <c r="AH1279" i="16"/>
  <c r="AC1279" i="16"/>
  <c r="AI1279" i="16"/>
  <c r="AG1279" i="16"/>
  <c r="AF1279" i="16"/>
  <c r="AE1279" i="16"/>
  <c r="AH1275" i="16"/>
  <c r="AC1275" i="16"/>
  <c r="AI1275" i="16"/>
  <c r="AE1275" i="16"/>
  <c r="AJ1275" i="16"/>
  <c r="AF1275" i="16"/>
  <c r="AG1275" i="16"/>
  <c r="AF1271" i="16"/>
  <c r="AJ1271" i="16"/>
  <c r="AE1271" i="16"/>
  <c r="AH1271" i="16"/>
  <c r="AI1271" i="16"/>
  <c r="AD1271" i="16"/>
  <c r="AC1271" i="16"/>
  <c r="AF1263" i="16"/>
  <c r="AJ1263" i="16"/>
  <c r="AE1263" i="16"/>
  <c r="AG1263" i="16"/>
  <c r="AI1263" i="16"/>
  <c r="AH1263" i="16"/>
  <c r="AC1263" i="16"/>
  <c r="AF1259" i="16"/>
  <c r="AJ1259" i="16"/>
  <c r="AE1259" i="16"/>
  <c r="AC1259" i="16"/>
  <c r="AI1259" i="16"/>
  <c r="AH1259" i="16"/>
  <c r="AG1259" i="16"/>
  <c r="AF1251" i="16"/>
  <c r="AJ1251" i="16"/>
  <c r="AE1251" i="16"/>
  <c r="AH1251" i="16"/>
  <c r="AI1251" i="16"/>
  <c r="AC1251" i="16"/>
  <c r="AG1251" i="16"/>
  <c r="AF1247" i="16"/>
  <c r="AJ1247" i="16"/>
  <c r="AE1247" i="16"/>
  <c r="AC1247" i="16"/>
  <c r="AH1247" i="16"/>
  <c r="AG1247" i="16"/>
  <c r="AI1247" i="16"/>
  <c r="AF1243" i="16"/>
  <c r="AJ1243" i="16"/>
  <c r="AH1243" i="16"/>
  <c r="AG1243" i="16"/>
  <c r="AC1243" i="16"/>
  <c r="AD1243" i="16"/>
  <c r="AI1243" i="16"/>
  <c r="AF1239" i="16"/>
  <c r="AJ1239" i="16"/>
  <c r="AE1239" i="16"/>
  <c r="AD1239" i="16"/>
  <c r="AI1239" i="16"/>
  <c r="AH1239" i="16"/>
  <c r="AC1239" i="16"/>
  <c r="AF1235" i="16"/>
  <c r="AJ1235" i="16"/>
  <c r="AE1235" i="16"/>
  <c r="AH1235" i="16"/>
  <c r="AC1235" i="16"/>
  <c r="AG1235" i="16"/>
  <c r="AI1235" i="16"/>
  <c r="AF1231" i="16"/>
  <c r="AJ1231" i="16"/>
  <c r="AE1231" i="16"/>
  <c r="AI1231" i="16"/>
  <c r="AG1231" i="16"/>
  <c r="AD1231" i="16"/>
  <c r="AH1231" i="16"/>
  <c r="AF1227" i="16"/>
  <c r="AJ1227" i="16"/>
  <c r="AE1227" i="16"/>
  <c r="AG1227" i="16"/>
  <c r="AD1227" i="16"/>
  <c r="AC1227" i="16"/>
  <c r="AH1227" i="16"/>
  <c r="AF1223" i="16"/>
  <c r="AJ1223" i="16"/>
  <c r="AE1223" i="16"/>
  <c r="AC1223" i="16"/>
  <c r="AI1223" i="16"/>
  <c r="AH1223" i="16"/>
  <c r="AG1223" i="16"/>
  <c r="AF1219" i="16"/>
  <c r="AC1219" i="16"/>
  <c r="AH1219" i="16"/>
  <c r="AE1219" i="16"/>
  <c r="AD1219" i="16"/>
  <c r="AG1219" i="16"/>
  <c r="AI1219" i="16"/>
  <c r="AF1215" i="16"/>
  <c r="AJ1215" i="16"/>
  <c r="AC1215" i="16"/>
  <c r="AH1215" i="16"/>
  <c r="AI1215" i="16"/>
  <c r="AG1215" i="16"/>
  <c r="AE1215" i="16"/>
  <c r="AF1211" i="16"/>
  <c r="AJ1211" i="16"/>
  <c r="AC1211" i="16"/>
  <c r="AH1211" i="16"/>
  <c r="AE1211" i="16"/>
  <c r="AG1211" i="16"/>
  <c r="AI1211" i="16"/>
  <c r="AF1207" i="16"/>
  <c r="AJ1207" i="16"/>
  <c r="AE1207" i="16"/>
  <c r="AH1207" i="16"/>
  <c r="AG1207" i="16"/>
  <c r="AD1207" i="16"/>
  <c r="AI1207" i="16"/>
  <c r="AF1203" i="16"/>
  <c r="AJ1203" i="16"/>
  <c r="AE1203" i="16"/>
  <c r="AI1203" i="16"/>
  <c r="AH1203" i="16"/>
  <c r="AC1203" i="16"/>
  <c r="AG1203" i="16"/>
  <c r="AF1199" i="16"/>
  <c r="AJ1199" i="16"/>
  <c r="AE1199" i="16"/>
  <c r="AH1199" i="16"/>
  <c r="AD1199" i="16"/>
  <c r="AC1199" i="16"/>
  <c r="AI1199" i="16"/>
  <c r="AF1195" i="16"/>
  <c r="AJ1195" i="16"/>
  <c r="AH1195" i="16"/>
  <c r="AD1195" i="16"/>
  <c r="AI1195" i="16"/>
  <c r="AE1195" i="16"/>
  <c r="AG1195" i="16"/>
  <c r="AC1191" i="16"/>
  <c r="AG1191" i="16"/>
  <c r="AE1191" i="16"/>
  <c r="AI1191" i="16"/>
  <c r="AF1191" i="16"/>
  <c r="AJ1191" i="16"/>
  <c r="AH1191" i="16"/>
  <c r="AC1187" i="16"/>
  <c r="AG1187" i="16"/>
  <c r="AH1187" i="16"/>
  <c r="AE1187" i="16"/>
  <c r="AI1187" i="16"/>
  <c r="AJ1187" i="16"/>
  <c r="AF1187" i="16"/>
  <c r="AG1179" i="16"/>
  <c r="AD1179" i="16"/>
  <c r="AH1179" i="16"/>
  <c r="AE1179" i="16"/>
  <c r="AI1179" i="16"/>
  <c r="AJ1179" i="16"/>
  <c r="AF1179" i="16"/>
  <c r="AC1159" i="16"/>
  <c r="AG1159" i="16"/>
  <c r="AD1159" i="16"/>
  <c r="AH1159" i="16"/>
  <c r="AE1159" i="16"/>
  <c r="AI1159" i="16"/>
  <c r="AJ1159" i="16"/>
  <c r="AC1155" i="16"/>
  <c r="AG1155" i="16"/>
  <c r="AH1155" i="16"/>
  <c r="AE1155" i="16"/>
  <c r="AI1155" i="16"/>
  <c r="AJ1155" i="16"/>
  <c r="AF1155" i="16"/>
  <c r="AG1143" i="16"/>
  <c r="AD1143" i="16"/>
  <c r="AH1143" i="16"/>
  <c r="AE1143" i="16"/>
  <c r="AI1143" i="16"/>
  <c r="AF1143" i="16"/>
  <c r="AJ1143" i="16"/>
  <c r="AC1139" i="16"/>
  <c r="AG1139" i="16"/>
  <c r="AD1139" i="16"/>
  <c r="AH1139" i="16"/>
  <c r="AE1139" i="16"/>
  <c r="AF1139" i="16"/>
  <c r="AJ1139" i="16"/>
  <c r="AC1135" i="16"/>
  <c r="AG1135" i="16"/>
  <c r="AD1135" i="16"/>
  <c r="AH1135" i="16"/>
  <c r="AE1135" i="16"/>
  <c r="AI1135" i="16"/>
  <c r="AF1135" i="16"/>
  <c r="AC1131" i="16"/>
  <c r="AG1131" i="16"/>
  <c r="AH1131" i="16"/>
  <c r="AE1131" i="16"/>
  <c r="AI1131" i="16"/>
  <c r="AF1131" i="16"/>
  <c r="AJ1131" i="16"/>
  <c r="AD1487" i="16"/>
  <c r="AC1487" i="16"/>
  <c r="AJ1487" i="16"/>
  <c r="AF1487" i="16"/>
  <c r="AH1487" i="16"/>
  <c r="AG1487" i="16"/>
  <c r="AE1487" i="16"/>
  <c r="AD1367" i="16"/>
  <c r="AC1367" i="16"/>
  <c r="AJ1367" i="16"/>
  <c r="AI1367" i="16"/>
  <c r="AH1367" i="16"/>
  <c r="AF1367" i="16"/>
  <c r="AE1367" i="16"/>
  <c r="F1487" i="16"/>
  <c r="Y1487" i="16" s="1"/>
  <c r="E1487" i="16"/>
  <c r="C1487" i="16"/>
  <c r="B1487" i="16"/>
  <c r="F1486" i="16"/>
  <c r="Y1486" i="16" s="1"/>
  <c r="E1486" i="16"/>
  <c r="C1486" i="16"/>
  <c r="B1486" i="16"/>
  <c r="F1485" i="16"/>
  <c r="Y1485" i="16" s="1"/>
  <c r="E1485" i="16"/>
  <c r="C1485" i="16"/>
  <c r="B1485" i="16"/>
  <c r="F1484" i="16"/>
  <c r="Y1484" i="16" s="1"/>
  <c r="E1484" i="16"/>
  <c r="C1484" i="16"/>
  <c r="B1484" i="16"/>
  <c r="F1483" i="16"/>
  <c r="Y1483" i="16" s="1"/>
  <c r="E1483" i="16"/>
  <c r="C1483" i="16"/>
  <c r="B1483" i="16"/>
  <c r="F1482" i="16"/>
  <c r="Y1482" i="16" s="1"/>
  <c r="E1482" i="16"/>
  <c r="C1482" i="16"/>
  <c r="B1482" i="16"/>
  <c r="F1481" i="16"/>
  <c r="Y1481" i="16" s="1"/>
  <c r="E1481" i="16"/>
  <c r="C1481" i="16"/>
  <c r="B1481" i="16"/>
  <c r="F1480" i="16"/>
  <c r="Y1480" i="16" s="1"/>
  <c r="E1480" i="16"/>
  <c r="C1480" i="16"/>
  <c r="B1480" i="16"/>
  <c r="F1479" i="16"/>
  <c r="Y1479" i="16" s="1"/>
  <c r="E1479" i="16"/>
  <c r="C1479" i="16"/>
  <c r="B1479" i="16"/>
  <c r="F1478" i="16"/>
  <c r="Y1478" i="16" s="1"/>
  <c r="E1478" i="16"/>
  <c r="C1478" i="16"/>
  <c r="B1478" i="16"/>
  <c r="F1477" i="16"/>
  <c r="Y1477" i="16" s="1"/>
  <c r="E1477" i="16"/>
  <c r="C1477" i="16"/>
  <c r="B1477" i="16"/>
  <c r="F1476" i="16"/>
  <c r="Y1476" i="16" s="1"/>
  <c r="E1476" i="16"/>
  <c r="C1476" i="16"/>
  <c r="B1476" i="16"/>
  <c r="F1475" i="16"/>
  <c r="Y1475" i="16" s="1"/>
  <c r="E1475" i="16"/>
  <c r="C1475" i="16"/>
  <c r="B1475" i="16"/>
  <c r="F1474" i="16"/>
  <c r="Y1474" i="16" s="1"/>
  <c r="E1474" i="16"/>
  <c r="C1474" i="16"/>
  <c r="B1474" i="16"/>
  <c r="F1473" i="16"/>
  <c r="Y1473" i="16" s="1"/>
  <c r="E1473" i="16"/>
  <c r="C1473" i="16"/>
  <c r="B1473" i="16"/>
  <c r="F1472" i="16"/>
  <c r="Y1472" i="16" s="1"/>
  <c r="E1472" i="16"/>
  <c r="C1472" i="16"/>
  <c r="B1472" i="16"/>
  <c r="F1471" i="16"/>
  <c r="Y1471" i="16" s="1"/>
  <c r="E1471" i="16"/>
  <c r="C1471" i="16"/>
  <c r="B1471" i="16"/>
  <c r="F1470" i="16"/>
  <c r="Y1470" i="16" s="1"/>
  <c r="E1470" i="16"/>
  <c r="C1470" i="16"/>
  <c r="B1470" i="16"/>
  <c r="F1469" i="16"/>
  <c r="Y1469" i="16" s="1"/>
  <c r="E1469" i="16"/>
  <c r="C1469" i="16"/>
  <c r="B1469" i="16"/>
  <c r="F1468" i="16"/>
  <c r="Y1468" i="16" s="1"/>
  <c r="E1468" i="16"/>
  <c r="C1468" i="16"/>
  <c r="B1468" i="16"/>
  <c r="F1467" i="16"/>
  <c r="Y1467" i="16" s="1"/>
  <c r="E1467" i="16"/>
  <c r="C1467" i="16"/>
  <c r="B1467" i="16"/>
  <c r="F1466" i="16"/>
  <c r="Y1466" i="16" s="1"/>
  <c r="E1466" i="16"/>
  <c r="C1466" i="16"/>
  <c r="B1466" i="16"/>
  <c r="F1465" i="16"/>
  <c r="Y1465" i="16" s="1"/>
  <c r="E1465" i="16"/>
  <c r="C1465" i="16"/>
  <c r="B1465" i="16"/>
  <c r="F1464" i="16"/>
  <c r="Y1464" i="16" s="1"/>
  <c r="E1464" i="16"/>
  <c r="C1464" i="16"/>
  <c r="B1464" i="16"/>
  <c r="F1463" i="16"/>
  <c r="Y1463" i="16" s="1"/>
  <c r="E1463" i="16"/>
  <c r="C1463" i="16"/>
  <c r="B1463" i="16"/>
  <c r="F1462" i="16"/>
  <c r="Y1462" i="16" s="1"/>
  <c r="E1462" i="16"/>
  <c r="C1462" i="16"/>
  <c r="B1462" i="16"/>
  <c r="F1461" i="16"/>
  <c r="Y1461" i="16" s="1"/>
  <c r="E1461" i="16"/>
  <c r="C1461" i="16"/>
  <c r="B1461" i="16"/>
  <c r="F1460" i="16"/>
  <c r="Y1460" i="16" s="1"/>
  <c r="E1460" i="16"/>
  <c r="C1460" i="16"/>
  <c r="B1460" i="16"/>
  <c r="F1459" i="16"/>
  <c r="Y1459" i="16" s="1"/>
  <c r="E1459" i="16"/>
  <c r="C1459" i="16"/>
  <c r="B1459" i="16"/>
  <c r="F1458" i="16"/>
  <c r="Y1458" i="16" s="1"/>
  <c r="E1458" i="16"/>
  <c r="C1458" i="16"/>
  <c r="B1458" i="16"/>
  <c r="F1457" i="16"/>
  <c r="Y1457" i="16" s="1"/>
  <c r="E1457" i="16"/>
  <c r="C1457" i="16"/>
  <c r="B1457" i="16"/>
  <c r="F1456" i="16"/>
  <c r="Y1456" i="16" s="1"/>
  <c r="E1456" i="16"/>
  <c r="C1456" i="16"/>
  <c r="B1456" i="16"/>
  <c r="F1455" i="16"/>
  <c r="Y1455" i="16" s="1"/>
  <c r="E1455" i="16"/>
  <c r="C1455" i="16"/>
  <c r="B1455" i="16"/>
  <c r="F1454" i="16"/>
  <c r="Y1454" i="16" s="1"/>
  <c r="E1454" i="16"/>
  <c r="C1454" i="16"/>
  <c r="B1454" i="16"/>
  <c r="F1453" i="16"/>
  <c r="Y1453" i="16" s="1"/>
  <c r="E1453" i="16"/>
  <c r="C1453" i="16"/>
  <c r="B1453" i="16"/>
  <c r="F1452" i="16"/>
  <c r="Y1452" i="16" s="1"/>
  <c r="E1452" i="16"/>
  <c r="C1452" i="16"/>
  <c r="B1452" i="16"/>
  <c r="F1451" i="16"/>
  <c r="Y1451" i="16" s="1"/>
  <c r="E1451" i="16"/>
  <c r="C1451" i="16"/>
  <c r="B1451" i="16"/>
  <c r="F1450" i="16"/>
  <c r="Y1450" i="16" s="1"/>
  <c r="E1450" i="16"/>
  <c r="C1450" i="16"/>
  <c r="B1450" i="16"/>
  <c r="F1449" i="16"/>
  <c r="Y1449" i="16" s="1"/>
  <c r="E1449" i="16"/>
  <c r="C1449" i="16"/>
  <c r="B1449" i="16"/>
  <c r="F1448" i="16"/>
  <c r="Y1448" i="16" s="1"/>
  <c r="E1448" i="16"/>
  <c r="C1448" i="16"/>
  <c r="B1448" i="16"/>
  <c r="F1447" i="16"/>
  <c r="Y1447" i="16" s="1"/>
  <c r="E1447" i="16"/>
  <c r="C1447" i="16"/>
  <c r="B1447" i="16"/>
  <c r="F1446" i="16"/>
  <c r="Y1446" i="16" s="1"/>
  <c r="E1446" i="16"/>
  <c r="C1446" i="16"/>
  <c r="B1446" i="16"/>
  <c r="F1445" i="16"/>
  <c r="Y1445" i="16" s="1"/>
  <c r="E1445" i="16"/>
  <c r="C1445" i="16"/>
  <c r="B1445" i="16"/>
  <c r="F1444" i="16"/>
  <c r="Y1444" i="16" s="1"/>
  <c r="E1444" i="16"/>
  <c r="C1444" i="16"/>
  <c r="B1444" i="16"/>
  <c r="F1443" i="16"/>
  <c r="Y1443" i="16" s="1"/>
  <c r="E1443" i="16"/>
  <c r="C1443" i="16"/>
  <c r="B1443" i="16"/>
  <c r="F1442" i="16"/>
  <c r="Y1442" i="16" s="1"/>
  <c r="E1442" i="16"/>
  <c r="C1442" i="16"/>
  <c r="B1442" i="16"/>
  <c r="F1441" i="16"/>
  <c r="Y1441" i="16" s="1"/>
  <c r="E1441" i="16"/>
  <c r="C1441" i="16"/>
  <c r="B1441" i="16"/>
  <c r="F1440" i="16"/>
  <c r="Y1440" i="16" s="1"/>
  <c r="E1440" i="16"/>
  <c r="C1440" i="16"/>
  <c r="B1440" i="16"/>
  <c r="F1439" i="16"/>
  <c r="Y1439" i="16" s="1"/>
  <c r="E1439" i="16"/>
  <c r="C1439" i="16"/>
  <c r="B1439" i="16"/>
  <c r="F1438" i="16"/>
  <c r="Y1438" i="16" s="1"/>
  <c r="E1438" i="16"/>
  <c r="C1438" i="16"/>
  <c r="B1438" i="16"/>
  <c r="F1437" i="16"/>
  <c r="Y1437" i="16" s="1"/>
  <c r="E1437" i="16"/>
  <c r="C1437" i="16"/>
  <c r="B1437" i="16"/>
  <c r="F1436" i="16"/>
  <c r="Y1436" i="16" s="1"/>
  <c r="E1436" i="16"/>
  <c r="C1436" i="16"/>
  <c r="B1436" i="16"/>
  <c r="F1435" i="16"/>
  <c r="Y1435" i="16" s="1"/>
  <c r="E1435" i="16"/>
  <c r="C1435" i="16"/>
  <c r="B1435" i="16"/>
  <c r="F1434" i="16"/>
  <c r="Y1434" i="16" s="1"/>
  <c r="E1434" i="16"/>
  <c r="C1434" i="16"/>
  <c r="B1434" i="16"/>
  <c r="F1433" i="16"/>
  <c r="Y1433" i="16" s="1"/>
  <c r="E1433" i="16"/>
  <c r="C1433" i="16"/>
  <c r="B1433" i="16"/>
  <c r="F1432" i="16"/>
  <c r="Y1432" i="16" s="1"/>
  <c r="E1432" i="16"/>
  <c r="C1432" i="16"/>
  <c r="B1432" i="16"/>
  <c r="F1431" i="16"/>
  <c r="Y1431" i="16" s="1"/>
  <c r="E1431" i="16"/>
  <c r="C1431" i="16"/>
  <c r="B1431" i="16"/>
  <c r="F1430" i="16"/>
  <c r="Y1430" i="16" s="1"/>
  <c r="E1430" i="16"/>
  <c r="C1430" i="16"/>
  <c r="B1430" i="16"/>
  <c r="F1429" i="16"/>
  <c r="Y1429" i="16" s="1"/>
  <c r="E1429" i="16"/>
  <c r="C1429" i="16"/>
  <c r="B1429" i="16"/>
  <c r="F1428" i="16"/>
  <c r="Y1428" i="16" s="1"/>
  <c r="E1428" i="16"/>
  <c r="C1428" i="16"/>
  <c r="B1428" i="16"/>
  <c r="F1427" i="16"/>
  <c r="Y1427" i="16" s="1"/>
  <c r="E1427" i="16"/>
  <c r="C1427" i="16"/>
  <c r="B1427" i="16"/>
  <c r="F1426" i="16"/>
  <c r="Y1426" i="16" s="1"/>
  <c r="E1426" i="16"/>
  <c r="C1426" i="16"/>
  <c r="B1426" i="16"/>
  <c r="F1425" i="16"/>
  <c r="Y1425" i="16" s="1"/>
  <c r="E1425" i="16"/>
  <c r="C1425" i="16"/>
  <c r="B1425" i="16"/>
  <c r="F1424" i="16"/>
  <c r="Y1424" i="16" s="1"/>
  <c r="E1424" i="16"/>
  <c r="C1424" i="16"/>
  <c r="B1424" i="16"/>
  <c r="F1423" i="16"/>
  <c r="Y1423" i="16" s="1"/>
  <c r="E1423" i="16"/>
  <c r="C1423" i="16"/>
  <c r="B1423" i="16"/>
  <c r="F1422" i="16"/>
  <c r="Y1422" i="16" s="1"/>
  <c r="E1422" i="16"/>
  <c r="C1422" i="16"/>
  <c r="B1422" i="16"/>
  <c r="F1421" i="16"/>
  <c r="Y1421" i="16" s="1"/>
  <c r="E1421" i="16"/>
  <c r="C1421" i="16"/>
  <c r="B1421" i="16"/>
  <c r="F1420" i="16"/>
  <c r="Y1420" i="16" s="1"/>
  <c r="E1420" i="16"/>
  <c r="C1420" i="16"/>
  <c r="B1420" i="16"/>
  <c r="F1419" i="16"/>
  <c r="Y1419" i="16" s="1"/>
  <c r="E1419" i="16"/>
  <c r="C1419" i="16"/>
  <c r="B1419" i="16"/>
  <c r="F1418" i="16"/>
  <c r="Y1418" i="16" s="1"/>
  <c r="E1418" i="16"/>
  <c r="C1418" i="16"/>
  <c r="B1418" i="16"/>
  <c r="F1417" i="16"/>
  <c r="Y1417" i="16" s="1"/>
  <c r="E1417" i="16"/>
  <c r="C1417" i="16"/>
  <c r="B1417" i="16"/>
  <c r="F1416" i="16"/>
  <c r="Y1416" i="16" s="1"/>
  <c r="E1416" i="16"/>
  <c r="C1416" i="16"/>
  <c r="B1416" i="16"/>
  <c r="F1415" i="16"/>
  <c r="Y1415" i="16" s="1"/>
  <c r="E1415" i="16"/>
  <c r="C1415" i="16"/>
  <c r="B1415" i="16"/>
  <c r="F1414" i="16"/>
  <c r="Y1414" i="16" s="1"/>
  <c r="E1414" i="16"/>
  <c r="C1414" i="16"/>
  <c r="B1414" i="16"/>
  <c r="F1413" i="16"/>
  <c r="Y1413" i="16" s="1"/>
  <c r="E1413" i="16"/>
  <c r="C1413" i="16"/>
  <c r="B1413" i="16"/>
  <c r="F1412" i="16"/>
  <c r="Y1412" i="16" s="1"/>
  <c r="E1412" i="16"/>
  <c r="C1412" i="16"/>
  <c r="B1412" i="16"/>
  <c r="F1411" i="16"/>
  <c r="Y1411" i="16" s="1"/>
  <c r="E1411" i="16"/>
  <c r="C1411" i="16"/>
  <c r="B1411" i="16"/>
  <c r="F1410" i="16"/>
  <c r="Y1410" i="16" s="1"/>
  <c r="E1410" i="16"/>
  <c r="C1410" i="16"/>
  <c r="B1410" i="16"/>
  <c r="F1409" i="16"/>
  <c r="Y1409" i="16" s="1"/>
  <c r="E1409" i="16"/>
  <c r="C1409" i="16"/>
  <c r="B1409" i="16"/>
  <c r="F1408" i="16"/>
  <c r="Y1408" i="16" s="1"/>
  <c r="E1408" i="16"/>
  <c r="C1408" i="16"/>
  <c r="B1408" i="16"/>
  <c r="F1407" i="16"/>
  <c r="Y1407" i="16" s="1"/>
  <c r="E1407" i="16"/>
  <c r="C1407" i="16"/>
  <c r="B1407" i="16"/>
  <c r="F1406" i="16"/>
  <c r="Y1406" i="16" s="1"/>
  <c r="E1406" i="16"/>
  <c r="C1406" i="16"/>
  <c r="B1406" i="16"/>
  <c r="F1405" i="16"/>
  <c r="Y1405" i="16" s="1"/>
  <c r="E1405" i="16"/>
  <c r="C1405" i="16"/>
  <c r="B1405" i="16"/>
  <c r="F1404" i="16"/>
  <c r="Y1404" i="16" s="1"/>
  <c r="E1404" i="16"/>
  <c r="C1404" i="16"/>
  <c r="B1404" i="16"/>
  <c r="F1403" i="16"/>
  <c r="Y1403" i="16" s="1"/>
  <c r="E1403" i="16"/>
  <c r="C1403" i="16"/>
  <c r="B1403" i="16"/>
  <c r="F1402" i="16"/>
  <c r="Y1402" i="16" s="1"/>
  <c r="E1402" i="16"/>
  <c r="C1402" i="16"/>
  <c r="B1402" i="16"/>
  <c r="F1401" i="16"/>
  <c r="Y1401" i="16" s="1"/>
  <c r="E1401" i="16"/>
  <c r="C1401" i="16"/>
  <c r="B1401" i="16"/>
  <c r="F1400" i="16"/>
  <c r="E1400" i="16"/>
  <c r="C1400" i="16"/>
  <c r="B1400" i="16"/>
  <c r="F1399" i="16"/>
  <c r="Y1399" i="16" s="1"/>
  <c r="E1399" i="16"/>
  <c r="C1399" i="16"/>
  <c r="B1399" i="16"/>
  <c r="F1398" i="16"/>
  <c r="Y1398" i="16" s="1"/>
  <c r="E1398" i="16"/>
  <c r="C1398" i="16"/>
  <c r="B1398" i="16"/>
  <c r="F1397" i="16"/>
  <c r="Y1397" i="16" s="1"/>
  <c r="E1397" i="16"/>
  <c r="C1397" i="16"/>
  <c r="B1397" i="16"/>
  <c r="F1396" i="16"/>
  <c r="Y1396" i="16" s="1"/>
  <c r="E1396" i="16"/>
  <c r="C1396" i="16"/>
  <c r="B1396" i="16"/>
  <c r="F1395" i="16"/>
  <c r="Y1395" i="16" s="1"/>
  <c r="E1395" i="16"/>
  <c r="C1395" i="16"/>
  <c r="B1395" i="16"/>
  <c r="F1394" i="16"/>
  <c r="Y1394" i="16" s="1"/>
  <c r="E1394" i="16"/>
  <c r="C1394" i="16"/>
  <c r="B1394" i="16"/>
  <c r="F1393" i="16"/>
  <c r="Y1393" i="16" s="1"/>
  <c r="E1393" i="16"/>
  <c r="C1393" i="16"/>
  <c r="B1393" i="16"/>
  <c r="F1392" i="16"/>
  <c r="Y1392" i="16" s="1"/>
  <c r="E1392" i="16"/>
  <c r="C1392" i="16"/>
  <c r="B1392" i="16"/>
  <c r="F1391" i="16"/>
  <c r="Y1391" i="16" s="1"/>
  <c r="E1391" i="16"/>
  <c r="C1391" i="16"/>
  <c r="B1391" i="16"/>
  <c r="F1390" i="16"/>
  <c r="Y1390" i="16" s="1"/>
  <c r="E1390" i="16"/>
  <c r="C1390" i="16"/>
  <c r="B1390" i="16"/>
  <c r="F1389" i="16"/>
  <c r="Y1389" i="16" s="1"/>
  <c r="E1389" i="16"/>
  <c r="C1389" i="16"/>
  <c r="B1389" i="16"/>
  <c r="F1388" i="16"/>
  <c r="Y1388" i="16" s="1"/>
  <c r="E1388" i="16"/>
  <c r="C1388" i="16"/>
  <c r="B1388" i="16"/>
  <c r="F1387" i="16"/>
  <c r="Y1387" i="16" s="1"/>
  <c r="E1387" i="16"/>
  <c r="C1387" i="16"/>
  <c r="B1387" i="16"/>
  <c r="F1386" i="16"/>
  <c r="Y1386" i="16" s="1"/>
  <c r="E1386" i="16"/>
  <c r="C1386" i="16"/>
  <c r="B1386" i="16"/>
  <c r="F1385" i="16"/>
  <c r="Y1385" i="16" s="1"/>
  <c r="E1385" i="16"/>
  <c r="C1385" i="16"/>
  <c r="B1385" i="16"/>
  <c r="F1384" i="16"/>
  <c r="Y1384" i="16" s="1"/>
  <c r="E1384" i="16"/>
  <c r="C1384" i="16"/>
  <c r="B1384" i="16"/>
  <c r="F1383" i="16"/>
  <c r="Y1383" i="16" s="1"/>
  <c r="E1383" i="16"/>
  <c r="C1383" i="16"/>
  <c r="B1383" i="16"/>
  <c r="F1382" i="16"/>
  <c r="Y1382" i="16" s="1"/>
  <c r="E1382" i="16"/>
  <c r="C1382" i="16"/>
  <c r="B1382" i="16"/>
  <c r="F1381" i="16"/>
  <c r="Y1381" i="16" s="1"/>
  <c r="E1381" i="16"/>
  <c r="C1381" i="16"/>
  <c r="B1381" i="16"/>
  <c r="F1380" i="16"/>
  <c r="Y1380" i="16" s="1"/>
  <c r="E1380" i="16"/>
  <c r="C1380" i="16"/>
  <c r="B1380" i="16"/>
  <c r="F1379" i="16"/>
  <c r="Y1379" i="16" s="1"/>
  <c r="E1379" i="16"/>
  <c r="C1379" i="16"/>
  <c r="B1379" i="16"/>
  <c r="F1378" i="16"/>
  <c r="E1378" i="16"/>
  <c r="C1378" i="16"/>
  <c r="B1378" i="16"/>
  <c r="F1377" i="16"/>
  <c r="Y1377" i="16" s="1"/>
  <c r="E1377" i="16"/>
  <c r="C1377" i="16"/>
  <c r="B1377" i="16"/>
  <c r="F1376" i="16"/>
  <c r="Y1376" i="16" s="1"/>
  <c r="E1376" i="16"/>
  <c r="C1376" i="16"/>
  <c r="B1376" i="16"/>
  <c r="F1375" i="16"/>
  <c r="Y1375" i="16" s="1"/>
  <c r="E1375" i="16"/>
  <c r="C1375" i="16"/>
  <c r="B1375" i="16"/>
  <c r="F1374" i="16"/>
  <c r="Y1374" i="16" s="1"/>
  <c r="E1374" i="16"/>
  <c r="C1374" i="16"/>
  <c r="B1374" i="16"/>
  <c r="F1373" i="16"/>
  <c r="Y1373" i="16" s="1"/>
  <c r="E1373" i="16"/>
  <c r="C1373" i="16"/>
  <c r="B1373" i="16"/>
  <c r="F1372" i="16"/>
  <c r="Y1372" i="16" s="1"/>
  <c r="E1372" i="16"/>
  <c r="C1372" i="16"/>
  <c r="B1372" i="16"/>
  <c r="F1371" i="16"/>
  <c r="Y1371" i="16" s="1"/>
  <c r="E1371" i="16"/>
  <c r="C1371" i="16"/>
  <c r="B1371" i="16"/>
  <c r="F1370" i="16"/>
  <c r="Y1370" i="16" s="1"/>
  <c r="E1370" i="16"/>
  <c r="C1370" i="16"/>
  <c r="B1370" i="16"/>
  <c r="F1369" i="16"/>
  <c r="Y1369" i="16" s="1"/>
  <c r="E1369" i="16"/>
  <c r="C1369" i="16"/>
  <c r="B1369" i="16"/>
  <c r="F1368" i="16"/>
  <c r="Y1368" i="16" s="1"/>
  <c r="E1368" i="16"/>
  <c r="C1368" i="16"/>
  <c r="B1368" i="16"/>
  <c r="F1367" i="16"/>
  <c r="Y1367" i="16" s="1"/>
  <c r="E1367" i="16"/>
  <c r="C1367" i="16"/>
  <c r="B1367" i="16"/>
  <c r="F1366" i="16"/>
  <c r="Y1366" i="16" s="1"/>
  <c r="E1366" i="16"/>
  <c r="C1366" i="16"/>
  <c r="B1366" i="16"/>
  <c r="F1365" i="16"/>
  <c r="Y1365" i="16" s="1"/>
  <c r="E1365" i="16"/>
  <c r="C1365" i="16"/>
  <c r="B1365" i="16"/>
  <c r="F1364" i="16"/>
  <c r="Y1364" i="16" s="1"/>
  <c r="E1364" i="16"/>
  <c r="C1364" i="16"/>
  <c r="B1364" i="16"/>
  <c r="F1363" i="16"/>
  <c r="Y1363" i="16" s="1"/>
  <c r="E1363" i="16"/>
  <c r="C1363" i="16"/>
  <c r="B1363" i="16"/>
  <c r="F1362" i="16"/>
  <c r="Y1362" i="16" s="1"/>
  <c r="E1362" i="16"/>
  <c r="C1362" i="16"/>
  <c r="B1362" i="16"/>
  <c r="F1361" i="16"/>
  <c r="Y1361" i="16" s="1"/>
  <c r="E1361" i="16"/>
  <c r="C1361" i="16"/>
  <c r="B1361" i="16"/>
  <c r="F1360" i="16"/>
  <c r="Y1360" i="16" s="1"/>
  <c r="E1360" i="16"/>
  <c r="C1360" i="16"/>
  <c r="B1360" i="16"/>
  <c r="F1359" i="16"/>
  <c r="Y1359" i="16" s="1"/>
  <c r="E1359" i="16"/>
  <c r="C1359" i="16"/>
  <c r="B1359" i="16"/>
  <c r="F1358" i="16"/>
  <c r="Y1358" i="16" s="1"/>
  <c r="E1358" i="16"/>
  <c r="C1358" i="16"/>
  <c r="B1358" i="16"/>
  <c r="F1357" i="16"/>
  <c r="Y1357" i="16" s="1"/>
  <c r="E1357" i="16"/>
  <c r="C1357" i="16"/>
  <c r="B1357" i="16"/>
  <c r="F1356" i="16"/>
  <c r="Y1356" i="16" s="1"/>
  <c r="E1356" i="16"/>
  <c r="C1356" i="16"/>
  <c r="B1356" i="16"/>
  <c r="F1355" i="16"/>
  <c r="Y1355" i="16" s="1"/>
  <c r="E1355" i="16"/>
  <c r="C1355" i="16"/>
  <c r="B1355" i="16"/>
  <c r="F1354" i="16"/>
  <c r="Y1354" i="16" s="1"/>
  <c r="E1354" i="16"/>
  <c r="C1354" i="16"/>
  <c r="B1354" i="16"/>
  <c r="F1353" i="16"/>
  <c r="Y1353" i="16" s="1"/>
  <c r="E1353" i="16"/>
  <c r="C1353" i="16"/>
  <c r="B1353" i="16"/>
  <c r="F1352" i="16"/>
  <c r="E1352" i="16"/>
  <c r="C1352" i="16"/>
  <c r="B1352" i="16"/>
  <c r="F1351" i="16"/>
  <c r="Y1351" i="16" s="1"/>
  <c r="E1351" i="16"/>
  <c r="C1351" i="16"/>
  <c r="B1351" i="16"/>
  <c r="F1350" i="16"/>
  <c r="Y1350" i="16" s="1"/>
  <c r="E1350" i="16"/>
  <c r="C1350" i="16"/>
  <c r="B1350" i="16"/>
  <c r="F1349" i="16"/>
  <c r="Y1349" i="16" s="1"/>
  <c r="E1349" i="16"/>
  <c r="C1349" i="16"/>
  <c r="B1349" i="16"/>
  <c r="F1348" i="16"/>
  <c r="Y1348" i="16" s="1"/>
  <c r="E1348" i="16"/>
  <c r="C1348" i="16"/>
  <c r="B1348" i="16"/>
  <c r="F1347" i="16"/>
  <c r="Y1347" i="16" s="1"/>
  <c r="E1347" i="16"/>
  <c r="C1347" i="16"/>
  <c r="B1347" i="16"/>
  <c r="F1346" i="16"/>
  <c r="Y1346" i="16" s="1"/>
  <c r="E1346" i="16"/>
  <c r="C1346" i="16"/>
  <c r="B1346" i="16"/>
  <c r="F1345" i="16"/>
  <c r="Y1345" i="16" s="1"/>
  <c r="E1345" i="16"/>
  <c r="C1345" i="16"/>
  <c r="B1345" i="16"/>
  <c r="F1344" i="16"/>
  <c r="Y1344" i="16" s="1"/>
  <c r="E1344" i="16"/>
  <c r="C1344" i="16"/>
  <c r="B1344" i="16"/>
  <c r="F1343" i="16"/>
  <c r="Y1343" i="16" s="1"/>
  <c r="E1343" i="16"/>
  <c r="C1343" i="16"/>
  <c r="B1343" i="16"/>
  <c r="F1342" i="16"/>
  <c r="Y1342" i="16" s="1"/>
  <c r="E1342" i="16"/>
  <c r="C1342" i="16"/>
  <c r="B1342" i="16"/>
  <c r="F1341" i="16"/>
  <c r="Y1341" i="16" s="1"/>
  <c r="E1341" i="16"/>
  <c r="C1341" i="16"/>
  <c r="B1341" i="16"/>
  <c r="F1340" i="16"/>
  <c r="Y1340" i="16" s="1"/>
  <c r="E1340" i="16"/>
  <c r="C1340" i="16"/>
  <c r="B1340" i="16"/>
  <c r="F1339" i="16"/>
  <c r="Y1339" i="16" s="1"/>
  <c r="E1339" i="16"/>
  <c r="C1339" i="16"/>
  <c r="B1339" i="16"/>
  <c r="F1338" i="16"/>
  <c r="Y1338" i="16" s="1"/>
  <c r="E1338" i="16"/>
  <c r="C1338" i="16"/>
  <c r="B1338" i="16"/>
  <c r="F1337" i="16"/>
  <c r="Y1337" i="16" s="1"/>
  <c r="E1337" i="16"/>
  <c r="C1337" i="16"/>
  <c r="B1337" i="16"/>
  <c r="F1336" i="16"/>
  <c r="Y1336" i="16" s="1"/>
  <c r="E1336" i="16"/>
  <c r="C1336" i="16"/>
  <c r="B1336" i="16"/>
  <c r="F1335" i="16"/>
  <c r="Y1335" i="16" s="1"/>
  <c r="E1335" i="16"/>
  <c r="C1335" i="16"/>
  <c r="B1335" i="16"/>
  <c r="F1334" i="16"/>
  <c r="Y1334" i="16" s="1"/>
  <c r="E1334" i="16"/>
  <c r="C1334" i="16"/>
  <c r="B1334" i="16"/>
  <c r="F1333" i="16"/>
  <c r="Y1333" i="16" s="1"/>
  <c r="E1333" i="16"/>
  <c r="C1333" i="16"/>
  <c r="B1333" i="16"/>
  <c r="F1332" i="16"/>
  <c r="Y1332" i="16" s="1"/>
  <c r="E1332" i="16"/>
  <c r="C1332" i="16"/>
  <c r="B1332" i="16"/>
  <c r="F1331" i="16"/>
  <c r="Y1331" i="16" s="1"/>
  <c r="E1331" i="16"/>
  <c r="C1331" i="16"/>
  <c r="B1331" i="16"/>
  <c r="F1330" i="16"/>
  <c r="Y1330" i="16" s="1"/>
  <c r="E1330" i="16"/>
  <c r="C1330" i="16"/>
  <c r="B1330" i="16"/>
  <c r="F1329" i="16"/>
  <c r="Y1329" i="16" s="1"/>
  <c r="E1329" i="16"/>
  <c r="C1329" i="16"/>
  <c r="B1329" i="16"/>
  <c r="F1328" i="16"/>
  <c r="Y1328" i="16" s="1"/>
  <c r="E1328" i="16"/>
  <c r="C1328" i="16"/>
  <c r="B1328" i="16"/>
  <c r="F1327" i="16"/>
  <c r="Y1327" i="16" s="1"/>
  <c r="E1327" i="16"/>
  <c r="C1327" i="16"/>
  <c r="B1327" i="16"/>
  <c r="F1326" i="16"/>
  <c r="Y1326" i="16" s="1"/>
  <c r="E1326" i="16"/>
  <c r="C1326" i="16"/>
  <c r="B1326" i="16"/>
  <c r="F1325" i="16"/>
  <c r="Y1325" i="16" s="1"/>
  <c r="E1325" i="16"/>
  <c r="C1325" i="16"/>
  <c r="B1325" i="16"/>
  <c r="F1324" i="16"/>
  <c r="Y1324" i="16" s="1"/>
  <c r="E1324" i="16"/>
  <c r="C1324" i="16"/>
  <c r="B1324" i="16"/>
  <c r="F1323" i="16"/>
  <c r="Y1323" i="16" s="1"/>
  <c r="E1323" i="16"/>
  <c r="C1323" i="16"/>
  <c r="B1323" i="16"/>
  <c r="F1322" i="16"/>
  <c r="Y1322" i="16" s="1"/>
  <c r="E1322" i="16"/>
  <c r="C1322" i="16"/>
  <c r="B1322" i="16"/>
  <c r="F1321" i="16"/>
  <c r="Y1321" i="16" s="1"/>
  <c r="E1321" i="16"/>
  <c r="C1321" i="16"/>
  <c r="B1321" i="16"/>
  <c r="F1320" i="16"/>
  <c r="Y1320" i="16" s="1"/>
  <c r="E1320" i="16"/>
  <c r="C1320" i="16"/>
  <c r="B1320" i="16"/>
  <c r="F1319" i="16"/>
  <c r="Y1319" i="16" s="1"/>
  <c r="E1319" i="16"/>
  <c r="C1319" i="16"/>
  <c r="B1319" i="16"/>
  <c r="F1318" i="16"/>
  <c r="Y1318" i="16" s="1"/>
  <c r="E1318" i="16"/>
  <c r="C1318" i="16"/>
  <c r="B1318" i="16"/>
  <c r="F1317" i="16"/>
  <c r="Y1317" i="16" s="1"/>
  <c r="E1317" i="16"/>
  <c r="C1317" i="16"/>
  <c r="B1317" i="16"/>
  <c r="F1316" i="16"/>
  <c r="Y1316" i="16" s="1"/>
  <c r="E1316" i="16"/>
  <c r="C1316" i="16"/>
  <c r="B1316" i="16"/>
  <c r="F1315" i="16"/>
  <c r="Y1315" i="16" s="1"/>
  <c r="E1315" i="16"/>
  <c r="C1315" i="16"/>
  <c r="B1315" i="16"/>
  <c r="F1314" i="16"/>
  <c r="Y1314" i="16" s="1"/>
  <c r="E1314" i="16"/>
  <c r="C1314" i="16"/>
  <c r="B1314" i="16"/>
  <c r="F1313" i="16"/>
  <c r="Y1313" i="16" s="1"/>
  <c r="E1313" i="16"/>
  <c r="C1313" i="16"/>
  <c r="B1313" i="16"/>
  <c r="F1312" i="16"/>
  <c r="Y1312" i="16" s="1"/>
  <c r="E1312" i="16"/>
  <c r="C1312" i="16"/>
  <c r="B1312" i="16"/>
  <c r="F1311" i="16"/>
  <c r="Y1311" i="16" s="1"/>
  <c r="E1311" i="16"/>
  <c r="C1311" i="16"/>
  <c r="B1311" i="16"/>
  <c r="F1310" i="16"/>
  <c r="Y1310" i="16" s="1"/>
  <c r="E1310" i="16"/>
  <c r="C1310" i="16"/>
  <c r="B1310" i="16"/>
  <c r="F1309" i="16"/>
  <c r="Y1309" i="16" s="1"/>
  <c r="E1309" i="16"/>
  <c r="C1309" i="16"/>
  <c r="B1309" i="16"/>
  <c r="F1308" i="16"/>
  <c r="Y1308" i="16" s="1"/>
  <c r="E1308" i="16"/>
  <c r="C1308" i="16"/>
  <c r="B1308" i="16"/>
  <c r="F1307" i="16"/>
  <c r="Y1307" i="16" s="1"/>
  <c r="E1307" i="16"/>
  <c r="C1307" i="16"/>
  <c r="B1307" i="16"/>
  <c r="F1306" i="16"/>
  <c r="Y1306" i="16" s="1"/>
  <c r="E1306" i="16"/>
  <c r="C1306" i="16"/>
  <c r="B1306" i="16"/>
  <c r="F1305" i="16"/>
  <c r="Y1305" i="16" s="1"/>
  <c r="E1305" i="16"/>
  <c r="C1305" i="16"/>
  <c r="B1305" i="16"/>
  <c r="F1304" i="16"/>
  <c r="Y1304" i="16" s="1"/>
  <c r="E1304" i="16"/>
  <c r="C1304" i="16"/>
  <c r="B1304" i="16"/>
  <c r="F1303" i="16"/>
  <c r="Y1303" i="16" s="1"/>
  <c r="E1303" i="16"/>
  <c r="C1303" i="16"/>
  <c r="B1303" i="16"/>
  <c r="F1302" i="16"/>
  <c r="Y1302" i="16" s="1"/>
  <c r="E1302" i="16"/>
  <c r="C1302" i="16"/>
  <c r="B1302" i="16"/>
  <c r="F1301" i="16"/>
  <c r="Y1301" i="16" s="1"/>
  <c r="E1301" i="16"/>
  <c r="C1301" i="16"/>
  <c r="B1301" i="16"/>
  <c r="F1300" i="16"/>
  <c r="Y1300" i="16" s="1"/>
  <c r="E1300" i="16"/>
  <c r="C1300" i="16"/>
  <c r="B1300" i="16"/>
  <c r="F1299" i="16"/>
  <c r="Y1299" i="16" s="1"/>
  <c r="E1299" i="16"/>
  <c r="C1299" i="16"/>
  <c r="B1299" i="16"/>
  <c r="F1298" i="16"/>
  <c r="Y1298" i="16" s="1"/>
  <c r="E1298" i="16"/>
  <c r="C1298" i="16"/>
  <c r="B1298" i="16"/>
  <c r="F1297" i="16"/>
  <c r="Y1297" i="16" s="1"/>
  <c r="E1297" i="16"/>
  <c r="C1297" i="16"/>
  <c r="B1297" i="16"/>
  <c r="F1296" i="16"/>
  <c r="Y1296" i="16" s="1"/>
  <c r="E1296" i="16"/>
  <c r="C1296" i="16"/>
  <c r="B1296" i="16"/>
  <c r="F1295" i="16"/>
  <c r="Y1295" i="16" s="1"/>
  <c r="E1295" i="16"/>
  <c r="C1295" i="16"/>
  <c r="B1295" i="16"/>
  <c r="F1294" i="16"/>
  <c r="Y1294" i="16" s="1"/>
  <c r="E1294" i="16"/>
  <c r="C1294" i="16"/>
  <c r="B1294" i="16"/>
  <c r="F1293" i="16"/>
  <c r="Y1293" i="16" s="1"/>
  <c r="E1293" i="16"/>
  <c r="C1293" i="16"/>
  <c r="B1293" i="16"/>
  <c r="F1292" i="16"/>
  <c r="Y1292" i="16" s="1"/>
  <c r="E1292" i="16"/>
  <c r="C1292" i="16"/>
  <c r="B1292" i="16"/>
  <c r="F1291" i="16"/>
  <c r="Y1291" i="16" s="1"/>
  <c r="E1291" i="16"/>
  <c r="C1291" i="16"/>
  <c r="B1291" i="16"/>
  <c r="F1290" i="16"/>
  <c r="Y1290" i="16" s="1"/>
  <c r="E1290" i="16"/>
  <c r="C1290" i="16"/>
  <c r="B1290" i="16"/>
  <c r="F1289" i="16"/>
  <c r="Y1289" i="16" s="1"/>
  <c r="E1289" i="16"/>
  <c r="C1289" i="16"/>
  <c r="B1289" i="16"/>
  <c r="F1288" i="16"/>
  <c r="Y1288" i="16" s="1"/>
  <c r="E1288" i="16"/>
  <c r="C1288" i="16"/>
  <c r="B1288" i="16"/>
  <c r="F1287" i="16"/>
  <c r="Y1287" i="16" s="1"/>
  <c r="E1287" i="16"/>
  <c r="C1287" i="16"/>
  <c r="B1287" i="16"/>
  <c r="F1286" i="16"/>
  <c r="Y1286" i="16" s="1"/>
  <c r="E1286" i="16"/>
  <c r="C1286" i="16"/>
  <c r="B1286" i="16"/>
  <c r="F1285" i="16"/>
  <c r="Y1285" i="16" s="1"/>
  <c r="E1285" i="16"/>
  <c r="C1285" i="16"/>
  <c r="B1285" i="16"/>
  <c r="F1284" i="16"/>
  <c r="Y1284" i="16" s="1"/>
  <c r="E1284" i="16"/>
  <c r="C1284" i="16"/>
  <c r="B1284" i="16"/>
  <c r="F1283" i="16"/>
  <c r="Y1283" i="16" s="1"/>
  <c r="E1283" i="16"/>
  <c r="C1283" i="16"/>
  <c r="B1283" i="16"/>
  <c r="F1282" i="16"/>
  <c r="Y1282" i="16" s="1"/>
  <c r="E1282" i="16"/>
  <c r="C1282" i="16"/>
  <c r="B1282" i="16"/>
  <c r="F1281" i="16"/>
  <c r="Y1281" i="16" s="1"/>
  <c r="E1281" i="16"/>
  <c r="C1281" i="16"/>
  <c r="B1281" i="16"/>
  <c r="F1280" i="16"/>
  <c r="Y1280" i="16" s="1"/>
  <c r="E1280" i="16"/>
  <c r="C1280" i="16"/>
  <c r="B1280" i="16"/>
  <c r="F1279" i="16"/>
  <c r="Y1279" i="16" s="1"/>
  <c r="E1279" i="16"/>
  <c r="C1279" i="16"/>
  <c r="B1279" i="16"/>
  <c r="F1278" i="16"/>
  <c r="Y1278" i="16" s="1"/>
  <c r="E1278" i="16"/>
  <c r="C1278" i="16"/>
  <c r="B1278" i="16"/>
  <c r="F1277" i="16"/>
  <c r="Y1277" i="16" s="1"/>
  <c r="E1277" i="16"/>
  <c r="C1277" i="16"/>
  <c r="B1277" i="16"/>
  <c r="F1276" i="16"/>
  <c r="Y1276" i="16" s="1"/>
  <c r="E1276" i="16"/>
  <c r="C1276" i="16"/>
  <c r="B1276" i="16"/>
  <c r="F1275" i="16"/>
  <c r="Y1275" i="16" s="1"/>
  <c r="E1275" i="16"/>
  <c r="C1275" i="16"/>
  <c r="B1275" i="16"/>
  <c r="F1274" i="16"/>
  <c r="Y1274" i="16" s="1"/>
  <c r="E1274" i="16"/>
  <c r="C1274" i="16"/>
  <c r="B1274" i="16"/>
  <c r="F1273" i="16"/>
  <c r="Y1273" i="16" s="1"/>
  <c r="E1273" i="16"/>
  <c r="C1273" i="16"/>
  <c r="B1273" i="16"/>
  <c r="F1272" i="16"/>
  <c r="Y1272" i="16" s="1"/>
  <c r="E1272" i="16"/>
  <c r="C1272" i="16"/>
  <c r="B1272" i="16"/>
  <c r="F1271" i="16"/>
  <c r="Y1271" i="16" s="1"/>
  <c r="E1271" i="16"/>
  <c r="C1271" i="16"/>
  <c r="B1271" i="16"/>
  <c r="F1270" i="16"/>
  <c r="Y1270" i="16" s="1"/>
  <c r="E1270" i="16"/>
  <c r="C1270" i="16"/>
  <c r="B1270" i="16"/>
  <c r="F1269" i="16"/>
  <c r="Y1269" i="16" s="1"/>
  <c r="E1269" i="16"/>
  <c r="C1269" i="16"/>
  <c r="B1269" i="16"/>
  <c r="F1268" i="16"/>
  <c r="Y1268" i="16" s="1"/>
  <c r="E1268" i="16"/>
  <c r="C1268" i="16"/>
  <c r="B1268" i="16"/>
  <c r="F1267" i="16"/>
  <c r="Y1267" i="16" s="1"/>
  <c r="E1267" i="16"/>
  <c r="C1267" i="16"/>
  <c r="B1267" i="16"/>
  <c r="F1266" i="16"/>
  <c r="E1266" i="16"/>
  <c r="C1266" i="16"/>
  <c r="B1266" i="16"/>
  <c r="F1265" i="16"/>
  <c r="Y1265" i="16" s="1"/>
  <c r="E1265" i="16"/>
  <c r="C1265" i="16"/>
  <c r="B1265" i="16"/>
  <c r="F1264" i="16"/>
  <c r="Y1264" i="16" s="1"/>
  <c r="E1264" i="16"/>
  <c r="C1264" i="16"/>
  <c r="B1264" i="16"/>
  <c r="F1263" i="16"/>
  <c r="Y1263" i="16" s="1"/>
  <c r="E1263" i="16"/>
  <c r="C1263" i="16"/>
  <c r="B1263" i="16"/>
  <c r="F1262" i="16"/>
  <c r="Y1262" i="16" s="1"/>
  <c r="E1262" i="16"/>
  <c r="C1262" i="16"/>
  <c r="B1262" i="16"/>
  <c r="F1261" i="16"/>
  <c r="Y1261" i="16" s="1"/>
  <c r="E1261" i="16"/>
  <c r="C1261" i="16"/>
  <c r="B1261" i="16"/>
  <c r="F1260" i="16"/>
  <c r="Y1260" i="16" s="1"/>
  <c r="E1260" i="16"/>
  <c r="C1260" i="16"/>
  <c r="B1260" i="16"/>
  <c r="F1259" i="16"/>
  <c r="Y1259" i="16" s="1"/>
  <c r="E1259" i="16"/>
  <c r="C1259" i="16"/>
  <c r="B1259" i="16"/>
  <c r="F1258" i="16"/>
  <c r="Y1258" i="16" s="1"/>
  <c r="E1258" i="16"/>
  <c r="C1258" i="16"/>
  <c r="B1258" i="16"/>
  <c r="F1257" i="16"/>
  <c r="Y1257" i="16" s="1"/>
  <c r="E1257" i="16"/>
  <c r="C1257" i="16"/>
  <c r="B1257" i="16"/>
  <c r="F1256" i="16"/>
  <c r="Y1256" i="16" s="1"/>
  <c r="E1256" i="16"/>
  <c r="C1256" i="16"/>
  <c r="B1256" i="16"/>
  <c r="F1255" i="16"/>
  <c r="Y1255" i="16" s="1"/>
  <c r="E1255" i="16"/>
  <c r="C1255" i="16"/>
  <c r="B1255" i="16"/>
  <c r="F1254" i="16"/>
  <c r="Y1254" i="16" s="1"/>
  <c r="E1254" i="16"/>
  <c r="C1254" i="16"/>
  <c r="B1254" i="16"/>
  <c r="F1253" i="16"/>
  <c r="Y1253" i="16" s="1"/>
  <c r="E1253" i="16"/>
  <c r="C1253" i="16"/>
  <c r="B1253" i="16"/>
  <c r="F1252" i="16"/>
  <c r="Y1252" i="16" s="1"/>
  <c r="E1252" i="16"/>
  <c r="C1252" i="16"/>
  <c r="B1252" i="16"/>
  <c r="F1251" i="16"/>
  <c r="Y1251" i="16" s="1"/>
  <c r="E1251" i="16"/>
  <c r="C1251" i="16"/>
  <c r="B1251" i="16"/>
  <c r="F1250" i="16"/>
  <c r="Y1250" i="16" s="1"/>
  <c r="E1250" i="16"/>
  <c r="C1250" i="16"/>
  <c r="B1250" i="16"/>
  <c r="F1249" i="16"/>
  <c r="Y1249" i="16" s="1"/>
  <c r="E1249" i="16"/>
  <c r="C1249" i="16"/>
  <c r="B1249" i="16"/>
  <c r="F1248" i="16"/>
  <c r="Y1248" i="16" s="1"/>
  <c r="E1248" i="16"/>
  <c r="C1248" i="16"/>
  <c r="B1248" i="16"/>
  <c r="F1247" i="16"/>
  <c r="Y1247" i="16" s="1"/>
  <c r="E1247" i="16"/>
  <c r="C1247" i="16"/>
  <c r="B1247" i="16"/>
  <c r="F1246" i="16"/>
  <c r="Y1246" i="16" s="1"/>
  <c r="E1246" i="16"/>
  <c r="C1246" i="16"/>
  <c r="B1246" i="16"/>
  <c r="F1245" i="16"/>
  <c r="Y1245" i="16" s="1"/>
  <c r="E1245" i="16"/>
  <c r="C1245" i="16"/>
  <c r="B1245" i="16"/>
  <c r="F1244" i="16"/>
  <c r="Y1244" i="16" s="1"/>
  <c r="E1244" i="16"/>
  <c r="C1244" i="16"/>
  <c r="B1244" i="16"/>
  <c r="F1243" i="16"/>
  <c r="Y1243" i="16" s="1"/>
  <c r="E1243" i="16"/>
  <c r="C1243" i="16"/>
  <c r="B1243" i="16"/>
  <c r="F1242" i="16"/>
  <c r="Y1242" i="16" s="1"/>
  <c r="E1242" i="16"/>
  <c r="C1242" i="16"/>
  <c r="B1242" i="16"/>
  <c r="F1241" i="16"/>
  <c r="Y1241" i="16" s="1"/>
  <c r="E1241" i="16"/>
  <c r="C1241" i="16"/>
  <c r="B1241" i="16"/>
  <c r="F1240" i="16"/>
  <c r="Y1240" i="16" s="1"/>
  <c r="E1240" i="16"/>
  <c r="C1240" i="16"/>
  <c r="B1240" i="16"/>
  <c r="F1239" i="16"/>
  <c r="Y1239" i="16" s="1"/>
  <c r="E1239" i="16"/>
  <c r="C1239" i="16"/>
  <c r="B1239" i="16"/>
  <c r="F1238" i="16"/>
  <c r="Y1238" i="16" s="1"/>
  <c r="E1238" i="16"/>
  <c r="C1238" i="16"/>
  <c r="B1238" i="16"/>
  <c r="F1237" i="16"/>
  <c r="Y1237" i="16" s="1"/>
  <c r="E1237" i="16"/>
  <c r="C1237" i="16"/>
  <c r="B1237" i="16"/>
  <c r="F1236" i="16"/>
  <c r="Y1236" i="16" s="1"/>
  <c r="E1236" i="16"/>
  <c r="C1236" i="16"/>
  <c r="B1236" i="16"/>
  <c r="F1235" i="16"/>
  <c r="E1235" i="16"/>
  <c r="C1235" i="16"/>
  <c r="B1235" i="16"/>
  <c r="F1234" i="16"/>
  <c r="Y1234" i="16" s="1"/>
  <c r="E1234" i="16"/>
  <c r="C1234" i="16"/>
  <c r="B1234" i="16"/>
  <c r="F1233" i="16"/>
  <c r="Y1233" i="16" s="1"/>
  <c r="E1233" i="16"/>
  <c r="C1233" i="16"/>
  <c r="B1233" i="16"/>
  <c r="F1232" i="16"/>
  <c r="Y1232" i="16" s="1"/>
  <c r="E1232" i="16"/>
  <c r="C1232" i="16"/>
  <c r="B1232" i="16"/>
  <c r="F1231" i="16"/>
  <c r="Y1231" i="16" s="1"/>
  <c r="E1231" i="16"/>
  <c r="C1231" i="16"/>
  <c r="B1231" i="16"/>
  <c r="F1230" i="16"/>
  <c r="Y1230" i="16" s="1"/>
  <c r="E1230" i="16"/>
  <c r="C1230" i="16"/>
  <c r="B1230" i="16"/>
  <c r="F1229" i="16"/>
  <c r="Y1229" i="16" s="1"/>
  <c r="E1229" i="16"/>
  <c r="C1229" i="16"/>
  <c r="B1229" i="16"/>
  <c r="F1228" i="16"/>
  <c r="Y1228" i="16" s="1"/>
  <c r="E1228" i="16"/>
  <c r="C1228" i="16"/>
  <c r="B1228" i="16"/>
  <c r="F1227" i="16"/>
  <c r="Y1227" i="16" s="1"/>
  <c r="E1227" i="16"/>
  <c r="C1227" i="16"/>
  <c r="B1227" i="16"/>
  <c r="F1226" i="16"/>
  <c r="Y1226" i="16" s="1"/>
  <c r="E1226" i="16"/>
  <c r="C1226" i="16"/>
  <c r="B1226" i="16"/>
  <c r="F1225" i="16"/>
  <c r="Y1225" i="16" s="1"/>
  <c r="E1225" i="16"/>
  <c r="C1225" i="16"/>
  <c r="B1225" i="16"/>
  <c r="F1224" i="16"/>
  <c r="Y1224" i="16" s="1"/>
  <c r="E1224" i="16"/>
  <c r="C1224" i="16"/>
  <c r="B1224" i="16"/>
  <c r="F1223" i="16"/>
  <c r="Y1223" i="16" s="1"/>
  <c r="E1223" i="16"/>
  <c r="C1223" i="16"/>
  <c r="B1223" i="16"/>
  <c r="F1222" i="16"/>
  <c r="Y1222" i="16" s="1"/>
  <c r="E1222" i="16"/>
  <c r="C1222" i="16"/>
  <c r="B1222" i="16"/>
  <c r="F1221" i="16"/>
  <c r="Y1221" i="16" s="1"/>
  <c r="E1221" i="16"/>
  <c r="C1221" i="16"/>
  <c r="B1221" i="16"/>
  <c r="F1220" i="16"/>
  <c r="Y1220" i="16" s="1"/>
  <c r="E1220" i="16"/>
  <c r="C1220" i="16"/>
  <c r="B1220" i="16"/>
  <c r="F1219" i="16"/>
  <c r="Y1219" i="16" s="1"/>
  <c r="E1219" i="16"/>
  <c r="C1219" i="16"/>
  <c r="B1219" i="16"/>
  <c r="F1218" i="16"/>
  <c r="Y1218" i="16" s="1"/>
  <c r="E1218" i="16"/>
  <c r="C1218" i="16"/>
  <c r="B1218" i="16"/>
  <c r="F1217" i="16"/>
  <c r="Y1217" i="16" s="1"/>
  <c r="E1217" i="16"/>
  <c r="C1217" i="16"/>
  <c r="B1217" i="16"/>
  <c r="F1216" i="16"/>
  <c r="Y1216" i="16" s="1"/>
  <c r="E1216" i="16"/>
  <c r="C1216" i="16"/>
  <c r="B1216" i="16"/>
  <c r="F1215" i="16"/>
  <c r="Y1215" i="16" s="1"/>
  <c r="E1215" i="16"/>
  <c r="C1215" i="16"/>
  <c r="B1215" i="16"/>
  <c r="F1214" i="16"/>
  <c r="Y1214" i="16" s="1"/>
  <c r="E1214" i="16"/>
  <c r="C1214" i="16"/>
  <c r="B1214" i="16"/>
  <c r="F1213" i="16"/>
  <c r="Y1213" i="16" s="1"/>
  <c r="E1213" i="16"/>
  <c r="C1213" i="16"/>
  <c r="B1213" i="16"/>
  <c r="F1212" i="16"/>
  <c r="Y1212" i="16" s="1"/>
  <c r="E1212" i="16"/>
  <c r="C1212" i="16"/>
  <c r="B1212" i="16"/>
  <c r="F1211" i="16"/>
  <c r="Y1211" i="16" s="1"/>
  <c r="E1211" i="16"/>
  <c r="C1211" i="16"/>
  <c r="B1211" i="16"/>
  <c r="F1210" i="16"/>
  <c r="Y1210" i="16" s="1"/>
  <c r="E1210" i="16"/>
  <c r="C1210" i="16"/>
  <c r="B1210" i="16"/>
  <c r="F1209" i="16"/>
  <c r="Y1209" i="16" s="1"/>
  <c r="E1209" i="16"/>
  <c r="C1209" i="16"/>
  <c r="B1209" i="16"/>
  <c r="F1208" i="16"/>
  <c r="Y1208" i="16" s="1"/>
  <c r="E1208" i="16"/>
  <c r="C1208" i="16"/>
  <c r="B1208" i="16"/>
  <c r="F1207" i="16"/>
  <c r="Y1207" i="16" s="1"/>
  <c r="E1207" i="16"/>
  <c r="C1207" i="16"/>
  <c r="B1207" i="16"/>
  <c r="F1206" i="16"/>
  <c r="Y1206" i="16" s="1"/>
  <c r="E1206" i="16"/>
  <c r="C1206" i="16"/>
  <c r="B1206" i="16"/>
  <c r="F1205" i="16"/>
  <c r="Y1205" i="16" s="1"/>
  <c r="E1205" i="16"/>
  <c r="C1205" i="16"/>
  <c r="B1205" i="16"/>
  <c r="F1204" i="16"/>
  <c r="Y1204" i="16" s="1"/>
  <c r="E1204" i="16"/>
  <c r="C1204" i="16"/>
  <c r="B1204" i="16"/>
  <c r="F1203" i="16"/>
  <c r="Y1203" i="16" s="1"/>
  <c r="E1203" i="16"/>
  <c r="C1203" i="16"/>
  <c r="B1203" i="16"/>
  <c r="F1202" i="16"/>
  <c r="Y1202" i="16" s="1"/>
  <c r="E1202" i="16"/>
  <c r="C1202" i="16"/>
  <c r="B1202" i="16"/>
  <c r="F1201" i="16"/>
  <c r="Y1201" i="16" s="1"/>
  <c r="E1201" i="16"/>
  <c r="C1201" i="16"/>
  <c r="B1201" i="16"/>
  <c r="F1200" i="16"/>
  <c r="Y1200" i="16" s="1"/>
  <c r="E1200" i="16"/>
  <c r="C1200" i="16"/>
  <c r="B1200" i="16"/>
  <c r="F1199" i="16"/>
  <c r="Y1199" i="16" s="1"/>
  <c r="E1199" i="16"/>
  <c r="C1199" i="16"/>
  <c r="B1199" i="16"/>
  <c r="F1198" i="16"/>
  <c r="Y1198" i="16" s="1"/>
  <c r="E1198" i="16"/>
  <c r="C1198" i="16"/>
  <c r="B1198" i="16"/>
  <c r="F1197" i="16"/>
  <c r="Y1197" i="16" s="1"/>
  <c r="E1197" i="16"/>
  <c r="C1197" i="16"/>
  <c r="B1197" i="16"/>
  <c r="F1196" i="16"/>
  <c r="Y1196" i="16" s="1"/>
  <c r="E1196" i="16"/>
  <c r="C1196" i="16"/>
  <c r="B1196" i="16"/>
  <c r="F1195" i="16"/>
  <c r="Y1195" i="16" s="1"/>
  <c r="E1195" i="16"/>
  <c r="C1195" i="16"/>
  <c r="B1195" i="16"/>
  <c r="F1194" i="16"/>
  <c r="Y1194" i="16" s="1"/>
  <c r="E1194" i="16"/>
  <c r="C1194" i="16"/>
  <c r="B1194" i="16"/>
  <c r="F1193" i="16"/>
  <c r="Y1193" i="16" s="1"/>
  <c r="E1193" i="16"/>
  <c r="C1193" i="16"/>
  <c r="B1193" i="16"/>
  <c r="F1192" i="16"/>
  <c r="Y1192" i="16" s="1"/>
  <c r="E1192" i="16"/>
  <c r="C1192" i="16"/>
  <c r="B1192" i="16"/>
  <c r="F1191" i="16"/>
  <c r="Y1191" i="16" s="1"/>
  <c r="E1191" i="16"/>
  <c r="C1191" i="16"/>
  <c r="B1191" i="16"/>
  <c r="F1190" i="16"/>
  <c r="Y1190" i="16" s="1"/>
  <c r="E1190" i="16"/>
  <c r="C1190" i="16"/>
  <c r="B1190" i="16"/>
  <c r="F1189" i="16"/>
  <c r="Y1189" i="16" s="1"/>
  <c r="E1189" i="16"/>
  <c r="C1189" i="16"/>
  <c r="B1189" i="16"/>
  <c r="F1188" i="16"/>
  <c r="Y1188" i="16" s="1"/>
  <c r="E1188" i="16"/>
  <c r="C1188" i="16"/>
  <c r="B1188" i="16"/>
  <c r="F1187" i="16"/>
  <c r="Y1187" i="16" s="1"/>
  <c r="E1187" i="16"/>
  <c r="C1187" i="16"/>
  <c r="B1187" i="16"/>
  <c r="F1186" i="16"/>
  <c r="Y1186" i="16" s="1"/>
  <c r="E1186" i="16"/>
  <c r="C1186" i="16"/>
  <c r="B1186" i="16"/>
  <c r="F1185" i="16"/>
  <c r="Y1185" i="16" s="1"/>
  <c r="E1185" i="16"/>
  <c r="C1185" i="16"/>
  <c r="B1185" i="16"/>
  <c r="F1184" i="16"/>
  <c r="Y1184" i="16" s="1"/>
  <c r="E1184" i="16"/>
  <c r="C1184" i="16"/>
  <c r="B1184" i="16"/>
  <c r="F1183" i="16"/>
  <c r="Y1183" i="16" s="1"/>
  <c r="E1183" i="16"/>
  <c r="C1183" i="16"/>
  <c r="B1183" i="16"/>
  <c r="F1182" i="16"/>
  <c r="Y1182" i="16" s="1"/>
  <c r="E1182" i="16"/>
  <c r="C1182" i="16"/>
  <c r="B1182" i="16"/>
  <c r="F1181" i="16"/>
  <c r="E1181" i="16"/>
  <c r="C1181" i="16"/>
  <c r="B1181" i="16"/>
  <c r="F1180" i="16"/>
  <c r="E1180" i="16"/>
  <c r="C1180" i="16"/>
  <c r="B1180" i="16"/>
  <c r="F1179" i="16"/>
  <c r="Y1179" i="16" s="1"/>
  <c r="E1179" i="16"/>
  <c r="C1179" i="16"/>
  <c r="B1179" i="16"/>
  <c r="F1178" i="16"/>
  <c r="Y1178" i="16" s="1"/>
  <c r="E1178" i="16"/>
  <c r="C1178" i="16"/>
  <c r="B1178" i="16"/>
  <c r="F1177" i="16"/>
  <c r="Y1177" i="16" s="1"/>
  <c r="E1177" i="16"/>
  <c r="C1177" i="16"/>
  <c r="B1177" i="16"/>
  <c r="F1176" i="16"/>
  <c r="Y1176" i="16" s="1"/>
  <c r="E1176" i="16"/>
  <c r="C1176" i="16"/>
  <c r="B1176" i="16"/>
  <c r="F1175" i="16"/>
  <c r="Y1175" i="16" s="1"/>
  <c r="E1175" i="16"/>
  <c r="C1175" i="16"/>
  <c r="B1175" i="16"/>
  <c r="F1174" i="16"/>
  <c r="Y1174" i="16" s="1"/>
  <c r="E1174" i="16"/>
  <c r="C1174" i="16"/>
  <c r="B1174" i="16"/>
  <c r="F1173" i="16"/>
  <c r="Y1173" i="16" s="1"/>
  <c r="E1173" i="16"/>
  <c r="C1173" i="16"/>
  <c r="B1173" i="16"/>
  <c r="F1172" i="16"/>
  <c r="Y1172" i="16" s="1"/>
  <c r="E1172" i="16"/>
  <c r="C1172" i="16"/>
  <c r="B1172" i="16"/>
  <c r="F1171" i="16"/>
  <c r="Y1171" i="16" s="1"/>
  <c r="E1171" i="16"/>
  <c r="C1171" i="16"/>
  <c r="B1171" i="16"/>
  <c r="F1170" i="16"/>
  <c r="Y1170" i="16" s="1"/>
  <c r="E1170" i="16"/>
  <c r="C1170" i="16"/>
  <c r="B1170" i="16"/>
  <c r="F1169" i="16"/>
  <c r="Y1169" i="16" s="1"/>
  <c r="E1169" i="16"/>
  <c r="C1169" i="16"/>
  <c r="B1169" i="16"/>
  <c r="F1168" i="16"/>
  <c r="Y1168" i="16" s="1"/>
  <c r="E1168" i="16"/>
  <c r="C1168" i="16"/>
  <c r="B1168" i="16"/>
  <c r="F1167" i="16"/>
  <c r="Y1167" i="16" s="1"/>
  <c r="E1167" i="16"/>
  <c r="C1167" i="16"/>
  <c r="B1167" i="16"/>
  <c r="F1166" i="16"/>
  <c r="Y1166" i="16" s="1"/>
  <c r="E1166" i="16"/>
  <c r="C1166" i="16"/>
  <c r="B1166" i="16"/>
  <c r="F1165" i="16"/>
  <c r="Y1165" i="16" s="1"/>
  <c r="E1165" i="16"/>
  <c r="C1165" i="16"/>
  <c r="B1165" i="16"/>
  <c r="F1164" i="16"/>
  <c r="Y1164" i="16" s="1"/>
  <c r="E1164" i="16"/>
  <c r="C1164" i="16"/>
  <c r="B1164" i="16"/>
  <c r="F1163" i="16"/>
  <c r="E1163" i="16"/>
  <c r="C1163" i="16"/>
  <c r="B1163" i="16"/>
  <c r="F1162" i="16"/>
  <c r="Y1162" i="16" s="1"/>
  <c r="E1162" i="16"/>
  <c r="C1162" i="16"/>
  <c r="B1162" i="16"/>
  <c r="F1161" i="16"/>
  <c r="Y1161" i="16" s="1"/>
  <c r="E1161" i="16"/>
  <c r="C1161" i="16"/>
  <c r="B1161" i="16"/>
  <c r="F1160" i="16"/>
  <c r="Y1160" i="16" s="1"/>
  <c r="E1160" i="16"/>
  <c r="C1160" i="16"/>
  <c r="B1160" i="16"/>
  <c r="F1159" i="16"/>
  <c r="Y1159" i="16" s="1"/>
  <c r="E1159" i="16"/>
  <c r="C1159" i="16"/>
  <c r="B1159" i="16"/>
  <c r="F1158" i="16"/>
  <c r="Y1158" i="16" s="1"/>
  <c r="E1158" i="16"/>
  <c r="C1158" i="16"/>
  <c r="B1158" i="16"/>
  <c r="F1157" i="16"/>
  <c r="Y1157" i="16" s="1"/>
  <c r="E1157" i="16"/>
  <c r="C1157" i="16"/>
  <c r="B1157" i="16"/>
  <c r="F1156" i="16"/>
  <c r="Y1156" i="16" s="1"/>
  <c r="E1156" i="16"/>
  <c r="C1156" i="16"/>
  <c r="B1156" i="16"/>
  <c r="F1155" i="16"/>
  <c r="Y1155" i="16" s="1"/>
  <c r="E1155" i="16"/>
  <c r="C1155" i="16"/>
  <c r="B1155" i="16"/>
  <c r="F1154" i="16"/>
  <c r="Y1154" i="16" s="1"/>
  <c r="E1154" i="16"/>
  <c r="C1154" i="16"/>
  <c r="B1154" i="16"/>
  <c r="F1153" i="16"/>
  <c r="Y1153" i="16" s="1"/>
  <c r="E1153" i="16"/>
  <c r="C1153" i="16"/>
  <c r="B1153" i="16"/>
  <c r="F1152" i="16"/>
  <c r="Y1152" i="16" s="1"/>
  <c r="E1152" i="16"/>
  <c r="C1152" i="16"/>
  <c r="B1152" i="16"/>
  <c r="F1151" i="16"/>
  <c r="Y1151" i="16" s="1"/>
  <c r="E1151" i="16"/>
  <c r="C1151" i="16"/>
  <c r="B1151" i="16"/>
  <c r="F1150" i="16"/>
  <c r="Y1150" i="16" s="1"/>
  <c r="E1150" i="16"/>
  <c r="C1150" i="16"/>
  <c r="B1150" i="16"/>
  <c r="F1149" i="16"/>
  <c r="Y1149" i="16" s="1"/>
  <c r="E1149" i="16"/>
  <c r="C1149" i="16"/>
  <c r="B1149" i="16"/>
  <c r="F1148" i="16"/>
  <c r="Y1148" i="16" s="1"/>
  <c r="E1148" i="16"/>
  <c r="C1148" i="16"/>
  <c r="B1148" i="16"/>
  <c r="F1147" i="16"/>
  <c r="Y1147" i="16" s="1"/>
  <c r="E1147" i="16"/>
  <c r="C1147" i="16"/>
  <c r="B1147" i="16"/>
  <c r="F1146" i="16"/>
  <c r="Y1146" i="16" s="1"/>
  <c r="E1146" i="16"/>
  <c r="C1146" i="16"/>
  <c r="B1146" i="16"/>
  <c r="F1145" i="16"/>
  <c r="E1145" i="16"/>
  <c r="C1145" i="16"/>
  <c r="B1145" i="16"/>
  <c r="F1144" i="16"/>
  <c r="E1144" i="16"/>
  <c r="C1144" i="16"/>
  <c r="B1144" i="16"/>
  <c r="F1143" i="16"/>
  <c r="Y1143" i="16" s="1"/>
  <c r="E1143" i="16"/>
  <c r="C1143" i="16"/>
  <c r="B1143" i="16"/>
  <c r="F1142" i="16"/>
  <c r="Y1142" i="16" s="1"/>
  <c r="E1142" i="16"/>
  <c r="C1142" i="16"/>
  <c r="B1142" i="16"/>
  <c r="F1141" i="16"/>
  <c r="Y1141" i="16" s="1"/>
  <c r="E1141" i="16"/>
  <c r="C1141" i="16"/>
  <c r="B1141" i="16"/>
  <c r="F1140" i="16"/>
  <c r="Y1140" i="16" s="1"/>
  <c r="E1140" i="16"/>
  <c r="C1140" i="16"/>
  <c r="B1140" i="16"/>
  <c r="F1139" i="16"/>
  <c r="Y1139" i="16" s="1"/>
  <c r="E1139" i="16"/>
  <c r="C1139" i="16"/>
  <c r="B1139" i="16"/>
  <c r="F1138" i="16"/>
  <c r="Y1138" i="16" s="1"/>
  <c r="E1138" i="16"/>
  <c r="C1138" i="16"/>
  <c r="B1138" i="16"/>
  <c r="F1137" i="16"/>
  <c r="Y1137" i="16" s="1"/>
  <c r="E1137" i="16"/>
  <c r="C1137" i="16"/>
  <c r="B1137" i="16"/>
  <c r="F1136" i="16"/>
  <c r="Y1136" i="16" s="1"/>
  <c r="E1136" i="16"/>
  <c r="C1136" i="16"/>
  <c r="B1136" i="16"/>
  <c r="F1135" i="16"/>
  <c r="Y1135" i="16" s="1"/>
  <c r="E1135" i="16"/>
  <c r="C1135" i="16"/>
  <c r="B1135" i="16"/>
  <c r="F1134" i="16"/>
  <c r="Y1134" i="16" s="1"/>
  <c r="E1134" i="16"/>
  <c r="C1134" i="16"/>
  <c r="B1134" i="16"/>
  <c r="F1133" i="16"/>
  <c r="Y1133" i="16" s="1"/>
  <c r="E1133" i="16"/>
  <c r="C1133" i="16"/>
  <c r="B1133" i="16"/>
  <c r="F1132" i="16"/>
  <c r="Y1132" i="16" s="1"/>
  <c r="E1132" i="16"/>
  <c r="C1132" i="16"/>
  <c r="B1132" i="16"/>
  <c r="F1131" i="16"/>
  <c r="Y1131" i="16" s="1"/>
  <c r="E1131" i="16"/>
  <c r="C1131" i="16"/>
  <c r="B1131" i="16"/>
  <c r="F1130" i="16"/>
  <c r="Y1130" i="16" s="1"/>
  <c r="E1130" i="16"/>
  <c r="C1130" i="16"/>
  <c r="B1130" i="16"/>
  <c r="F1129" i="16"/>
  <c r="Y1129" i="16" s="1"/>
  <c r="E1129" i="16"/>
  <c r="C1129" i="16"/>
  <c r="B1129" i="16"/>
  <c r="F1128" i="16"/>
  <c r="Y1128" i="16" s="1"/>
  <c r="E1128" i="16"/>
  <c r="C1128" i="16"/>
  <c r="B1128" i="16"/>
  <c r="F1127" i="16"/>
  <c r="Y1127" i="16" s="1"/>
  <c r="E1127" i="16"/>
  <c r="C1127" i="16"/>
  <c r="B1127" i="16"/>
  <c r="F1126" i="16"/>
  <c r="Y1126" i="16" s="1"/>
  <c r="E1126" i="16"/>
  <c r="C1126" i="16"/>
  <c r="B1126" i="16"/>
  <c r="F1125" i="16"/>
  <c r="Y1125" i="16" s="1"/>
  <c r="E1125" i="16"/>
  <c r="C1125" i="16"/>
  <c r="B1125" i="16"/>
  <c r="F1124" i="16"/>
  <c r="Y1124" i="16" s="1"/>
  <c r="E1124" i="16"/>
  <c r="C1124" i="16"/>
  <c r="B1124" i="16"/>
  <c r="F1123" i="16"/>
  <c r="Y1123" i="16" s="1"/>
  <c r="E1123" i="16"/>
  <c r="C1123" i="16"/>
  <c r="B1123" i="16"/>
  <c r="F1122" i="16"/>
  <c r="Y1122" i="16" s="1"/>
  <c r="E1122" i="16"/>
  <c r="C1122" i="16"/>
  <c r="B1122" i="16"/>
  <c r="F1121" i="16"/>
  <c r="Y1121" i="16" s="1"/>
  <c r="E1121" i="16"/>
  <c r="C1121" i="16"/>
  <c r="B1121" i="16"/>
  <c r="F1120" i="16"/>
  <c r="Y1120" i="16" s="1"/>
  <c r="E1120" i="16"/>
  <c r="C1120" i="16"/>
  <c r="B1120" i="16"/>
  <c r="F1119" i="16"/>
  <c r="Y1119" i="16" s="1"/>
  <c r="E1119" i="16"/>
  <c r="C1119" i="16"/>
  <c r="B1119" i="16"/>
  <c r="F1118" i="16"/>
  <c r="Y1118" i="16" s="1"/>
  <c r="E1118" i="16"/>
  <c r="C1118" i="16"/>
  <c r="B1118" i="16"/>
  <c r="F1117" i="16"/>
  <c r="E1117" i="16"/>
  <c r="C1117" i="16"/>
  <c r="B1117" i="16"/>
  <c r="AK1627" i="16" l="1"/>
  <c r="AF1626" i="16"/>
  <c r="AI1626" i="16"/>
  <c r="AG1626" i="16"/>
  <c r="AE1626" i="16"/>
  <c r="AH1626" i="16"/>
  <c r="AJ1626" i="16"/>
  <c r="AD1626" i="16"/>
  <c r="AC1626" i="16"/>
  <c r="AH1540" i="16"/>
  <c r="AB1852" i="16"/>
  <c r="AB1841" i="16"/>
  <c r="AH1841" i="16" s="1"/>
  <c r="AK1841" i="16" s="1"/>
  <c r="Y1266" i="16"/>
  <c r="AB1832" i="16"/>
  <c r="AB1829" i="16"/>
  <c r="AB1830" i="16"/>
  <c r="AB1843" i="16"/>
  <c r="AD1843" i="16" s="1"/>
  <c r="AK1843" i="16" s="1"/>
  <c r="AB1857" i="16"/>
  <c r="AE1857" i="16" s="1"/>
  <c r="AK1857" i="16" s="1"/>
  <c r="AB1837" i="16"/>
  <c r="AH1837" i="16" s="1"/>
  <c r="AK1837" i="16" s="1"/>
  <c r="AB1846" i="16"/>
  <c r="AD1846" i="16" s="1"/>
  <c r="AK1846" i="16" s="1"/>
  <c r="AB1833" i="16"/>
  <c r="AI1852" i="16"/>
  <c r="AK1852" i="16" s="1"/>
  <c r="AB1850" i="16"/>
  <c r="AD1850" i="16" s="1"/>
  <c r="AK1850" i="16" s="1"/>
  <c r="AB1848" i="16"/>
  <c r="AG1848" i="16" s="1"/>
  <c r="AK1848" i="16" s="1"/>
  <c r="AB1835" i="16"/>
  <c r="AD1835" i="16" s="1"/>
  <c r="AK1835" i="16" s="1"/>
  <c r="AB1851" i="16"/>
  <c r="AI1851" i="16" s="1"/>
  <c r="AK1851" i="16" s="1"/>
  <c r="AB1834" i="16"/>
  <c r="AB1844" i="16"/>
  <c r="AD1844" i="16" s="1"/>
  <c r="AK1844" i="16" s="1"/>
  <c r="AB1854" i="16"/>
  <c r="AF1854" i="16" s="1"/>
  <c r="AK1854" i="16" s="1"/>
  <c r="AB1827" i="16"/>
  <c r="AH1827" i="16" s="1"/>
  <c r="AK1827" i="16" s="1"/>
  <c r="AB1853" i="16"/>
  <c r="AF1853" i="16" s="1"/>
  <c r="AK1853" i="16" s="1"/>
  <c r="AB1847" i="16"/>
  <c r="AG1847" i="16" s="1"/>
  <c r="AK1847" i="16" s="1"/>
  <c r="AB1826" i="16"/>
  <c r="AB1831" i="16"/>
  <c r="AB1842" i="16"/>
  <c r="AB1856" i="16"/>
  <c r="AB1839" i="16"/>
  <c r="AB1825" i="16"/>
  <c r="AB1828" i="16"/>
  <c r="AI1828" i="16" s="1"/>
  <c r="AK1828" i="16" s="1"/>
  <c r="AB1838" i="16"/>
  <c r="AB1849" i="16"/>
  <c r="AD1849" i="16" s="1"/>
  <c r="AK1849" i="16" s="1"/>
  <c r="AB1845" i="16"/>
  <c r="AD1845" i="16" s="1"/>
  <c r="AK1845" i="16" s="1"/>
  <c r="AB1858" i="16"/>
  <c r="AI1858" i="16" s="1"/>
  <c r="AK1858" i="16" s="1"/>
  <c r="AB1840" i="16"/>
  <c r="AD1840" i="16" s="1"/>
  <c r="AK1840" i="16" s="1"/>
  <c r="AB1855" i="16"/>
  <c r="AF1855" i="16" s="1"/>
  <c r="AK1855" i="16" s="1"/>
  <c r="AB1836" i="16"/>
  <c r="AB1824" i="16"/>
  <c r="Z1453" i="16"/>
  <c r="Z1353" i="16"/>
  <c r="Z1196" i="16"/>
  <c r="AA1196" i="16" s="1"/>
  <c r="Z1142" i="16"/>
  <c r="AA1142" i="16" s="1"/>
  <c r="Z1143" i="16"/>
  <c r="Z1124" i="16"/>
  <c r="Z1122" i="16"/>
  <c r="AA1122" i="16" s="1"/>
  <c r="Z1123" i="16"/>
  <c r="AA1123" i="16" s="1"/>
  <c r="Z1139" i="16"/>
  <c r="Z1182" i="16"/>
  <c r="Z1387" i="16"/>
  <c r="AA1387" i="16" s="1"/>
  <c r="Z1390" i="16"/>
  <c r="AA1390" i="16" s="1"/>
  <c r="Z1398" i="16"/>
  <c r="Z1335" i="16"/>
  <c r="Z1367" i="16"/>
  <c r="AA1367" i="16" s="1"/>
  <c r="Z1396" i="16"/>
  <c r="AA1396" i="16" s="1"/>
  <c r="Z1140" i="16"/>
  <c r="Z1183" i="16"/>
  <c r="Z1184" i="16"/>
  <c r="AA1184" i="16" s="1"/>
  <c r="Z1185" i="16"/>
  <c r="AA1185" i="16" s="1"/>
  <c r="Z1198" i="16"/>
  <c r="Z1199" i="16"/>
  <c r="Z1200" i="16"/>
  <c r="AA1200" i="16" s="1"/>
  <c r="Z1209" i="16"/>
  <c r="AA1209" i="16" s="1"/>
  <c r="Z1210" i="16"/>
  <c r="Z1211" i="16"/>
  <c r="Z1222" i="16"/>
  <c r="AA1222" i="16" s="1"/>
  <c r="Z1223" i="16"/>
  <c r="AA1223" i="16" s="1"/>
  <c r="Z1224" i="16"/>
  <c r="Z1233" i="16"/>
  <c r="Z1234" i="16"/>
  <c r="AA1234" i="16" s="1"/>
  <c r="Z1236" i="16"/>
  <c r="AA1236" i="16" s="1"/>
  <c r="Z1256" i="16"/>
  <c r="Z1257" i="16"/>
  <c r="Z1258" i="16"/>
  <c r="AA1258" i="16" s="1"/>
  <c r="Z1268" i="16"/>
  <c r="AA1268" i="16" s="1"/>
  <c r="Z1269" i="16"/>
  <c r="Z1282" i="16"/>
  <c r="Z1283" i="16"/>
  <c r="AA1283" i="16" s="1"/>
  <c r="Z1284" i="16"/>
  <c r="AA1284" i="16" s="1"/>
  <c r="Z1293" i="16"/>
  <c r="Z1295" i="16"/>
  <c r="Z1329" i="16"/>
  <c r="AA1329" i="16" s="1"/>
  <c r="Z1333" i="16"/>
  <c r="AA1333" i="16" s="1"/>
  <c r="Z1336" i="16"/>
  <c r="Z1357" i="16"/>
  <c r="Z1363" i="16"/>
  <c r="AA1363" i="16" s="1"/>
  <c r="Z1370" i="16"/>
  <c r="AA1370" i="16" s="1"/>
  <c r="Z1373" i="16"/>
  <c r="Z1380" i="16"/>
  <c r="Z1382" i="16"/>
  <c r="AA1382" i="16" s="1"/>
  <c r="Z1385" i="16"/>
  <c r="AA1385" i="16" s="1"/>
  <c r="Z1402" i="16"/>
  <c r="Z1126" i="16"/>
  <c r="Z1129" i="16"/>
  <c r="AA1129" i="16" s="1"/>
  <c r="Z1133" i="16"/>
  <c r="AA1133" i="16" s="1"/>
  <c r="Z1141" i="16"/>
  <c r="AA1141" i="16" s="1"/>
  <c r="Z1187" i="16"/>
  <c r="Z1190" i="16"/>
  <c r="AA1190" i="16" s="1"/>
  <c r="Z1195" i="16"/>
  <c r="AA1195" i="16" s="1"/>
  <c r="Z1203" i="16"/>
  <c r="Z1207" i="16"/>
  <c r="Z1208" i="16"/>
  <c r="AA1208" i="16" s="1"/>
  <c r="Z1212" i="16"/>
  <c r="AA1212" i="16" s="1"/>
  <c r="Z1216" i="16"/>
  <c r="Z1220" i="16"/>
  <c r="Z1221" i="16"/>
  <c r="AA1221" i="16" s="1"/>
  <c r="Z1226" i="16"/>
  <c r="AA1226" i="16" s="1"/>
  <c r="Z1229" i="16"/>
  <c r="Z1239" i="16"/>
  <c r="Z1243" i="16"/>
  <c r="AA1243" i="16" s="1"/>
  <c r="Z1248" i="16"/>
  <c r="AA1248" i="16" s="1"/>
  <c r="Z1252" i="16"/>
  <c r="Z1261" i="16"/>
  <c r="Z1265" i="16"/>
  <c r="AA1265" i="16" s="1"/>
  <c r="Z1267" i="16"/>
  <c r="AA1267" i="16" s="1"/>
  <c r="Z1271" i="16"/>
  <c r="Z1275" i="16"/>
  <c r="Z1279" i="16"/>
  <c r="AA1279" i="16" s="1"/>
  <c r="Z1288" i="16"/>
  <c r="AA1288" i="16" s="1"/>
  <c r="Z1296" i="16"/>
  <c r="AA1296" i="16" s="1"/>
  <c r="Z1299" i="16"/>
  <c r="Z1302" i="16"/>
  <c r="AA1302" i="16" s="1"/>
  <c r="Z1305" i="16"/>
  <c r="AA1305" i="16" s="1"/>
  <c r="Z1308" i="16"/>
  <c r="Z1313" i="16"/>
  <c r="Z1316" i="16"/>
  <c r="AA1316" i="16" s="1"/>
  <c r="Z1319" i="16"/>
  <c r="AA1319" i="16" s="1"/>
  <c r="Z1322" i="16"/>
  <c r="Z1324" i="16"/>
  <c r="AA1324" i="16" s="1"/>
  <c r="Z1434" i="16"/>
  <c r="AA1434" i="16" s="1"/>
  <c r="Z1127" i="16"/>
  <c r="AA1127" i="16" s="1"/>
  <c r="Z1131" i="16"/>
  <c r="Z1135" i="16"/>
  <c r="AA1135" i="16" s="1"/>
  <c r="Z1137" i="16"/>
  <c r="AA1137" i="16" s="1"/>
  <c r="Z1138" i="16"/>
  <c r="AA1138" i="16" s="1"/>
  <c r="Z1188" i="16"/>
  <c r="AA1188" i="16" s="1"/>
  <c r="Z1192" i="16"/>
  <c r="AA1192" i="16" s="1"/>
  <c r="Z1197" i="16"/>
  <c r="AA1197" i="16" s="1"/>
  <c r="Z1202" i="16"/>
  <c r="AA1202" i="16" s="1"/>
  <c r="Z1205" i="16"/>
  <c r="AA1205" i="16" s="1"/>
  <c r="Z1215" i="16"/>
  <c r="AA1215" i="16" s="1"/>
  <c r="Z1219" i="16"/>
  <c r="AA1219" i="16" s="1"/>
  <c r="Z1228" i="16"/>
  <c r="AA1228" i="16" s="1"/>
  <c r="Z1231" i="16"/>
  <c r="AA1231" i="16" s="1"/>
  <c r="Z1232" i="16"/>
  <c r="AA1235" i="16"/>
  <c r="Z1237" i="16"/>
  <c r="AA1237" i="16" s="1"/>
  <c r="Z1241" i="16"/>
  <c r="Z1245" i="16"/>
  <c r="AA1245" i="16" s="1"/>
  <c r="Z1249" i="16"/>
  <c r="AA1249" i="16" s="1"/>
  <c r="Z1253" i="16"/>
  <c r="AA1253" i="16" s="1"/>
  <c r="Z1262" i="16"/>
  <c r="AA1262" i="16" s="1"/>
  <c r="Z1266" i="16"/>
  <c r="AA1266" i="16" s="1"/>
  <c r="Z1270" i="16"/>
  <c r="AA1270" i="16" s="1"/>
  <c r="Z1274" i="16"/>
  <c r="AA1274" i="16" s="1"/>
  <c r="Z1278" i="16"/>
  <c r="AA1278" i="16" s="1"/>
  <c r="Z1286" i="16"/>
  <c r="AA1286" i="16" s="1"/>
  <c r="Z1291" i="16"/>
  <c r="AA1291" i="16" s="1"/>
  <c r="Z1439" i="16"/>
  <c r="AA1439" i="16" s="1"/>
  <c r="AA1453" i="16"/>
  <c r="Z1471" i="16"/>
  <c r="AA1471" i="16" s="1"/>
  <c r="Z1121" i="16"/>
  <c r="AA1121" i="16" s="1"/>
  <c r="Z1125" i="16"/>
  <c r="AA1125" i="16" s="1"/>
  <c r="Z1130" i="16"/>
  <c r="Z1134" i="16"/>
  <c r="AA1134" i="16" s="1"/>
  <c r="Z1186" i="16"/>
  <c r="AA1186" i="16" s="1"/>
  <c r="Z1191" i="16"/>
  <c r="AA1191" i="16" s="1"/>
  <c r="Z1194" i="16"/>
  <c r="Z1204" i="16"/>
  <c r="AA1204" i="16" s="1"/>
  <c r="Z1213" i="16"/>
  <c r="AA1213" i="16" s="1"/>
  <c r="Z1217" i="16"/>
  <c r="AA1217" i="16" s="1"/>
  <c r="Z1225" i="16"/>
  <c r="Z1230" i="16"/>
  <c r="AA1230" i="16" s="1"/>
  <c r="Z1240" i="16"/>
  <c r="AA1240" i="16" s="1"/>
  <c r="Z1244" i="16"/>
  <c r="AA1244" i="16" s="1"/>
  <c r="Z1247" i="16"/>
  <c r="Z1251" i="16"/>
  <c r="AA1251" i="16" s="1"/>
  <c r="Z1260" i="16"/>
  <c r="AA1260" i="16" s="1"/>
  <c r="Z1264" i="16"/>
  <c r="AA1264" i="16" s="1"/>
  <c r="Z1273" i="16"/>
  <c r="Z1277" i="16"/>
  <c r="AA1277" i="16" s="1"/>
  <c r="Z1287" i="16"/>
  <c r="AA1287" i="16" s="1"/>
  <c r="Z1290" i="16"/>
  <c r="AA1290" i="16" s="1"/>
  <c r="Z1292" i="16"/>
  <c r="AA1292" i="16" s="1"/>
  <c r="Z1294" i="16"/>
  <c r="AA1294" i="16" s="1"/>
  <c r="Z1297" i="16"/>
  <c r="AA1297" i="16" s="1"/>
  <c r="Z1300" i="16"/>
  <c r="AA1300" i="16" s="1"/>
  <c r="Z1303" i="16"/>
  <c r="Z1306" i="16"/>
  <c r="AA1306" i="16" s="1"/>
  <c r="Z1309" i="16"/>
  <c r="AA1309" i="16" s="1"/>
  <c r="Z1311" i="16"/>
  <c r="AA1311" i="16" s="1"/>
  <c r="Z1314" i="16"/>
  <c r="AA1314" i="16" s="1"/>
  <c r="Z1317" i="16"/>
  <c r="AA1317" i="16" s="1"/>
  <c r="Z1320" i="16"/>
  <c r="AA1320" i="16" s="1"/>
  <c r="Z1323" i="16"/>
  <c r="AA1323" i="16" s="1"/>
  <c r="Z1325" i="16"/>
  <c r="Z1327" i="16"/>
  <c r="AA1327" i="16" s="1"/>
  <c r="Z1328" i="16"/>
  <c r="AA1328" i="16" s="1"/>
  <c r="Z1331" i="16"/>
  <c r="AA1331" i="16" s="1"/>
  <c r="Z1332" i="16"/>
  <c r="AA1332" i="16" s="1"/>
  <c r="Z1334" i="16"/>
  <c r="AA1334" i="16" s="1"/>
  <c r="Z1338" i="16"/>
  <c r="AA1338" i="16" s="1"/>
  <c r="Z1393" i="16"/>
  <c r="AA1393" i="16" s="1"/>
  <c r="AB1393" i="16" s="1"/>
  <c r="Z1397" i="16"/>
  <c r="Z1405" i="16"/>
  <c r="AA1405" i="16" s="1"/>
  <c r="Z1406" i="16"/>
  <c r="AA1406" i="16" s="1"/>
  <c r="AB1406" i="16" s="1"/>
  <c r="Z1407" i="16"/>
  <c r="AA1407" i="16" s="1"/>
  <c r="AB1407" i="16" s="1"/>
  <c r="Z1408" i="16"/>
  <c r="AA1408" i="16" s="1"/>
  <c r="AB1408" i="16" s="1"/>
  <c r="Z1409" i="16"/>
  <c r="AA1409" i="16" s="1"/>
  <c r="AB1409" i="16" s="1"/>
  <c r="Z1410" i="16"/>
  <c r="AA1410" i="16" s="1"/>
  <c r="AB1410" i="16" s="1"/>
  <c r="Z1411" i="16"/>
  <c r="AA1411" i="16" s="1"/>
  <c r="AB1411" i="16" s="1"/>
  <c r="Z1412" i="16"/>
  <c r="AA1412" i="16" s="1"/>
  <c r="AB1412" i="16" s="1"/>
  <c r="Z1413" i="16"/>
  <c r="AA1413" i="16" s="1"/>
  <c r="AB1413" i="16" s="1"/>
  <c r="Z1414" i="16"/>
  <c r="AA1414" i="16" s="1"/>
  <c r="AB1414" i="16" s="1"/>
  <c r="Z1415" i="16"/>
  <c r="AA1415" i="16" s="1"/>
  <c r="AB1415" i="16" s="1"/>
  <c r="Z1416" i="16"/>
  <c r="AA1416" i="16" s="1"/>
  <c r="Z1435" i="16"/>
  <c r="AA1435" i="16" s="1"/>
  <c r="Z1447" i="16"/>
  <c r="AA1447" i="16" s="1"/>
  <c r="Z1451" i="16"/>
  <c r="AA1451" i="16" s="1"/>
  <c r="Z1458" i="16"/>
  <c r="AA1458" i="16" s="1"/>
  <c r="Z1128" i="16"/>
  <c r="AA1128" i="16" s="1"/>
  <c r="Z1132" i="16"/>
  <c r="AA1132" i="16" s="1"/>
  <c r="Z1136" i="16"/>
  <c r="AA1136" i="16" s="1"/>
  <c r="Z1189" i="16"/>
  <c r="Z1193" i="16"/>
  <c r="AA1193" i="16" s="1"/>
  <c r="Z1201" i="16"/>
  <c r="AA1201" i="16" s="1"/>
  <c r="Z1206" i="16"/>
  <c r="AA1206" i="16" s="1"/>
  <c r="Z1214" i="16"/>
  <c r="Z1218" i="16"/>
  <c r="AA1218" i="16" s="1"/>
  <c r="Z1227" i="16"/>
  <c r="AA1227" i="16" s="1"/>
  <c r="Z1238" i="16"/>
  <c r="AA1238" i="16" s="1"/>
  <c r="Z1242" i="16"/>
  <c r="Z1246" i="16"/>
  <c r="AA1246" i="16" s="1"/>
  <c r="Z1250" i="16"/>
  <c r="AA1250" i="16" s="1"/>
  <c r="Z1254" i="16"/>
  <c r="AA1254" i="16" s="1"/>
  <c r="Z1255" i="16"/>
  <c r="AA1255" i="16" s="1"/>
  <c r="Z1259" i="16"/>
  <c r="AA1259" i="16" s="1"/>
  <c r="Z1263" i="16"/>
  <c r="AA1263" i="16" s="1"/>
  <c r="Z1272" i="16"/>
  <c r="AA1272" i="16" s="1"/>
  <c r="Z1276" i="16"/>
  <c r="Z1280" i="16"/>
  <c r="AA1280" i="16" s="1"/>
  <c r="Z1281" i="16"/>
  <c r="AA1281" i="16" s="1"/>
  <c r="Z1285" i="16"/>
  <c r="AA1285" i="16" s="1"/>
  <c r="Z1289" i="16"/>
  <c r="AA1289" i="16" s="1"/>
  <c r="Z1298" i="16"/>
  <c r="AA1298" i="16" s="1"/>
  <c r="Z1301" i="16"/>
  <c r="AA1301" i="16" s="1"/>
  <c r="Z1304" i="16"/>
  <c r="AA1304" i="16" s="1"/>
  <c r="Z1307" i="16"/>
  <c r="AA1307" i="16" s="1"/>
  <c r="Z1310" i="16"/>
  <c r="AA1310" i="16" s="1"/>
  <c r="Z1312" i="16"/>
  <c r="AA1312" i="16" s="1"/>
  <c r="Z1315" i="16"/>
  <c r="AA1315" i="16" s="1"/>
  <c r="Z1318" i="16"/>
  <c r="AA1318" i="16" s="1"/>
  <c r="Z1321" i="16"/>
  <c r="AA1321" i="16" s="1"/>
  <c r="Z1326" i="16"/>
  <c r="AA1326" i="16" s="1"/>
  <c r="Z1330" i="16"/>
  <c r="AA1330" i="16" s="1"/>
  <c r="Z1337" i="16"/>
  <c r="AA1337" i="16" s="1"/>
  <c r="Z1339" i="16"/>
  <c r="AA1339" i="16" s="1"/>
  <c r="Z1340" i="16"/>
  <c r="AA1340" i="16" s="1"/>
  <c r="Z1341" i="16"/>
  <c r="AA1341" i="16" s="1"/>
  <c r="Z1342" i="16"/>
  <c r="AA1342" i="16" s="1"/>
  <c r="Z1343" i="16"/>
  <c r="AA1343" i="16" s="1"/>
  <c r="Z1344" i="16"/>
  <c r="AA1344" i="16" s="1"/>
  <c r="Z1345" i="16"/>
  <c r="AA1345" i="16" s="1"/>
  <c r="Z1346" i="16"/>
  <c r="AA1346" i="16" s="1"/>
  <c r="Z1347" i="16"/>
  <c r="AA1347" i="16" s="1"/>
  <c r="Z1348" i="16"/>
  <c r="AA1348" i="16" s="1"/>
  <c r="Z1349" i="16"/>
  <c r="AA1349" i="16" s="1"/>
  <c r="Z1350" i="16"/>
  <c r="AA1350" i="16" s="1"/>
  <c r="Z1351" i="16"/>
  <c r="AA1351" i="16" s="1"/>
  <c r="Z1354" i="16"/>
  <c r="AA1354" i="16" s="1"/>
  <c r="Z1355" i="16"/>
  <c r="AA1355" i="16" s="1"/>
  <c r="Z1356" i="16"/>
  <c r="AA1356" i="16" s="1"/>
  <c r="Z1358" i="16"/>
  <c r="AA1358" i="16" s="1"/>
  <c r="Z1359" i="16"/>
  <c r="AA1359" i="16" s="1"/>
  <c r="Z1360" i="16"/>
  <c r="AA1360" i="16" s="1"/>
  <c r="Z1361" i="16"/>
  <c r="AA1361" i="16" s="1"/>
  <c r="Z1362" i="16"/>
  <c r="AA1362" i="16" s="1"/>
  <c r="Z1364" i="16"/>
  <c r="AA1364" i="16" s="1"/>
  <c r="Z1365" i="16"/>
  <c r="AA1365" i="16" s="1"/>
  <c r="Z1366" i="16"/>
  <c r="AA1366" i="16" s="1"/>
  <c r="Z1368" i="16"/>
  <c r="AA1368" i="16" s="1"/>
  <c r="Z1369" i="16"/>
  <c r="AA1369" i="16" s="1"/>
  <c r="Z1371" i="16"/>
  <c r="AA1371" i="16" s="1"/>
  <c r="Z1372" i="16"/>
  <c r="AA1372" i="16" s="1"/>
  <c r="Z1374" i="16"/>
  <c r="AA1374" i="16" s="1"/>
  <c r="Z1375" i="16"/>
  <c r="AA1375" i="16" s="1"/>
  <c r="Z1376" i="16"/>
  <c r="AA1376" i="16" s="1"/>
  <c r="Z1377" i="16"/>
  <c r="AA1377" i="16" s="1"/>
  <c r="Z1381" i="16"/>
  <c r="AA1381" i="16" s="1"/>
  <c r="Z1383" i="16"/>
  <c r="AA1383" i="16" s="1"/>
  <c r="Z1384" i="16"/>
  <c r="AA1384" i="16" s="1"/>
  <c r="Z1386" i="16"/>
  <c r="AA1386" i="16" s="1"/>
  <c r="Z1388" i="16"/>
  <c r="AA1388" i="16" s="1"/>
  <c r="Z1389" i="16"/>
  <c r="AA1389" i="16" s="1"/>
  <c r="Z1391" i="16"/>
  <c r="AA1391" i="16" s="1"/>
  <c r="Z1392" i="16"/>
  <c r="AA1392" i="16" s="1"/>
  <c r="Z1394" i="16"/>
  <c r="AA1394" i="16" s="1"/>
  <c r="Z1395" i="16"/>
  <c r="AA1395" i="16" s="1"/>
  <c r="Z1399" i="16"/>
  <c r="AA1399" i="16" s="1"/>
  <c r="Z1401" i="16"/>
  <c r="AA1401" i="16" s="1"/>
  <c r="Z1403" i="16"/>
  <c r="AA1403" i="16" s="1"/>
  <c r="Z1404" i="16"/>
  <c r="AA1404" i="16" s="1"/>
  <c r="Z1417" i="16"/>
  <c r="AA1417" i="16" s="1"/>
  <c r="Z1418" i="16"/>
  <c r="AA1418" i="16" s="1"/>
  <c r="Z1419" i="16"/>
  <c r="AA1419" i="16" s="1"/>
  <c r="Z1420" i="16"/>
  <c r="AA1420" i="16" s="1"/>
  <c r="Z1424" i="16"/>
  <c r="AA1424" i="16" s="1"/>
  <c r="Z1425" i="16"/>
  <c r="AA1425" i="16" s="1"/>
  <c r="Z1468" i="16"/>
  <c r="AA1468" i="16" s="1"/>
  <c r="Z1476" i="16"/>
  <c r="AA1476" i="16" s="1"/>
  <c r="Z1480" i="16"/>
  <c r="AA1480" i="16" s="1"/>
  <c r="Z1484" i="16"/>
  <c r="AA1484" i="16" s="1"/>
  <c r="Y1378" i="16"/>
  <c r="Z1378" i="16" s="1"/>
  <c r="AA1182" i="16"/>
  <c r="AA1183" i="16"/>
  <c r="AA1352" i="16"/>
  <c r="AB1352" i="16" s="1"/>
  <c r="Y1400" i="16"/>
  <c r="Y1163" i="16"/>
  <c r="Z1169" i="16" s="1"/>
  <c r="AA1169" i="16" s="1"/>
  <c r="AA1181" i="16"/>
  <c r="AA1232" i="16"/>
  <c r="Y1144" i="16"/>
  <c r="Y1145" i="16"/>
  <c r="AA1357" i="16"/>
  <c r="AA1373" i="16"/>
  <c r="AA1269" i="16"/>
  <c r="AA1282" i="16"/>
  <c r="AA1295" i="16"/>
  <c r="AA1335" i="16"/>
  <c r="AA1336" i="16"/>
  <c r="AA1353" i="16"/>
  <c r="AA1380" i="16"/>
  <c r="AA1199" i="16"/>
  <c r="AA1211" i="16"/>
  <c r="AA1198" i="16"/>
  <c r="AA1233" i="16"/>
  <c r="AA1256" i="16"/>
  <c r="AA1397" i="16"/>
  <c r="AA1398" i="16"/>
  <c r="AA1402" i="16"/>
  <c r="AA1139" i="16"/>
  <c r="AA1210" i="16"/>
  <c r="AA1257" i="16"/>
  <c r="AA1124" i="16"/>
  <c r="AA1140" i="16"/>
  <c r="AA1143" i="16"/>
  <c r="AA1187" i="16"/>
  <c r="AA1203" i="16"/>
  <c r="AA1242" i="16"/>
  <c r="AA1293" i="16"/>
  <c r="AA1216" i="16"/>
  <c r="AA1220" i="16"/>
  <c r="AA1224" i="16"/>
  <c r="AA1239" i="16"/>
  <c r="AA1247" i="16"/>
  <c r="AA1261" i="16"/>
  <c r="AA1273" i="16"/>
  <c r="AA1313" i="16"/>
  <c r="AA1322" i="16"/>
  <c r="AA1131" i="16"/>
  <c r="AA1252" i="16"/>
  <c r="AA1271" i="16"/>
  <c r="AA1275" i="16"/>
  <c r="AA1308" i="16"/>
  <c r="AA1325" i="16"/>
  <c r="AA1126" i="16"/>
  <c r="AA1130" i="16"/>
  <c r="AA1189" i="16"/>
  <c r="AA1194" i="16"/>
  <c r="AA1207" i="16"/>
  <c r="AA1214" i="16"/>
  <c r="AA1225" i="16"/>
  <c r="AA1229" i="16"/>
  <c r="AA1241" i="16"/>
  <c r="AA1276" i="16"/>
  <c r="AA1299" i="16"/>
  <c r="AA1303" i="16"/>
  <c r="Y1117" i="16"/>
  <c r="Z1117" i="16" s="1"/>
  <c r="AA1117" i="16" s="1"/>
  <c r="AD1497" i="16" l="1"/>
  <c r="AD1522" i="16"/>
  <c r="AD1540" i="16"/>
  <c r="AD1811" i="16"/>
  <c r="AG1540" i="16"/>
  <c r="AG1522" i="16"/>
  <c r="AG1811" i="16"/>
  <c r="AG1497" i="16"/>
  <c r="AJ1811" i="16"/>
  <c r="AJ1497" i="16"/>
  <c r="AJ1540" i="16"/>
  <c r="AJ1522" i="16"/>
  <c r="AI1522" i="16"/>
  <c r="AI1811" i="16"/>
  <c r="AI1540" i="16"/>
  <c r="AH1522" i="16"/>
  <c r="AH1811" i="16"/>
  <c r="AH1497" i="16"/>
  <c r="AF1497" i="16"/>
  <c r="AF1522" i="16"/>
  <c r="AF1540" i="16"/>
  <c r="AF1811" i="16"/>
  <c r="AC1540" i="16"/>
  <c r="AC1811" i="16"/>
  <c r="AK1626" i="16"/>
  <c r="AC1497" i="16"/>
  <c r="AC1522" i="16"/>
  <c r="AE1811" i="16"/>
  <c r="AE1522" i="16"/>
  <c r="AE1540" i="16"/>
  <c r="AE1497" i="16"/>
  <c r="AI1497" i="16"/>
  <c r="AI1838" i="16"/>
  <c r="AF1838" i="16"/>
  <c r="AE1838" i="16"/>
  <c r="AH1838" i="16"/>
  <c r="AG1838" i="16"/>
  <c r="AJ1838" i="16"/>
  <c r="AD1838" i="16"/>
  <c r="AC1838" i="16"/>
  <c r="AI1856" i="16"/>
  <c r="AK1856" i="16" s="1"/>
  <c r="AF1833" i="16"/>
  <c r="AI1833" i="16"/>
  <c r="AH1833" i="16"/>
  <c r="AG1833" i="16"/>
  <c r="AJ1833" i="16"/>
  <c r="AD1833" i="16"/>
  <c r="AE1833" i="16"/>
  <c r="AC1833" i="16"/>
  <c r="AH1842" i="16"/>
  <c r="AF1842" i="16"/>
  <c r="AI1842" i="16"/>
  <c r="AJ1842" i="16"/>
  <c r="AC1842" i="16"/>
  <c r="AD1842" i="16"/>
  <c r="AG1842" i="16"/>
  <c r="AE1842" i="16"/>
  <c r="AH1834" i="16"/>
  <c r="AG1834" i="16"/>
  <c r="AF1834" i="16"/>
  <c r="AI1834" i="16"/>
  <c r="AC1834" i="16"/>
  <c r="AD1834" i="16"/>
  <c r="AE1834" i="16"/>
  <c r="AJ1834" i="16"/>
  <c r="AF1830" i="16"/>
  <c r="AH1830" i="16"/>
  <c r="AG1830" i="16"/>
  <c r="AI1830" i="16"/>
  <c r="AD1830" i="16"/>
  <c r="AC1830" i="16"/>
  <c r="AE1830" i="16"/>
  <c r="AJ1830" i="16"/>
  <c r="AH1836" i="16"/>
  <c r="AF1836" i="16"/>
  <c r="AI1836" i="16"/>
  <c r="AE1836" i="16"/>
  <c r="AC1836" i="16"/>
  <c r="AD1836" i="16"/>
  <c r="AG1836" i="16"/>
  <c r="AJ1836" i="16"/>
  <c r="AI1825" i="16"/>
  <c r="AF1825" i="16"/>
  <c r="AH1825" i="16"/>
  <c r="AG1825" i="16"/>
  <c r="AD1825" i="16"/>
  <c r="AE1825" i="16"/>
  <c r="AJ1825" i="16"/>
  <c r="AC1825" i="16"/>
  <c r="AF1831" i="16"/>
  <c r="AH1831" i="16"/>
  <c r="AE1831" i="16"/>
  <c r="AG1831" i="16"/>
  <c r="AI1831" i="16"/>
  <c r="AC1831" i="16"/>
  <c r="AD1831" i="16"/>
  <c r="AJ1831" i="16"/>
  <c r="AF1829" i="16"/>
  <c r="AG1829" i="16"/>
  <c r="AI1829" i="16"/>
  <c r="AH1829" i="16"/>
  <c r="AE1829" i="16"/>
  <c r="AD1829" i="16"/>
  <c r="AC1829" i="16"/>
  <c r="AJ1829" i="16"/>
  <c r="AF1839" i="16"/>
  <c r="AG1839" i="16"/>
  <c r="AI1839" i="16"/>
  <c r="AH1839" i="16"/>
  <c r="AE1839" i="16"/>
  <c r="AJ1839" i="16"/>
  <c r="AD1839" i="16"/>
  <c r="AC1839" i="16"/>
  <c r="AH1826" i="16"/>
  <c r="AI1826" i="16"/>
  <c r="AF1826" i="16"/>
  <c r="AG1826" i="16"/>
  <c r="AE1826" i="16"/>
  <c r="AD1826" i="16"/>
  <c r="AC1826" i="16"/>
  <c r="AJ1826" i="16"/>
  <c r="AE1832" i="16"/>
  <c r="AG1832" i="16"/>
  <c r="AH1832" i="16"/>
  <c r="AI1832" i="16"/>
  <c r="AF1832" i="16"/>
  <c r="AD1832" i="16"/>
  <c r="AJ1832" i="16"/>
  <c r="AC1832" i="16"/>
  <c r="AJ1414" i="16"/>
  <c r="AK1414" i="16" s="1"/>
  <c r="AJ1410" i="16"/>
  <c r="AK1410" i="16" s="1"/>
  <c r="AJ1406" i="16"/>
  <c r="AK1406" i="16" s="1"/>
  <c r="AJ1352" i="16"/>
  <c r="AK1352" i="16" s="1"/>
  <c r="AJ1413" i="16"/>
  <c r="AK1413" i="16" s="1"/>
  <c r="AJ1409" i="16"/>
  <c r="AK1409" i="16" s="1"/>
  <c r="AJ1412" i="16"/>
  <c r="AK1412" i="16" s="1"/>
  <c r="AJ1408" i="16"/>
  <c r="AK1408" i="16" s="1"/>
  <c r="AJ1415" i="16"/>
  <c r="AK1415" i="16" s="1"/>
  <c r="AJ1411" i="16"/>
  <c r="AK1411" i="16" s="1"/>
  <c r="AJ1407" i="16"/>
  <c r="AK1407" i="16" s="1"/>
  <c r="AJ1393" i="16"/>
  <c r="AK1393" i="16" s="1"/>
  <c r="Z1487" i="16"/>
  <c r="AA1487" i="16" s="1"/>
  <c r="Z1483" i="16"/>
  <c r="AA1483" i="16" s="1"/>
  <c r="Z1479" i="16"/>
  <c r="AA1479" i="16" s="1"/>
  <c r="Z1475" i="16"/>
  <c r="AA1475" i="16" s="1"/>
  <c r="Z1467" i="16"/>
  <c r="AA1467" i="16" s="1"/>
  <c r="Z1455" i="16"/>
  <c r="AA1455" i="16" s="1"/>
  <c r="Z1444" i="16"/>
  <c r="AA1444" i="16" s="1"/>
  <c r="Z1470" i="16"/>
  <c r="AA1470" i="16" s="1"/>
  <c r="Z1448" i="16"/>
  <c r="AA1448" i="16" s="1"/>
  <c r="Z1436" i="16"/>
  <c r="AA1436" i="16" s="1"/>
  <c r="Z1486" i="16"/>
  <c r="AA1486" i="16" s="1"/>
  <c r="Z1482" i="16"/>
  <c r="AA1482" i="16" s="1"/>
  <c r="Z1478" i="16"/>
  <c r="AA1478" i="16" s="1"/>
  <c r="Z1474" i="16"/>
  <c r="AA1474" i="16" s="1"/>
  <c r="Z1464" i="16"/>
  <c r="AA1464" i="16" s="1"/>
  <c r="Z1441" i="16"/>
  <c r="AA1441" i="16" s="1"/>
  <c r="Z1462" i="16"/>
  <c r="AA1462" i="16" s="1"/>
  <c r="Z1445" i="16"/>
  <c r="AA1445" i="16" s="1"/>
  <c r="Z1449" i="16"/>
  <c r="AA1449" i="16" s="1"/>
  <c r="Z1485" i="16"/>
  <c r="AA1485" i="16" s="1"/>
  <c r="Z1481" i="16"/>
  <c r="AA1481" i="16" s="1"/>
  <c r="Z1477" i="16"/>
  <c r="AA1477" i="16" s="1"/>
  <c r="Z1472" i="16"/>
  <c r="AA1472" i="16" s="1"/>
  <c r="Z1461" i="16"/>
  <c r="AA1461" i="16" s="1"/>
  <c r="Z1450" i="16"/>
  <c r="AA1450" i="16" s="1"/>
  <c r="Z1438" i="16"/>
  <c r="AA1438" i="16" s="1"/>
  <c r="Z1460" i="16"/>
  <c r="AA1460" i="16" s="1"/>
  <c r="Z1442" i="16"/>
  <c r="AA1442" i="16" s="1"/>
  <c r="Z1446" i="16"/>
  <c r="AA1446" i="16" s="1"/>
  <c r="Z1423" i="16"/>
  <c r="AA1423" i="16" s="1"/>
  <c r="Z1443" i="16"/>
  <c r="AA1443" i="16" s="1"/>
  <c r="AB1396" i="16"/>
  <c r="AJ1396" i="16" s="1"/>
  <c r="AK1396" i="16" s="1"/>
  <c r="AB1369" i="16"/>
  <c r="AC1369" i="16" s="1"/>
  <c r="AK1369" i="16" s="1"/>
  <c r="AB1386" i="16"/>
  <c r="Z1427" i="16"/>
  <c r="AA1427" i="16" s="1"/>
  <c r="Z1465" i="16"/>
  <c r="AA1465" i="16" s="1"/>
  <c r="Z1440" i="16"/>
  <c r="AA1440" i="16" s="1"/>
  <c r="Z1146" i="16"/>
  <c r="AA1146" i="16" s="1"/>
  <c r="AB1381" i="16"/>
  <c r="AC1381" i="16" s="1"/>
  <c r="AK1381" i="16" s="1"/>
  <c r="AB1384" i="16"/>
  <c r="AC1384" i="16" s="1"/>
  <c r="Z1428" i="16"/>
  <c r="AA1428" i="16" s="1"/>
  <c r="AB1392" i="16"/>
  <c r="AB1293" i="16"/>
  <c r="AC1293" i="16" s="1"/>
  <c r="AK1293" i="16" s="1"/>
  <c r="Z1145" i="16"/>
  <c r="AA1145" i="16" s="1"/>
  <c r="AB1294" i="16"/>
  <c r="Z1426" i="16"/>
  <c r="AA1426" i="16" s="1"/>
  <c r="AB1362" i="16"/>
  <c r="AC1362" i="16" s="1"/>
  <c r="AK1362" i="16" s="1"/>
  <c r="Z1179" i="16"/>
  <c r="AA1179" i="16" s="1"/>
  <c r="Z1162" i="16"/>
  <c r="AA1162" i="16" s="1"/>
  <c r="Z1148" i="16"/>
  <c r="AA1148" i="16" s="1"/>
  <c r="Z1119" i="16"/>
  <c r="Z1164" i="16"/>
  <c r="AA1164" i="16" s="1"/>
  <c r="Z1147" i="16"/>
  <c r="AA1147" i="16" s="1"/>
  <c r="Z1456" i="16"/>
  <c r="AA1456" i="16" s="1"/>
  <c r="Z1166" i="16"/>
  <c r="AA1166" i="16" s="1"/>
  <c r="Z1149" i="16"/>
  <c r="AA1149" i="16" s="1"/>
  <c r="Z1118" i="16"/>
  <c r="AA1118" i="16" s="1"/>
  <c r="Z1463" i="16"/>
  <c r="AA1463" i="16" s="1"/>
  <c r="Z1437" i="16"/>
  <c r="AA1437" i="16" s="1"/>
  <c r="Z1430" i="16"/>
  <c r="AA1430" i="16" s="1"/>
  <c r="Z1174" i="16"/>
  <c r="AA1174" i="16" s="1"/>
  <c r="Z1155" i="16"/>
  <c r="AA1155" i="16" s="1"/>
  <c r="AB1295" i="16"/>
  <c r="AC1295" i="16" s="1"/>
  <c r="AK1295" i="16" s="1"/>
  <c r="AA1180" i="16"/>
  <c r="Z1175" i="16"/>
  <c r="AA1175" i="16" s="1"/>
  <c r="Z1158" i="16"/>
  <c r="AA1158" i="16" s="1"/>
  <c r="Z1178" i="16"/>
  <c r="AA1178" i="16" s="1"/>
  <c r="Z1159" i="16"/>
  <c r="AA1159" i="16" s="1"/>
  <c r="Z1433" i="16"/>
  <c r="AA1433" i="16" s="1"/>
  <c r="Z1176" i="16"/>
  <c r="AA1176" i="16" s="1"/>
  <c r="Z1161" i="16"/>
  <c r="AA1161" i="16" s="1"/>
  <c r="Z1473" i="16"/>
  <c r="AA1473" i="16" s="1"/>
  <c r="Z1459" i="16"/>
  <c r="AA1459" i="16" s="1"/>
  <c r="Z1422" i="16"/>
  <c r="AA1422" i="16" s="1"/>
  <c r="Z1151" i="16"/>
  <c r="AA1151" i="16" s="1"/>
  <c r="AB1138" i="16"/>
  <c r="AF1138" i="16" s="1"/>
  <c r="AK1138" i="16" s="1"/>
  <c r="Z1163" i="16"/>
  <c r="AA1163" i="16" s="1"/>
  <c r="Z1400" i="16"/>
  <c r="AA1400" i="16" s="1"/>
  <c r="AB1400" i="16" s="1"/>
  <c r="Z1379" i="16"/>
  <c r="AA1379" i="16" s="1"/>
  <c r="Z1171" i="16"/>
  <c r="AA1171" i="16" s="1"/>
  <c r="Z1154" i="16"/>
  <c r="AA1154" i="16" s="1"/>
  <c r="Z1431" i="16"/>
  <c r="AA1431" i="16" s="1"/>
  <c r="Z1173" i="16"/>
  <c r="AA1173" i="16" s="1"/>
  <c r="Z1156" i="16"/>
  <c r="AA1156" i="16" s="1"/>
  <c r="Z1120" i="16"/>
  <c r="Z1429" i="16"/>
  <c r="AA1429" i="16" s="1"/>
  <c r="Z1172" i="16"/>
  <c r="AA1172" i="16" s="1"/>
  <c r="Z1157" i="16"/>
  <c r="AA1157" i="16" s="1"/>
  <c r="Z1469" i="16"/>
  <c r="AA1469" i="16" s="1"/>
  <c r="Z1457" i="16"/>
  <c r="AA1457" i="16" s="1"/>
  <c r="Z1165" i="16"/>
  <c r="AA1165" i="16" s="1"/>
  <c r="AB1383" i="16"/>
  <c r="AJ1383" i="16" s="1"/>
  <c r="AK1383" i="16" s="1"/>
  <c r="Z1144" i="16"/>
  <c r="AA1144" i="16" s="1"/>
  <c r="Z1167" i="16"/>
  <c r="AA1167" i="16" s="1"/>
  <c r="Z1152" i="16"/>
  <c r="AA1152" i="16" s="1"/>
  <c r="Z1170" i="16"/>
  <c r="AA1170" i="16" s="1"/>
  <c r="Z1150" i="16"/>
  <c r="AA1150" i="16" s="1"/>
  <c r="Z1452" i="16"/>
  <c r="AA1452" i="16" s="1"/>
  <c r="AB1452" i="16" s="1"/>
  <c r="AJ1452" i="16" s="1"/>
  <c r="AK1452" i="16" s="1"/>
  <c r="Z1421" i="16"/>
  <c r="AA1421" i="16" s="1"/>
  <c r="Z1168" i="16"/>
  <c r="AA1168" i="16" s="1"/>
  <c r="Z1153" i="16"/>
  <c r="AA1153" i="16" s="1"/>
  <c r="Z1466" i="16"/>
  <c r="AA1466" i="16" s="1"/>
  <c r="Z1454" i="16"/>
  <c r="AA1454" i="16" s="1"/>
  <c r="Z1432" i="16"/>
  <c r="AA1432" i="16" s="1"/>
  <c r="Z1177" i="16"/>
  <c r="AA1177" i="16" s="1"/>
  <c r="Z1160" i="16"/>
  <c r="AA1160" i="16" s="1"/>
  <c r="AB1259" i="16"/>
  <c r="AD1259" i="16" s="1"/>
  <c r="AK1259" i="16" s="1"/>
  <c r="AB1139" i="16"/>
  <c r="AI1139" i="16" s="1"/>
  <c r="AK1139" i="16" s="1"/>
  <c r="AB1377" i="16"/>
  <c r="AC1377" i="16" s="1"/>
  <c r="AK1377" i="16" s="1"/>
  <c r="AA1378" i="16"/>
  <c r="AB1330" i="16"/>
  <c r="AJ1330" i="16" s="1"/>
  <c r="AK1330" i="16" s="1"/>
  <c r="AB1303" i="16"/>
  <c r="AC1303" i="16" s="1"/>
  <c r="AK1303" i="16" s="1"/>
  <c r="AB1367" i="16"/>
  <c r="AB1140" i="16"/>
  <c r="AC1140" i="16" s="1"/>
  <c r="AK1140" i="16" s="1"/>
  <c r="AB1217" i="16"/>
  <c r="AD1217" i="16" s="1"/>
  <c r="AK1217" i="16" s="1"/>
  <c r="AB1398" i="16"/>
  <c r="AB1142" i="16"/>
  <c r="AJ1142" i="16" s="1"/>
  <c r="AB1375" i="16"/>
  <c r="AD1375" i="16" s="1"/>
  <c r="AK1375" i="16" s="1"/>
  <c r="AB1237" i="16"/>
  <c r="AD1237" i="16" s="1"/>
  <c r="AK1237" i="16" s="1"/>
  <c r="AB1241" i="16"/>
  <c r="AD1241" i="16" s="1"/>
  <c r="AK1241" i="16" s="1"/>
  <c r="AB1240" i="16"/>
  <c r="AD1240" i="16" s="1"/>
  <c r="AK1240" i="16" s="1"/>
  <c r="AB1254" i="16"/>
  <c r="AC1254" i="16" s="1"/>
  <c r="AK1254" i="16" s="1"/>
  <c r="AB1243" i="16"/>
  <c r="AE1243" i="16" s="1"/>
  <c r="AK1243" i="16" s="1"/>
  <c r="AB1242" i="16"/>
  <c r="AI1242" i="16" s="1"/>
  <c r="AK1242" i="16" s="1"/>
  <c r="AB1234" i="16"/>
  <c r="AD1234" i="16" s="1"/>
  <c r="AK1234" i="16" s="1"/>
  <c r="AB1252" i="16"/>
  <c r="AD1252" i="16" s="1"/>
  <c r="AK1252" i="16" s="1"/>
  <c r="AB1236" i="16"/>
  <c r="AD1236" i="16" s="1"/>
  <c r="AK1236" i="16" s="1"/>
  <c r="AB1253" i="16"/>
  <c r="AJ1253" i="16" s="1"/>
  <c r="AK1253" i="16" s="1"/>
  <c r="AB1239" i="16"/>
  <c r="AG1239" i="16" s="1"/>
  <c r="AK1239" i="16" s="1"/>
  <c r="AB1238" i="16"/>
  <c r="AD1238" i="16" s="1"/>
  <c r="AK1238" i="16" s="1"/>
  <c r="AB1249" i="16"/>
  <c r="AD1249" i="16" s="1"/>
  <c r="AK1249" i="16" s="1"/>
  <c r="AB1248" i="16"/>
  <c r="AD1248" i="16" s="1"/>
  <c r="AK1248" i="16" s="1"/>
  <c r="AB1251" i="16"/>
  <c r="AD1251" i="16" s="1"/>
  <c r="AK1251" i="16" s="1"/>
  <c r="AB1250" i="16"/>
  <c r="AD1250" i="16" s="1"/>
  <c r="AK1250" i="16" s="1"/>
  <c r="AB1245" i="16"/>
  <c r="AD1245" i="16" s="1"/>
  <c r="AK1245" i="16" s="1"/>
  <c r="AB1230" i="16"/>
  <c r="AJ1230" i="16" s="1"/>
  <c r="AK1230" i="16" s="1"/>
  <c r="AB1205" i="16"/>
  <c r="AD1205" i="16" s="1"/>
  <c r="AK1205" i="16" s="1"/>
  <c r="AB1193" i="16"/>
  <c r="AD1193" i="16" s="1"/>
  <c r="AK1193" i="16" s="1"/>
  <c r="AB1244" i="16"/>
  <c r="AI1244" i="16" s="1"/>
  <c r="AK1244" i="16" s="1"/>
  <c r="AB1247" i="16"/>
  <c r="AD1247" i="16" s="1"/>
  <c r="AK1247" i="16" s="1"/>
  <c r="AB1246" i="16"/>
  <c r="AD1246" i="16" s="1"/>
  <c r="AK1246" i="16" s="1"/>
  <c r="AB1233" i="16"/>
  <c r="AF1233" i="16" s="1"/>
  <c r="AB1235" i="16"/>
  <c r="AD1235" i="16" s="1"/>
  <c r="AK1235" i="16" s="1"/>
  <c r="AB1232" i="16"/>
  <c r="AC1392" i="16"/>
  <c r="AK1392" i="16" s="1"/>
  <c r="AC1386" i="16"/>
  <c r="AK1386" i="16" s="1"/>
  <c r="AB1130" i="16"/>
  <c r="AB1372" i="16"/>
  <c r="AB1370" i="16"/>
  <c r="AB1354" i="16"/>
  <c r="AB1385" i="16"/>
  <c r="AB1401" i="16"/>
  <c r="AB1371" i="16"/>
  <c r="AB1366" i="16"/>
  <c r="AB1360" i="16"/>
  <c r="AB1358" i="16"/>
  <c r="AB1328" i="16"/>
  <c r="AB1291" i="16"/>
  <c r="AB1380" i="16"/>
  <c r="AB1365" i="16"/>
  <c r="AB1382" i="16"/>
  <c r="AB1388" i="16"/>
  <c r="AB1196" i="16"/>
  <c r="AB1182" i="16"/>
  <c r="AB1269" i="16"/>
  <c r="AB1336" i="16"/>
  <c r="AB1318" i="16"/>
  <c r="AB1255" i="16"/>
  <c r="AB1225" i="16"/>
  <c r="AB1207" i="16"/>
  <c r="AB1195" i="16"/>
  <c r="AB1135" i="16"/>
  <c r="AB1209" i="16"/>
  <c r="AB1223" i="16"/>
  <c r="AB1185" i="16"/>
  <c r="AB1143" i="16"/>
  <c r="AB1387" i="16"/>
  <c r="AB1347" i="16"/>
  <c r="AB1309" i="16"/>
  <c r="AB1298" i="16"/>
  <c r="AB1276" i="16"/>
  <c r="AB1404" i="16"/>
  <c r="AB1356" i="16"/>
  <c r="AB1391" i="16"/>
  <c r="AB1399" i="16"/>
  <c r="AB1334" i="16"/>
  <c r="AB1389" i="16"/>
  <c r="AB1357" i="16"/>
  <c r="AB1344" i="16"/>
  <c r="AB1315" i="16"/>
  <c r="AB1299" i="16"/>
  <c r="AB1288" i="16"/>
  <c r="AB1272" i="16"/>
  <c r="AB1231" i="16"/>
  <c r="AB1219" i="16"/>
  <c r="AB1206" i="16"/>
  <c r="AB1194" i="16"/>
  <c r="AB1133" i="16"/>
  <c r="AB1405" i="16"/>
  <c r="AB1395" i="16"/>
  <c r="AB1339" i="16"/>
  <c r="AB1325" i="16"/>
  <c r="AB1314" i="16"/>
  <c r="AB1289" i="16"/>
  <c r="AB1271" i="16"/>
  <c r="AB1226" i="16"/>
  <c r="AB1202" i="16"/>
  <c r="AB1184" i="16"/>
  <c r="AB1402" i="16"/>
  <c r="AB1349" i="16"/>
  <c r="AB1338" i="16"/>
  <c r="AB1326" i="16"/>
  <c r="AJ1326" i="16" s="1"/>
  <c r="AB1316" i="16"/>
  <c r="AB1310" i="16"/>
  <c r="AB1287" i="16"/>
  <c r="AB1278" i="16"/>
  <c r="AB1263" i="16"/>
  <c r="AB1228" i="16"/>
  <c r="AB1216" i="16"/>
  <c r="AB1200" i="16"/>
  <c r="AB1274" i="16"/>
  <c r="AB1262" i="16"/>
  <c r="AB1198" i="16"/>
  <c r="AB1132" i="16"/>
  <c r="AA1119" i="16"/>
  <c r="AB1197" i="16"/>
  <c r="AB1257" i="16"/>
  <c r="AB1350" i="16"/>
  <c r="AB1341" i="16"/>
  <c r="AB1286" i="16"/>
  <c r="AB1268" i="16"/>
  <c r="AB1323" i="16"/>
  <c r="AB1308" i="16"/>
  <c r="AB1285" i="16"/>
  <c r="AB1267" i="16"/>
  <c r="AB1222" i="16"/>
  <c r="AB1199" i="16"/>
  <c r="AB1131" i="16"/>
  <c r="AB1394" i="16"/>
  <c r="AB1376" i="16"/>
  <c r="AB1346" i="16"/>
  <c r="AB1324" i="16"/>
  <c r="AB1313" i="16"/>
  <c r="AC1313" i="16" s="1"/>
  <c r="AB1307" i="16"/>
  <c r="AB1284" i="16"/>
  <c r="AB1277" i="16"/>
  <c r="AB1261" i="16"/>
  <c r="AB1224" i="16"/>
  <c r="AB1213" i="16"/>
  <c r="AB1128" i="16"/>
  <c r="AB1270" i="16"/>
  <c r="AB1260" i="16"/>
  <c r="AB1215" i="16"/>
  <c r="AB1191" i="16"/>
  <c r="AB1129" i="16"/>
  <c r="AB1361" i="16"/>
  <c r="AB1137" i="16"/>
  <c r="AB1221" i="16"/>
  <c r="AB1359" i="16"/>
  <c r="AB1348" i="16"/>
  <c r="AB1337" i="16"/>
  <c r="AB1321" i="16"/>
  <c r="AB1306" i="16"/>
  <c r="AD1306" i="16" s="1"/>
  <c r="AB1296" i="16"/>
  <c r="AB1283" i="16"/>
  <c r="AB1229" i="16"/>
  <c r="AB1214" i="16"/>
  <c r="AB1201" i="16"/>
  <c r="AB1189" i="16"/>
  <c r="AB1126" i="16"/>
  <c r="AB1403" i="16"/>
  <c r="AJ1403" i="16" s="1"/>
  <c r="AB1374" i="16"/>
  <c r="AB1364" i="16"/>
  <c r="AB1345" i="16"/>
  <c r="AB1331" i="16"/>
  <c r="AB1320" i="16"/>
  <c r="AB1302" i="16"/>
  <c r="AB1282" i="16"/>
  <c r="AB1258" i="16"/>
  <c r="AB1212" i="16"/>
  <c r="AB1192" i="16"/>
  <c r="AB1127" i="16"/>
  <c r="AB1390" i="16"/>
  <c r="AB1373" i="16"/>
  <c r="AB1355" i="16"/>
  <c r="AB1343" i="16"/>
  <c r="AB1333" i="16"/>
  <c r="AB1322" i="16"/>
  <c r="AB1312" i="16"/>
  <c r="AJ1312" i="16" s="1"/>
  <c r="AB1304" i="16"/>
  <c r="AB1280" i="16"/>
  <c r="AB1273" i="16"/>
  <c r="AB1220" i="16"/>
  <c r="AB1210" i="16"/>
  <c r="AB1190" i="16"/>
  <c r="AB1125" i="16"/>
  <c r="AB1292" i="16"/>
  <c r="AB1266" i="16"/>
  <c r="AB1256" i="16"/>
  <c r="AB1211" i="16"/>
  <c r="AB1187" i="16"/>
  <c r="AB1136" i="16"/>
  <c r="AB1124" i="16"/>
  <c r="AB1353" i="16"/>
  <c r="AB1301" i="16"/>
  <c r="AB1335" i="16"/>
  <c r="AB1121" i="16"/>
  <c r="AB1363" i="16"/>
  <c r="AB1342" i="16"/>
  <c r="AB1327" i="16"/>
  <c r="AC1327" i="16" s="1"/>
  <c r="AB1317" i="16"/>
  <c r="AB1300" i="16"/>
  <c r="AB1275" i="16"/>
  <c r="AB1208" i="16"/>
  <c r="AB1188" i="16"/>
  <c r="AB1123" i="16"/>
  <c r="AB1368" i="16"/>
  <c r="AB1351" i="16"/>
  <c r="AB1340" i="16"/>
  <c r="AB1332" i="16"/>
  <c r="AB1319" i="16"/>
  <c r="AE1319" i="16" s="1"/>
  <c r="AB1311" i="16"/>
  <c r="AB1290" i="16"/>
  <c r="AB1279" i="16"/>
  <c r="AB1265" i="16"/>
  <c r="AB1218" i="16"/>
  <c r="AB1204" i="16"/>
  <c r="AB1186" i="16"/>
  <c r="AB1122" i="16"/>
  <c r="AB1397" i="16"/>
  <c r="AB1281" i="16"/>
  <c r="AB1264" i="16"/>
  <c r="AB1227" i="16"/>
  <c r="AB1203" i="16"/>
  <c r="AB1183" i="16"/>
  <c r="AB1134" i="16"/>
  <c r="AA1120" i="16"/>
  <c r="AB1297" i="16"/>
  <c r="AB1305" i="16"/>
  <c r="AD1305" i="16" s="1"/>
  <c r="AB1329" i="16"/>
  <c r="AB1141" i="16"/>
  <c r="AK1522" i="16" l="1"/>
  <c r="AI1534" i="16"/>
  <c r="AI1515" i="16"/>
  <c r="AK1811" i="16"/>
  <c r="AG1515" i="16"/>
  <c r="AG1534" i="16"/>
  <c r="AE1534" i="16"/>
  <c r="AE1515" i="16"/>
  <c r="AK1540" i="16"/>
  <c r="AF1534" i="16"/>
  <c r="AF1515" i="16"/>
  <c r="AC1515" i="16"/>
  <c r="AK1497" i="16"/>
  <c r="AC1534" i="16"/>
  <c r="AH1515" i="16"/>
  <c r="AH1534" i="16"/>
  <c r="AJ1534" i="16"/>
  <c r="AJ1515" i="16"/>
  <c r="AD1534" i="16"/>
  <c r="AD1515" i="16"/>
  <c r="AK1825" i="16"/>
  <c r="AK1834" i="16"/>
  <c r="AK1842" i="16"/>
  <c r="AK1832" i="16"/>
  <c r="AK1836" i="16"/>
  <c r="AK1833" i="16"/>
  <c r="AK1839" i="16"/>
  <c r="AK1829" i="16"/>
  <c r="AK1831" i="16"/>
  <c r="AK1838" i="16"/>
  <c r="AK1826" i="16"/>
  <c r="AK1830" i="16"/>
  <c r="AB1378" i="16"/>
  <c r="AB1447" i="16"/>
  <c r="AG1447" i="16" s="1"/>
  <c r="AK1447" i="16" s="1"/>
  <c r="AB1433" i="16"/>
  <c r="AJ1433" i="16" s="1"/>
  <c r="AK1433" i="16" s="1"/>
  <c r="AB1442" i="16"/>
  <c r="AB1437" i="16"/>
  <c r="AK1384" i="16"/>
  <c r="AB1446" i="16"/>
  <c r="AF1446" i="16" s="1"/>
  <c r="AB1434" i="16"/>
  <c r="AB1440" i="16"/>
  <c r="AB1420" i="16"/>
  <c r="AD1420" i="16" s="1"/>
  <c r="AK1420" i="16" s="1"/>
  <c r="AG1370" i="16"/>
  <c r="AK1370" i="16" s="1"/>
  <c r="AJ1398" i="16"/>
  <c r="AK1398" i="16" s="1"/>
  <c r="AF1390" i="16"/>
  <c r="AK1390" i="16" s="1"/>
  <c r="AJ1335" i="16"/>
  <c r="AD1304" i="16"/>
  <c r="AD1314" i="16"/>
  <c r="AJ1400" i="16"/>
  <c r="AG1367" i="16"/>
  <c r="AK1367" i="16" s="1"/>
  <c r="AD1294" i="16"/>
  <c r="AK1294" i="16" s="1"/>
  <c r="AB1441" i="16"/>
  <c r="AB1444" i="16"/>
  <c r="AD1444" i="16" s="1"/>
  <c r="AK1444" i="16" s="1"/>
  <c r="AB1432" i="16"/>
  <c r="AD1432" i="16" s="1"/>
  <c r="AK1432" i="16" s="1"/>
  <c r="AB1449" i="16"/>
  <c r="AI1449" i="16" s="1"/>
  <c r="AK1449" i="16" s="1"/>
  <c r="AB1438" i="16"/>
  <c r="AB1445" i="16"/>
  <c r="AH1445" i="16" s="1"/>
  <c r="AK1445" i="16" s="1"/>
  <c r="AB1448" i="16"/>
  <c r="AF1448" i="16" s="1"/>
  <c r="AK1448" i="16" s="1"/>
  <c r="AB1450" i="16"/>
  <c r="AC1450" i="16" s="1"/>
  <c r="AK1450" i="16" s="1"/>
  <c r="AB1477" i="16"/>
  <c r="AG1477" i="16" s="1"/>
  <c r="AK1477" i="16" s="1"/>
  <c r="AB1451" i="16"/>
  <c r="AB1478" i="16"/>
  <c r="AD1478" i="16" s="1"/>
  <c r="AK1478" i="16" s="1"/>
  <c r="AB1417" i="16"/>
  <c r="AD1417" i="16" s="1"/>
  <c r="AK1417" i="16" s="1"/>
  <c r="AB1455" i="16"/>
  <c r="AB1453" i="16"/>
  <c r="AB1465" i="16"/>
  <c r="AB1424" i="16"/>
  <c r="AJ1424" i="16" s="1"/>
  <c r="AK1424" i="16" s="1"/>
  <c r="AB1462" i="16"/>
  <c r="AB1418" i="16"/>
  <c r="AD1418" i="16" s="1"/>
  <c r="AK1418" i="16" s="1"/>
  <c r="AB1461" i="16"/>
  <c r="AB1467" i="16"/>
  <c r="AE1467" i="16" s="1"/>
  <c r="AB1427" i="16"/>
  <c r="AD1427" i="16" s="1"/>
  <c r="AK1427" i="16" s="1"/>
  <c r="AB1435" i="16"/>
  <c r="AB1475" i="16"/>
  <c r="AD1475" i="16" s="1"/>
  <c r="AK1475" i="16" s="1"/>
  <c r="AB1144" i="16"/>
  <c r="AB1454" i="16"/>
  <c r="AB1160" i="16"/>
  <c r="AI1160" i="16" s="1"/>
  <c r="AK1160" i="16" s="1"/>
  <c r="AB1481" i="16"/>
  <c r="AI1481" i="16" s="1"/>
  <c r="AK1481" i="16" s="1"/>
  <c r="AB1460" i="16"/>
  <c r="AB1425" i="16"/>
  <c r="AB1421" i="16"/>
  <c r="AD1421" i="16" s="1"/>
  <c r="AK1421" i="16" s="1"/>
  <c r="AB1482" i="16"/>
  <c r="AF1482" i="16" s="1"/>
  <c r="AK1482" i="16" s="1"/>
  <c r="AB1463" i="16"/>
  <c r="AB1464" i="16"/>
  <c r="AD1464" i="16" s="1"/>
  <c r="AK1464" i="16" s="1"/>
  <c r="AB1423" i="16"/>
  <c r="AD1423" i="16" s="1"/>
  <c r="AK1423" i="16" s="1"/>
  <c r="AB1471" i="16"/>
  <c r="AB1431" i="16"/>
  <c r="AD1431" i="16" s="1"/>
  <c r="AK1431" i="16" s="1"/>
  <c r="AB1430" i="16"/>
  <c r="AD1430" i="16" s="1"/>
  <c r="AK1430" i="16" s="1"/>
  <c r="AB1456" i="16"/>
  <c r="AH1456" i="16" s="1"/>
  <c r="AK1456" i="16" s="1"/>
  <c r="AB1443" i="16"/>
  <c r="AG1443" i="16" s="1"/>
  <c r="AK1443" i="16" s="1"/>
  <c r="AB1416" i="16"/>
  <c r="AB1485" i="16"/>
  <c r="AI1485" i="16" s="1"/>
  <c r="AK1485" i="16" s="1"/>
  <c r="AB1472" i="16"/>
  <c r="AD1472" i="16" s="1"/>
  <c r="AK1472" i="16" s="1"/>
  <c r="AB1428" i="16"/>
  <c r="AD1428" i="16" s="1"/>
  <c r="AK1428" i="16" s="1"/>
  <c r="AB1486" i="16"/>
  <c r="AE1486" i="16" s="1"/>
  <c r="AK1486" i="16" s="1"/>
  <c r="AB1476" i="16"/>
  <c r="AG1476" i="16" s="1"/>
  <c r="AK1476" i="16" s="1"/>
  <c r="AB1436" i="16"/>
  <c r="AB1483" i="16"/>
  <c r="AF1483" i="16" s="1"/>
  <c r="AK1483" i="16" s="1"/>
  <c r="AB1439" i="16"/>
  <c r="AB1152" i="16"/>
  <c r="AB1157" i="16"/>
  <c r="AF1157" i="16" s="1"/>
  <c r="AB1419" i="16"/>
  <c r="AD1419" i="16" s="1"/>
  <c r="AK1419" i="16" s="1"/>
  <c r="AB1479" i="16"/>
  <c r="AD1479" i="16" s="1"/>
  <c r="AK1479" i="16" s="1"/>
  <c r="AB1466" i="16"/>
  <c r="AH1466" i="16" s="1"/>
  <c r="AK1466" i="16" s="1"/>
  <c r="AB1457" i="16"/>
  <c r="AI1457" i="16" s="1"/>
  <c r="AK1457" i="16" s="1"/>
  <c r="AB1120" i="16"/>
  <c r="AC1120" i="16" s="1"/>
  <c r="AK1120" i="16" s="1"/>
  <c r="AB1484" i="16"/>
  <c r="AF1484" i="16" s="1"/>
  <c r="AK1484" i="16" s="1"/>
  <c r="AB1470" i="16"/>
  <c r="AH1470" i="16" s="1"/>
  <c r="AK1470" i="16" s="1"/>
  <c r="AB1154" i="16"/>
  <c r="AG1154" i="16" s="1"/>
  <c r="AK1154" i="16" s="1"/>
  <c r="AB1487" i="16"/>
  <c r="AI1487" i="16" s="1"/>
  <c r="AK1487" i="16" s="1"/>
  <c r="AK1142" i="16"/>
  <c r="AB1474" i="16"/>
  <c r="AD1474" i="16" s="1"/>
  <c r="AK1474" i="16" s="1"/>
  <c r="AB1480" i="16"/>
  <c r="AI1480" i="16" s="1"/>
  <c r="AK1480" i="16" s="1"/>
  <c r="AB1469" i="16"/>
  <c r="AD1469" i="16" s="1"/>
  <c r="AK1469" i="16" s="1"/>
  <c r="AB1459" i="16"/>
  <c r="AB1458" i="16"/>
  <c r="AK1400" i="16"/>
  <c r="AB1176" i="16"/>
  <c r="AG1176" i="16" s="1"/>
  <c r="AK1176" i="16" s="1"/>
  <c r="AB1171" i="16"/>
  <c r="AB1167" i="16"/>
  <c r="AB1179" i="16"/>
  <c r="AC1179" i="16" s="1"/>
  <c r="AK1179" i="16" s="1"/>
  <c r="AB1177" i="16"/>
  <c r="AF1177" i="16" s="1"/>
  <c r="AK1177" i="16" s="1"/>
  <c r="AB1173" i="16"/>
  <c r="AD1173" i="16" s="1"/>
  <c r="AK1173" i="16" s="1"/>
  <c r="AB1164" i="16"/>
  <c r="AH1164" i="16" s="1"/>
  <c r="AK1164" i="16" s="1"/>
  <c r="AB1175" i="16"/>
  <c r="AB1172" i="16"/>
  <c r="AG1172" i="16" s="1"/>
  <c r="AK1172" i="16" s="1"/>
  <c r="AB1168" i="16"/>
  <c r="AB1169" i="16"/>
  <c r="AB1165" i="16"/>
  <c r="AB1174" i="16"/>
  <c r="AH1174" i="16" s="1"/>
  <c r="AK1174" i="16" s="1"/>
  <c r="AB1170" i="16"/>
  <c r="AB1178" i="16"/>
  <c r="AI1178" i="16" s="1"/>
  <c r="AK1178" i="16" s="1"/>
  <c r="AB1163" i="16"/>
  <c r="AB1166" i="16"/>
  <c r="AB1468" i="16"/>
  <c r="AH1468" i="16" s="1"/>
  <c r="AB1181" i="16"/>
  <c r="AC1181" i="16" s="1"/>
  <c r="AK1181" i="16" s="1"/>
  <c r="AB1180" i="16"/>
  <c r="AB1429" i="16"/>
  <c r="AD1429" i="16" s="1"/>
  <c r="AK1429" i="16" s="1"/>
  <c r="AB1422" i="16"/>
  <c r="AD1422" i="16" s="1"/>
  <c r="AK1422" i="16" s="1"/>
  <c r="AB1426" i="16"/>
  <c r="AD1426" i="16" s="1"/>
  <c r="AK1426" i="16" s="1"/>
  <c r="AB1473" i="16"/>
  <c r="AD1473" i="16" s="1"/>
  <c r="AK1473" i="16" s="1"/>
  <c r="AB1379" i="16"/>
  <c r="AC1379" i="16" s="1"/>
  <c r="AK1379" i="16" s="1"/>
  <c r="AB1145" i="16"/>
  <c r="AH1145" i="16" s="1"/>
  <c r="AK1145" i="16" s="1"/>
  <c r="AB1150" i="16"/>
  <c r="AB1147" i="16"/>
  <c r="AB1151" i="16"/>
  <c r="AB1158" i="16"/>
  <c r="AG1158" i="16" s="1"/>
  <c r="AK1158" i="16" s="1"/>
  <c r="AB1159" i="16"/>
  <c r="AF1159" i="16" s="1"/>
  <c r="AK1159" i="16" s="1"/>
  <c r="AB1148" i="16"/>
  <c r="AB1161" i="16"/>
  <c r="AJ1161" i="16" s="1"/>
  <c r="AK1161" i="16" s="1"/>
  <c r="AB1153" i="16"/>
  <c r="AB1162" i="16"/>
  <c r="AC1162" i="16" s="1"/>
  <c r="AK1162" i="16" s="1"/>
  <c r="AB1155" i="16"/>
  <c r="AD1155" i="16" s="1"/>
  <c r="AK1155" i="16" s="1"/>
  <c r="AB1149" i="16"/>
  <c r="AB1146" i="16"/>
  <c r="AB1156" i="16"/>
  <c r="AH1156" i="16" s="1"/>
  <c r="AK1156" i="16" s="1"/>
  <c r="AI1233" i="16"/>
  <c r="AH1233" i="16"/>
  <c r="AG1233" i="16"/>
  <c r="AI1232" i="16"/>
  <c r="AE1232" i="16"/>
  <c r="AG1232" i="16"/>
  <c r="AH1232" i="16"/>
  <c r="AF1232" i="16"/>
  <c r="AF1125" i="16" s="1"/>
  <c r="AH1183" i="16"/>
  <c r="AI1183" i="16"/>
  <c r="AG1183" i="16"/>
  <c r="AF1183" i="16"/>
  <c r="AI1281" i="16"/>
  <c r="AE1281" i="16"/>
  <c r="AH1281" i="16"/>
  <c r="AF1281" i="16"/>
  <c r="AG1281" i="16"/>
  <c r="AD1204" i="16"/>
  <c r="AK1204" i="16" s="1"/>
  <c r="AD1290" i="16"/>
  <c r="AK1290" i="16" s="1"/>
  <c r="AG1340" i="16"/>
  <c r="AE1188" i="16"/>
  <c r="AK1188" i="16" s="1"/>
  <c r="AD1317" i="16"/>
  <c r="AK1317" i="16" s="1"/>
  <c r="AF1256" i="16"/>
  <c r="AI1256" i="16"/>
  <c r="AH1256" i="16"/>
  <c r="AG1256" i="16"/>
  <c r="AD1190" i="16"/>
  <c r="AK1190" i="16" s="1"/>
  <c r="AC1280" i="16"/>
  <c r="AK1280" i="16" s="1"/>
  <c r="AJ1333" i="16"/>
  <c r="AK1333" i="16" s="1"/>
  <c r="AG1258" i="16"/>
  <c r="AK1258" i="16" s="1"/>
  <c r="AC1331" i="16"/>
  <c r="AK1331" i="16" s="1"/>
  <c r="AI1214" i="16"/>
  <c r="AK1214" i="16" s="1"/>
  <c r="AC1359" i="16"/>
  <c r="AK1359" i="16" s="1"/>
  <c r="AD1260" i="16"/>
  <c r="AK1260" i="16" s="1"/>
  <c r="AD1224" i="16"/>
  <c r="AK1224" i="16" s="1"/>
  <c r="AD1307" i="16"/>
  <c r="AK1307" i="16" s="1"/>
  <c r="AJ1376" i="16"/>
  <c r="AK1376" i="16" s="1"/>
  <c r="AD1222" i="16"/>
  <c r="AK1222" i="16" s="1"/>
  <c r="AD1323" i="16"/>
  <c r="AK1323" i="16" s="1"/>
  <c r="AJ1350" i="16"/>
  <c r="AK1350" i="16" s="1"/>
  <c r="AH1132" i="16"/>
  <c r="AI1132" i="16"/>
  <c r="AF1132" i="16"/>
  <c r="AI1200" i="16"/>
  <c r="AK1200" i="16" s="1"/>
  <c r="AD1278" i="16"/>
  <c r="AK1278" i="16" s="1"/>
  <c r="AJ1268" i="16"/>
  <c r="AJ1183" i="16"/>
  <c r="AJ1233" i="16"/>
  <c r="AJ1196" i="16"/>
  <c r="AJ1282" i="16"/>
  <c r="AJ1256" i="16"/>
  <c r="AD1184" i="16"/>
  <c r="AK1184" i="16" s="1"/>
  <c r="AD1289" i="16"/>
  <c r="AK1289" i="16" s="1"/>
  <c r="AD1395" i="16"/>
  <c r="AK1395" i="16" s="1"/>
  <c r="AJ1206" i="16"/>
  <c r="AK1206" i="16" s="1"/>
  <c r="AD1288" i="16"/>
  <c r="AK1288" i="16" s="1"/>
  <c r="AD1357" i="16"/>
  <c r="AK1357" i="16" s="1"/>
  <c r="AJ1391" i="16"/>
  <c r="AK1391" i="16" s="1"/>
  <c r="AI1298" i="16"/>
  <c r="AK1298" i="16" s="1"/>
  <c r="AC1143" i="16"/>
  <c r="AK1143" i="16" s="1"/>
  <c r="AJ1135" i="16"/>
  <c r="AK1135" i="16" s="1"/>
  <c r="AE1255" i="16"/>
  <c r="AH1255" i="16"/>
  <c r="AF1255" i="16"/>
  <c r="AG1255" i="16"/>
  <c r="AI1255" i="16"/>
  <c r="AH1182" i="16"/>
  <c r="AF1182" i="16"/>
  <c r="AI1182" i="16"/>
  <c r="AE1182" i="16"/>
  <c r="AG1182" i="16"/>
  <c r="AJ1365" i="16"/>
  <c r="AK1365" i="16" s="1"/>
  <c r="AJ1358" i="16"/>
  <c r="AK1358" i="16" s="1"/>
  <c r="AF1401" i="16"/>
  <c r="AI1401" i="16"/>
  <c r="AH1401" i="16"/>
  <c r="AF1297" i="16"/>
  <c r="AK1297" i="16" s="1"/>
  <c r="AD1203" i="16"/>
  <c r="AK1203" i="16" s="1"/>
  <c r="AC1397" i="16"/>
  <c r="AK1397" i="16" s="1"/>
  <c r="AD1218" i="16"/>
  <c r="AK1218" i="16" s="1"/>
  <c r="AD1311" i="16"/>
  <c r="AK1311" i="16" s="1"/>
  <c r="AC1351" i="16"/>
  <c r="AK1351" i="16" s="1"/>
  <c r="AI1208" i="16"/>
  <c r="AH1208" i="16"/>
  <c r="AF1208" i="16"/>
  <c r="AE1208" i="16"/>
  <c r="AG1208" i="16"/>
  <c r="AC1196" i="16"/>
  <c r="AC1233" i="16"/>
  <c r="AC1268" i="16"/>
  <c r="AC1256" i="16"/>
  <c r="AC1183" i="16"/>
  <c r="AC1282" i="16"/>
  <c r="AC1136" i="16"/>
  <c r="AK1136" i="16" s="1"/>
  <c r="AC1266" i="16"/>
  <c r="AK1266" i="16" s="1"/>
  <c r="AG1210" i="16"/>
  <c r="AK1210" i="16" s="1"/>
  <c r="AD1343" i="16"/>
  <c r="AK1343" i="16" s="1"/>
  <c r="AG1282" i="16"/>
  <c r="AF1282" i="16"/>
  <c r="AH1282" i="16"/>
  <c r="AI1282" i="16"/>
  <c r="AD1345" i="16"/>
  <c r="AK1345" i="16" s="1"/>
  <c r="AD1229" i="16"/>
  <c r="AK1229" i="16" s="1"/>
  <c r="AD1321" i="16"/>
  <c r="AK1321" i="16" s="1"/>
  <c r="AE1221" i="16"/>
  <c r="AI1221" i="16"/>
  <c r="AF1221" i="16"/>
  <c r="AH1221" i="16"/>
  <c r="AG1221" i="16"/>
  <c r="AG1129" i="16"/>
  <c r="AK1129" i="16" s="1"/>
  <c r="AD1270" i="16"/>
  <c r="AK1270" i="16" s="1"/>
  <c r="AD1261" i="16"/>
  <c r="AK1261" i="16" s="1"/>
  <c r="AC1267" i="16"/>
  <c r="AC1255" i="16"/>
  <c r="AC1232" i="16"/>
  <c r="AC1208" i="16"/>
  <c r="AC1281" i="16"/>
  <c r="AC1182" i="16"/>
  <c r="AC1221" i="16"/>
  <c r="AD1394" i="16"/>
  <c r="AK1394" i="16" s="1"/>
  <c r="AH1267" i="16"/>
  <c r="AE1267" i="16"/>
  <c r="AF1267" i="16"/>
  <c r="AI1267" i="16"/>
  <c r="AG1267" i="16"/>
  <c r="AF1268" i="16"/>
  <c r="AG1268" i="16"/>
  <c r="AI1268" i="16"/>
  <c r="AH1268" i="16"/>
  <c r="AD1257" i="16"/>
  <c r="AK1257" i="16" s="1"/>
  <c r="AD1198" i="16"/>
  <c r="AK1198" i="16" s="1"/>
  <c r="AD1216" i="16"/>
  <c r="AK1216" i="16" s="1"/>
  <c r="AD1287" i="16"/>
  <c r="AK1287" i="16" s="1"/>
  <c r="AD1338" i="16"/>
  <c r="AK1338" i="16" s="1"/>
  <c r="AI1202" i="16"/>
  <c r="AK1202" i="16" s="1"/>
  <c r="AC1405" i="16"/>
  <c r="AK1405" i="16" s="1"/>
  <c r="AJ1219" i="16"/>
  <c r="AK1219" i="16" s="1"/>
  <c r="AC1299" i="16"/>
  <c r="AK1299" i="16" s="1"/>
  <c r="AC1389" i="16"/>
  <c r="AK1389" i="16" s="1"/>
  <c r="AC1356" i="16"/>
  <c r="AK1356" i="16" s="1"/>
  <c r="AD1309" i="16"/>
  <c r="AK1309" i="16" s="1"/>
  <c r="AD1185" i="16"/>
  <c r="AK1185" i="16" s="1"/>
  <c r="AC1195" i="16"/>
  <c r="AK1195" i="16" s="1"/>
  <c r="AD1318" i="16"/>
  <c r="AK1318" i="16" s="1"/>
  <c r="AI1196" i="16"/>
  <c r="AG1196" i="16"/>
  <c r="AF1196" i="16"/>
  <c r="AH1196" i="16"/>
  <c r="AJ1380" i="16"/>
  <c r="AK1380" i="16" s="1"/>
  <c r="AD1360" i="16"/>
  <c r="AK1360" i="16" s="1"/>
  <c r="AC1372" i="16"/>
  <c r="AK1372" i="16" s="1"/>
  <c r="AH1141" i="16"/>
  <c r="AK1141" i="16" s="1"/>
  <c r="AI1227" i="16"/>
  <c r="AK1227" i="16" s="1"/>
  <c r="AJ1265" i="16"/>
  <c r="AK1265" i="16" s="1"/>
  <c r="AE1282" i="16"/>
  <c r="AE1268" i="16"/>
  <c r="AE1233" i="16"/>
  <c r="AE1183" i="16"/>
  <c r="AE1196" i="16"/>
  <c r="AE1256" i="16"/>
  <c r="AJ1368" i="16"/>
  <c r="AK1368" i="16" s="1"/>
  <c r="AD1275" i="16"/>
  <c r="AK1275" i="16" s="1"/>
  <c r="AE1342" i="16"/>
  <c r="AH1301" i="16"/>
  <c r="AK1301" i="16" s="1"/>
  <c r="AD1187" i="16"/>
  <c r="AK1187" i="16" s="1"/>
  <c r="AG1292" i="16"/>
  <c r="AK1292" i="16" s="1"/>
  <c r="AC1220" i="16"/>
  <c r="AK1220" i="16" s="1"/>
  <c r="AJ1267" i="16"/>
  <c r="AJ1281" i="16"/>
  <c r="AJ1221" i="16"/>
  <c r="AJ1232" i="16"/>
  <c r="AJ1182" i="16"/>
  <c r="AJ1208" i="16"/>
  <c r="AJ1255" i="16"/>
  <c r="AJ1355" i="16"/>
  <c r="AK1355" i="16" s="1"/>
  <c r="AD1192" i="16"/>
  <c r="AK1192" i="16" s="1"/>
  <c r="AJ1302" i="16"/>
  <c r="AK1302" i="16" s="1"/>
  <c r="AD1364" i="16"/>
  <c r="AK1364" i="16" s="1"/>
  <c r="AI1189" i="16"/>
  <c r="AK1189" i="16" s="1"/>
  <c r="AD1283" i="16"/>
  <c r="AK1283" i="16" s="1"/>
  <c r="AD1337" i="16"/>
  <c r="AK1337" i="16" s="1"/>
  <c r="AF1137" i="16"/>
  <c r="AF1455" i="16" s="1"/>
  <c r="AH1137" i="16"/>
  <c r="AH1455" i="16" s="1"/>
  <c r="AI1137" i="16"/>
  <c r="AI1455" i="16" s="1"/>
  <c r="AD1191" i="16"/>
  <c r="AK1191" i="16" s="1"/>
  <c r="AD1277" i="16"/>
  <c r="AK1277" i="16" s="1"/>
  <c r="AD1324" i="16"/>
  <c r="AK1324" i="16" s="1"/>
  <c r="AD1131" i="16"/>
  <c r="AK1131" i="16" s="1"/>
  <c r="AD1285" i="16"/>
  <c r="AK1285" i="16" s="1"/>
  <c r="AD1286" i="16"/>
  <c r="AK1286" i="16" s="1"/>
  <c r="AD1197" i="16"/>
  <c r="AK1197" i="16" s="1"/>
  <c r="AD1262" i="16"/>
  <c r="AK1262" i="16" s="1"/>
  <c r="AD1228" i="16"/>
  <c r="AK1228" i="16" s="1"/>
  <c r="AD1310" i="16"/>
  <c r="AK1310" i="16" s="1"/>
  <c r="AD1349" i="16"/>
  <c r="AK1349" i="16" s="1"/>
  <c r="AE1226" i="16"/>
  <c r="AK1226" i="16" s="1"/>
  <c r="AD1325" i="16"/>
  <c r="AK1325" i="16" s="1"/>
  <c r="AG1133" i="16"/>
  <c r="AK1133" i="16" s="1"/>
  <c r="AC1231" i="16"/>
  <c r="AK1231" i="16" s="1"/>
  <c r="AD1315" i="16"/>
  <c r="AC1334" i="16"/>
  <c r="AK1334" i="16" s="1"/>
  <c r="AJ1404" i="16"/>
  <c r="AK1404" i="16" s="1"/>
  <c r="AD1347" i="16"/>
  <c r="AK1347" i="16" s="1"/>
  <c r="AD1223" i="16"/>
  <c r="AK1223" i="16" s="1"/>
  <c r="AC1207" i="16"/>
  <c r="AD1336" i="16"/>
  <c r="AK1336" i="16" s="1"/>
  <c r="AJ1388" i="16"/>
  <c r="AK1388" i="16" s="1"/>
  <c r="AJ1291" i="16"/>
  <c r="AK1291" i="16" s="1"/>
  <c r="AC1366" i="16"/>
  <c r="AK1366" i="16" s="1"/>
  <c r="AF1385" i="16"/>
  <c r="AK1385" i="16" s="1"/>
  <c r="AD1130" i="16"/>
  <c r="AK1130" i="16" s="1"/>
  <c r="AD1329" i="16"/>
  <c r="AK1329" i="16" s="1"/>
  <c r="AI1134" i="16"/>
  <c r="AK1134" i="16" s="1"/>
  <c r="AD1264" i="16"/>
  <c r="AK1264" i="16" s="1"/>
  <c r="AD1186" i="16"/>
  <c r="AK1186" i="16" s="1"/>
  <c r="AJ1279" i="16"/>
  <c r="AK1279" i="16" s="1"/>
  <c r="AH1332" i="16"/>
  <c r="AK1332" i="16" s="1"/>
  <c r="AH1300" i="16"/>
  <c r="AK1300" i="16" s="1"/>
  <c r="AD1363" i="16"/>
  <c r="AK1363" i="16" s="1"/>
  <c r="AD1353" i="16"/>
  <c r="AK1353" i="16" s="1"/>
  <c r="AD1211" i="16"/>
  <c r="AK1211" i="16" s="1"/>
  <c r="AE1273" i="16"/>
  <c r="AK1273" i="16" s="1"/>
  <c r="AD1322" i="16"/>
  <c r="AK1322" i="16" s="1"/>
  <c r="AD1373" i="16"/>
  <c r="AK1373" i="16" s="1"/>
  <c r="AI1212" i="16"/>
  <c r="AK1212" i="16" s="1"/>
  <c r="AD1320" i="16"/>
  <c r="AK1320" i="16" s="1"/>
  <c r="AD1374" i="16"/>
  <c r="AK1374" i="16" s="1"/>
  <c r="AE1201" i="16"/>
  <c r="AK1201" i="16" s="1"/>
  <c r="AF1296" i="16"/>
  <c r="AI1296" i="16"/>
  <c r="AH1296" i="16"/>
  <c r="AH1465" i="16" s="1"/>
  <c r="AD1348" i="16"/>
  <c r="AK1348" i="16" s="1"/>
  <c r="AJ1361" i="16"/>
  <c r="AK1361" i="16" s="1"/>
  <c r="AD1215" i="16"/>
  <c r="AK1215" i="16" s="1"/>
  <c r="AE1213" i="16"/>
  <c r="AK1213" i="16" s="1"/>
  <c r="AG1284" i="16"/>
  <c r="AK1284" i="16" s="1"/>
  <c r="AD1346" i="16"/>
  <c r="AK1346" i="16" s="1"/>
  <c r="AG1199" i="16"/>
  <c r="AK1199" i="16" s="1"/>
  <c r="AD1308" i="16"/>
  <c r="AD1341" i="16"/>
  <c r="AK1341" i="16" s="1"/>
  <c r="AD1274" i="16"/>
  <c r="AK1274" i="16" s="1"/>
  <c r="AD1263" i="16"/>
  <c r="AK1263" i="16" s="1"/>
  <c r="AD1316" i="16"/>
  <c r="AK1316" i="16" s="1"/>
  <c r="AH1402" i="16"/>
  <c r="AK1402" i="16" s="1"/>
  <c r="AG1271" i="16"/>
  <c r="AK1271" i="16" s="1"/>
  <c r="AD1339" i="16"/>
  <c r="AK1339" i="16" s="1"/>
  <c r="AJ1194" i="16"/>
  <c r="AK1194" i="16" s="1"/>
  <c r="AD1272" i="16"/>
  <c r="AK1272" i="16" s="1"/>
  <c r="AD1344" i="16"/>
  <c r="AK1344" i="16" s="1"/>
  <c r="AC1399" i="16"/>
  <c r="AK1399" i="16" s="1"/>
  <c r="AD1276" i="16"/>
  <c r="AK1276" i="16" s="1"/>
  <c r="AF1387" i="16"/>
  <c r="AK1387" i="16" s="1"/>
  <c r="AD1209" i="16"/>
  <c r="AK1209" i="16" s="1"/>
  <c r="AI1225" i="16"/>
  <c r="AK1225" i="16" s="1"/>
  <c r="AD1269" i="16"/>
  <c r="AK1269" i="16" s="1"/>
  <c r="AD1382" i="16"/>
  <c r="AK1382" i="16" s="1"/>
  <c r="AD1328" i="16"/>
  <c r="AK1328" i="16" s="1"/>
  <c r="AJ1371" i="16"/>
  <c r="AK1371" i="16" s="1"/>
  <c r="AD1354" i="16"/>
  <c r="AK1354" i="16" s="1"/>
  <c r="AK1327" i="16"/>
  <c r="AK1304" i="16"/>
  <c r="AK1313" i="16"/>
  <c r="AK1314" i="16"/>
  <c r="AK1319" i="16"/>
  <c r="AK1312" i="16"/>
  <c r="AK1305" i="16"/>
  <c r="AK1306" i="16"/>
  <c r="AK1326" i="16"/>
  <c r="AB1118" i="16"/>
  <c r="AB1119" i="16"/>
  <c r="AJ1517" i="16" l="1"/>
  <c r="AJ1488" i="16" s="1"/>
  <c r="AJ1824" i="16" s="1"/>
  <c r="AJ1806" i="16"/>
  <c r="AJ1489" i="16"/>
  <c r="AH1517" i="16"/>
  <c r="AH1488" i="16" s="1"/>
  <c r="AH1824" i="16" s="1"/>
  <c r="AH1806" i="16"/>
  <c r="AH1489" i="16"/>
  <c r="AK1515" i="16"/>
  <c r="AI1125" i="16"/>
  <c r="AD1806" i="16"/>
  <c r="AD1517" i="16"/>
  <c r="AD1488" i="16" s="1"/>
  <c r="AD1824" i="16" s="1"/>
  <c r="AD1489" i="16"/>
  <c r="AE1489" i="16"/>
  <c r="AE1806" i="16"/>
  <c r="AE1517" i="16"/>
  <c r="AE1488" i="16" s="1"/>
  <c r="AC1517" i="16"/>
  <c r="AC1488" i="16" s="1"/>
  <c r="AK1534" i="16"/>
  <c r="AC1806" i="16"/>
  <c r="AC1489" i="16"/>
  <c r="AF1806" i="16"/>
  <c r="AF1517" i="16"/>
  <c r="AF1488" i="16" s="1"/>
  <c r="AF1489" i="16"/>
  <c r="AG1806" i="16"/>
  <c r="AG1517" i="16"/>
  <c r="AG1488" i="16" s="1"/>
  <c r="AG1489" i="16"/>
  <c r="AI1517" i="16"/>
  <c r="AI1488" i="16" s="1"/>
  <c r="AI1806" i="16"/>
  <c r="AI1489" i="16"/>
  <c r="AJ1467" i="16"/>
  <c r="AH1168" i="16"/>
  <c r="AF1465" i="16"/>
  <c r="AH1150" i="16"/>
  <c r="AH1434" i="16"/>
  <c r="AK1434" i="16" s="1"/>
  <c r="AJ1378" i="16"/>
  <c r="AJ1401" i="16"/>
  <c r="AC1468" i="16"/>
  <c r="AE1468" i="16"/>
  <c r="AJ1468" i="16"/>
  <c r="AH1125" i="16"/>
  <c r="AH1462" i="16"/>
  <c r="AH1439" i="16"/>
  <c r="AC1467" i="16"/>
  <c r="AI1446" i="16"/>
  <c r="AH1446" i="16"/>
  <c r="AD1416" i="16"/>
  <c r="AK1416" i="16" s="1"/>
  <c r="AK1378" i="16"/>
  <c r="AI1451" i="16"/>
  <c r="AK1451" i="16" s="1"/>
  <c r="AJ1180" i="16"/>
  <c r="AD1425" i="16"/>
  <c r="AK1425" i="16" s="1"/>
  <c r="AF1467" i="16"/>
  <c r="AI1467" i="16"/>
  <c r="AH1467" i="16"/>
  <c r="AG1467" i="16"/>
  <c r="AJ1446" i="16"/>
  <c r="AJ1175" i="16"/>
  <c r="AJ1296" i="16"/>
  <c r="AJ1465" i="16" s="1"/>
  <c r="AI1157" i="16"/>
  <c r="AJ1471" i="16"/>
  <c r="AJ1137" i="16"/>
  <c r="AJ1455" i="16" s="1"/>
  <c r="AH1157" i="16"/>
  <c r="AI1465" i="16"/>
  <c r="AJ1132" i="16"/>
  <c r="AJ1157" i="16"/>
  <c r="AF1471" i="16"/>
  <c r="AI1471" i="16"/>
  <c r="AH1471" i="16"/>
  <c r="AF1468" i="16"/>
  <c r="AI1468" i="16"/>
  <c r="AG1468" i="16"/>
  <c r="AI1175" i="16"/>
  <c r="AH1175" i="16"/>
  <c r="AF1175" i="16"/>
  <c r="AD1232" i="16"/>
  <c r="AK1207" i="16"/>
  <c r="AG1168" i="16"/>
  <c r="AG1439" i="16"/>
  <c r="AG1462" i="16"/>
  <c r="AG1150" i="16"/>
  <c r="AF1150" i="16"/>
  <c r="AF1439" i="16"/>
  <c r="AF1168" i="16"/>
  <c r="AF1462" i="16"/>
  <c r="AI1150" i="16"/>
  <c r="AI1462" i="16"/>
  <c r="AI1168" i="16"/>
  <c r="AI1439" i="16"/>
  <c r="AD1256" i="16"/>
  <c r="AG1125" i="16"/>
  <c r="AK1308" i="16"/>
  <c r="AK1315" i="16"/>
  <c r="AJ1440" i="16"/>
  <c r="AJ1151" i="16"/>
  <c r="AJ1169" i="16"/>
  <c r="AJ1126" i="16"/>
  <c r="AJ1150" i="16"/>
  <c r="AJ1462" i="16"/>
  <c r="AJ1439" i="16"/>
  <c r="AJ1168" i="16"/>
  <c r="AJ1125" i="16"/>
  <c r="AE1471" i="16"/>
  <c r="AE1137" i="16"/>
  <c r="AE1455" i="16" s="1"/>
  <c r="AE1132" i="16"/>
  <c r="AE1175" i="16"/>
  <c r="AE1446" i="16"/>
  <c r="AE1296" i="16"/>
  <c r="AE1465" i="16" s="1"/>
  <c r="AE1157" i="16"/>
  <c r="AE1401" i="16"/>
  <c r="AI1437" i="16"/>
  <c r="AI1459" i="16"/>
  <c r="AI1122" i="16"/>
  <c r="AI1166" i="16"/>
  <c r="AI1148" i="16"/>
  <c r="AD1196" i="16"/>
  <c r="AD1233" i="16"/>
  <c r="AK1233" i="16" s="1"/>
  <c r="AF1152" i="16"/>
  <c r="AF1170" i="16"/>
  <c r="AF1441" i="16"/>
  <c r="AF1127" i="16"/>
  <c r="AF1463" i="16"/>
  <c r="AC1149" i="16"/>
  <c r="AC1438" i="16"/>
  <c r="AC1460" i="16"/>
  <c r="AC1123" i="16"/>
  <c r="AC1167" i="16"/>
  <c r="AC1463" i="16"/>
  <c r="AC1127" i="16"/>
  <c r="AC1170" i="16"/>
  <c r="AC1152" i="16"/>
  <c r="AC1441" i="16"/>
  <c r="AH1124" i="16"/>
  <c r="AH1461" i="16"/>
  <c r="AD1467" i="16"/>
  <c r="AD1221" i="16"/>
  <c r="AC1148" i="16"/>
  <c r="AC1166" i="16"/>
  <c r="AC1459" i="16"/>
  <c r="AC1437" i="16"/>
  <c r="AC1122" i="16"/>
  <c r="AH1460" i="16"/>
  <c r="AH1123" i="16"/>
  <c r="AH1438" i="16"/>
  <c r="AH1167" i="16"/>
  <c r="AH1149" i="16"/>
  <c r="AF1121" i="16"/>
  <c r="AF1165" i="16"/>
  <c r="AF1147" i="16"/>
  <c r="AF1436" i="16"/>
  <c r="AF1458" i="16"/>
  <c r="AF1151" i="16"/>
  <c r="AF1169" i="16"/>
  <c r="AF1126" i="16"/>
  <c r="AF1440" i="16"/>
  <c r="AF1153" i="16"/>
  <c r="AF1442" i="16"/>
  <c r="AF1171" i="16"/>
  <c r="AF1128" i="16"/>
  <c r="AJ1119" i="16"/>
  <c r="AK1119" i="16" s="1"/>
  <c r="AJ1460" i="16"/>
  <c r="AJ1149" i="16"/>
  <c r="AJ1167" i="16"/>
  <c r="AJ1438" i="16"/>
  <c r="AJ1123" i="16"/>
  <c r="AJ1124" i="16"/>
  <c r="AJ1461" i="16"/>
  <c r="AK1342" i="16"/>
  <c r="AE1150" i="16"/>
  <c r="AE1439" i="16"/>
  <c r="AE1168" i="16"/>
  <c r="AE1462" i="16"/>
  <c r="AE1125" i="16"/>
  <c r="AH1459" i="16"/>
  <c r="AH1148" i="16"/>
  <c r="AH1437" i="16"/>
  <c r="AH1166" i="16"/>
  <c r="AH1122" i="16"/>
  <c r="AD1268" i="16"/>
  <c r="AK1268" i="16" s="1"/>
  <c r="AD1282" i="16"/>
  <c r="AE1152" i="16"/>
  <c r="AE1170" i="16"/>
  <c r="AE1127" i="16"/>
  <c r="AE1441" i="16"/>
  <c r="AE1463" i="16"/>
  <c r="AC1461" i="16"/>
  <c r="AC1124" i="16"/>
  <c r="AC1439" i="16"/>
  <c r="AC1462" i="16"/>
  <c r="AC1125" i="16"/>
  <c r="AC1168" i="16"/>
  <c r="AC1150" i="16"/>
  <c r="AF1461" i="16"/>
  <c r="AF1124" i="16"/>
  <c r="AD1281" i="16"/>
  <c r="AD1255" i="16"/>
  <c r="AG1149" i="16"/>
  <c r="AG1123" i="16"/>
  <c r="AG1438" i="16"/>
  <c r="AG1167" i="16"/>
  <c r="AG1460" i="16"/>
  <c r="AI1460" i="16"/>
  <c r="AI1123" i="16"/>
  <c r="AI1438" i="16"/>
  <c r="AI1167" i="16"/>
  <c r="AI1149" i="16"/>
  <c r="AG1436" i="16"/>
  <c r="AG1458" i="16"/>
  <c r="AG1165" i="16"/>
  <c r="AG1121" i="16"/>
  <c r="AG1147" i="16"/>
  <c r="AH1436" i="16"/>
  <c r="AH1458" i="16"/>
  <c r="AH1121" i="16"/>
  <c r="AH1165" i="16"/>
  <c r="AH1147" i="16"/>
  <c r="AH1440" i="16"/>
  <c r="AH1151" i="16"/>
  <c r="AH1126" i="16"/>
  <c r="AH1169" i="16"/>
  <c r="AG1157" i="16"/>
  <c r="AG1132" i="16"/>
  <c r="AG1137" i="16"/>
  <c r="AG1455" i="16" s="1"/>
  <c r="AG1446" i="16"/>
  <c r="AG1175" i="16"/>
  <c r="AG1401" i="16"/>
  <c r="AG1471" i="16"/>
  <c r="AG1296" i="16"/>
  <c r="AG1465" i="16" s="1"/>
  <c r="AH1171" i="16"/>
  <c r="AH1153" i="16"/>
  <c r="AH1128" i="16"/>
  <c r="AH1442" i="16"/>
  <c r="AJ1171" i="16"/>
  <c r="AJ1153" i="16"/>
  <c r="AJ1128" i="16"/>
  <c r="AJ1442" i="16"/>
  <c r="AF1148" i="16"/>
  <c r="AF1459" i="16"/>
  <c r="AF1166" i="16"/>
  <c r="AF1437" i="16"/>
  <c r="AF1122" i="16"/>
  <c r="AD1468" i="16"/>
  <c r="AG1170" i="16"/>
  <c r="AG1152" i="16"/>
  <c r="AG1463" i="16"/>
  <c r="AG1127" i="16"/>
  <c r="AG1441" i="16"/>
  <c r="AH1152" i="16"/>
  <c r="AH1170" i="16"/>
  <c r="AH1463" i="16"/>
  <c r="AH1127" i="16"/>
  <c r="AH1441" i="16"/>
  <c r="AC1165" i="16"/>
  <c r="AC1436" i="16"/>
  <c r="AC1121" i="16"/>
  <c r="AC1147" i="16"/>
  <c r="AC1458" i="16"/>
  <c r="AI1461" i="16"/>
  <c r="AI1124" i="16"/>
  <c r="AD1182" i="16"/>
  <c r="AK1182" i="16" s="1"/>
  <c r="AD1267" i="16"/>
  <c r="AK1267" i="16" s="1"/>
  <c r="AE1123" i="16"/>
  <c r="AE1438" i="16"/>
  <c r="AE1149" i="16"/>
  <c r="AE1460" i="16"/>
  <c r="AE1167" i="16"/>
  <c r="AC1175" i="16"/>
  <c r="AC1471" i="16"/>
  <c r="AC1137" i="16"/>
  <c r="AC1455" i="16" s="1"/>
  <c r="AC1296" i="16"/>
  <c r="AC1465" i="16" s="1"/>
  <c r="AC1157" i="16"/>
  <c r="AC1446" i="16"/>
  <c r="AC1132" i="16"/>
  <c r="AC1401" i="16"/>
  <c r="AE1436" i="16"/>
  <c r="AE1121" i="16"/>
  <c r="AE1458" i="16"/>
  <c r="AE1165" i="16"/>
  <c r="AE1147" i="16"/>
  <c r="AI1440" i="16"/>
  <c r="AI1169" i="16"/>
  <c r="AI1151" i="16"/>
  <c r="AI1126" i="16"/>
  <c r="AE1440" i="16"/>
  <c r="AE1169" i="16"/>
  <c r="AE1151" i="16"/>
  <c r="AE1126" i="16"/>
  <c r="AJ1437" i="16"/>
  <c r="AJ1166" i="16"/>
  <c r="AJ1122" i="16"/>
  <c r="AJ1459" i="16"/>
  <c r="AJ1148" i="16"/>
  <c r="AK1340" i="16"/>
  <c r="AE1171" i="16"/>
  <c r="AE1128" i="16"/>
  <c r="AE1153" i="16"/>
  <c r="AE1442" i="16"/>
  <c r="AD1446" i="16"/>
  <c r="AD1401" i="16"/>
  <c r="AD1157" i="16"/>
  <c r="AD1296" i="16"/>
  <c r="AD1465" i="16" s="1"/>
  <c r="AD1175" i="16"/>
  <c r="AD1132" i="16"/>
  <c r="AD1137" i="16"/>
  <c r="AD1455" i="16" s="1"/>
  <c r="AD1471" i="16"/>
  <c r="AJ1147" i="16"/>
  <c r="AJ1165" i="16"/>
  <c r="AJ1121" i="16"/>
  <c r="AJ1458" i="16"/>
  <c r="AJ1436" i="16"/>
  <c r="AJ1127" i="16"/>
  <c r="AJ1463" i="16"/>
  <c r="AJ1152" i="16"/>
  <c r="AJ1170" i="16"/>
  <c r="AJ1441" i="16"/>
  <c r="AE1437" i="16"/>
  <c r="AE1148" i="16"/>
  <c r="AE1459" i="16"/>
  <c r="AE1122" i="16"/>
  <c r="AE1166" i="16"/>
  <c r="AG1437" i="16"/>
  <c r="AG1459" i="16"/>
  <c r="AG1122" i="16"/>
  <c r="AG1148" i="16"/>
  <c r="AG1166" i="16"/>
  <c r="AD1183" i="16"/>
  <c r="AK1183" i="16" s="1"/>
  <c r="AI1441" i="16"/>
  <c r="AI1170" i="16"/>
  <c r="AI1463" i="16"/>
  <c r="AI1127" i="16"/>
  <c r="AI1152" i="16"/>
  <c r="AC1153" i="16"/>
  <c r="AC1128" i="16"/>
  <c r="AC1171" i="16"/>
  <c r="AC1442" i="16"/>
  <c r="AC1169" i="16"/>
  <c r="AC1440" i="16"/>
  <c r="AC1151" i="16"/>
  <c r="AC1126" i="16"/>
  <c r="AG1461" i="16"/>
  <c r="AG1124" i="16"/>
  <c r="AE1461" i="16"/>
  <c r="AE1124" i="16"/>
  <c r="AD1208" i="16"/>
  <c r="AK1208" i="16" s="1"/>
  <c r="AF1123" i="16"/>
  <c r="AF1149" i="16"/>
  <c r="AF1438" i="16"/>
  <c r="AF1167" i="16"/>
  <c r="AF1460" i="16"/>
  <c r="AI1436" i="16"/>
  <c r="AI1165" i="16"/>
  <c r="AI1458" i="16"/>
  <c r="AI1121" i="16"/>
  <c r="AI1147" i="16"/>
  <c r="AG1440" i="16"/>
  <c r="AG1169" i="16"/>
  <c r="AG1126" i="16"/>
  <c r="AG1151" i="16"/>
  <c r="AG1153" i="16"/>
  <c r="AG1128" i="16"/>
  <c r="AG1442" i="16"/>
  <c r="AG1171" i="16"/>
  <c r="AI1153" i="16"/>
  <c r="AI1128" i="16"/>
  <c r="AI1442" i="16"/>
  <c r="AI1171" i="16"/>
  <c r="AK1255" i="16"/>
  <c r="AK1196" i="16"/>
  <c r="AK1282" i="16"/>
  <c r="AK1281" i="16"/>
  <c r="AK1221" i="16"/>
  <c r="AK1232" i="16"/>
  <c r="AK1256" i="16"/>
  <c r="AE1824" i="16" l="1"/>
  <c r="AF1824" i="16"/>
  <c r="AG1824" i="16"/>
  <c r="AK1488" i="16"/>
  <c r="AC1824" i="16"/>
  <c r="AK1489" i="16"/>
  <c r="AI1824" i="16"/>
  <c r="AK1806" i="16"/>
  <c r="AK1517" i="16"/>
  <c r="AK1467" i="16"/>
  <c r="AK1468" i="16"/>
  <c r="AK1180" i="16"/>
  <c r="AD1168" i="16"/>
  <c r="AK1168" i="16" s="1"/>
  <c r="AD1167" i="16"/>
  <c r="AK1167" i="16" s="1"/>
  <c r="AD1460" i="16"/>
  <c r="AK1460" i="16" s="1"/>
  <c r="AD1123" i="16"/>
  <c r="AK1123" i="16" s="1"/>
  <c r="AD1438" i="16"/>
  <c r="AK1438" i="16" s="1"/>
  <c r="AD1149" i="16"/>
  <c r="AK1149" i="16" s="1"/>
  <c r="AJ1144" i="16"/>
  <c r="AJ1163" i="16"/>
  <c r="AJ1454" i="16"/>
  <c r="AE1163" i="16"/>
  <c r="AE1454" i="16"/>
  <c r="AD1147" i="16"/>
  <c r="AK1147" i="16" s="1"/>
  <c r="AD1121" i="16"/>
  <c r="AD1165" i="16"/>
  <c r="AD1436" i="16"/>
  <c r="AK1436" i="16" s="1"/>
  <c r="AD1458" i="16"/>
  <c r="AK1458" i="16" s="1"/>
  <c r="AD1151" i="16"/>
  <c r="AK1151" i="16" s="1"/>
  <c r="AD1126" i="16"/>
  <c r="AD1169" i="16"/>
  <c r="AK1169" i="16" s="1"/>
  <c r="AD1440" i="16"/>
  <c r="AK1440" i="16" s="1"/>
  <c r="AD1125" i="16"/>
  <c r="AK1125" i="16" s="1"/>
  <c r="AE1144" i="16"/>
  <c r="AC1144" i="16"/>
  <c r="AC1163" i="16"/>
  <c r="AC1454" i="16"/>
  <c r="AD1153" i="16"/>
  <c r="AK1153" i="16" s="1"/>
  <c r="AD1128" i="16"/>
  <c r="AK1128" i="16" s="1"/>
  <c r="AD1442" i="16"/>
  <c r="AK1442" i="16" s="1"/>
  <c r="AD1171" i="16"/>
  <c r="AD1461" i="16"/>
  <c r="AK1461" i="16" s="1"/>
  <c r="AD1124" i="16"/>
  <c r="AK1124" i="16" s="1"/>
  <c r="AD1166" i="16"/>
  <c r="AK1166" i="16" s="1"/>
  <c r="AD1148" i="16"/>
  <c r="AK1148" i="16" s="1"/>
  <c r="AD1459" i="16"/>
  <c r="AD1122" i="16"/>
  <c r="AK1122" i="16" s="1"/>
  <c r="AD1437" i="16"/>
  <c r="AD1462" i="16"/>
  <c r="AK1462" i="16" s="1"/>
  <c r="AH1144" i="16"/>
  <c r="AH1163" i="16"/>
  <c r="AH1454" i="16"/>
  <c r="AG1144" i="16"/>
  <c r="AG1163" i="16"/>
  <c r="AG1454" i="16"/>
  <c r="AF1144" i="16"/>
  <c r="AF1163" i="16"/>
  <c r="AF1454" i="16"/>
  <c r="AD1150" i="16"/>
  <c r="AK1150" i="16" s="1"/>
  <c r="AI1144" i="16"/>
  <c r="AI1163" i="16"/>
  <c r="AI1454" i="16"/>
  <c r="AD1441" i="16"/>
  <c r="AK1441" i="16" s="1"/>
  <c r="AD1170" i="16"/>
  <c r="AK1170" i="16" s="1"/>
  <c r="AD1463" i="16"/>
  <c r="AK1463" i="16" s="1"/>
  <c r="AD1152" i="16"/>
  <c r="AK1152" i="16" s="1"/>
  <c r="AD1127" i="16"/>
  <c r="AK1127" i="16" s="1"/>
  <c r="AD1439" i="16"/>
  <c r="AK1439" i="16" s="1"/>
  <c r="AK1459" i="16"/>
  <c r="AK1171" i="16"/>
  <c r="AK1126" i="16"/>
  <c r="AK1121" i="16"/>
  <c r="AK1437" i="16"/>
  <c r="AK1165" i="16"/>
  <c r="AK1824" i="16" l="1"/>
  <c r="AD1163" i="16"/>
  <c r="AD1454" i="16"/>
  <c r="AD1144" i="16"/>
  <c r="AH1118" i="16"/>
  <c r="AH1146" i="16"/>
  <c r="AH1435" i="16"/>
  <c r="AC1435" i="16"/>
  <c r="AC1118" i="16"/>
  <c r="AC1146" i="16"/>
  <c r="AJ1435" i="16"/>
  <c r="AJ1118" i="16"/>
  <c r="AJ1146" i="16"/>
  <c r="AI1118" i="16"/>
  <c r="AI1146" i="16"/>
  <c r="AI1435" i="16"/>
  <c r="AG1146" i="16"/>
  <c r="AG1435" i="16"/>
  <c r="AG1118" i="16"/>
  <c r="AF1435" i="16"/>
  <c r="AF1118" i="16"/>
  <c r="AF1146" i="16"/>
  <c r="AE1435" i="16"/>
  <c r="AE1118" i="16"/>
  <c r="AE1146" i="16"/>
  <c r="AD1118" i="16" l="1"/>
  <c r="AD1146" i="16"/>
  <c r="AD1435" i="16"/>
  <c r="AN303" i="16" l="1"/>
  <c r="AN304" i="16"/>
  <c r="AN305" i="16"/>
  <c r="AN306" i="16"/>
  <c r="AN307" i="16"/>
  <c r="AN308" i="16"/>
  <c r="AN309" i="16"/>
  <c r="AN310" i="16"/>
  <c r="AN311" i="16"/>
  <c r="AN312" i="16"/>
  <c r="AN313" i="16"/>
  <c r="AN314" i="16"/>
  <c r="AN315" i="16"/>
  <c r="AN316" i="16"/>
  <c r="AN317" i="16"/>
  <c r="AN318" i="16"/>
  <c r="AN319" i="16"/>
  <c r="AN320" i="16"/>
  <c r="AN321" i="16"/>
  <c r="AN322" i="16"/>
  <c r="AN323" i="16"/>
  <c r="AN324" i="16"/>
  <c r="AN325" i="16"/>
  <c r="AN326" i="16"/>
  <c r="AN327" i="16"/>
  <c r="AN328" i="16"/>
  <c r="AN329" i="16"/>
  <c r="AN330" i="16"/>
  <c r="AN331" i="16"/>
  <c r="AN332" i="16"/>
  <c r="AN333" i="16"/>
  <c r="AN334" i="16"/>
  <c r="AN335" i="16"/>
  <c r="AN336" i="16"/>
  <c r="AN337" i="16"/>
  <c r="AN338" i="16"/>
  <c r="AN339" i="16"/>
  <c r="AN340" i="16"/>
  <c r="AN341" i="16"/>
  <c r="AN342" i="16"/>
  <c r="AN343" i="16"/>
  <c r="AN344" i="16"/>
  <c r="AN345" i="16"/>
  <c r="AN346" i="16"/>
  <c r="AN347" i="16"/>
  <c r="AN348" i="16"/>
  <c r="AN349" i="16"/>
  <c r="AN350" i="16"/>
  <c r="AN351" i="16"/>
  <c r="AN352" i="16"/>
  <c r="AN353" i="16"/>
  <c r="AN354" i="16"/>
  <c r="AN355" i="16"/>
  <c r="AN356" i="16"/>
  <c r="AN357" i="16"/>
  <c r="AN358" i="16"/>
  <c r="AN359" i="16"/>
  <c r="AN360" i="16"/>
  <c r="AN361" i="16"/>
  <c r="AN362" i="16"/>
  <c r="AN363" i="16"/>
  <c r="AN364" i="16"/>
  <c r="AN365" i="16"/>
  <c r="AN366" i="16"/>
  <c r="AN367" i="16"/>
  <c r="AN368" i="16"/>
  <c r="AN369" i="16"/>
  <c r="AN370" i="16"/>
  <c r="AN371" i="16"/>
  <c r="AN372" i="16"/>
  <c r="AN373" i="16"/>
  <c r="AN374" i="16"/>
  <c r="AN375" i="16"/>
  <c r="AN376" i="16"/>
  <c r="AN377" i="16"/>
  <c r="AN378" i="16"/>
  <c r="AN379" i="16"/>
  <c r="AN380" i="16"/>
  <c r="AN381" i="16"/>
  <c r="AN382" i="16"/>
  <c r="AN383" i="16"/>
  <c r="AN384" i="16"/>
  <c r="AN385" i="16"/>
  <c r="AN386" i="16"/>
  <c r="AN387" i="16"/>
  <c r="AN388" i="16"/>
  <c r="AN389" i="16"/>
  <c r="AN390" i="16"/>
  <c r="AN391" i="16"/>
  <c r="AN392" i="16"/>
  <c r="AN393" i="16"/>
  <c r="AN394" i="16"/>
  <c r="AN395" i="16"/>
  <c r="AN396" i="16"/>
  <c r="AN397" i="16"/>
  <c r="AN398" i="16"/>
  <c r="AN399" i="16"/>
  <c r="AN400" i="16"/>
  <c r="AN401" i="16"/>
  <c r="AN402" i="16"/>
  <c r="AN403" i="16"/>
  <c r="AN404" i="16"/>
  <c r="AN405" i="16"/>
  <c r="AN406" i="16"/>
  <c r="AN407" i="16"/>
  <c r="AN408" i="16"/>
  <c r="AN409" i="16"/>
  <c r="AN410" i="16"/>
  <c r="AN411" i="16"/>
  <c r="AN412" i="16"/>
  <c r="AN413" i="16"/>
  <c r="AN414" i="16"/>
  <c r="AN415" i="16"/>
  <c r="AN416" i="16"/>
  <c r="AN417" i="16"/>
  <c r="AN418" i="16"/>
  <c r="AN419" i="16"/>
  <c r="AN420" i="16"/>
  <c r="AN421" i="16"/>
  <c r="AN422" i="16"/>
  <c r="AN423" i="16"/>
  <c r="AN424" i="16"/>
  <c r="AN425" i="16"/>
  <c r="AN426" i="16"/>
  <c r="AN427" i="16"/>
  <c r="AN428" i="16"/>
  <c r="AN429" i="16"/>
  <c r="AN430" i="16"/>
  <c r="AN431" i="16"/>
  <c r="AN432" i="16"/>
  <c r="AN433" i="16"/>
  <c r="AN434" i="16"/>
  <c r="AN435" i="16"/>
  <c r="AN436" i="16"/>
  <c r="AN437" i="16"/>
  <c r="AN438" i="16"/>
  <c r="AN439" i="16"/>
  <c r="AN440" i="16"/>
  <c r="AN441" i="16"/>
  <c r="AN442" i="16"/>
  <c r="AN443" i="16"/>
  <c r="AN444" i="16"/>
  <c r="AN445" i="16"/>
  <c r="AN446" i="16"/>
  <c r="AN447" i="16"/>
  <c r="AN448" i="16"/>
  <c r="AN449" i="16"/>
  <c r="AN450" i="16"/>
  <c r="AN451" i="16"/>
  <c r="AN452" i="16"/>
  <c r="AN453" i="16"/>
  <c r="AN454" i="16"/>
  <c r="AN455" i="16"/>
  <c r="AN456" i="16"/>
  <c r="AN457" i="16"/>
  <c r="AN458" i="16"/>
  <c r="AN459" i="16"/>
  <c r="AN460" i="16"/>
  <c r="AN461" i="16"/>
  <c r="AN462" i="16"/>
  <c r="AN463" i="16"/>
  <c r="AN464" i="16"/>
  <c r="AN465" i="16"/>
  <c r="AN466" i="16"/>
  <c r="AN467" i="16"/>
  <c r="AN468" i="16"/>
  <c r="AN469" i="16"/>
  <c r="AN470" i="16"/>
  <c r="AN471" i="16"/>
  <c r="AN472" i="16"/>
  <c r="AN473" i="16"/>
  <c r="AN474" i="16"/>
  <c r="AN475" i="16"/>
  <c r="AN476" i="16"/>
  <c r="AN477" i="16"/>
  <c r="AN478" i="16"/>
  <c r="AN479" i="16"/>
  <c r="AN480" i="16"/>
  <c r="AN481" i="16"/>
  <c r="AN482" i="16"/>
  <c r="AN483" i="16"/>
  <c r="AN484" i="16"/>
  <c r="AN485" i="16"/>
  <c r="AN486" i="16"/>
  <c r="AN487" i="16"/>
  <c r="AN488" i="16"/>
  <c r="AN489" i="16"/>
  <c r="AN490" i="16"/>
  <c r="AN491" i="16"/>
  <c r="AN492" i="16"/>
  <c r="AN493" i="16"/>
  <c r="AN494" i="16"/>
  <c r="AN495" i="16"/>
  <c r="AN496" i="16"/>
  <c r="AN497" i="16"/>
  <c r="AN498" i="16"/>
  <c r="AN499" i="16"/>
  <c r="AN500" i="16"/>
  <c r="AN501" i="16"/>
  <c r="AN502" i="16"/>
  <c r="AN503" i="16"/>
  <c r="AN504" i="16"/>
  <c r="AN505" i="16"/>
  <c r="AN506" i="16"/>
  <c r="AN507" i="16"/>
  <c r="AN508" i="16"/>
  <c r="AN509" i="16"/>
  <c r="AN510" i="16"/>
  <c r="AN511" i="16"/>
  <c r="AN512" i="16"/>
  <c r="AN513" i="16"/>
  <c r="AN514" i="16"/>
  <c r="AN515" i="16"/>
  <c r="AN516" i="16"/>
  <c r="AN517" i="16"/>
  <c r="AN518" i="16"/>
  <c r="AN519" i="16"/>
  <c r="AN520" i="16"/>
  <c r="AN521" i="16"/>
  <c r="AN522" i="16"/>
  <c r="AN523" i="16"/>
  <c r="AN524" i="16"/>
  <c r="AN525" i="16"/>
  <c r="AN526" i="16"/>
  <c r="AN527" i="16"/>
  <c r="AN528" i="16"/>
  <c r="AN529" i="16"/>
  <c r="AN530" i="16"/>
  <c r="AN531" i="16"/>
  <c r="AN532" i="16"/>
  <c r="AN533" i="16"/>
  <c r="AN534" i="16"/>
  <c r="AN535" i="16"/>
  <c r="AN536" i="16"/>
  <c r="AN537" i="16"/>
  <c r="AN538" i="16"/>
  <c r="AN539" i="16"/>
  <c r="AN540" i="16"/>
  <c r="AN541" i="16"/>
  <c r="AN542" i="16"/>
  <c r="AN543" i="16"/>
  <c r="AN544" i="16"/>
  <c r="AN545" i="16"/>
  <c r="AN546" i="16"/>
  <c r="AN547" i="16"/>
  <c r="AN548" i="16"/>
  <c r="AN549" i="16"/>
  <c r="AN550" i="16"/>
  <c r="AN551" i="16"/>
  <c r="AN552" i="16"/>
  <c r="AN553" i="16"/>
  <c r="AN554" i="16"/>
  <c r="AN555" i="16"/>
  <c r="AN556" i="16"/>
  <c r="AN557" i="16"/>
  <c r="AN558" i="16"/>
  <c r="AN559" i="16"/>
  <c r="AN560" i="16"/>
  <c r="AN561" i="16"/>
  <c r="AN562" i="16"/>
  <c r="AN563" i="16"/>
  <c r="AN564" i="16"/>
  <c r="AN565" i="16"/>
  <c r="AN566" i="16"/>
  <c r="AN567" i="16"/>
  <c r="AN568" i="16"/>
  <c r="AN569" i="16"/>
  <c r="AN570" i="16"/>
  <c r="AN571" i="16"/>
  <c r="AN572" i="16"/>
  <c r="AN573" i="16"/>
  <c r="AN574" i="16"/>
  <c r="AN575" i="16"/>
  <c r="AN576" i="16"/>
  <c r="AN577" i="16"/>
  <c r="AN578" i="16"/>
  <c r="AN579" i="16"/>
  <c r="AN580" i="16"/>
  <c r="AN581" i="16"/>
  <c r="AN582" i="16"/>
  <c r="AN583" i="16"/>
  <c r="AN584" i="16"/>
  <c r="AN585" i="16"/>
  <c r="AN586" i="16"/>
  <c r="AN587" i="16"/>
  <c r="AN588" i="16"/>
  <c r="AN589" i="16"/>
  <c r="AN590" i="16"/>
  <c r="AN591" i="16"/>
  <c r="AN592" i="16"/>
  <c r="AN593" i="16"/>
  <c r="AN594" i="16"/>
  <c r="AN595" i="16"/>
  <c r="AN596" i="16"/>
  <c r="AN597" i="16"/>
  <c r="AN598" i="16"/>
  <c r="AN599" i="16"/>
  <c r="AN600" i="16"/>
  <c r="AN601" i="16"/>
  <c r="AN602" i="16"/>
  <c r="AN603" i="16"/>
  <c r="AN604" i="16"/>
  <c r="AN605" i="16"/>
  <c r="AN606" i="16"/>
  <c r="AN607" i="16"/>
  <c r="AN608" i="16"/>
  <c r="AN609" i="16"/>
  <c r="AN610" i="16"/>
  <c r="AN611" i="16"/>
  <c r="AN612" i="16"/>
  <c r="AN613" i="16"/>
  <c r="AN614" i="16"/>
  <c r="AN615" i="16"/>
  <c r="AN616" i="16"/>
  <c r="AN617" i="16"/>
  <c r="AN618" i="16"/>
  <c r="AN619" i="16"/>
  <c r="AN620" i="16"/>
  <c r="AN621" i="16"/>
  <c r="AN622" i="16"/>
  <c r="AN623" i="16"/>
  <c r="AN624" i="16"/>
  <c r="AN625" i="16"/>
  <c r="AN626" i="16"/>
  <c r="AN627" i="16"/>
  <c r="AN628" i="16"/>
  <c r="AN629" i="16"/>
  <c r="AN630" i="16"/>
  <c r="AN631" i="16"/>
  <c r="AN632" i="16"/>
  <c r="AN633" i="16"/>
  <c r="AN634" i="16"/>
  <c r="AN635" i="16"/>
  <c r="AN636" i="16"/>
  <c r="AN637" i="16"/>
  <c r="AN638" i="16"/>
  <c r="AN639" i="16"/>
  <c r="AN640" i="16"/>
  <c r="AN641" i="16"/>
  <c r="AN642" i="16"/>
  <c r="AN643" i="16"/>
  <c r="AN644" i="16"/>
  <c r="AN645" i="16"/>
  <c r="AN646" i="16"/>
  <c r="AN647" i="16"/>
  <c r="AN648" i="16"/>
  <c r="AN649" i="16"/>
  <c r="AN650" i="16"/>
  <c r="AN651" i="16"/>
  <c r="AN652" i="16"/>
  <c r="AN653" i="16"/>
  <c r="AN654" i="16"/>
  <c r="AN655" i="16"/>
  <c r="AN656" i="16"/>
  <c r="AN657" i="16"/>
  <c r="AN658" i="16"/>
  <c r="AN659" i="16"/>
  <c r="AN660" i="16"/>
  <c r="AN661" i="16"/>
  <c r="AN662" i="16"/>
  <c r="AN663" i="16"/>
  <c r="AN664" i="16"/>
  <c r="AN665" i="16"/>
  <c r="AN666" i="16"/>
  <c r="AN667" i="16"/>
  <c r="AN668" i="16"/>
  <c r="AN669" i="16"/>
  <c r="AN670" i="16"/>
  <c r="AN671" i="16"/>
  <c r="AN672" i="16"/>
  <c r="AN673" i="16"/>
  <c r="AN674" i="16"/>
  <c r="AN675" i="16"/>
  <c r="AN676" i="16"/>
  <c r="AN677" i="16"/>
  <c r="AN678" i="16"/>
  <c r="AN679" i="16"/>
  <c r="AN680" i="16"/>
  <c r="AN681" i="16"/>
  <c r="AN682" i="16"/>
  <c r="AN683" i="16"/>
  <c r="AN684" i="16"/>
  <c r="AN685" i="16"/>
  <c r="AN686" i="16"/>
  <c r="AN687" i="16"/>
  <c r="AN688" i="16"/>
  <c r="AN689" i="16"/>
  <c r="AN690" i="16"/>
  <c r="AN691" i="16"/>
  <c r="AN692" i="16"/>
  <c r="AN693" i="16"/>
  <c r="AN694" i="16"/>
  <c r="AN695" i="16"/>
  <c r="AN696" i="16"/>
  <c r="AN697" i="16"/>
  <c r="AN698" i="16"/>
  <c r="AN699" i="16"/>
  <c r="AN700" i="16"/>
  <c r="AN701" i="16"/>
  <c r="AN702" i="16"/>
  <c r="AN703" i="16"/>
  <c r="AN704" i="16"/>
  <c r="AN705" i="16"/>
  <c r="AN706" i="16"/>
  <c r="AN707" i="16"/>
  <c r="AN708" i="16"/>
  <c r="AN709" i="16"/>
  <c r="AN710" i="16"/>
  <c r="AN711" i="16"/>
  <c r="AN712" i="16"/>
  <c r="AN713" i="16"/>
  <c r="AN714" i="16"/>
  <c r="AN715" i="16"/>
  <c r="AN716" i="16"/>
  <c r="AN717" i="16"/>
  <c r="AN718" i="16"/>
  <c r="AN719" i="16"/>
  <c r="AN720" i="16"/>
  <c r="AN721" i="16"/>
  <c r="AN722" i="16"/>
  <c r="AN723" i="16"/>
  <c r="AN724" i="16"/>
  <c r="AN725" i="16"/>
  <c r="AN726" i="16"/>
  <c r="AN727" i="16"/>
  <c r="AN728" i="16"/>
  <c r="AN729" i="16"/>
  <c r="AN730" i="16"/>
  <c r="AN731" i="16"/>
  <c r="AN732" i="16"/>
  <c r="AN733" i="16"/>
  <c r="AN734" i="16"/>
  <c r="AN735" i="16"/>
  <c r="AN736" i="16"/>
  <c r="AN737" i="16"/>
  <c r="AN738" i="16"/>
  <c r="AN739" i="16"/>
  <c r="AN740" i="16"/>
  <c r="AN741" i="16"/>
  <c r="AN742" i="16"/>
  <c r="AN743" i="16"/>
  <c r="AN744" i="16"/>
  <c r="AN745" i="16"/>
  <c r="AN746" i="16"/>
  <c r="AN747" i="16"/>
  <c r="AN748" i="16"/>
  <c r="AN749" i="16"/>
  <c r="AN750" i="16"/>
  <c r="AN751" i="16"/>
  <c r="AN752" i="16"/>
  <c r="AN753" i="16"/>
  <c r="AN754" i="16"/>
  <c r="AN755" i="16"/>
  <c r="AN756" i="16"/>
  <c r="AN757" i="16"/>
  <c r="AN758" i="16"/>
  <c r="AN759" i="16"/>
  <c r="AN760" i="16"/>
  <c r="AN761" i="16"/>
  <c r="AN762" i="16"/>
  <c r="AN763" i="16"/>
  <c r="AN764" i="16"/>
  <c r="AN765" i="16"/>
  <c r="AN766" i="16"/>
  <c r="AN767" i="16"/>
  <c r="AN768" i="16"/>
  <c r="AN769" i="16"/>
  <c r="AN770" i="16"/>
  <c r="AN771" i="16"/>
  <c r="AN772" i="16"/>
  <c r="AN773" i="16"/>
  <c r="AN774" i="16"/>
  <c r="AN775" i="16"/>
  <c r="AN776" i="16"/>
  <c r="AN777" i="16"/>
  <c r="AN778" i="16"/>
  <c r="AN779" i="16"/>
  <c r="AN780" i="16"/>
  <c r="AN781" i="16"/>
  <c r="AN782" i="16"/>
  <c r="AN783" i="16"/>
  <c r="AN784" i="16"/>
  <c r="AN785" i="16"/>
  <c r="AN786" i="16"/>
  <c r="AN787" i="16"/>
  <c r="AN788" i="16"/>
  <c r="AN789" i="16"/>
  <c r="AN790" i="16"/>
  <c r="AN791" i="16"/>
  <c r="AN792" i="16"/>
  <c r="AN793" i="16"/>
  <c r="AN794" i="16"/>
  <c r="AN795" i="16"/>
  <c r="AN796" i="16"/>
  <c r="AN797" i="16"/>
  <c r="AN798" i="16"/>
  <c r="AN799" i="16"/>
  <c r="AN800" i="16"/>
  <c r="AN801" i="16"/>
  <c r="AN802" i="16"/>
  <c r="AN803" i="16"/>
  <c r="AN804" i="16"/>
  <c r="AN805" i="16"/>
  <c r="AN806" i="16"/>
  <c r="AN807" i="16"/>
  <c r="AN808" i="16"/>
  <c r="AN809" i="16"/>
  <c r="AN810" i="16"/>
  <c r="AN811" i="16"/>
  <c r="AN812" i="16"/>
  <c r="AN813" i="16"/>
  <c r="AN814" i="16"/>
  <c r="AN815" i="16"/>
  <c r="AN816" i="16"/>
  <c r="AN817" i="16"/>
  <c r="AN818" i="16"/>
  <c r="AN819" i="16"/>
  <c r="AN820" i="16"/>
  <c r="AN821" i="16"/>
  <c r="AN822" i="16"/>
  <c r="AN823" i="16"/>
  <c r="AN824" i="16"/>
  <c r="AN825" i="16"/>
  <c r="AN826" i="16"/>
  <c r="AN827" i="16"/>
  <c r="AN828" i="16"/>
  <c r="AN829" i="16"/>
  <c r="AN830" i="16"/>
  <c r="AN831" i="16"/>
  <c r="AN832" i="16"/>
  <c r="AN833" i="16"/>
  <c r="AN834" i="16"/>
  <c r="AN835" i="16"/>
  <c r="AN836" i="16"/>
  <c r="AN837" i="16"/>
  <c r="AN838" i="16"/>
  <c r="AN839" i="16"/>
  <c r="AN840" i="16"/>
  <c r="AN841" i="16"/>
  <c r="AN842" i="16"/>
  <c r="AN843" i="16"/>
  <c r="AN844" i="16"/>
  <c r="AN845" i="16"/>
  <c r="AN846" i="16"/>
  <c r="AN847" i="16"/>
  <c r="AN848" i="16"/>
  <c r="AN849" i="16"/>
  <c r="AN850" i="16"/>
  <c r="AN851" i="16"/>
  <c r="AN852" i="16"/>
  <c r="AN853" i="16"/>
  <c r="AN854" i="16"/>
  <c r="AN855" i="16"/>
  <c r="AN856" i="16"/>
  <c r="AN857" i="16"/>
  <c r="AN858" i="16"/>
  <c r="AN859" i="16"/>
  <c r="AN860" i="16"/>
  <c r="AN861" i="16"/>
  <c r="AN862" i="16"/>
  <c r="AN863" i="16"/>
  <c r="AN864" i="16"/>
  <c r="AN865" i="16"/>
  <c r="AN866" i="16"/>
  <c r="AN867" i="16"/>
  <c r="AN868" i="16"/>
  <c r="AN869" i="16"/>
  <c r="AN870" i="16"/>
  <c r="AN871" i="16"/>
  <c r="AN872" i="16"/>
  <c r="AN873" i="16"/>
  <c r="AN874" i="16"/>
  <c r="AN875" i="16"/>
  <c r="AN876" i="16"/>
  <c r="AN877" i="16"/>
  <c r="AN878" i="16"/>
  <c r="AN879" i="16"/>
  <c r="AN880" i="16"/>
  <c r="AN881" i="16"/>
  <c r="AN882" i="16"/>
  <c r="AN883" i="16"/>
  <c r="AN884" i="16"/>
  <c r="AN885" i="16"/>
  <c r="AN886" i="16"/>
  <c r="AN887" i="16"/>
  <c r="AN888" i="16"/>
  <c r="AN889" i="16"/>
  <c r="AN890" i="16"/>
  <c r="AN891" i="16"/>
  <c r="AN892" i="16"/>
  <c r="AN893" i="16"/>
  <c r="AN894" i="16"/>
  <c r="AN895" i="16"/>
  <c r="AN896" i="16"/>
  <c r="AN897" i="16"/>
  <c r="AN898" i="16"/>
  <c r="AN899" i="16"/>
  <c r="AN900" i="16"/>
  <c r="AN901" i="16"/>
  <c r="AN902" i="16"/>
  <c r="AN903" i="16"/>
  <c r="AN904" i="16"/>
  <c r="AN905" i="16"/>
  <c r="AN906" i="16"/>
  <c r="AN907" i="16"/>
  <c r="AN908" i="16"/>
  <c r="AN909" i="16"/>
  <c r="AN910" i="16"/>
  <c r="AN911" i="16"/>
  <c r="AN912" i="16"/>
  <c r="AN913" i="16"/>
  <c r="AN914" i="16"/>
  <c r="AN915" i="16"/>
  <c r="AN916" i="16"/>
  <c r="AN917" i="16"/>
  <c r="AN918" i="16"/>
  <c r="AN919" i="16"/>
  <c r="AN920" i="16"/>
  <c r="AN921" i="16"/>
  <c r="AN922" i="16"/>
  <c r="AN923" i="16"/>
  <c r="AN924" i="16"/>
  <c r="AN925" i="16"/>
  <c r="AN926" i="16"/>
  <c r="AN927" i="16"/>
  <c r="AN928" i="16"/>
  <c r="AN929" i="16"/>
  <c r="AN930" i="16"/>
  <c r="AN931" i="16"/>
  <c r="AN932" i="16"/>
  <c r="AN933" i="16"/>
  <c r="AN934" i="16"/>
  <c r="AN935" i="16"/>
  <c r="AN936" i="16"/>
  <c r="AN937" i="16"/>
  <c r="AN938" i="16"/>
  <c r="AN939" i="16"/>
  <c r="AN940" i="16"/>
  <c r="AN941" i="16"/>
  <c r="AN942" i="16"/>
  <c r="AN943" i="16"/>
  <c r="AN944" i="16"/>
  <c r="AN945" i="16"/>
  <c r="AN946" i="16"/>
  <c r="AN947" i="16"/>
  <c r="AN948" i="16"/>
  <c r="AN949" i="16"/>
  <c r="AN950" i="16"/>
  <c r="AN951" i="16"/>
  <c r="AN952" i="16"/>
  <c r="AN953" i="16"/>
  <c r="AN954" i="16"/>
  <c r="AN955" i="16"/>
  <c r="AN956" i="16"/>
  <c r="AN957" i="16"/>
  <c r="AN958" i="16"/>
  <c r="AN959" i="16"/>
  <c r="AN960" i="16"/>
  <c r="AN961" i="16"/>
  <c r="AN962" i="16"/>
  <c r="AN963" i="16"/>
  <c r="AN964" i="16"/>
  <c r="AN965" i="16"/>
  <c r="AN966" i="16"/>
  <c r="AN967" i="16"/>
  <c r="AN968" i="16"/>
  <c r="AN969" i="16"/>
  <c r="AN970" i="16"/>
  <c r="AN971" i="16"/>
  <c r="AN972" i="16"/>
  <c r="AN973" i="16"/>
  <c r="AN974" i="16"/>
  <c r="AN975" i="16"/>
  <c r="AN976" i="16"/>
  <c r="AN977" i="16"/>
  <c r="AN978" i="16"/>
  <c r="AN979" i="16"/>
  <c r="AN980" i="16"/>
  <c r="AN981" i="16"/>
  <c r="AN982" i="16"/>
  <c r="AN983" i="16"/>
  <c r="AN984" i="16"/>
  <c r="AN985" i="16"/>
  <c r="AN986" i="16"/>
  <c r="AN987" i="16"/>
  <c r="AN988" i="16"/>
  <c r="AN989" i="16"/>
  <c r="AN990" i="16"/>
  <c r="AN991" i="16"/>
  <c r="AN992" i="16"/>
  <c r="AN993" i="16"/>
  <c r="AN994" i="16"/>
  <c r="AN995" i="16"/>
  <c r="AN996" i="16"/>
  <c r="AN997" i="16"/>
  <c r="AN998" i="16"/>
  <c r="AN999" i="16"/>
  <c r="AN1000" i="16"/>
  <c r="AN1001" i="16"/>
  <c r="AN1002" i="16"/>
  <c r="AN1003" i="16"/>
  <c r="AN1004" i="16"/>
  <c r="AN1005" i="16"/>
  <c r="AN1006" i="16"/>
  <c r="AN1007" i="16"/>
  <c r="AN1008" i="16"/>
  <c r="AN1009" i="16"/>
  <c r="AN1010" i="16"/>
  <c r="AN1011" i="16"/>
  <c r="AN1012" i="16"/>
  <c r="AN1013" i="16"/>
  <c r="AN1014" i="16"/>
  <c r="AN1015" i="16"/>
  <c r="AN1016" i="16"/>
  <c r="AN1017" i="16"/>
  <c r="AN1018" i="16"/>
  <c r="AN1019" i="16"/>
  <c r="AN1020" i="16"/>
  <c r="AN1021" i="16"/>
  <c r="AN1022" i="16"/>
  <c r="AN1023" i="16"/>
  <c r="AN1024" i="16"/>
  <c r="AN1025" i="16"/>
  <c r="AN1026" i="16"/>
  <c r="AN1027" i="16"/>
  <c r="AN1028" i="16"/>
  <c r="AN1029" i="16"/>
  <c r="AN1030" i="16"/>
  <c r="AN1031" i="16"/>
  <c r="AN1032" i="16"/>
  <c r="AN1033" i="16"/>
  <c r="AN1034" i="16"/>
  <c r="AN1035" i="16"/>
  <c r="AN1036" i="16"/>
  <c r="AN1037" i="16"/>
  <c r="AN1038" i="16"/>
  <c r="AN1039" i="16"/>
  <c r="AN1040" i="16"/>
  <c r="AN1041" i="16"/>
  <c r="AN1042" i="16"/>
  <c r="AN1043" i="16"/>
  <c r="AN1044" i="16"/>
  <c r="AN1045" i="16"/>
  <c r="AN1046" i="16"/>
  <c r="AN1047" i="16"/>
  <c r="AN1048" i="16"/>
  <c r="AN1049" i="16"/>
  <c r="AN1050" i="16"/>
  <c r="AN1051" i="16"/>
  <c r="AN1052" i="16"/>
  <c r="AN1053" i="16"/>
  <c r="AN1054" i="16"/>
  <c r="AN1055" i="16"/>
  <c r="AN1056" i="16"/>
  <c r="AN1057" i="16"/>
  <c r="AN1058" i="16"/>
  <c r="AN1059" i="16"/>
  <c r="AN1060" i="16"/>
  <c r="AN1061" i="16"/>
  <c r="AN1062" i="16"/>
  <c r="AN1063" i="16"/>
  <c r="AN1064" i="16"/>
  <c r="AN1065" i="16"/>
  <c r="AN1066" i="16"/>
  <c r="AN1067" i="16"/>
  <c r="AN1068" i="16"/>
  <c r="AN1069" i="16"/>
  <c r="AN1070" i="16"/>
  <c r="AN1071" i="16"/>
  <c r="AN1072" i="16"/>
  <c r="AN1073" i="16"/>
  <c r="AN1074" i="16"/>
  <c r="AN1075" i="16"/>
  <c r="AN1076" i="16"/>
  <c r="AN1077" i="16"/>
  <c r="AN1078" i="16"/>
  <c r="AN1079" i="16"/>
  <c r="AN1080" i="16"/>
  <c r="AN1081" i="16"/>
  <c r="AN1082" i="16"/>
  <c r="AN1083" i="16"/>
  <c r="AN1084" i="16"/>
  <c r="AN1085" i="16"/>
  <c r="AN1086" i="16"/>
  <c r="AN1087" i="16"/>
  <c r="AN1088" i="16"/>
  <c r="AN1089" i="16"/>
  <c r="AN1090" i="16"/>
  <c r="AN1091" i="16"/>
  <c r="AN1092" i="16"/>
  <c r="AN1093" i="16"/>
  <c r="AN1094" i="16"/>
  <c r="AN1095" i="16"/>
  <c r="AN1096" i="16"/>
  <c r="AN1097" i="16"/>
  <c r="AN1098" i="16"/>
  <c r="AN1099" i="16"/>
  <c r="AN1100" i="16"/>
  <c r="AN1101" i="16"/>
  <c r="AN1102" i="16"/>
  <c r="AN1103" i="16"/>
  <c r="AN1104" i="16"/>
  <c r="AN1105" i="16"/>
  <c r="AN1106" i="16"/>
  <c r="AN1107" i="16"/>
  <c r="AN1108" i="16"/>
  <c r="AN1109" i="16"/>
  <c r="AN1110" i="16"/>
  <c r="AN1111" i="16"/>
  <c r="AN1112" i="16"/>
  <c r="AN1113" i="16"/>
  <c r="AN1114" i="16"/>
  <c r="AN1115" i="16"/>
  <c r="AN1116" i="16"/>
  <c r="AN6" i="16"/>
  <c r="AN7" i="16"/>
  <c r="AN8" i="16"/>
  <c r="AN9" i="16"/>
  <c r="AN10" i="16"/>
  <c r="AN11" i="16"/>
  <c r="AN12" i="16"/>
  <c r="AN13" i="16"/>
  <c r="AN14" i="16"/>
  <c r="AN15" i="16"/>
  <c r="AN16" i="16"/>
  <c r="AN17" i="16"/>
  <c r="AN18" i="16"/>
  <c r="AN19" i="16"/>
  <c r="AN20" i="16"/>
  <c r="AN21" i="16"/>
  <c r="AN22" i="16"/>
  <c r="AN23" i="16"/>
  <c r="AN24" i="16"/>
  <c r="AN25" i="16"/>
  <c r="AN26" i="16"/>
  <c r="AN27" i="16"/>
  <c r="AN28" i="16"/>
  <c r="AN29" i="16"/>
  <c r="AN30" i="16"/>
  <c r="AN31" i="16"/>
  <c r="AN32" i="16"/>
  <c r="AN33" i="16"/>
  <c r="AN34" i="16"/>
  <c r="AN35" i="16"/>
  <c r="AN36" i="16"/>
  <c r="AN37" i="16"/>
  <c r="AN38" i="16"/>
  <c r="AN39" i="16"/>
  <c r="AN40" i="16"/>
  <c r="AN41" i="16"/>
  <c r="AN42" i="16"/>
  <c r="AN43" i="16"/>
  <c r="AN44" i="16"/>
  <c r="AN45" i="16"/>
  <c r="AN46" i="16"/>
  <c r="AN47" i="16"/>
  <c r="AN48" i="16"/>
  <c r="AN49" i="16"/>
  <c r="AN50" i="16"/>
  <c r="AN51" i="16"/>
  <c r="AN52" i="16"/>
  <c r="AN53" i="16"/>
  <c r="AN54" i="16"/>
  <c r="AN55" i="16"/>
  <c r="AN56" i="16"/>
  <c r="AN57" i="16"/>
  <c r="AN58" i="16"/>
  <c r="AN59" i="16"/>
  <c r="AN60" i="16"/>
  <c r="AN61" i="16"/>
  <c r="AN62" i="16"/>
  <c r="AN63" i="16"/>
  <c r="AN64" i="16"/>
  <c r="AN65" i="16"/>
  <c r="AN66" i="16"/>
  <c r="AN67" i="16"/>
  <c r="AN68" i="16"/>
  <c r="AN69" i="16"/>
  <c r="AN70" i="16"/>
  <c r="AN71" i="16"/>
  <c r="AN72" i="16"/>
  <c r="AN73" i="16"/>
  <c r="AN74" i="16"/>
  <c r="AN75" i="16"/>
  <c r="AN76" i="16"/>
  <c r="AN77" i="16"/>
  <c r="AN78" i="16"/>
  <c r="AN79" i="16"/>
  <c r="AN80" i="16"/>
  <c r="AN81" i="16"/>
  <c r="AN82" i="16"/>
  <c r="AN83" i="16"/>
  <c r="AN84" i="16"/>
  <c r="AN85" i="16"/>
  <c r="AN86" i="16"/>
  <c r="AN87" i="16"/>
  <c r="AN88" i="16"/>
  <c r="AN89" i="16"/>
  <c r="AN90" i="16"/>
  <c r="AN91" i="16"/>
  <c r="AN92" i="16"/>
  <c r="AN93" i="16"/>
  <c r="AN94" i="16"/>
  <c r="AN95" i="16"/>
  <c r="AN96" i="16"/>
  <c r="AN97" i="16"/>
  <c r="AN98" i="16"/>
  <c r="AN99" i="16"/>
  <c r="AN100" i="16"/>
  <c r="AN101" i="16"/>
  <c r="AN102" i="16"/>
  <c r="AN103" i="16"/>
  <c r="AN104" i="16"/>
  <c r="AN105" i="16"/>
  <c r="AN106" i="16"/>
  <c r="AN107" i="16"/>
  <c r="AN108" i="16"/>
  <c r="AN109" i="16"/>
  <c r="AN110" i="16"/>
  <c r="AN111" i="16"/>
  <c r="AN112" i="16"/>
  <c r="AN113" i="16"/>
  <c r="AN114" i="16"/>
  <c r="AN115" i="16"/>
  <c r="AN116" i="16"/>
  <c r="AN117" i="16"/>
  <c r="AN118" i="16"/>
  <c r="AN119" i="16"/>
  <c r="AN120" i="16"/>
  <c r="AN121" i="16"/>
  <c r="AN122" i="16"/>
  <c r="AN123" i="16"/>
  <c r="AN124" i="16"/>
  <c r="AN125" i="16"/>
  <c r="AN126" i="16"/>
  <c r="AN127" i="16"/>
  <c r="AN128" i="16"/>
  <c r="AN129" i="16"/>
  <c r="AN130" i="16"/>
  <c r="AN131" i="16"/>
  <c r="AN132" i="16"/>
  <c r="AN133" i="16"/>
  <c r="AN134" i="16"/>
  <c r="AN135" i="16"/>
  <c r="AN136" i="16"/>
  <c r="AN137" i="16"/>
  <c r="AN138" i="16"/>
  <c r="AN139" i="16"/>
  <c r="AN140" i="16"/>
  <c r="AN141" i="16"/>
  <c r="AN142" i="16"/>
  <c r="AN143" i="16"/>
  <c r="AN144" i="16"/>
  <c r="AN145" i="16"/>
  <c r="AN146" i="16"/>
  <c r="AN147" i="16"/>
  <c r="AN148" i="16"/>
  <c r="AN149" i="16"/>
  <c r="AN150" i="16"/>
  <c r="AN151" i="16"/>
  <c r="AN152" i="16"/>
  <c r="AN153" i="16"/>
  <c r="AN154" i="16"/>
  <c r="AN155" i="16"/>
  <c r="AN156" i="16"/>
  <c r="AN157" i="16"/>
  <c r="AN158" i="16"/>
  <c r="AN159" i="16"/>
  <c r="AN160" i="16"/>
  <c r="AN161" i="16"/>
  <c r="AN162" i="16"/>
  <c r="AN163" i="16"/>
  <c r="AN164" i="16"/>
  <c r="AN165" i="16"/>
  <c r="AN166" i="16"/>
  <c r="AN167" i="16"/>
  <c r="AN168" i="16"/>
  <c r="AN169" i="16"/>
  <c r="AN170" i="16"/>
  <c r="AN171" i="16"/>
  <c r="AN172" i="16"/>
  <c r="AN173" i="16"/>
  <c r="AN174" i="16"/>
  <c r="AN175" i="16"/>
  <c r="AN176" i="16"/>
  <c r="AN177" i="16"/>
  <c r="AN178" i="16"/>
  <c r="AN179" i="16"/>
  <c r="AN180" i="16"/>
  <c r="AN181" i="16"/>
  <c r="AN182" i="16"/>
  <c r="AN183" i="16"/>
  <c r="AN184" i="16"/>
  <c r="AN185" i="16"/>
  <c r="AN186" i="16"/>
  <c r="AN187" i="16"/>
  <c r="AN188" i="16"/>
  <c r="AN189" i="16"/>
  <c r="AN190" i="16"/>
  <c r="AN191" i="16"/>
  <c r="AN192" i="16"/>
  <c r="AN193" i="16"/>
  <c r="AN194" i="16"/>
  <c r="AN195" i="16"/>
  <c r="AN196" i="16"/>
  <c r="AN197" i="16"/>
  <c r="AN198" i="16"/>
  <c r="AN199" i="16"/>
  <c r="AN200" i="16"/>
  <c r="AN201" i="16"/>
  <c r="AN202" i="16"/>
  <c r="AN203" i="16"/>
  <c r="AN204" i="16"/>
  <c r="AN205" i="16"/>
  <c r="AN206" i="16"/>
  <c r="AN207" i="16"/>
  <c r="AN208" i="16"/>
  <c r="AN209" i="16"/>
  <c r="AN210" i="16"/>
  <c r="AN211" i="16"/>
  <c r="AN212" i="16"/>
  <c r="AN213" i="16"/>
  <c r="AN214" i="16"/>
  <c r="AN215" i="16"/>
  <c r="AN216" i="16"/>
  <c r="AN217" i="16"/>
  <c r="AN218" i="16"/>
  <c r="AN219" i="16"/>
  <c r="AN220" i="16"/>
  <c r="AN221" i="16"/>
  <c r="AN222" i="16"/>
  <c r="AN223" i="16"/>
  <c r="AN224" i="16"/>
  <c r="AN225" i="16"/>
  <c r="AN226" i="16"/>
  <c r="AN227" i="16"/>
  <c r="AN228" i="16"/>
  <c r="AN229" i="16"/>
  <c r="AN230" i="16"/>
  <c r="AN231" i="16"/>
  <c r="AN232" i="16"/>
  <c r="AN233" i="16"/>
  <c r="AN234" i="16"/>
  <c r="AN235" i="16"/>
  <c r="AN236" i="16"/>
  <c r="AN237" i="16"/>
  <c r="AN238" i="16"/>
  <c r="AN239" i="16"/>
  <c r="AN240" i="16"/>
  <c r="AN241" i="16"/>
  <c r="AN242" i="16"/>
  <c r="AN243" i="16"/>
  <c r="AN244" i="16"/>
  <c r="AN245" i="16"/>
  <c r="AN246" i="16"/>
  <c r="AN247" i="16"/>
  <c r="AN248" i="16"/>
  <c r="AN249" i="16"/>
  <c r="AN250" i="16"/>
  <c r="AN251" i="16"/>
  <c r="AN252" i="16"/>
  <c r="AN253" i="16"/>
  <c r="AN254" i="16"/>
  <c r="AN255" i="16"/>
  <c r="AN256" i="16"/>
  <c r="AN257" i="16"/>
  <c r="AN258" i="16"/>
  <c r="AN259" i="16"/>
  <c r="AN260" i="16"/>
  <c r="AN261" i="16"/>
  <c r="AN262" i="16"/>
  <c r="AN263" i="16"/>
  <c r="AN264" i="16"/>
  <c r="AN265" i="16"/>
  <c r="AN266" i="16"/>
  <c r="AN267" i="16"/>
  <c r="AN268" i="16"/>
  <c r="AN269" i="16"/>
  <c r="AN270" i="16"/>
  <c r="AN271" i="16"/>
  <c r="AN272" i="16"/>
  <c r="AN273" i="16"/>
  <c r="AN274" i="16"/>
  <c r="AN275" i="16"/>
  <c r="AN276" i="16"/>
  <c r="AN277" i="16"/>
  <c r="AN278" i="16"/>
  <c r="AN279" i="16"/>
  <c r="AN280" i="16"/>
  <c r="AN281" i="16"/>
  <c r="AN282" i="16"/>
  <c r="AN283" i="16"/>
  <c r="AN284" i="16"/>
  <c r="AN285" i="16"/>
  <c r="AN286" i="16"/>
  <c r="AN287" i="16"/>
  <c r="AN288" i="16"/>
  <c r="AN289" i="16"/>
  <c r="AN290" i="16"/>
  <c r="AN291" i="16"/>
  <c r="AN292" i="16"/>
  <c r="AN293" i="16"/>
  <c r="AN294" i="16"/>
  <c r="AN295" i="16"/>
  <c r="AN296" i="16"/>
  <c r="AN297" i="16"/>
  <c r="AN298" i="16"/>
  <c r="AN299" i="16"/>
  <c r="AN300" i="16"/>
  <c r="AN301" i="16"/>
  <c r="AN302" i="16"/>
  <c r="AN5" i="16"/>
  <c r="AN4" i="16"/>
  <c r="AM4" i="16"/>
  <c r="AM5" i="16"/>
  <c r="AM6" i="16"/>
  <c r="AM7" i="16"/>
  <c r="AM8" i="16"/>
  <c r="AM9" i="16"/>
  <c r="AM10" i="16"/>
  <c r="AM11" i="16"/>
  <c r="AM12" i="16"/>
  <c r="AM13" i="16"/>
  <c r="AM14" i="16"/>
  <c r="AM15" i="16"/>
  <c r="AM16" i="16"/>
  <c r="AM17" i="16"/>
  <c r="AM18" i="16"/>
  <c r="AM19" i="16"/>
  <c r="AM20" i="16"/>
  <c r="AM21" i="16"/>
  <c r="AM22" i="16"/>
  <c r="AM23" i="16"/>
  <c r="AM24" i="16"/>
  <c r="AM25" i="16"/>
  <c r="AM26" i="16"/>
  <c r="AM27" i="16"/>
  <c r="AM28" i="16"/>
  <c r="AM29" i="16"/>
  <c r="AM30" i="16"/>
  <c r="AM31" i="16"/>
  <c r="AM32" i="16"/>
  <c r="AM33" i="16"/>
  <c r="AM34" i="16"/>
  <c r="AM35" i="16"/>
  <c r="AM36" i="16"/>
  <c r="AM37" i="16"/>
  <c r="AM38" i="16"/>
  <c r="AM39" i="16"/>
  <c r="AM40" i="16"/>
  <c r="AM41" i="16"/>
  <c r="AM42" i="16"/>
  <c r="AM43" i="16"/>
  <c r="AM44" i="16"/>
  <c r="AM45" i="16"/>
  <c r="AM46" i="16"/>
  <c r="AM47" i="16"/>
  <c r="AM48" i="16"/>
  <c r="AM49" i="16"/>
  <c r="AM50" i="16"/>
  <c r="AM51" i="16"/>
  <c r="AM52" i="16"/>
  <c r="AM53" i="16"/>
  <c r="AM54" i="16"/>
  <c r="AM55" i="16"/>
  <c r="AM56" i="16"/>
  <c r="AM57" i="16"/>
  <c r="AM58" i="16"/>
  <c r="AM59" i="16"/>
  <c r="AM60" i="16"/>
  <c r="AM61" i="16"/>
  <c r="AM62" i="16"/>
  <c r="AM63" i="16"/>
  <c r="AM64" i="16"/>
  <c r="AM65" i="16"/>
  <c r="AM66" i="16"/>
  <c r="AM67" i="16"/>
  <c r="AM68" i="16"/>
  <c r="AM69" i="16"/>
  <c r="AM70" i="16"/>
  <c r="AM71" i="16"/>
  <c r="AM72" i="16"/>
  <c r="AM73" i="16"/>
  <c r="AM74" i="16"/>
  <c r="AM75" i="16"/>
  <c r="AM76" i="16"/>
  <c r="AM77" i="16"/>
  <c r="AM78" i="16"/>
  <c r="AM79" i="16"/>
  <c r="AM80" i="16"/>
  <c r="AM81" i="16"/>
  <c r="AM82" i="16"/>
  <c r="AM83" i="16"/>
  <c r="AM84" i="16"/>
  <c r="AM85" i="16"/>
  <c r="AM86" i="16"/>
  <c r="AM87" i="16"/>
  <c r="AM88" i="16"/>
  <c r="AM89" i="16"/>
  <c r="AM90" i="16"/>
  <c r="AM91" i="16"/>
  <c r="AM92" i="16"/>
  <c r="AM93" i="16"/>
  <c r="AM94" i="16"/>
  <c r="AM95" i="16"/>
  <c r="AM96" i="16"/>
  <c r="AM97" i="16"/>
  <c r="AM98" i="16"/>
  <c r="AM99" i="16"/>
  <c r="AM100" i="16"/>
  <c r="AM101" i="16"/>
  <c r="AM102" i="16"/>
  <c r="AM103" i="16"/>
  <c r="AM104" i="16"/>
  <c r="AM105" i="16"/>
  <c r="AM106" i="16"/>
  <c r="AM107" i="16"/>
  <c r="AM108" i="16"/>
  <c r="AM109" i="16"/>
  <c r="AM110" i="16"/>
  <c r="AM111" i="16"/>
  <c r="AM112" i="16"/>
  <c r="AM113" i="16"/>
  <c r="AM114" i="16"/>
  <c r="AM115" i="16"/>
  <c r="AM116" i="16"/>
  <c r="AM117" i="16"/>
  <c r="AM118" i="16"/>
  <c r="AM119" i="16"/>
  <c r="AM120" i="16"/>
  <c r="AM121" i="16"/>
  <c r="AM122" i="16"/>
  <c r="AM123" i="16"/>
  <c r="AM124" i="16"/>
  <c r="AM125" i="16"/>
  <c r="AM126" i="16"/>
  <c r="AM127" i="16"/>
  <c r="AM128" i="16"/>
  <c r="AM129" i="16"/>
  <c r="AM130" i="16"/>
  <c r="AM131" i="16"/>
  <c r="AM132" i="16"/>
  <c r="AM133" i="16"/>
  <c r="AM134" i="16"/>
  <c r="AM135" i="16"/>
  <c r="AM136" i="16"/>
  <c r="AM137" i="16"/>
  <c r="AM138" i="16"/>
  <c r="AM139" i="16"/>
  <c r="AM140" i="16"/>
  <c r="AM141" i="16"/>
  <c r="AM142" i="16"/>
  <c r="AM143" i="16"/>
  <c r="AM144" i="16"/>
  <c r="AM145" i="16"/>
  <c r="AM146" i="16"/>
  <c r="AM147" i="16"/>
  <c r="AM148" i="16"/>
  <c r="AM149" i="16"/>
  <c r="AM150" i="16"/>
  <c r="AM151" i="16"/>
  <c r="AM152" i="16"/>
  <c r="AM153" i="16"/>
  <c r="AM154" i="16"/>
  <c r="AM155" i="16"/>
  <c r="AM156" i="16"/>
  <c r="AM157" i="16"/>
  <c r="AM158" i="16"/>
  <c r="AM159" i="16"/>
  <c r="AM160" i="16"/>
  <c r="AM161" i="16"/>
  <c r="AM162" i="16"/>
  <c r="AM163" i="16"/>
  <c r="AM164" i="16"/>
  <c r="AM165" i="16"/>
  <c r="AM166" i="16"/>
  <c r="AM167" i="16"/>
  <c r="AM168" i="16"/>
  <c r="AM169" i="16"/>
  <c r="AM170" i="16"/>
  <c r="AM171" i="16"/>
  <c r="AM172" i="16"/>
  <c r="AM173" i="16"/>
  <c r="AM174" i="16"/>
  <c r="AM175" i="16"/>
  <c r="AM176" i="16"/>
  <c r="AM177" i="16"/>
  <c r="AM178" i="16"/>
  <c r="AM179" i="16"/>
  <c r="AM180" i="16"/>
  <c r="AM181" i="16"/>
  <c r="AM182" i="16"/>
  <c r="AM183" i="16"/>
  <c r="AM184" i="16"/>
  <c r="AM185" i="16"/>
  <c r="AM186" i="16"/>
  <c r="AM187" i="16"/>
  <c r="AM188" i="16"/>
  <c r="AM189" i="16"/>
  <c r="AM190" i="16"/>
  <c r="AM191" i="16"/>
  <c r="AM192" i="16"/>
  <c r="AM193" i="16"/>
  <c r="AM194" i="16"/>
  <c r="AM195" i="16"/>
  <c r="AM196" i="16"/>
  <c r="AM197" i="16"/>
  <c r="AM198" i="16"/>
  <c r="AM199" i="16"/>
  <c r="AM200" i="16"/>
  <c r="AM201" i="16"/>
  <c r="AM202" i="16"/>
  <c r="AM203" i="16"/>
  <c r="AM204" i="16"/>
  <c r="AM205" i="16"/>
  <c r="AM206" i="16"/>
  <c r="AM207" i="16"/>
  <c r="AM208" i="16"/>
  <c r="AM209" i="16"/>
  <c r="AM210" i="16"/>
  <c r="AM211" i="16"/>
  <c r="AM212" i="16"/>
  <c r="AM213" i="16"/>
  <c r="AM214" i="16"/>
  <c r="AM215" i="16"/>
  <c r="AM216" i="16"/>
  <c r="AM217" i="16"/>
  <c r="AM218" i="16"/>
  <c r="AM219" i="16"/>
  <c r="AM220" i="16"/>
  <c r="AM221" i="16"/>
  <c r="AM222" i="16"/>
  <c r="AM223" i="16"/>
  <c r="AM224" i="16"/>
  <c r="AM225" i="16"/>
  <c r="AM226" i="16"/>
  <c r="AM227" i="16"/>
  <c r="AM228" i="16"/>
  <c r="AM229" i="16"/>
  <c r="AM230" i="16"/>
  <c r="AM231" i="16"/>
  <c r="AM232" i="16"/>
  <c r="AM233" i="16"/>
  <c r="AM234" i="16"/>
  <c r="AM235" i="16"/>
  <c r="AM236" i="16"/>
  <c r="AM237" i="16"/>
  <c r="AM238" i="16"/>
  <c r="AM239" i="16"/>
  <c r="AM240" i="16"/>
  <c r="AM241" i="16"/>
  <c r="AM242" i="16"/>
  <c r="AM243" i="16"/>
  <c r="AM244" i="16"/>
  <c r="AM245" i="16"/>
  <c r="AM246" i="16"/>
  <c r="AM247" i="16"/>
  <c r="AM248" i="16"/>
  <c r="AM249" i="16"/>
  <c r="AM250" i="16"/>
  <c r="AM251" i="16"/>
  <c r="AM252" i="16"/>
  <c r="AM253" i="16"/>
  <c r="AM254" i="16"/>
  <c r="AM255" i="16"/>
  <c r="AM256" i="16"/>
  <c r="AM257" i="16"/>
  <c r="AM258" i="16"/>
  <c r="AM259" i="16"/>
  <c r="AM260" i="16"/>
  <c r="AM261" i="16"/>
  <c r="AM262" i="16"/>
  <c r="AM263" i="16"/>
  <c r="AM264" i="16"/>
  <c r="AM265" i="16"/>
  <c r="AM266" i="16"/>
  <c r="AM267" i="16"/>
  <c r="AM268" i="16"/>
  <c r="AM269" i="16"/>
  <c r="AM270" i="16"/>
  <c r="AM271" i="16"/>
  <c r="AM272" i="16"/>
  <c r="AM273" i="16"/>
  <c r="AM274" i="16"/>
  <c r="AM275" i="16"/>
  <c r="AM276" i="16"/>
  <c r="AM277" i="16"/>
  <c r="AM278" i="16"/>
  <c r="AM279" i="16"/>
  <c r="AM280" i="16"/>
  <c r="AM281" i="16"/>
  <c r="AM282" i="16"/>
  <c r="AM283" i="16"/>
  <c r="AM284" i="16"/>
  <c r="AM285" i="16"/>
  <c r="AM286" i="16"/>
  <c r="AM287" i="16"/>
  <c r="AM288" i="16"/>
  <c r="AM289" i="16"/>
  <c r="AM290" i="16"/>
  <c r="AM291" i="16"/>
  <c r="AM292" i="16"/>
  <c r="AM293" i="16"/>
  <c r="AM294" i="16"/>
  <c r="AM295" i="16"/>
  <c r="AM296" i="16"/>
  <c r="AM297" i="16"/>
  <c r="AM298" i="16"/>
  <c r="AM299" i="16"/>
  <c r="AM300" i="16"/>
  <c r="AM301" i="16"/>
  <c r="AM302" i="16"/>
  <c r="AM303" i="16"/>
  <c r="AM304" i="16"/>
  <c r="AM305" i="16"/>
  <c r="AM306" i="16"/>
  <c r="AM307" i="16"/>
  <c r="AM308" i="16"/>
  <c r="AM309" i="16"/>
  <c r="AM310" i="16"/>
  <c r="AM311" i="16"/>
  <c r="AM312" i="16"/>
  <c r="AM313" i="16"/>
  <c r="AM314" i="16"/>
  <c r="AM315" i="16"/>
  <c r="AM316" i="16"/>
  <c r="AM317" i="16"/>
  <c r="AM318" i="16"/>
  <c r="AM319" i="16"/>
  <c r="AM320" i="16"/>
  <c r="AM321" i="16"/>
  <c r="AM322" i="16"/>
  <c r="AM323" i="16"/>
  <c r="AM324" i="16"/>
  <c r="AM325" i="16"/>
  <c r="AM326" i="16"/>
  <c r="AM327" i="16"/>
  <c r="AM328" i="16"/>
  <c r="AM329" i="16"/>
  <c r="AM330" i="16"/>
  <c r="AM331" i="16"/>
  <c r="AM332" i="16"/>
  <c r="AM333" i="16"/>
  <c r="AM334" i="16"/>
  <c r="AM335" i="16"/>
  <c r="AM336" i="16"/>
  <c r="AM337" i="16"/>
  <c r="AM338" i="16"/>
  <c r="AM339" i="16"/>
  <c r="AM340" i="16"/>
  <c r="AM341" i="16"/>
  <c r="AM342" i="16"/>
  <c r="AM343" i="16"/>
  <c r="AM344" i="16"/>
  <c r="AM345" i="16"/>
  <c r="AM346" i="16"/>
  <c r="AM347" i="16"/>
  <c r="AM348" i="16"/>
  <c r="AM349" i="16"/>
  <c r="AM350" i="16"/>
  <c r="AM351" i="16"/>
  <c r="AM352" i="16"/>
  <c r="AM353" i="16"/>
  <c r="AM354" i="16"/>
  <c r="AM355" i="16"/>
  <c r="AM356" i="16"/>
  <c r="AM357" i="16"/>
  <c r="AM358" i="16"/>
  <c r="AM359" i="16"/>
  <c r="AM360" i="16"/>
  <c r="AM361" i="16"/>
  <c r="AM362" i="16"/>
  <c r="AM363" i="16"/>
  <c r="AM364" i="16"/>
  <c r="AM365" i="16"/>
  <c r="AM366" i="16"/>
  <c r="AM367" i="16"/>
  <c r="AM368" i="16"/>
  <c r="AM369" i="16"/>
  <c r="AM370" i="16"/>
  <c r="AM371" i="16"/>
  <c r="AM372" i="16"/>
  <c r="AM373" i="16"/>
  <c r="AM374" i="16"/>
  <c r="AM375" i="16"/>
  <c r="AM376" i="16"/>
  <c r="AM377" i="16"/>
  <c r="AM378" i="16"/>
  <c r="AM379" i="16"/>
  <c r="AM380" i="16"/>
  <c r="AM381" i="16"/>
  <c r="AM382" i="16"/>
  <c r="AM383" i="16"/>
  <c r="AM384" i="16"/>
  <c r="AM385" i="16"/>
  <c r="AM386" i="16"/>
  <c r="AM387" i="16"/>
  <c r="AM388" i="16"/>
  <c r="AM389" i="16"/>
  <c r="AM390" i="16"/>
  <c r="AM391" i="16"/>
  <c r="AM392" i="16"/>
  <c r="AM393" i="16"/>
  <c r="AM394" i="16"/>
  <c r="AM395" i="16"/>
  <c r="AM396" i="16"/>
  <c r="AM397" i="16"/>
  <c r="AM398" i="16"/>
  <c r="AM399" i="16"/>
  <c r="AM400" i="16"/>
  <c r="AM401" i="16"/>
  <c r="AM402" i="16"/>
  <c r="AM403" i="16"/>
  <c r="AM404" i="16"/>
  <c r="AM405" i="16"/>
  <c r="AM406" i="16"/>
  <c r="AM407" i="16"/>
  <c r="AM408" i="16"/>
  <c r="AM409" i="16"/>
  <c r="AM410" i="16"/>
  <c r="AM411" i="16"/>
  <c r="AM412" i="16"/>
  <c r="AM413" i="16"/>
  <c r="AM414" i="16"/>
  <c r="AM415" i="16"/>
  <c r="AM416" i="16"/>
  <c r="AM417" i="16"/>
  <c r="AM418" i="16"/>
  <c r="AM419" i="16"/>
  <c r="AM420" i="16"/>
  <c r="AM421" i="16"/>
  <c r="AM422" i="16"/>
  <c r="AM423" i="16"/>
  <c r="AM424" i="16"/>
  <c r="AM425" i="16"/>
  <c r="AM426" i="16"/>
  <c r="AM427" i="16"/>
  <c r="AM428" i="16"/>
  <c r="AM429" i="16"/>
  <c r="AM430" i="16"/>
  <c r="AM431" i="16"/>
  <c r="AM432" i="16"/>
  <c r="AM433" i="16"/>
  <c r="AM434" i="16"/>
  <c r="AM435" i="16"/>
  <c r="AM436" i="16"/>
  <c r="AM437" i="16"/>
  <c r="AM438" i="16"/>
  <c r="AM439" i="16"/>
  <c r="AM440" i="16"/>
  <c r="AM441" i="16"/>
  <c r="AM442" i="16"/>
  <c r="AM443" i="16"/>
  <c r="AM444" i="16"/>
  <c r="AM445" i="16"/>
  <c r="AM446" i="16"/>
  <c r="AM447" i="16"/>
  <c r="AM448" i="16"/>
  <c r="AM449" i="16"/>
  <c r="AM450" i="16"/>
  <c r="AM451" i="16"/>
  <c r="AM452" i="16"/>
  <c r="AM453" i="16"/>
  <c r="AM454" i="16"/>
  <c r="AM455" i="16"/>
  <c r="AM456" i="16"/>
  <c r="AM457" i="16"/>
  <c r="AM458" i="16"/>
  <c r="AM459" i="16"/>
  <c r="AM460" i="16"/>
  <c r="AM461" i="16"/>
  <c r="AM462" i="16"/>
  <c r="AM463" i="16"/>
  <c r="AM464" i="16"/>
  <c r="AM465" i="16"/>
  <c r="AM466" i="16"/>
  <c r="AM467" i="16"/>
  <c r="AM468" i="16"/>
  <c r="AM469" i="16"/>
  <c r="AM470" i="16"/>
  <c r="AM471" i="16"/>
  <c r="AM472" i="16"/>
  <c r="AM473" i="16"/>
  <c r="AM474" i="16"/>
  <c r="AM475" i="16"/>
  <c r="AM476" i="16"/>
  <c r="AM477" i="16"/>
  <c r="AM478" i="16"/>
  <c r="AM479" i="16"/>
  <c r="AM480" i="16"/>
  <c r="AM481" i="16"/>
  <c r="AM482" i="16"/>
  <c r="AM483" i="16"/>
  <c r="AM484" i="16"/>
  <c r="AM485" i="16"/>
  <c r="AM486" i="16"/>
  <c r="AM487" i="16"/>
  <c r="AM488" i="16"/>
  <c r="AM489" i="16"/>
  <c r="AM490" i="16"/>
  <c r="AM491" i="16"/>
  <c r="AM492" i="16"/>
  <c r="AM493" i="16"/>
  <c r="AM494" i="16"/>
  <c r="AM495" i="16"/>
  <c r="AM496" i="16"/>
  <c r="AM497" i="16"/>
  <c r="AM498" i="16"/>
  <c r="AM499" i="16"/>
  <c r="AM500" i="16"/>
  <c r="AM501" i="16"/>
  <c r="AM502" i="16"/>
  <c r="AM503" i="16"/>
  <c r="AM504" i="16"/>
  <c r="AM505" i="16"/>
  <c r="AM506" i="16"/>
  <c r="AM507" i="16"/>
  <c r="AM508" i="16"/>
  <c r="AM509" i="16"/>
  <c r="AM510" i="16"/>
  <c r="AM511" i="16"/>
  <c r="AM512" i="16"/>
  <c r="AM513" i="16"/>
  <c r="AM514" i="16"/>
  <c r="AM515" i="16"/>
  <c r="AM516" i="16"/>
  <c r="AM517" i="16"/>
  <c r="AM518" i="16"/>
  <c r="AM519" i="16"/>
  <c r="AM520" i="16"/>
  <c r="AM521" i="16"/>
  <c r="AM522" i="16"/>
  <c r="AM523" i="16"/>
  <c r="AM524" i="16"/>
  <c r="AM525" i="16"/>
  <c r="AM526" i="16"/>
  <c r="AM527" i="16"/>
  <c r="AM528" i="16"/>
  <c r="AM529" i="16"/>
  <c r="AM530" i="16"/>
  <c r="AM531" i="16"/>
  <c r="AM532" i="16"/>
  <c r="AM533" i="16"/>
  <c r="AM534" i="16"/>
  <c r="AM535" i="16"/>
  <c r="AM536" i="16"/>
  <c r="AM537" i="16"/>
  <c r="AM538" i="16"/>
  <c r="AM539" i="16"/>
  <c r="AM540" i="16"/>
  <c r="AM541" i="16"/>
  <c r="AM542" i="16"/>
  <c r="AM543" i="16"/>
  <c r="AM544" i="16"/>
  <c r="AM545" i="16"/>
  <c r="AM546" i="16"/>
  <c r="AM547" i="16"/>
  <c r="AM548" i="16"/>
  <c r="AM549" i="16"/>
  <c r="AM550" i="16"/>
  <c r="AM551" i="16"/>
  <c r="AM552" i="16"/>
  <c r="AM553" i="16"/>
  <c r="AM554" i="16"/>
  <c r="AM555" i="16"/>
  <c r="AM556" i="16"/>
  <c r="AM557" i="16"/>
  <c r="AM558" i="16"/>
  <c r="AM559" i="16"/>
  <c r="AM560" i="16"/>
  <c r="AM561" i="16"/>
  <c r="AM562" i="16"/>
  <c r="AM563" i="16"/>
  <c r="AM564" i="16"/>
  <c r="AM565" i="16"/>
  <c r="AM566" i="16"/>
  <c r="AM567" i="16"/>
  <c r="AM568" i="16"/>
  <c r="AM569" i="16"/>
  <c r="AM570" i="16"/>
  <c r="AM571" i="16"/>
  <c r="AM572" i="16"/>
  <c r="AM573" i="16"/>
  <c r="AM574" i="16"/>
  <c r="AM575" i="16"/>
  <c r="AM576" i="16"/>
  <c r="AM577" i="16"/>
  <c r="AM578" i="16"/>
  <c r="AM579" i="16"/>
  <c r="AM580" i="16"/>
  <c r="AM581" i="16"/>
  <c r="AM582" i="16"/>
  <c r="AM583" i="16"/>
  <c r="AM584" i="16"/>
  <c r="AM585" i="16"/>
  <c r="AM586" i="16"/>
  <c r="AM587" i="16"/>
  <c r="AM588" i="16"/>
  <c r="AM589" i="16"/>
  <c r="AM590" i="16"/>
  <c r="AM591" i="16"/>
  <c r="AM592" i="16"/>
  <c r="AM593" i="16"/>
  <c r="AM594" i="16"/>
  <c r="AM595" i="16"/>
  <c r="AM596" i="16"/>
  <c r="AM597" i="16"/>
  <c r="AM598" i="16"/>
  <c r="AM599" i="16"/>
  <c r="AM600" i="16"/>
  <c r="AM601" i="16"/>
  <c r="AM602" i="16"/>
  <c r="AM603" i="16"/>
  <c r="AM604" i="16"/>
  <c r="AM605" i="16"/>
  <c r="AM606" i="16"/>
  <c r="AM607" i="16"/>
  <c r="AM608" i="16"/>
  <c r="AM609" i="16"/>
  <c r="AM610" i="16"/>
  <c r="AM611" i="16"/>
  <c r="AM612" i="16"/>
  <c r="AM613" i="16"/>
  <c r="AM614" i="16"/>
  <c r="AM615" i="16"/>
  <c r="AM616" i="16"/>
  <c r="AM617" i="16"/>
  <c r="AM618" i="16"/>
  <c r="AM619" i="16"/>
  <c r="AM620" i="16"/>
  <c r="AM621" i="16"/>
  <c r="AM622" i="16"/>
  <c r="AM623" i="16"/>
  <c r="AM624" i="16"/>
  <c r="AM625" i="16"/>
  <c r="AM626" i="16"/>
  <c r="AM627" i="16"/>
  <c r="AM628" i="16"/>
  <c r="AM629" i="16"/>
  <c r="AM630" i="16"/>
  <c r="AM631" i="16"/>
  <c r="AM632" i="16"/>
  <c r="AM633" i="16"/>
  <c r="AM634" i="16"/>
  <c r="AM635" i="16"/>
  <c r="AM636" i="16"/>
  <c r="AM637" i="16"/>
  <c r="AM638" i="16"/>
  <c r="AM639" i="16"/>
  <c r="AM640" i="16"/>
  <c r="AM641" i="16"/>
  <c r="AM642" i="16"/>
  <c r="AM643" i="16"/>
  <c r="AM644" i="16"/>
  <c r="AM645" i="16"/>
  <c r="AM646" i="16"/>
  <c r="AM647" i="16"/>
  <c r="AM648" i="16"/>
  <c r="AM649" i="16"/>
  <c r="AM650" i="16"/>
  <c r="AM651" i="16"/>
  <c r="AM652" i="16"/>
  <c r="AM653" i="16"/>
  <c r="AM654" i="16"/>
  <c r="AM655" i="16"/>
  <c r="AM656" i="16"/>
  <c r="AM657" i="16"/>
  <c r="AM658" i="16"/>
  <c r="AM659" i="16"/>
  <c r="AM660" i="16"/>
  <c r="AM661" i="16"/>
  <c r="AM662" i="16"/>
  <c r="AM663" i="16"/>
  <c r="AM664" i="16"/>
  <c r="AM665" i="16"/>
  <c r="AM666" i="16"/>
  <c r="AM667" i="16"/>
  <c r="AM668" i="16"/>
  <c r="AM669" i="16"/>
  <c r="AM670" i="16"/>
  <c r="AM671" i="16"/>
  <c r="AM672" i="16"/>
  <c r="AM673" i="16"/>
  <c r="AM674" i="16"/>
  <c r="AM675" i="16"/>
  <c r="AM676" i="16"/>
  <c r="AM677" i="16"/>
  <c r="AM678" i="16"/>
  <c r="AM679" i="16"/>
  <c r="AM680" i="16"/>
  <c r="AM681" i="16"/>
  <c r="AM682" i="16"/>
  <c r="AM683" i="16"/>
  <c r="AM684" i="16"/>
  <c r="AM685" i="16"/>
  <c r="AM686" i="16"/>
  <c r="AM687" i="16"/>
  <c r="AM688" i="16"/>
  <c r="AM689" i="16"/>
  <c r="AM690" i="16"/>
  <c r="AM691" i="16"/>
  <c r="AM692" i="16"/>
  <c r="AM693" i="16"/>
  <c r="AM694" i="16"/>
  <c r="AM695" i="16"/>
  <c r="AM696" i="16"/>
  <c r="AM697" i="16"/>
  <c r="AM698" i="16"/>
  <c r="AM699" i="16"/>
  <c r="AM700" i="16"/>
  <c r="AM701" i="16"/>
  <c r="AM702" i="16"/>
  <c r="AM703" i="16"/>
  <c r="AM704" i="16"/>
  <c r="AM705" i="16"/>
  <c r="AM706" i="16"/>
  <c r="AM707" i="16"/>
  <c r="AM708" i="16"/>
  <c r="AM709" i="16"/>
  <c r="AM710" i="16"/>
  <c r="AM711" i="16"/>
  <c r="AM712" i="16"/>
  <c r="AM713" i="16"/>
  <c r="AM714" i="16"/>
  <c r="AM715" i="16"/>
  <c r="AM716" i="16"/>
  <c r="AM717" i="16"/>
  <c r="AM718" i="16"/>
  <c r="AM719" i="16"/>
  <c r="AM720" i="16"/>
  <c r="AM721" i="16"/>
  <c r="AM722" i="16"/>
  <c r="AM723" i="16"/>
  <c r="AM724" i="16"/>
  <c r="AM725" i="16"/>
  <c r="AM726" i="16"/>
  <c r="AM727" i="16"/>
  <c r="AM728" i="16"/>
  <c r="AM729" i="16"/>
  <c r="AM730" i="16"/>
  <c r="AM731" i="16"/>
  <c r="AM732" i="16"/>
  <c r="AM733" i="16"/>
  <c r="AM734" i="16"/>
  <c r="AM735" i="16"/>
  <c r="AM736" i="16"/>
  <c r="AM737" i="16"/>
  <c r="AM738" i="16"/>
  <c r="AM739" i="16"/>
  <c r="AM740" i="16"/>
  <c r="AM741" i="16"/>
  <c r="AM742" i="16"/>
  <c r="AM743" i="16"/>
  <c r="AM744" i="16"/>
  <c r="AM745" i="16"/>
  <c r="AM746" i="16"/>
  <c r="AM747" i="16"/>
  <c r="AM748" i="16"/>
  <c r="AM749" i="16"/>
  <c r="AM750" i="16"/>
  <c r="AM751" i="16"/>
  <c r="AM752" i="16"/>
  <c r="AM753" i="16"/>
  <c r="AM754" i="16"/>
  <c r="AM755" i="16"/>
  <c r="AM756" i="16"/>
  <c r="AM757" i="16"/>
  <c r="AM758" i="16"/>
  <c r="AM759" i="16"/>
  <c r="AM760" i="16"/>
  <c r="AM761" i="16"/>
  <c r="AM762" i="16"/>
  <c r="AM763" i="16"/>
  <c r="AM764" i="16"/>
  <c r="AM765" i="16"/>
  <c r="AM766" i="16"/>
  <c r="AM767" i="16"/>
  <c r="AM768" i="16"/>
  <c r="AM769" i="16"/>
  <c r="AM770" i="16"/>
  <c r="AM771" i="16"/>
  <c r="AM772" i="16"/>
  <c r="AM773" i="16"/>
  <c r="AM774" i="16"/>
  <c r="AM775" i="16"/>
  <c r="AM776" i="16"/>
  <c r="AM777" i="16"/>
  <c r="AM778" i="16"/>
  <c r="AM779" i="16"/>
  <c r="AM780" i="16"/>
  <c r="AM781" i="16"/>
  <c r="AM782" i="16"/>
  <c r="AM783" i="16"/>
  <c r="AM784" i="16"/>
  <c r="AM785" i="16"/>
  <c r="AM786" i="16"/>
  <c r="AM787" i="16"/>
  <c r="AM788" i="16"/>
  <c r="AM789" i="16"/>
  <c r="AM790" i="16"/>
  <c r="AM791" i="16"/>
  <c r="AM792" i="16"/>
  <c r="AM793" i="16"/>
  <c r="AM794" i="16"/>
  <c r="AM795" i="16"/>
  <c r="AM796" i="16"/>
  <c r="AM797" i="16"/>
  <c r="AM798" i="16"/>
  <c r="AM799" i="16"/>
  <c r="AM800" i="16"/>
  <c r="AM801" i="16"/>
  <c r="AM802" i="16"/>
  <c r="AM803" i="16"/>
  <c r="AM804" i="16"/>
  <c r="AM805" i="16"/>
  <c r="AM806" i="16"/>
  <c r="AM807" i="16"/>
  <c r="AM808" i="16"/>
  <c r="AM809" i="16"/>
  <c r="AM810" i="16"/>
  <c r="AM811" i="16"/>
  <c r="AM812" i="16"/>
  <c r="AM813" i="16"/>
  <c r="AM814" i="16"/>
  <c r="AM815" i="16"/>
  <c r="AM816" i="16"/>
  <c r="AM817" i="16"/>
  <c r="AM818" i="16"/>
  <c r="AM819" i="16"/>
  <c r="AM820" i="16"/>
  <c r="AM821" i="16"/>
  <c r="AM822" i="16"/>
  <c r="AM823" i="16"/>
  <c r="AM824" i="16"/>
  <c r="AM825" i="16"/>
  <c r="AM826" i="16"/>
  <c r="AM827" i="16"/>
  <c r="AM828" i="16"/>
  <c r="AM829" i="16"/>
  <c r="AM830" i="16"/>
  <c r="AM831" i="16"/>
  <c r="AM832" i="16"/>
  <c r="AM833" i="16"/>
  <c r="AM834" i="16"/>
  <c r="AM835" i="16"/>
  <c r="AM836" i="16"/>
  <c r="AM837" i="16"/>
  <c r="AM838" i="16"/>
  <c r="AM839" i="16"/>
  <c r="AM840" i="16"/>
  <c r="AM841" i="16"/>
  <c r="AM842" i="16"/>
  <c r="AM843" i="16"/>
  <c r="AM844" i="16"/>
  <c r="AM845" i="16"/>
  <c r="AM846" i="16"/>
  <c r="AM847" i="16"/>
  <c r="AM848" i="16"/>
  <c r="AM849" i="16"/>
  <c r="AM850" i="16"/>
  <c r="AM851" i="16"/>
  <c r="AM852" i="16"/>
  <c r="AM853" i="16"/>
  <c r="AM854" i="16"/>
  <c r="AM855" i="16"/>
  <c r="AM856" i="16"/>
  <c r="AM857" i="16"/>
  <c r="AM858" i="16"/>
  <c r="AM859" i="16"/>
  <c r="AM860" i="16"/>
  <c r="AM861" i="16"/>
  <c r="AM862" i="16"/>
  <c r="AM863" i="16"/>
  <c r="AM864" i="16"/>
  <c r="AM865" i="16"/>
  <c r="AM866" i="16"/>
  <c r="AM867" i="16"/>
  <c r="AM868" i="16"/>
  <c r="AM869" i="16"/>
  <c r="AM870" i="16"/>
  <c r="AM871" i="16"/>
  <c r="AM872" i="16"/>
  <c r="AM873" i="16"/>
  <c r="AM874" i="16"/>
  <c r="AM875" i="16"/>
  <c r="AM876" i="16"/>
  <c r="AM877" i="16"/>
  <c r="AM878" i="16"/>
  <c r="AM879" i="16"/>
  <c r="AM880" i="16"/>
  <c r="AM881" i="16"/>
  <c r="AM882" i="16"/>
  <c r="AM883" i="16"/>
  <c r="AM884" i="16"/>
  <c r="AM885" i="16"/>
  <c r="AM886" i="16"/>
  <c r="AM887" i="16"/>
  <c r="AM888" i="16"/>
  <c r="AM889" i="16"/>
  <c r="AM890" i="16"/>
  <c r="AM891" i="16"/>
  <c r="AM892" i="16"/>
  <c r="AM893" i="16"/>
  <c r="AM894" i="16"/>
  <c r="AM895" i="16"/>
  <c r="AM896" i="16"/>
  <c r="AM897" i="16"/>
  <c r="AM898" i="16"/>
  <c r="AM899" i="16"/>
  <c r="AM900" i="16"/>
  <c r="AM901" i="16"/>
  <c r="AM902" i="16"/>
  <c r="AM903" i="16"/>
  <c r="AM904" i="16"/>
  <c r="AM905" i="16"/>
  <c r="AM906" i="16"/>
  <c r="AM907" i="16"/>
  <c r="AM908" i="16"/>
  <c r="AM909" i="16"/>
  <c r="AM910" i="16"/>
  <c r="AM911" i="16"/>
  <c r="AM912" i="16"/>
  <c r="AM913" i="16"/>
  <c r="AM914" i="16"/>
  <c r="AM915" i="16"/>
  <c r="AM916" i="16"/>
  <c r="AM917" i="16"/>
  <c r="AM918" i="16"/>
  <c r="AM919" i="16"/>
  <c r="AM920" i="16"/>
  <c r="AM921" i="16"/>
  <c r="AM922" i="16"/>
  <c r="AM923" i="16"/>
  <c r="AM924" i="16"/>
  <c r="AM925" i="16"/>
  <c r="AM926" i="16"/>
  <c r="AM927" i="16"/>
  <c r="AM928" i="16"/>
  <c r="AM929" i="16"/>
  <c r="AM930" i="16"/>
  <c r="AM931" i="16"/>
  <c r="AM932" i="16"/>
  <c r="AM933" i="16"/>
  <c r="AM934" i="16"/>
  <c r="AM935" i="16"/>
  <c r="AM936" i="16"/>
  <c r="AM937" i="16"/>
  <c r="AM938" i="16"/>
  <c r="AM939" i="16"/>
  <c r="AM940" i="16"/>
  <c r="AM941" i="16"/>
  <c r="AM942" i="16"/>
  <c r="AM943" i="16"/>
  <c r="AM944" i="16"/>
  <c r="AM945" i="16"/>
  <c r="AM946" i="16"/>
  <c r="AM947" i="16"/>
  <c r="AM948" i="16"/>
  <c r="AM949" i="16"/>
  <c r="AM950" i="16"/>
  <c r="AM951" i="16"/>
  <c r="AM952" i="16"/>
  <c r="AM953" i="16"/>
  <c r="AM954" i="16"/>
  <c r="AM955" i="16"/>
  <c r="AM956" i="16"/>
  <c r="AM957" i="16"/>
  <c r="AM958" i="16"/>
  <c r="AM959" i="16"/>
  <c r="AM960" i="16"/>
  <c r="AM961" i="16"/>
  <c r="AM962" i="16"/>
  <c r="AM963" i="16"/>
  <c r="AM964" i="16"/>
  <c r="AM965" i="16"/>
  <c r="AM966" i="16"/>
  <c r="AM967" i="16"/>
  <c r="AM968" i="16"/>
  <c r="AM969" i="16"/>
  <c r="AM970" i="16"/>
  <c r="AM971" i="16"/>
  <c r="AM972" i="16"/>
  <c r="AM973" i="16"/>
  <c r="AM974" i="16"/>
  <c r="AM975" i="16"/>
  <c r="AM976" i="16"/>
  <c r="AM977" i="16"/>
  <c r="AM978" i="16"/>
  <c r="AM979" i="16"/>
  <c r="AM980" i="16"/>
  <c r="AM981" i="16"/>
  <c r="AM982" i="16"/>
  <c r="AM983" i="16"/>
  <c r="AM984" i="16"/>
  <c r="AM985" i="16"/>
  <c r="AM986" i="16"/>
  <c r="AM987" i="16"/>
  <c r="AM988" i="16"/>
  <c r="AM989" i="16"/>
  <c r="AM990" i="16"/>
  <c r="AM991" i="16"/>
  <c r="AM992" i="16"/>
  <c r="AM993" i="16"/>
  <c r="AM994" i="16"/>
  <c r="AM995" i="16"/>
  <c r="AM996" i="16"/>
  <c r="AM997" i="16"/>
  <c r="AM998" i="16"/>
  <c r="AM999" i="16"/>
  <c r="AM1000" i="16"/>
  <c r="AM1001" i="16"/>
  <c r="AM1002" i="16"/>
  <c r="AM1003" i="16"/>
  <c r="AM1004" i="16"/>
  <c r="AM1005" i="16"/>
  <c r="AM1006" i="16"/>
  <c r="AM1007" i="16"/>
  <c r="AM1008" i="16"/>
  <c r="AM1009" i="16"/>
  <c r="AM1010" i="16"/>
  <c r="AM1011" i="16"/>
  <c r="AM1012" i="16"/>
  <c r="AM1013" i="16"/>
  <c r="AM1014" i="16"/>
  <c r="AM1015" i="16"/>
  <c r="AM1016" i="16"/>
  <c r="AM1017" i="16"/>
  <c r="AM1018" i="16"/>
  <c r="AM1019" i="16"/>
  <c r="AM1020" i="16"/>
  <c r="AM1021" i="16"/>
  <c r="AM1022" i="16"/>
  <c r="AM1023" i="16"/>
  <c r="AM1024" i="16"/>
  <c r="AM1025" i="16"/>
  <c r="AM1026" i="16"/>
  <c r="AM1027" i="16"/>
  <c r="AM1028" i="16"/>
  <c r="AM1029" i="16"/>
  <c r="AM1030" i="16"/>
  <c r="AM1031" i="16"/>
  <c r="AM1032" i="16"/>
  <c r="AM1033" i="16"/>
  <c r="AM1034" i="16"/>
  <c r="AM1035" i="16"/>
  <c r="AM1036" i="16"/>
  <c r="AM1037" i="16"/>
  <c r="AM1038" i="16"/>
  <c r="AM1039" i="16"/>
  <c r="AM1040" i="16"/>
  <c r="AM1041" i="16"/>
  <c r="AM1042" i="16"/>
  <c r="AM1043" i="16"/>
  <c r="AM1044" i="16"/>
  <c r="AM1045" i="16"/>
  <c r="AM1046" i="16"/>
  <c r="AM1047" i="16"/>
  <c r="AM1048" i="16"/>
  <c r="AM1049" i="16"/>
  <c r="AM1050" i="16"/>
  <c r="AM1051" i="16"/>
  <c r="AM1052" i="16"/>
  <c r="AM1053" i="16"/>
  <c r="AM1054" i="16"/>
  <c r="AM1055" i="16"/>
  <c r="AM1056" i="16"/>
  <c r="AM1057" i="16"/>
  <c r="AM1058" i="16"/>
  <c r="AM1059" i="16"/>
  <c r="AM1060" i="16"/>
  <c r="AM1061" i="16"/>
  <c r="AM1062" i="16"/>
  <c r="AM1063" i="16"/>
  <c r="AM1064" i="16"/>
  <c r="AM1065" i="16"/>
  <c r="AM1066" i="16"/>
  <c r="AM1067" i="16"/>
  <c r="AM1068" i="16"/>
  <c r="AM1069" i="16"/>
  <c r="AM1070" i="16"/>
  <c r="AM1071" i="16"/>
  <c r="AM1072" i="16"/>
  <c r="AM1073" i="16"/>
  <c r="AM1074" i="16"/>
  <c r="AM1075" i="16"/>
  <c r="AM1076" i="16"/>
  <c r="AM1077" i="16"/>
  <c r="AM1078" i="16"/>
  <c r="AM1079" i="16"/>
  <c r="AM1080" i="16"/>
  <c r="AM1081" i="16"/>
  <c r="AM1082" i="16"/>
  <c r="AM1083" i="16"/>
  <c r="AM1084" i="16"/>
  <c r="AM1085" i="16"/>
  <c r="AM1086" i="16"/>
  <c r="AM1087" i="16"/>
  <c r="AM1088" i="16"/>
  <c r="AM1089" i="16"/>
  <c r="AM1090" i="16"/>
  <c r="AM1091" i="16"/>
  <c r="AM1092" i="16"/>
  <c r="AM1093" i="16"/>
  <c r="AM1094" i="16"/>
  <c r="AM1095" i="16"/>
  <c r="AM1096" i="16"/>
  <c r="AM1097" i="16"/>
  <c r="AM1098" i="16"/>
  <c r="AM1099" i="16"/>
  <c r="AM1100" i="16"/>
  <c r="AM1101" i="16"/>
  <c r="AM1102" i="16"/>
  <c r="AM1103" i="16"/>
  <c r="AM1104" i="16"/>
  <c r="AM1105" i="16"/>
  <c r="AM1106" i="16"/>
  <c r="AM1107" i="16"/>
  <c r="AM1108" i="16"/>
  <c r="AM1109" i="16"/>
  <c r="AM1110" i="16"/>
  <c r="AM1111" i="16"/>
  <c r="AM1112" i="16"/>
  <c r="AM1113" i="16"/>
  <c r="AM1114" i="16"/>
  <c r="AM1115" i="16"/>
  <c r="AM1116" i="16"/>
  <c r="I1873" i="16" l="1"/>
  <c r="J1873" i="16"/>
  <c r="N1873" i="16"/>
  <c r="R1873" i="16"/>
  <c r="L1873" i="16"/>
  <c r="P1873" i="16"/>
  <c r="G1873" i="16"/>
  <c r="X303" i="16" l="1"/>
  <c r="H964" i="16" l="1"/>
  <c r="C5" i="16" l="1"/>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4" i="16"/>
  <c r="AM12" i="15" l="1"/>
  <c r="AM11" i="15"/>
  <c r="AM10" i="15"/>
  <c r="AM9" i="15"/>
  <c r="AM8" i="15"/>
  <c r="AM7" i="15"/>
  <c r="AM6" i="15"/>
  <c r="AM5" i="15"/>
  <c r="AM4" i="15"/>
  <c r="AM3" i="15"/>
  <c r="W748" i="16" l="1"/>
  <c r="AD748" i="16" s="1"/>
  <c r="W749" i="16"/>
  <c r="AE749" i="16" s="1"/>
  <c r="W750" i="16"/>
  <c r="W751" i="16"/>
  <c r="W752" i="16"/>
  <c r="W753" i="16"/>
  <c r="W754" i="16"/>
  <c r="W755" i="16"/>
  <c r="W756" i="16"/>
  <c r="W757" i="16"/>
  <c r="W758" i="16"/>
  <c r="AD758" i="16" s="1"/>
  <c r="W759" i="16"/>
  <c r="AE759" i="16" s="1"/>
  <c r="W760" i="16"/>
  <c r="AJ760" i="16" s="1"/>
  <c r="W761" i="16"/>
  <c r="W762" i="16"/>
  <c r="AD762" i="16" s="1"/>
  <c r="W763" i="16"/>
  <c r="AF763" i="16" s="1"/>
  <c r="W764" i="16"/>
  <c r="AH764" i="16" s="1"/>
  <c r="W765" i="16"/>
  <c r="AE765" i="16" s="1"/>
  <c r="W766" i="16"/>
  <c r="W767" i="16"/>
  <c r="AC767" i="16" s="1"/>
  <c r="W768" i="16"/>
  <c r="AC768" i="16" s="1"/>
  <c r="W769" i="16"/>
  <c r="W770" i="16"/>
  <c r="AF770" i="16" s="1"/>
  <c r="W771" i="16"/>
  <c r="W772" i="16"/>
  <c r="W773" i="16"/>
  <c r="W774" i="16"/>
  <c r="AE774" i="16" s="1"/>
  <c r="W775" i="16"/>
  <c r="W776" i="16"/>
  <c r="W777" i="16"/>
  <c r="W778" i="16"/>
  <c r="W779" i="16"/>
  <c r="W780" i="16"/>
  <c r="W781" i="16"/>
  <c r="W782" i="16"/>
  <c r="W783" i="16"/>
  <c r="W784" i="16"/>
  <c r="AJ784" i="16" s="1"/>
  <c r="W785" i="16"/>
  <c r="W786" i="16"/>
  <c r="W787" i="16"/>
  <c r="AJ787" i="16" s="1"/>
  <c r="W788" i="16"/>
  <c r="AG788" i="16" s="1"/>
  <c r="W789" i="16"/>
  <c r="W790" i="16"/>
  <c r="AG790" i="16" s="1"/>
  <c r="W791" i="16"/>
  <c r="W792" i="16"/>
  <c r="W793" i="16"/>
  <c r="W794" i="16"/>
  <c r="W795" i="16"/>
  <c r="W796" i="16"/>
  <c r="W797" i="16"/>
  <c r="W798" i="16"/>
  <c r="W799" i="16"/>
  <c r="W800" i="16"/>
  <c r="W801" i="16"/>
  <c r="W802" i="16"/>
  <c r="AC802" i="16" s="1"/>
  <c r="W803" i="16"/>
  <c r="AC803" i="16" s="1"/>
  <c r="W804" i="16"/>
  <c r="W805" i="16"/>
  <c r="W806" i="16"/>
  <c r="AC806" i="16" s="1"/>
  <c r="W807" i="16"/>
  <c r="AG807" i="16" s="1"/>
  <c r="W808" i="16"/>
  <c r="W809" i="16"/>
  <c r="W810" i="16"/>
  <c r="W811" i="16"/>
  <c r="W812" i="16"/>
  <c r="W813" i="16"/>
  <c r="AG813" i="16" s="1"/>
  <c r="W814" i="16"/>
  <c r="AC814" i="16" s="1"/>
  <c r="W815" i="16"/>
  <c r="AG815" i="16" s="1"/>
  <c r="W816" i="16"/>
  <c r="AC816" i="16" s="1"/>
  <c r="W817" i="16"/>
  <c r="AG817" i="16" s="1"/>
  <c r="W818" i="16"/>
  <c r="AC818" i="16" s="1"/>
  <c r="W819" i="16"/>
  <c r="AG819" i="16" s="1"/>
  <c r="W820" i="16"/>
  <c r="AC820" i="16" s="1"/>
  <c r="W821" i="16"/>
  <c r="W822" i="16"/>
  <c r="AC822" i="16" s="1"/>
  <c r="W823" i="16"/>
  <c r="AG823" i="16" s="1"/>
  <c r="W824" i="16"/>
  <c r="W825" i="16"/>
  <c r="W826" i="16"/>
  <c r="AJ826" i="16" s="1"/>
  <c r="W827" i="16"/>
  <c r="AG827" i="16" s="1"/>
  <c r="W828" i="16"/>
  <c r="AJ828" i="16" s="1"/>
  <c r="W829" i="16"/>
  <c r="W830" i="16"/>
  <c r="AJ830" i="16" s="1"/>
  <c r="W831" i="16"/>
  <c r="AG831" i="16" s="1"/>
  <c r="W832" i="16"/>
  <c r="AJ832" i="16" s="1"/>
  <c r="W833" i="16"/>
  <c r="AJ833" i="16" s="1"/>
  <c r="W834" i="16"/>
  <c r="AJ834" i="16" s="1"/>
  <c r="W835" i="16"/>
  <c r="AD835" i="16" s="1"/>
  <c r="W836" i="16"/>
  <c r="AJ836" i="16" s="1"/>
  <c r="W837" i="16"/>
  <c r="W838" i="16"/>
  <c r="AG838" i="16" s="1"/>
  <c r="W839" i="16"/>
  <c r="AD839" i="16" s="1"/>
  <c r="W840" i="16"/>
  <c r="AG840" i="16" s="1"/>
  <c r="W841" i="16"/>
  <c r="AG841" i="16" s="1"/>
  <c r="W842" i="16"/>
  <c r="AG842" i="16" s="1"/>
  <c r="W843" i="16"/>
  <c r="AD843" i="16" s="1"/>
  <c r="W844" i="16"/>
  <c r="AG844" i="16" s="1"/>
  <c r="W845" i="16"/>
  <c r="W846" i="16"/>
  <c r="AG846" i="16" s="1"/>
  <c r="W847" i="16"/>
  <c r="W848" i="16"/>
  <c r="AG848" i="16" s="1"/>
  <c r="W849" i="16"/>
  <c r="AG849" i="16" s="1"/>
  <c r="W850" i="16"/>
  <c r="W851" i="16"/>
  <c r="AJ851" i="16" s="1"/>
  <c r="W852" i="16"/>
  <c r="W853" i="16"/>
  <c r="W854" i="16"/>
  <c r="AD854" i="16" s="1"/>
  <c r="W855" i="16"/>
  <c r="AH855" i="16" s="1"/>
  <c r="W856" i="16"/>
  <c r="AJ856" i="16" s="1"/>
  <c r="W857" i="16"/>
  <c r="W858" i="16"/>
  <c r="AF858" i="16" s="1"/>
  <c r="W859" i="16"/>
  <c r="AH859" i="16" s="1"/>
  <c r="W860" i="16"/>
  <c r="AJ860" i="16" s="1"/>
  <c r="W861" i="16"/>
  <c r="W862" i="16"/>
  <c r="W863" i="16"/>
  <c r="AH863" i="16" s="1"/>
  <c r="W864" i="16"/>
  <c r="AJ864" i="16" s="1"/>
  <c r="W865" i="16"/>
  <c r="W866" i="16"/>
  <c r="W867" i="16"/>
  <c r="W868" i="16"/>
  <c r="W869" i="16"/>
  <c r="W870" i="16"/>
  <c r="W871" i="16"/>
  <c r="W872" i="16"/>
  <c r="W873" i="16"/>
  <c r="W874" i="16"/>
  <c r="W875" i="16"/>
  <c r="W876" i="16"/>
  <c r="W877" i="16"/>
  <c r="W878" i="16"/>
  <c r="W879" i="16"/>
  <c r="W880" i="16"/>
  <c r="W881" i="16"/>
  <c r="AC881" i="16" s="1"/>
  <c r="W882" i="16"/>
  <c r="W883" i="16"/>
  <c r="W884" i="16"/>
  <c r="W885" i="16"/>
  <c r="W886" i="16"/>
  <c r="W887" i="16"/>
  <c r="W888" i="16"/>
  <c r="W889" i="16"/>
  <c r="W890" i="16"/>
  <c r="AG890" i="16" s="1"/>
  <c r="W891" i="16"/>
  <c r="AJ891" i="16" s="1"/>
  <c r="W892" i="16"/>
  <c r="W893" i="16"/>
  <c r="W894" i="16"/>
  <c r="AG894" i="16" s="1"/>
  <c r="W895" i="16"/>
  <c r="AJ895" i="16" s="1"/>
  <c r="W896" i="16"/>
  <c r="W897" i="16"/>
  <c r="W898" i="16"/>
  <c r="W899" i="16"/>
  <c r="AE899" i="16" s="1"/>
  <c r="W900" i="16"/>
  <c r="W901" i="16"/>
  <c r="W902" i="16"/>
  <c r="W903" i="16"/>
  <c r="AE903" i="16" s="1"/>
  <c r="W904" i="16"/>
  <c r="AG904" i="16" s="1"/>
  <c r="W905" i="16"/>
  <c r="W906" i="16"/>
  <c r="AG906" i="16" s="1"/>
  <c r="W907" i="16"/>
  <c r="AE907" i="16" s="1"/>
  <c r="W908" i="16"/>
  <c r="W909" i="16"/>
  <c r="W910" i="16"/>
  <c r="W911" i="16"/>
  <c r="W912" i="16"/>
  <c r="W913" i="16"/>
  <c r="AJ913" i="16" s="1"/>
  <c r="W914" i="16"/>
  <c r="AG914" i="16" s="1"/>
  <c r="W915" i="16"/>
  <c r="W916" i="16"/>
  <c r="W917" i="16"/>
  <c r="AE917" i="16" s="1"/>
  <c r="W918" i="16"/>
  <c r="AG918" i="16" s="1"/>
  <c r="W919" i="16"/>
  <c r="AE919" i="16" s="1"/>
  <c r="W920" i="16"/>
  <c r="W921" i="16"/>
  <c r="W922" i="16"/>
  <c r="AG922" i="16" s="1"/>
  <c r="W923" i="16"/>
  <c r="W924" i="16"/>
  <c r="W925" i="16"/>
  <c r="W926" i="16"/>
  <c r="AE926" i="16" s="1"/>
  <c r="W927" i="16"/>
  <c r="W928" i="16"/>
  <c r="AJ928" i="16" s="1"/>
  <c r="W929" i="16"/>
  <c r="W930" i="16"/>
  <c r="AE930" i="16" s="1"/>
  <c r="W931" i="16"/>
  <c r="AG931" i="16" s="1"/>
  <c r="W932" i="16"/>
  <c r="W933" i="16"/>
  <c r="W934" i="16"/>
  <c r="AE934" i="16" s="1"/>
  <c r="W935" i="16"/>
  <c r="W936" i="16"/>
  <c r="AJ936" i="16" s="1"/>
  <c r="W937" i="16"/>
  <c r="W938" i="16"/>
  <c r="AE938" i="16" s="1"/>
  <c r="W939" i="16"/>
  <c r="AG939" i="16" s="1"/>
  <c r="W940" i="16"/>
  <c r="W941" i="16"/>
  <c r="W942" i="16"/>
  <c r="AE942" i="16" s="1"/>
  <c r="W943" i="16"/>
  <c r="W944" i="16"/>
  <c r="AJ944" i="16" s="1"/>
  <c r="W945" i="16"/>
  <c r="W946" i="16"/>
  <c r="AE946" i="16" s="1"/>
  <c r="W947" i="16"/>
  <c r="AG947" i="16" s="1"/>
  <c r="W948" i="16"/>
  <c r="W949" i="16"/>
  <c r="AG949" i="16" s="1"/>
  <c r="W950" i="16"/>
  <c r="AE950" i="16" s="1"/>
  <c r="W951" i="16"/>
  <c r="W952" i="16"/>
  <c r="AJ952" i="16" s="1"/>
  <c r="W953" i="16"/>
  <c r="W954" i="16"/>
  <c r="AE954" i="16" s="1"/>
  <c r="W955" i="16"/>
  <c r="AG955" i="16" s="1"/>
  <c r="W956" i="16"/>
  <c r="W957" i="16"/>
  <c r="AG957" i="16" s="1"/>
  <c r="W958" i="16"/>
  <c r="AE958" i="16" s="1"/>
  <c r="W959" i="16"/>
  <c r="W960" i="16"/>
  <c r="AJ960" i="16" s="1"/>
  <c r="W961" i="16"/>
  <c r="W962" i="16"/>
  <c r="AE962" i="16" s="1"/>
  <c r="W963" i="16"/>
  <c r="AG963" i="16" s="1"/>
  <c r="W964" i="16"/>
  <c r="W965" i="16"/>
  <c r="W966" i="16"/>
  <c r="W967" i="16"/>
  <c r="W968" i="16"/>
  <c r="W969" i="16"/>
  <c r="W970" i="16"/>
  <c r="AG970" i="16" s="1"/>
  <c r="W971" i="16"/>
  <c r="W972" i="16"/>
  <c r="W973" i="16"/>
  <c r="W974" i="16"/>
  <c r="W975" i="16"/>
  <c r="AI975" i="16" s="1"/>
  <c r="W976" i="16"/>
  <c r="W977" i="16"/>
  <c r="W978" i="16"/>
  <c r="W979" i="16"/>
  <c r="W980" i="16"/>
  <c r="W981" i="16"/>
  <c r="W982" i="16"/>
  <c r="W983" i="16"/>
  <c r="W984" i="16"/>
  <c r="W985" i="16"/>
  <c r="W986" i="16"/>
  <c r="AG986" i="16" s="1"/>
  <c r="W987" i="16"/>
  <c r="W988" i="16"/>
  <c r="W989" i="16"/>
  <c r="W990" i="16"/>
  <c r="W991" i="16"/>
  <c r="AI991" i="16" s="1"/>
  <c r="W992" i="16"/>
  <c r="W993" i="16"/>
  <c r="W994" i="16"/>
  <c r="W995" i="16"/>
  <c r="W996" i="16"/>
  <c r="W997" i="16"/>
  <c r="W998" i="16"/>
  <c r="W999" i="16"/>
  <c r="W1000" i="16"/>
  <c r="W1001" i="16"/>
  <c r="W1002" i="16"/>
  <c r="W1003" i="16"/>
  <c r="W1004" i="16"/>
  <c r="W1005" i="16"/>
  <c r="W1006" i="16"/>
  <c r="W1007" i="16"/>
  <c r="W1008" i="16"/>
  <c r="W1009" i="16"/>
  <c r="W1010" i="16"/>
  <c r="AG1010" i="16" s="1"/>
  <c r="W1011" i="16"/>
  <c r="W1012" i="16"/>
  <c r="W1013" i="16"/>
  <c r="W1014" i="16"/>
  <c r="W1015" i="16"/>
  <c r="W1016" i="16"/>
  <c r="W1017" i="16"/>
  <c r="W1018" i="16"/>
  <c r="W1019" i="16"/>
  <c r="W1020" i="16"/>
  <c r="W1021" i="16"/>
  <c r="W1022" i="16"/>
  <c r="W1023" i="16"/>
  <c r="W1024" i="16"/>
  <c r="W1025" i="16"/>
  <c r="W1026" i="16"/>
  <c r="W1027" i="16"/>
  <c r="W1028" i="16"/>
  <c r="W1029" i="16"/>
  <c r="W1030" i="16"/>
  <c r="W1031" i="16"/>
  <c r="W1032" i="16"/>
  <c r="W1033" i="16"/>
  <c r="W1034" i="16"/>
  <c r="W1035" i="16"/>
  <c r="W1036" i="16"/>
  <c r="W1037" i="16"/>
  <c r="W1038" i="16"/>
  <c r="W1039" i="16"/>
  <c r="W1040" i="16"/>
  <c r="W1041" i="16"/>
  <c r="W1042" i="16"/>
  <c r="W1043" i="16"/>
  <c r="W1044" i="16"/>
  <c r="W1045" i="16"/>
  <c r="W1046" i="16"/>
  <c r="W1047" i="16"/>
  <c r="W1048" i="16"/>
  <c r="W1049" i="16"/>
  <c r="W1050" i="16"/>
  <c r="W1051" i="16"/>
  <c r="W1052" i="16"/>
  <c r="W1053" i="16"/>
  <c r="W1054" i="16"/>
  <c r="W1055" i="16"/>
  <c r="W1056" i="16"/>
  <c r="W1057" i="16"/>
  <c r="W1058" i="16"/>
  <c r="W1059" i="16"/>
  <c r="W1060" i="16"/>
  <c r="W1061" i="16"/>
  <c r="W1062" i="16"/>
  <c r="W1063" i="16"/>
  <c r="W1064" i="16"/>
  <c r="W1065" i="16"/>
  <c r="W1066" i="16"/>
  <c r="W1067" i="16"/>
  <c r="W1068" i="16"/>
  <c r="W1069" i="16"/>
  <c r="W1070" i="16"/>
  <c r="W1071" i="16"/>
  <c r="W1072" i="16"/>
  <c r="W1073" i="16"/>
  <c r="W1074" i="16"/>
  <c r="W1075" i="16"/>
  <c r="W1076" i="16"/>
  <c r="W1077" i="16"/>
  <c r="W1078" i="16"/>
  <c r="W1079" i="16"/>
  <c r="W1080" i="16"/>
  <c r="W1081" i="16"/>
  <c r="W1082" i="16"/>
  <c r="W1083" i="16"/>
  <c r="W1084" i="16"/>
  <c r="W1085" i="16"/>
  <c r="W1086" i="16"/>
  <c r="W1087" i="16"/>
  <c r="W1088" i="16"/>
  <c r="W1089" i="16"/>
  <c r="W1090" i="16"/>
  <c r="W1091" i="16"/>
  <c r="W1092" i="16"/>
  <c r="W1093" i="16"/>
  <c r="W1094" i="16"/>
  <c r="W1095" i="16"/>
  <c r="W1096" i="16"/>
  <c r="W1097" i="16"/>
  <c r="W1098" i="16"/>
  <c r="W1099" i="16"/>
  <c r="W1100" i="16"/>
  <c r="W1101" i="16"/>
  <c r="W1102" i="16"/>
  <c r="W1103" i="16"/>
  <c r="W1104" i="16"/>
  <c r="W1105" i="16"/>
  <c r="W1106" i="16"/>
  <c r="AH1106" i="16" s="1"/>
  <c r="W1107" i="16"/>
  <c r="W1108" i="16"/>
  <c r="W1109" i="16"/>
  <c r="W1110" i="16"/>
  <c r="W1111" i="16"/>
  <c r="W1112" i="16"/>
  <c r="W1113" i="16"/>
  <c r="W1114" i="16"/>
  <c r="W1115" i="16"/>
  <c r="W1116" i="16"/>
  <c r="AC1116" i="16" s="1"/>
  <c r="W747" i="16"/>
  <c r="AH758" i="16" l="1"/>
  <c r="AE767" i="16"/>
  <c r="AJ855" i="16"/>
  <c r="AD831" i="16"/>
  <c r="AF758" i="16"/>
  <c r="AI762" i="16"/>
  <c r="AJ854" i="16"/>
  <c r="AD830" i="16"/>
  <c r="AJ770" i="16"/>
  <c r="AF762" i="16"/>
  <c r="AD770" i="16"/>
  <c r="AJ863" i="16"/>
  <c r="AG835" i="16"/>
  <c r="AC748" i="16"/>
  <c r="AH759" i="16"/>
  <c r="AF768" i="16"/>
  <c r="AJ919" i="16"/>
  <c r="AG759" i="16"/>
  <c r="AC758" i="16"/>
  <c r="AI770" i="16"/>
  <c r="AJ767" i="16"/>
  <c r="AH763" i="16"/>
  <c r="AJ858" i="16"/>
  <c r="AC759" i="16"/>
  <c r="AG748" i="16"/>
  <c r="AE770" i="16"/>
  <c r="AG767" i="16"/>
  <c r="AG802" i="16"/>
  <c r="AE1109" i="16"/>
  <c r="AF1109" i="16"/>
  <c r="AJ1109" i="16"/>
  <c r="AC1109" i="16"/>
  <c r="AH1109" i="16"/>
  <c r="AD1109" i="16"/>
  <c r="AG1109" i="16"/>
  <c r="AF1105" i="16"/>
  <c r="AJ1105" i="16"/>
  <c r="AC1105" i="16"/>
  <c r="AD1105" i="16"/>
  <c r="AI1105" i="16"/>
  <c r="AE1105" i="16"/>
  <c r="AH1105" i="16"/>
  <c r="AH1093" i="16"/>
  <c r="AE1093" i="16"/>
  <c r="AI1093" i="16"/>
  <c r="AJ1093" i="16"/>
  <c r="AF1093" i="16"/>
  <c r="AG1093" i="16"/>
  <c r="AC1085" i="16"/>
  <c r="AG1085" i="16"/>
  <c r="AD1085" i="16"/>
  <c r="AI1085" i="16"/>
  <c r="AJ1085" i="16"/>
  <c r="AE1085" i="16"/>
  <c r="AF1085" i="16"/>
  <c r="AE1077" i="16"/>
  <c r="AI1077" i="16"/>
  <c r="AJ1077" i="16"/>
  <c r="AC1077" i="16"/>
  <c r="AD1077" i="16"/>
  <c r="AG1077" i="16"/>
  <c r="AH1077" i="16"/>
  <c r="AE1061" i="16"/>
  <c r="AI1061" i="16"/>
  <c r="AF1061" i="16"/>
  <c r="AJ1061" i="16"/>
  <c r="AG1061" i="16"/>
  <c r="AH1061" i="16"/>
  <c r="AC1061" i="16"/>
  <c r="AF1057" i="16"/>
  <c r="AJ1057" i="16"/>
  <c r="AC1057" i="16"/>
  <c r="AG1057" i="16"/>
  <c r="AH1057" i="16"/>
  <c r="AI1057" i="16"/>
  <c r="AE1057" i="16"/>
  <c r="AH1049" i="16"/>
  <c r="AE1049" i="16"/>
  <c r="AI1049" i="16"/>
  <c r="AJ1049" i="16"/>
  <c r="AC1049" i="16"/>
  <c r="AF1049" i="16"/>
  <c r="AG1049" i="16"/>
  <c r="AE1045" i="16"/>
  <c r="AI1045" i="16"/>
  <c r="AF1045" i="16"/>
  <c r="AJ1045" i="16"/>
  <c r="AC1045" i="16"/>
  <c r="AG1045" i="16"/>
  <c r="AH1045" i="16"/>
  <c r="AC1037" i="16"/>
  <c r="AG1037" i="16"/>
  <c r="AD1037" i="16"/>
  <c r="AH1037" i="16"/>
  <c r="AE1037" i="16"/>
  <c r="AF1037" i="16"/>
  <c r="AI1037" i="16"/>
  <c r="AF1029" i="16"/>
  <c r="AC1029" i="16"/>
  <c r="AH1029" i="16"/>
  <c r="AD1029" i="16"/>
  <c r="AI1029" i="16"/>
  <c r="AE1029" i="16"/>
  <c r="AG1029" i="16"/>
  <c r="AF1021" i="16"/>
  <c r="AJ1021" i="16"/>
  <c r="AH1021" i="16"/>
  <c r="AD1021" i="16"/>
  <c r="AI1021" i="16"/>
  <c r="AE1021" i="16"/>
  <c r="AG1021" i="16"/>
  <c r="AF1013" i="16"/>
  <c r="AJ1013" i="16"/>
  <c r="AE1013" i="16"/>
  <c r="AG1013" i="16"/>
  <c r="AH1013" i="16"/>
  <c r="AI1013" i="16"/>
  <c r="AD1013" i="16"/>
  <c r="AF1005" i="16"/>
  <c r="AE1005" i="16"/>
  <c r="AG1005" i="16"/>
  <c r="AH1005" i="16"/>
  <c r="AI1005" i="16"/>
  <c r="AC1005" i="16"/>
  <c r="AF1001" i="16"/>
  <c r="AJ1001" i="16"/>
  <c r="AE1001" i="16"/>
  <c r="AG1001" i="16"/>
  <c r="AH1001" i="16"/>
  <c r="AI1001" i="16"/>
  <c r="AD1001" i="16"/>
  <c r="AG997" i="16"/>
  <c r="AC997" i="16"/>
  <c r="AH997" i="16"/>
  <c r="AF997" i="16"/>
  <c r="AE997" i="16"/>
  <c r="AD997" i="16"/>
  <c r="AF989" i="16"/>
  <c r="AJ989" i="16"/>
  <c r="AE989" i="16"/>
  <c r="AG989" i="16"/>
  <c r="AH989" i="16"/>
  <c r="AI989" i="16"/>
  <c r="AC989" i="16"/>
  <c r="AF981" i="16"/>
  <c r="AE981" i="16"/>
  <c r="AG981" i="16"/>
  <c r="AH981" i="16"/>
  <c r="AI981" i="16"/>
  <c r="AC981" i="16"/>
  <c r="AF973" i="16"/>
  <c r="AJ973" i="16"/>
  <c r="AE973" i="16"/>
  <c r="AG973" i="16"/>
  <c r="AH973" i="16"/>
  <c r="AI973" i="16"/>
  <c r="AC973" i="16"/>
  <c r="AG965" i="16"/>
  <c r="AJ965" i="16"/>
  <c r="AE965" i="16"/>
  <c r="AI965" i="16"/>
  <c r="AH965" i="16"/>
  <c r="AF965" i="16"/>
  <c r="AC965" i="16"/>
  <c r="AD961" i="16"/>
  <c r="AE961" i="16"/>
  <c r="AJ961" i="16"/>
  <c r="AF961" i="16"/>
  <c r="AC961" i="16"/>
  <c r="AI961" i="16"/>
  <c r="AH953" i="16"/>
  <c r="AE953" i="16"/>
  <c r="AJ953" i="16"/>
  <c r="AF953" i="16"/>
  <c r="AC953" i="16"/>
  <c r="AI953" i="16"/>
  <c r="AD941" i="16"/>
  <c r="AH941" i="16"/>
  <c r="AE941" i="16"/>
  <c r="AF941" i="16"/>
  <c r="AC941" i="16"/>
  <c r="AI941" i="16"/>
  <c r="AH933" i="16"/>
  <c r="AE933" i="16"/>
  <c r="AJ933" i="16"/>
  <c r="AF933" i="16"/>
  <c r="AC933" i="16"/>
  <c r="AI933" i="16"/>
  <c r="AD921" i="16"/>
  <c r="AH921" i="16"/>
  <c r="AC921" i="16"/>
  <c r="AI921" i="16"/>
  <c r="AF921" i="16"/>
  <c r="AD909" i="16"/>
  <c r="AH909" i="16"/>
  <c r="AG909" i="16"/>
  <c r="AI909" i="16"/>
  <c r="AF909" i="16"/>
  <c r="AH901" i="16"/>
  <c r="AG901" i="16"/>
  <c r="AC901" i="16"/>
  <c r="AI901" i="16"/>
  <c r="AE901" i="16"/>
  <c r="AF901" i="16"/>
  <c r="AH889" i="16"/>
  <c r="AG889" i="16"/>
  <c r="AC889" i="16"/>
  <c r="AI889" i="16"/>
  <c r="AF889" i="16"/>
  <c r="AJ889" i="16"/>
  <c r="AH877" i="16"/>
  <c r="AE877" i="16"/>
  <c r="AI877" i="16"/>
  <c r="AF877" i="16"/>
  <c r="AG877" i="16"/>
  <c r="AJ877" i="16"/>
  <c r="AH865" i="16"/>
  <c r="AE865" i="16"/>
  <c r="AI865" i="16"/>
  <c r="AF865" i="16"/>
  <c r="AG865" i="16"/>
  <c r="AJ865" i="16"/>
  <c r="AC857" i="16"/>
  <c r="AG857" i="16"/>
  <c r="AE857" i="16"/>
  <c r="AI857" i="16"/>
  <c r="AE853" i="16"/>
  <c r="AI853" i="16"/>
  <c r="AC853" i="16"/>
  <c r="AH853" i="16"/>
  <c r="AF853" i="16"/>
  <c r="AE845" i="16"/>
  <c r="AI845" i="16"/>
  <c r="AF845" i="16"/>
  <c r="AC845" i="16"/>
  <c r="AH845" i="16"/>
  <c r="AE829" i="16"/>
  <c r="AC829" i="16"/>
  <c r="AH829" i="16"/>
  <c r="AF829" i="16"/>
  <c r="AE821" i="16"/>
  <c r="AI821" i="16"/>
  <c r="AF821" i="16"/>
  <c r="AJ821" i="16"/>
  <c r="AH821" i="16"/>
  <c r="AE809" i="16"/>
  <c r="AI809" i="16"/>
  <c r="AF809" i="16"/>
  <c r="AD809" i="16"/>
  <c r="AH809" i="16"/>
  <c r="AE801" i="16"/>
  <c r="AI801" i="16"/>
  <c r="AF801" i="16"/>
  <c r="AJ801" i="16"/>
  <c r="AD801" i="16"/>
  <c r="AH801" i="16"/>
  <c r="AE793" i="16"/>
  <c r="AI793" i="16"/>
  <c r="AF793" i="16"/>
  <c r="AJ793" i="16"/>
  <c r="AD793" i="16"/>
  <c r="AD785" i="16"/>
  <c r="AE785" i="16"/>
  <c r="AJ785" i="16"/>
  <c r="AF785" i="16"/>
  <c r="AC785" i="16"/>
  <c r="AI785" i="16"/>
  <c r="AH749" i="16"/>
  <c r="AF769" i="16"/>
  <c r="AJ849" i="16"/>
  <c r="AJ845" i="16"/>
  <c r="AC801" i="16"/>
  <c r="AJ909" i="16"/>
  <c r="AC865" i="16"/>
  <c r="AD1112" i="16"/>
  <c r="AH1112" i="16"/>
  <c r="AE1112" i="16"/>
  <c r="AI1112" i="16"/>
  <c r="AJ1112" i="16"/>
  <c r="AG1112" i="16"/>
  <c r="AC1112" i="16"/>
  <c r="AE1108" i="16"/>
  <c r="AI1108" i="16"/>
  <c r="AF1108" i="16"/>
  <c r="AJ1108" i="16"/>
  <c r="AC1108" i="16"/>
  <c r="AG1108" i="16"/>
  <c r="AH1108" i="16"/>
  <c r="AE1076" i="16"/>
  <c r="AI1076" i="16"/>
  <c r="AF1076" i="16"/>
  <c r="AJ1076" i="16"/>
  <c r="AC1076" i="16"/>
  <c r="AD1076" i="16"/>
  <c r="AH1076" i="16"/>
  <c r="AE1060" i="16"/>
  <c r="AI1060" i="16"/>
  <c r="AF1060" i="16"/>
  <c r="AJ1060" i="16"/>
  <c r="AG1060" i="16"/>
  <c r="AH1060" i="16"/>
  <c r="AC1060" i="16"/>
  <c r="AE1044" i="16"/>
  <c r="AI1044" i="16"/>
  <c r="AF1044" i="16"/>
  <c r="AC1044" i="16"/>
  <c r="AD1044" i="16"/>
  <c r="AG1044" i="16"/>
  <c r="AH1044" i="16"/>
  <c r="AC1036" i="16"/>
  <c r="AG1036" i="16"/>
  <c r="AD1036" i="16"/>
  <c r="AH1036" i="16"/>
  <c r="AE1036" i="16"/>
  <c r="AF1036" i="16"/>
  <c r="AI1036" i="16"/>
  <c r="AG1020" i="16"/>
  <c r="AC1020" i="16"/>
  <c r="AE1020" i="16"/>
  <c r="AI1020" i="16"/>
  <c r="AD1020" i="16"/>
  <c r="AH1020" i="16"/>
  <c r="AF1020" i="16"/>
  <c r="AJ1016" i="16"/>
  <c r="AC1016" i="16"/>
  <c r="AH1016" i="16"/>
  <c r="AD1016" i="16"/>
  <c r="AI1016" i="16"/>
  <c r="AE1016" i="16"/>
  <c r="AG1016" i="16"/>
  <c r="AF1012" i="16"/>
  <c r="AC1012" i="16"/>
  <c r="AH1012" i="16"/>
  <c r="AD1012" i="16"/>
  <c r="AI1012" i="16"/>
  <c r="AE1012" i="16"/>
  <c r="AG1012" i="16"/>
  <c r="AF1008" i="16"/>
  <c r="AJ1008" i="16"/>
  <c r="AH1008" i="16"/>
  <c r="AD1008" i="16"/>
  <c r="AI1008" i="16"/>
  <c r="AE1008" i="16"/>
  <c r="AG1008" i="16"/>
  <c r="AF1004" i="16"/>
  <c r="AJ1004" i="16"/>
  <c r="AC1004" i="16"/>
  <c r="AH1004" i="16"/>
  <c r="AI1004" i="16"/>
  <c r="AE1004" i="16"/>
  <c r="AG1004" i="16"/>
  <c r="AG1000" i="16"/>
  <c r="AC1000" i="16"/>
  <c r="AH1000" i="16"/>
  <c r="AF1000" i="16"/>
  <c r="AI1000" i="16"/>
  <c r="AE1000" i="16"/>
  <c r="AD1000" i="16"/>
  <c r="AF992" i="16"/>
  <c r="AJ992" i="16"/>
  <c r="AC992" i="16"/>
  <c r="AH992" i="16"/>
  <c r="AI992" i="16"/>
  <c r="AE992" i="16"/>
  <c r="AG992" i="16"/>
  <c r="AF988" i="16"/>
  <c r="AJ988" i="16"/>
  <c r="AH988" i="16"/>
  <c r="AD988" i="16"/>
  <c r="AI988" i="16"/>
  <c r="AE988" i="16"/>
  <c r="AG988" i="16"/>
  <c r="AF984" i="16"/>
  <c r="AC984" i="16"/>
  <c r="AH984" i="16"/>
  <c r="AD984" i="16"/>
  <c r="AI984" i="16"/>
  <c r="AE984" i="16"/>
  <c r="AG984" i="16"/>
  <c r="AF980" i="16"/>
  <c r="AJ980" i="16"/>
  <c r="AH980" i="16"/>
  <c r="AD980" i="16"/>
  <c r="AI980" i="16"/>
  <c r="AE980" i="16"/>
  <c r="AG980" i="16"/>
  <c r="AF976" i="16"/>
  <c r="AJ976" i="16"/>
  <c r="AC976" i="16"/>
  <c r="AH976" i="16"/>
  <c r="AI976" i="16"/>
  <c r="AE976" i="16"/>
  <c r="AG976" i="16"/>
  <c r="AF972" i="16"/>
  <c r="AJ972" i="16"/>
  <c r="AC972" i="16"/>
  <c r="AH972" i="16"/>
  <c r="AI972" i="16"/>
  <c r="AE972" i="16"/>
  <c r="AG972" i="16"/>
  <c r="AF968" i="16"/>
  <c r="AJ968" i="16"/>
  <c r="AC968" i="16"/>
  <c r="AH968" i="16"/>
  <c r="AI968" i="16"/>
  <c r="AE968" i="16"/>
  <c r="AG968" i="16"/>
  <c r="AD960" i="16"/>
  <c r="AH960" i="16"/>
  <c r="AG960" i="16"/>
  <c r="AI960" i="16"/>
  <c r="AF960" i="16"/>
  <c r="AD956" i="16"/>
  <c r="AH956" i="16"/>
  <c r="AG956" i="16"/>
  <c r="AI956" i="16"/>
  <c r="AF956" i="16"/>
  <c r="AH952" i="16"/>
  <c r="AG952" i="16"/>
  <c r="AC952" i="16"/>
  <c r="AI952" i="16"/>
  <c r="AF952" i="16"/>
  <c r="AD948" i="16"/>
  <c r="AH948" i="16"/>
  <c r="AG948" i="16"/>
  <c r="AC948" i="16"/>
  <c r="AI948" i="16"/>
  <c r="AF948" i="16"/>
  <c r="AH944" i="16"/>
  <c r="AG944" i="16"/>
  <c r="AC944" i="16"/>
  <c r="AI944" i="16"/>
  <c r="AF944" i="16"/>
  <c r="AH940" i="16"/>
  <c r="AG940" i="16"/>
  <c r="AC940" i="16"/>
  <c r="AI940" i="16"/>
  <c r="AF940" i="16"/>
  <c r="AH936" i="16"/>
  <c r="AG936" i="16"/>
  <c r="AC936" i="16"/>
  <c r="AI936" i="16"/>
  <c r="AF936" i="16"/>
  <c r="AD932" i="16"/>
  <c r="AH932" i="16"/>
  <c r="AG932" i="16"/>
  <c r="AI932" i="16"/>
  <c r="AF932" i="16"/>
  <c r="AD928" i="16"/>
  <c r="AH928" i="16"/>
  <c r="AG928" i="16"/>
  <c r="AI928" i="16"/>
  <c r="AF928" i="16"/>
  <c r="AD924" i="16"/>
  <c r="AH924" i="16"/>
  <c r="AE924" i="16"/>
  <c r="AJ924" i="16"/>
  <c r="AF924" i="16"/>
  <c r="AI924" i="16"/>
  <c r="AD920" i="16"/>
  <c r="AH920" i="16"/>
  <c r="AE920" i="16"/>
  <c r="AF920" i="16"/>
  <c r="AC920" i="16"/>
  <c r="AI920" i="16"/>
  <c r="AH916" i="16"/>
  <c r="AE916" i="16"/>
  <c r="AJ916" i="16"/>
  <c r="AF916" i="16"/>
  <c r="AC916" i="16"/>
  <c r="AI916" i="16"/>
  <c r="AH912" i="16"/>
  <c r="AE912" i="16"/>
  <c r="AJ912" i="16"/>
  <c r="AF912" i="16"/>
  <c r="AC912" i="16"/>
  <c r="AI912" i="16"/>
  <c r="AD908" i="16"/>
  <c r="AH908" i="16"/>
  <c r="AE908" i="16"/>
  <c r="AF908" i="16"/>
  <c r="AI908" i="16"/>
  <c r="AC908" i="16"/>
  <c r="AH904" i="16"/>
  <c r="AE904" i="16"/>
  <c r="AJ904" i="16"/>
  <c r="AF904" i="16"/>
  <c r="AI904" i="16"/>
  <c r="AC904" i="16"/>
  <c r="AD900" i="16"/>
  <c r="AH900" i="16"/>
  <c r="AE900" i="16"/>
  <c r="AJ900" i="16"/>
  <c r="AF900" i="16"/>
  <c r="AI900" i="16"/>
  <c r="AC900" i="16"/>
  <c r="AH892" i="16"/>
  <c r="AE892" i="16"/>
  <c r="AJ892" i="16"/>
  <c r="AF892" i="16"/>
  <c r="AC892" i="16"/>
  <c r="AG892" i="16"/>
  <c r="AI892" i="16"/>
  <c r="AH888" i="16"/>
  <c r="AE888" i="16"/>
  <c r="AJ888" i="16"/>
  <c r="AF888" i="16"/>
  <c r="AC888" i="16"/>
  <c r="AG888" i="16"/>
  <c r="AI888" i="16"/>
  <c r="AH880" i="16"/>
  <c r="AE880" i="16"/>
  <c r="AI880" i="16"/>
  <c r="AF880" i="16"/>
  <c r="AG880" i="16"/>
  <c r="AJ880" i="16"/>
  <c r="AC880" i="16"/>
  <c r="AH876" i="16"/>
  <c r="AE876" i="16"/>
  <c r="AI876" i="16"/>
  <c r="AF876" i="16"/>
  <c r="AG876" i="16"/>
  <c r="AJ876" i="16"/>
  <c r="AC876" i="16"/>
  <c r="AD872" i="16"/>
  <c r="AH872" i="16"/>
  <c r="AI872" i="16"/>
  <c r="AF872" i="16"/>
  <c r="AG872" i="16"/>
  <c r="AJ872" i="16"/>
  <c r="AC872" i="16"/>
  <c r="AD868" i="16"/>
  <c r="AH868" i="16"/>
  <c r="AE868" i="16"/>
  <c r="AI868" i="16"/>
  <c r="AF868" i="16"/>
  <c r="AJ868" i="16"/>
  <c r="AC868" i="16"/>
  <c r="AC864" i="16"/>
  <c r="AG864" i="16"/>
  <c r="AE864" i="16"/>
  <c r="AI864" i="16"/>
  <c r="AG860" i="16"/>
  <c r="AE860" i="16"/>
  <c r="AI860" i="16"/>
  <c r="AC856" i="16"/>
  <c r="AG856" i="16"/>
  <c r="AE856" i="16"/>
  <c r="AE852" i="16"/>
  <c r="AI852" i="16"/>
  <c r="AF852" i="16"/>
  <c r="AC852" i="16"/>
  <c r="AH852" i="16"/>
  <c r="AE848" i="16"/>
  <c r="AI848" i="16"/>
  <c r="AC848" i="16"/>
  <c r="AH848" i="16"/>
  <c r="AF848" i="16"/>
  <c r="AE844" i="16"/>
  <c r="AI844" i="16"/>
  <c r="AC844" i="16"/>
  <c r="AH844" i="16"/>
  <c r="AF844" i="16"/>
  <c r="AE840" i="16"/>
  <c r="AI840" i="16"/>
  <c r="AC840" i="16"/>
  <c r="AH840" i="16"/>
  <c r="AF840" i="16"/>
  <c r="AE836" i="16"/>
  <c r="AI836" i="16"/>
  <c r="AF836" i="16"/>
  <c r="AH836" i="16"/>
  <c r="AE832" i="16"/>
  <c r="AI832" i="16"/>
  <c r="AF832" i="16"/>
  <c r="AC832" i="16"/>
  <c r="AH832" i="16"/>
  <c r="AE828" i="16"/>
  <c r="AI828" i="16"/>
  <c r="AF828" i="16"/>
  <c r="AC828" i="16"/>
  <c r="AH828" i="16"/>
  <c r="AE824" i="16"/>
  <c r="AI824" i="16"/>
  <c r="AH824" i="16"/>
  <c r="AF824" i="16"/>
  <c r="AE820" i="16"/>
  <c r="AI820" i="16"/>
  <c r="AF820" i="16"/>
  <c r="AJ820" i="16"/>
  <c r="AH820" i="16"/>
  <c r="AE816" i="16"/>
  <c r="AI816" i="16"/>
  <c r="AF816" i="16"/>
  <c r="AJ816" i="16"/>
  <c r="AH816" i="16"/>
  <c r="AE808" i="16"/>
  <c r="AI808" i="16"/>
  <c r="AF808" i="16"/>
  <c r="AJ808" i="16"/>
  <c r="AD808" i="16"/>
  <c r="AH808" i="16"/>
  <c r="AD788" i="16"/>
  <c r="AH788" i="16"/>
  <c r="AE788" i="16"/>
  <c r="AJ788" i="16"/>
  <c r="AI788" i="16"/>
  <c r="AC788" i="16"/>
  <c r="AH784" i="16"/>
  <c r="AG784" i="16"/>
  <c r="AC784" i="16"/>
  <c r="AI784" i="16"/>
  <c r="AF784" i="16"/>
  <c r="AD772" i="16"/>
  <c r="AH772" i="16"/>
  <c r="AE772" i="16"/>
  <c r="AJ772" i="16"/>
  <c r="AF772" i="16"/>
  <c r="AI772" i="16"/>
  <c r="AE764" i="16"/>
  <c r="AI764" i="16"/>
  <c r="AC764" i="16"/>
  <c r="AG764" i="16"/>
  <c r="AG760" i="16"/>
  <c r="AE760" i="16"/>
  <c r="AI760" i="16"/>
  <c r="AG749" i="16"/>
  <c r="AF748" i="16"/>
  <c r="AI769" i="16"/>
  <c r="AE769" i="16"/>
  <c r="AJ768" i="16"/>
  <c r="AE768" i="16"/>
  <c r="AG765" i="16"/>
  <c r="AF764" i="16"/>
  <c r="AH760" i="16"/>
  <c r="AH864" i="16"/>
  <c r="AH860" i="16"/>
  <c r="AH858" i="16"/>
  <c r="AH857" i="16"/>
  <c r="AH856" i="16"/>
  <c r="AG854" i="16"/>
  <c r="AD848" i="16"/>
  <c r="AJ846" i="16"/>
  <c r="AG845" i="16"/>
  <c r="AJ842" i="16"/>
  <c r="AJ838" i="16"/>
  <c r="AG836" i="16"/>
  <c r="AG832" i="16"/>
  <c r="AJ829" i="16"/>
  <c r="AJ824" i="16"/>
  <c r="AG821" i="16"/>
  <c r="AG809" i="16"/>
  <c r="AG793" i="16"/>
  <c r="AE784" i="16"/>
  <c r="AG772" i="16"/>
  <c r="AE960" i="16"/>
  <c r="AJ954" i="16"/>
  <c r="AE952" i="16"/>
  <c r="AJ946" i="16"/>
  <c r="AE944" i="16"/>
  <c r="AG941" i="16"/>
  <c r="AJ938" i="16"/>
  <c r="AE936" i="16"/>
  <c r="AG933" i="16"/>
  <c r="AJ930" i="16"/>
  <c r="AE928" i="16"/>
  <c r="AG924" i="16"/>
  <c r="AJ921" i="16"/>
  <c r="AG916" i="16"/>
  <c r="AE909" i="16"/>
  <c r="AC877" i="16"/>
  <c r="AD1005" i="16"/>
  <c r="AD1113" i="16"/>
  <c r="AH1113" i="16"/>
  <c r="AE1113" i="16"/>
  <c r="AI1113" i="16"/>
  <c r="AJ1113" i="16"/>
  <c r="AG1113" i="16"/>
  <c r="AC1113" i="16"/>
  <c r="AC1101" i="16"/>
  <c r="AG1101" i="16"/>
  <c r="AH1101" i="16"/>
  <c r="AE1101" i="16"/>
  <c r="AJ1101" i="16"/>
  <c r="AF1101" i="16"/>
  <c r="AI1101" i="16"/>
  <c r="AD1081" i="16"/>
  <c r="AH1081" i="16"/>
  <c r="AE1081" i="16"/>
  <c r="AI1081" i="16"/>
  <c r="AC1081" i="16"/>
  <c r="AF1081" i="16"/>
  <c r="AG1081" i="16"/>
  <c r="AH1073" i="16"/>
  <c r="AE1073" i="16"/>
  <c r="AI1073" i="16"/>
  <c r="AF1073" i="16"/>
  <c r="AG1073" i="16"/>
  <c r="AJ1073" i="16"/>
  <c r="AC1073" i="16"/>
  <c r="AC1053" i="16"/>
  <c r="AG1053" i="16"/>
  <c r="AD1053" i="16"/>
  <c r="AH1053" i="16"/>
  <c r="AI1053" i="16"/>
  <c r="AE1053" i="16"/>
  <c r="AF1053" i="16"/>
  <c r="AF1041" i="16"/>
  <c r="AC1041" i="16"/>
  <c r="AG1041" i="16"/>
  <c r="AD1041" i="16"/>
  <c r="AE1041" i="16"/>
  <c r="AH1041" i="16"/>
  <c r="AI1041" i="16"/>
  <c r="AG1033" i="16"/>
  <c r="AC1033" i="16"/>
  <c r="AH1033" i="16"/>
  <c r="AF1033" i="16"/>
  <c r="AE1033" i="16"/>
  <c r="AD1033" i="16"/>
  <c r="AF1025" i="16"/>
  <c r="AC1025" i="16"/>
  <c r="AH1025" i="16"/>
  <c r="AD1025" i="16"/>
  <c r="AI1025" i="16"/>
  <c r="AE1025" i="16"/>
  <c r="AF1017" i="16"/>
  <c r="AE1017" i="16"/>
  <c r="AG1017" i="16"/>
  <c r="AH1017" i="16"/>
  <c r="AI1017" i="16"/>
  <c r="AC1017" i="16"/>
  <c r="AD1017" i="16"/>
  <c r="AF1009" i="16"/>
  <c r="AE1009" i="16"/>
  <c r="AG1009" i="16"/>
  <c r="AH1009" i="16"/>
  <c r="AI1009" i="16"/>
  <c r="AC1009" i="16"/>
  <c r="AD1009" i="16"/>
  <c r="AF993" i="16"/>
  <c r="AJ993" i="16"/>
  <c r="AE993" i="16"/>
  <c r="AG993" i="16"/>
  <c r="AH993" i="16"/>
  <c r="AI993" i="16"/>
  <c r="AC993" i="16"/>
  <c r="AF985" i="16"/>
  <c r="AJ985" i="16"/>
  <c r="AE985" i="16"/>
  <c r="AG985" i="16"/>
  <c r="AH985" i="16"/>
  <c r="AI985" i="16"/>
  <c r="AD985" i="16"/>
  <c r="AF977" i="16"/>
  <c r="AJ977" i="16"/>
  <c r="AE977" i="16"/>
  <c r="AG977" i="16"/>
  <c r="AH977" i="16"/>
  <c r="AI977" i="16"/>
  <c r="AC977" i="16"/>
  <c r="AF969" i="16"/>
  <c r="AJ969" i="16"/>
  <c r="AE969" i="16"/>
  <c r="AH969" i="16"/>
  <c r="AI969" i="16"/>
  <c r="AC969" i="16"/>
  <c r="AD969" i="16"/>
  <c r="AH957" i="16"/>
  <c r="AE957" i="16"/>
  <c r="AJ957" i="16"/>
  <c r="AF957" i="16"/>
  <c r="AC957" i="16"/>
  <c r="AI957" i="16"/>
  <c r="AH949" i="16"/>
  <c r="AE949" i="16"/>
  <c r="AJ949" i="16"/>
  <c r="AF949" i="16"/>
  <c r="AC949" i="16"/>
  <c r="AI949" i="16"/>
  <c r="AH945" i="16"/>
  <c r="AE945" i="16"/>
  <c r="AJ945" i="16"/>
  <c r="AF945" i="16"/>
  <c r="AC945" i="16"/>
  <c r="AI945" i="16"/>
  <c r="AH937" i="16"/>
  <c r="AE937" i="16"/>
  <c r="AJ937" i="16"/>
  <c r="AF937" i="16"/>
  <c r="AC937" i="16"/>
  <c r="AI937" i="16"/>
  <c r="AD929" i="16"/>
  <c r="AE929" i="16"/>
  <c r="AJ929" i="16"/>
  <c r="AF929" i="16"/>
  <c r="AC929" i="16"/>
  <c r="AI929" i="16"/>
  <c r="AH917" i="16"/>
  <c r="AG917" i="16"/>
  <c r="AC917" i="16"/>
  <c r="AI917" i="16"/>
  <c r="AF917" i="16"/>
  <c r="AD913" i="16"/>
  <c r="AH913" i="16"/>
  <c r="AC913" i="16"/>
  <c r="AI913" i="16"/>
  <c r="AF913" i="16"/>
  <c r="AH905" i="16"/>
  <c r="AG905" i="16"/>
  <c r="AC905" i="16"/>
  <c r="AI905" i="16"/>
  <c r="AF905" i="16"/>
  <c r="AH893" i="16"/>
  <c r="AG893" i="16"/>
  <c r="AC893" i="16"/>
  <c r="AI893" i="16"/>
  <c r="AF893" i="16"/>
  <c r="AJ893" i="16"/>
  <c r="AH881" i="16"/>
  <c r="AE881" i="16"/>
  <c r="AI881" i="16"/>
  <c r="AF881" i="16"/>
  <c r="AG881" i="16"/>
  <c r="AJ881" i="16"/>
  <c r="AD873" i="16"/>
  <c r="AH873" i="16"/>
  <c r="AE873" i="16"/>
  <c r="AF873" i="16"/>
  <c r="AG873" i="16"/>
  <c r="AJ873" i="16"/>
  <c r="AH869" i="16"/>
  <c r="AE869" i="16"/>
  <c r="AI869" i="16"/>
  <c r="AF869" i="16"/>
  <c r="AG869" i="16"/>
  <c r="AJ869" i="16"/>
  <c r="AE849" i="16"/>
  <c r="AI849" i="16"/>
  <c r="AF849" i="16"/>
  <c r="AH849" i="16"/>
  <c r="AE841" i="16"/>
  <c r="AF841" i="16"/>
  <c r="AC841" i="16"/>
  <c r="AH841" i="16"/>
  <c r="AE833" i="16"/>
  <c r="AI833" i="16"/>
  <c r="AC833" i="16"/>
  <c r="AH833" i="16"/>
  <c r="AF833" i="16"/>
  <c r="AI817" i="16"/>
  <c r="AF817" i="16"/>
  <c r="AJ817" i="16"/>
  <c r="AD817" i="16"/>
  <c r="AH817" i="16"/>
  <c r="AE813" i="16"/>
  <c r="AI813" i="16"/>
  <c r="AF813" i="16"/>
  <c r="AJ813" i="16"/>
  <c r="AH813" i="16"/>
  <c r="AE805" i="16"/>
  <c r="AI805" i="16"/>
  <c r="AF805" i="16"/>
  <c r="AJ805" i="16"/>
  <c r="AD805" i="16"/>
  <c r="AH805" i="16"/>
  <c r="AD789" i="16"/>
  <c r="AH789" i="16"/>
  <c r="AG789" i="16"/>
  <c r="AC789" i="16"/>
  <c r="AF789" i="16"/>
  <c r="AD749" i="16"/>
  <c r="AJ769" i="16"/>
  <c r="AH765" i="16"/>
  <c r="AD765" i="16"/>
  <c r="AJ857" i="16"/>
  <c r="AG853" i="16"/>
  <c r="AJ841" i="16"/>
  <c r="AI1033" i="16"/>
  <c r="AG1116" i="16"/>
  <c r="AD1116" i="16"/>
  <c r="AH1116" i="16"/>
  <c r="AE1116" i="16"/>
  <c r="AF1116" i="16"/>
  <c r="AJ1116" i="16"/>
  <c r="AF1104" i="16"/>
  <c r="AJ1104" i="16"/>
  <c r="AC1104" i="16"/>
  <c r="AG1104" i="16"/>
  <c r="AH1104" i="16"/>
  <c r="AI1104" i="16"/>
  <c r="AE1104" i="16"/>
  <c r="AD1080" i="16"/>
  <c r="AH1080" i="16"/>
  <c r="AE1080" i="16"/>
  <c r="AJ1080" i="16"/>
  <c r="AC1080" i="16"/>
  <c r="AF1080" i="16"/>
  <c r="AG1080" i="16"/>
  <c r="AD1072" i="16"/>
  <c r="AH1072" i="16"/>
  <c r="AE1072" i="16"/>
  <c r="AI1072" i="16"/>
  <c r="AF1072" i="16"/>
  <c r="AC1072" i="16"/>
  <c r="AJ1072" i="16"/>
  <c r="AF1056" i="16"/>
  <c r="AJ1056" i="16"/>
  <c r="AC1056" i="16"/>
  <c r="AG1056" i="16"/>
  <c r="AH1056" i="16"/>
  <c r="AI1056" i="16"/>
  <c r="AE1056" i="16"/>
  <c r="AC1052" i="16"/>
  <c r="AG1052" i="16"/>
  <c r="AH1052" i="16"/>
  <c r="AI1052" i="16"/>
  <c r="AJ1052" i="16"/>
  <c r="AE1052" i="16"/>
  <c r="AF1052" i="16"/>
  <c r="AH1048" i="16"/>
  <c r="AE1048" i="16"/>
  <c r="AI1048" i="16"/>
  <c r="AJ1048" i="16"/>
  <c r="AC1048" i="16"/>
  <c r="AF1048" i="16"/>
  <c r="AG1048" i="16"/>
  <c r="AF1040" i="16"/>
  <c r="AC1040" i="16"/>
  <c r="AG1040" i="16"/>
  <c r="AD1040" i="16"/>
  <c r="AE1040" i="16"/>
  <c r="AH1040" i="16"/>
  <c r="AI1040" i="16"/>
  <c r="AF1028" i="16"/>
  <c r="AJ1028" i="16"/>
  <c r="AE1028" i="16"/>
  <c r="AG1028" i="16"/>
  <c r="AH1028" i="16"/>
  <c r="AI1028" i="16"/>
  <c r="AD1028" i="16"/>
  <c r="AF1024" i="16"/>
  <c r="AJ1024" i="16"/>
  <c r="AE1024" i="16"/>
  <c r="AG1024" i="16"/>
  <c r="AH1024" i="16"/>
  <c r="AI1024" i="16"/>
  <c r="AC1024" i="16"/>
  <c r="AC1115" i="16"/>
  <c r="AG1115" i="16"/>
  <c r="AD1115" i="16"/>
  <c r="AH1115" i="16"/>
  <c r="AI1115" i="16"/>
  <c r="AF1115" i="16"/>
  <c r="AJ1115" i="16"/>
  <c r="AD1111" i="16"/>
  <c r="AH1111" i="16"/>
  <c r="AE1111" i="16"/>
  <c r="AI1111" i="16"/>
  <c r="AJ1111" i="16"/>
  <c r="AC1111" i="16"/>
  <c r="AG1111" i="16"/>
  <c r="AE1107" i="16"/>
  <c r="AI1107" i="16"/>
  <c r="AF1107" i="16"/>
  <c r="AJ1107" i="16"/>
  <c r="AC1107" i="16"/>
  <c r="AG1107" i="16"/>
  <c r="AH1107" i="16"/>
  <c r="AF1103" i="16"/>
  <c r="AJ1103" i="16"/>
  <c r="AC1103" i="16"/>
  <c r="AG1103" i="16"/>
  <c r="AE1103" i="16"/>
  <c r="AH1103" i="16"/>
  <c r="AI1103" i="16"/>
  <c r="AE1099" i="16"/>
  <c r="AI1099" i="16"/>
  <c r="AF1099" i="16"/>
  <c r="AJ1099" i="16"/>
  <c r="AG1099" i="16"/>
  <c r="AC1099" i="16"/>
  <c r="AD1099" i="16"/>
  <c r="AC1095" i="16"/>
  <c r="AG1095" i="16"/>
  <c r="AD1095" i="16"/>
  <c r="AI1095" i="16"/>
  <c r="AF1095" i="16"/>
  <c r="AJ1095" i="16"/>
  <c r="AE1095" i="16"/>
  <c r="AD1079" i="16"/>
  <c r="AH1079" i="16"/>
  <c r="AE1079" i="16"/>
  <c r="AI1079" i="16"/>
  <c r="AJ1079" i="16"/>
  <c r="AG1079" i="16"/>
  <c r="AF1079" i="16"/>
  <c r="AD1063" i="16"/>
  <c r="AE1063" i="16"/>
  <c r="AI1063" i="16"/>
  <c r="AF1063" i="16"/>
  <c r="AG1063" i="16"/>
  <c r="AJ1063" i="16"/>
  <c r="AC1063" i="16"/>
  <c r="AE1059" i="16"/>
  <c r="AI1059" i="16"/>
  <c r="AF1059" i="16"/>
  <c r="AJ1059" i="16"/>
  <c r="AG1059" i="16"/>
  <c r="AH1059" i="16"/>
  <c r="AC1059" i="16"/>
  <c r="AF1055" i="16"/>
  <c r="AJ1055" i="16"/>
  <c r="AC1055" i="16"/>
  <c r="AG1055" i="16"/>
  <c r="AH1055" i="16"/>
  <c r="AI1055" i="16"/>
  <c r="AE1055" i="16"/>
  <c r="AC1051" i="16"/>
  <c r="AG1051" i="16"/>
  <c r="AH1051" i="16"/>
  <c r="AI1051" i="16"/>
  <c r="AJ1051" i="16"/>
  <c r="AE1051" i="16"/>
  <c r="AF1051" i="16"/>
  <c r="AH1047" i="16"/>
  <c r="AE1047" i="16"/>
  <c r="AI1047" i="16"/>
  <c r="AJ1047" i="16"/>
  <c r="AC1047" i="16"/>
  <c r="AG1047" i="16"/>
  <c r="AF1047" i="16"/>
  <c r="AE1043" i="16"/>
  <c r="AI1043" i="16"/>
  <c r="AF1043" i="16"/>
  <c r="AC1043" i="16"/>
  <c r="AD1043" i="16"/>
  <c r="AG1043" i="16"/>
  <c r="AH1043" i="16"/>
  <c r="AF1039" i="16"/>
  <c r="AC1039" i="16"/>
  <c r="AG1039" i="16"/>
  <c r="AD1039" i="16"/>
  <c r="AE1039" i="16"/>
  <c r="AI1039" i="16"/>
  <c r="AH1039" i="16"/>
  <c r="AC1035" i="16"/>
  <c r="AG1035" i="16"/>
  <c r="AD1035" i="16"/>
  <c r="AH1035" i="16"/>
  <c r="AE1035" i="16"/>
  <c r="AF1035" i="16"/>
  <c r="AI1035" i="16"/>
  <c r="AF1031" i="16"/>
  <c r="AJ1031" i="16"/>
  <c r="AE1031" i="16"/>
  <c r="AG1031" i="16"/>
  <c r="AC1031" i="16"/>
  <c r="AD1031" i="16"/>
  <c r="AF1027" i="16"/>
  <c r="AC1027" i="16"/>
  <c r="AH1027" i="16"/>
  <c r="AD1027" i="16"/>
  <c r="AI1027" i="16"/>
  <c r="AE1027" i="16"/>
  <c r="AG1027" i="16"/>
  <c r="AF1023" i="16"/>
  <c r="AJ1023" i="16"/>
  <c r="AC1023" i="16"/>
  <c r="AH1023" i="16"/>
  <c r="AI1023" i="16"/>
  <c r="AE1023" i="16"/>
  <c r="AG1023" i="16"/>
  <c r="AF1015" i="16"/>
  <c r="AJ1015" i="16"/>
  <c r="AE1015" i="16"/>
  <c r="AG1015" i="16"/>
  <c r="AD1015" i="16"/>
  <c r="AH1015" i="16"/>
  <c r="AF1011" i="16"/>
  <c r="AJ1011" i="16"/>
  <c r="AE1011" i="16"/>
  <c r="AG1011" i="16"/>
  <c r="AC1011" i="16"/>
  <c r="AH1011" i="16"/>
  <c r="AI1011" i="16"/>
  <c r="AF1007" i="16"/>
  <c r="AE1007" i="16"/>
  <c r="AG1007" i="16"/>
  <c r="AC1007" i="16"/>
  <c r="AD1007" i="16"/>
  <c r="AH1007" i="16"/>
  <c r="AI1007" i="16"/>
  <c r="AF1003" i="16"/>
  <c r="AJ1003" i="16"/>
  <c r="AE1003" i="16"/>
  <c r="AG1003" i="16"/>
  <c r="AC1003" i="16"/>
  <c r="AH1003" i="16"/>
  <c r="AI1003" i="16"/>
  <c r="AF995" i="16"/>
  <c r="AJ995" i="16"/>
  <c r="AE995" i="16"/>
  <c r="AG995" i="16"/>
  <c r="AD995" i="16"/>
  <c r="AH995" i="16"/>
  <c r="AI995" i="16"/>
  <c r="AF991" i="16"/>
  <c r="AJ991" i="16"/>
  <c r="AE991" i="16"/>
  <c r="AG991" i="16"/>
  <c r="AD991" i="16"/>
  <c r="AH991" i="16"/>
  <c r="AF987" i="16"/>
  <c r="AE987" i="16"/>
  <c r="AG987" i="16"/>
  <c r="AC987" i="16"/>
  <c r="AD987" i="16"/>
  <c r="AH987" i="16"/>
  <c r="AI987" i="16"/>
  <c r="AF983" i="16"/>
  <c r="AJ983" i="16"/>
  <c r="AE983" i="16"/>
  <c r="AG983" i="16"/>
  <c r="AC983" i="16"/>
  <c r="AH983" i="16"/>
  <c r="AI983" i="16"/>
  <c r="AF979" i="16"/>
  <c r="AE979" i="16"/>
  <c r="AG979" i="16"/>
  <c r="AC979" i="16"/>
  <c r="AD979" i="16"/>
  <c r="AH979" i="16"/>
  <c r="AI979" i="16"/>
  <c r="AF975" i="16"/>
  <c r="AJ975" i="16"/>
  <c r="AE975" i="16"/>
  <c r="AG975" i="16"/>
  <c r="AC975" i="16"/>
  <c r="AH975" i="16"/>
  <c r="AF971" i="16"/>
  <c r="AJ971" i="16"/>
  <c r="AG971" i="16"/>
  <c r="AC971" i="16"/>
  <c r="AD971" i="16"/>
  <c r="AH971" i="16"/>
  <c r="AI971" i="16"/>
  <c r="AF967" i="16"/>
  <c r="AJ967" i="16"/>
  <c r="AE967" i="16"/>
  <c r="AG967" i="16"/>
  <c r="AC967" i="16"/>
  <c r="AH967" i="16"/>
  <c r="AI967" i="16"/>
  <c r="AD963" i="16"/>
  <c r="AH963" i="16"/>
  <c r="AE963" i="16"/>
  <c r="AJ963" i="16"/>
  <c r="AF963" i="16"/>
  <c r="AI963" i="16"/>
  <c r="AD959" i="16"/>
  <c r="AH959" i="16"/>
  <c r="AE959" i="16"/>
  <c r="AF959" i="16"/>
  <c r="AI959" i="16"/>
  <c r="AC959" i="16"/>
  <c r="AD955" i="16"/>
  <c r="AH955" i="16"/>
  <c r="AE955" i="16"/>
  <c r="AF955" i="16"/>
  <c r="AI955" i="16"/>
  <c r="AC955" i="16"/>
  <c r="AH951" i="16"/>
  <c r="AE951" i="16"/>
  <c r="AJ951" i="16"/>
  <c r="AF951" i="16"/>
  <c r="AI951" i="16"/>
  <c r="AC951" i="16"/>
  <c r="AH947" i="16"/>
  <c r="AE947" i="16"/>
  <c r="AJ947" i="16"/>
  <c r="AF947" i="16"/>
  <c r="AI947" i="16"/>
  <c r="AC947" i="16"/>
  <c r="AH943" i="16"/>
  <c r="AE943" i="16"/>
  <c r="AJ943" i="16"/>
  <c r="AF943" i="16"/>
  <c r="AI943" i="16"/>
  <c r="AC943" i="16"/>
  <c r="AH939" i="16"/>
  <c r="AE939" i="16"/>
  <c r="AJ939" i="16"/>
  <c r="AF939" i="16"/>
  <c r="AI939" i="16"/>
  <c r="AC939" i="16"/>
  <c r="AH935" i="16"/>
  <c r="AE935" i="16"/>
  <c r="AJ935" i="16"/>
  <c r="AF935" i="16"/>
  <c r="AI935" i="16"/>
  <c r="AC935" i="16"/>
  <c r="AD931" i="16"/>
  <c r="AH931" i="16"/>
  <c r="AE931" i="16"/>
  <c r="AF931" i="16"/>
  <c r="AI931" i="16"/>
  <c r="AC931" i="16"/>
  <c r="AD927" i="16"/>
  <c r="AH927" i="16"/>
  <c r="AE927" i="16"/>
  <c r="AJ927" i="16"/>
  <c r="AF927" i="16"/>
  <c r="AC927" i="16"/>
  <c r="AH923" i="16"/>
  <c r="AG923" i="16"/>
  <c r="AC923" i="16"/>
  <c r="AI923" i="16"/>
  <c r="AF923" i="16"/>
  <c r="AH919" i="16"/>
  <c r="AG919" i="16"/>
  <c r="AC919" i="16"/>
  <c r="AI919" i="16"/>
  <c r="AF919" i="16"/>
  <c r="AH915" i="16"/>
  <c r="AG915" i="16"/>
  <c r="AC915" i="16"/>
  <c r="AI915" i="16"/>
  <c r="AF915" i="16"/>
  <c r="AH907" i="16"/>
  <c r="AG907" i="16"/>
  <c r="AC907" i="16"/>
  <c r="AI907" i="16"/>
  <c r="AF907" i="16"/>
  <c r="AH903" i="16"/>
  <c r="AG903" i="16"/>
  <c r="AC903" i="16"/>
  <c r="AI903" i="16"/>
  <c r="AF903" i="16"/>
  <c r="AJ903" i="16"/>
  <c r="AH899" i="16"/>
  <c r="AG899" i="16"/>
  <c r="AC899" i="16"/>
  <c r="AI899" i="16"/>
  <c r="AF899" i="16"/>
  <c r="AJ899" i="16"/>
  <c r="AD895" i="16"/>
  <c r="AH895" i="16"/>
  <c r="AG895" i="16"/>
  <c r="AI895" i="16"/>
  <c r="AE895" i="16"/>
  <c r="AF895" i="16"/>
  <c r="AH891" i="16"/>
  <c r="AG891" i="16"/>
  <c r="AC891" i="16"/>
  <c r="AI891" i="16"/>
  <c r="AE891" i="16"/>
  <c r="AF891" i="16"/>
  <c r="AD887" i="16"/>
  <c r="AH887" i="16"/>
  <c r="AE887" i="16"/>
  <c r="AI887" i="16"/>
  <c r="AF887" i="16"/>
  <c r="AJ887" i="16"/>
  <c r="AD883" i="16"/>
  <c r="AH883" i="16"/>
  <c r="AE883" i="16"/>
  <c r="AI883" i="16"/>
  <c r="AF883" i="16"/>
  <c r="AG883" i="16"/>
  <c r="AJ883" i="16"/>
  <c r="AH879" i="16"/>
  <c r="AE879" i="16"/>
  <c r="AI879" i="16"/>
  <c r="AF879" i="16"/>
  <c r="AG879" i="16"/>
  <c r="AJ879" i="16"/>
  <c r="AC879" i="16"/>
  <c r="AH875" i="16"/>
  <c r="AE875" i="16"/>
  <c r="AI875" i="16"/>
  <c r="AF875" i="16"/>
  <c r="AG875" i="16"/>
  <c r="AJ875" i="16"/>
  <c r="AC875" i="16"/>
  <c r="AD871" i="16"/>
  <c r="AH871" i="16"/>
  <c r="AE871" i="16"/>
  <c r="AF871" i="16"/>
  <c r="AG871" i="16"/>
  <c r="AJ871" i="16"/>
  <c r="AC871" i="16"/>
  <c r="AH867" i="16"/>
  <c r="AE867" i="16"/>
  <c r="AI867" i="16"/>
  <c r="AF867" i="16"/>
  <c r="AG867" i="16"/>
  <c r="AJ867" i="16"/>
  <c r="AC867" i="16"/>
  <c r="AC863" i="16"/>
  <c r="AG863" i="16"/>
  <c r="AE863" i="16"/>
  <c r="AI863" i="16"/>
  <c r="AC859" i="16"/>
  <c r="AG859" i="16"/>
  <c r="AE859" i="16"/>
  <c r="AI859" i="16"/>
  <c r="AC855" i="16"/>
  <c r="AG855" i="16"/>
  <c r="AI855" i="16"/>
  <c r="AE851" i="16"/>
  <c r="AI851" i="16"/>
  <c r="AC851" i="16"/>
  <c r="AH851" i="16"/>
  <c r="AF851" i="16"/>
  <c r="AE847" i="16"/>
  <c r="AI847" i="16"/>
  <c r="AF847" i="16"/>
  <c r="AC847" i="16"/>
  <c r="AH847" i="16"/>
  <c r="AE843" i="16"/>
  <c r="AF843" i="16"/>
  <c r="AC843" i="16"/>
  <c r="AH843" i="16"/>
  <c r="AE839" i="16"/>
  <c r="AI839" i="16"/>
  <c r="AF839" i="16"/>
  <c r="AC839" i="16"/>
  <c r="AH839" i="16"/>
  <c r="AE835" i="16"/>
  <c r="AI835" i="16"/>
  <c r="AC835" i="16"/>
  <c r="AH835" i="16"/>
  <c r="AF835" i="16"/>
  <c r="AE831" i="16"/>
  <c r="AC831" i="16"/>
  <c r="AH831" i="16"/>
  <c r="AF831" i="16"/>
  <c r="AE827" i="16"/>
  <c r="AI827" i="16"/>
  <c r="AC827" i="16"/>
  <c r="AH827" i="16"/>
  <c r="AF827" i="16"/>
  <c r="AE823" i="16"/>
  <c r="AI823" i="16"/>
  <c r="AF823" i="16"/>
  <c r="AD823" i="16"/>
  <c r="AH823" i="16"/>
  <c r="AE819" i="16"/>
  <c r="AI819" i="16"/>
  <c r="AF819" i="16"/>
  <c r="AJ819" i="16"/>
  <c r="AH819" i="16"/>
  <c r="AE815" i="16"/>
  <c r="AI815" i="16"/>
  <c r="AF815" i="16"/>
  <c r="AJ815" i="16"/>
  <c r="AH815" i="16"/>
  <c r="AE807" i="16"/>
  <c r="AF807" i="16"/>
  <c r="AJ807" i="16"/>
  <c r="AD807" i="16"/>
  <c r="AH807" i="16"/>
  <c r="AE803" i="16"/>
  <c r="AI803" i="16"/>
  <c r="AF803" i="16"/>
  <c r="AJ803" i="16"/>
  <c r="AD803" i="16"/>
  <c r="AE791" i="16"/>
  <c r="AI791" i="16"/>
  <c r="AF791" i="16"/>
  <c r="AJ791" i="16"/>
  <c r="AD791" i="16"/>
  <c r="AH791" i="16"/>
  <c r="AD787" i="16"/>
  <c r="AH787" i="16"/>
  <c r="AC787" i="16"/>
  <c r="AI787" i="16"/>
  <c r="AF787" i="16"/>
  <c r="AD783" i="16"/>
  <c r="AH783" i="16"/>
  <c r="AE783" i="16"/>
  <c r="AJ783" i="16"/>
  <c r="AF783" i="16"/>
  <c r="AI783" i="16"/>
  <c r="AC783" i="16"/>
  <c r="AD771" i="16"/>
  <c r="AH771" i="16"/>
  <c r="AG771" i="16"/>
  <c r="AC771" i="16"/>
  <c r="AI771" i="16"/>
  <c r="AF771" i="16"/>
  <c r="AE763" i="16"/>
  <c r="AJ763" i="16"/>
  <c r="AC763" i="16"/>
  <c r="AG763" i="16"/>
  <c r="AJ759" i="16"/>
  <c r="AF759" i="16"/>
  <c r="AJ758" i="16"/>
  <c r="AE758" i="16"/>
  <c r="AJ749" i="16"/>
  <c r="AF749" i="16"/>
  <c r="AI748" i="16"/>
  <c r="AE748" i="16"/>
  <c r="AG770" i="16"/>
  <c r="AC770" i="16"/>
  <c r="AH769" i="16"/>
  <c r="AD769" i="16"/>
  <c r="AH768" i="16"/>
  <c r="AD768" i="16"/>
  <c r="AI767" i="16"/>
  <c r="AD767" i="16"/>
  <c r="AJ765" i="16"/>
  <c r="AF765" i="16"/>
  <c r="AD764" i="16"/>
  <c r="AD763" i="16"/>
  <c r="AF760" i="16"/>
  <c r="AF864" i="16"/>
  <c r="AF863" i="16"/>
  <c r="AF860" i="16"/>
  <c r="AF859" i="16"/>
  <c r="AF857" i="16"/>
  <c r="AF856" i="16"/>
  <c r="AF855" i="16"/>
  <c r="AJ852" i="16"/>
  <c r="AG851" i="16"/>
  <c r="AD849" i="16"/>
  <c r="AJ847" i="16"/>
  <c r="AJ843" i="16"/>
  <c r="AD841" i="16"/>
  <c r="AJ839" i="16"/>
  <c r="AD836" i="16"/>
  <c r="AG833" i="16"/>
  <c r="AG829" i="16"/>
  <c r="AD828" i="16"/>
  <c r="AG824" i="16"/>
  <c r="AC823" i="16"/>
  <c r="AC821" i="16"/>
  <c r="AC819" i="16"/>
  <c r="AC817" i="16"/>
  <c r="AC815" i="16"/>
  <c r="AC813" i="16"/>
  <c r="AC809" i="16"/>
  <c r="AC807" i="16"/>
  <c r="AC805" i="16"/>
  <c r="AC793" i="16"/>
  <c r="AJ789" i="16"/>
  <c r="AE787" i="16"/>
  <c r="AG959" i="16"/>
  <c r="AJ956" i="16"/>
  <c r="AG951" i="16"/>
  <c r="AJ948" i="16"/>
  <c r="AG943" i="16"/>
  <c r="AJ940" i="16"/>
  <c r="AG935" i="16"/>
  <c r="AJ932" i="16"/>
  <c r="AG927" i="16"/>
  <c r="AJ923" i="16"/>
  <c r="AE921" i="16"/>
  <c r="AJ915" i="16"/>
  <c r="AE913" i="16"/>
  <c r="AG908" i="16"/>
  <c r="AJ905" i="16"/>
  <c r="AJ901" i="16"/>
  <c r="AE889" i="16"/>
  <c r="AC873" i="16"/>
  <c r="AI997" i="16"/>
  <c r="AI1031" i="16"/>
  <c r="AC1093" i="16"/>
  <c r="AC1114" i="16"/>
  <c r="AG1114" i="16"/>
  <c r="AD1114" i="16"/>
  <c r="AH1114" i="16"/>
  <c r="AJ1114" i="16"/>
  <c r="AE1114" i="16"/>
  <c r="AF1114" i="16"/>
  <c r="AD1110" i="16"/>
  <c r="AH1110" i="16"/>
  <c r="AE1110" i="16"/>
  <c r="AJ1110" i="16"/>
  <c r="AC1110" i="16"/>
  <c r="AF1110" i="16"/>
  <c r="AG1110" i="16"/>
  <c r="AE1106" i="16"/>
  <c r="AI1106" i="16"/>
  <c r="AF1106" i="16"/>
  <c r="AJ1106" i="16"/>
  <c r="AC1106" i="16"/>
  <c r="AD1106" i="16"/>
  <c r="AF1102" i="16"/>
  <c r="AJ1102" i="16"/>
  <c r="AC1102" i="16"/>
  <c r="AG1102" i="16"/>
  <c r="AE1102" i="16"/>
  <c r="AH1102" i="16"/>
  <c r="AI1102" i="16"/>
  <c r="AE1098" i="16"/>
  <c r="AI1098" i="16"/>
  <c r="AF1098" i="16"/>
  <c r="AJ1098" i="16"/>
  <c r="AG1098" i="16"/>
  <c r="AH1098" i="16"/>
  <c r="AC1098" i="16"/>
  <c r="AF1086" i="16"/>
  <c r="AC1086" i="16"/>
  <c r="AG1086" i="16"/>
  <c r="AH1086" i="16"/>
  <c r="AJ1086" i="16"/>
  <c r="AD1086" i="16"/>
  <c r="AE1086" i="16"/>
  <c r="AD1078" i="16"/>
  <c r="AH1078" i="16"/>
  <c r="AE1078" i="16"/>
  <c r="AJ1078" i="16"/>
  <c r="AC1078" i="16"/>
  <c r="AF1078" i="16"/>
  <c r="AG1078" i="16"/>
  <c r="AC1074" i="16"/>
  <c r="AG1074" i="16"/>
  <c r="AD1074" i="16"/>
  <c r="AE1074" i="16"/>
  <c r="AF1074" i="16"/>
  <c r="AI1074" i="16"/>
  <c r="AJ1074" i="16"/>
  <c r="AD1062" i="16"/>
  <c r="AH1062" i="16"/>
  <c r="AE1062" i="16"/>
  <c r="AI1062" i="16"/>
  <c r="AF1062" i="16"/>
  <c r="AG1062" i="16"/>
  <c r="AC1062" i="16"/>
  <c r="AE1058" i="16"/>
  <c r="AI1058" i="16"/>
  <c r="AF1058" i="16"/>
  <c r="AJ1058" i="16"/>
  <c r="AG1058" i="16"/>
  <c r="AH1058" i="16"/>
  <c r="AC1058" i="16"/>
  <c r="AF1054" i="16"/>
  <c r="AJ1054" i="16"/>
  <c r="AC1054" i="16"/>
  <c r="AG1054" i="16"/>
  <c r="AH1054" i="16"/>
  <c r="AI1054" i="16"/>
  <c r="AE1054" i="16"/>
  <c r="AC1050" i="16"/>
  <c r="AG1050" i="16"/>
  <c r="AH1050" i="16"/>
  <c r="AI1050" i="16"/>
  <c r="AJ1050" i="16"/>
  <c r="AE1050" i="16"/>
  <c r="AF1050" i="16"/>
  <c r="AH1046" i="16"/>
  <c r="AE1046" i="16"/>
  <c r="AI1046" i="16"/>
  <c r="AJ1046" i="16"/>
  <c r="AC1046" i="16"/>
  <c r="AF1046" i="16"/>
  <c r="AG1046" i="16"/>
  <c r="AE1042" i="16"/>
  <c r="AI1042" i="16"/>
  <c r="AF1042" i="16"/>
  <c r="AC1042" i="16"/>
  <c r="AD1042" i="16"/>
  <c r="AG1042" i="16"/>
  <c r="AH1042" i="16"/>
  <c r="AF1038" i="16"/>
  <c r="AC1038" i="16"/>
  <c r="AG1038" i="16"/>
  <c r="AD1038" i="16"/>
  <c r="AE1038" i="16"/>
  <c r="AH1038" i="16"/>
  <c r="AI1038" i="16"/>
  <c r="AG1034" i="16"/>
  <c r="AD1034" i="16"/>
  <c r="AH1034" i="16"/>
  <c r="AE1034" i="16"/>
  <c r="AF1034" i="16"/>
  <c r="AI1034" i="16"/>
  <c r="AJ1034" i="16"/>
  <c r="AF1026" i="16"/>
  <c r="AJ1026" i="16"/>
  <c r="AE1026" i="16"/>
  <c r="AG1026" i="16"/>
  <c r="AD1026" i="16"/>
  <c r="AH1026" i="16"/>
  <c r="AI1026" i="16"/>
  <c r="AF1022" i="16"/>
  <c r="AE1022" i="16"/>
  <c r="AG1022" i="16"/>
  <c r="AC1022" i="16"/>
  <c r="AD1022" i="16"/>
  <c r="AH1022" i="16"/>
  <c r="AI1022" i="16"/>
  <c r="AF1018" i="16"/>
  <c r="AJ1018" i="16"/>
  <c r="AH1018" i="16"/>
  <c r="AD1018" i="16"/>
  <c r="AI1018" i="16"/>
  <c r="AE1018" i="16"/>
  <c r="AG1018" i="16"/>
  <c r="AJ1014" i="16"/>
  <c r="AC1014" i="16"/>
  <c r="AH1014" i="16"/>
  <c r="AD1014" i="16"/>
  <c r="AI1014" i="16"/>
  <c r="AE1014" i="16"/>
  <c r="AG1014" i="16"/>
  <c r="AF1010" i="16"/>
  <c r="AJ1010" i="16"/>
  <c r="AH1010" i="16"/>
  <c r="AD1010" i="16"/>
  <c r="AI1010" i="16"/>
  <c r="AE1010" i="16"/>
  <c r="AF1006" i="16"/>
  <c r="AJ1006" i="16"/>
  <c r="AH1006" i="16"/>
  <c r="AD1006" i="16"/>
  <c r="AI1006" i="16"/>
  <c r="AE1006" i="16"/>
  <c r="AG1006" i="16"/>
  <c r="AF1002" i="16"/>
  <c r="AJ1002" i="16"/>
  <c r="AC1002" i="16"/>
  <c r="AH1002" i="16"/>
  <c r="AI1002" i="16"/>
  <c r="AE1002" i="16"/>
  <c r="AG1002" i="16"/>
  <c r="AF998" i="16"/>
  <c r="AJ998" i="16"/>
  <c r="AH998" i="16"/>
  <c r="AD998" i="16"/>
  <c r="AI998" i="16"/>
  <c r="AE998" i="16"/>
  <c r="AG998" i="16"/>
  <c r="AF994" i="16"/>
  <c r="AC994" i="16"/>
  <c r="AH994" i="16"/>
  <c r="AD994" i="16"/>
  <c r="AI994" i="16"/>
  <c r="AE994" i="16"/>
  <c r="AG994" i="16"/>
  <c r="AF990" i="16"/>
  <c r="AC990" i="16"/>
  <c r="AH990" i="16"/>
  <c r="AD990" i="16"/>
  <c r="AI990" i="16"/>
  <c r="AE990" i="16"/>
  <c r="AG990" i="16"/>
  <c r="AF986" i="16"/>
  <c r="AJ986" i="16"/>
  <c r="AC986" i="16"/>
  <c r="AH986" i="16"/>
  <c r="AI986" i="16"/>
  <c r="AE986" i="16"/>
  <c r="AF982" i="16"/>
  <c r="AJ982" i="16"/>
  <c r="AC982" i="16"/>
  <c r="AH982" i="16"/>
  <c r="AI982" i="16"/>
  <c r="AE982" i="16"/>
  <c r="AG982" i="16"/>
  <c r="AF978" i="16"/>
  <c r="AJ978" i="16"/>
  <c r="AC978" i="16"/>
  <c r="AH978" i="16"/>
  <c r="AI978" i="16"/>
  <c r="AE978" i="16"/>
  <c r="AG978" i="16"/>
  <c r="AF974" i="16"/>
  <c r="AJ974" i="16"/>
  <c r="AC974" i="16"/>
  <c r="AH974" i="16"/>
  <c r="AI974" i="16"/>
  <c r="AE974" i="16"/>
  <c r="AG974" i="16"/>
  <c r="AF970" i="16"/>
  <c r="AJ970" i="16"/>
  <c r="AC970" i="16"/>
  <c r="AH970" i="16"/>
  <c r="AI970" i="16"/>
  <c r="AE970" i="16"/>
  <c r="AF966" i="16"/>
  <c r="AJ966" i="16"/>
  <c r="AC966" i="16"/>
  <c r="AH966" i="16"/>
  <c r="AI966" i="16"/>
  <c r="AE966" i="16"/>
  <c r="AG966" i="16"/>
  <c r="AD962" i="16"/>
  <c r="AH962" i="16"/>
  <c r="AG962" i="16"/>
  <c r="AC962" i="16"/>
  <c r="AI962" i="16"/>
  <c r="AF962" i="16"/>
  <c r="AH958" i="16"/>
  <c r="AG958" i="16"/>
  <c r="AC958" i="16"/>
  <c r="AI958" i="16"/>
  <c r="AF958" i="16"/>
  <c r="AH954" i="16"/>
  <c r="AG954" i="16"/>
  <c r="AC954" i="16"/>
  <c r="AI954" i="16"/>
  <c r="AF954" i="16"/>
  <c r="AH950" i="16"/>
  <c r="AG950" i="16"/>
  <c r="AC950" i="16"/>
  <c r="AI950" i="16"/>
  <c r="AF950" i="16"/>
  <c r="AH946" i="16"/>
  <c r="AG946" i="16"/>
  <c r="AC946" i="16"/>
  <c r="AI946" i="16"/>
  <c r="AF946" i="16"/>
  <c r="AD942" i="16"/>
  <c r="AH942" i="16"/>
  <c r="AG942" i="16"/>
  <c r="AI942" i="16"/>
  <c r="AF942" i="16"/>
  <c r="AH938" i="16"/>
  <c r="AG938" i="16"/>
  <c r="AC938" i="16"/>
  <c r="AI938" i="16"/>
  <c r="AF938" i="16"/>
  <c r="AH934" i="16"/>
  <c r="AG934" i="16"/>
  <c r="AC934" i="16"/>
  <c r="AI934" i="16"/>
  <c r="AF934" i="16"/>
  <c r="AD930" i="16"/>
  <c r="AG930" i="16"/>
  <c r="AC930" i="16"/>
  <c r="AI930" i="16"/>
  <c r="AF930" i="16"/>
  <c r="AD926" i="16"/>
  <c r="AH926" i="16"/>
  <c r="AG926" i="16"/>
  <c r="AC926" i="16"/>
  <c r="AI926" i="16"/>
  <c r="AD922" i="16"/>
  <c r="AH922" i="16"/>
  <c r="AE922" i="16"/>
  <c r="AJ922" i="16"/>
  <c r="AF922" i="16"/>
  <c r="AI922" i="16"/>
  <c r="AH918" i="16"/>
  <c r="AE918" i="16"/>
  <c r="AJ918" i="16"/>
  <c r="AF918" i="16"/>
  <c r="AI918" i="16"/>
  <c r="AC918" i="16"/>
  <c r="AH914" i="16"/>
  <c r="AE914" i="16"/>
  <c r="AJ914" i="16"/>
  <c r="AF914" i="16"/>
  <c r="AI914" i="16"/>
  <c r="AC914" i="16"/>
  <c r="AH906" i="16"/>
  <c r="AE906" i="16"/>
  <c r="AJ906" i="16"/>
  <c r="AF906" i="16"/>
  <c r="AC906" i="16"/>
  <c r="AI906" i="16"/>
  <c r="AD902" i="16"/>
  <c r="AH902" i="16"/>
  <c r="AJ902" i="16"/>
  <c r="AF902" i="16"/>
  <c r="AC902" i="16"/>
  <c r="AG902" i="16"/>
  <c r="AI902" i="16"/>
  <c r="AH898" i="16"/>
  <c r="AE898" i="16"/>
  <c r="AJ898" i="16"/>
  <c r="AF898" i="16"/>
  <c r="AC898" i="16"/>
  <c r="AG898" i="16"/>
  <c r="AI898" i="16"/>
  <c r="AD894" i="16"/>
  <c r="AH894" i="16"/>
  <c r="AE894" i="16"/>
  <c r="AF894" i="16"/>
  <c r="AI894" i="16"/>
  <c r="AC894" i="16"/>
  <c r="AH890" i="16"/>
  <c r="AE890" i="16"/>
  <c r="AJ890" i="16"/>
  <c r="AF890" i="16"/>
  <c r="AI890" i="16"/>
  <c r="AC890" i="16"/>
  <c r="AH886" i="16"/>
  <c r="AE886" i="16"/>
  <c r="AI886" i="16"/>
  <c r="AF886" i="16"/>
  <c r="AG886" i="16"/>
  <c r="AJ886" i="16"/>
  <c r="AC886" i="16"/>
  <c r="AD882" i="16"/>
  <c r="AH882" i="16"/>
  <c r="AE882" i="16"/>
  <c r="AI882" i="16"/>
  <c r="AF882" i="16"/>
  <c r="AG882" i="16"/>
  <c r="AC882" i="16"/>
  <c r="AH878" i="16"/>
  <c r="AE878" i="16"/>
  <c r="AI878" i="16"/>
  <c r="AF878" i="16"/>
  <c r="AG878" i="16"/>
  <c r="AJ878" i="16"/>
  <c r="AC878" i="16"/>
  <c r="AH874" i="16"/>
  <c r="AE874" i="16"/>
  <c r="AI874" i="16"/>
  <c r="AF874" i="16"/>
  <c r="AG874" i="16"/>
  <c r="AJ874" i="16"/>
  <c r="AC874" i="16"/>
  <c r="AH870" i="16"/>
  <c r="AE870" i="16"/>
  <c r="AI870" i="16"/>
  <c r="AF870" i="16"/>
  <c r="AG870" i="16"/>
  <c r="AJ870" i="16"/>
  <c r="AC870" i="16"/>
  <c r="AH866" i="16"/>
  <c r="AE866" i="16"/>
  <c r="AI866" i="16"/>
  <c r="AF866" i="16"/>
  <c r="AG866" i="16"/>
  <c r="AJ866" i="16"/>
  <c r="AC866" i="16"/>
  <c r="AC858" i="16"/>
  <c r="AG858" i="16"/>
  <c r="AE858" i="16"/>
  <c r="AI858" i="16"/>
  <c r="AE854" i="16"/>
  <c r="AF854" i="16"/>
  <c r="AC854" i="16"/>
  <c r="AH854" i="16"/>
  <c r="AE846" i="16"/>
  <c r="AI846" i="16"/>
  <c r="AC846" i="16"/>
  <c r="AH846" i="16"/>
  <c r="AF846" i="16"/>
  <c r="AI842" i="16"/>
  <c r="AC842" i="16"/>
  <c r="AH842" i="16"/>
  <c r="AF842" i="16"/>
  <c r="AE838" i="16"/>
  <c r="AI838" i="16"/>
  <c r="AC838" i="16"/>
  <c r="AH838" i="16"/>
  <c r="AF838" i="16"/>
  <c r="AE834" i="16"/>
  <c r="AI834" i="16"/>
  <c r="AF834" i="16"/>
  <c r="AC834" i="16"/>
  <c r="AH834" i="16"/>
  <c r="AI830" i="16"/>
  <c r="AF830" i="16"/>
  <c r="AC830" i="16"/>
  <c r="AH830" i="16"/>
  <c r="AE826" i="16"/>
  <c r="AI826" i="16"/>
  <c r="AF826" i="16"/>
  <c r="AC826" i="16"/>
  <c r="AH826" i="16"/>
  <c r="AE822" i="16"/>
  <c r="AI822" i="16"/>
  <c r="AF822" i="16"/>
  <c r="AJ822" i="16"/>
  <c r="AH822" i="16"/>
  <c r="AE818" i="16"/>
  <c r="AF818" i="16"/>
  <c r="AJ818" i="16"/>
  <c r="AD818" i="16"/>
  <c r="AH818" i="16"/>
  <c r="AE814" i="16"/>
  <c r="AI814" i="16"/>
  <c r="AF814" i="16"/>
  <c r="AJ814" i="16"/>
  <c r="AH814" i="16"/>
  <c r="AE810" i="16"/>
  <c r="AI810" i="16"/>
  <c r="AF810" i="16"/>
  <c r="AJ810" i="16"/>
  <c r="AD810" i="16"/>
  <c r="AH810" i="16"/>
  <c r="AE806" i="16"/>
  <c r="AI806" i="16"/>
  <c r="AJ806" i="16"/>
  <c r="AD806" i="16"/>
  <c r="AH806" i="16"/>
  <c r="AE802" i="16"/>
  <c r="AI802" i="16"/>
  <c r="AF802" i="16"/>
  <c r="AJ802" i="16"/>
  <c r="AH802" i="16"/>
  <c r="AD790" i="16"/>
  <c r="AE790" i="16"/>
  <c r="AI790" i="16"/>
  <c r="AF790" i="16"/>
  <c r="AC790" i="16"/>
  <c r="AH790" i="16"/>
  <c r="AD774" i="16"/>
  <c r="AG774" i="16"/>
  <c r="AC774" i="16"/>
  <c r="AI774" i="16"/>
  <c r="AF774" i="16"/>
  <c r="AE762" i="16"/>
  <c r="AJ762" i="16"/>
  <c r="AC762" i="16"/>
  <c r="AH762" i="16"/>
  <c r="AI759" i="16"/>
  <c r="AI758" i="16"/>
  <c r="AI749" i="16"/>
  <c r="AH748" i="16"/>
  <c r="AG769" i="16"/>
  <c r="AG768" i="16"/>
  <c r="AH767" i="16"/>
  <c r="AI765" i="16"/>
  <c r="AC760" i="16"/>
  <c r="AD860" i="16"/>
  <c r="AD859" i="16"/>
  <c r="AD856" i="16"/>
  <c r="AD855" i="16"/>
  <c r="AJ853" i="16"/>
  <c r="AG852" i="16"/>
  <c r="AG847" i="16"/>
  <c r="AJ844" i="16"/>
  <c r="AG843" i="16"/>
  <c r="AD842" i="16"/>
  <c r="AJ840" i="16"/>
  <c r="AG834" i="16"/>
  <c r="AJ831" i="16"/>
  <c r="AG830" i="16"/>
  <c r="AD829" i="16"/>
  <c r="AJ827" i="16"/>
  <c r="AG826" i="16"/>
  <c r="AD824" i="16"/>
  <c r="AG822" i="16"/>
  <c r="AG820" i="16"/>
  <c r="AG818" i="16"/>
  <c r="AG816" i="16"/>
  <c r="AG814" i="16"/>
  <c r="AG810" i="16"/>
  <c r="AG808" i="16"/>
  <c r="AG806" i="16"/>
  <c r="AG803" i="16"/>
  <c r="AG791" i="16"/>
  <c r="AE789" i="16"/>
  <c r="AG785" i="16"/>
  <c r="AJ774" i="16"/>
  <c r="AE771" i="16"/>
  <c r="AG961" i="16"/>
  <c r="AJ958" i="16"/>
  <c r="AE956" i="16"/>
  <c r="AG953" i="16"/>
  <c r="AJ950" i="16"/>
  <c r="AG945" i="16"/>
  <c r="AJ942" i="16"/>
  <c r="AE940" i="16"/>
  <c r="AG937" i="16"/>
  <c r="AJ934" i="16"/>
  <c r="AE932" i="16"/>
  <c r="AG929" i="16"/>
  <c r="AJ926" i="16"/>
  <c r="AE923" i="16"/>
  <c r="AG920" i="16"/>
  <c r="AJ917" i="16"/>
  <c r="AE915" i="16"/>
  <c r="AG912" i="16"/>
  <c r="AJ907" i="16"/>
  <c r="AE905" i="16"/>
  <c r="AE893" i="16"/>
  <c r="AC887" i="16"/>
  <c r="AC869" i="16"/>
  <c r="AD981" i="16"/>
  <c r="AI1015" i="16"/>
  <c r="AG1025" i="16"/>
  <c r="X964" i="16" l="1"/>
  <c r="AL662" i="16"/>
  <c r="AL663" i="16"/>
  <c r="AL664" i="16"/>
  <c r="AL665" i="16"/>
  <c r="AL666" i="16"/>
  <c r="AL667" i="16"/>
  <c r="AL668" i="16"/>
  <c r="AL669" i="16"/>
  <c r="AL670" i="16"/>
  <c r="AL671" i="16"/>
  <c r="AL672" i="16"/>
  <c r="AL673" i="16"/>
  <c r="AL674" i="16"/>
  <c r="AL675" i="16"/>
  <c r="AL676" i="16"/>
  <c r="AL677" i="16"/>
  <c r="AL678" i="16"/>
  <c r="AL679" i="16"/>
  <c r="AL680" i="16"/>
  <c r="AL681" i="16"/>
  <c r="AL682" i="16"/>
  <c r="AL683" i="16"/>
  <c r="AL684" i="16"/>
  <c r="AL685" i="16"/>
  <c r="AL686" i="16"/>
  <c r="AL687" i="16"/>
  <c r="AL688" i="16"/>
  <c r="AL689" i="16"/>
  <c r="AL690" i="16"/>
  <c r="AL691" i="16"/>
  <c r="AL692" i="16"/>
  <c r="AL693" i="16"/>
  <c r="AL694" i="16"/>
  <c r="AL695" i="16"/>
  <c r="AL696" i="16"/>
  <c r="AL697" i="16"/>
  <c r="AL698" i="16"/>
  <c r="AL699" i="16"/>
  <c r="AL700" i="16"/>
  <c r="AL701" i="16"/>
  <c r="AL702" i="16"/>
  <c r="AL703" i="16"/>
  <c r="AL704" i="16"/>
  <c r="AL705" i="16"/>
  <c r="AL706" i="16"/>
  <c r="AL707" i="16"/>
  <c r="AL708" i="16"/>
  <c r="AL709" i="16"/>
  <c r="AL710" i="16"/>
  <c r="AL711" i="16"/>
  <c r="AL712" i="16"/>
  <c r="AL713" i="16"/>
  <c r="AL714" i="16"/>
  <c r="AL715" i="16"/>
  <c r="AL716" i="16"/>
  <c r="AL717" i="16"/>
  <c r="AL718" i="16"/>
  <c r="AL719" i="16"/>
  <c r="AL720" i="16"/>
  <c r="AL721" i="16"/>
  <c r="AL722" i="16"/>
  <c r="AL723" i="16"/>
  <c r="AL724" i="16"/>
  <c r="AL725" i="16"/>
  <c r="AL726" i="16"/>
  <c r="AL727" i="16"/>
  <c r="AL728" i="16"/>
  <c r="AL729" i="16"/>
  <c r="AL730" i="16"/>
  <c r="AL731" i="16"/>
  <c r="AL732" i="16"/>
  <c r="AL733" i="16"/>
  <c r="AL734" i="16"/>
  <c r="AL735" i="16"/>
  <c r="AL736" i="16"/>
  <c r="AL737" i="16"/>
  <c r="AL738" i="16"/>
  <c r="AL739" i="16"/>
  <c r="AL740" i="16"/>
  <c r="AL741" i="16"/>
  <c r="AL742" i="16"/>
  <c r="AL743" i="16"/>
  <c r="AL744" i="16"/>
  <c r="AL745" i="16"/>
  <c r="AL746" i="16"/>
  <c r="AL747" i="16"/>
  <c r="AL748" i="16"/>
  <c r="AL749" i="16"/>
  <c r="AL750" i="16"/>
  <c r="AL751" i="16"/>
  <c r="AL752" i="16"/>
  <c r="AL753" i="16"/>
  <c r="AL754" i="16"/>
  <c r="AL755" i="16"/>
  <c r="AL756" i="16"/>
  <c r="AL757" i="16"/>
  <c r="AL758" i="16"/>
  <c r="AL759" i="16"/>
  <c r="AL760" i="16"/>
  <c r="AL761" i="16"/>
  <c r="AL762" i="16"/>
  <c r="AL763" i="16"/>
  <c r="AL764" i="16"/>
  <c r="AL765" i="16"/>
  <c r="AL766" i="16"/>
  <c r="AL767" i="16"/>
  <c r="AL768" i="16"/>
  <c r="AL769" i="16"/>
  <c r="AL770" i="16"/>
  <c r="AL771" i="16"/>
  <c r="AL772" i="16"/>
  <c r="AL773" i="16"/>
  <c r="AL774" i="16"/>
  <c r="AL775" i="16"/>
  <c r="AL776" i="16"/>
  <c r="AL777" i="16"/>
  <c r="AL778" i="16"/>
  <c r="AL779" i="16"/>
  <c r="AL780" i="16"/>
  <c r="AL781" i="16"/>
  <c r="AL782" i="16"/>
  <c r="AL783" i="16"/>
  <c r="AL784" i="16"/>
  <c r="AL785" i="16"/>
  <c r="AL786" i="16"/>
  <c r="AL787" i="16"/>
  <c r="AL788" i="16"/>
  <c r="AL789" i="16"/>
  <c r="AL790" i="16"/>
  <c r="AL791" i="16"/>
  <c r="AL792" i="16"/>
  <c r="AL793" i="16"/>
  <c r="AL794" i="16"/>
  <c r="AL795" i="16"/>
  <c r="AL796" i="16"/>
  <c r="AL797" i="16"/>
  <c r="AL798" i="16"/>
  <c r="AL799" i="16"/>
  <c r="AL800" i="16"/>
  <c r="AL801" i="16"/>
  <c r="AL802" i="16"/>
  <c r="AL803" i="16"/>
  <c r="AL804" i="16"/>
  <c r="AL805" i="16"/>
  <c r="AL806" i="16"/>
  <c r="AL807" i="16"/>
  <c r="AL808" i="16"/>
  <c r="AL809" i="16"/>
  <c r="AL810" i="16"/>
  <c r="AL811" i="16"/>
  <c r="AL812" i="16"/>
  <c r="AL813" i="16"/>
  <c r="AL814" i="16"/>
  <c r="AL815" i="16"/>
  <c r="AL816" i="16"/>
  <c r="AL817" i="16"/>
  <c r="AL818" i="16"/>
  <c r="AL819" i="16"/>
  <c r="AL820" i="16"/>
  <c r="AL821" i="16"/>
  <c r="AL822" i="16"/>
  <c r="AL823" i="16"/>
  <c r="AL824" i="16"/>
  <c r="AL825" i="16"/>
  <c r="AL826" i="16"/>
  <c r="AL827" i="16"/>
  <c r="AL828" i="16"/>
  <c r="AL829" i="16"/>
  <c r="AL830" i="16"/>
  <c r="AL831" i="16"/>
  <c r="AL832" i="16"/>
  <c r="AL833" i="16"/>
  <c r="AL834" i="16"/>
  <c r="AL835" i="16"/>
  <c r="AL836" i="16"/>
  <c r="AL837" i="16"/>
  <c r="AL838" i="16"/>
  <c r="AL839" i="16"/>
  <c r="AL840" i="16"/>
  <c r="AL841" i="16"/>
  <c r="AL842" i="16"/>
  <c r="AL843" i="16"/>
  <c r="AL844" i="16"/>
  <c r="AL845" i="16"/>
  <c r="AL846" i="16"/>
  <c r="AL847" i="16"/>
  <c r="AL848" i="16"/>
  <c r="AL849" i="16"/>
  <c r="AL850" i="16"/>
  <c r="AL851" i="16"/>
  <c r="AL852" i="16"/>
  <c r="AL853" i="16"/>
  <c r="AL854" i="16"/>
  <c r="AL855" i="16"/>
  <c r="AL856" i="16"/>
  <c r="AL857" i="16"/>
  <c r="AL858" i="16"/>
  <c r="AL859" i="16"/>
  <c r="AL860" i="16"/>
  <c r="AL861" i="16"/>
  <c r="AL862" i="16"/>
  <c r="AL863" i="16"/>
  <c r="AL864" i="16"/>
  <c r="AL865" i="16"/>
  <c r="AL866" i="16"/>
  <c r="AL867" i="16"/>
  <c r="AL868" i="16"/>
  <c r="AL869" i="16"/>
  <c r="AL870" i="16"/>
  <c r="AL871" i="16"/>
  <c r="AL872" i="16"/>
  <c r="AL873" i="16"/>
  <c r="AL874" i="16"/>
  <c r="AL875" i="16"/>
  <c r="AL876" i="16"/>
  <c r="AL877" i="16"/>
  <c r="AL878" i="16"/>
  <c r="AL879" i="16"/>
  <c r="AL880" i="16"/>
  <c r="AL881" i="16"/>
  <c r="AL882" i="16"/>
  <c r="AL883" i="16"/>
  <c r="AL884" i="16"/>
  <c r="AL885" i="16"/>
  <c r="AL886" i="16"/>
  <c r="AL887" i="16"/>
  <c r="AL888" i="16"/>
  <c r="AL889" i="16"/>
  <c r="AL890" i="16"/>
  <c r="AL891" i="16"/>
  <c r="AL892" i="16"/>
  <c r="AL893" i="16"/>
  <c r="AL894" i="16"/>
  <c r="AL895" i="16"/>
  <c r="AL896" i="16"/>
  <c r="AL897" i="16"/>
  <c r="AL898" i="16"/>
  <c r="AL899" i="16"/>
  <c r="AL900" i="16"/>
  <c r="AL901" i="16"/>
  <c r="AL902" i="16"/>
  <c r="AL903" i="16"/>
  <c r="AL904" i="16"/>
  <c r="AL905" i="16"/>
  <c r="AL906" i="16"/>
  <c r="AL907" i="16"/>
  <c r="AL908" i="16"/>
  <c r="AL909" i="16"/>
  <c r="AL910" i="16"/>
  <c r="AL911" i="16"/>
  <c r="AL912" i="16"/>
  <c r="AL913" i="16"/>
  <c r="AL914" i="16"/>
  <c r="AL915" i="16"/>
  <c r="AL916" i="16"/>
  <c r="AL917" i="16"/>
  <c r="AL918" i="16"/>
  <c r="AL919" i="16"/>
  <c r="AL920" i="16"/>
  <c r="AL921" i="16"/>
  <c r="AL922" i="16"/>
  <c r="AL923" i="16"/>
  <c r="AL924" i="16"/>
  <c r="AL925" i="16"/>
  <c r="AL926" i="16"/>
  <c r="AL927" i="16"/>
  <c r="AL928" i="16"/>
  <c r="AL929" i="16"/>
  <c r="AL930" i="16"/>
  <c r="AL931" i="16"/>
  <c r="AL932" i="16"/>
  <c r="AL933" i="16"/>
  <c r="AL934" i="16"/>
  <c r="AL935" i="16"/>
  <c r="AL936" i="16"/>
  <c r="AL937" i="16"/>
  <c r="AL938" i="16"/>
  <c r="AL939" i="16"/>
  <c r="AL940" i="16"/>
  <c r="AL941" i="16"/>
  <c r="AL942" i="16"/>
  <c r="AL943" i="16"/>
  <c r="AL944" i="16"/>
  <c r="AL945" i="16"/>
  <c r="AL946" i="16"/>
  <c r="AL947" i="16"/>
  <c r="AL948" i="16"/>
  <c r="AL949" i="16"/>
  <c r="AL950" i="16"/>
  <c r="AL951" i="16"/>
  <c r="AL952" i="16"/>
  <c r="AL953" i="16"/>
  <c r="AL954" i="16"/>
  <c r="AL955" i="16"/>
  <c r="AL956" i="16"/>
  <c r="AL957" i="16"/>
  <c r="AL958" i="16"/>
  <c r="AL959" i="16"/>
  <c r="AL960" i="16"/>
  <c r="AL961" i="16"/>
  <c r="AL962" i="16"/>
  <c r="AL963" i="16"/>
  <c r="AL964" i="16"/>
  <c r="AL965" i="16"/>
  <c r="AL966" i="16"/>
  <c r="AL967" i="16"/>
  <c r="AL968" i="16"/>
  <c r="AL969" i="16"/>
  <c r="AL970" i="16"/>
  <c r="AL971" i="16"/>
  <c r="AL972" i="16"/>
  <c r="AL973" i="16"/>
  <c r="AL974" i="16"/>
  <c r="AL975" i="16"/>
  <c r="AL976" i="16"/>
  <c r="AL977" i="16"/>
  <c r="AL978" i="16"/>
  <c r="AL979" i="16"/>
  <c r="AL980" i="16"/>
  <c r="AL981" i="16"/>
  <c r="AL982" i="16"/>
  <c r="AL983" i="16"/>
  <c r="AL984" i="16"/>
  <c r="AL985" i="16"/>
  <c r="AL986" i="16"/>
  <c r="AL987" i="16"/>
  <c r="AL988" i="16"/>
  <c r="AL989" i="16"/>
  <c r="AL990" i="16"/>
  <c r="AL991" i="16"/>
  <c r="AL992" i="16"/>
  <c r="AL993" i="16"/>
  <c r="AL994" i="16"/>
  <c r="AL995" i="16"/>
  <c r="AL996" i="16"/>
  <c r="AL997" i="16"/>
  <c r="AL998" i="16"/>
  <c r="AL999" i="16"/>
  <c r="AL1000" i="16"/>
  <c r="AL1001" i="16"/>
  <c r="AL1002" i="16"/>
  <c r="AL1003" i="16"/>
  <c r="AL1004" i="16"/>
  <c r="AL1005" i="16"/>
  <c r="AL1006" i="16"/>
  <c r="AL1007" i="16"/>
  <c r="AL1008" i="16"/>
  <c r="AL1009" i="16"/>
  <c r="AL1010" i="16"/>
  <c r="AL1011" i="16"/>
  <c r="AL1012" i="16"/>
  <c r="AL1013" i="16"/>
  <c r="AL1014" i="16"/>
  <c r="AL1015" i="16"/>
  <c r="AL1016" i="16"/>
  <c r="AL1017" i="16"/>
  <c r="AL1018" i="16"/>
  <c r="AL1019" i="16"/>
  <c r="AL1020" i="16"/>
  <c r="AL1021" i="16"/>
  <c r="AL1022" i="16"/>
  <c r="AL1023" i="16"/>
  <c r="AL1024" i="16"/>
  <c r="AL1025" i="16"/>
  <c r="AL1026" i="16"/>
  <c r="AL1027" i="16"/>
  <c r="AL1028" i="16"/>
  <c r="AL1029" i="16"/>
  <c r="AL1030" i="16"/>
  <c r="AL1031" i="16"/>
  <c r="AL1032" i="16"/>
  <c r="AL1033" i="16"/>
  <c r="AL1034" i="16"/>
  <c r="AL1035" i="16"/>
  <c r="AL1036" i="16"/>
  <c r="AL1037" i="16"/>
  <c r="AL1038" i="16"/>
  <c r="AL1039" i="16"/>
  <c r="AL1040" i="16"/>
  <c r="AL1041" i="16"/>
  <c r="AL1042" i="16"/>
  <c r="AL1043" i="16"/>
  <c r="AL1044" i="16"/>
  <c r="AL1045" i="16"/>
  <c r="AL1046" i="16"/>
  <c r="AL1047" i="16"/>
  <c r="AL1048" i="16"/>
  <c r="AL1049" i="16"/>
  <c r="AL1050" i="16"/>
  <c r="AL1051" i="16"/>
  <c r="AL1052" i="16"/>
  <c r="AL1053" i="16"/>
  <c r="AL1054" i="16"/>
  <c r="AL1055" i="16"/>
  <c r="AL1056" i="16"/>
  <c r="AL1057" i="16"/>
  <c r="AL1058" i="16"/>
  <c r="AL1059" i="16"/>
  <c r="AL1060" i="16"/>
  <c r="AL1061" i="16"/>
  <c r="AL1062" i="16"/>
  <c r="AL1063" i="16"/>
  <c r="AL1064" i="16"/>
  <c r="AL1065" i="16"/>
  <c r="AL1066" i="16"/>
  <c r="AL1067" i="16"/>
  <c r="AL1068" i="16"/>
  <c r="AL1069" i="16"/>
  <c r="AL1070" i="16"/>
  <c r="AL1071" i="16"/>
  <c r="AL1072" i="16"/>
  <c r="AL1073" i="16"/>
  <c r="AL1074" i="16"/>
  <c r="AL1075" i="16"/>
  <c r="AL1076" i="16"/>
  <c r="AL1077" i="16"/>
  <c r="AL1078" i="16"/>
  <c r="AL1079" i="16"/>
  <c r="AL1080" i="16"/>
  <c r="AL1081" i="16"/>
  <c r="AL1082" i="16"/>
  <c r="AL1083" i="16"/>
  <c r="AL1084" i="16"/>
  <c r="AL1085" i="16"/>
  <c r="AL1086" i="16"/>
  <c r="AL1087" i="16"/>
  <c r="AL1088" i="16"/>
  <c r="AL1089" i="16"/>
  <c r="AL1090" i="16"/>
  <c r="AL1091" i="16"/>
  <c r="AL1092" i="16"/>
  <c r="AL1093" i="16"/>
  <c r="AL1094" i="16"/>
  <c r="AL1095" i="16"/>
  <c r="AL1096" i="16"/>
  <c r="AL1097" i="16"/>
  <c r="AL1098" i="16"/>
  <c r="AL1099" i="16"/>
  <c r="AL1100" i="16"/>
  <c r="AL1101" i="16"/>
  <c r="AL1102" i="16"/>
  <c r="AL1103" i="16"/>
  <c r="AL1104" i="16"/>
  <c r="AL1105" i="16"/>
  <c r="AL1106" i="16"/>
  <c r="AL1107" i="16"/>
  <c r="AL1108" i="16"/>
  <c r="AL1109" i="16"/>
  <c r="AL1110" i="16"/>
  <c r="AL1111" i="16"/>
  <c r="AL1112" i="16"/>
  <c r="AL1113" i="16"/>
  <c r="AL1114" i="16"/>
  <c r="AL1115" i="16"/>
  <c r="AL1116" i="16"/>
  <c r="AL4" i="16"/>
  <c r="AL377" i="16"/>
  <c r="AL378" i="16"/>
  <c r="AL379" i="16"/>
  <c r="AL380" i="16"/>
  <c r="AL381" i="16"/>
  <c r="AL382" i="16"/>
  <c r="AL383" i="16"/>
  <c r="AL384" i="16"/>
  <c r="AL385" i="16"/>
  <c r="AL386" i="16"/>
  <c r="AL387" i="16"/>
  <c r="AL388" i="16"/>
  <c r="AL389" i="16"/>
  <c r="AL390" i="16"/>
  <c r="AL391" i="16"/>
  <c r="AL392" i="16"/>
  <c r="AL393" i="16"/>
  <c r="AL394" i="16"/>
  <c r="AL395" i="16"/>
  <c r="AL396" i="16"/>
  <c r="AL397" i="16"/>
  <c r="AL398" i="16"/>
  <c r="AL399" i="16"/>
  <c r="AL400" i="16"/>
  <c r="AL401" i="16"/>
  <c r="AL402" i="16"/>
  <c r="AL403" i="16"/>
  <c r="AL404" i="16"/>
  <c r="AL405" i="16"/>
  <c r="AL406" i="16"/>
  <c r="AL407" i="16"/>
  <c r="AL408" i="16"/>
  <c r="AL409" i="16"/>
  <c r="AL410" i="16"/>
  <c r="AL411" i="16"/>
  <c r="AL412" i="16"/>
  <c r="AL413" i="16"/>
  <c r="AL414" i="16"/>
  <c r="AL415" i="16"/>
  <c r="AL416" i="16"/>
  <c r="AL417" i="16"/>
  <c r="AL418" i="16"/>
  <c r="AL419" i="16"/>
  <c r="AL420" i="16"/>
  <c r="AL421" i="16"/>
  <c r="AL422" i="16"/>
  <c r="AL423" i="16"/>
  <c r="AL424" i="16"/>
  <c r="AL425" i="16"/>
  <c r="AL426" i="16"/>
  <c r="AL427" i="16"/>
  <c r="AL428" i="16"/>
  <c r="AL429" i="16"/>
  <c r="AL430" i="16"/>
  <c r="AL431" i="16"/>
  <c r="AL432" i="16"/>
  <c r="AL433" i="16"/>
  <c r="AL434" i="16"/>
  <c r="AL435" i="16"/>
  <c r="AL436" i="16"/>
  <c r="AL437" i="16"/>
  <c r="AL438" i="16"/>
  <c r="AL439" i="16"/>
  <c r="AL440" i="16"/>
  <c r="AL441" i="16"/>
  <c r="AL442" i="16"/>
  <c r="AL443" i="16"/>
  <c r="AL444" i="16"/>
  <c r="AL445" i="16"/>
  <c r="AL446" i="16"/>
  <c r="AL447" i="16"/>
  <c r="AL448" i="16"/>
  <c r="AL449" i="16"/>
  <c r="AL450" i="16"/>
  <c r="AL451" i="16"/>
  <c r="AL452" i="16"/>
  <c r="AL453" i="16"/>
  <c r="AL454" i="16"/>
  <c r="AL455" i="16"/>
  <c r="AL456" i="16"/>
  <c r="AL457" i="16"/>
  <c r="AL458" i="16"/>
  <c r="AL459" i="16"/>
  <c r="AL460" i="16"/>
  <c r="AL461" i="16"/>
  <c r="AL462" i="16"/>
  <c r="AL463" i="16"/>
  <c r="AL464" i="16"/>
  <c r="AL465" i="16"/>
  <c r="AL466" i="16"/>
  <c r="AL467" i="16"/>
  <c r="AL468" i="16"/>
  <c r="AL469" i="16"/>
  <c r="AL470" i="16"/>
  <c r="AL471" i="16"/>
  <c r="AL472" i="16"/>
  <c r="AL473" i="16"/>
  <c r="AL474" i="16"/>
  <c r="AL475" i="16"/>
  <c r="AL476" i="16"/>
  <c r="AL477" i="16"/>
  <c r="AL478" i="16"/>
  <c r="AL479" i="16"/>
  <c r="AL480" i="16"/>
  <c r="AL481" i="16"/>
  <c r="AL482" i="16"/>
  <c r="AL483" i="16"/>
  <c r="AL484" i="16"/>
  <c r="AL485" i="16"/>
  <c r="AL486" i="16"/>
  <c r="AL487" i="16"/>
  <c r="AL488" i="16"/>
  <c r="AL489" i="16"/>
  <c r="AL490" i="16"/>
  <c r="AL491" i="16"/>
  <c r="AL492" i="16"/>
  <c r="AL493" i="16"/>
  <c r="AL494" i="16"/>
  <c r="AL495" i="16"/>
  <c r="AL496" i="16"/>
  <c r="AL497" i="16"/>
  <c r="AL498" i="16"/>
  <c r="AL499" i="16"/>
  <c r="AL500" i="16"/>
  <c r="AL501" i="16"/>
  <c r="AL502" i="16"/>
  <c r="AL503" i="16"/>
  <c r="AL504" i="16"/>
  <c r="AL505" i="16"/>
  <c r="AL506" i="16"/>
  <c r="AL507" i="16"/>
  <c r="AL508" i="16"/>
  <c r="AL509" i="16"/>
  <c r="AL510" i="16"/>
  <c r="AL511" i="16"/>
  <c r="AL512" i="16"/>
  <c r="AL513" i="16"/>
  <c r="AL514" i="16"/>
  <c r="AL515" i="16"/>
  <c r="AL516" i="16"/>
  <c r="AL517" i="16"/>
  <c r="AL518" i="16"/>
  <c r="AL519" i="16"/>
  <c r="AL520" i="16"/>
  <c r="AL521" i="16"/>
  <c r="AL522" i="16"/>
  <c r="AL523" i="16"/>
  <c r="AL524" i="16"/>
  <c r="AL525" i="16"/>
  <c r="AL526" i="16"/>
  <c r="AL527" i="16"/>
  <c r="AL528" i="16"/>
  <c r="AL529" i="16"/>
  <c r="AL530" i="16"/>
  <c r="AL531" i="16"/>
  <c r="AL532" i="16"/>
  <c r="AL533" i="16"/>
  <c r="AL534" i="16"/>
  <c r="AL535" i="16"/>
  <c r="AL536" i="16"/>
  <c r="AL537" i="16"/>
  <c r="AL538" i="16"/>
  <c r="AL539" i="16"/>
  <c r="AL540" i="16"/>
  <c r="AL541" i="16"/>
  <c r="AL542" i="16"/>
  <c r="AL543" i="16"/>
  <c r="AL544" i="16"/>
  <c r="AL545" i="16"/>
  <c r="AL546" i="16"/>
  <c r="AL547" i="16"/>
  <c r="AL548" i="16"/>
  <c r="AL549" i="16"/>
  <c r="AL550" i="16"/>
  <c r="AL551" i="16"/>
  <c r="AL552" i="16"/>
  <c r="AL553" i="16"/>
  <c r="AL554" i="16"/>
  <c r="AL555" i="16"/>
  <c r="AL556" i="16"/>
  <c r="AL557" i="16"/>
  <c r="AL558" i="16"/>
  <c r="AL559" i="16"/>
  <c r="AL560" i="16"/>
  <c r="AL561" i="16"/>
  <c r="AL562" i="16"/>
  <c r="AL563" i="16"/>
  <c r="AL564" i="16"/>
  <c r="AL565" i="16"/>
  <c r="AL566" i="16"/>
  <c r="AL567" i="16"/>
  <c r="AL568" i="16"/>
  <c r="AL569" i="16"/>
  <c r="AL570" i="16"/>
  <c r="AL571" i="16"/>
  <c r="AL572" i="16"/>
  <c r="AL573" i="16"/>
  <c r="AL574" i="16"/>
  <c r="AL575" i="16"/>
  <c r="AL576" i="16"/>
  <c r="AL577" i="16"/>
  <c r="AL578" i="16"/>
  <c r="AL579" i="16"/>
  <c r="AL580" i="16"/>
  <c r="AL581" i="16"/>
  <c r="AL582" i="16"/>
  <c r="AL583" i="16"/>
  <c r="AL584" i="16"/>
  <c r="AL585" i="16"/>
  <c r="AL586" i="16"/>
  <c r="AL587" i="16"/>
  <c r="AL588" i="16"/>
  <c r="AL589" i="16"/>
  <c r="AL590" i="16"/>
  <c r="AL591" i="16"/>
  <c r="AL592" i="16"/>
  <c r="AL593" i="16"/>
  <c r="AL594" i="16"/>
  <c r="AL595" i="16"/>
  <c r="AL596" i="16"/>
  <c r="AL597" i="16"/>
  <c r="AL598" i="16"/>
  <c r="AL599" i="16"/>
  <c r="AL600" i="16"/>
  <c r="AL601" i="16"/>
  <c r="AL602" i="16"/>
  <c r="AL603" i="16"/>
  <c r="AL604" i="16"/>
  <c r="AL605" i="16"/>
  <c r="AL606" i="16"/>
  <c r="AL607" i="16"/>
  <c r="AL608" i="16"/>
  <c r="AL609" i="16"/>
  <c r="AL610" i="16"/>
  <c r="AL611" i="16"/>
  <c r="AL612" i="16"/>
  <c r="AL613" i="16"/>
  <c r="AL614" i="16"/>
  <c r="AL615" i="16"/>
  <c r="AL616" i="16"/>
  <c r="AL617" i="16"/>
  <c r="AL618" i="16"/>
  <c r="AL619" i="16"/>
  <c r="AL620" i="16"/>
  <c r="AL621" i="16"/>
  <c r="AL622" i="16"/>
  <c r="AL623" i="16"/>
  <c r="AL624" i="16"/>
  <c r="AL625" i="16"/>
  <c r="AL626" i="16"/>
  <c r="AL627" i="16"/>
  <c r="AL628" i="16"/>
  <c r="AL629" i="16"/>
  <c r="AL630" i="16"/>
  <c r="AL631" i="16"/>
  <c r="AL632" i="16"/>
  <c r="AL633" i="16"/>
  <c r="AL634" i="16"/>
  <c r="AL635" i="16"/>
  <c r="AL636" i="16"/>
  <c r="AL637" i="16"/>
  <c r="AL638" i="16"/>
  <c r="AL639" i="16"/>
  <c r="AL640" i="16"/>
  <c r="AL641" i="16"/>
  <c r="AL642" i="16"/>
  <c r="AL643" i="16"/>
  <c r="AL644" i="16"/>
  <c r="AL645" i="16"/>
  <c r="AL646" i="16"/>
  <c r="AL647" i="16"/>
  <c r="AL648" i="16"/>
  <c r="AL649" i="16"/>
  <c r="AL650" i="16"/>
  <c r="AL651" i="16"/>
  <c r="AL652" i="16"/>
  <c r="AL653" i="16"/>
  <c r="AL654" i="16"/>
  <c r="AL655" i="16"/>
  <c r="AL656" i="16"/>
  <c r="AL657" i="16"/>
  <c r="AL658" i="16"/>
  <c r="AL659" i="16"/>
  <c r="AL660" i="16"/>
  <c r="AL661" i="16"/>
  <c r="AL5" i="16"/>
  <c r="AL6" i="16"/>
  <c r="AL7" i="16"/>
  <c r="AL8" i="16"/>
  <c r="AL9" i="16"/>
  <c r="AL10" i="16"/>
  <c r="AL11" i="16"/>
  <c r="AL12" i="16"/>
  <c r="AL13" i="16"/>
  <c r="AL14" i="16"/>
  <c r="AL15" i="16"/>
  <c r="AL16" i="16"/>
  <c r="AL17" i="16"/>
  <c r="AL18" i="16"/>
  <c r="AL19" i="16"/>
  <c r="AL20" i="16"/>
  <c r="AL21" i="16"/>
  <c r="AL22" i="16"/>
  <c r="AL23" i="16"/>
  <c r="AL24" i="16"/>
  <c r="AL25" i="16"/>
  <c r="AL26" i="16"/>
  <c r="AL27" i="16"/>
  <c r="AL28" i="16"/>
  <c r="AL29" i="16"/>
  <c r="AL30" i="16"/>
  <c r="AL31" i="16"/>
  <c r="AL32" i="16"/>
  <c r="AL33" i="16"/>
  <c r="AL34" i="16"/>
  <c r="AL35" i="16"/>
  <c r="AL36" i="16"/>
  <c r="AL37" i="16"/>
  <c r="AL38" i="16"/>
  <c r="AL39" i="16"/>
  <c r="AL40" i="16"/>
  <c r="AL41" i="16"/>
  <c r="AL42" i="16"/>
  <c r="AL43" i="16"/>
  <c r="AL44"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AL80" i="16"/>
  <c r="AL81" i="16"/>
  <c r="AL82" i="16"/>
  <c r="AL83" i="16"/>
  <c r="AL84" i="16"/>
  <c r="AL85" i="16"/>
  <c r="AL86" i="16"/>
  <c r="AL87" i="16"/>
  <c r="AL88" i="16"/>
  <c r="AL89" i="16"/>
  <c r="AL90" i="16"/>
  <c r="AL91" i="16"/>
  <c r="AL92" i="16"/>
  <c r="AL93" i="16"/>
  <c r="AL94" i="16"/>
  <c r="AL95" i="16"/>
  <c r="AL96" i="16"/>
  <c r="AL97" i="16"/>
  <c r="AL98" i="16"/>
  <c r="AL99" i="16"/>
  <c r="AL100" i="16"/>
  <c r="AL101" i="16"/>
  <c r="AL102" i="16"/>
  <c r="AL103" i="16"/>
  <c r="AL104" i="16"/>
  <c r="AL105" i="16"/>
  <c r="AL106" i="16"/>
  <c r="AL107" i="16"/>
  <c r="AL108" i="16"/>
  <c r="AL109" i="16"/>
  <c r="AL110" i="16"/>
  <c r="AL111" i="16"/>
  <c r="AL112" i="16"/>
  <c r="AL113" i="16"/>
  <c r="AL114" i="16"/>
  <c r="AL115" i="16"/>
  <c r="AL116" i="16"/>
  <c r="AL117" i="16"/>
  <c r="AL118" i="16"/>
  <c r="AL119" i="16"/>
  <c r="AL120" i="16"/>
  <c r="AL121" i="16"/>
  <c r="AL122" i="16"/>
  <c r="AL123" i="16"/>
  <c r="AL124" i="16"/>
  <c r="AL125" i="16"/>
  <c r="AL126" i="16"/>
  <c r="AL127" i="16"/>
  <c r="AL128" i="16"/>
  <c r="AL129" i="16"/>
  <c r="AL130" i="16"/>
  <c r="AL131" i="16"/>
  <c r="AL132" i="16"/>
  <c r="AL133" i="16"/>
  <c r="AL134" i="16"/>
  <c r="AL135" i="16"/>
  <c r="AL136" i="16"/>
  <c r="AL137" i="16"/>
  <c r="AL138" i="16"/>
  <c r="AL139" i="16"/>
  <c r="AL140" i="16"/>
  <c r="AL141" i="16"/>
  <c r="AL142" i="16"/>
  <c r="AL143" i="16"/>
  <c r="AL144" i="16"/>
  <c r="AL145" i="16"/>
  <c r="AL146" i="16"/>
  <c r="AL147" i="16"/>
  <c r="AL148" i="16"/>
  <c r="AL149" i="16"/>
  <c r="AL150" i="16"/>
  <c r="AL151" i="16"/>
  <c r="AL152" i="16"/>
  <c r="AL153" i="16"/>
  <c r="AL154" i="16"/>
  <c r="AL155" i="16"/>
  <c r="AL156" i="16"/>
  <c r="AL157" i="16"/>
  <c r="AL158" i="16"/>
  <c r="AL159" i="16"/>
  <c r="AL160" i="16"/>
  <c r="AL161" i="16"/>
  <c r="AL162" i="16"/>
  <c r="AL163" i="16"/>
  <c r="AL164" i="16"/>
  <c r="AL165" i="16"/>
  <c r="AL166" i="16"/>
  <c r="AL167" i="16"/>
  <c r="AL168" i="16"/>
  <c r="AL169" i="16"/>
  <c r="AL170" i="16"/>
  <c r="AL171" i="16"/>
  <c r="AL172" i="16"/>
  <c r="AL173" i="16"/>
  <c r="AL174" i="16"/>
  <c r="AL175" i="16"/>
  <c r="AL176" i="16"/>
  <c r="AL177" i="16"/>
  <c r="AL178" i="16"/>
  <c r="AL179" i="16"/>
  <c r="AL180" i="16"/>
  <c r="AL181" i="16"/>
  <c r="AL182" i="16"/>
  <c r="AL183" i="16"/>
  <c r="AL184" i="16"/>
  <c r="AL185" i="16"/>
  <c r="AL186" i="16"/>
  <c r="AL187" i="16"/>
  <c r="AL188" i="16"/>
  <c r="AL189" i="16"/>
  <c r="AL190" i="16"/>
  <c r="AL191" i="16"/>
  <c r="AL192" i="16"/>
  <c r="AL193" i="16"/>
  <c r="AL194" i="16"/>
  <c r="AL195" i="16"/>
  <c r="AL196" i="16"/>
  <c r="AL197" i="16"/>
  <c r="AL198" i="16"/>
  <c r="AL199" i="16"/>
  <c r="AL200" i="16"/>
  <c r="AL201" i="16"/>
  <c r="AL202" i="16"/>
  <c r="AL203" i="16"/>
  <c r="AL204" i="16"/>
  <c r="AL205" i="16"/>
  <c r="AL206" i="16"/>
  <c r="AL207" i="16"/>
  <c r="AL208" i="16"/>
  <c r="AL209" i="16"/>
  <c r="AL210" i="16"/>
  <c r="AL211" i="16"/>
  <c r="AL212" i="16"/>
  <c r="AL213" i="16"/>
  <c r="AL214" i="16"/>
  <c r="AL215" i="16"/>
  <c r="AL216" i="16"/>
  <c r="AL217" i="16"/>
  <c r="AL218" i="16"/>
  <c r="AL219" i="16"/>
  <c r="AL220" i="16"/>
  <c r="AL221" i="16"/>
  <c r="AL222" i="16"/>
  <c r="AL223" i="16"/>
  <c r="AL224" i="16"/>
  <c r="AL225" i="16"/>
  <c r="AL226" i="16"/>
  <c r="AL227" i="16"/>
  <c r="AL228" i="16"/>
  <c r="AL229" i="16"/>
  <c r="AL230" i="16"/>
  <c r="AL231" i="16"/>
  <c r="AL232" i="16"/>
  <c r="AL233" i="16"/>
  <c r="AL234" i="16"/>
  <c r="AL235" i="16"/>
  <c r="AL236" i="16"/>
  <c r="AL237" i="16"/>
  <c r="AL238" i="16"/>
  <c r="AL239" i="16"/>
  <c r="AL240" i="16"/>
  <c r="AL241" i="16"/>
  <c r="AL242" i="16"/>
  <c r="AL243" i="16"/>
  <c r="AL244" i="16"/>
  <c r="AL245" i="16"/>
  <c r="AL246" i="16"/>
  <c r="AL247" i="16"/>
  <c r="AL248" i="16"/>
  <c r="AL249" i="16"/>
  <c r="AL250" i="16"/>
  <c r="AL251" i="16"/>
  <c r="AL252" i="16"/>
  <c r="AL253" i="16"/>
  <c r="AL254" i="16"/>
  <c r="AL255" i="16"/>
  <c r="AL256" i="16"/>
  <c r="AL257" i="16"/>
  <c r="AL258" i="16"/>
  <c r="AL259" i="16"/>
  <c r="AL260" i="16"/>
  <c r="AL261" i="16"/>
  <c r="AL262" i="16"/>
  <c r="AL263" i="16"/>
  <c r="AL264" i="16"/>
  <c r="AL265" i="16"/>
  <c r="AL266" i="16"/>
  <c r="AL267" i="16"/>
  <c r="AL268" i="16"/>
  <c r="AL269" i="16"/>
  <c r="AL270" i="16"/>
  <c r="AL271" i="16"/>
  <c r="AL272" i="16"/>
  <c r="AL273" i="16"/>
  <c r="AL274" i="16"/>
  <c r="AL275" i="16"/>
  <c r="AL276" i="16"/>
  <c r="AL277" i="16"/>
  <c r="AL278" i="16"/>
  <c r="AL279" i="16"/>
  <c r="AL280" i="16"/>
  <c r="AL281" i="16"/>
  <c r="AL282" i="16"/>
  <c r="AL283" i="16"/>
  <c r="AL284" i="16"/>
  <c r="AL285" i="16"/>
  <c r="AL286" i="16"/>
  <c r="AL287" i="16"/>
  <c r="AL288" i="16"/>
  <c r="AL289" i="16"/>
  <c r="AL290" i="16"/>
  <c r="AL291" i="16"/>
  <c r="AL292" i="16"/>
  <c r="AL293" i="16"/>
  <c r="AL294" i="16"/>
  <c r="AL295" i="16"/>
  <c r="AL296" i="16"/>
  <c r="AL297" i="16"/>
  <c r="AL298" i="16"/>
  <c r="AL299" i="16"/>
  <c r="AL300" i="16"/>
  <c r="AL301" i="16"/>
  <c r="AL302" i="16"/>
  <c r="AL303" i="16"/>
  <c r="AL304" i="16"/>
  <c r="AL305" i="16"/>
  <c r="AL306" i="16"/>
  <c r="AL307" i="16"/>
  <c r="AL308" i="16"/>
  <c r="AL309" i="16"/>
  <c r="AL310" i="16"/>
  <c r="AL311" i="16"/>
  <c r="AL312" i="16"/>
  <c r="AL313" i="16"/>
  <c r="AL314" i="16"/>
  <c r="AL315" i="16"/>
  <c r="AL316" i="16"/>
  <c r="AL317" i="16"/>
  <c r="AL318" i="16"/>
  <c r="AL319" i="16"/>
  <c r="AL320" i="16"/>
  <c r="AL321" i="16"/>
  <c r="AL322" i="16"/>
  <c r="AL323" i="16"/>
  <c r="AL324" i="16"/>
  <c r="AL325" i="16"/>
  <c r="AL326" i="16"/>
  <c r="AL327" i="16"/>
  <c r="AL328" i="16"/>
  <c r="AL329" i="16"/>
  <c r="AL330" i="16"/>
  <c r="AL331" i="16"/>
  <c r="AL332" i="16"/>
  <c r="AL333" i="16"/>
  <c r="AL334" i="16"/>
  <c r="AL335" i="16"/>
  <c r="AL336" i="16"/>
  <c r="AL337" i="16"/>
  <c r="AL338" i="16"/>
  <c r="AL339" i="16"/>
  <c r="AL340" i="16"/>
  <c r="AL341" i="16"/>
  <c r="AL342" i="16"/>
  <c r="AL343" i="16"/>
  <c r="AL344" i="16"/>
  <c r="AL345" i="16"/>
  <c r="AL346" i="16"/>
  <c r="AL347" i="16"/>
  <c r="AL348" i="16"/>
  <c r="AL349" i="16"/>
  <c r="AL350" i="16"/>
  <c r="AL351" i="16"/>
  <c r="AL352" i="16"/>
  <c r="AL353" i="16"/>
  <c r="AL354" i="16"/>
  <c r="AL355" i="16"/>
  <c r="AL356" i="16"/>
  <c r="AL357" i="16"/>
  <c r="AL358" i="16"/>
  <c r="AL359" i="16"/>
  <c r="AL360" i="16"/>
  <c r="AL361" i="16"/>
  <c r="AL362" i="16"/>
  <c r="AL363" i="16"/>
  <c r="AL364" i="16"/>
  <c r="AL365" i="16"/>
  <c r="AL366" i="16"/>
  <c r="AL367" i="16"/>
  <c r="AL368" i="16"/>
  <c r="AL369" i="16"/>
  <c r="AL370" i="16"/>
  <c r="AL371" i="16"/>
  <c r="AL372" i="16"/>
  <c r="AL373" i="16"/>
  <c r="AL374" i="16"/>
  <c r="AL375" i="16" l="1"/>
  <c r="AL376" i="16"/>
  <c r="W333" i="16" l="1"/>
  <c r="X5" i="16" l="1"/>
  <c r="X6" i="16"/>
  <c r="X7" i="16"/>
  <c r="X8" i="16"/>
  <c r="X9" i="16"/>
  <c r="X10" i="16"/>
  <c r="X11" i="16"/>
  <c r="X12" i="16"/>
  <c r="X13" i="16"/>
  <c r="X14" i="16"/>
  <c r="X15" i="16"/>
  <c r="X16" i="16"/>
  <c r="X17" i="16"/>
  <c r="X18" i="16"/>
  <c r="X19" i="16"/>
  <c r="X20" i="16"/>
  <c r="X21" i="16"/>
  <c r="X22" i="16"/>
  <c r="X23" i="16"/>
  <c r="X24" i="16"/>
  <c r="X25" i="16"/>
  <c r="X26" i="16"/>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AA68" i="16" s="1"/>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158" i="16"/>
  <c r="X159" i="16"/>
  <c r="X160" i="16"/>
  <c r="X161" i="16"/>
  <c r="X162" i="16"/>
  <c r="X163" i="16"/>
  <c r="X164" i="16"/>
  <c r="X165" i="16"/>
  <c r="X166" i="16"/>
  <c r="X167" i="16"/>
  <c r="X168" i="16"/>
  <c r="X169" i="16"/>
  <c r="X170" i="16"/>
  <c r="X171" i="16"/>
  <c r="X172" i="16"/>
  <c r="X173" i="16"/>
  <c r="X174" i="16"/>
  <c r="X175" i="16"/>
  <c r="X176" i="16"/>
  <c r="X177" i="16"/>
  <c r="X178" i="16"/>
  <c r="X179" i="16"/>
  <c r="X180" i="16"/>
  <c r="X181" i="16"/>
  <c r="X182" i="16"/>
  <c r="X183" i="16"/>
  <c r="X184" i="16"/>
  <c r="X185" i="16"/>
  <c r="X186" i="16"/>
  <c r="X187" i="16"/>
  <c r="X188" i="16"/>
  <c r="X189" i="16"/>
  <c r="X190" i="16"/>
  <c r="X191" i="16"/>
  <c r="X192" i="16"/>
  <c r="X193" i="16"/>
  <c r="X194" i="16"/>
  <c r="X195" i="16"/>
  <c r="X196" i="16"/>
  <c r="X197" i="16"/>
  <c r="X198" i="16"/>
  <c r="X199" i="16"/>
  <c r="X200" i="16"/>
  <c r="X201" i="16"/>
  <c r="X202" i="16"/>
  <c r="X203" i="16"/>
  <c r="X204" i="16"/>
  <c r="X205" i="16"/>
  <c r="X206" i="16"/>
  <c r="X207" i="16"/>
  <c r="X208" i="16"/>
  <c r="X209" i="16"/>
  <c r="X210" i="16"/>
  <c r="X211" i="16"/>
  <c r="X212" i="16"/>
  <c r="X213" i="16"/>
  <c r="X214" i="16"/>
  <c r="X215" i="16"/>
  <c r="X216" i="16"/>
  <c r="X217" i="16"/>
  <c r="X218" i="16"/>
  <c r="X219" i="16"/>
  <c r="X220" i="16"/>
  <c r="X221" i="16"/>
  <c r="X222" i="16"/>
  <c r="X223" i="16"/>
  <c r="X224" i="16"/>
  <c r="X225" i="16"/>
  <c r="X226" i="16"/>
  <c r="X227" i="16"/>
  <c r="X228" i="16"/>
  <c r="X229" i="16"/>
  <c r="X230" i="16"/>
  <c r="X231" i="16"/>
  <c r="X232" i="16"/>
  <c r="X233" i="16"/>
  <c r="X234" i="16"/>
  <c r="X235" i="16"/>
  <c r="X236" i="16"/>
  <c r="X237" i="16"/>
  <c r="X238" i="16"/>
  <c r="X239" i="16"/>
  <c r="X240" i="16"/>
  <c r="X241" i="16"/>
  <c r="X242" i="16"/>
  <c r="X243" i="16"/>
  <c r="X244" i="16"/>
  <c r="X245" i="16"/>
  <c r="X246" i="16"/>
  <c r="X247" i="16"/>
  <c r="X248" i="16"/>
  <c r="X249" i="16"/>
  <c r="X250" i="16"/>
  <c r="X251" i="16"/>
  <c r="X252" i="16"/>
  <c r="X253" i="16"/>
  <c r="X254" i="16"/>
  <c r="X255" i="16"/>
  <c r="X256" i="16"/>
  <c r="X257" i="16"/>
  <c r="X258" i="16"/>
  <c r="X259" i="16"/>
  <c r="X260" i="16"/>
  <c r="X261" i="16"/>
  <c r="X262" i="16"/>
  <c r="X263" i="16"/>
  <c r="X264" i="16"/>
  <c r="X265" i="16"/>
  <c r="X266" i="16"/>
  <c r="X267" i="16"/>
  <c r="X268" i="16"/>
  <c r="X269" i="16"/>
  <c r="X270" i="16"/>
  <c r="X271" i="16"/>
  <c r="X272" i="16"/>
  <c r="X273" i="16"/>
  <c r="X274" i="16"/>
  <c r="X275" i="16"/>
  <c r="X276" i="16"/>
  <c r="X277" i="16"/>
  <c r="X278" i="16"/>
  <c r="X279" i="16"/>
  <c r="X280" i="16"/>
  <c r="X281" i="16"/>
  <c r="X282" i="16"/>
  <c r="X283" i="16"/>
  <c r="X284" i="16"/>
  <c r="X285" i="16"/>
  <c r="X286" i="16"/>
  <c r="X287" i="16"/>
  <c r="X288" i="16"/>
  <c r="X289" i="16"/>
  <c r="X290" i="16"/>
  <c r="X291" i="16"/>
  <c r="X292" i="16"/>
  <c r="X293" i="16"/>
  <c r="X294" i="16"/>
  <c r="X295" i="16"/>
  <c r="X296" i="16"/>
  <c r="X297" i="16"/>
  <c r="X298" i="16"/>
  <c r="X299" i="16"/>
  <c r="X300" i="16"/>
  <c r="X301" i="16"/>
  <c r="X302" i="16"/>
  <c r="X304" i="16"/>
  <c r="X305" i="16"/>
  <c r="X306" i="16"/>
  <c r="X307" i="16"/>
  <c r="X308" i="16"/>
  <c r="X309" i="16"/>
  <c r="X310" i="16"/>
  <c r="X311" i="16"/>
  <c r="X312" i="16"/>
  <c r="X313" i="16"/>
  <c r="X314" i="16"/>
  <c r="X315" i="16"/>
  <c r="X316" i="16"/>
  <c r="X317" i="16"/>
  <c r="X318" i="16"/>
  <c r="X319" i="16"/>
  <c r="X320" i="16"/>
  <c r="X321" i="16"/>
  <c r="X322" i="16"/>
  <c r="X323" i="16"/>
  <c r="X324" i="16"/>
  <c r="X325" i="16"/>
  <c r="X326" i="16"/>
  <c r="X327" i="16"/>
  <c r="X328" i="16"/>
  <c r="X329" i="16"/>
  <c r="X330" i="16"/>
  <c r="X331" i="16"/>
  <c r="X332" i="16"/>
  <c r="X333" i="16"/>
  <c r="X334" i="16"/>
  <c r="X335" i="16"/>
  <c r="X336" i="16"/>
  <c r="X337" i="16"/>
  <c r="X338" i="16"/>
  <c r="X339" i="16"/>
  <c r="X340" i="16"/>
  <c r="X341" i="16"/>
  <c r="X342" i="16"/>
  <c r="X343" i="16"/>
  <c r="X344" i="16"/>
  <c r="X345" i="16"/>
  <c r="X346" i="16"/>
  <c r="X347" i="16"/>
  <c r="X348" i="16"/>
  <c r="X349" i="16"/>
  <c r="X350" i="16"/>
  <c r="X351" i="16"/>
  <c r="X352" i="16"/>
  <c r="X353" i="16"/>
  <c r="X354" i="16"/>
  <c r="X355" i="16"/>
  <c r="X356" i="16"/>
  <c r="X357" i="16"/>
  <c r="X358" i="16"/>
  <c r="X359" i="16"/>
  <c r="X360" i="16"/>
  <c r="X361" i="16"/>
  <c r="X362" i="16"/>
  <c r="X363" i="16"/>
  <c r="X364" i="16"/>
  <c r="X365" i="16"/>
  <c r="X366" i="16"/>
  <c r="X367" i="16"/>
  <c r="X368" i="16"/>
  <c r="X369" i="16"/>
  <c r="X370" i="16"/>
  <c r="X371" i="16"/>
  <c r="X372" i="16"/>
  <c r="X373" i="16"/>
  <c r="X374" i="16"/>
  <c r="X375" i="16"/>
  <c r="X376" i="16"/>
  <c r="X377" i="16"/>
  <c r="X378" i="16"/>
  <c r="X379" i="16"/>
  <c r="X380" i="16"/>
  <c r="X381" i="16"/>
  <c r="X382" i="16"/>
  <c r="X383" i="16"/>
  <c r="X384" i="16"/>
  <c r="X385" i="16"/>
  <c r="X386" i="16"/>
  <c r="X387" i="16"/>
  <c r="X388" i="16"/>
  <c r="X389" i="16"/>
  <c r="X390" i="16"/>
  <c r="X391" i="16"/>
  <c r="X392" i="16"/>
  <c r="X393" i="16"/>
  <c r="X394" i="16"/>
  <c r="X395" i="16"/>
  <c r="X396" i="16"/>
  <c r="X397" i="16"/>
  <c r="X398" i="16"/>
  <c r="X399" i="16"/>
  <c r="X400" i="16"/>
  <c r="X401" i="16"/>
  <c r="X402" i="16"/>
  <c r="X403" i="16"/>
  <c r="X404" i="16"/>
  <c r="X405" i="16"/>
  <c r="X406" i="16"/>
  <c r="X407" i="16"/>
  <c r="X408" i="16"/>
  <c r="X409" i="16"/>
  <c r="X410" i="16"/>
  <c r="X411" i="16"/>
  <c r="X412" i="16"/>
  <c r="X413" i="16"/>
  <c r="X414" i="16"/>
  <c r="X415" i="16"/>
  <c r="X416" i="16"/>
  <c r="X417" i="16"/>
  <c r="X418" i="16"/>
  <c r="X419" i="16"/>
  <c r="X420" i="16"/>
  <c r="X421" i="16"/>
  <c r="X422" i="16"/>
  <c r="X423" i="16"/>
  <c r="X424" i="16"/>
  <c r="X425" i="16"/>
  <c r="X426" i="16"/>
  <c r="X427" i="16"/>
  <c r="X428" i="16"/>
  <c r="X429" i="16"/>
  <c r="X430" i="16"/>
  <c r="X431" i="16"/>
  <c r="X432" i="16"/>
  <c r="X433" i="16"/>
  <c r="X434" i="16"/>
  <c r="X435" i="16"/>
  <c r="X436" i="16"/>
  <c r="X437" i="16"/>
  <c r="X438" i="16"/>
  <c r="X439" i="16"/>
  <c r="AA439" i="16" s="1"/>
  <c r="X440" i="16"/>
  <c r="X441" i="16"/>
  <c r="X442" i="16"/>
  <c r="X443" i="16"/>
  <c r="X444" i="16"/>
  <c r="X445" i="16"/>
  <c r="X446" i="16"/>
  <c r="X447" i="16"/>
  <c r="X448" i="16"/>
  <c r="X449" i="16"/>
  <c r="X450" i="16"/>
  <c r="X451" i="16"/>
  <c r="X452" i="16"/>
  <c r="X453" i="16"/>
  <c r="X454" i="16"/>
  <c r="X455" i="16"/>
  <c r="X456" i="16"/>
  <c r="X457" i="16"/>
  <c r="X458" i="16"/>
  <c r="X459" i="16"/>
  <c r="X460" i="16"/>
  <c r="X461" i="16"/>
  <c r="X462" i="16"/>
  <c r="X463" i="16"/>
  <c r="X464" i="16"/>
  <c r="X465" i="16"/>
  <c r="X466" i="16"/>
  <c r="X467" i="16"/>
  <c r="X468" i="16"/>
  <c r="X469" i="16"/>
  <c r="X470" i="16"/>
  <c r="X471" i="16"/>
  <c r="X472" i="16"/>
  <c r="X473" i="16"/>
  <c r="X474" i="16"/>
  <c r="X475" i="16"/>
  <c r="X476" i="16"/>
  <c r="X477" i="16"/>
  <c r="X478" i="16"/>
  <c r="X479" i="16"/>
  <c r="X480" i="16"/>
  <c r="X481" i="16"/>
  <c r="X482" i="16"/>
  <c r="X483" i="16"/>
  <c r="X484" i="16"/>
  <c r="X485" i="16"/>
  <c r="X486" i="16"/>
  <c r="X487" i="16"/>
  <c r="X488" i="16"/>
  <c r="X489" i="16"/>
  <c r="X490" i="16"/>
  <c r="X491" i="16"/>
  <c r="X492" i="16"/>
  <c r="X493" i="16"/>
  <c r="X494" i="16"/>
  <c r="X495" i="16"/>
  <c r="X496" i="16"/>
  <c r="X497" i="16"/>
  <c r="X498" i="16"/>
  <c r="X499" i="16"/>
  <c r="X500" i="16"/>
  <c r="X501" i="16"/>
  <c r="X502" i="16"/>
  <c r="X503" i="16"/>
  <c r="X504" i="16"/>
  <c r="X505" i="16"/>
  <c r="X506" i="16"/>
  <c r="X507" i="16"/>
  <c r="X508" i="16"/>
  <c r="X509" i="16"/>
  <c r="X510" i="16"/>
  <c r="X511" i="16"/>
  <c r="X512" i="16"/>
  <c r="X513" i="16"/>
  <c r="X514" i="16"/>
  <c r="X515" i="16"/>
  <c r="X516" i="16"/>
  <c r="X517" i="16"/>
  <c r="X518" i="16"/>
  <c r="X519" i="16"/>
  <c r="X520" i="16"/>
  <c r="X521" i="16"/>
  <c r="X522" i="16"/>
  <c r="X523" i="16"/>
  <c r="X524" i="16"/>
  <c r="X525" i="16"/>
  <c r="X526" i="16"/>
  <c r="X527" i="16"/>
  <c r="X528" i="16"/>
  <c r="X529" i="16"/>
  <c r="X530" i="16"/>
  <c r="X531" i="16"/>
  <c r="X532" i="16"/>
  <c r="X533" i="16"/>
  <c r="X534" i="16"/>
  <c r="X535" i="16"/>
  <c r="X536" i="16"/>
  <c r="X537" i="16"/>
  <c r="X538" i="16"/>
  <c r="X539" i="16"/>
  <c r="X540" i="16"/>
  <c r="X541" i="16"/>
  <c r="X542" i="16"/>
  <c r="X543" i="16"/>
  <c r="X544" i="16"/>
  <c r="X545" i="16"/>
  <c r="X546" i="16"/>
  <c r="X547" i="16"/>
  <c r="X548" i="16"/>
  <c r="X549" i="16"/>
  <c r="X550" i="16"/>
  <c r="X551" i="16"/>
  <c r="X552" i="16"/>
  <c r="X553" i="16"/>
  <c r="X554" i="16"/>
  <c r="X555" i="16"/>
  <c r="X556" i="16"/>
  <c r="X557" i="16"/>
  <c r="X558" i="16"/>
  <c r="X559" i="16"/>
  <c r="X560" i="16"/>
  <c r="X561" i="16"/>
  <c r="X562" i="16"/>
  <c r="X563" i="16"/>
  <c r="X564" i="16"/>
  <c r="X565" i="16"/>
  <c r="X566" i="16"/>
  <c r="X567" i="16"/>
  <c r="X568" i="16"/>
  <c r="X569" i="16"/>
  <c r="X570" i="16"/>
  <c r="X571" i="16"/>
  <c r="X572" i="16"/>
  <c r="X573" i="16"/>
  <c r="X574" i="16"/>
  <c r="X575" i="16"/>
  <c r="X576" i="16"/>
  <c r="X577" i="16"/>
  <c r="X578" i="16"/>
  <c r="X579" i="16"/>
  <c r="X580" i="16"/>
  <c r="X581" i="16"/>
  <c r="X582" i="16"/>
  <c r="X583" i="16"/>
  <c r="X584" i="16"/>
  <c r="X585" i="16"/>
  <c r="X586" i="16"/>
  <c r="X587" i="16"/>
  <c r="X588" i="16"/>
  <c r="X589" i="16"/>
  <c r="X590" i="16"/>
  <c r="X591" i="16"/>
  <c r="X592" i="16"/>
  <c r="X593" i="16"/>
  <c r="X594" i="16"/>
  <c r="X595" i="16"/>
  <c r="X596" i="16"/>
  <c r="X597" i="16"/>
  <c r="X598" i="16"/>
  <c r="X599" i="16"/>
  <c r="X600" i="16"/>
  <c r="X601" i="16"/>
  <c r="X602" i="16"/>
  <c r="X603" i="16"/>
  <c r="X604" i="16"/>
  <c r="X605" i="16"/>
  <c r="X606" i="16"/>
  <c r="X607" i="16"/>
  <c r="X608" i="16"/>
  <c r="X609" i="16"/>
  <c r="X610" i="16"/>
  <c r="X611" i="16"/>
  <c r="X612" i="16"/>
  <c r="X613" i="16"/>
  <c r="X614" i="16"/>
  <c r="X615" i="16"/>
  <c r="X616" i="16"/>
  <c r="X617" i="16"/>
  <c r="X618" i="16"/>
  <c r="X619" i="16"/>
  <c r="X620" i="16"/>
  <c r="X621" i="16"/>
  <c r="X622" i="16"/>
  <c r="X623" i="16"/>
  <c r="X624" i="16"/>
  <c r="X625" i="16"/>
  <c r="X626" i="16"/>
  <c r="X627" i="16"/>
  <c r="X628" i="16"/>
  <c r="X629" i="16"/>
  <c r="X630" i="16"/>
  <c r="X631" i="16"/>
  <c r="X632" i="16"/>
  <c r="X633" i="16"/>
  <c r="X634" i="16"/>
  <c r="X635" i="16"/>
  <c r="X636" i="16"/>
  <c r="X637" i="16"/>
  <c r="X638" i="16"/>
  <c r="X639" i="16"/>
  <c r="X640" i="16"/>
  <c r="X641" i="16"/>
  <c r="X642" i="16"/>
  <c r="X643" i="16"/>
  <c r="X644" i="16"/>
  <c r="X645" i="16"/>
  <c r="X646" i="16"/>
  <c r="X647" i="16"/>
  <c r="X648" i="16"/>
  <c r="X649" i="16"/>
  <c r="X650" i="16"/>
  <c r="X651" i="16"/>
  <c r="X652" i="16"/>
  <c r="X653" i="16"/>
  <c r="X654" i="16"/>
  <c r="X655" i="16"/>
  <c r="X656" i="16"/>
  <c r="X657" i="16"/>
  <c r="X658" i="16"/>
  <c r="X659" i="16"/>
  <c r="X660" i="16"/>
  <c r="X661" i="16"/>
  <c r="X662" i="16"/>
  <c r="X663" i="16"/>
  <c r="X664" i="16"/>
  <c r="X665" i="16"/>
  <c r="X666" i="16"/>
  <c r="X667" i="16"/>
  <c r="X668" i="16"/>
  <c r="X669" i="16"/>
  <c r="X670" i="16"/>
  <c r="X671" i="16"/>
  <c r="X672" i="16"/>
  <c r="X673" i="16"/>
  <c r="X674" i="16"/>
  <c r="X675" i="16"/>
  <c r="X676" i="16"/>
  <c r="X677" i="16"/>
  <c r="X678" i="16"/>
  <c r="X679" i="16"/>
  <c r="X680" i="16"/>
  <c r="X681" i="16"/>
  <c r="X682" i="16"/>
  <c r="X683" i="16"/>
  <c r="X684" i="16"/>
  <c r="X685" i="16"/>
  <c r="X686" i="16"/>
  <c r="X687" i="16"/>
  <c r="X688" i="16"/>
  <c r="X689" i="16"/>
  <c r="X690" i="16"/>
  <c r="X691" i="16"/>
  <c r="X692" i="16"/>
  <c r="X693" i="16"/>
  <c r="X694" i="16"/>
  <c r="X695" i="16"/>
  <c r="X696" i="16"/>
  <c r="X697" i="16"/>
  <c r="X698" i="16"/>
  <c r="X699" i="16"/>
  <c r="X700" i="16"/>
  <c r="X701" i="16"/>
  <c r="X702" i="16"/>
  <c r="X703" i="16"/>
  <c r="X704" i="16"/>
  <c r="X705" i="16"/>
  <c r="X706" i="16"/>
  <c r="X707" i="16"/>
  <c r="X708" i="16"/>
  <c r="X709" i="16"/>
  <c r="X710" i="16"/>
  <c r="X711" i="16"/>
  <c r="X712" i="16"/>
  <c r="X713" i="16"/>
  <c r="X714" i="16"/>
  <c r="X715" i="16"/>
  <c r="X716" i="16"/>
  <c r="X717" i="16"/>
  <c r="X718" i="16"/>
  <c r="X719" i="16"/>
  <c r="X720" i="16"/>
  <c r="X721" i="16"/>
  <c r="X722" i="16"/>
  <c r="X723" i="16"/>
  <c r="X724" i="16"/>
  <c r="X725" i="16"/>
  <c r="X726" i="16"/>
  <c r="X727" i="16"/>
  <c r="X728" i="16"/>
  <c r="X729" i="16"/>
  <c r="X730" i="16"/>
  <c r="X731" i="16"/>
  <c r="X732" i="16"/>
  <c r="X733" i="16"/>
  <c r="X734" i="16"/>
  <c r="X735" i="16"/>
  <c r="X736" i="16"/>
  <c r="X737" i="16"/>
  <c r="X738" i="16"/>
  <c r="X739" i="16"/>
  <c r="X740" i="16"/>
  <c r="X741" i="16"/>
  <c r="X742" i="16"/>
  <c r="X743" i="16"/>
  <c r="X744" i="16"/>
  <c r="X745" i="16"/>
  <c r="X746" i="16"/>
  <c r="X747" i="16"/>
  <c r="X748" i="16"/>
  <c r="X749" i="16"/>
  <c r="X750" i="16"/>
  <c r="X751" i="16"/>
  <c r="X752" i="16"/>
  <c r="X753" i="16"/>
  <c r="X754" i="16"/>
  <c r="X755" i="16"/>
  <c r="X756" i="16"/>
  <c r="X757" i="16"/>
  <c r="X758" i="16"/>
  <c r="X759" i="16"/>
  <c r="X760" i="16"/>
  <c r="X761" i="16"/>
  <c r="X762" i="16"/>
  <c r="X763" i="16"/>
  <c r="X764" i="16"/>
  <c r="X765" i="16"/>
  <c r="X766" i="16"/>
  <c r="X767" i="16"/>
  <c r="X768" i="16"/>
  <c r="X769" i="16"/>
  <c r="X770" i="16"/>
  <c r="X771" i="16"/>
  <c r="X772" i="16"/>
  <c r="X773" i="16"/>
  <c r="X774" i="16"/>
  <c r="X775" i="16"/>
  <c r="X776" i="16"/>
  <c r="X777" i="16"/>
  <c r="X778" i="16"/>
  <c r="X779" i="16"/>
  <c r="X780" i="16"/>
  <c r="X781" i="16"/>
  <c r="X782" i="16"/>
  <c r="X783" i="16"/>
  <c r="X784" i="16"/>
  <c r="X785" i="16"/>
  <c r="X786" i="16"/>
  <c r="X787" i="16"/>
  <c r="X788" i="16"/>
  <c r="X789" i="16"/>
  <c r="X790" i="16"/>
  <c r="X791" i="16"/>
  <c r="X792" i="16"/>
  <c r="X793" i="16"/>
  <c r="X794" i="16"/>
  <c r="X795" i="16"/>
  <c r="X796" i="16"/>
  <c r="X797" i="16"/>
  <c r="X798" i="16"/>
  <c r="X799" i="16"/>
  <c r="X800" i="16"/>
  <c r="X801" i="16"/>
  <c r="X802" i="16"/>
  <c r="X803" i="16"/>
  <c r="X804" i="16"/>
  <c r="X805" i="16"/>
  <c r="X806" i="16"/>
  <c r="X807" i="16"/>
  <c r="X808" i="16"/>
  <c r="X809" i="16"/>
  <c r="X810" i="16"/>
  <c r="AA810" i="16" s="1"/>
  <c r="X811" i="16"/>
  <c r="X812" i="16"/>
  <c r="X813" i="16"/>
  <c r="X814" i="16"/>
  <c r="X815" i="16"/>
  <c r="X816" i="16"/>
  <c r="X817" i="16"/>
  <c r="X818" i="16"/>
  <c r="X819" i="16"/>
  <c r="X820" i="16"/>
  <c r="X821" i="16"/>
  <c r="X822" i="16"/>
  <c r="X823" i="16"/>
  <c r="X824" i="16"/>
  <c r="X825" i="16"/>
  <c r="X826" i="16"/>
  <c r="X827" i="16"/>
  <c r="X828" i="16"/>
  <c r="X829" i="16"/>
  <c r="X830" i="16"/>
  <c r="X831" i="16"/>
  <c r="X832" i="16"/>
  <c r="X833" i="16"/>
  <c r="X834" i="16"/>
  <c r="X835" i="16"/>
  <c r="X836" i="16"/>
  <c r="X837" i="16"/>
  <c r="X838" i="16"/>
  <c r="X839" i="16"/>
  <c r="X840" i="16"/>
  <c r="X841" i="16"/>
  <c r="X842" i="16"/>
  <c r="X843" i="16"/>
  <c r="X844" i="16"/>
  <c r="X845" i="16"/>
  <c r="X846" i="16"/>
  <c r="X847" i="16"/>
  <c r="X848" i="16"/>
  <c r="X849" i="16"/>
  <c r="X850" i="16"/>
  <c r="X851" i="16"/>
  <c r="X852" i="16"/>
  <c r="X853" i="16"/>
  <c r="X854" i="16"/>
  <c r="X855" i="16"/>
  <c r="X856" i="16"/>
  <c r="X857" i="16"/>
  <c r="X858" i="16"/>
  <c r="X859" i="16"/>
  <c r="X860" i="16"/>
  <c r="X861" i="16"/>
  <c r="X862" i="16"/>
  <c r="X863" i="16"/>
  <c r="X864" i="16"/>
  <c r="X865" i="16"/>
  <c r="X866" i="16"/>
  <c r="X867" i="16"/>
  <c r="X868" i="16"/>
  <c r="X869" i="16"/>
  <c r="X870" i="16"/>
  <c r="X871" i="16"/>
  <c r="X872" i="16"/>
  <c r="X873" i="16"/>
  <c r="X874" i="16"/>
  <c r="X875" i="16"/>
  <c r="X876" i="16"/>
  <c r="X877" i="16"/>
  <c r="X878" i="16"/>
  <c r="X879" i="16"/>
  <c r="X880" i="16"/>
  <c r="X881" i="16"/>
  <c r="X882" i="16"/>
  <c r="X883" i="16"/>
  <c r="X884" i="16"/>
  <c r="X885" i="16"/>
  <c r="X886" i="16"/>
  <c r="X887" i="16"/>
  <c r="X888" i="16"/>
  <c r="X889" i="16"/>
  <c r="X890" i="16"/>
  <c r="X891" i="16"/>
  <c r="X892" i="16"/>
  <c r="X893" i="16"/>
  <c r="X894" i="16"/>
  <c r="X895" i="16"/>
  <c r="X896" i="16"/>
  <c r="X897" i="16"/>
  <c r="X898" i="16"/>
  <c r="X899" i="16"/>
  <c r="X900" i="16"/>
  <c r="X901" i="16"/>
  <c r="X902" i="16"/>
  <c r="X903" i="16"/>
  <c r="X904" i="16"/>
  <c r="X905" i="16"/>
  <c r="X906" i="16"/>
  <c r="X907" i="16"/>
  <c r="X908" i="16"/>
  <c r="X909" i="16"/>
  <c r="X910" i="16"/>
  <c r="X911" i="16"/>
  <c r="X912" i="16"/>
  <c r="X913" i="16"/>
  <c r="X914" i="16"/>
  <c r="X915" i="16"/>
  <c r="X916" i="16"/>
  <c r="X917" i="16"/>
  <c r="X918" i="16"/>
  <c r="X919" i="16"/>
  <c r="X920" i="16"/>
  <c r="X921" i="16"/>
  <c r="X922" i="16"/>
  <c r="X923" i="16"/>
  <c r="X924" i="16"/>
  <c r="X925" i="16"/>
  <c r="X926" i="16"/>
  <c r="X927" i="16"/>
  <c r="X928" i="16"/>
  <c r="X929" i="16"/>
  <c r="X930" i="16"/>
  <c r="X931" i="16"/>
  <c r="X932" i="16"/>
  <c r="X933" i="16"/>
  <c r="X934" i="16"/>
  <c r="X935" i="16"/>
  <c r="X936" i="16"/>
  <c r="X937" i="16"/>
  <c r="X938" i="16"/>
  <c r="X939" i="16"/>
  <c r="X940" i="16"/>
  <c r="X941" i="16"/>
  <c r="X942" i="16"/>
  <c r="X943" i="16"/>
  <c r="X944" i="16"/>
  <c r="X945" i="16"/>
  <c r="X946" i="16"/>
  <c r="X947" i="16"/>
  <c r="X948" i="16"/>
  <c r="X949" i="16"/>
  <c r="X950" i="16"/>
  <c r="X951" i="16"/>
  <c r="X952" i="16"/>
  <c r="X953" i="16"/>
  <c r="X954" i="16"/>
  <c r="X955" i="16"/>
  <c r="X956" i="16"/>
  <c r="X957" i="16"/>
  <c r="X958" i="16"/>
  <c r="X959" i="16"/>
  <c r="X960" i="16"/>
  <c r="X961" i="16"/>
  <c r="X962" i="16"/>
  <c r="X963" i="16"/>
  <c r="X965" i="16"/>
  <c r="X966" i="16"/>
  <c r="X967" i="16"/>
  <c r="X968" i="16"/>
  <c r="X969" i="16"/>
  <c r="X970" i="16"/>
  <c r="X971" i="16"/>
  <c r="X972" i="16"/>
  <c r="X973" i="16"/>
  <c r="X974" i="16"/>
  <c r="X975" i="16"/>
  <c r="X976" i="16"/>
  <c r="X977" i="16"/>
  <c r="X978" i="16"/>
  <c r="X979" i="16"/>
  <c r="X980" i="16"/>
  <c r="X981" i="16"/>
  <c r="X982" i="16"/>
  <c r="X983" i="16"/>
  <c r="X984" i="16"/>
  <c r="X985" i="16"/>
  <c r="X986" i="16"/>
  <c r="X987" i="16"/>
  <c r="X988" i="16"/>
  <c r="X989" i="16"/>
  <c r="X990" i="16"/>
  <c r="X991" i="16"/>
  <c r="X992" i="16"/>
  <c r="X993" i="16"/>
  <c r="X994" i="16"/>
  <c r="X995" i="16"/>
  <c r="X996" i="16"/>
  <c r="X997" i="16"/>
  <c r="X998" i="16"/>
  <c r="X999" i="16"/>
  <c r="X1000" i="16"/>
  <c r="X1001" i="16"/>
  <c r="X1002" i="16"/>
  <c r="X1003" i="16"/>
  <c r="X1004" i="16"/>
  <c r="X1005" i="16"/>
  <c r="X1006" i="16"/>
  <c r="X1007" i="16"/>
  <c r="X1008" i="16"/>
  <c r="X1009" i="16"/>
  <c r="X1010" i="16"/>
  <c r="X1011" i="16"/>
  <c r="X1012" i="16"/>
  <c r="X1013" i="16"/>
  <c r="X1014" i="16"/>
  <c r="X1015" i="16"/>
  <c r="X1016" i="16"/>
  <c r="X1017" i="16"/>
  <c r="X1018" i="16"/>
  <c r="X1019" i="16"/>
  <c r="X1020" i="16"/>
  <c r="X1021" i="16"/>
  <c r="X1022" i="16"/>
  <c r="X1023" i="16"/>
  <c r="X1024" i="16"/>
  <c r="X1025" i="16"/>
  <c r="X1026" i="16"/>
  <c r="X1027" i="16"/>
  <c r="X1028" i="16"/>
  <c r="X1029" i="16"/>
  <c r="X1030" i="16"/>
  <c r="X1031" i="16"/>
  <c r="X1032" i="16"/>
  <c r="X1033" i="16"/>
  <c r="X1034" i="16"/>
  <c r="X1035" i="16"/>
  <c r="X1036" i="16"/>
  <c r="X1037" i="16"/>
  <c r="X1038" i="16"/>
  <c r="X1039" i="16"/>
  <c r="X1040" i="16"/>
  <c r="X1041" i="16"/>
  <c r="X1042" i="16"/>
  <c r="X1043" i="16"/>
  <c r="X1044" i="16"/>
  <c r="X1045" i="16"/>
  <c r="X1046" i="16"/>
  <c r="X1047" i="16"/>
  <c r="X1048" i="16"/>
  <c r="X1049" i="16"/>
  <c r="X1050" i="16"/>
  <c r="X1051" i="16"/>
  <c r="X1052" i="16"/>
  <c r="X1053" i="16"/>
  <c r="X1054" i="16"/>
  <c r="X1055" i="16"/>
  <c r="X1056" i="16"/>
  <c r="X1057" i="16"/>
  <c r="X1058" i="16"/>
  <c r="X1059" i="16"/>
  <c r="X1060" i="16"/>
  <c r="X1061" i="16"/>
  <c r="X1062" i="16"/>
  <c r="X1063" i="16"/>
  <c r="X1064" i="16"/>
  <c r="X1065" i="16"/>
  <c r="X1066" i="16"/>
  <c r="X1067" i="16"/>
  <c r="X1068" i="16"/>
  <c r="X1069" i="16"/>
  <c r="X1070" i="16"/>
  <c r="X1071" i="16"/>
  <c r="X1072" i="16"/>
  <c r="X1073" i="16"/>
  <c r="X1074" i="16"/>
  <c r="X1075" i="16"/>
  <c r="X1076" i="16"/>
  <c r="X1077" i="16"/>
  <c r="X1078" i="16"/>
  <c r="X1079" i="16"/>
  <c r="X1080" i="16"/>
  <c r="X1081" i="16"/>
  <c r="X1082" i="16"/>
  <c r="X1083" i="16"/>
  <c r="X1084" i="16"/>
  <c r="X1085" i="16"/>
  <c r="X1086" i="16"/>
  <c r="X1087" i="16"/>
  <c r="X1088" i="16"/>
  <c r="X1089" i="16"/>
  <c r="X1090" i="16"/>
  <c r="X1091" i="16"/>
  <c r="X1092" i="16"/>
  <c r="X1093" i="16"/>
  <c r="X1094" i="16"/>
  <c r="X1095" i="16"/>
  <c r="X1096" i="16"/>
  <c r="X1097" i="16"/>
  <c r="X1098" i="16"/>
  <c r="X1099" i="16"/>
  <c r="X1100" i="16"/>
  <c r="X1101" i="16"/>
  <c r="X1102" i="16"/>
  <c r="X1103" i="16"/>
  <c r="X1104" i="16"/>
  <c r="X1105" i="16"/>
  <c r="X1106" i="16"/>
  <c r="X1107" i="16"/>
  <c r="X1108" i="16"/>
  <c r="X1109" i="16"/>
  <c r="X1110" i="16"/>
  <c r="X1111" i="16"/>
  <c r="X1112" i="16"/>
  <c r="X1113" i="16"/>
  <c r="X1114" i="16"/>
  <c r="X1115" i="16"/>
  <c r="X1116" i="16"/>
  <c r="X4" i="16"/>
  <c r="W375" i="16"/>
  <c r="W5" i="16"/>
  <c r="W6" i="16"/>
  <c r="W7"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W55" i="16"/>
  <c r="W56" i="16"/>
  <c r="W57" i="16"/>
  <c r="W58" i="16"/>
  <c r="W59" i="16"/>
  <c r="W60" i="16"/>
  <c r="W61" i="16"/>
  <c r="W62" i="16"/>
  <c r="W63" i="16"/>
  <c r="W64" i="16"/>
  <c r="W65" i="16"/>
  <c r="W66" i="16"/>
  <c r="W67" i="16"/>
  <c r="W68" i="16"/>
  <c r="W69" i="16"/>
  <c r="W70" i="16"/>
  <c r="W71" i="16"/>
  <c r="W72" i="16"/>
  <c r="W73" i="16"/>
  <c r="W74" i="16"/>
  <c r="W75" i="16"/>
  <c r="W76" i="16"/>
  <c r="W77" i="16"/>
  <c r="W78" i="16"/>
  <c r="W79" i="16"/>
  <c r="W80" i="16"/>
  <c r="W81" i="16"/>
  <c r="W82" i="16"/>
  <c r="W83" i="16"/>
  <c r="W84" i="16"/>
  <c r="W85" i="16"/>
  <c r="W86" i="16"/>
  <c r="W87" i="16"/>
  <c r="W88" i="16"/>
  <c r="W89" i="16"/>
  <c r="W90" i="16"/>
  <c r="W91" i="16"/>
  <c r="W92" i="16"/>
  <c r="W93" i="16"/>
  <c r="W94" i="16"/>
  <c r="W95" i="16"/>
  <c r="W96" i="16"/>
  <c r="W97" i="16"/>
  <c r="W98" i="16"/>
  <c r="W99" i="16"/>
  <c r="W100" i="16"/>
  <c r="W101" i="16"/>
  <c r="W102" i="16"/>
  <c r="W103" i="16"/>
  <c r="W104" i="16"/>
  <c r="W105" i="16"/>
  <c r="W106" i="16"/>
  <c r="W107" i="16"/>
  <c r="W108" i="16"/>
  <c r="W109" i="16"/>
  <c r="W110" i="16"/>
  <c r="W111" i="16"/>
  <c r="W112" i="16"/>
  <c r="W113" i="16"/>
  <c r="W114" i="16"/>
  <c r="W115" i="16"/>
  <c r="W116" i="16"/>
  <c r="W117" i="16"/>
  <c r="W118" i="16"/>
  <c r="W119" i="16"/>
  <c r="W120" i="16"/>
  <c r="W121" i="16"/>
  <c r="W122" i="16"/>
  <c r="W123" i="16"/>
  <c r="W124" i="16"/>
  <c r="W125" i="16"/>
  <c r="W126" i="16"/>
  <c r="W127" i="16"/>
  <c r="W128" i="16"/>
  <c r="W129" i="16"/>
  <c r="W130" i="16"/>
  <c r="W131" i="16"/>
  <c r="W132" i="16"/>
  <c r="W133" i="16"/>
  <c r="W134" i="16"/>
  <c r="W135" i="16"/>
  <c r="W136" i="16"/>
  <c r="W137" i="16"/>
  <c r="W138" i="16"/>
  <c r="W139" i="16"/>
  <c r="W140" i="16"/>
  <c r="W141" i="16"/>
  <c r="W142" i="16"/>
  <c r="W143" i="16"/>
  <c r="W144" i="16"/>
  <c r="W145" i="16"/>
  <c r="W146" i="16"/>
  <c r="W147" i="16"/>
  <c r="W148" i="16"/>
  <c r="W149" i="16"/>
  <c r="W150" i="16"/>
  <c r="W151" i="16"/>
  <c r="W152" i="16"/>
  <c r="W153" i="16"/>
  <c r="W154" i="16"/>
  <c r="W155" i="16"/>
  <c r="W156" i="16"/>
  <c r="W157" i="16"/>
  <c r="W158" i="16"/>
  <c r="W159" i="16"/>
  <c r="W160" i="16"/>
  <c r="W161" i="16"/>
  <c r="W162" i="16"/>
  <c r="W163" i="16"/>
  <c r="W164" i="16"/>
  <c r="W165" i="16"/>
  <c r="W166" i="16"/>
  <c r="W167" i="16"/>
  <c r="W168" i="16"/>
  <c r="W169" i="16"/>
  <c r="W170" i="16"/>
  <c r="W171" i="16"/>
  <c r="W172" i="16"/>
  <c r="W173" i="16"/>
  <c r="W174" i="16"/>
  <c r="W175" i="16"/>
  <c r="W176" i="16"/>
  <c r="W177" i="16"/>
  <c r="W178" i="16"/>
  <c r="W179" i="16"/>
  <c r="W180" i="16"/>
  <c r="W181" i="16"/>
  <c r="W182" i="16"/>
  <c r="W183" i="16"/>
  <c r="W184" i="16"/>
  <c r="W185" i="16"/>
  <c r="W186" i="16"/>
  <c r="W187" i="16"/>
  <c r="W188" i="16"/>
  <c r="W189" i="16"/>
  <c r="W190" i="16"/>
  <c r="W191" i="16"/>
  <c r="W192" i="16"/>
  <c r="W193" i="16"/>
  <c r="W194" i="16"/>
  <c r="W195" i="16"/>
  <c r="W196" i="16"/>
  <c r="W197" i="16"/>
  <c r="W198" i="16"/>
  <c r="W199" i="16"/>
  <c r="W200" i="16"/>
  <c r="W201" i="16"/>
  <c r="W202" i="16"/>
  <c r="W203" i="16"/>
  <c r="W204" i="16"/>
  <c r="W205" i="16"/>
  <c r="W206" i="16"/>
  <c r="W207" i="16"/>
  <c r="W208" i="16"/>
  <c r="W209" i="16"/>
  <c r="W210" i="16"/>
  <c r="W211" i="16"/>
  <c r="W212" i="16"/>
  <c r="W213" i="16"/>
  <c r="W214" i="16"/>
  <c r="W215" i="16"/>
  <c r="W216" i="16"/>
  <c r="W217" i="16"/>
  <c r="W218" i="16"/>
  <c r="W219" i="16"/>
  <c r="W220" i="16"/>
  <c r="W221" i="16"/>
  <c r="W222" i="16"/>
  <c r="W223" i="16"/>
  <c r="W224" i="16"/>
  <c r="W225" i="16"/>
  <c r="W226" i="16"/>
  <c r="W227" i="16"/>
  <c r="W228" i="16"/>
  <c r="W229" i="16"/>
  <c r="W230" i="16"/>
  <c r="W231" i="16"/>
  <c r="W232" i="16"/>
  <c r="W233" i="16"/>
  <c r="W234" i="16"/>
  <c r="W235" i="16"/>
  <c r="W236" i="16"/>
  <c r="W237" i="16"/>
  <c r="W238" i="16"/>
  <c r="W239" i="16"/>
  <c r="W240" i="16"/>
  <c r="W241" i="16"/>
  <c r="W242" i="16"/>
  <c r="W243" i="16"/>
  <c r="W244" i="16"/>
  <c r="W245" i="16"/>
  <c r="W246" i="16"/>
  <c r="W247" i="16"/>
  <c r="W248" i="16"/>
  <c r="W249" i="16"/>
  <c r="W250" i="16"/>
  <c r="W251" i="16"/>
  <c r="W252" i="16"/>
  <c r="W253" i="16"/>
  <c r="W254" i="16"/>
  <c r="W255" i="16"/>
  <c r="W256" i="16"/>
  <c r="W257" i="16"/>
  <c r="W258" i="16"/>
  <c r="W259" i="16"/>
  <c r="W260" i="16"/>
  <c r="W261" i="16"/>
  <c r="W262" i="16"/>
  <c r="W263" i="16"/>
  <c r="W264" i="16"/>
  <c r="W265" i="16"/>
  <c r="W266" i="16"/>
  <c r="W267" i="16"/>
  <c r="W268" i="16"/>
  <c r="W269" i="16"/>
  <c r="W270" i="16"/>
  <c r="W271" i="16"/>
  <c r="W272" i="16"/>
  <c r="W273" i="16"/>
  <c r="W274" i="16"/>
  <c r="W275" i="16"/>
  <c r="W276" i="16"/>
  <c r="W277" i="16"/>
  <c r="W278" i="16"/>
  <c r="W279" i="16"/>
  <c r="W280" i="16"/>
  <c r="W281" i="16"/>
  <c r="W282" i="16"/>
  <c r="W283" i="16"/>
  <c r="W284" i="16"/>
  <c r="W285" i="16"/>
  <c r="W286" i="16"/>
  <c r="W287" i="16"/>
  <c r="W288" i="16"/>
  <c r="W289" i="16"/>
  <c r="W290" i="16"/>
  <c r="W291" i="16"/>
  <c r="W292" i="16"/>
  <c r="W293" i="16"/>
  <c r="W294" i="16"/>
  <c r="W295" i="16"/>
  <c r="W296" i="16"/>
  <c r="W297" i="16"/>
  <c r="W298" i="16"/>
  <c r="W299" i="16"/>
  <c r="W300" i="16"/>
  <c r="W301" i="16"/>
  <c r="W302" i="16"/>
  <c r="W303" i="16"/>
  <c r="W304" i="16"/>
  <c r="W305" i="16"/>
  <c r="W306" i="16"/>
  <c r="W307" i="16"/>
  <c r="W308" i="16"/>
  <c r="W309" i="16"/>
  <c r="W310" i="16"/>
  <c r="W311" i="16"/>
  <c r="W312" i="16"/>
  <c r="W313" i="16"/>
  <c r="W314" i="16"/>
  <c r="W315" i="16"/>
  <c r="W316" i="16"/>
  <c r="W317" i="16"/>
  <c r="W318" i="16"/>
  <c r="W319" i="16"/>
  <c r="W320" i="16"/>
  <c r="W321" i="16"/>
  <c r="W322" i="16"/>
  <c r="W323" i="16"/>
  <c r="W324" i="16"/>
  <c r="W325" i="16"/>
  <c r="W326" i="16"/>
  <c r="W327" i="16"/>
  <c r="W328" i="16"/>
  <c r="W329" i="16"/>
  <c r="W330" i="16"/>
  <c r="W331" i="16"/>
  <c r="W332" i="16"/>
  <c r="W334" i="16"/>
  <c r="W335" i="16"/>
  <c r="W336" i="16"/>
  <c r="W337" i="16"/>
  <c r="W338" i="16"/>
  <c r="W339" i="16"/>
  <c r="W340" i="16"/>
  <c r="W341" i="16"/>
  <c r="W342" i="16"/>
  <c r="W343" i="16"/>
  <c r="W344" i="16"/>
  <c r="W345" i="16"/>
  <c r="W346" i="16"/>
  <c r="W347" i="16"/>
  <c r="W348" i="16"/>
  <c r="W349" i="16"/>
  <c r="W350" i="16"/>
  <c r="W351" i="16"/>
  <c r="W352" i="16"/>
  <c r="W353" i="16"/>
  <c r="W354" i="16"/>
  <c r="W355" i="16"/>
  <c r="W356" i="16"/>
  <c r="W357" i="16"/>
  <c r="W358" i="16"/>
  <c r="W359" i="16"/>
  <c r="W360" i="16"/>
  <c r="W361" i="16"/>
  <c r="W362" i="16"/>
  <c r="W363" i="16"/>
  <c r="W364" i="16"/>
  <c r="W365" i="16"/>
  <c r="W366" i="16"/>
  <c r="W367" i="16"/>
  <c r="W368" i="16"/>
  <c r="W369" i="16"/>
  <c r="W370" i="16"/>
  <c r="W371" i="16"/>
  <c r="W372" i="16"/>
  <c r="W373" i="16"/>
  <c r="W374" i="16"/>
  <c r="AC372" i="16" l="1"/>
  <c r="AG372" i="16"/>
  <c r="AE372" i="16"/>
  <c r="AJ372" i="16"/>
  <c r="AF372" i="16"/>
  <c r="AD372" i="16"/>
  <c r="AH372" i="16"/>
  <c r="AC356" i="16"/>
  <c r="AG356" i="16"/>
  <c r="AH356" i="16"/>
  <c r="AI356" i="16"/>
  <c r="AE356" i="16"/>
  <c r="AJ356" i="16"/>
  <c r="AF356" i="16"/>
  <c r="AC331" i="16"/>
  <c r="AG331" i="16"/>
  <c r="AH331" i="16"/>
  <c r="AI331" i="16"/>
  <c r="AE331" i="16"/>
  <c r="AJ331" i="16"/>
  <c r="AF331" i="16"/>
  <c r="AC303" i="16"/>
  <c r="AG303" i="16"/>
  <c r="AH303" i="16"/>
  <c r="AI303" i="16"/>
  <c r="AE303" i="16"/>
  <c r="AJ303" i="16"/>
  <c r="AF303" i="16"/>
  <c r="AC287" i="16"/>
  <c r="AG287" i="16"/>
  <c r="AE287" i="16"/>
  <c r="AF287" i="16"/>
  <c r="AD287" i="16"/>
  <c r="AH287" i="16"/>
  <c r="AI287" i="16"/>
  <c r="AG271" i="16"/>
  <c r="AH271" i="16"/>
  <c r="AD271" i="16"/>
  <c r="AI271" i="16"/>
  <c r="AJ271" i="16"/>
  <c r="AE271" i="16"/>
  <c r="AF271" i="16"/>
  <c r="AF255" i="16"/>
  <c r="AE255" i="16"/>
  <c r="AI255" i="16"/>
  <c r="AD255" i="16"/>
  <c r="AC255" i="16"/>
  <c r="AH255" i="16"/>
  <c r="AG255" i="16"/>
  <c r="AC247" i="16"/>
  <c r="AG247" i="16"/>
  <c r="AH247" i="16"/>
  <c r="AI247" i="16"/>
  <c r="AJ247" i="16"/>
  <c r="AE247" i="16"/>
  <c r="AF247" i="16"/>
  <c r="AC235" i="16"/>
  <c r="AG235" i="16"/>
  <c r="AH235" i="16"/>
  <c r="AI235" i="16"/>
  <c r="AJ235" i="16"/>
  <c r="AE235" i="16"/>
  <c r="AF235" i="16"/>
  <c r="AC364" i="16"/>
  <c r="AE364" i="16"/>
  <c r="AJ364" i="16"/>
  <c r="AF364" i="16"/>
  <c r="AD364" i="16"/>
  <c r="AH364" i="16"/>
  <c r="AI364" i="16"/>
  <c r="AC311" i="16"/>
  <c r="AG311" i="16"/>
  <c r="AH311" i="16"/>
  <c r="AD311" i="16"/>
  <c r="AI311" i="16"/>
  <c r="AE311" i="16"/>
  <c r="AF311" i="16"/>
  <c r="AF291" i="16"/>
  <c r="AE291" i="16"/>
  <c r="AI291" i="16"/>
  <c r="AD291" i="16"/>
  <c r="AC291" i="16"/>
  <c r="AH291" i="16"/>
  <c r="AG291" i="16"/>
  <c r="AC275" i="16"/>
  <c r="AG275" i="16"/>
  <c r="AH275" i="16"/>
  <c r="AD275" i="16"/>
  <c r="AI275" i="16"/>
  <c r="AE275" i="16"/>
  <c r="AF275" i="16"/>
  <c r="AC263" i="16"/>
  <c r="AG263" i="16"/>
  <c r="AH263" i="16"/>
  <c r="AD263" i="16"/>
  <c r="AI263" i="16"/>
  <c r="AE263" i="16"/>
  <c r="AF263" i="16"/>
  <c r="AC251" i="16"/>
  <c r="AG251" i="16"/>
  <c r="AH251" i="16"/>
  <c r="AI251" i="16"/>
  <c r="AJ251" i="16"/>
  <c r="AE251" i="16"/>
  <c r="AF251" i="16"/>
  <c r="AC231" i="16"/>
  <c r="AG231" i="16"/>
  <c r="AH231" i="16"/>
  <c r="AI231" i="16"/>
  <c r="AJ231" i="16"/>
  <c r="AE231" i="16"/>
  <c r="AF231" i="16"/>
  <c r="AC371" i="16"/>
  <c r="AG371" i="16"/>
  <c r="AH371" i="16"/>
  <c r="AD371" i="16"/>
  <c r="AI371" i="16"/>
  <c r="AJ371" i="16"/>
  <c r="AE371" i="16"/>
  <c r="AC367" i="16"/>
  <c r="AG367" i="16"/>
  <c r="AH367" i="16"/>
  <c r="AD367" i="16"/>
  <c r="AJ367" i="16"/>
  <c r="AE367" i="16"/>
  <c r="AF367" i="16"/>
  <c r="AC363" i="16"/>
  <c r="AH363" i="16"/>
  <c r="AD363" i="16"/>
  <c r="AI363" i="16"/>
  <c r="AJ363" i="16"/>
  <c r="AE363" i="16"/>
  <c r="AF363" i="16"/>
  <c r="AC359" i="16"/>
  <c r="AG359" i="16"/>
  <c r="AH359" i="16"/>
  <c r="AI359" i="16"/>
  <c r="AE359" i="16"/>
  <c r="AJ359" i="16"/>
  <c r="AF359" i="16"/>
  <c r="AC351" i="16"/>
  <c r="AG351" i="16"/>
  <c r="AH351" i="16"/>
  <c r="AI351" i="16"/>
  <c r="AE351" i="16"/>
  <c r="AJ351" i="16"/>
  <c r="AF351" i="16"/>
  <c r="AC343" i="16"/>
  <c r="AG343" i="16"/>
  <c r="AD343" i="16"/>
  <c r="AI343" i="16"/>
  <c r="AE343" i="16"/>
  <c r="AJ343" i="16"/>
  <c r="AF343" i="16"/>
  <c r="AC339" i="16"/>
  <c r="AG339" i="16"/>
  <c r="AE339" i="16"/>
  <c r="AF339" i="16"/>
  <c r="AH339" i="16"/>
  <c r="AD339" i="16"/>
  <c r="AI339" i="16"/>
  <c r="AC335" i="16"/>
  <c r="AG335" i="16"/>
  <c r="AE335" i="16"/>
  <c r="AJ335" i="16"/>
  <c r="AH335" i="16"/>
  <c r="AI335" i="16"/>
  <c r="AD335" i="16"/>
  <c r="AC330" i="16"/>
  <c r="AE330" i="16"/>
  <c r="AJ330" i="16"/>
  <c r="AF330" i="16"/>
  <c r="AH330" i="16"/>
  <c r="AD330" i="16"/>
  <c r="AI330" i="16"/>
  <c r="AC318" i="16"/>
  <c r="AG318" i="16"/>
  <c r="AE318" i="16"/>
  <c r="AJ318" i="16"/>
  <c r="AF318" i="16"/>
  <c r="AH318" i="16"/>
  <c r="AI318" i="16"/>
  <c r="AC314" i="16"/>
  <c r="AG314" i="16"/>
  <c r="AE314" i="16"/>
  <c r="AJ314" i="16"/>
  <c r="AF314" i="16"/>
  <c r="AH314" i="16"/>
  <c r="AI314" i="16"/>
  <c r="AC310" i="16"/>
  <c r="AG310" i="16"/>
  <c r="AE310" i="16"/>
  <c r="AJ310" i="16"/>
  <c r="AF310" i="16"/>
  <c r="AH310" i="16"/>
  <c r="AI310" i="16"/>
  <c r="AC306" i="16"/>
  <c r="AG306" i="16"/>
  <c r="AE306" i="16"/>
  <c r="AJ306" i="16"/>
  <c r="AF306" i="16"/>
  <c r="AH306" i="16"/>
  <c r="AI306" i="16"/>
  <c r="AC302" i="16"/>
  <c r="AG302" i="16"/>
  <c r="AE302" i="16"/>
  <c r="AF302" i="16"/>
  <c r="AH302" i="16"/>
  <c r="AI302" i="16"/>
  <c r="AD302" i="16"/>
  <c r="AC298" i="16"/>
  <c r="AG298" i="16"/>
  <c r="AE298" i="16"/>
  <c r="AF298" i="16"/>
  <c r="AH298" i="16"/>
  <c r="AD298" i="16"/>
  <c r="AI298" i="16"/>
  <c r="AC294" i="16"/>
  <c r="AG294" i="16"/>
  <c r="AE294" i="16"/>
  <c r="AF294" i="16"/>
  <c r="AH294" i="16"/>
  <c r="AI294" i="16"/>
  <c r="AD294" i="16"/>
  <c r="AG286" i="16"/>
  <c r="AH286" i="16"/>
  <c r="AD286" i="16"/>
  <c r="AI286" i="16"/>
  <c r="AJ286" i="16"/>
  <c r="AE286" i="16"/>
  <c r="AF286" i="16"/>
  <c r="AC282" i="16"/>
  <c r="AG282" i="16"/>
  <c r="AH282" i="16"/>
  <c r="AI282" i="16"/>
  <c r="AJ282" i="16"/>
  <c r="AE282" i="16"/>
  <c r="AF282" i="16"/>
  <c r="AF278" i="16"/>
  <c r="AH278" i="16"/>
  <c r="AC278" i="16"/>
  <c r="AG278" i="16"/>
  <c r="AE278" i="16"/>
  <c r="AD278" i="16"/>
  <c r="AI278" i="16"/>
  <c r="AC274" i="16"/>
  <c r="AG274" i="16"/>
  <c r="AE274" i="16"/>
  <c r="AJ274" i="16"/>
  <c r="AH274" i="16"/>
  <c r="AI274" i="16"/>
  <c r="AD274" i="16"/>
  <c r="AC270" i="16"/>
  <c r="AG270" i="16"/>
  <c r="AE270" i="16"/>
  <c r="AF270" i="16"/>
  <c r="AH270" i="16"/>
  <c r="AI270" i="16"/>
  <c r="AD270" i="16"/>
  <c r="AG266" i="16"/>
  <c r="AE266" i="16"/>
  <c r="AJ266" i="16"/>
  <c r="AF266" i="16"/>
  <c r="AH266" i="16"/>
  <c r="AI266" i="16"/>
  <c r="AD266" i="16"/>
  <c r="AC262" i="16"/>
  <c r="AG262" i="16"/>
  <c r="AE262" i="16"/>
  <c r="AJ262" i="16"/>
  <c r="AF262" i="16"/>
  <c r="AH262" i="16"/>
  <c r="AI262" i="16"/>
  <c r="AF258" i="16"/>
  <c r="AE258" i="16"/>
  <c r="AI258" i="16"/>
  <c r="AD258" i="16"/>
  <c r="AH258" i="16"/>
  <c r="AG258" i="16"/>
  <c r="AC258" i="16"/>
  <c r="AC250" i="16"/>
  <c r="AG250" i="16"/>
  <c r="AE250" i="16"/>
  <c r="AJ250" i="16"/>
  <c r="AF250" i="16"/>
  <c r="AH250" i="16"/>
  <c r="AI250" i="16"/>
  <c r="AG246" i="16"/>
  <c r="AE246" i="16"/>
  <c r="AJ246" i="16"/>
  <c r="AF246" i="16"/>
  <c r="AH246" i="16"/>
  <c r="AI246" i="16"/>
  <c r="AD246" i="16"/>
  <c r="AC242" i="16"/>
  <c r="AG242" i="16"/>
  <c r="AE242" i="16"/>
  <c r="AF242" i="16"/>
  <c r="AH242" i="16"/>
  <c r="AI242" i="16"/>
  <c r="AD242" i="16"/>
  <c r="AG238" i="16"/>
  <c r="AE238" i="16"/>
  <c r="AJ238" i="16"/>
  <c r="AF238" i="16"/>
  <c r="AH238" i="16"/>
  <c r="AI238" i="16"/>
  <c r="AD238" i="16"/>
  <c r="AC234" i="16"/>
  <c r="AG234" i="16"/>
  <c r="AE234" i="16"/>
  <c r="AJ234" i="16"/>
  <c r="AF234" i="16"/>
  <c r="AH234" i="16"/>
  <c r="AI234" i="16"/>
  <c r="AC230" i="16"/>
  <c r="AG230" i="16"/>
  <c r="AE230" i="16"/>
  <c r="AJ230" i="16"/>
  <c r="AF230" i="16"/>
  <c r="AH230" i="16"/>
  <c r="AI230" i="16"/>
  <c r="AC226" i="16"/>
  <c r="AG226" i="16"/>
  <c r="AE226" i="16"/>
  <c r="AJ226" i="16"/>
  <c r="AF226" i="16"/>
  <c r="AH226" i="16"/>
  <c r="AI226" i="16"/>
  <c r="AC368" i="16"/>
  <c r="AG368" i="16"/>
  <c r="AE368" i="16"/>
  <c r="AJ368" i="16"/>
  <c r="AF368" i="16"/>
  <c r="AD368" i="16"/>
  <c r="AH368" i="16"/>
  <c r="AC336" i="16"/>
  <c r="AG336" i="16"/>
  <c r="AH336" i="16"/>
  <c r="AD336" i="16"/>
  <c r="AE336" i="16"/>
  <c r="AJ336" i="16"/>
  <c r="AF336" i="16"/>
  <c r="AC315" i="16"/>
  <c r="AG315" i="16"/>
  <c r="AH315" i="16"/>
  <c r="AI315" i="16"/>
  <c r="AE315" i="16"/>
  <c r="AJ315" i="16"/>
  <c r="AF315" i="16"/>
  <c r="AC299" i="16"/>
  <c r="AG299" i="16"/>
  <c r="AH299" i="16"/>
  <c r="AD299" i="16"/>
  <c r="AI299" i="16"/>
  <c r="AE299" i="16"/>
  <c r="AF299" i="16"/>
  <c r="AG279" i="16"/>
  <c r="AE279" i="16"/>
  <c r="AJ279" i="16"/>
  <c r="AF279" i="16"/>
  <c r="AD279" i="16"/>
  <c r="AH279" i="16"/>
  <c r="AI279" i="16"/>
  <c r="AG259" i="16"/>
  <c r="AH259" i="16"/>
  <c r="AD259" i="16"/>
  <c r="AI259" i="16"/>
  <c r="AJ259" i="16"/>
  <c r="AE259" i="16"/>
  <c r="AF259" i="16"/>
  <c r="AC239" i="16"/>
  <c r="AG239" i="16"/>
  <c r="AH239" i="16"/>
  <c r="AD239" i="16"/>
  <c r="AI239" i="16"/>
  <c r="AE239" i="16"/>
  <c r="AF239" i="16"/>
  <c r="AJ223" i="16"/>
  <c r="AF223" i="16"/>
  <c r="AH223" i="16"/>
  <c r="AC223" i="16"/>
  <c r="AG223" i="16"/>
  <c r="AE223" i="16"/>
  <c r="AI223" i="16"/>
  <c r="AC374" i="16"/>
  <c r="AG374" i="16"/>
  <c r="AE374" i="16"/>
  <c r="AJ374" i="16"/>
  <c r="AF374" i="16"/>
  <c r="AH374" i="16"/>
  <c r="AD374" i="16"/>
  <c r="AC362" i="16"/>
  <c r="AG362" i="16"/>
  <c r="AE362" i="16"/>
  <c r="AJ362" i="16"/>
  <c r="AF362" i="16"/>
  <c r="AH362" i="16"/>
  <c r="AI362" i="16"/>
  <c r="AC338" i="16"/>
  <c r="AG338" i="16"/>
  <c r="AH338" i="16"/>
  <c r="AD338" i="16"/>
  <c r="AE338" i="16"/>
  <c r="AJ338" i="16"/>
  <c r="AF338" i="16"/>
  <c r="AC317" i="16"/>
  <c r="AG317" i="16"/>
  <c r="AH317" i="16"/>
  <c r="AI317" i="16"/>
  <c r="AE317" i="16"/>
  <c r="AJ317" i="16"/>
  <c r="AF317" i="16"/>
  <c r="AC309" i="16"/>
  <c r="AG309" i="16"/>
  <c r="AH309" i="16"/>
  <c r="AI309" i="16"/>
  <c r="AE309" i="16"/>
  <c r="AJ309" i="16"/>
  <c r="AF309" i="16"/>
  <c r="AC301" i="16"/>
  <c r="AG301" i="16"/>
  <c r="AH301" i="16"/>
  <c r="AD301" i="16"/>
  <c r="AI301" i="16"/>
  <c r="AE301" i="16"/>
  <c r="AF301" i="16"/>
  <c r="AC293" i="16"/>
  <c r="AG293" i="16"/>
  <c r="AH293" i="16"/>
  <c r="AD293" i="16"/>
  <c r="AI293" i="16"/>
  <c r="AE293" i="16"/>
  <c r="AF293" i="16"/>
  <c r="AC289" i="16"/>
  <c r="AG289" i="16"/>
  <c r="AD289" i="16"/>
  <c r="AI289" i="16"/>
  <c r="AE289" i="16"/>
  <c r="AF289" i="16"/>
  <c r="AJ289" i="16"/>
  <c r="AC281" i="16"/>
  <c r="AG281" i="16"/>
  <c r="AE281" i="16"/>
  <c r="AJ281" i="16"/>
  <c r="AF281" i="16"/>
  <c r="AH281" i="16"/>
  <c r="AI281" i="16"/>
  <c r="AC269" i="16"/>
  <c r="AG269" i="16"/>
  <c r="AH269" i="16"/>
  <c r="AI269" i="16"/>
  <c r="AE269" i="16"/>
  <c r="AF269" i="16"/>
  <c r="AJ269" i="16"/>
  <c r="AC261" i="16"/>
  <c r="AG261" i="16"/>
  <c r="AH261" i="16"/>
  <c r="AI261" i="16"/>
  <c r="AE261" i="16"/>
  <c r="AF261" i="16"/>
  <c r="AJ261" i="16"/>
  <c r="AG253" i="16"/>
  <c r="AH253" i="16"/>
  <c r="AD253" i="16"/>
  <c r="AI253" i="16"/>
  <c r="AE253" i="16"/>
  <c r="AF253" i="16"/>
  <c r="AJ253" i="16"/>
  <c r="AC245" i="16"/>
  <c r="AG245" i="16"/>
  <c r="AH245" i="16"/>
  <c r="AD245" i="16"/>
  <c r="AI245" i="16"/>
  <c r="AE245" i="16"/>
  <c r="AF245" i="16"/>
  <c r="AC241" i="16"/>
  <c r="AG241" i="16"/>
  <c r="AH241" i="16"/>
  <c r="AI241" i="16"/>
  <c r="AE241" i="16"/>
  <c r="AF241" i="16"/>
  <c r="AJ241" i="16"/>
  <c r="AC233" i="16"/>
  <c r="AG233" i="16"/>
  <c r="AH233" i="16"/>
  <c r="AI233" i="16"/>
  <c r="AE233" i="16"/>
  <c r="AF233" i="16"/>
  <c r="AJ233" i="16"/>
  <c r="AC360" i="16"/>
  <c r="AG360" i="16"/>
  <c r="AE360" i="16"/>
  <c r="AJ360" i="16"/>
  <c r="AF360" i="16"/>
  <c r="AH360" i="16"/>
  <c r="AI360" i="16"/>
  <c r="AC344" i="16"/>
  <c r="AG344" i="16"/>
  <c r="AE344" i="16"/>
  <c r="AJ344" i="16"/>
  <c r="AF344" i="16"/>
  <c r="AH344" i="16"/>
  <c r="AD344" i="16"/>
  <c r="AC319" i="16"/>
  <c r="AG319" i="16"/>
  <c r="AH319" i="16"/>
  <c r="AI319" i="16"/>
  <c r="AE319" i="16"/>
  <c r="AJ319" i="16"/>
  <c r="AF319" i="16"/>
  <c r="AC307" i="16"/>
  <c r="AG307" i="16"/>
  <c r="AH307" i="16"/>
  <c r="AI307" i="16"/>
  <c r="AE307" i="16"/>
  <c r="AJ307" i="16"/>
  <c r="AF307" i="16"/>
  <c r="AC295" i="16"/>
  <c r="AG295" i="16"/>
  <c r="AH295" i="16"/>
  <c r="AD295" i="16"/>
  <c r="AI295" i="16"/>
  <c r="AE295" i="16"/>
  <c r="AF295" i="16"/>
  <c r="AC283" i="16"/>
  <c r="AG283" i="16"/>
  <c r="AE283" i="16"/>
  <c r="AF283" i="16"/>
  <c r="AD283" i="16"/>
  <c r="AH283" i="16"/>
  <c r="AI283" i="16"/>
  <c r="AC267" i="16"/>
  <c r="AG267" i="16"/>
  <c r="AH267" i="16"/>
  <c r="AD267" i="16"/>
  <c r="AI267" i="16"/>
  <c r="AE267" i="16"/>
  <c r="AF267" i="16"/>
  <c r="AG243" i="16"/>
  <c r="AH243" i="16"/>
  <c r="AD243" i="16"/>
  <c r="AI243" i="16"/>
  <c r="AJ243" i="16"/>
  <c r="AE243" i="16"/>
  <c r="AF243" i="16"/>
  <c r="AC227" i="16"/>
  <c r="AH227" i="16"/>
  <c r="AD227" i="16"/>
  <c r="AI227" i="16"/>
  <c r="AJ227" i="16"/>
  <c r="AE227" i="16"/>
  <c r="AF227" i="16"/>
  <c r="AC370" i="16"/>
  <c r="AG370" i="16"/>
  <c r="AE370" i="16"/>
  <c r="AJ370" i="16"/>
  <c r="AH370" i="16"/>
  <c r="AI370" i="16"/>
  <c r="AD370" i="16"/>
  <c r="AC366" i="16"/>
  <c r="AG366" i="16"/>
  <c r="AE366" i="16"/>
  <c r="AJ366" i="16"/>
  <c r="AF366" i="16"/>
  <c r="AH366" i="16"/>
  <c r="AI366" i="16"/>
  <c r="AC334" i="16"/>
  <c r="AH334" i="16"/>
  <c r="AD334" i="16"/>
  <c r="AI334" i="16"/>
  <c r="AE334" i="16"/>
  <c r="AJ334" i="16"/>
  <c r="AF334" i="16"/>
  <c r="AC321" i="16"/>
  <c r="AG321" i="16"/>
  <c r="AD321" i="16"/>
  <c r="AI321" i="16"/>
  <c r="AE321" i="16"/>
  <c r="AJ321" i="16"/>
  <c r="AF321" i="16"/>
  <c r="AC313" i="16"/>
  <c r="AG313" i="16"/>
  <c r="AH313" i="16"/>
  <c r="AI313" i="16"/>
  <c r="AE313" i="16"/>
  <c r="AJ313" i="16"/>
  <c r="AF313" i="16"/>
  <c r="AC305" i="16"/>
  <c r="AG305" i="16"/>
  <c r="AH305" i="16"/>
  <c r="AI305" i="16"/>
  <c r="AE305" i="16"/>
  <c r="AJ305" i="16"/>
  <c r="AF305" i="16"/>
  <c r="AC297" i="16"/>
  <c r="AG297" i="16"/>
  <c r="AH297" i="16"/>
  <c r="AD297" i="16"/>
  <c r="AI297" i="16"/>
  <c r="AE297" i="16"/>
  <c r="AF297" i="16"/>
  <c r="AC285" i="16"/>
  <c r="AG285" i="16"/>
  <c r="AE285" i="16"/>
  <c r="AF285" i="16"/>
  <c r="AH285" i="16"/>
  <c r="AI285" i="16"/>
  <c r="AD285" i="16"/>
  <c r="AG273" i="16"/>
  <c r="AH273" i="16"/>
  <c r="AD273" i="16"/>
  <c r="AI273" i="16"/>
  <c r="AE273" i="16"/>
  <c r="AF273" i="16"/>
  <c r="AJ273" i="16"/>
  <c r="AC265" i="16"/>
  <c r="AG265" i="16"/>
  <c r="AH265" i="16"/>
  <c r="AD265" i="16"/>
  <c r="AI265" i="16"/>
  <c r="AE265" i="16"/>
  <c r="AF265" i="16"/>
  <c r="AG249" i="16"/>
  <c r="AH249" i="16"/>
  <c r="AD249" i="16"/>
  <c r="AI249" i="16"/>
  <c r="AE249" i="16"/>
  <c r="AF249" i="16"/>
  <c r="AJ249" i="16"/>
  <c r="AC237" i="16"/>
  <c r="AG237" i="16"/>
  <c r="AH237" i="16"/>
  <c r="AD237" i="16"/>
  <c r="AI237" i="16"/>
  <c r="AE237" i="16"/>
  <c r="AF237" i="16"/>
  <c r="AC229" i="16"/>
  <c r="AG229" i="16"/>
  <c r="AH229" i="16"/>
  <c r="AD229" i="16"/>
  <c r="AI229" i="16"/>
  <c r="AF229" i="16"/>
  <c r="AJ229" i="16"/>
  <c r="AC225" i="16"/>
  <c r="AG225" i="16"/>
  <c r="AH225" i="16"/>
  <c r="AI225" i="16"/>
  <c r="AE225" i="16"/>
  <c r="AF225" i="16"/>
  <c r="AJ225" i="16"/>
  <c r="AC373" i="16"/>
  <c r="AG373" i="16"/>
  <c r="AH373" i="16"/>
  <c r="AD373" i="16"/>
  <c r="AI373" i="16"/>
  <c r="AF373" i="16"/>
  <c r="AJ373" i="16"/>
  <c r="AC369" i="16"/>
  <c r="AG369" i="16"/>
  <c r="AH369" i="16"/>
  <c r="AD369" i="16"/>
  <c r="AI369" i="16"/>
  <c r="AE369" i="16"/>
  <c r="AJ369" i="16"/>
  <c r="AC365" i="16"/>
  <c r="AG365" i="16"/>
  <c r="AH365" i="16"/>
  <c r="AI365" i="16"/>
  <c r="AE365" i="16"/>
  <c r="AF365" i="16"/>
  <c r="AJ365" i="16"/>
  <c r="AC361" i="16"/>
  <c r="AG361" i="16"/>
  <c r="AH361" i="16"/>
  <c r="AI361" i="16"/>
  <c r="AE361" i="16"/>
  <c r="AJ361" i="16"/>
  <c r="AF361" i="16"/>
  <c r="AC357" i="16"/>
  <c r="AG357" i="16"/>
  <c r="AE357" i="16"/>
  <c r="AJ357" i="16"/>
  <c r="AF357" i="16"/>
  <c r="AD357" i="16"/>
  <c r="AI357" i="16"/>
  <c r="AC353" i="16"/>
  <c r="AG353" i="16"/>
  <c r="AE353" i="16"/>
  <c r="AJ353" i="16"/>
  <c r="AF353" i="16"/>
  <c r="AI353" i="16"/>
  <c r="AD353" i="16"/>
  <c r="AG337" i="16"/>
  <c r="AE337" i="16"/>
  <c r="AJ337" i="16"/>
  <c r="AF337" i="16"/>
  <c r="AH337" i="16"/>
  <c r="AD337" i="16"/>
  <c r="AI337" i="16"/>
  <c r="AC332" i="16"/>
  <c r="AG332" i="16"/>
  <c r="AE332" i="16"/>
  <c r="AJ332" i="16"/>
  <c r="AF332" i="16"/>
  <c r="AD332" i="16"/>
  <c r="AI332" i="16"/>
  <c r="AC320" i="16"/>
  <c r="AG320" i="16"/>
  <c r="AE320" i="16"/>
  <c r="AF320" i="16"/>
  <c r="AH320" i="16"/>
  <c r="AD320" i="16"/>
  <c r="AI320" i="16"/>
  <c r="AC316" i="16"/>
  <c r="AG316" i="16"/>
  <c r="AE316" i="16"/>
  <c r="AJ316" i="16"/>
  <c r="AF316" i="16"/>
  <c r="AH316" i="16"/>
  <c r="AI316" i="16"/>
  <c r="AC312" i="16"/>
  <c r="AG312" i="16"/>
  <c r="AE312" i="16"/>
  <c r="AJ312" i="16"/>
  <c r="AF312" i="16"/>
  <c r="AH312" i="16"/>
  <c r="AI312" i="16"/>
  <c r="AC308" i="16"/>
  <c r="AG308" i="16"/>
  <c r="AE308" i="16"/>
  <c r="AJ308" i="16"/>
  <c r="AF308" i="16"/>
  <c r="AH308" i="16"/>
  <c r="AI308" i="16"/>
  <c r="AC304" i="16"/>
  <c r="AG304" i="16"/>
  <c r="AE304" i="16"/>
  <c r="AJ304" i="16"/>
  <c r="AF304" i="16"/>
  <c r="AH304" i="16"/>
  <c r="AI304" i="16"/>
  <c r="AC300" i="16"/>
  <c r="AG300" i="16"/>
  <c r="AE300" i="16"/>
  <c r="AF300" i="16"/>
  <c r="AH300" i="16"/>
  <c r="AD300" i="16"/>
  <c r="AI300" i="16"/>
  <c r="AC296" i="16"/>
  <c r="AG296" i="16"/>
  <c r="AE296" i="16"/>
  <c r="AF296" i="16"/>
  <c r="AH296" i="16"/>
  <c r="AD296" i="16"/>
  <c r="AI296" i="16"/>
  <c r="AG292" i="16"/>
  <c r="AE292" i="16"/>
  <c r="AJ292" i="16"/>
  <c r="AF292" i="16"/>
  <c r="AH292" i="16"/>
  <c r="AD292" i="16"/>
  <c r="AI292" i="16"/>
  <c r="AG284" i="16"/>
  <c r="AH284" i="16"/>
  <c r="AD284" i="16"/>
  <c r="AI284" i="16"/>
  <c r="AE284" i="16"/>
  <c r="AF284" i="16"/>
  <c r="AJ284" i="16"/>
  <c r="AC280" i="16"/>
  <c r="AG280" i="16"/>
  <c r="AH280" i="16"/>
  <c r="AD280" i="16"/>
  <c r="AI280" i="16"/>
  <c r="AE280" i="16"/>
  <c r="AF280" i="16"/>
  <c r="AG276" i="16"/>
  <c r="AE276" i="16"/>
  <c r="AJ276" i="16"/>
  <c r="AF276" i="16"/>
  <c r="AD276" i="16"/>
  <c r="AH276" i="16"/>
  <c r="AI276" i="16"/>
  <c r="AC272" i="16"/>
  <c r="AG272" i="16"/>
  <c r="AE272" i="16"/>
  <c r="AJ272" i="16"/>
  <c r="AD272" i="16"/>
  <c r="AH272" i="16"/>
  <c r="AI272" i="16"/>
  <c r="AG268" i="16"/>
  <c r="AE268" i="16"/>
  <c r="AJ268" i="16"/>
  <c r="AF268" i="16"/>
  <c r="AD268" i="16"/>
  <c r="AH268" i="16"/>
  <c r="AI268" i="16"/>
  <c r="AG264" i="16"/>
  <c r="AE264" i="16"/>
  <c r="AJ264" i="16"/>
  <c r="AF264" i="16"/>
  <c r="AD264" i="16"/>
  <c r="AH264" i="16"/>
  <c r="AI264" i="16"/>
  <c r="AC260" i="16"/>
  <c r="AG260" i="16"/>
  <c r="AE260" i="16"/>
  <c r="AJ260" i="16"/>
  <c r="AF260" i="16"/>
  <c r="AH260" i="16"/>
  <c r="AI260" i="16"/>
  <c r="AG256" i="16"/>
  <c r="AE256" i="16"/>
  <c r="AJ256" i="16"/>
  <c r="AF256" i="16"/>
  <c r="AH256" i="16"/>
  <c r="AI256" i="16"/>
  <c r="AD256" i="16"/>
  <c r="AC252" i="16"/>
  <c r="AG252" i="16"/>
  <c r="AE252" i="16"/>
  <c r="AF252" i="16"/>
  <c r="AD252" i="16"/>
  <c r="AH252" i="16"/>
  <c r="AI252" i="16"/>
  <c r="AC248" i="16"/>
  <c r="AG248" i="16"/>
  <c r="AE248" i="16"/>
  <c r="AF248" i="16"/>
  <c r="AD248" i="16"/>
  <c r="AH248" i="16"/>
  <c r="AI248" i="16"/>
  <c r="AC244" i="16"/>
  <c r="AG244" i="16"/>
  <c r="AE244" i="16"/>
  <c r="AJ244" i="16"/>
  <c r="AF244" i="16"/>
  <c r="AH244" i="16"/>
  <c r="AI244" i="16"/>
  <c r="AC240" i="16"/>
  <c r="AG240" i="16"/>
  <c r="AE240" i="16"/>
  <c r="AJ240" i="16"/>
  <c r="AF240" i="16"/>
  <c r="AH240" i="16"/>
  <c r="AI240" i="16"/>
  <c r="AC236" i="16"/>
  <c r="AG236" i="16"/>
  <c r="AE236" i="16"/>
  <c r="AJ236" i="16"/>
  <c r="AF236" i="16"/>
  <c r="AH236" i="16"/>
  <c r="AI236" i="16"/>
  <c r="AC232" i="16"/>
  <c r="AG232" i="16"/>
  <c r="AE232" i="16"/>
  <c r="AJ232" i="16"/>
  <c r="AF232" i="16"/>
  <c r="AH232" i="16"/>
  <c r="AI232" i="16"/>
  <c r="AC228" i="16"/>
  <c r="AG228" i="16"/>
  <c r="AE228" i="16"/>
  <c r="AJ228" i="16"/>
  <c r="AF228" i="16"/>
  <c r="AH228" i="16"/>
  <c r="AI228" i="16"/>
  <c r="AC224" i="16"/>
  <c r="AG224" i="16"/>
  <c r="AE224" i="16"/>
  <c r="AJ224" i="16"/>
  <c r="AF224" i="16"/>
  <c r="AH224" i="16"/>
  <c r="AI224" i="16"/>
  <c r="AE215" i="16"/>
  <c r="AI215" i="16"/>
  <c r="AC215" i="16"/>
  <c r="AF215" i="16"/>
  <c r="AJ215" i="16"/>
  <c r="AG215" i="16"/>
  <c r="AH215" i="16"/>
  <c r="AH203" i="16"/>
  <c r="AJ203" i="16"/>
  <c r="AE203" i="16"/>
  <c r="AI203" i="16"/>
  <c r="AF203" i="16"/>
  <c r="AC203" i="16"/>
  <c r="AG203" i="16"/>
  <c r="AE187" i="16"/>
  <c r="AI187" i="16"/>
  <c r="AF187" i="16"/>
  <c r="AC187" i="16"/>
  <c r="AJ187" i="16"/>
  <c r="AD187" i="16"/>
  <c r="AG187" i="16"/>
  <c r="AH175" i="16"/>
  <c r="AE175" i="16"/>
  <c r="AI175" i="16"/>
  <c r="AF175" i="16"/>
  <c r="AG175" i="16"/>
  <c r="AJ175" i="16"/>
  <c r="AC175" i="16"/>
  <c r="AH147" i="16"/>
  <c r="AF147" i="16"/>
  <c r="AG147" i="16"/>
  <c r="AC147" i="16"/>
  <c r="AI147" i="16"/>
  <c r="AJ147" i="16"/>
  <c r="AE147" i="16"/>
  <c r="AD131" i="16"/>
  <c r="AH131" i="16"/>
  <c r="AE131" i="16"/>
  <c r="AJ131" i="16"/>
  <c r="AF131" i="16"/>
  <c r="AC131" i="16"/>
  <c r="AG131" i="16"/>
  <c r="AC115" i="16"/>
  <c r="AG115" i="16"/>
  <c r="AH115" i="16"/>
  <c r="AI115" i="16"/>
  <c r="AJ115" i="16"/>
  <c r="AE115" i="16"/>
  <c r="AF115" i="16"/>
  <c r="AE99" i="16"/>
  <c r="AC99" i="16"/>
  <c r="AH99" i="16"/>
  <c r="AD99" i="16"/>
  <c r="AF99" i="16"/>
  <c r="AJ99" i="16"/>
  <c r="AG99" i="16"/>
  <c r="AE199" i="16"/>
  <c r="AI199" i="16"/>
  <c r="AG199" i="16"/>
  <c r="AF199" i="16"/>
  <c r="AC199" i="16"/>
  <c r="AD199" i="16"/>
  <c r="AH199" i="16"/>
  <c r="AC191" i="16"/>
  <c r="AG191" i="16"/>
  <c r="AH191" i="16"/>
  <c r="AJ191" i="16"/>
  <c r="AI191" i="16"/>
  <c r="AE191" i="16"/>
  <c r="AF191" i="16"/>
  <c r="AE171" i="16"/>
  <c r="AI171" i="16"/>
  <c r="AF171" i="16"/>
  <c r="AJ171" i="16"/>
  <c r="AC171" i="16"/>
  <c r="AH171" i="16"/>
  <c r="AD171" i="16"/>
  <c r="AE127" i="16"/>
  <c r="AI127" i="16"/>
  <c r="AF127" i="16"/>
  <c r="AG127" i="16"/>
  <c r="AC127" i="16"/>
  <c r="AH127" i="16"/>
  <c r="AJ127" i="16"/>
  <c r="AH103" i="16"/>
  <c r="AG103" i="16"/>
  <c r="AF103" i="16"/>
  <c r="AI103" i="16"/>
  <c r="AJ103" i="16"/>
  <c r="AC103" i="16"/>
  <c r="AE103" i="16"/>
  <c r="AF79" i="16"/>
  <c r="AJ79" i="16"/>
  <c r="AC79" i="16"/>
  <c r="AH79" i="16"/>
  <c r="AE79" i="16"/>
  <c r="AG79" i="16"/>
  <c r="AI79" i="16"/>
  <c r="AE71" i="16"/>
  <c r="AI71" i="16"/>
  <c r="AF71" i="16"/>
  <c r="AJ71" i="16"/>
  <c r="AC71" i="16"/>
  <c r="AG71" i="16"/>
  <c r="AH71" i="16"/>
  <c r="AF63" i="16"/>
  <c r="AJ63" i="16"/>
  <c r="AC63" i="16"/>
  <c r="AD63" i="16"/>
  <c r="AH63" i="16"/>
  <c r="AE63" i="16"/>
  <c r="AI63" i="16"/>
  <c r="AD51" i="16"/>
  <c r="AE51" i="16"/>
  <c r="AI51" i="16"/>
  <c r="AF51" i="16"/>
  <c r="AJ51" i="16"/>
  <c r="AG51" i="16"/>
  <c r="AC51" i="16"/>
  <c r="AF43" i="16"/>
  <c r="AJ43" i="16"/>
  <c r="AC43" i="16"/>
  <c r="AG43" i="16"/>
  <c r="AD43" i="16"/>
  <c r="AE43" i="16"/>
  <c r="AI43" i="16"/>
  <c r="AE23" i="16"/>
  <c r="AI23" i="16"/>
  <c r="AF23" i="16"/>
  <c r="AJ23" i="16"/>
  <c r="AG23" i="16"/>
  <c r="AD23" i="16"/>
  <c r="AH23" i="16"/>
  <c r="AC206" i="16"/>
  <c r="AG206" i="16"/>
  <c r="AI206" i="16"/>
  <c r="AF206" i="16"/>
  <c r="AD206" i="16"/>
  <c r="AH206" i="16"/>
  <c r="AJ206" i="16"/>
  <c r="AE198" i="16"/>
  <c r="AI198" i="16"/>
  <c r="AG198" i="16"/>
  <c r="AH198" i="16"/>
  <c r="AF198" i="16"/>
  <c r="AJ198" i="16"/>
  <c r="AC198" i="16"/>
  <c r="AE186" i="16"/>
  <c r="AI186" i="16"/>
  <c r="AF186" i="16"/>
  <c r="AJ186" i="16"/>
  <c r="AG186" i="16"/>
  <c r="AH186" i="16"/>
  <c r="AD186" i="16"/>
  <c r="AH174" i="16"/>
  <c r="AE174" i="16"/>
  <c r="AI174" i="16"/>
  <c r="AF174" i="16"/>
  <c r="AJ174" i="16"/>
  <c r="AG174" i="16"/>
  <c r="AC174" i="16"/>
  <c r="AH162" i="16"/>
  <c r="AE162" i="16"/>
  <c r="AJ162" i="16"/>
  <c r="AF162" i="16"/>
  <c r="AG162" i="16"/>
  <c r="AI162" i="16"/>
  <c r="AC162" i="16"/>
  <c r="AE158" i="16"/>
  <c r="AI158" i="16"/>
  <c r="AF158" i="16"/>
  <c r="AC158" i="16"/>
  <c r="AJ158" i="16"/>
  <c r="AD158" i="16"/>
  <c r="AH158" i="16"/>
  <c r="AF118" i="16"/>
  <c r="AJ118" i="16"/>
  <c r="AD118" i="16"/>
  <c r="AI118" i="16"/>
  <c r="AE118" i="16"/>
  <c r="AG118" i="16"/>
  <c r="AH118" i="16"/>
  <c r="AH110" i="16"/>
  <c r="AF110" i="16"/>
  <c r="AG110" i="16"/>
  <c r="AI110" i="16"/>
  <c r="AE110" i="16"/>
  <c r="AJ110" i="16"/>
  <c r="AC110" i="16"/>
  <c r="AF94" i="16"/>
  <c r="AJ94" i="16"/>
  <c r="AD94" i="16"/>
  <c r="AI94" i="16"/>
  <c r="AH94" i="16"/>
  <c r="AE94" i="16"/>
  <c r="AG94" i="16"/>
  <c r="AD86" i="16"/>
  <c r="AH86" i="16"/>
  <c r="AF86" i="16"/>
  <c r="AC86" i="16"/>
  <c r="AJ86" i="16"/>
  <c r="AE86" i="16"/>
  <c r="AI86" i="16"/>
  <c r="AE219" i="16"/>
  <c r="AI219" i="16"/>
  <c r="AG219" i="16"/>
  <c r="AF219" i="16"/>
  <c r="AJ219" i="16"/>
  <c r="AC219" i="16"/>
  <c r="AD219" i="16"/>
  <c r="AF207" i="16"/>
  <c r="AJ207" i="16"/>
  <c r="AE207" i="16"/>
  <c r="AC207" i="16"/>
  <c r="AG207" i="16"/>
  <c r="AH207" i="16"/>
  <c r="AI207" i="16"/>
  <c r="AE167" i="16"/>
  <c r="AI167" i="16"/>
  <c r="AF167" i="16"/>
  <c r="AJ167" i="16"/>
  <c r="AG167" i="16"/>
  <c r="AH167" i="16"/>
  <c r="AD167" i="16"/>
  <c r="AE159" i="16"/>
  <c r="AI159" i="16"/>
  <c r="AC159" i="16"/>
  <c r="AH159" i="16"/>
  <c r="AJ159" i="16"/>
  <c r="AF159" i="16"/>
  <c r="AG159" i="16"/>
  <c r="AC135" i="16"/>
  <c r="AG135" i="16"/>
  <c r="AI135" i="16"/>
  <c r="AE135" i="16"/>
  <c r="AJ135" i="16"/>
  <c r="AF135" i="16"/>
  <c r="AH135" i="16"/>
  <c r="AD107" i="16"/>
  <c r="AH107" i="16"/>
  <c r="AF107" i="16"/>
  <c r="AG107" i="16"/>
  <c r="AI107" i="16"/>
  <c r="AE107" i="16"/>
  <c r="AJ107" i="16"/>
  <c r="AC91" i="16"/>
  <c r="AG91" i="16"/>
  <c r="AH91" i="16"/>
  <c r="AE91" i="16"/>
  <c r="AF91" i="16"/>
  <c r="AJ91" i="16"/>
  <c r="AI91" i="16"/>
  <c r="AF67" i="16"/>
  <c r="AC67" i="16"/>
  <c r="AG67" i="16"/>
  <c r="AD67" i="16"/>
  <c r="AH67" i="16"/>
  <c r="AI67" i="16"/>
  <c r="AE67" i="16"/>
  <c r="AD59" i="16"/>
  <c r="AH59" i="16"/>
  <c r="AE59" i="16"/>
  <c r="AI59" i="16"/>
  <c r="AF59" i="16"/>
  <c r="AJ59" i="16"/>
  <c r="AC59" i="16"/>
  <c r="AE47" i="16"/>
  <c r="AF47" i="16"/>
  <c r="AJ47" i="16"/>
  <c r="AC47" i="16"/>
  <c r="AG47" i="16"/>
  <c r="AD47" i="16"/>
  <c r="AH47" i="16"/>
  <c r="AD27" i="16"/>
  <c r="AH27" i="16"/>
  <c r="AE27" i="16"/>
  <c r="AI27" i="16"/>
  <c r="AF27" i="16"/>
  <c r="AJ27" i="16"/>
  <c r="AG27" i="16"/>
  <c r="AG7" i="16"/>
  <c r="AD7" i="16"/>
  <c r="AH7" i="16"/>
  <c r="AE7" i="16"/>
  <c r="AI7" i="16"/>
  <c r="AF7" i="16"/>
  <c r="AJ7" i="16"/>
  <c r="AE218" i="16"/>
  <c r="AI218" i="16"/>
  <c r="AH218" i="16"/>
  <c r="AF218" i="16"/>
  <c r="AJ218" i="16"/>
  <c r="AG218" i="16"/>
  <c r="AD218" i="16"/>
  <c r="AF210" i="16"/>
  <c r="AJ210" i="16"/>
  <c r="AI210" i="16"/>
  <c r="AC210" i="16"/>
  <c r="AG210" i="16"/>
  <c r="AH210" i="16"/>
  <c r="AE210" i="16"/>
  <c r="AD190" i="16"/>
  <c r="AH190" i="16"/>
  <c r="AF190" i="16"/>
  <c r="AI190" i="16"/>
  <c r="AJ190" i="16"/>
  <c r="AG190" i="16"/>
  <c r="AE190" i="16"/>
  <c r="AC178" i="16"/>
  <c r="AG178" i="16"/>
  <c r="AD178" i="16"/>
  <c r="AH178" i="16"/>
  <c r="AE178" i="16"/>
  <c r="AI178" i="16"/>
  <c r="AF178" i="16"/>
  <c r="AE170" i="16"/>
  <c r="AI170" i="16"/>
  <c r="AF170" i="16"/>
  <c r="AJ170" i="16"/>
  <c r="AG170" i="16"/>
  <c r="AH170" i="16"/>
  <c r="AC170" i="16"/>
  <c r="AC150" i="16"/>
  <c r="AG150" i="16"/>
  <c r="AH150" i="16"/>
  <c r="AI150" i="16"/>
  <c r="AJ150" i="16"/>
  <c r="AE150" i="16"/>
  <c r="AF150" i="16"/>
  <c r="AH146" i="16"/>
  <c r="AC146" i="16"/>
  <c r="AI146" i="16"/>
  <c r="AE146" i="16"/>
  <c r="AJ146" i="16"/>
  <c r="AF146" i="16"/>
  <c r="AG146" i="16"/>
  <c r="AC134" i="16"/>
  <c r="AG134" i="16"/>
  <c r="AF134" i="16"/>
  <c r="AH134" i="16"/>
  <c r="AI134" i="16"/>
  <c r="AE134" i="16"/>
  <c r="AJ134" i="16"/>
  <c r="AE126" i="16"/>
  <c r="AI126" i="16"/>
  <c r="AC126" i="16"/>
  <c r="AH126" i="16"/>
  <c r="AD126" i="16"/>
  <c r="AJ126" i="16"/>
  <c r="AF126" i="16"/>
  <c r="AF122" i="16"/>
  <c r="AJ122" i="16"/>
  <c r="AI122" i="16"/>
  <c r="AE122" i="16"/>
  <c r="AH122" i="16"/>
  <c r="AC122" i="16"/>
  <c r="AG122" i="16"/>
  <c r="AC114" i="16"/>
  <c r="AG114" i="16"/>
  <c r="AE114" i="16"/>
  <c r="AJ114" i="16"/>
  <c r="AF114" i="16"/>
  <c r="AH114" i="16"/>
  <c r="AD114" i="16"/>
  <c r="AH102" i="16"/>
  <c r="AE102" i="16"/>
  <c r="AJ102" i="16"/>
  <c r="AG102" i="16"/>
  <c r="AI102" i="16"/>
  <c r="AC102" i="16"/>
  <c r="AF102" i="16"/>
  <c r="AH90" i="16"/>
  <c r="AF90" i="16"/>
  <c r="AG90" i="16"/>
  <c r="AI90" i="16"/>
  <c r="AJ90" i="16"/>
  <c r="AC90" i="16"/>
  <c r="AE90" i="16"/>
  <c r="AF78" i="16"/>
  <c r="AJ78" i="16"/>
  <c r="AE78" i="16"/>
  <c r="AG78" i="16"/>
  <c r="AH78" i="16"/>
  <c r="AC78" i="16"/>
  <c r="AI78" i="16"/>
  <c r="AC74" i="16"/>
  <c r="AG74" i="16"/>
  <c r="AF74" i="16"/>
  <c r="AI74" i="16"/>
  <c r="AJ74" i="16"/>
  <c r="AE74" i="16"/>
  <c r="AH74" i="16"/>
  <c r="AE46" i="16"/>
  <c r="AI46" i="16"/>
  <c r="AJ46" i="16"/>
  <c r="AC46" i="16"/>
  <c r="AG46" i="16"/>
  <c r="AH46" i="16"/>
  <c r="AD46" i="16"/>
  <c r="AF42" i="16"/>
  <c r="AJ42" i="16"/>
  <c r="AC42" i="16"/>
  <c r="AG42" i="16"/>
  <c r="AH42" i="16"/>
  <c r="AI42" i="16"/>
  <c r="AE42" i="16"/>
  <c r="AE22" i="16"/>
  <c r="AI22" i="16"/>
  <c r="AF22" i="16"/>
  <c r="AC22" i="16"/>
  <c r="AG22" i="16"/>
  <c r="AD22" i="16"/>
  <c r="AH22" i="16"/>
  <c r="AF18" i="16"/>
  <c r="AJ18" i="16"/>
  <c r="AC18" i="16"/>
  <c r="AG18" i="16"/>
  <c r="AH18" i="16"/>
  <c r="AE18" i="16"/>
  <c r="AI18" i="16"/>
  <c r="AC6" i="16"/>
  <c r="AG6" i="16"/>
  <c r="AD6" i="16"/>
  <c r="AH6" i="16"/>
  <c r="AE6" i="16"/>
  <c r="AI6" i="16"/>
  <c r="AF6" i="16"/>
  <c r="AE221" i="16"/>
  <c r="AI221" i="16"/>
  <c r="AG221" i="16"/>
  <c r="AH221" i="16"/>
  <c r="AF221" i="16"/>
  <c r="AJ221" i="16"/>
  <c r="AD221" i="16"/>
  <c r="AE217" i="16"/>
  <c r="AI217" i="16"/>
  <c r="AG217" i="16"/>
  <c r="AH217" i="16"/>
  <c r="AF217" i="16"/>
  <c r="AC217" i="16"/>
  <c r="AD217" i="16"/>
  <c r="AE213" i="16"/>
  <c r="AI213" i="16"/>
  <c r="AC213" i="16"/>
  <c r="AD213" i="16"/>
  <c r="AF213" i="16"/>
  <c r="AG213" i="16"/>
  <c r="AH213" i="16"/>
  <c r="AF209" i="16"/>
  <c r="AJ209" i="16"/>
  <c r="AI209" i="16"/>
  <c r="AC209" i="16"/>
  <c r="AG209" i="16"/>
  <c r="AH209" i="16"/>
  <c r="AE209" i="16"/>
  <c r="AC205" i="16"/>
  <c r="AG205" i="16"/>
  <c r="AI205" i="16"/>
  <c r="AF205" i="16"/>
  <c r="AH205" i="16"/>
  <c r="AE205" i="16"/>
  <c r="AJ205" i="16"/>
  <c r="AH201" i="16"/>
  <c r="AF201" i="16"/>
  <c r="AJ201" i="16"/>
  <c r="AC201" i="16"/>
  <c r="AE201" i="16"/>
  <c r="AI201" i="16"/>
  <c r="AG201" i="16"/>
  <c r="AE197" i="16"/>
  <c r="AI197" i="16"/>
  <c r="AG197" i="16"/>
  <c r="AF197" i="16"/>
  <c r="AJ197" i="16"/>
  <c r="AC197" i="16"/>
  <c r="AH197" i="16"/>
  <c r="AC193" i="16"/>
  <c r="AG193" i="16"/>
  <c r="AH193" i="16"/>
  <c r="AE193" i="16"/>
  <c r="AF193" i="16"/>
  <c r="AI193" i="16"/>
  <c r="AJ193" i="16"/>
  <c r="AD189" i="16"/>
  <c r="AH189" i="16"/>
  <c r="AC189" i="16"/>
  <c r="AI189" i="16"/>
  <c r="AF189" i="16"/>
  <c r="AE189" i="16"/>
  <c r="AG189" i="16"/>
  <c r="AE185" i="16"/>
  <c r="AF185" i="16"/>
  <c r="AJ185" i="16"/>
  <c r="AC185" i="16"/>
  <c r="AD185" i="16"/>
  <c r="AG185" i="16"/>
  <c r="AH185" i="16"/>
  <c r="AF181" i="16"/>
  <c r="AJ181" i="16"/>
  <c r="AC181" i="16"/>
  <c r="AG181" i="16"/>
  <c r="AI181" i="16"/>
  <c r="AE181" i="16"/>
  <c r="AH181" i="16"/>
  <c r="AC177" i="16"/>
  <c r="AG177" i="16"/>
  <c r="AH177" i="16"/>
  <c r="AE177" i="16"/>
  <c r="AF177" i="16"/>
  <c r="AI177" i="16"/>
  <c r="AJ177" i="16"/>
  <c r="AH173" i="16"/>
  <c r="AE173" i="16"/>
  <c r="AI173" i="16"/>
  <c r="AF173" i="16"/>
  <c r="AC173" i="16"/>
  <c r="AG173" i="16"/>
  <c r="AJ173" i="16"/>
  <c r="AE165" i="16"/>
  <c r="AI165" i="16"/>
  <c r="AF165" i="16"/>
  <c r="AJ165" i="16"/>
  <c r="AG165" i="16"/>
  <c r="AC165" i="16"/>
  <c r="AH165" i="16"/>
  <c r="AH161" i="16"/>
  <c r="AG161" i="16"/>
  <c r="AC161" i="16"/>
  <c r="AI161" i="16"/>
  <c r="AJ161" i="16"/>
  <c r="AE161" i="16"/>
  <c r="AF161" i="16"/>
  <c r="AE157" i="16"/>
  <c r="AI157" i="16"/>
  <c r="AC157" i="16"/>
  <c r="AH157" i="16"/>
  <c r="AJ157" i="16"/>
  <c r="AF157" i="16"/>
  <c r="AG157" i="16"/>
  <c r="AF153" i="16"/>
  <c r="AJ153" i="16"/>
  <c r="AD153" i="16"/>
  <c r="AI153" i="16"/>
  <c r="AE153" i="16"/>
  <c r="AG153" i="16"/>
  <c r="AH153" i="16"/>
  <c r="AC149" i="16"/>
  <c r="AG149" i="16"/>
  <c r="AE149" i="16"/>
  <c r="AJ149" i="16"/>
  <c r="AF149" i="16"/>
  <c r="AH149" i="16"/>
  <c r="AI149" i="16"/>
  <c r="AD145" i="16"/>
  <c r="AH145" i="16"/>
  <c r="AF145" i="16"/>
  <c r="AI145" i="16"/>
  <c r="AC145" i="16"/>
  <c r="AE145" i="16"/>
  <c r="AJ145" i="16"/>
  <c r="AE141" i="16"/>
  <c r="AI141" i="16"/>
  <c r="AG141" i="16"/>
  <c r="AH141" i="16"/>
  <c r="AD141" i="16"/>
  <c r="AF141" i="16"/>
  <c r="AJ141" i="16"/>
  <c r="AF137" i="16"/>
  <c r="AJ137" i="16"/>
  <c r="AC137" i="16"/>
  <c r="AH137" i="16"/>
  <c r="AI137" i="16"/>
  <c r="AE137" i="16"/>
  <c r="AG137" i="16"/>
  <c r="AC133" i="16"/>
  <c r="AG133" i="16"/>
  <c r="AI133" i="16"/>
  <c r="AE133" i="16"/>
  <c r="AJ133" i="16"/>
  <c r="AF133" i="16"/>
  <c r="AH133" i="16"/>
  <c r="AD129" i="16"/>
  <c r="AH129" i="16"/>
  <c r="AE129" i="16"/>
  <c r="AJ129" i="16"/>
  <c r="AF129" i="16"/>
  <c r="AG129" i="16"/>
  <c r="AC129" i="16"/>
  <c r="AE125" i="16"/>
  <c r="AI125" i="16"/>
  <c r="AF125" i="16"/>
  <c r="AG125" i="16"/>
  <c r="AH125" i="16"/>
  <c r="AJ125" i="16"/>
  <c r="AC125" i="16"/>
  <c r="AF121" i="16"/>
  <c r="AJ121" i="16"/>
  <c r="AG121" i="16"/>
  <c r="AC121" i="16"/>
  <c r="AH121" i="16"/>
  <c r="AI121" i="16"/>
  <c r="AE121" i="16"/>
  <c r="AF117" i="16"/>
  <c r="AG117" i="16"/>
  <c r="AC117" i="16"/>
  <c r="AH117" i="16"/>
  <c r="AD117" i="16"/>
  <c r="AE117" i="16"/>
  <c r="AI117" i="16"/>
  <c r="AC113" i="16"/>
  <c r="AG113" i="16"/>
  <c r="AH113" i="16"/>
  <c r="AD113" i="16"/>
  <c r="AI113" i="16"/>
  <c r="AJ113" i="16"/>
  <c r="AF113" i="16"/>
  <c r="AH109" i="16"/>
  <c r="AC109" i="16"/>
  <c r="AI109" i="16"/>
  <c r="AE109" i="16"/>
  <c r="AJ109" i="16"/>
  <c r="AF109" i="16"/>
  <c r="AG109" i="16"/>
  <c r="AC105" i="16"/>
  <c r="AG105" i="16"/>
  <c r="AF105" i="16"/>
  <c r="AJ105" i="16"/>
  <c r="AE105" i="16"/>
  <c r="AH105" i="16"/>
  <c r="AI105" i="16"/>
  <c r="AE101" i="16"/>
  <c r="AC101" i="16"/>
  <c r="AH101" i="16"/>
  <c r="AJ101" i="16"/>
  <c r="AD101" i="16"/>
  <c r="AF101" i="16"/>
  <c r="AG101" i="16"/>
  <c r="AF97" i="16"/>
  <c r="AJ97" i="16"/>
  <c r="AD97" i="16"/>
  <c r="AI97" i="16"/>
  <c r="AH97" i="16"/>
  <c r="AC97" i="16"/>
  <c r="AE97" i="16"/>
  <c r="AC93" i="16"/>
  <c r="AG93" i="16"/>
  <c r="AH93" i="16"/>
  <c r="AD93" i="16"/>
  <c r="AE93" i="16"/>
  <c r="AF93" i="16"/>
  <c r="AI93" i="16"/>
  <c r="AD89" i="16"/>
  <c r="AH89" i="16"/>
  <c r="AC89" i="16"/>
  <c r="AG89" i="16"/>
  <c r="AJ89" i="16"/>
  <c r="AE89" i="16"/>
  <c r="AF89" i="16"/>
  <c r="AE85" i="16"/>
  <c r="AI85" i="16"/>
  <c r="AJ85" i="16"/>
  <c r="AF85" i="16"/>
  <c r="AG85" i="16"/>
  <c r="AH85" i="16"/>
  <c r="AC85" i="16"/>
  <c r="AF81" i="16"/>
  <c r="AC81" i="16"/>
  <c r="AH81" i="16"/>
  <c r="AI81" i="16"/>
  <c r="AD81" i="16"/>
  <c r="AE81" i="16"/>
  <c r="AG81" i="16"/>
  <c r="AC77" i="16"/>
  <c r="AG77" i="16"/>
  <c r="AI77" i="16"/>
  <c r="AF77" i="16"/>
  <c r="AH77" i="16"/>
  <c r="AJ77" i="16"/>
  <c r="AE77" i="16"/>
  <c r="AE73" i="16"/>
  <c r="AI73" i="16"/>
  <c r="AF73" i="16"/>
  <c r="AJ73" i="16"/>
  <c r="AC73" i="16"/>
  <c r="AG73" i="16"/>
  <c r="AH73" i="16"/>
  <c r="AF65" i="16"/>
  <c r="AJ65" i="16"/>
  <c r="AC65" i="16"/>
  <c r="AG65" i="16"/>
  <c r="AD65" i="16"/>
  <c r="AH65" i="16"/>
  <c r="AE65" i="16"/>
  <c r="AC61" i="16"/>
  <c r="AG61" i="16"/>
  <c r="AD61" i="16"/>
  <c r="AE61" i="16"/>
  <c r="AI61" i="16"/>
  <c r="AF61" i="16"/>
  <c r="AJ61" i="16"/>
  <c r="AD49" i="16"/>
  <c r="AH49" i="16"/>
  <c r="AE49" i="16"/>
  <c r="AI49" i="16"/>
  <c r="AF49" i="16"/>
  <c r="AJ49" i="16"/>
  <c r="AG49" i="16"/>
  <c r="AE45" i="16"/>
  <c r="AI45" i="16"/>
  <c r="AF45" i="16"/>
  <c r="AJ45" i="16"/>
  <c r="AC45" i="16"/>
  <c r="AD45" i="16"/>
  <c r="AH45" i="16"/>
  <c r="AF41" i="16"/>
  <c r="AJ41" i="16"/>
  <c r="AC41" i="16"/>
  <c r="AD41" i="16"/>
  <c r="AH41" i="16"/>
  <c r="AI41" i="16"/>
  <c r="AE41" i="16"/>
  <c r="AC29" i="16"/>
  <c r="AG29" i="16"/>
  <c r="AD29" i="16"/>
  <c r="AH29" i="16"/>
  <c r="AE29" i="16"/>
  <c r="AI29" i="16"/>
  <c r="AF29" i="16"/>
  <c r="AD25" i="16"/>
  <c r="AH25" i="16"/>
  <c r="AE25" i="16"/>
  <c r="AI25" i="16"/>
  <c r="AJ25" i="16"/>
  <c r="AC25" i="16"/>
  <c r="AG25" i="16"/>
  <c r="AE21" i="16"/>
  <c r="AF21" i="16"/>
  <c r="AJ21" i="16"/>
  <c r="AC21" i="16"/>
  <c r="AG21" i="16"/>
  <c r="AH21" i="16"/>
  <c r="AD21" i="16"/>
  <c r="AF17" i="16"/>
  <c r="AJ17" i="16"/>
  <c r="AC17" i="16"/>
  <c r="AG17" i="16"/>
  <c r="AH17" i="16"/>
  <c r="AE17" i="16"/>
  <c r="AI17" i="16"/>
  <c r="AF211" i="16"/>
  <c r="AJ211" i="16"/>
  <c r="AH211" i="16"/>
  <c r="AC211" i="16"/>
  <c r="AG211" i="16"/>
  <c r="AI211" i="16"/>
  <c r="AE211" i="16"/>
  <c r="AF195" i="16"/>
  <c r="AJ195" i="16"/>
  <c r="AH195" i="16"/>
  <c r="AE195" i="16"/>
  <c r="AC195" i="16"/>
  <c r="AG195" i="16"/>
  <c r="AI195" i="16"/>
  <c r="AC179" i="16"/>
  <c r="AD179" i="16"/>
  <c r="AH179" i="16"/>
  <c r="AE179" i="16"/>
  <c r="AJ179" i="16"/>
  <c r="AF179" i="16"/>
  <c r="AI179" i="16"/>
  <c r="AH163" i="16"/>
  <c r="AG163" i="16"/>
  <c r="AC163" i="16"/>
  <c r="AI163" i="16"/>
  <c r="AE163" i="16"/>
  <c r="AF163" i="16"/>
  <c r="AJ163" i="16"/>
  <c r="AC151" i="16"/>
  <c r="AG151" i="16"/>
  <c r="AE151" i="16"/>
  <c r="AJ151" i="16"/>
  <c r="AF151" i="16"/>
  <c r="AH151" i="16"/>
  <c r="AI151" i="16"/>
  <c r="AF139" i="16"/>
  <c r="AJ139" i="16"/>
  <c r="AC139" i="16"/>
  <c r="AH139" i="16"/>
  <c r="AI139" i="16"/>
  <c r="AG139" i="16"/>
  <c r="AE139" i="16"/>
  <c r="AF123" i="16"/>
  <c r="AJ123" i="16"/>
  <c r="AG123" i="16"/>
  <c r="AC123" i="16"/>
  <c r="AH123" i="16"/>
  <c r="AI123" i="16"/>
  <c r="AE123" i="16"/>
  <c r="AH111" i="16"/>
  <c r="AC111" i="16"/>
  <c r="AI111" i="16"/>
  <c r="AE111" i="16"/>
  <c r="AJ111" i="16"/>
  <c r="AF111" i="16"/>
  <c r="AG111" i="16"/>
  <c r="AD87" i="16"/>
  <c r="AH87" i="16"/>
  <c r="AC87" i="16"/>
  <c r="AJ87" i="16"/>
  <c r="AE87" i="16"/>
  <c r="AF87" i="16"/>
  <c r="AG87" i="16"/>
  <c r="AC75" i="16"/>
  <c r="AG75" i="16"/>
  <c r="AD75" i="16"/>
  <c r="AI75" i="16"/>
  <c r="AH75" i="16"/>
  <c r="AJ75" i="16"/>
  <c r="AF75" i="16"/>
  <c r="AE214" i="16"/>
  <c r="AI214" i="16"/>
  <c r="AH214" i="16"/>
  <c r="AF214" i="16"/>
  <c r="AJ214" i="16"/>
  <c r="AG214" i="16"/>
  <c r="AD214" i="16"/>
  <c r="AH202" i="16"/>
  <c r="AJ202" i="16"/>
  <c r="AG202" i="16"/>
  <c r="AE202" i="16"/>
  <c r="AI202" i="16"/>
  <c r="AF202" i="16"/>
  <c r="AC202" i="16"/>
  <c r="AC194" i="16"/>
  <c r="AG194" i="16"/>
  <c r="AE194" i="16"/>
  <c r="AJ194" i="16"/>
  <c r="AH194" i="16"/>
  <c r="AF194" i="16"/>
  <c r="AI194" i="16"/>
  <c r="AF182" i="16"/>
  <c r="AJ182" i="16"/>
  <c r="AG182" i="16"/>
  <c r="AD182" i="16"/>
  <c r="AH182" i="16"/>
  <c r="AE182" i="16"/>
  <c r="AI182" i="16"/>
  <c r="AE166" i="16"/>
  <c r="AI166" i="16"/>
  <c r="AF166" i="16"/>
  <c r="AG166" i="16"/>
  <c r="AD166" i="16"/>
  <c r="AH166" i="16"/>
  <c r="AC166" i="16"/>
  <c r="AF138" i="16"/>
  <c r="AJ138" i="16"/>
  <c r="AE138" i="16"/>
  <c r="AG138" i="16"/>
  <c r="AH138" i="16"/>
  <c r="AC138" i="16"/>
  <c r="AI138" i="16"/>
  <c r="AD130" i="16"/>
  <c r="AH130" i="16"/>
  <c r="AG130" i="16"/>
  <c r="AC130" i="16"/>
  <c r="AI130" i="16"/>
  <c r="AJ130" i="16"/>
  <c r="AF130" i="16"/>
  <c r="AC106" i="16"/>
  <c r="AD106" i="16"/>
  <c r="AH106" i="16"/>
  <c r="AI106" i="16"/>
  <c r="AE106" i="16"/>
  <c r="AF106" i="16"/>
  <c r="AG106" i="16"/>
  <c r="AF98" i="16"/>
  <c r="AJ98" i="16"/>
  <c r="AG98" i="16"/>
  <c r="AE98" i="16"/>
  <c r="AH98" i="16"/>
  <c r="AI98" i="16"/>
  <c r="AC98" i="16"/>
  <c r="AF82" i="16"/>
  <c r="AJ82" i="16"/>
  <c r="AE82" i="16"/>
  <c r="AH82" i="16"/>
  <c r="AI82" i="16"/>
  <c r="AD82" i="16"/>
  <c r="AG82" i="16"/>
  <c r="AF66" i="16"/>
  <c r="AJ66" i="16"/>
  <c r="AG66" i="16"/>
  <c r="AD66" i="16"/>
  <c r="AH66" i="16"/>
  <c r="AE66" i="16"/>
  <c r="AI66" i="16"/>
  <c r="AG30" i="16"/>
  <c r="AD30" i="16"/>
  <c r="AH30" i="16"/>
  <c r="AE30" i="16"/>
  <c r="AI30" i="16"/>
  <c r="AF30" i="16"/>
  <c r="AJ30" i="16"/>
  <c r="AD26" i="16"/>
  <c r="AH26" i="16"/>
  <c r="AE26" i="16"/>
  <c r="AF26" i="16"/>
  <c r="AJ26" i="16"/>
  <c r="AC26" i="16"/>
  <c r="AG26" i="16"/>
  <c r="AE220" i="16"/>
  <c r="AI220" i="16"/>
  <c r="AG220" i="16"/>
  <c r="AD220" i="16"/>
  <c r="AF220" i="16"/>
  <c r="AC220" i="16"/>
  <c r="AH220" i="16"/>
  <c r="AE216" i="16"/>
  <c r="AI216" i="16"/>
  <c r="AG216" i="16"/>
  <c r="AF216" i="16"/>
  <c r="AJ216" i="16"/>
  <c r="AC216" i="16"/>
  <c r="AH216" i="16"/>
  <c r="AE212" i="16"/>
  <c r="AI212" i="16"/>
  <c r="AG212" i="16"/>
  <c r="AF212" i="16"/>
  <c r="AJ212" i="16"/>
  <c r="AC212" i="16"/>
  <c r="AH212" i="16"/>
  <c r="AF208" i="16"/>
  <c r="AJ208" i="16"/>
  <c r="AE208" i="16"/>
  <c r="AC208" i="16"/>
  <c r="AG208" i="16"/>
  <c r="AH208" i="16"/>
  <c r="AI208" i="16"/>
  <c r="AH204" i="16"/>
  <c r="AJ204" i="16"/>
  <c r="AC204" i="16"/>
  <c r="AE204" i="16"/>
  <c r="AI204" i="16"/>
  <c r="AF204" i="16"/>
  <c r="AG204" i="16"/>
  <c r="AE200" i="16"/>
  <c r="AI200" i="16"/>
  <c r="AG200" i="16"/>
  <c r="AD200" i="16"/>
  <c r="AF200" i="16"/>
  <c r="AJ200" i="16"/>
  <c r="AH200" i="16"/>
  <c r="AE196" i="16"/>
  <c r="AI196" i="16"/>
  <c r="AG196" i="16"/>
  <c r="AF196" i="16"/>
  <c r="AJ196" i="16"/>
  <c r="AC196" i="16"/>
  <c r="AH196" i="16"/>
  <c r="AC192" i="16"/>
  <c r="AG192" i="16"/>
  <c r="AE192" i="16"/>
  <c r="AJ192" i="16"/>
  <c r="AF192" i="16"/>
  <c r="AH192" i="16"/>
  <c r="AI192" i="16"/>
  <c r="AE188" i="16"/>
  <c r="AI188" i="16"/>
  <c r="AG188" i="16"/>
  <c r="AD188" i="16"/>
  <c r="AC188" i="16"/>
  <c r="AJ188" i="16"/>
  <c r="AF188" i="16"/>
  <c r="AJ184" i="16"/>
  <c r="AC184" i="16"/>
  <c r="AG184" i="16"/>
  <c r="AD184" i="16"/>
  <c r="AH184" i="16"/>
  <c r="AI184" i="16"/>
  <c r="AE184" i="16"/>
  <c r="AG180" i="16"/>
  <c r="AD180" i="16"/>
  <c r="AH180" i="16"/>
  <c r="AE180" i="16"/>
  <c r="AI180" i="16"/>
  <c r="AF180" i="16"/>
  <c r="AJ180" i="16"/>
  <c r="AH176" i="16"/>
  <c r="AE176" i="16"/>
  <c r="AI176" i="16"/>
  <c r="AF176" i="16"/>
  <c r="AJ176" i="16"/>
  <c r="AG176" i="16"/>
  <c r="AC176" i="16"/>
  <c r="AE172" i="16"/>
  <c r="AI172" i="16"/>
  <c r="AF172" i="16"/>
  <c r="AJ172" i="16"/>
  <c r="AG172" i="16"/>
  <c r="AH172" i="16"/>
  <c r="AC172" i="16"/>
  <c r="AH164" i="16"/>
  <c r="AE164" i="16"/>
  <c r="AJ164" i="16"/>
  <c r="AF164" i="16"/>
  <c r="AG164" i="16"/>
  <c r="AI164" i="16"/>
  <c r="AC164" i="16"/>
  <c r="AI160" i="16"/>
  <c r="AF160" i="16"/>
  <c r="AG160" i="16"/>
  <c r="AH160" i="16"/>
  <c r="AC160" i="16"/>
  <c r="AJ160" i="16"/>
  <c r="AD160" i="16"/>
  <c r="AF156" i="16"/>
  <c r="AJ156" i="16"/>
  <c r="AG156" i="16"/>
  <c r="AC156" i="16"/>
  <c r="AH156" i="16"/>
  <c r="AI156" i="16"/>
  <c r="AE156" i="16"/>
  <c r="AC152" i="16"/>
  <c r="AG152" i="16"/>
  <c r="AH152" i="16"/>
  <c r="AD152" i="16"/>
  <c r="AI152" i="16"/>
  <c r="AE152" i="16"/>
  <c r="AF152" i="16"/>
  <c r="AH148" i="16"/>
  <c r="AC148" i="16"/>
  <c r="AI148" i="16"/>
  <c r="AE148" i="16"/>
  <c r="AJ148" i="16"/>
  <c r="AF148" i="16"/>
  <c r="AG148" i="16"/>
  <c r="AE144" i="16"/>
  <c r="AI144" i="16"/>
  <c r="AJ144" i="16"/>
  <c r="AF144" i="16"/>
  <c r="AG144" i="16"/>
  <c r="AH144" i="16"/>
  <c r="AC144" i="16"/>
  <c r="AF140" i="16"/>
  <c r="AE140" i="16"/>
  <c r="AG140" i="16"/>
  <c r="AC140" i="16"/>
  <c r="AH140" i="16"/>
  <c r="AD140" i="16"/>
  <c r="AI140" i="16"/>
  <c r="AC136" i="16"/>
  <c r="AG136" i="16"/>
  <c r="AF136" i="16"/>
  <c r="AH136" i="16"/>
  <c r="AJ136" i="16"/>
  <c r="AE136" i="16"/>
  <c r="AI136" i="16"/>
  <c r="AH132" i="16"/>
  <c r="AG132" i="16"/>
  <c r="AC132" i="16"/>
  <c r="AI132" i="16"/>
  <c r="AE132" i="16"/>
  <c r="AJ132" i="16"/>
  <c r="AF132" i="16"/>
  <c r="AE128" i="16"/>
  <c r="AI128" i="16"/>
  <c r="AC128" i="16"/>
  <c r="AH128" i="16"/>
  <c r="AJ128" i="16"/>
  <c r="AF128" i="16"/>
  <c r="AG128" i="16"/>
  <c r="AF124" i="16"/>
  <c r="AJ124" i="16"/>
  <c r="AI124" i="16"/>
  <c r="AE124" i="16"/>
  <c r="AG124" i="16"/>
  <c r="AH124" i="16"/>
  <c r="AC124" i="16"/>
  <c r="AC116" i="16"/>
  <c r="AG116" i="16"/>
  <c r="AE116" i="16"/>
  <c r="AJ116" i="16"/>
  <c r="AF116" i="16"/>
  <c r="AH116" i="16"/>
  <c r="AI116" i="16"/>
  <c r="AD112" i="16"/>
  <c r="AH112" i="16"/>
  <c r="AF112" i="16"/>
  <c r="AG112" i="16"/>
  <c r="AC112" i="16"/>
  <c r="AJ112" i="16"/>
  <c r="AE112" i="16"/>
  <c r="AH104" i="16"/>
  <c r="AE104" i="16"/>
  <c r="AJ104" i="16"/>
  <c r="AF104" i="16"/>
  <c r="AG104" i="16"/>
  <c r="AI104" i="16"/>
  <c r="AC104" i="16"/>
  <c r="AI100" i="16"/>
  <c r="AF100" i="16"/>
  <c r="AC100" i="16"/>
  <c r="AJ100" i="16"/>
  <c r="AD100" i="16"/>
  <c r="AG100" i="16"/>
  <c r="AH100" i="16"/>
  <c r="AF96" i="16"/>
  <c r="AJ96" i="16"/>
  <c r="AG96" i="16"/>
  <c r="AH96" i="16"/>
  <c r="AC96" i="16"/>
  <c r="AI96" i="16"/>
  <c r="AE96" i="16"/>
  <c r="AC92" i="16"/>
  <c r="AG92" i="16"/>
  <c r="AE92" i="16"/>
  <c r="AJ92" i="16"/>
  <c r="AF92" i="16"/>
  <c r="AH92" i="16"/>
  <c r="AI92" i="16"/>
  <c r="AD88" i="16"/>
  <c r="AH88" i="16"/>
  <c r="AF88" i="16"/>
  <c r="AI88" i="16"/>
  <c r="AC88" i="16"/>
  <c r="AJ88" i="16"/>
  <c r="AG88" i="16"/>
  <c r="AE84" i="16"/>
  <c r="AI84" i="16"/>
  <c r="AG84" i="16"/>
  <c r="AF84" i="16"/>
  <c r="AH84" i="16"/>
  <c r="AC84" i="16"/>
  <c r="AJ84" i="16"/>
  <c r="AF80" i="16"/>
  <c r="AJ80" i="16"/>
  <c r="AE80" i="16"/>
  <c r="AC80" i="16"/>
  <c r="AI80" i="16"/>
  <c r="AH80" i="16"/>
  <c r="AG80" i="16"/>
  <c r="AC76" i="16"/>
  <c r="AG76" i="16"/>
  <c r="AF76" i="16"/>
  <c r="AH76" i="16"/>
  <c r="AD76" i="16"/>
  <c r="AE76" i="16"/>
  <c r="AJ76" i="16"/>
  <c r="AF72" i="16"/>
  <c r="AJ72" i="16"/>
  <c r="AC72" i="16"/>
  <c r="AG72" i="16"/>
  <c r="AE72" i="16"/>
  <c r="AH72" i="16"/>
  <c r="AI72" i="16"/>
  <c r="AF68" i="16"/>
  <c r="AJ68" i="16"/>
  <c r="AG68" i="16"/>
  <c r="AD68" i="16"/>
  <c r="AH68" i="16"/>
  <c r="AE68" i="16"/>
  <c r="AI68" i="16"/>
  <c r="AJ64" i="16"/>
  <c r="AC64" i="16"/>
  <c r="AG64" i="16"/>
  <c r="AD64" i="16"/>
  <c r="AH64" i="16"/>
  <c r="AE64" i="16"/>
  <c r="AI64" i="16"/>
  <c r="AH60" i="16"/>
  <c r="AE60" i="16"/>
  <c r="AI60" i="16"/>
  <c r="AF60" i="16"/>
  <c r="AJ60" i="16"/>
  <c r="AG60" i="16"/>
  <c r="AC60" i="16"/>
  <c r="AE48" i="16"/>
  <c r="AI48" i="16"/>
  <c r="AF48" i="16"/>
  <c r="AC48" i="16"/>
  <c r="AG48" i="16"/>
  <c r="AH48" i="16"/>
  <c r="AD48" i="16"/>
  <c r="AC32" i="16"/>
  <c r="AG32" i="16"/>
  <c r="AD32" i="16"/>
  <c r="AE32" i="16"/>
  <c r="AI32" i="16"/>
  <c r="AJ32" i="16"/>
  <c r="AF32" i="16"/>
  <c r="AD28" i="16"/>
  <c r="AE28" i="16"/>
  <c r="AI28" i="16"/>
  <c r="AF28" i="16"/>
  <c r="AJ28" i="16"/>
  <c r="AC28" i="16"/>
  <c r="AG28" i="16"/>
  <c r="AF20" i="16"/>
  <c r="AJ20" i="16"/>
  <c r="AC20" i="16"/>
  <c r="AD20" i="16"/>
  <c r="AH20" i="16"/>
  <c r="AE20" i="16"/>
  <c r="AI20" i="16"/>
  <c r="AC16" i="16"/>
  <c r="AD16" i="16"/>
  <c r="AH16" i="16"/>
  <c r="AE16" i="16"/>
  <c r="AI16" i="16"/>
  <c r="AF16" i="16"/>
  <c r="AJ16" i="16"/>
  <c r="AA239" i="16"/>
  <c r="AA67" i="16"/>
  <c r="AB67" i="16" s="1"/>
  <c r="AA610" i="16"/>
  <c r="AA438" i="16"/>
  <c r="AB438" i="16" s="1"/>
  <c r="AA981" i="16"/>
  <c r="AB981" i="16" s="1"/>
  <c r="AA809" i="16"/>
  <c r="AB809" i="16" s="1"/>
  <c r="W376" i="16"/>
  <c r="W377" i="16"/>
  <c r="W378" i="16"/>
  <c r="W379" i="16"/>
  <c r="W380" i="16"/>
  <c r="W381" i="16"/>
  <c r="W382" i="16"/>
  <c r="W383" i="16"/>
  <c r="W384" i="16"/>
  <c r="W385" i="16"/>
  <c r="W386" i="16"/>
  <c r="W387" i="16"/>
  <c r="W388" i="16"/>
  <c r="W389" i="16"/>
  <c r="W390" i="16"/>
  <c r="W391" i="16"/>
  <c r="W392" i="16"/>
  <c r="W393" i="16"/>
  <c r="W394" i="16"/>
  <c r="W395" i="16"/>
  <c r="W396" i="16"/>
  <c r="W397" i="16"/>
  <c r="W398" i="16"/>
  <c r="W399" i="16"/>
  <c r="W400" i="16"/>
  <c r="W401" i="16"/>
  <c r="W402" i="16"/>
  <c r="W403" i="16"/>
  <c r="W404" i="16"/>
  <c r="W405" i="16"/>
  <c r="W406" i="16"/>
  <c r="W407" i="16"/>
  <c r="W408" i="16"/>
  <c r="W409" i="16"/>
  <c r="W410" i="16"/>
  <c r="W411" i="16"/>
  <c r="W412" i="16"/>
  <c r="W413" i="16"/>
  <c r="W414" i="16"/>
  <c r="W415" i="16"/>
  <c r="W416" i="16"/>
  <c r="W417" i="16"/>
  <c r="W418" i="16"/>
  <c r="W419" i="16"/>
  <c r="W420" i="16"/>
  <c r="W421" i="16"/>
  <c r="W422" i="16"/>
  <c r="W423" i="16"/>
  <c r="W424" i="16"/>
  <c r="W425" i="16"/>
  <c r="W426" i="16"/>
  <c r="W427" i="16"/>
  <c r="W428" i="16"/>
  <c r="W429" i="16"/>
  <c r="W430" i="16"/>
  <c r="W431" i="16"/>
  <c r="W432" i="16"/>
  <c r="W433" i="16"/>
  <c r="W434" i="16"/>
  <c r="W435" i="16"/>
  <c r="W436" i="16"/>
  <c r="W437" i="16"/>
  <c r="W438" i="16"/>
  <c r="W439" i="16"/>
  <c r="W440" i="16"/>
  <c r="W441" i="16"/>
  <c r="W442" i="16"/>
  <c r="W443" i="16"/>
  <c r="W444" i="16"/>
  <c r="W445" i="16"/>
  <c r="W446" i="16"/>
  <c r="W447" i="16"/>
  <c r="W448" i="16"/>
  <c r="W449" i="16"/>
  <c r="W450" i="16"/>
  <c r="W451" i="16"/>
  <c r="W452" i="16"/>
  <c r="W453" i="16"/>
  <c r="W454" i="16"/>
  <c r="W455" i="16"/>
  <c r="W456" i="16"/>
  <c r="W457" i="16"/>
  <c r="W458" i="16"/>
  <c r="W459" i="16"/>
  <c r="W460" i="16"/>
  <c r="W461" i="16"/>
  <c r="W462" i="16"/>
  <c r="W463" i="16"/>
  <c r="W464" i="16"/>
  <c r="W465" i="16"/>
  <c r="W466" i="16"/>
  <c r="W467" i="16"/>
  <c r="W468" i="16"/>
  <c r="W469" i="16"/>
  <c r="W470" i="16"/>
  <c r="W471" i="16"/>
  <c r="W472" i="16"/>
  <c r="W473" i="16"/>
  <c r="W474" i="16"/>
  <c r="W475" i="16"/>
  <c r="W476" i="16"/>
  <c r="W477" i="16"/>
  <c r="W478" i="16"/>
  <c r="W479" i="16"/>
  <c r="W480" i="16"/>
  <c r="W481" i="16"/>
  <c r="W482" i="16"/>
  <c r="W483" i="16"/>
  <c r="W484" i="16"/>
  <c r="W485" i="16"/>
  <c r="W486" i="16"/>
  <c r="W487" i="16"/>
  <c r="W488" i="16"/>
  <c r="W489" i="16"/>
  <c r="W490" i="16"/>
  <c r="W491" i="16"/>
  <c r="W492" i="16"/>
  <c r="W493" i="16"/>
  <c r="W494" i="16"/>
  <c r="W495" i="16"/>
  <c r="W496" i="16"/>
  <c r="W497" i="16"/>
  <c r="W498" i="16"/>
  <c r="W499" i="16"/>
  <c r="W500" i="16"/>
  <c r="W501" i="16"/>
  <c r="W502" i="16"/>
  <c r="W503" i="16"/>
  <c r="W504" i="16"/>
  <c r="W505" i="16"/>
  <c r="W506" i="16"/>
  <c r="W507" i="16"/>
  <c r="W508" i="16"/>
  <c r="W509" i="16"/>
  <c r="W510" i="16"/>
  <c r="W511" i="16"/>
  <c r="W512" i="16"/>
  <c r="W513" i="16"/>
  <c r="W514" i="16"/>
  <c r="W515" i="16"/>
  <c r="W516" i="16"/>
  <c r="W517" i="16"/>
  <c r="W518" i="16"/>
  <c r="W519" i="16"/>
  <c r="W520" i="16"/>
  <c r="W521" i="16"/>
  <c r="W522" i="16"/>
  <c r="W523" i="16"/>
  <c r="W524" i="16"/>
  <c r="W525" i="16"/>
  <c r="W526" i="16"/>
  <c r="W527" i="16"/>
  <c r="W528" i="16"/>
  <c r="W529" i="16"/>
  <c r="W530" i="16"/>
  <c r="W531" i="16"/>
  <c r="W532" i="16"/>
  <c r="W533" i="16"/>
  <c r="W534" i="16"/>
  <c r="W535" i="16"/>
  <c r="W536" i="16"/>
  <c r="W537" i="16"/>
  <c r="W538" i="16"/>
  <c r="W539" i="16"/>
  <c r="W540" i="16"/>
  <c r="W541" i="16"/>
  <c r="W542" i="16"/>
  <c r="W543" i="16"/>
  <c r="W544" i="16"/>
  <c r="W545" i="16"/>
  <c r="W546" i="16"/>
  <c r="W547" i="16"/>
  <c r="W548" i="16"/>
  <c r="W549" i="16"/>
  <c r="W550" i="16"/>
  <c r="W551" i="16"/>
  <c r="W552" i="16"/>
  <c r="W553" i="16"/>
  <c r="W554" i="16"/>
  <c r="W555" i="16"/>
  <c r="W556" i="16"/>
  <c r="W557" i="16"/>
  <c r="W558" i="16"/>
  <c r="W559" i="16"/>
  <c r="W560" i="16"/>
  <c r="W561" i="16"/>
  <c r="W562" i="16"/>
  <c r="W563" i="16"/>
  <c r="W564" i="16"/>
  <c r="W565" i="16"/>
  <c r="W566" i="16"/>
  <c r="W567" i="16"/>
  <c r="W568" i="16"/>
  <c r="W569" i="16"/>
  <c r="W570" i="16"/>
  <c r="W571" i="16"/>
  <c r="W572" i="16"/>
  <c r="W573" i="16"/>
  <c r="W574" i="16"/>
  <c r="W575" i="16"/>
  <c r="W576" i="16"/>
  <c r="W577" i="16"/>
  <c r="W578" i="16"/>
  <c r="W579" i="16"/>
  <c r="W580" i="16"/>
  <c r="W581" i="16"/>
  <c r="W582" i="16"/>
  <c r="W583" i="16"/>
  <c r="W584" i="16"/>
  <c r="W585" i="16"/>
  <c r="W586" i="16"/>
  <c r="W587" i="16"/>
  <c r="W588" i="16"/>
  <c r="W589" i="16"/>
  <c r="W590" i="16"/>
  <c r="W591" i="16"/>
  <c r="W592" i="16"/>
  <c r="W593" i="16"/>
  <c r="W594" i="16"/>
  <c r="W595" i="16"/>
  <c r="W596" i="16"/>
  <c r="W597" i="16"/>
  <c r="W598" i="16"/>
  <c r="W599" i="16"/>
  <c r="W600" i="16"/>
  <c r="W601" i="16"/>
  <c r="W602" i="16"/>
  <c r="W603" i="16"/>
  <c r="W604" i="16"/>
  <c r="W605" i="16"/>
  <c r="W606" i="16"/>
  <c r="W607" i="16"/>
  <c r="W608" i="16"/>
  <c r="W609" i="16"/>
  <c r="W610" i="16"/>
  <c r="W611" i="16"/>
  <c r="W612" i="16"/>
  <c r="W613" i="16"/>
  <c r="W614" i="16"/>
  <c r="W615" i="16"/>
  <c r="W616" i="16"/>
  <c r="W617" i="16"/>
  <c r="W618" i="16"/>
  <c r="W619" i="16"/>
  <c r="W620" i="16"/>
  <c r="W621" i="16"/>
  <c r="W622" i="16"/>
  <c r="W623" i="16"/>
  <c r="W624" i="16"/>
  <c r="W625" i="16"/>
  <c r="W626" i="16"/>
  <c r="W627" i="16"/>
  <c r="W628" i="16"/>
  <c r="W629" i="16"/>
  <c r="W630" i="16"/>
  <c r="W631" i="16"/>
  <c r="W632" i="16"/>
  <c r="W633" i="16"/>
  <c r="W634" i="16"/>
  <c r="W635" i="16"/>
  <c r="W636" i="16"/>
  <c r="W637" i="16"/>
  <c r="W638" i="16"/>
  <c r="W639" i="16"/>
  <c r="W640" i="16"/>
  <c r="W641" i="16"/>
  <c r="W642" i="16"/>
  <c r="W643" i="16"/>
  <c r="W644" i="16"/>
  <c r="W645" i="16"/>
  <c r="W646" i="16"/>
  <c r="W647" i="16"/>
  <c r="W648" i="16"/>
  <c r="W649" i="16"/>
  <c r="W650" i="16"/>
  <c r="W651" i="16"/>
  <c r="W652" i="16"/>
  <c r="W653" i="16"/>
  <c r="W654" i="16"/>
  <c r="W655" i="16"/>
  <c r="W656" i="16"/>
  <c r="W657" i="16"/>
  <c r="W658" i="16"/>
  <c r="W659" i="16"/>
  <c r="W660" i="16"/>
  <c r="W661" i="16"/>
  <c r="W662" i="16"/>
  <c r="W663" i="16"/>
  <c r="W664" i="16"/>
  <c r="W665" i="16"/>
  <c r="W666" i="16"/>
  <c r="W667" i="16"/>
  <c r="W668" i="16"/>
  <c r="W669" i="16"/>
  <c r="W670" i="16"/>
  <c r="W671" i="16"/>
  <c r="W672" i="16"/>
  <c r="W673" i="16"/>
  <c r="W674" i="16"/>
  <c r="W675" i="16"/>
  <c r="W676" i="16"/>
  <c r="W677" i="16"/>
  <c r="W678" i="16"/>
  <c r="W679" i="16"/>
  <c r="W680" i="16"/>
  <c r="W681" i="16"/>
  <c r="W682" i="16"/>
  <c r="W683" i="16"/>
  <c r="W684" i="16"/>
  <c r="W685" i="16"/>
  <c r="W686" i="16"/>
  <c r="W687" i="16"/>
  <c r="W688" i="16"/>
  <c r="W689" i="16"/>
  <c r="W690" i="16"/>
  <c r="W691" i="16"/>
  <c r="W692" i="16"/>
  <c r="W693" i="16"/>
  <c r="W694" i="16"/>
  <c r="W695" i="16"/>
  <c r="W696" i="16"/>
  <c r="W697" i="16"/>
  <c r="W698" i="16"/>
  <c r="W699" i="16"/>
  <c r="W700" i="16"/>
  <c r="W701" i="16"/>
  <c r="W702" i="16"/>
  <c r="W703" i="16"/>
  <c r="W704" i="16"/>
  <c r="W705" i="16"/>
  <c r="W706" i="16"/>
  <c r="W707" i="16"/>
  <c r="W708" i="16"/>
  <c r="W709" i="16"/>
  <c r="W710" i="16"/>
  <c r="W711" i="16"/>
  <c r="W712" i="16"/>
  <c r="W713" i="16"/>
  <c r="W714" i="16"/>
  <c r="W715" i="16"/>
  <c r="W716" i="16"/>
  <c r="W717" i="16"/>
  <c r="W718" i="16"/>
  <c r="W719" i="16"/>
  <c r="W720" i="16"/>
  <c r="W721" i="16"/>
  <c r="W722" i="16"/>
  <c r="W723" i="16"/>
  <c r="W724" i="16"/>
  <c r="W725" i="16"/>
  <c r="W726" i="16"/>
  <c r="W727" i="16"/>
  <c r="W728" i="16"/>
  <c r="W729" i="16"/>
  <c r="W730" i="16"/>
  <c r="W731" i="16"/>
  <c r="W732" i="16"/>
  <c r="W733" i="16"/>
  <c r="W734" i="16"/>
  <c r="W735" i="16"/>
  <c r="W736" i="16"/>
  <c r="W737" i="16"/>
  <c r="W738" i="16"/>
  <c r="W739" i="16"/>
  <c r="W740" i="16"/>
  <c r="W741" i="16"/>
  <c r="W742" i="16"/>
  <c r="W743" i="16"/>
  <c r="W744" i="16"/>
  <c r="W745" i="16"/>
  <c r="W746" i="16"/>
  <c r="W4" i="16"/>
  <c r="O1874" i="16" l="1"/>
  <c r="K1871" i="16"/>
  <c r="H1869" i="16"/>
  <c r="M1874" i="16"/>
  <c r="H1872" i="16"/>
  <c r="M1872" i="16"/>
  <c r="Q1868" i="16"/>
  <c r="H1874" i="16"/>
  <c r="I1868" i="16"/>
  <c r="K1869" i="16"/>
  <c r="I1874" i="16"/>
  <c r="K1874" i="16"/>
  <c r="M1870" i="16"/>
  <c r="H1865" i="16"/>
  <c r="O1871" i="16"/>
  <c r="I1865" i="16"/>
  <c r="M1865" i="16"/>
  <c r="Q1865" i="16"/>
  <c r="K1866" i="16"/>
  <c r="O1866" i="16"/>
  <c r="I1867" i="16"/>
  <c r="M1867" i="16"/>
  <c r="Q1867" i="16"/>
  <c r="K1868" i="16"/>
  <c r="O1868" i="16"/>
  <c r="I1869" i="16"/>
  <c r="M1869" i="16"/>
  <c r="Q1869" i="16"/>
  <c r="K1870" i="16"/>
  <c r="O1870" i="16"/>
  <c r="I1871" i="16"/>
  <c r="M1871" i="16"/>
  <c r="Q1871" i="16"/>
  <c r="K1872" i="16"/>
  <c r="O1872" i="16"/>
  <c r="J1865" i="16"/>
  <c r="N1865" i="16"/>
  <c r="R1865" i="16"/>
  <c r="L1866" i="16"/>
  <c r="P1866" i="16"/>
  <c r="J1867" i="16"/>
  <c r="N1867" i="16"/>
  <c r="R1867" i="16"/>
  <c r="L1868" i="16"/>
  <c r="P1868" i="16"/>
  <c r="J1869" i="16"/>
  <c r="N1869" i="16"/>
  <c r="R1869" i="16"/>
  <c r="L1870" i="16"/>
  <c r="P1870" i="16"/>
  <c r="J1871" i="16"/>
  <c r="N1871" i="16"/>
  <c r="R1871" i="16"/>
  <c r="L1872" i="16"/>
  <c r="P1872" i="16"/>
  <c r="L1874" i="16"/>
  <c r="P1874" i="16"/>
  <c r="K1865" i="16"/>
  <c r="O1865" i="16"/>
  <c r="O1876" i="16" s="1"/>
  <c r="O1878" i="16" s="1"/>
  <c r="I1866" i="16"/>
  <c r="M1866" i="16"/>
  <c r="L1865" i="16"/>
  <c r="P1865" i="16"/>
  <c r="J1866" i="16"/>
  <c r="N1866" i="16"/>
  <c r="R1866" i="16"/>
  <c r="L1867" i="16"/>
  <c r="P1867" i="16"/>
  <c r="J1868" i="16"/>
  <c r="N1868" i="16"/>
  <c r="R1868" i="16"/>
  <c r="L1869" i="16"/>
  <c r="P1869" i="16"/>
  <c r="J1870" i="16"/>
  <c r="N1870" i="16"/>
  <c r="R1870" i="16"/>
  <c r="L1871" i="16"/>
  <c r="P1871" i="16"/>
  <c r="J1872" i="16"/>
  <c r="N1872" i="16"/>
  <c r="R1872" i="16"/>
  <c r="J1874" i="16"/>
  <c r="N1874" i="16"/>
  <c r="R1874" i="16"/>
  <c r="G1872" i="16"/>
  <c r="G1874" i="16"/>
  <c r="G1869" i="16"/>
  <c r="G1865" i="16"/>
  <c r="G1868" i="16"/>
  <c r="G1866" i="16"/>
  <c r="G1867" i="16"/>
  <c r="G1871" i="16"/>
  <c r="G1870" i="16"/>
  <c r="AE739" i="16"/>
  <c r="AJ739" i="16"/>
  <c r="AF739" i="16"/>
  <c r="AH739" i="16"/>
  <c r="AC739" i="16"/>
  <c r="AG739" i="16"/>
  <c r="AD739" i="16"/>
  <c r="AJ809" i="16"/>
  <c r="AK809" i="16" s="1"/>
  <c r="AF743" i="16"/>
  <c r="AC743" i="16"/>
  <c r="AG743" i="16"/>
  <c r="AE743" i="16"/>
  <c r="AD743" i="16"/>
  <c r="AH743" i="16"/>
  <c r="AJ743" i="16"/>
  <c r="AG727" i="16"/>
  <c r="AC727" i="16"/>
  <c r="AH727" i="16"/>
  <c r="AF727" i="16"/>
  <c r="AJ727" i="16"/>
  <c r="AE727" i="16"/>
  <c r="AI727" i="16"/>
  <c r="AF734" i="16"/>
  <c r="AC734" i="16"/>
  <c r="AH734" i="16"/>
  <c r="AJ734" i="16"/>
  <c r="AD734" i="16"/>
  <c r="AI734" i="16"/>
  <c r="AE734" i="16"/>
  <c r="AJ981" i="16"/>
  <c r="AK981" i="16" s="1"/>
  <c r="AC731" i="16"/>
  <c r="AH731" i="16"/>
  <c r="AE731" i="16"/>
  <c r="AI731" i="16"/>
  <c r="AF731" i="16"/>
  <c r="AJ731" i="16"/>
  <c r="AG731" i="16"/>
  <c r="AC742" i="16"/>
  <c r="AG742" i="16"/>
  <c r="AD742" i="16"/>
  <c r="AH742" i="16"/>
  <c r="AE742" i="16"/>
  <c r="AI742" i="16"/>
  <c r="AJ742" i="16"/>
  <c r="AH730" i="16"/>
  <c r="AE730" i="16"/>
  <c r="AI730" i="16"/>
  <c r="AC730" i="16"/>
  <c r="AF730" i="16"/>
  <c r="AJ730" i="16"/>
  <c r="AG730" i="16"/>
  <c r="AC722" i="16"/>
  <c r="AG722" i="16"/>
  <c r="AH722" i="16"/>
  <c r="AJ722" i="16"/>
  <c r="AE722" i="16"/>
  <c r="AI722" i="16"/>
  <c r="AF722" i="16"/>
  <c r="AF714" i="16"/>
  <c r="AJ714" i="16"/>
  <c r="AC714" i="16"/>
  <c r="AG714" i="16"/>
  <c r="AE714" i="16"/>
  <c r="AI714" i="16"/>
  <c r="AD714" i="16"/>
  <c r="AF745" i="16"/>
  <c r="AC745" i="16"/>
  <c r="AG745" i="16"/>
  <c r="AE745" i="16"/>
  <c r="AD745" i="16"/>
  <c r="AH745" i="16"/>
  <c r="AJ745" i="16"/>
  <c r="AG733" i="16"/>
  <c r="AC733" i="16"/>
  <c r="AH733" i="16"/>
  <c r="AJ733" i="16"/>
  <c r="AE733" i="16"/>
  <c r="AI733" i="16"/>
  <c r="AF733" i="16"/>
  <c r="AF709" i="16"/>
  <c r="AC709" i="16"/>
  <c r="AG709" i="16"/>
  <c r="AJ709" i="16"/>
  <c r="AD709" i="16"/>
  <c r="AH709" i="16"/>
  <c r="AE709" i="16"/>
  <c r="AF735" i="16"/>
  <c r="AC735" i="16"/>
  <c r="AH735" i="16"/>
  <c r="AJ735" i="16"/>
  <c r="AD735" i="16"/>
  <c r="AI735" i="16"/>
  <c r="AE735" i="16"/>
  <c r="AE715" i="16"/>
  <c r="AJ715" i="16"/>
  <c r="AF715" i="16"/>
  <c r="AH715" i="16"/>
  <c r="AC715" i="16"/>
  <c r="AG715" i="16"/>
  <c r="AD715" i="16"/>
  <c r="AE738" i="16"/>
  <c r="AJ738" i="16"/>
  <c r="AF738" i="16"/>
  <c r="AH738" i="16"/>
  <c r="AC738" i="16"/>
  <c r="AG738" i="16"/>
  <c r="AD738" i="16"/>
  <c r="AF710" i="16"/>
  <c r="AC710" i="16"/>
  <c r="AG710" i="16"/>
  <c r="AI710" i="16"/>
  <c r="AD710" i="16"/>
  <c r="AH710" i="16"/>
  <c r="AE710" i="16"/>
  <c r="AD741" i="16"/>
  <c r="AH741" i="16"/>
  <c r="AE741" i="16"/>
  <c r="AI741" i="16"/>
  <c r="AG741" i="16"/>
  <c r="AJ741" i="16"/>
  <c r="AC741" i="16"/>
  <c r="AF737" i="16"/>
  <c r="AJ737" i="16"/>
  <c r="AG737" i="16"/>
  <c r="AI737" i="16"/>
  <c r="AC737" i="16"/>
  <c r="AH737" i="16"/>
  <c r="AE737" i="16"/>
  <c r="AG744" i="16"/>
  <c r="AC744" i="16"/>
  <c r="AH744" i="16"/>
  <c r="AF744" i="16"/>
  <c r="AD744" i="16"/>
  <c r="AI744" i="16"/>
  <c r="AJ744" i="16"/>
  <c r="AE740" i="16"/>
  <c r="AI740" i="16"/>
  <c r="AJ740" i="16"/>
  <c r="AH740" i="16"/>
  <c r="AC740" i="16"/>
  <c r="AG740" i="16"/>
  <c r="AD740" i="16"/>
  <c r="AF736" i="16"/>
  <c r="AJ736" i="16"/>
  <c r="AC736" i="16"/>
  <c r="AG736" i="16"/>
  <c r="AI736" i="16"/>
  <c r="AH736" i="16"/>
  <c r="AE736" i="16"/>
  <c r="AC732" i="16"/>
  <c r="AG732" i="16"/>
  <c r="AH732" i="16"/>
  <c r="AF732" i="16"/>
  <c r="AJ732" i="16"/>
  <c r="AE732" i="16"/>
  <c r="AI732" i="16"/>
  <c r="AF728" i="16"/>
  <c r="AJ728" i="16"/>
  <c r="AC728" i="16"/>
  <c r="AG728" i="16"/>
  <c r="AE728" i="16"/>
  <c r="AD728" i="16"/>
  <c r="AI728" i="16"/>
  <c r="AE724" i="16"/>
  <c r="AI724" i="16"/>
  <c r="AF724" i="16"/>
  <c r="AJ724" i="16"/>
  <c r="AC724" i="16"/>
  <c r="AG724" i="16"/>
  <c r="AD724" i="16"/>
  <c r="AB610" i="16"/>
  <c r="AJ610" i="16" s="1"/>
  <c r="AB810" i="16"/>
  <c r="AB239" i="16"/>
  <c r="AJ239" i="16" s="1"/>
  <c r="AK239" i="16" s="1"/>
  <c r="AB439" i="16"/>
  <c r="AC439" i="16" s="1"/>
  <c r="AB68" i="16"/>
  <c r="AC68" i="16" s="1"/>
  <c r="AK68" i="16" s="1"/>
  <c r="AJ67" i="16"/>
  <c r="AK67" i="16" s="1"/>
  <c r="AC687" i="16"/>
  <c r="AG687" i="16"/>
  <c r="AH687" i="16"/>
  <c r="AE687" i="16"/>
  <c r="AF687" i="16"/>
  <c r="AI687" i="16"/>
  <c r="AJ687" i="16"/>
  <c r="AC675" i="16"/>
  <c r="AG675" i="16"/>
  <c r="AH675" i="16"/>
  <c r="AE675" i="16"/>
  <c r="AF675" i="16"/>
  <c r="AI675" i="16"/>
  <c r="AJ675" i="16"/>
  <c r="AG663" i="16"/>
  <c r="AD663" i="16"/>
  <c r="AH663" i="16"/>
  <c r="AE663" i="16"/>
  <c r="AF663" i="16"/>
  <c r="AI663" i="16"/>
  <c r="AJ663" i="16"/>
  <c r="AD647" i="16"/>
  <c r="AH647" i="16"/>
  <c r="AI647" i="16"/>
  <c r="AE647" i="16"/>
  <c r="AJ647" i="16"/>
  <c r="AF647" i="16"/>
  <c r="AG647" i="16"/>
  <c r="AD643" i="16"/>
  <c r="AH643" i="16"/>
  <c r="AC643" i="16"/>
  <c r="AI643" i="16"/>
  <c r="AE643" i="16"/>
  <c r="AJ643" i="16"/>
  <c r="AG643" i="16"/>
  <c r="AD627" i="16"/>
  <c r="AH627" i="16"/>
  <c r="AE627" i="16"/>
  <c r="AI627" i="16"/>
  <c r="AJ627" i="16"/>
  <c r="AF627" i="16"/>
  <c r="AG627" i="16"/>
  <c r="AH615" i="16"/>
  <c r="AE615" i="16"/>
  <c r="AI615" i="16"/>
  <c r="AJ615" i="16"/>
  <c r="AC615" i="16"/>
  <c r="AF615" i="16"/>
  <c r="AG615" i="16"/>
  <c r="AC702" i="16"/>
  <c r="AG702" i="16"/>
  <c r="AH702" i="16"/>
  <c r="AE702" i="16"/>
  <c r="AF702" i="16"/>
  <c r="AI702" i="16"/>
  <c r="AJ702" i="16"/>
  <c r="AC690" i="16"/>
  <c r="AG690" i="16"/>
  <c r="AH690" i="16"/>
  <c r="AE690" i="16"/>
  <c r="AF690" i="16"/>
  <c r="AI690" i="16"/>
  <c r="AJ690" i="16"/>
  <c r="AC686" i="16"/>
  <c r="AG686" i="16"/>
  <c r="AH686" i="16"/>
  <c r="AE686" i="16"/>
  <c r="AF686" i="16"/>
  <c r="AI686" i="16"/>
  <c r="AJ686" i="16"/>
  <c r="AC674" i="16"/>
  <c r="AG674" i="16"/>
  <c r="AH674" i="16"/>
  <c r="AE674" i="16"/>
  <c r="AF674" i="16"/>
  <c r="AI674" i="16"/>
  <c r="AJ674" i="16"/>
  <c r="AC666" i="16"/>
  <c r="AG666" i="16"/>
  <c r="AD666" i="16"/>
  <c r="AH666" i="16"/>
  <c r="AE666" i="16"/>
  <c r="AF666" i="16"/>
  <c r="AI666" i="16"/>
  <c r="AD658" i="16"/>
  <c r="AH658" i="16"/>
  <c r="AE658" i="16"/>
  <c r="AI658" i="16"/>
  <c r="AC658" i="16"/>
  <c r="AF658" i="16"/>
  <c r="AG658" i="16"/>
  <c r="AD650" i="16"/>
  <c r="AH650" i="16"/>
  <c r="AF650" i="16"/>
  <c r="AG650" i="16"/>
  <c r="AE650" i="16"/>
  <c r="AI650" i="16"/>
  <c r="AJ650" i="16"/>
  <c r="AD642" i="16"/>
  <c r="AH642" i="16"/>
  <c r="AF642" i="16"/>
  <c r="AG642" i="16"/>
  <c r="AE642" i="16"/>
  <c r="AI642" i="16"/>
  <c r="AJ642" i="16"/>
  <c r="AD634" i="16"/>
  <c r="AH634" i="16"/>
  <c r="AF634" i="16"/>
  <c r="AG634" i="16"/>
  <c r="AC634" i="16"/>
  <c r="AE634" i="16"/>
  <c r="AI634" i="16"/>
  <c r="AI626" i="16"/>
  <c r="AE626" i="16"/>
  <c r="AH626" i="16"/>
  <c r="AD626" i="16"/>
  <c r="AC626" i="16"/>
  <c r="AG626" i="16"/>
  <c r="AF626" i="16"/>
  <c r="AH618" i="16"/>
  <c r="AE618" i="16"/>
  <c r="AI618" i="16"/>
  <c r="AJ618" i="16"/>
  <c r="AC618" i="16"/>
  <c r="AF618" i="16"/>
  <c r="AG618" i="16"/>
  <c r="AD610" i="16"/>
  <c r="AH610" i="16"/>
  <c r="AE610" i="16"/>
  <c r="AI610" i="16"/>
  <c r="AC610" i="16"/>
  <c r="AF610" i="16"/>
  <c r="AG610" i="16"/>
  <c r="AH606" i="16"/>
  <c r="AE606" i="16"/>
  <c r="AI606" i="16"/>
  <c r="AJ606" i="16"/>
  <c r="AC606" i="16"/>
  <c r="AF606" i="16"/>
  <c r="AG606" i="16"/>
  <c r="AD598" i="16"/>
  <c r="AH598" i="16"/>
  <c r="AE598" i="16"/>
  <c r="AI598" i="16"/>
  <c r="AJ598" i="16"/>
  <c r="AC598" i="16"/>
  <c r="AF598" i="16"/>
  <c r="AF586" i="16"/>
  <c r="AJ586" i="16"/>
  <c r="AI586" i="16"/>
  <c r="AC586" i="16"/>
  <c r="AG586" i="16"/>
  <c r="AH586" i="16"/>
  <c r="AE586" i="16"/>
  <c r="AF578" i="16"/>
  <c r="AJ578" i="16"/>
  <c r="AC578" i="16"/>
  <c r="AG578" i="16"/>
  <c r="AI578" i="16"/>
  <c r="AH578" i="16"/>
  <c r="AE578" i="16"/>
  <c r="AF574" i="16"/>
  <c r="AJ574" i="16"/>
  <c r="AI574" i="16"/>
  <c r="AC574" i="16"/>
  <c r="AG574" i="16"/>
  <c r="AH574" i="16"/>
  <c r="AE574" i="16"/>
  <c r="AF566" i="16"/>
  <c r="AJ566" i="16"/>
  <c r="AC566" i="16"/>
  <c r="AG566" i="16"/>
  <c r="AI566" i="16"/>
  <c r="AH566" i="16"/>
  <c r="AE566" i="16"/>
  <c r="AC558" i="16"/>
  <c r="AG558" i="16"/>
  <c r="AD558" i="16"/>
  <c r="AI558" i="16"/>
  <c r="AE558" i="16"/>
  <c r="AJ558" i="16"/>
  <c r="AF558" i="16"/>
  <c r="AC546" i="16"/>
  <c r="AG546" i="16"/>
  <c r="AE546" i="16"/>
  <c r="AJ546" i="16"/>
  <c r="AF546" i="16"/>
  <c r="AH546" i="16"/>
  <c r="AI546" i="16"/>
  <c r="AC542" i="16"/>
  <c r="AD542" i="16"/>
  <c r="AH542" i="16"/>
  <c r="AF542" i="16"/>
  <c r="AI542" i="16"/>
  <c r="AJ542" i="16"/>
  <c r="AE542" i="16"/>
  <c r="AC534" i="16"/>
  <c r="AG534" i="16"/>
  <c r="AH534" i="16"/>
  <c r="AF534" i="16"/>
  <c r="AI534" i="16"/>
  <c r="AJ534" i="16"/>
  <c r="AE534" i="16"/>
  <c r="AF522" i="16"/>
  <c r="AJ522" i="16"/>
  <c r="AC522" i="16"/>
  <c r="AG522" i="16"/>
  <c r="AH522" i="16"/>
  <c r="AE522" i="16"/>
  <c r="AI522" i="16"/>
  <c r="AF510" i="16"/>
  <c r="AJ510" i="16"/>
  <c r="AC510" i="16"/>
  <c r="AG510" i="16"/>
  <c r="AH510" i="16"/>
  <c r="AI510" i="16"/>
  <c r="AE510" i="16"/>
  <c r="AF502" i="16"/>
  <c r="AJ502" i="16"/>
  <c r="AC502" i="16"/>
  <c r="AG502" i="16"/>
  <c r="AD502" i="16"/>
  <c r="AH502" i="16"/>
  <c r="AE502" i="16"/>
  <c r="AF498" i="16"/>
  <c r="AJ498" i="16"/>
  <c r="AC498" i="16"/>
  <c r="AG498" i="16"/>
  <c r="AH498" i="16"/>
  <c r="AE498" i="16"/>
  <c r="AI498" i="16"/>
  <c r="AF478" i="16"/>
  <c r="AJ478" i="16"/>
  <c r="AG478" i="16"/>
  <c r="AD478" i="16"/>
  <c r="AH478" i="16"/>
  <c r="AE478" i="16"/>
  <c r="AI478" i="16"/>
  <c r="AF470" i="16"/>
  <c r="AJ470" i="16"/>
  <c r="AC470" i="16"/>
  <c r="AG470" i="16"/>
  <c r="AD470" i="16"/>
  <c r="AH470" i="16"/>
  <c r="AE470" i="16"/>
  <c r="AC458" i="16"/>
  <c r="AG458" i="16"/>
  <c r="AD458" i="16"/>
  <c r="AH458" i="16"/>
  <c r="AE458" i="16"/>
  <c r="AJ458" i="16"/>
  <c r="AF458" i="16"/>
  <c r="AC446" i="16"/>
  <c r="AG446" i="16"/>
  <c r="AD446" i="16"/>
  <c r="AH446" i="16"/>
  <c r="AI446" i="16"/>
  <c r="AJ446" i="16"/>
  <c r="AF446" i="16"/>
  <c r="AC442" i="16"/>
  <c r="AG442" i="16"/>
  <c r="AH442" i="16"/>
  <c r="AI442" i="16"/>
  <c r="AJ442" i="16"/>
  <c r="AE442" i="16"/>
  <c r="AF442" i="16"/>
  <c r="AC434" i="16"/>
  <c r="AD434" i="16"/>
  <c r="AH434" i="16"/>
  <c r="AI434" i="16"/>
  <c r="AJ434" i="16"/>
  <c r="AE434" i="16"/>
  <c r="AF434" i="16"/>
  <c r="AC422" i="16"/>
  <c r="AG422" i="16"/>
  <c r="AD422" i="16"/>
  <c r="AI422" i="16"/>
  <c r="AJ422" i="16"/>
  <c r="AE422" i="16"/>
  <c r="AF422" i="16"/>
  <c r="AF705" i="16"/>
  <c r="AJ705" i="16"/>
  <c r="AC705" i="16"/>
  <c r="AE705" i="16"/>
  <c r="AH705" i="16"/>
  <c r="AI705" i="16"/>
  <c r="AD705" i="16"/>
  <c r="AC701" i="16"/>
  <c r="AD701" i="16"/>
  <c r="AH701" i="16"/>
  <c r="AE701" i="16"/>
  <c r="AF701" i="16"/>
  <c r="AI701" i="16"/>
  <c r="AJ701" i="16"/>
  <c r="AC689" i="16"/>
  <c r="AG689" i="16"/>
  <c r="AH689" i="16"/>
  <c r="AE689" i="16"/>
  <c r="AF689" i="16"/>
  <c r="AI689" i="16"/>
  <c r="AJ689" i="16"/>
  <c r="AC685" i="16"/>
  <c r="AG685" i="16"/>
  <c r="AH685" i="16"/>
  <c r="AE685" i="16"/>
  <c r="AF685" i="16"/>
  <c r="AI685" i="16"/>
  <c r="AJ685" i="16"/>
  <c r="AC681" i="16"/>
  <c r="AG681" i="16"/>
  <c r="AH681" i="16"/>
  <c r="AE681" i="16"/>
  <c r="AF681" i="16"/>
  <c r="AI681" i="16"/>
  <c r="AJ681" i="16"/>
  <c r="AC677" i="16"/>
  <c r="AG677" i="16"/>
  <c r="AH677" i="16"/>
  <c r="AE677" i="16"/>
  <c r="AF677" i="16"/>
  <c r="AI677" i="16"/>
  <c r="AJ677" i="16"/>
  <c r="AC673" i="16"/>
  <c r="AG673" i="16"/>
  <c r="AD673" i="16"/>
  <c r="AH673" i="16"/>
  <c r="AE673" i="16"/>
  <c r="AF673" i="16"/>
  <c r="AI673" i="16"/>
  <c r="AC669" i="16"/>
  <c r="AG669" i="16"/>
  <c r="AD669" i="16"/>
  <c r="AH669" i="16"/>
  <c r="AE669" i="16"/>
  <c r="AF669" i="16"/>
  <c r="AI669" i="16"/>
  <c r="AC665" i="16"/>
  <c r="AG665" i="16"/>
  <c r="AD665" i="16"/>
  <c r="AH665" i="16"/>
  <c r="AE665" i="16"/>
  <c r="AF665" i="16"/>
  <c r="AI665" i="16"/>
  <c r="AD657" i="16"/>
  <c r="AH657" i="16"/>
  <c r="AE657" i="16"/>
  <c r="AI657" i="16"/>
  <c r="AJ657" i="16"/>
  <c r="AF657" i="16"/>
  <c r="AG657" i="16"/>
  <c r="AC653" i="16"/>
  <c r="AH653" i="16"/>
  <c r="AE653" i="16"/>
  <c r="AI653" i="16"/>
  <c r="AJ653" i="16"/>
  <c r="AF653" i="16"/>
  <c r="AG653" i="16"/>
  <c r="AD649" i="16"/>
  <c r="AH649" i="16"/>
  <c r="AC649" i="16"/>
  <c r="AI649" i="16"/>
  <c r="AE649" i="16"/>
  <c r="AF649" i="16"/>
  <c r="AG649" i="16"/>
  <c r="AD645" i="16"/>
  <c r="AH645" i="16"/>
  <c r="AC645" i="16"/>
  <c r="AI645" i="16"/>
  <c r="AE645" i="16"/>
  <c r="AJ645" i="16"/>
  <c r="AG645" i="16"/>
  <c r="AD641" i="16"/>
  <c r="AH641" i="16"/>
  <c r="AC641" i="16"/>
  <c r="AI641" i="16"/>
  <c r="AE641" i="16"/>
  <c r="AF641" i="16"/>
  <c r="AG641" i="16"/>
  <c r="AD637" i="16"/>
  <c r="AH637" i="16"/>
  <c r="AI637" i="16"/>
  <c r="AE637" i="16"/>
  <c r="AJ637" i="16"/>
  <c r="AF637" i="16"/>
  <c r="AG637" i="16"/>
  <c r="AH633" i="16"/>
  <c r="AC633" i="16"/>
  <c r="AI633" i="16"/>
  <c r="AE633" i="16"/>
  <c r="AJ633" i="16"/>
  <c r="AF633" i="16"/>
  <c r="AG633" i="16"/>
  <c r="AI629" i="16"/>
  <c r="AE629" i="16"/>
  <c r="AH629" i="16"/>
  <c r="AD629" i="16"/>
  <c r="AC629" i="16"/>
  <c r="AG629" i="16"/>
  <c r="AF629" i="16"/>
  <c r="AH621" i="16"/>
  <c r="AE621" i="16"/>
  <c r="AI621" i="16"/>
  <c r="AJ621" i="16"/>
  <c r="AC621" i="16"/>
  <c r="AF621" i="16"/>
  <c r="AG621" i="16"/>
  <c r="AD617" i="16"/>
  <c r="AH617" i="16"/>
  <c r="AE617" i="16"/>
  <c r="AI617" i="16"/>
  <c r="AJ617" i="16"/>
  <c r="AF617" i="16"/>
  <c r="AG617" i="16"/>
  <c r="AD613" i="16"/>
  <c r="AH613" i="16"/>
  <c r="AE613" i="16"/>
  <c r="AI613" i="16"/>
  <c r="AC613" i="16"/>
  <c r="AF613" i="16"/>
  <c r="AG613" i="16"/>
  <c r="AD609" i="16"/>
  <c r="AH609" i="16"/>
  <c r="AE609" i="16"/>
  <c r="AI609" i="16"/>
  <c r="AJ609" i="16"/>
  <c r="AF609" i="16"/>
  <c r="AG609" i="16"/>
  <c r="AH605" i="16"/>
  <c r="AE605" i="16"/>
  <c r="AI605" i="16"/>
  <c r="AJ605" i="16"/>
  <c r="AC605" i="16"/>
  <c r="AF605" i="16"/>
  <c r="AG605" i="16"/>
  <c r="AH601" i="16"/>
  <c r="AE601" i="16"/>
  <c r="AI601" i="16"/>
  <c r="AJ601" i="16"/>
  <c r="AC601" i="16"/>
  <c r="AF601" i="16"/>
  <c r="AG601" i="16"/>
  <c r="AH597" i="16"/>
  <c r="AE597" i="16"/>
  <c r="AI597" i="16"/>
  <c r="AJ597" i="16"/>
  <c r="AC597" i="16"/>
  <c r="AF597" i="16"/>
  <c r="AG597" i="16"/>
  <c r="AF589" i="16"/>
  <c r="AJ589" i="16"/>
  <c r="AI589" i="16"/>
  <c r="AG589" i="16"/>
  <c r="AD589" i="16"/>
  <c r="AH589" i="16"/>
  <c r="AE589" i="16"/>
  <c r="AF585" i="16"/>
  <c r="AJ585" i="16"/>
  <c r="AG585" i="16"/>
  <c r="AI585" i="16"/>
  <c r="AD585" i="16"/>
  <c r="AH585" i="16"/>
  <c r="AE585" i="16"/>
  <c r="AF581" i="16"/>
  <c r="AJ581" i="16"/>
  <c r="AE581" i="16"/>
  <c r="AC581" i="16"/>
  <c r="AG581" i="16"/>
  <c r="AI581" i="16"/>
  <c r="AH581" i="16"/>
  <c r="AF577" i="16"/>
  <c r="AJ577" i="16"/>
  <c r="AI577" i="16"/>
  <c r="AC577" i="16"/>
  <c r="AG577" i="16"/>
  <c r="AD577" i="16"/>
  <c r="AH577" i="16"/>
  <c r="AF573" i="16"/>
  <c r="AJ573" i="16"/>
  <c r="AE573" i="16"/>
  <c r="AC573" i="16"/>
  <c r="AG573" i="16"/>
  <c r="AI573" i="16"/>
  <c r="AH573" i="16"/>
  <c r="AF569" i="16"/>
  <c r="AJ569" i="16"/>
  <c r="AE569" i="16"/>
  <c r="AC569" i="16"/>
  <c r="AG569" i="16"/>
  <c r="AH569" i="16"/>
  <c r="AI569" i="16"/>
  <c r="AF565" i="16"/>
  <c r="AJ565" i="16"/>
  <c r="AI565" i="16"/>
  <c r="AC565" i="16"/>
  <c r="AG565" i="16"/>
  <c r="AH565" i="16"/>
  <c r="AE565" i="16"/>
  <c r="AF561" i="16"/>
  <c r="AJ561" i="16"/>
  <c r="AG561" i="16"/>
  <c r="AE561" i="16"/>
  <c r="AD561" i="16"/>
  <c r="AH561" i="16"/>
  <c r="AI561" i="16"/>
  <c r="AG557" i="16"/>
  <c r="AE557" i="16"/>
  <c r="AJ557" i="16"/>
  <c r="AD557" i="16"/>
  <c r="AF557" i="16"/>
  <c r="AI557" i="16"/>
  <c r="AH557" i="16"/>
  <c r="AG553" i="16"/>
  <c r="AH553" i="16"/>
  <c r="AD553" i="16"/>
  <c r="AI553" i="16"/>
  <c r="AE553" i="16"/>
  <c r="AJ553" i="16"/>
  <c r="AF553" i="16"/>
  <c r="AC549" i="16"/>
  <c r="AG549" i="16"/>
  <c r="AH549" i="16"/>
  <c r="AF549" i="16"/>
  <c r="AD549" i="16"/>
  <c r="AI549" i="16"/>
  <c r="AE549" i="16"/>
  <c r="AC545" i="16"/>
  <c r="AG545" i="16"/>
  <c r="AH545" i="16"/>
  <c r="AF545" i="16"/>
  <c r="AI545" i="16"/>
  <c r="AE545" i="16"/>
  <c r="AJ545" i="16"/>
  <c r="AC541" i="16"/>
  <c r="AG541" i="16"/>
  <c r="AH541" i="16"/>
  <c r="AF541" i="16"/>
  <c r="AI541" i="16"/>
  <c r="AE541" i="16"/>
  <c r="AJ541" i="16"/>
  <c r="AC537" i="16"/>
  <c r="AG537" i="16"/>
  <c r="AD537" i="16"/>
  <c r="AH537" i="16"/>
  <c r="AF537" i="16"/>
  <c r="AI537" i="16"/>
  <c r="AE537" i="16"/>
  <c r="AF533" i="16"/>
  <c r="AC533" i="16"/>
  <c r="AG533" i="16"/>
  <c r="AH533" i="16"/>
  <c r="AE533" i="16"/>
  <c r="AI533" i="16"/>
  <c r="AJ533" i="16"/>
  <c r="AF529" i="16"/>
  <c r="AJ529" i="16"/>
  <c r="AC529" i="16"/>
  <c r="AD529" i="16"/>
  <c r="AH529" i="16"/>
  <c r="AE529" i="16"/>
  <c r="AI529" i="16"/>
  <c r="AF521" i="16"/>
  <c r="AJ521" i="16"/>
  <c r="AC521" i="16"/>
  <c r="AG521" i="16"/>
  <c r="AH521" i="16"/>
  <c r="AE521" i="16"/>
  <c r="AI521" i="16"/>
  <c r="AF517" i="16"/>
  <c r="AJ517" i="16"/>
  <c r="AC517" i="16"/>
  <c r="AG517" i="16"/>
  <c r="AH517" i="16"/>
  <c r="AE517" i="16"/>
  <c r="AI517" i="16"/>
  <c r="AF509" i="16"/>
  <c r="AJ509" i="16"/>
  <c r="AC509" i="16"/>
  <c r="AG509" i="16"/>
  <c r="AH509" i="16"/>
  <c r="AE509" i="16"/>
  <c r="AI509" i="16"/>
  <c r="AF505" i="16"/>
  <c r="AJ505" i="16"/>
  <c r="AC505" i="16"/>
  <c r="AG505" i="16"/>
  <c r="AH505" i="16"/>
  <c r="AE505" i="16"/>
  <c r="AI505" i="16"/>
  <c r="AF501" i="16"/>
  <c r="AJ501" i="16"/>
  <c r="AC501" i="16"/>
  <c r="AG501" i="16"/>
  <c r="AD501" i="16"/>
  <c r="AH501" i="16"/>
  <c r="AI501" i="16"/>
  <c r="AF497" i="16"/>
  <c r="AJ497" i="16"/>
  <c r="AC497" i="16"/>
  <c r="AD497" i="16"/>
  <c r="AH497" i="16"/>
  <c r="AE497" i="16"/>
  <c r="AI497" i="16"/>
  <c r="AF493" i="16"/>
  <c r="AJ493" i="16"/>
  <c r="AC493" i="16"/>
  <c r="AG493" i="16"/>
  <c r="AH493" i="16"/>
  <c r="AE493" i="16"/>
  <c r="AI493" i="16"/>
  <c r="AF489" i="16"/>
  <c r="AJ489" i="16"/>
  <c r="AG489" i="16"/>
  <c r="AD489" i="16"/>
  <c r="AH489" i="16"/>
  <c r="AE489" i="16"/>
  <c r="AI489" i="16"/>
  <c r="AF485" i="16"/>
  <c r="AJ485" i="16"/>
  <c r="AC485" i="16"/>
  <c r="AG485" i="16"/>
  <c r="AD485" i="16"/>
  <c r="AH485" i="16"/>
  <c r="AE485" i="16"/>
  <c r="AF481" i="16"/>
  <c r="AJ481" i="16"/>
  <c r="AC481" i="16"/>
  <c r="AG481" i="16"/>
  <c r="AH481" i="16"/>
  <c r="AE481" i="16"/>
  <c r="AI481" i="16"/>
  <c r="AF477" i="16"/>
  <c r="AC477" i="16"/>
  <c r="AG477" i="16"/>
  <c r="AD477" i="16"/>
  <c r="AH477" i="16"/>
  <c r="AE477" i="16"/>
  <c r="AI477" i="16"/>
  <c r="AF473" i="16"/>
  <c r="AJ473" i="16"/>
  <c r="AC473" i="16"/>
  <c r="AG473" i="16"/>
  <c r="AH473" i="16"/>
  <c r="AE473" i="16"/>
  <c r="AI473" i="16"/>
  <c r="AF469" i="16"/>
  <c r="AJ469" i="16"/>
  <c r="AC469" i="16"/>
  <c r="AG469" i="16"/>
  <c r="AH469" i="16"/>
  <c r="AE469" i="16"/>
  <c r="AI469" i="16"/>
  <c r="AD465" i="16"/>
  <c r="AH465" i="16"/>
  <c r="AE465" i="16"/>
  <c r="AJ465" i="16"/>
  <c r="AF465" i="16"/>
  <c r="AG465" i="16"/>
  <c r="AI465" i="16"/>
  <c r="AC461" i="16"/>
  <c r="AG461" i="16"/>
  <c r="AH461" i="16"/>
  <c r="AE461" i="16"/>
  <c r="AI461" i="16"/>
  <c r="AJ461" i="16"/>
  <c r="AF461" i="16"/>
  <c r="AC457" i="16"/>
  <c r="AD457" i="16"/>
  <c r="AH457" i="16"/>
  <c r="AE457" i="16"/>
  <c r="AI457" i="16"/>
  <c r="AJ457" i="16"/>
  <c r="AF457" i="16"/>
  <c r="AG453" i="16"/>
  <c r="AD453" i="16"/>
  <c r="AH453" i="16"/>
  <c r="AE453" i="16"/>
  <c r="AJ453" i="16"/>
  <c r="AF453" i="16"/>
  <c r="AI453" i="16"/>
  <c r="AC449" i="16"/>
  <c r="AG449" i="16"/>
  <c r="AH449" i="16"/>
  <c r="AI449" i="16"/>
  <c r="AJ449" i="16"/>
  <c r="AE449" i="16"/>
  <c r="AF449" i="16"/>
  <c r="AC445" i="16"/>
  <c r="AG445" i="16"/>
  <c r="AH445" i="16"/>
  <c r="AI445" i="16"/>
  <c r="AJ445" i="16"/>
  <c r="AE445" i="16"/>
  <c r="AF445" i="16"/>
  <c r="AG437" i="16"/>
  <c r="AD437" i="16"/>
  <c r="AH437" i="16"/>
  <c r="AI437" i="16"/>
  <c r="AJ437" i="16"/>
  <c r="AE437" i="16"/>
  <c r="AF437" i="16"/>
  <c r="AC417" i="16"/>
  <c r="AG417" i="16"/>
  <c r="AD417" i="16"/>
  <c r="AH417" i="16"/>
  <c r="AI417" i="16"/>
  <c r="AJ417" i="16"/>
  <c r="AE417" i="16"/>
  <c r="AC413" i="16"/>
  <c r="AG413" i="16"/>
  <c r="AH413" i="16"/>
  <c r="AI413" i="16"/>
  <c r="AJ413" i="16"/>
  <c r="AE413" i="16"/>
  <c r="AF413" i="16"/>
  <c r="AE401" i="16"/>
  <c r="AI401" i="16"/>
  <c r="AG401" i="16"/>
  <c r="AH401" i="16"/>
  <c r="AD401" i="16"/>
  <c r="AF401" i="16"/>
  <c r="AJ401" i="16"/>
  <c r="AE397" i="16"/>
  <c r="AG397" i="16"/>
  <c r="AC397" i="16"/>
  <c r="AH397" i="16"/>
  <c r="AD397" i="16"/>
  <c r="AF397" i="16"/>
  <c r="AJ397" i="16"/>
  <c r="AE393" i="16"/>
  <c r="AI393" i="16"/>
  <c r="AD393" i="16"/>
  <c r="AF393" i="16"/>
  <c r="AG393" i="16"/>
  <c r="AH393" i="16"/>
  <c r="AC393" i="16"/>
  <c r="AE389" i="16"/>
  <c r="AI389" i="16"/>
  <c r="AG389" i="16"/>
  <c r="AC389" i="16"/>
  <c r="AH389" i="16"/>
  <c r="AJ389" i="16"/>
  <c r="AF389" i="16"/>
  <c r="AE377" i="16"/>
  <c r="AI377" i="16"/>
  <c r="AG377" i="16"/>
  <c r="AC377" i="16"/>
  <c r="AH377" i="16"/>
  <c r="AD377" i="16"/>
  <c r="AF377" i="16"/>
  <c r="AF708" i="16"/>
  <c r="AJ708" i="16"/>
  <c r="AG708" i="16"/>
  <c r="AE708" i="16"/>
  <c r="AD708" i="16"/>
  <c r="AH708" i="16"/>
  <c r="AI708" i="16"/>
  <c r="AC692" i="16"/>
  <c r="AG692" i="16"/>
  <c r="AD692" i="16"/>
  <c r="AE692" i="16"/>
  <c r="AF692" i="16"/>
  <c r="AI692" i="16"/>
  <c r="AJ692" i="16"/>
  <c r="AC688" i="16"/>
  <c r="AG688" i="16"/>
  <c r="AH688" i="16"/>
  <c r="AE688" i="16"/>
  <c r="AF688" i="16"/>
  <c r="AI688" i="16"/>
  <c r="AJ688" i="16"/>
  <c r="AC684" i="16"/>
  <c r="AG684" i="16"/>
  <c r="AH684" i="16"/>
  <c r="AE684" i="16"/>
  <c r="AF684" i="16"/>
  <c r="AI684" i="16"/>
  <c r="AJ684" i="16"/>
  <c r="AC680" i="16"/>
  <c r="AG680" i="16"/>
  <c r="AH680" i="16"/>
  <c r="AE680" i="16"/>
  <c r="AF680" i="16"/>
  <c r="AI680" i="16"/>
  <c r="AJ680" i="16"/>
  <c r="AC676" i="16"/>
  <c r="AG676" i="16"/>
  <c r="AH676" i="16"/>
  <c r="AE676" i="16"/>
  <c r="AF676" i="16"/>
  <c r="AI676" i="16"/>
  <c r="AJ676" i="16"/>
  <c r="AC672" i="16"/>
  <c r="AG672" i="16"/>
  <c r="AD672" i="16"/>
  <c r="AH672" i="16"/>
  <c r="AE672" i="16"/>
  <c r="AF672" i="16"/>
  <c r="AI672" i="16"/>
  <c r="AC668" i="16"/>
  <c r="AG668" i="16"/>
  <c r="AD668" i="16"/>
  <c r="AH668" i="16"/>
  <c r="AE668" i="16"/>
  <c r="AF668" i="16"/>
  <c r="AI668" i="16"/>
  <c r="AC664" i="16"/>
  <c r="AG664" i="16"/>
  <c r="AD664" i="16"/>
  <c r="AH664" i="16"/>
  <c r="AE664" i="16"/>
  <c r="AF664" i="16"/>
  <c r="AI664" i="16"/>
  <c r="AD660" i="16"/>
  <c r="AE660" i="16"/>
  <c r="AI660" i="16"/>
  <c r="AJ660" i="16"/>
  <c r="AC660" i="16"/>
  <c r="AF660" i="16"/>
  <c r="AG660" i="16"/>
  <c r="AD656" i="16"/>
  <c r="AH656" i="16"/>
  <c r="AE656" i="16"/>
  <c r="AI656" i="16"/>
  <c r="AC656" i="16"/>
  <c r="AF656" i="16"/>
  <c r="AG656" i="16"/>
  <c r="AH652" i="16"/>
  <c r="AF652" i="16"/>
  <c r="AG652" i="16"/>
  <c r="AI652" i="16"/>
  <c r="AJ652" i="16"/>
  <c r="AC652" i="16"/>
  <c r="AE652" i="16"/>
  <c r="AD648" i="16"/>
  <c r="AH648" i="16"/>
  <c r="AG648" i="16"/>
  <c r="AI648" i="16"/>
  <c r="AJ648" i="16"/>
  <c r="AC648" i="16"/>
  <c r="AE648" i="16"/>
  <c r="AD644" i="16"/>
  <c r="AH644" i="16"/>
  <c r="AF644" i="16"/>
  <c r="AG644" i="16"/>
  <c r="AI644" i="16"/>
  <c r="AJ644" i="16"/>
  <c r="AE644" i="16"/>
  <c r="AH640" i="16"/>
  <c r="AF640" i="16"/>
  <c r="AG640" i="16"/>
  <c r="AI640" i="16"/>
  <c r="AJ640" i="16"/>
  <c r="AC640" i="16"/>
  <c r="AE640" i="16"/>
  <c r="AD636" i="16"/>
  <c r="AH636" i="16"/>
  <c r="AF636" i="16"/>
  <c r="AG636" i="16"/>
  <c r="AI636" i="16"/>
  <c r="AC636" i="16"/>
  <c r="AE636" i="16"/>
  <c r="AH632" i="16"/>
  <c r="AF632" i="16"/>
  <c r="AG632" i="16"/>
  <c r="AI632" i="16"/>
  <c r="AJ632" i="16"/>
  <c r="AC632" i="16"/>
  <c r="AE632" i="16"/>
  <c r="AE624" i="16"/>
  <c r="AI624" i="16"/>
  <c r="AG624" i="16"/>
  <c r="AH624" i="16"/>
  <c r="AD624" i="16"/>
  <c r="AF624" i="16"/>
  <c r="AJ624" i="16"/>
  <c r="AD620" i="16"/>
  <c r="AH620" i="16"/>
  <c r="AE620" i="16"/>
  <c r="AI620" i="16"/>
  <c r="AJ620" i="16"/>
  <c r="AF620" i="16"/>
  <c r="AG620" i="16"/>
  <c r="AD616" i="16"/>
  <c r="AH616" i="16"/>
  <c r="AE616" i="16"/>
  <c r="AI616" i="16"/>
  <c r="AC616" i="16"/>
  <c r="AF616" i="16"/>
  <c r="AG616" i="16"/>
  <c r="AH612" i="16"/>
  <c r="AE612" i="16"/>
  <c r="AI612" i="16"/>
  <c r="AJ612" i="16"/>
  <c r="AC612" i="16"/>
  <c r="AF612" i="16"/>
  <c r="AG612" i="16"/>
  <c r="AD608" i="16"/>
  <c r="AH608" i="16"/>
  <c r="AE608" i="16"/>
  <c r="AI608" i="16"/>
  <c r="AC608" i="16"/>
  <c r="AF608" i="16"/>
  <c r="AG608" i="16"/>
  <c r="AH604" i="16"/>
  <c r="AE604" i="16"/>
  <c r="AI604" i="16"/>
  <c r="AJ604" i="16"/>
  <c r="AC604" i="16"/>
  <c r="AF604" i="16"/>
  <c r="AG604" i="16"/>
  <c r="AD600" i="16"/>
  <c r="AH600" i="16"/>
  <c r="AI600" i="16"/>
  <c r="AJ600" i="16"/>
  <c r="AC600" i="16"/>
  <c r="AF600" i="16"/>
  <c r="AG600" i="16"/>
  <c r="AH596" i="16"/>
  <c r="AE596" i="16"/>
  <c r="AI596" i="16"/>
  <c r="AJ596" i="16"/>
  <c r="AC596" i="16"/>
  <c r="AF596" i="16"/>
  <c r="AG596" i="16"/>
  <c r="AF592" i="16"/>
  <c r="AJ592" i="16"/>
  <c r="AG592" i="16"/>
  <c r="AI592" i="16"/>
  <c r="AD592" i="16"/>
  <c r="AH592" i="16"/>
  <c r="AE592" i="16"/>
  <c r="AF588" i="16"/>
  <c r="AC588" i="16"/>
  <c r="AG588" i="16"/>
  <c r="AI588" i="16"/>
  <c r="AD588" i="16"/>
  <c r="AH588" i="16"/>
  <c r="AE588" i="16"/>
  <c r="AF584" i="16"/>
  <c r="AI584" i="16"/>
  <c r="AC584" i="16"/>
  <c r="AG584" i="16"/>
  <c r="AE584" i="16"/>
  <c r="AD584" i="16"/>
  <c r="AH584" i="16"/>
  <c r="AF580" i="16"/>
  <c r="AJ580" i="16"/>
  <c r="AC580" i="16"/>
  <c r="AG580" i="16"/>
  <c r="AE580" i="16"/>
  <c r="AH580" i="16"/>
  <c r="AI580" i="16"/>
  <c r="AF576" i="16"/>
  <c r="AJ576" i="16"/>
  <c r="AE576" i="16"/>
  <c r="AC576" i="16"/>
  <c r="AG576" i="16"/>
  <c r="AH576" i="16"/>
  <c r="AI576" i="16"/>
  <c r="AF572" i="16"/>
  <c r="AJ572" i="16"/>
  <c r="AC572" i="16"/>
  <c r="AG572" i="16"/>
  <c r="AE572" i="16"/>
  <c r="AH572" i="16"/>
  <c r="AI572" i="16"/>
  <c r="AF568" i="16"/>
  <c r="AJ568" i="16"/>
  <c r="AC568" i="16"/>
  <c r="AG568" i="16"/>
  <c r="AI568" i="16"/>
  <c r="AH568" i="16"/>
  <c r="AE568" i="16"/>
  <c r="AF564" i="16"/>
  <c r="AJ564" i="16"/>
  <c r="AI564" i="16"/>
  <c r="AC564" i="16"/>
  <c r="AG564" i="16"/>
  <c r="AE564" i="16"/>
  <c r="AH564" i="16"/>
  <c r="AF560" i="16"/>
  <c r="AI560" i="16"/>
  <c r="AC560" i="16"/>
  <c r="AG560" i="16"/>
  <c r="AD560" i="16"/>
  <c r="AH560" i="16"/>
  <c r="AE560" i="16"/>
  <c r="AC556" i="16"/>
  <c r="AG556" i="16"/>
  <c r="AH556" i="16"/>
  <c r="AD556" i="16"/>
  <c r="AE556" i="16"/>
  <c r="AJ556" i="16"/>
  <c r="AF556" i="16"/>
  <c r="AC552" i="16"/>
  <c r="AG552" i="16"/>
  <c r="AE552" i="16"/>
  <c r="AJ552" i="16"/>
  <c r="AI552" i="16"/>
  <c r="AF552" i="16"/>
  <c r="AH552" i="16"/>
  <c r="AC548" i="16"/>
  <c r="AG548" i="16"/>
  <c r="AE548" i="16"/>
  <c r="AJ548" i="16"/>
  <c r="AF548" i="16"/>
  <c r="AI548" i="16"/>
  <c r="AH548" i="16"/>
  <c r="AC544" i="16"/>
  <c r="AG544" i="16"/>
  <c r="AH544" i="16"/>
  <c r="AF544" i="16"/>
  <c r="AI544" i="16"/>
  <c r="AJ544" i="16"/>
  <c r="AE544" i="16"/>
  <c r="AC536" i="16"/>
  <c r="AG536" i="16"/>
  <c r="AH536" i="16"/>
  <c r="AF536" i="16"/>
  <c r="AI536" i="16"/>
  <c r="AJ536" i="16"/>
  <c r="AE536" i="16"/>
  <c r="AF532" i="16"/>
  <c r="AJ532" i="16"/>
  <c r="AC532" i="16"/>
  <c r="AG532" i="16"/>
  <c r="AH532" i="16"/>
  <c r="AI532" i="16"/>
  <c r="AE532" i="16"/>
  <c r="AF528" i="16"/>
  <c r="AJ528" i="16"/>
  <c r="AC528" i="16"/>
  <c r="AG528" i="16"/>
  <c r="AH528" i="16"/>
  <c r="AE528" i="16"/>
  <c r="AI528" i="16"/>
  <c r="AF524" i="16"/>
  <c r="AJ524" i="16"/>
  <c r="AG524" i="16"/>
  <c r="AD524" i="16"/>
  <c r="AH524" i="16"/>
  <c r="AI524" i="16"/>
  <c r="AE524" i="16"/>
  <c r="AF520" i="16"/>
  <c r="AJ520" i="16"/>
  <c r="AC520" i="16"/>
  <c r="AG520" i="16"/>
  <c r="AH520" i="16"/>
  <c r="AI520" i="16"/>
  <c r="AE520" i="16"/>
  <c r="AF516" i="16"/>
  <c r="AJ516" i="16"/>
  <c r="AC516" i="16"/>
  <c r="AD516" i="16"/>
  <c r="AH516" i="16"/>
  <c r="AI516" i="16"/>
  <c r="AE516" i="16"/>
  <c r="AF512" i="16"/>
  <c r="AJ512" i="16"/>
  <c r="AG512" i="16"/>
  <c r="AD512" i="16"/>
  <c r="AH512" i="16"/>
  <c r="AE512" i="16"/>
  <c r="AI512" i="16"/>
  <c r="AF508" i="16"/>
  <c r="AJ508" i="16"/>
  <c r="AC508" i="16"/>
  <c r="AG508" i="16"/>
  <c r="AH508" i="16"/>
  <c r="AI508" i="16"/>
  <c r="AE508" i="16"/>
  <c r="AF504" i="16"/>
  <c r="AJ504" i="16"/>
  <c r="AC504" i="16"/>
  <c r="AG504" i="16"/>
  <c r="AH504" i="16"/>
  <c r="AI504" i="16"/>
  <c r="AE504" i="16"/>
  <c r="AF500" i="16"/>
  <c r="AJ500" i="16"/>
  <c r="AC500" i="16"/>
  <c r="AG500" i="16"/>
  <c r="AD500" i="16"/>
  <c r="AH500" i="16"/>
  <c r="AE500" i="16"/>
  <c r="AF496" i="16"/>
  <c r="AJ496" i="16"/>
  <c r="AC496" i="16"/>
  <c r="AG496" i="16"/>
  <c r="AH496" i="16"/>
  <c r="AI496" i="16"/>
  <c r="AE496" i="16"/>
  <c r="AF492" i="16"/>
  <c r="AJ492" i="16"/>
  <c r="AC492" i="16"/>
  <c r="AG492" i="16"/>
  <c r="AH492" i="16"/>
  <c r="AI492" i="16"/>
  <c r="AE492" i="16"/>
  <c r="AF488" i="16"/>
  <c r="AC488" i="16"/>
  <c r="AG488" i="16"/>
  <c r="AD488" i="16"/>
  <c r="AH488" i="16"/>
  <c r="AE488" i="16"/>
  <c r="AI488" i="16"/>
  <c r="AF484" i="16"/>
  <c r="AJ484" i="16"/>
  <c r="AC484" i="16"/>
  <c r="AG484" i="16"/>
  <c r="AD484" i="16"/>
  <c r="AH484" i="16"/>
  <c r="AI484" i="16"/>
  <c r="AF480" i="16"/>
  <c r="AJ480" i="16"/>
  <c r="AC480" i="16"/>
  <c r="AG480" i="16"/>
  <c r="AH480" i="16"/>
  <c r="AE480" i="16"/>
  <c r="AI480" i="16"/>
  <c r="AF476" i="16"/>
  <c r="AJ476" i="16"/>
  <c r="AC476" i="16"/>
  <c r="AG476" i="16"/>
  <c r="AH476" i="16"/>
  <c r="AE476" i="16"/>
  <c r="AI476" i="16"/>
  <c r="AF472" i="16"/>
  <c r="AJ472" i="16"/>
  <c r="AC472" i="16"/>
  <c r="AG472" i="16"/>
  <c r="AD472" i="16"/>
  <c r="AH472" i="16"/>
  <c r="AE472" i="16"/>
  <c r="AF468" i="16"/>
  <c r="AJ468" i="16"/>
  <c r="AC468" i="16"/>
  <c r="AD468" i="16"/>
  <c r="AH468" i="16"/>
  <c r="AE468" i="16"/>
  <c r="AI468" i="16"/>
  <c r="AD464" i="16"/>
  <c r="AH464" i="16"/>
  <c r="AG464" i="16"/>
  <c r="AC464" i="16"/>
  <c r="AI464" i="16"/>
  <c r="AE464" i="16"/>
  <c r="AF464" i="16"/>
  <c r="AC460" i="16"/>
  <c r="AG460" i="16"/>
  <c r="AD460" i="16"/>
  <c r="AH460" i="16"/>
  <c r="AE460" i="16"/>
  <c r="AF460" i="16"/>
  <c r="AJ460" i="16"/>
  <c r="AC456" i="16"/>
  <c r="AG456" i="16"/>
  <c r="AH456" i="16"/>
  <c r="AE456" i="16"/>
  <c r="AF456" i="16"/>
  <c r="AI456" i="16"/>
  <c r="AJ456" i="16"/>
  <c r="AC452" i="16"/>
  <c r="AG452" i="16"/>
  <c r="AD452" i="16"/>
  <c r="AH452" i="16"/>
  <c r="AE452" i="16"/>
  <c r="AI452" i="16"/>
  <c r="AF452" i="16"/>
  <c r="AC448" i="16"/>
  <c r="AG448" i="16"/>
  <c r="AH448" i="16"/>
  <c r="AI448" i="16"/>
  <c r="AJ448" i="16"/>
  <c r="AE448" i="16"/>
  <c r="AF448" i="16"/>
  <c r="AC444" i="16"/>
  <c r="AG444" i="16"/>
  <c r="AH444" i="16"/>
  <c r="AI444" i="16"/>
  <c r="AJ444" i="16"/>
  <c r="AE444" i="16"/>
  <c r="AF444" i="16"/>
  <c r="AC436" i="16"/>
  <c r="AG436" i="16"/>
  <c r="AD436" i="16"/>
  <c r="AH436" i="16"/>
  <c r="AJ436" i="16"/>
  <c r="AE436" i="16"/>
  <c r="AF436" i="16"/>
  <c r="AC432" i="16"/>
  <c r="AG432" i="16"/>
  <c r="AD432" i="16"/>
  <c r="AI432" i="16"/>
  <c r="AJ432" i="16"/>
  <c r="AE432" i="16"/>
  <c r="AF432" i="16"/>
  <c r="AG420" i="16"/>
  <c r="AD420" i="16"/>
  <c r="AH420" i="16"/>
  <c r="AI420" i="16"/>
  <c r="AJ420" i="16"/>
  <c r="AE420" i="16"/>
  <c r="AF420" i="16"/>
  <c r="AC416" i="16"/>
  <c r="AD416" i="16"/>
  <c r="AH416" i="16"/>
  <c r="AI416" i="16"/>
  <c r="AJ416" i="16"/>
  <c r="AE416" i="16"/>
  <c r="AF416" i="16"/>
  <c r="AE412" i="16"/>
  <c r="AC412" i="16"/>
  <c r="AH412" i="16"/>
  <c r="AI412" i="16"/>
  <c r="AJ412" i="16"/>
  <c r="AD412" i="16"/>
  <c r="AF412" i="16"/>
  <c r="AE400" i="16"/>
  <c r="AI400" i="16"/>
  <c r="AD400" i="16"/>
  <c r="AF400" i="16"/>
  <c r="AC400" i="16"/>
  <c r="AG400" i="16"/>
  <c r="AH400" i="16"/>
  <c r="AE396" i="16"/>
  <c r="AI396" i="16"/>
  <c r="AD396" i="16"/>
  <c r="AJ396" i="16"/>
  <c r="AC396" i="16"/>
  <c r="AG396" i="16"/>
  <c r="AH396" i="16"/>
  <c r="AE392" i="16"/>
  <c r="AG392" i="16"/>
  <c r="AC392" i="16"/>
  <c r="AH392" i="16"/>
  <c r="AD392" i="16"/>
  <c r="AF392" i="16"/>
  <c r="AJ392" i="16"/>
  <c r="AE388" i="16"/>
  <c r="AI388" i="16"/>
  <c r="AJ388" i="16"/>
  <c r="AF388" i="16"/>
  <c r="AG388" i="16"/>
  <c r="AH388" i="16"/>
  <c r="AC388" i="16"/>
  <c r="AF707" i="16"/>
  <c r="AJ707" i="16"/>
  <c r="AC707" i="16"/>
  <c r="AG707" i="16"/>
  <c r="AE707" i="16"/>
  <c r="AD707" i="16"/>
  <c r="AH707" i="16"/>
  <c r="AC703" i="16"/>
  <c r="AG703" i="16"/>
  <c r="AD703" i="16"/>
  <c r="AF703" i="16"/>
  <c r="AE703" i="16"/>
  <c r="AI703" i="16"/>
  <c r="AJ703" i="16"/>
  <c r="AC683" i="16"/>
  <c r="AG683" i="16"/>
  <c r="AH683" i="16"/>
  <c r="AE683" i="16"/>
  <c r="AF683" i="16"/>
  <c r="AI683" i="16"/>
  <c r="AJ683" i="16"/>
  <c r="AC671" i="16"/>
  <c r="AG671" i="16"/>
  <c r="AD671" i="16"/>
  <c r="AH671" i="16"/>
  <c r="AE671" i="16"/>
  <c r="AF671" i="16"/>
  <c r="AI671" i="16"/>
  <c r="AD655" i="16"/>
  <c r="AH655" i="16"/>
  <c r="AE655" i="16"/>
  <c r="AI655" i="16"/>
  <c r="AJ655" i="16"/>
  <c r="AF655" i="16"/>
  <c r="AG655" i="16"/>
  <c r="AD639" i="16"/>
  <c r="AH639" i="16"/>
  <c r="AI639" i="16"/>
  <c r="AE639" i="16"/>
  <c r="AJ639" i="16"/>
  <c r="AF639" i="16"/>
  <c r="AG639" i="16"/>
  <c r="AF631" i="16"/>
  <c r="AJ631" i="16"/>
  <c r="AC631" i="16"/>
  <c r="AG631" i="16"/>
  <c r="AE631" i="16"/>
  <c r="AH631" i="16"/>
  <c r="AI631" i="16"/>
  <c r="AD619" i="16"/>
  <c r="AH619" i="16"/>
  <c r="AE619" i="16"/>
  <c r="AI619" i="16"/>
  <c r="AC619" i="16"/>
  <c r="AF619" i="16"/>
  <c r="AG619" i="16"/>
  <c r="AH607" i="16"/>
  <c r="AE607" i="16"/>
  <c r="AI607" i="16"/>
  <c r="AJ607" i="16"/>
  <c r="AC607" i="16"/>
  <c r="AF607" i="16"/>
  <c r="AG607" i="16"/>
  <c r="AH603" i="16"/>
  <c r="AE603" i="16"/>
  <c r="AI603" i="16"/>
  <c r="AJ603" i="16"/>
  <c r="AC603" i="16"/>
  <c r="AF603" i="16"/>
  <c r="AG603" i="16"/>
  <c r="AH599" i="16"/>
  <c r="AE599" i="16"/>
  <c r="AI599" i="16"/>
  <c r="AJ599" i="16"/>
  <c r="AC599" i="16"/>
  <c r="AF599" i="16"/>
  <c r="AG599" i="16"/>
  <c r="AH595" i="16"/>
  <c r="AE595" i="16"/>
  <c r="AI595" i="16"/>
  <c r="AJ595" i="16"/>
  <c r="AC595" i="16"/>
  <c r="AF595" i="16"/>
  <c r="AG595" i="16"/>
  <c r="AF591" i="16"/>
  <c r="AC591" i="16"/>
  <c r="AI591" i="16"/>
  <c r="AG591" i="16"/>
  <c r="AE591" i="16"/>
  <c r="AD591" i="16"/>
  <c r="AH591" i="16"/>
  <c r="AF587" i="16"/>
  <c r="AJ587" i="16"/>
  <c r="AI587" i="16"/>
  <c r="AC587" i="16"/>
  <c r="AG587" i="16"/>
  <c r="AE587" i="16"/>
  <c r="AH587" i="16"/>
  <c r="AF583" i="16"/>
  <c r="AJ583" i="16"/>
  <c r="AI583" i="16"/>
  <c r="AC583" i="16"/>
  <c r="AG583" i="16"/>
  <c r="AH583" i="16"/>
  <c r="AE583" i="16"/>
  <c r="AF579" i="16"/>
  <c r="AJ579" i="16"/>
  <c r="AE579" i="16"/>
  <c r="AC579" i="16"/>
  <c r="AG579" i="16"/>
  <c r="AH579" i="16"/>
  <c r="AI579" i="16"/>
  <c r="AF575" i="16"/>
  <c r="AJ575" i="16"/>
  <c r="AC575" i="16"/>
  <c r="AG575" i="16"/>
  <c r="AE575" i="16"/>
  <c r="AH575" i="16"/>
  <c r="AI575" i="16"/>
  <c r="AF571" i="16"/>
  <c r="AJ571" i="16"/>
  <c r="AI571" i="16"/>
  <c r="AG571" i="16"/>
  <c r="AD571" i="16"/>
  <c r="AH571" i="16"/>
  <c r="AE571" i="16"/>
  <c r="AF567" i="16"/>
  <c r="AJ567" i="16"/>
  <c r="AE567" i="16"/>
  <c r="AC567" i="16"/>
  <c r="AG567" i="16"/>
  <c r="AH567" i="16"/>
  <c r="AI567" i="16"/>
  <c r="AF563" i="16"/>
  <c r="AJ563" i="16"/>
  <c r="AI563" i="16"/>
  <c r="AC563" i="16"/>
  <c r="AG563" i="16"/>
  <c r="AH563" i="16"/>
  <c r="AE563" i="16"/>
  <c r="AC559" i="16"/>
  <c r="AG559" i="16"/>
  <c r="AE559" i="16"/>
  <c r="AJ559" i="16"/>
  <c r="AD559" i="16"/>
  <c r="AF559" i="16"/>
  <c r="AI559" i="16"/>
  <c r="AC555" i="16"/>
  <c r="AG555" i="16"/>
  <c r="AE555" i="16"/>
  <c r="AJ555" i="16"/>
  <c r="AI555" i="16"/>
  <c r="AD555" i="16"/>
  <c r="AH555" i="16"/>
  <c r="AG551" i="16"/>
  <c r="AH551" i="16"/>
  <c r="AD551" i="16"/>
  <c r="AI551" i="16"/>
  <c r="AF551" i="16"/>
  <c r="AE551" i="16"/>
  <c r="AJ551" i="16"/>
  <c r="AC547" i="16"/>
  <c r="AG547" i="16"/>
  <c r="AH547" i="16"/>
  <c r="AF547" i="16"/>
  <c r="AI547" i="16"/>
  <c r="AE547" i="16"/>
  <c r="AJ547" i="16"/>
  <c r="AC543" i="16"/>
  <c r="AG543" i="16"/>
  <c r="AH543" i="16"/>
  <c r="AF543" i="16"/>
  <c r="AE543" i="16"/>
  <c r="AI543" i="16"/>
  <c r="AJ543" i="16"/>
  <c r="AC535" i="16"/>
  <c r="AG535" i="16"/>
  <c r="AH535" i="16"/>
  <c r="AF535" i="16"/>
  <c r="AE535" i="16"/>
  <c r="AI535" i="16"/>
  <c r="AJ535" i="16"/>
  <c r="AF531" i="16"/>
  <c r="AJ531" i="16"/>
  <c r="AC531" i="16"/>
  <c r="AG531" i="16"/>
  <c r="AD531" i="16"/>
  <c r="AH531" i="16"/>
  <c r="AI531" i="16"/>
  <c r="AF527" i="16"/>
  <c r="AJ527" i="16"/>
  <c r="AC527" i="16"/>
  <c r="AG527" i="16"/>
  <c r="AH527" i="16"/>
  <c r="AE527" i="16"/>
  <c r="AI527" i="16"/>
  <c r="AF523" i="16"/>
  <c r="AC523" i="16"/>
  <c r="AG523" i="16"/>
  <c r="AD523" i="16"/>
  <c r="AH523" i="16"/>
  <c r="AE523" i="16"/>
  <c r="AI523" i="16"/>
  <c r="AF519" i="16"/>
  <c r="AJ519" i="16"/>
  <c r="AC519" i="16"/>
  <c r="AG519" i="16"/>
  <c r="AH519" i="16"/>
  <c r="AE519" i="16"/>
  <c r="AI519" i="16"/>
  <c r="AF515" i="16"/>
  <c r="AJ515" i="16"/>
  <c r="AC515" i="16"/>
  <c r="AG515" i="16"/>
  <c r="AH515" i="16"/>
  <c r="AE515" i="16"/>
  <c r="AI515" i="16"/>
  <c r="AF511" i="16"/>
  <c r="AC511" i="16"/>
  <c r="AG511" i="16"/>
  <c r="AD511" i="16"/>
  <c r="AH511" i="16"/>
  <c r="AE511" i="16"/>
  <c r="AI511" i="16"/>
  <c r="AF507" i="16"/>
  <c r="AJ507" i="16"/>
  <c r="AC507" i="16"/>
  <c r="AG507" i="16"/>
  <c r="AH507" i="16"/>
  <c r="AE507" i="16"/>
  <c r="AI507" i="16"/>
  <c r="AF503" i="16"/>
  <c r="AJ503" i="16"/>
  <c r="AC503" i="16"/>
  <c r="AG503" i="16"/>
  <c r="AH503" i="16"/>
  <c r="AE503" i="16"/>
  <c r="AI503" i="16"/>
  <c r="AF499" i="16"/>
  <c r="AJ499" i="16"/>
  <c r="AC499" i="16"/>
  <c r="AG499" i="16"/>
  <c r="AH499" i="16"/>
  <c r="AE499" i="16"/>
  <c r="AI499" i="16"/>
  <c r="AF495" i="16"/>
  <c r="AJ495" i="16"/>
  <c r="AC495" i="16"/>
  <c r="AG495" i="16"/>
  <c r="AH495" i="16"/>
  <c r="AE495" i="16"/>
  <c r="AI495" i="16"/>
  <c r="AF487" i="16"/>
  <c r="AJ487" i="16"/>
  <c r="AC487" i="16"/>
  <c r="AG487" i="16"/>
  <c r="AH487" i="16"/>
  <c r="AE487" i="16"/>
  <c r="AI487" i="16"/>
  <c r="AF483" i="16"/>
  <c r="AJ483" i="16"/>
  <c r="AC483" i="16"/>
  <c r="AG483" i="16"/>
  <c r="AD483" i="16"/>
  <c r="AH483" i="16"/>
  <c r="AE483" i="16"/>
  <c r="AF475" i="16"/>
  <c r="AJ475" i="16"/>
  <c r="AC475" i="16"/>
  <c r="AG475" i="16"/>
  <c r="AH475" i="16"/>
  <c r="AI475" i="16"/>
  <c r="AE475" i="16"/>
  <c r="AF471" i="16"/>
  <c r="AJ471" i="16"/>
  <c r="AC471" i="16"/>
  <c r="AG471" i="16"/>
  <c r="AD471" i="16"/>
  <c r="AH471" i="16"/>
  <c r="AI471" i="16"/>
  <c r="AF467" i="16"/>
  <c r="AJ467" i="16"/>
  <c r="AC467" i="16"/>
  <c r="AG467" i="16"/>
  <c r="AH467" i="16"/>
  <c r="AI467" i="16"/>
  <c r="AE467" i="16"/>
  <c r="AC463" i="16"/>
  <c r="AH463" i="16"/>
  <c r="AE463" i="16"/>
  <c r="AJ463" i="16"/>
  <c r="AF463" i="16"/>
  <c r="AG463" i="16"/>
  <c r="AI463" i="16"/>
  <c r="AC459" i="16"/>
  <c r="AG459" i="16"/>
  <c r="AD459" i="16"/>
  <c r="AH459" i="16"/>
  <c r="AF459" i="16"/>
  <c r="AI459" i="16"/>
  <c r="AJ459" i="16"/>
  <c r="AC455" i="16"/>
  <c r="AG455" i="16"/>
  <c r="AH455" i="16"/>
  <c r="AE455" i="16"/>
  <c r="AF455" i="16"/>
  <c r="AI455" i="16"/>
  <c r="AJ455" i="16"/>
  <c r="AC451" i="16"/>
  <c r="AG451" i="16"/>
  <c r="AH451" i="16"/>
  <c r="AI451" i="16"/>
  <c r="AE451" i="16"/>
  <c r="AF451" i="16"/>
  <c r="AJ451" i="16"/>
  <c r="AC447" i="16"/>
  <c r="AG447" i="16"/>
  <c r="AD447" i="16"/>
  <c r="AH447" i="16"/>
  <c r="AJ447" i="16"/>
  <c r="AE447" i="16"/>
  <c r="AF447" i="16"/>
  <c r="AC443" i="16"/>
  <c r="AG443" i="16"/>
  <c r="AH443" i="16"/>
  <c r="AI443" i="16"/>
  <c r="AJ443" i="16"/>
  <c r="AE443" i="16"/>
  <c r="AF443" i="16"/>
  <c r="AG439" i="16"/>
  <c r="AD439" i="16"/>
  <c r="AH439" i="16"/>
  <c r="AI439" i="16"/>
  <c r="AJ439" i="16"/>
  <c r="AE439" i="16"/>
  <c r="AF439" i="16"/>
  <c r="AC435" i="16"/>
  <c r="AG435" i="16"/>
  <c r="AD435" i="16"/>
  <c r="AH435" i="16"/>
  <c r="AI435" i="16"/>
  <c r="AJ435" i="16"/>
  <c r="AE435" i="16"/>
  <c r="AC431" i="16"/>
  <c r="AG431" i="16"/>
  <c r="AH431" i="16"/>
  <c r="AI431" i="16"/>
  <c r="AJ431" i="16"/>
  <c r="AE431" i="16"/>
  <c r="AF431" i="16"/>
  <c r="AC419" i="16"/>
  <c r="AG419" i="16"/>
  <c r="AD419" i="16"/>
  <c r="AH419" i="16"/>
  <c r="AI419" i="16"/>
  <c r="AE419" i="16"/>
  <c r="AF419" i="16"/>
  <c r="AE403" i="16"/>
  <c r="AI403" i="16"/>
  <c r="AD403" i="16"/>
  <c r="AJ403" i="16"/>
  <c r="AF403" i="16"/>
  <c r="AG403" i="16"/>
  <c r="AC403" i="16"/>
  <c r="AE399" i="16"/>
  <c r="AI399" i="16"/>
  <c r="AG399" i="16"/>
  <c r="AC399" i="16"/>
  <c r="AJ399" i="16"/>
  <c r="AD399" i="16"/>
  <c r="AF399" i="16"/>
  <c r="AE391" i="16"/>
  <c r="AI391" i="16"/>
  <c r="AD391" i="16"/>
  <c r="AJ391" i="16"/>
  <c r="AF391" i="16"/>
  <c r="AC391" i="16"/>
  <c r="AH391" i="16"/>
  <c r="AE387" i="16"/>
  <c r="AI387" i="16"/>
  <c r="AC387" i="16"/>
  <c r="AH387" i="16"/>
  <c r="AD387" i="16"/>
  <c r="AF387" i="16"/>
  <c r="AJ387" i="16"/>
  <c r="AC691" i="16"/>
  <c r="AG691" i="16"/>
  <c r="AD691" i="16"/>
  <c r="AH691" i="16"/>
  <c r="AE691" i="16"/>
  <c r="AF691" i="16"/>
  <c r="AI691" i="16"/>
  <c r="AC679" i="16"/>
  <c r="AG679" i="16"/>
  <c r="AH679" i="16"/>
  <c r="AE679" i="16"/>
  <c r="AF679" i="16"/>
  <c r="AI679" i="16"/>
  <c r="AJ679" i="16"/>
  <c r="AC667" i="16"/>
  <c r="AG667" i="16"/>
  <c r="AD667" i="16"/>
  <c r="AH667" i="16"/>
  <c r="AE667" i="16"/>
  <c r="AF667" i="16"/>
  <c r="AI667" i="16"/>
  <c r="AD651" i="16"/>
  <c r="AH651" i="16"/>
  <c r="AC651" i="16"/>
  <c r="AI651" i="16"/>
  <c r="AE651" i="16"/>
  <c r="AF651" i="16"/>
  <c r="AG651" i="16"/>
  <c r="AD635" i="16"/>
  <c r="AH635" i="16"/>
  <c r="AI635" i="16"/>
  <c r="AE635" i="16"/>
  <c r="AJ635" i="16"/>
  <c r="AF635" i="16"/>
  <c r="AG635" i="16"/>
  <c r="AD623" i="16"/>
  <c r="AH623" i="16"/>
  <c r="AE623" i="16"/>
  <c r="AI623" i="16"/>
  <c r="AC623" i="16"/>
  <c r="AF623" i="16"/>
  <c r="AG623" i="16"/>
  <c r="AH611" i="16"/>
  <c r="AE611" i="16"/>
  <c r="AI611" i="16"/>
  <c r="AJ611" i="16"/>
  <c r="AC611" i="16"/>
  <c r="AF611" i="16"/>
  <c r="AG611" i="16"/>
  <c r="AJ706" i="16"/>
  <c r="AC706" i="16"/>
  <c r="AG706" i="16"/>
  <c r="AE706" i="16"/>
  <c r="AI706" i="16"/>
  <c r="AD706" i="16"/>
  <c r="AH706" i="16"/>
  <c r="AC682" i="16"/>
  <c r="AG682" i="16"/>
  <c r="AD682" i="16"/>
  <c r="AH682" i="16"/>
  <c r="AE682" i="16"/>
  <c r="AF682" i="16"/>
  <c r="AI682" i="16"/>
  <c r="AC678" i="16"/>
  <c r="AG678" i="16"/>
  <c r="AH678" i="16"/>
  <c r="AE678" i="16"/>
  <c r="AF678" i="16"/>
  <c r="AI678" i="16"/>
  <c r="AJ678" i="16"/>
  <c r="AC670" i="16"/>
  <c r="AG670" i="16"/>
  <c r="AD670" i="16"/>
  <c r="AH670" i="16"/>
  <c r="AE670" i="16"/>
  <c r="AF670" i="16"/>
  <c r="AI670" i="16"/>
  <c r="AG662" i="16"/>
  <c r="AC662" i="16"/>
  <c r="AF662" i="16"/>
  <c r="AH662" i="16"/>
  <c r="AI662" i="16"/>
  <c r="AE662" i="16"/>
  <c r="AD662" i="16"/>
  <c r="AD654" i="16"/>
  <c r="AH654" i="16"/>
  <c r="AE654" i="16"/>
  <c r="AI654" i="16"/>
  <c r="AC654" i="16"/>
  <c r="AF654" i="16"/>
  <c r="AG654" i="16"/>
  <c r="AD646" i="16"/>
  <c r="AH646" i="16"/>
  <c r="AF646" i="16"/>
  <c r="AG646" i="16"/>
  <c r="AC646" i="16"/>
  <c r="AE646" i="16"/>
  <c r="AI646" i="16"/>
  <c r="AD638" i="16"/>
  <c r="AH638" i="16"/>
  <c r="AF638" i="16"/>
  <c r="AG638" i="16"/>
  <c r="AC638" i="16"/>
  <c r="AE638" i="16"/>
  <c r="AI638" i="16"/>
  <c r="AF630" i="16"/>
  <c r="AJ630" i="16"/>
  <c r="AG630" i="16"/>
  <c r="AE630" i="16"/>
  <c r="AD630" i="16"/>
  <c r="AH630" i="16"/>
  <c r="AI630" i="16"/>
  <c r="AH622" i="16"/>
  <c r="AE622" i="16"/>
  <c r="AI622" i="16"/>
  <c r="AJ622" i="16"/>
  <c r="AC622" i="16"/>
  <c r="AF622" i="16"/>
  <c r="AG622" i="16"/>
  <c r="AD614" i="16"/>
  <c r="AH614" i="16"/>
  <c r="AE614" i="16"/>
  <c r="AI614" i="16"/>
  <c r="AJ614" i="16"/>
  <c r="AF614" i="16"/>
  <c r="AG614" i="16"/>
  <c r="AH602" i="16"/>
  <c r="AE602" i="16"/>
  <c r="AI602" i="16"/>
  <c r="AJ602" i="16"/>
  <c r="AC602" i="16"/>
  <c r="AF602" i="16"/>
  <c r="AG602" i="16"/>
  <c r="AH594" i="16"/>
  <c r="AI594" i="16"/>
  <c r="AC594" i="16"/>
  <c r="AG594" i="16"/>
  <c r="AF594" i="16"/>
  <c r="AE594" i="16"/>
  <c r="AJ594" i="16"/>
  <c r="AF590" i="16"/>
  <c r="AJ590" i="16"/>
  <c r="AC590" i="16"/>
  <c r="AE590" i="16"/>
  <c r="AG590" i="16"/>
  <c r="AD590" i="16"/>
  <c r="AI590" i="16"/>
  <c r="AF582" i="16"/>
  <c r="AJ582" i="16"/>
  <c r="AI582" i="16"/>
  <c r="AC582" i="16"/>
  <c r="AG582" i="16"/>
  <c r="AH582" i="16"/>
  <c r="AE582" i="16"/>
  <c r="AF570" i="16"/>
  <c r="AE570" i="16"/>
  <c r="AC570" i="16"/>
  <c r="AG570" i="16"/>
  <c r="AI570" i="16"/>
  <c r="AD570" i="16"/>
  <c r="AH570" i="16"/>
  <c r="AF562" i="16"/>
  <c r="AJ562" i="16"/>
  <c r="AE562" i="16"/>
  <c r="AC562" i="16"/>
  <c r="AG562" i="16"/>
  <c r="AI562" i="16"/>
  <c r="AH562" i="16"/>
  <c r="AC550" i="16"/>
  <c r="AE550" i="16"/>
  <c r="AJ550" i="16"/>
  <c r="AI550" i="16"/>
  <c r="AF550" i="16"/>
  <c r="AH550" i="16"/>
  <c r="AD550" i="16"/>
  <c r="AG538" i="16"/>
  <c r="AD538" i="16"/>
  <c r="AH538" i="16"/>
  <c r="AF538" i="16"/>
  <c r="AE538" i="16"/>
  <c r="AI538" i="16"/>
  <c r="AJ538" i="16"/>
  <c r="AF530" i="16"/>
  <c r="AJ530" i="16"/>
  <c r="AC530" i="16"/>
  <c r="AG530" i="16"/>
  <c r="AH530" i="16"/>
  <c r="AI530" i="16"/>
  <c r="AE530" i="16"/>
  <c r="AF518" i="16"/>
  <c r="AJ518" i="16"/>
  <c r="AC518" i="16"/>
  <c r="AG518" i="16"/>
  <c r="AH518" i="16"/>
  <c r="AE518" i="16"/>
  <c r="AI518" i="16"/>
  <c r="AF506" i="16"/>
  <c r="AJ506" i="16"/>
  <c r="AC506" i="16"/>
  <c r="AG506" i="16"/>
  <c r="AH506" i="16"/>
  <c r="AE506" i="16"/>
  <c r="AI506" i="16"/>
  <c r="AF494" i="16"/>
  <c r="AJ494" i="16"/>
  <c r="AC494" i="16"/>
  <c r="AG494" i="16"/>
  <c r="AH494" i="16"/>
  <c r="AE494" i="16"/>
  <c r="AI494" i="16"/>
  <c r="AF486" i="16"/>
  <c r="AJ486" i="16"/>
  <c r="AC486" i="16"/>
  <c r="AG486" i="16"/>
  <c r="AH486" i="16"/>
  <c r="AI486" i="16"/>
  <c r="AE486" i="16"/>
  <c r="AF482" i="16"/>
  <c r="AJ482" i="16"/>
  <c r="AC482" i="16"/>
  <c r="AG482" i="16"/>
  <c r="AH482" i="16"/>
  <c r="AI482" i="16"/>
  <c r="AE482" i="16"/>
  <c r="AF474" i="16"/>
  <c r="AJ474" i="16"/>
  <c r="AC474" i="16"/>
  <c r="AG474" i="16"/>
  <c r="AH474" i="16"/>
  <c r="AE474" i="16"/>
  <c r="AI474" i="16"/>
  <c r="AC462" i="16"/>
  <c r="AG462" i="16"/>
  <c r="AH462" i="16"/>
  <c r="AE462" i="16"/>
  <c r="AJ462" i="16"/>
  <c r="AF462" i="16"/>
  <c r="AI462" i="16"/>
  <c r="AC450" i="16"/>
  <c r="AG450" i="16"/>
  <c r="AH450" i="16"/>
  <c r="AI450" i="16"/>
  <c r="AJ450" i="16"/>
  <c r="AE450" i="16"/>
  <c r="AF450" i="16"/>
  <c r="AC438" i="16"/>
  <c r="AG438" i="16"/>
  <c r="AD438" i="16"/>
  <c r="AH438" i="16"/>
  <c r="AI438" i="16"/>
  <c r="AJ438" i="16"/>
  <c r="AE438" i="16"/>
  <c r="AF438" i="16"/>
  <c r="AC430" i="16"/>
  <c r="AD430" i="16"/>
  <c r="AH430" i="16"/>
  <c r="AI430" i="16"/>
  <c r="AJ430" i="16"/>
  <c r="AE430" i="16"/>
  <c r="AF430" i="16"/>
  <c r="AC418" i="16"/>
  <c r="AG418" i="16"/>
  <c r="AD418" i="16"/>
  <c r="AH418" i="16"/>
  <c r="AJ418" i="16"/>
  <c r="AE418" i="16"/>
  <c r="AF418" i="16"/>
  <c r="AC414" i="16"/>
  <c r="AG414" i="16"/>
  <c r="AD414" i="16"/>
  <c r="AI414" i="16"/>
  <c r="AJ414" i="16"/>
  <c r="AE414" i="16"/>
  <c r="AF414" i="16"/>
  <c r="AE398" i="16"/>
  <c r="AI398" i="16"/>
  <c r="AD398" i="16"/>
  <c r="AJ398" i="16"/>
  <c r="AF398" i="16"/>
  <c r="AG398" i="16"/>
  <c r="AH398" i="16"/>
  <c r="AE394" i="16"/>
  <c r="AI394" i="16"/>
  <c r="AG394" i="16"/>
  <c r="AH394" i="16"/>
  <c r="AJ394" i="16"/>
  <c r="AD394" i="16"/>
  <c r="AF394" i="16"/>
  <c r="AE378" i="16"/>
  <c r="AI378" i="16"/>
  <c r="AD378" i="16"/>
  <c r="AJ378" i="16"/>
  <c r="AF378" i="16"/>
  <c r="AG378" i="16"/>
  <c r="AH378" i="16"/>
  <c r="H1876" i="16" l="1"/>
  <c r="H1878" i="16" s="1"/>
  <c r="K1876" i="16"/>
  <c r="K1878" i="16" s="1"/>
  <c r="Q1876" i="16"/>
  <c r="Q1878" i="16" s="1"/>
  <c r="R1876" i="16"/>
  <c r="R1878" i="16" s="1"/>
  <c r="P1876" i="16"/>
  <c r="P1878" i="16" s="1"/>
  <c r="N1876" i="16"/>
  <c r="N1878" i="16" s="1"/>
  <c r="M1876" i="16"/>
  <c r="M1878" i="16" s="1"/>
  <c r="G1876" i="16"/>
  <c r="G1878" i="16" s="1"/>
  <c r="L1876" i="16"/>
  <c r="L1878" i="16" s="1"/>
  <c r="J1876" i="16"/>
  <c r="J1878" i="16" s="1"/>
  <c r="I1876" i="16"/>
  <c r="I1878" i="16" s="1"/>
  <c r="AC810" i="16"/>
  <c r="AK810" i="16" s="1"/>
  <c r="AK438" i="16"/>
  <c r="AK610" i="16"/>
  <c r="AK439" i="16"/>
  <c r="L114" i="17" l="1"/>
  <c r="Q114" i="17" s="1"/>
  <c r="K114" i="17"/>
  <c r="H114" i="17"/>
  <c r="E114" i="17"/>
  <c r="H128" i="18" l="1"/>
  <c r="H114" i="18"/>
  <c r="H100" i="18"/>
  <c r="H60" i="18"/>
  <c r="S119" i="17"/>
  <c r="S120" i="17"/>
  <c r="S121" i="17"/>
  <c r="S122" i="17"/>
  <c r="S123" i="17"/>
  <c r="S124" i="17"/>
  <c r="S125" i="17"/>
  <c r="S126" i="17"/>
  <c r="S127" i="17"/>
  <c r="S128" i="17"/>
  <c r="S129" i="17"/>
  <c r="S130" i="17"/>
  <c r="S131" i="17"/>
  <c r="S132" i="17"/>
  <c r="S133" i="17"/>
  <c r="S134" i="17"/>
  <c r="S135" i="17"/>
  <c r="S136" i="17"/>
  <c r="S137" i="17"/>
  <c r="S138" i="17"/>
  <c r="S139" i="17"/>
  <c r="S140" i="17"/>
  <c r="S141" i="17"/>
  <c r="S142" i="17"/>
  <c r="S143" i="17"/>
  <c r="S144" i="17"/>
  <c r="S145" i="17"/>
  <c r="S146" i="17"/>
  <c r="S147" i="17"/>
  <c r="S148" i="17"/>
  <c r="S149" i="17"/>
  <c r="S150" i="17"/>
  <c r="S151" i="17"/>
  <c r="S152" i="17"/>
  <c r="S153" i="17"/>
  <c r="S154" i="17"/>
  <c r="S155" i="17"/>
  <c r="S156" i="17"/>
  <c r="S157" i="17"/>
  <c r="S158" i="17"/>
  <c r="S159" i="17"/>
  <c r="S160" i="17"/>
  <c r="S161" i="17"/>
  <c r="S162" i="17"/>
  <c r="S163" i="17"/>
  <c r="S164" i="17"/>
  <c r="S165" i="17"/>
  <c r="S166" i="17"/>
  <c r="S167" i="17"/>
  <c r="S168" i="17"/>
  <c r="S169" i="17"/>
  <c r="S170" i="17"/>
  <c r="S171" i="17"/>
  <c r="S172" i="17"/>
  <c r="S173" i="17"/>
  <c r="S174" i="17"/>
  <c r="S175" i="17"/>
  <c r="S177" i="17"/>
  <c r="S178" i="17"/>
  <c r="S179" i="17"/>
  <c r="S180" i="17"/>
  <c r="S181" i="17"/>
  <c r="S182" i="17"/>
  <c r="S183" i="17"/>
  <c r="S184" i="17"/>
  <c r="S185" i="17"/>
  <c r="S186" i="17"/>
  <c r="S187" i="17"/>
  <c r="S188" i="17"/>
  <c r="S189" i="17"/>
  <c r="S190" i="17"/>
  <c r="S191" i="17"/>
  <c r="S192" i="17"/>
  <c r="S193" i="17"/>
  <c r="S194" i="17"/>
  <c r="S195" i="17"/>
  <c r="S196" i="17"/>
  <c r="S197" i="17"/>
  <c r="S198" i="17"/>
  <c r="S199" i="17"/>
  <c r="S200" i="17"/>
  <c r="S201" i="17"/>
  <c r="S202" i="17"/>
  <c r="S203" i="17"/>
  <c r="S204" i="17"/>
  <c r="S205" i="17"/>
  <c r="S206" i="17"/>
  <c r="S207" i="17"/>
  <c r="S208" i="17"/>
  <c r="S209" i="17"/>
  <c r="S210" i="17"/>
  <c r="S211" i="17"/>
  <c r="S212" i="17"/>
  <c r="S213" i="17"/>
  <c r="S214" i="17"/>
  <c r="S215" i="17"/>
  <c r="S216" i="17"/>
  <c r="S217" i="17"/>
  <c r="S218" i="17"/>
  <c r="S219" i="17"/>
  <c r="S220" i="17"/>
  <c r="S221" i="17"/>
  <c r="S222" i="17"/>
  <c r="S223" i="17"/>
  <c r="S224" i="17"/>
  <c r="S225" i="17"/>
  <c r="S226" i="17"/>
  <c r="S227" i="17"/>
  <c r="S228" i="17"/>
  <c r="S229" i="17"/>
  <c r="S230" i="17"/>
  <c r="S231" i="17"/>
  <c r="S232" i="17"/>
  <c r="S233" i="17"/>
  <c r="S234" i="17"/>
  <c r="S235" i="17"/>
  <c r="S236" i="17"/>
  <c r="S237" i="17"/>
  <c r="S238" i="17"/>
  <c r="S239" i="17"/>
  <c r="S240" i="17"/>
  <c r="S241" i="17"/>
  <c r="S242" i="17"/>
  <c r="S243" i="17"/>
  <c r="S244" i="17"/>
  <c r="S245" i="17"/>
  <c r="S246" i="17"/>
  <c r="S247" i="17"/>
  <c r="S248" i="17"/>
  <c r="S249" i="17"/>
  <c r="S250" i="17"/>
  <c r="S251" i="17"/>
  <c r="S252" i="17"/>
  <c r="S253" i="17"/>
  <c r="S254" i="17"/>
  <c r="S255" i="17"/>
  <c r="S256" i="17"/>
  <c r="S257" i="17"/>
  <c r="S258" i="17"/>
  <c r="S259" i="17"/>
  <c r="S260" i="17"/>
  <c r="S261" i="17"/>
  <c r="S262" i="17"/>
  <c r="S263" i="17"/>
  <c r="S264" i="17"/>
  <c r="S265" i="17"/>
  <c r="S266" i="17"/>
  <c r="S267" i="17"/>
  <c r="S268" i="17"/>
  <c r="S269" i="17"/>
  <c r="S270" i="17"/>
  <c r="S271" i="17"/>
  <c r="S272" i="17"/>
  <c r="S273" i="17"/>
  <c r="S274" i="17"/>
  <c r="S275" i="17"/>
  <c r="S276" i="17"/>
  <c r="S277" i="17"/>
  <c r="S278" i="17"/>
  <c r="S279" i="17"/>
  <c r="S280" i="17"/>
  <c r="S281" i="17"/>
  <c r="S282" i="17"/>
  <c r="S283" i="17"/>
  <c r="S284" i="17"/>
  <c r="S285" i="17"/>
  <c r="S286" i="17"/>
  <c r="S287" i="17"/>
  <c r="S288" i="17"/>
  <c r="S289" i="17"/>
  <c r="H127" i="18"/>
  <c r="H126" i="18"/>
  <c r="H113" i="18"/>
  <c r="H112" i="18"/>
  <c r="H99" i="18"/>
  <c r="H98" i="18"/>
  <c r="H59" i="18"/>
  <c r="H58" i="18"/>
  <c r="J83" i="15"/>
  <c r="H83" i="15"/>
  <c r="J82" i="15"/>
  <c r="H82" i="15"/>
  <c r="J81" i="15"/>
  <c r="H81" i="15"/>
  <c r="J80" i="15"/>
  <c r="H80" i="15"/>
  <c r="J79" i="15"/>
  <c r="H79" i="15"/>
  <c r="J70" i="15"/>
  <c r="H70" i="15"/>
  <c r="H74" i="8"/>
  <c r="G74" i="8"/>
  <c r="H73" i="8"/>
  <c r="G73" i="8"/>
  <c r="H72" i="8"/>
  <c r="G72" i="8"/>
  <c r="G43" i="8"/>
  <c r="G42" i="8"/>
  <c r="G41" i="8"/>
  <c r="G29" i="8"/>
  <c r="G28" i="8"/>
  <c r="G27" i="8"/>
  <c r="G15" i="8"/>
  <c r="G14" i="8"/>
  <c r="G13" i="8"/>
  <c r="J83" i="7" l="1"/>
  <c r="H83" i="7"/>
  <c r="F83" i="7"/>
  <c r="D83" i="7"/>
  <c r="J82" i="7"/>
  <c r="H82" i="7"/>
  <c r="F82" i="7"/>
  <c r="D82" i="7"/>
  <c r="J81" i="7"/>
  <c r="H81" i="7"/>
  <c r="F81" i="7"/>
  <c r="D81" i="7"/>
  <c r="J80" i="7"/>
  <c r="H80" i="7"/>
  <c r="F80" i="7"/>
  <c r="D80" i="7"/>
  <c r="J79" i="7"/>
  <c r="H79" i="7"/>
  <c r="F79" i="7"/>
  <c r="D79" i="7"/>
  <c r="J78" i="7"/>
  <c r="H78" i="7"/>
  <c r="F78" i="7"/>
  <c r="D78" i="7"/>
  <c r="J77" i="7"/>
  <c r="H77" i="7"/>
  <c r="F77" i="7"/>
  <c r="D77" i="7"/>
  <c r="J76" i="7"/>
  <c r="H76" i="7"/>
  <c r="F76" i="7"/>
  <c r="D76" i="7"/>
  <c r="J75" i="7"/>
  <c r="H75" i="7"/>
  <c r="F75" i="7"/>
  <c r="D75" i="7"/>
  <c r="J74" i="7"/>
  <c r="H74" i="7"/>
  <c r="F74" i="7"/>
  <c r="D74" i="7"/>
  <c r="J73" i="7"/>
  <c r="H73" i="7"/>
  <c r="F73" i="7"/>
  <c r="D73" i="7"/>
  <c r="J72" i="7"/>
  <c r="H72" i="7"/>
  <c r="F72" i="7"/>
  <c r="D72" i="7"/>
  <c r="J71" i="7"/>
  <c r="H71" i="7"/>
  <c r="F71" i="7"/>
  <c r="D71" i="7"/>
  <c r="J70" i="7"/>
  <c r="H70" i="7"/>
  <c r="F70" i="7"/>
  <c r="D70" i="7"/>
  <c r="J69" i="7"/>
  <c r="H69" i="7"/>
  <c r="F69" i="7"/>
  <c r="D69" i="7"/>
  <c r="J68" i="7"/>
  <c r="H68" i="7"/>
  <c r="F68" i="7"/>
  <c r="D68" i="7"/>
  <c r="J67" i="7"/>
  <c r="H67" i="7"/>
  <c r="F67" i="7"/>
  <c r="D67" i="7"/>
  <c r="J66" i="7"/>
  <c r="H66" i="7"/>
  <c r="F66" i="7"/>
  <c r="D66" i="7"/>
  <c r="J65" i="7"/>
  <c r="H65" i="7"/>
  <c r="F65" i="7"/>
  <c r="D65" i="7"/>
  <c r="J64" i="7"/>
  <c r="H64" i="7"/>
  <c r="F64" i="7"/>
  <c r="D64" i="7"/>
  <c r="J63" i="7"/>
  <c r="H63" i="7"/>
  <c r="F63" i="7"/>
  <c r="D63" i="7"/>
  <c r="J62" i="7"/>
  <c r="H62" i="7"/>
  <c r="F62" i="7"/>
  <c r="D62" i="7"/>
  <c r="J61" i="7"/>
  <c r="H61" i="7"/>
  <c r="F61" i="7"/>
  <c r="D61" i="7"/>
  <c r="J60" i="7"/>
  <c r="H60" i="7"/>
  <c r="F60" i="7"/>
  <c r="D60" i="7"/>
  <c r="J59" i="7"/>
  <c r="H59" i="7"/>
  <c r="F59" i="7"/>
  <c r="D59" i="7"/>
  <c r="J58" i="7"/>
  <c r="H58" i="7"/>
  <c r="F58" i="7"/>
  <c r="D58" i="7"/>
  <c r="J57" i="7"/>
  <c r="H57" i="7"/>
  <c r="F57" i="7"/>
  <c r="D57" i="7"/>
  <c r="J56" i="7"/>
  <c r="H56" i="7"/>
  <c r="F56" i="7"/>
  <c r="D56" i="7"/>
  <c r="J55" i="7"/>
  <c r="H55" i="7"/>
  <c r="F55" i="7"/>
  <c r="D55" i="7"/>
  <c r="J54" i="7"/>
  <c r="H54" i="7"/>
  <c r="F54" i="7"/>
  <c r="D54" i="7"/>
  <c r="J53" i="7"/>
  <c r="H53" i="7"/>
  <c r="F53" i="7"/>
  <c r="D53" i="7"/>
  <c r="J52" i="7"/>
  <c r="H52" i="7"/>
  <c r="F52" i="7"/>
  <c r="D52" i="7"/>
  <c r="J51" i="7"/>
  <c r="H51" i="7"/>
  <c r="F51" i="7"/>
  <c r="D51" i="7"/>
  <c r="J50" i="7"/>
  <c r="H50" i="7"/>
  <c r="F50" i="7"/>
  <c r="D50" i="7"/>
  <c r="J49" i="7"/>
  <c r="H49" i="7"/>
  <c r="F49" i="7"/>
  <c r="D49" i="7"/>
  <c r="J48" i="7"/>
  <c r="H48" i="7"/>
  <c r="F48" i="7"/>
  <c r="D48" i="7"/>
  <c r="J47" i="7"/>
  <c r="H47" i="7"/>
  <c r="F47" i="7"/>
  <c r="D47" i="7"/>
  <c r="J46" i="7"/>
  <c r="H46" i="7"/>
  <c r="F46" i="7"/>
  <c r="D46" i="7"/>
  <c r="J45" i="7"/>
  <c r="H45" i="7"/>
  <c r="F45" i="7"/>
  <c r="D45" i="7"/>
  <c r="J44" i="7"/>
  <c r="H44" i="7"/>
  <c r="F44" i="7"/>
  <c r="D44" i="7"/>
  <c r="J43" i="7"/>
  <c r="H43" i="7"/>
  <c r="F43" i="7"/>
  <c r="D43" i="7"/>
  <c r="J42" i="7"/>
  <c r="H42" i="7"/>
  <c r="F42" i="7"/>
  <c r="D42" i="7"/>
  <c r="J41" i="7"/>
  <c r="H41" i="7"/>
  <c r="F41" i="7"/>
  <c r="D41" i="7"/>
  <c r="J40" i="7"/>
  <c r="H40" i="7"/>
  <c r="F40" i="7"/>
  <c r="D40" i="7"/>
  <c r="J39" i="7"/>
  <c r="H39" i="7"/>
  <c r="F39" i="7"/>
  <c r="D39" i="7"/>
  <c r="J38" i="7"/>
  <c r="H38" i="7"/>
  <c r="F38" i="7"/>
  <c r="D38" i="7"/>
  <c r="J37" i="7"/>
  <c r="H37" i="7"/>
  <c r="F37" i="7"/>
  <c r="D37" i="7"/>
  <c r="J36" i="7"/>
  <c r="H36" i="7"/>
  <c r="F36" i="7"/>
  <c r="D36" i="7"/>
  <c r="J35" i="7"/>
  <c r="H35" i="7"/>
  <c r="F35" i="7"/>
  <c r="D35" i="7"/>
  <c r="J34" i="7"/>
  <c r="H34" i="7"/>
  <c r="F34" i="7"/>
  <c r="D34" i="7"/>
  <c r="J33" i="7"/>
  <c r="H33" i="7"/>
  <c r="F33" i="7"/>
  <c r="D33" i="7"/>
  <c r="J32" i="7"/>
  <c r="H32" i="7"/>
  <c r="F32" i="7"/>
  <c r="D32" i="7"/>
  <c r="J31" i="7"/>
  <c r="H31" i="7"/>
  <c r="F31" i="7"/>
  <c r="D31" i="7"/>
  <c r="J30" i="7"/>
  <c r="H30" i="7"/>
  <c r="F30" i="7"/>
  <c r="D30" i="7"/>
  <c r="J29" i="7"/>
  <c r="H29" i="7"/>
  <c r="F29" i="7"/>
  <c r="D29" i="7"/>
  <c r="J28" i="7"/>
  <c r="H28" i="7"/>
  <c r="F28" i="7"/>
  <c r="D28" i="7"/>
  <c r="J27" i="7"/>
  <c r="H27" i="7"/>
  <c r="F27" i="7"/>
  <c r="D27" i="7"/>
  <c r="F746" i="16" l="1"/>
  <c r="F747" i="16"/>
  <c r="Y747" i="16" s="1"/>
  <c r="F748" i="16"/>
  <c r="Y748" i="16" s="1"/>
  <c r="F749" i="16"/>
  <c r="Y749" i="16" s="1"/>
  <c r="F750" i="16"/>
  <c r="Y750" i="16" s="1"/>
  <c r="F751" i="16"/>
  <c r="Y751" i="16" s="1"/>
  <c r="F752" i="16"/>
  <c r="Y752" i="16" s="1"/>
  <c r="F753" i="16"/>
  <c r="Y753" i="16" s="1"/>
  <c r="F754" i="16"/>
  <c r="Y754" i="16" s="1"/>
  <c r="F755" i="16"/>
  <c r="Y755" i="16" s="1"/>
  <c r="F756" i="16"/>
  <c r="Y756" i="16" s="1"/>
  <c r="F757" i="16"/>
  <c r="Y757" i="16" s="1"/>
  <c r="F758" i="16"/>
  <c r="Y758" i="16" s="1"/>
  <c r="F759" i="16"/>
  <c r="Y759" i="16" s="1"/>
  <c r="F760" i="16"/>
  <c r="Y760" i="16" s="1"/>
  <c r="F761" i="16"/>
  <c r="Y761" i="16" s="1"/>
  <c r="F762" i="16"/>
  <c r="Y762" i="16" s="1"/>
  <c r="F763" i="16"/>
  <c r="Y763" i="16" s="1"/>
  <c r="F764" i="16"/>
  <c r="Y764" i="16" s="1"/>
  <c r="F765" i="16"/>
  <c r="Y765" i="16" s="1"/>
  <c r="F766" i="16"/>
  <c r="Y766" i="16" s="1"/>
  <c r="F767" i="16"/>
  <c r="Y767" i="16" s="1"/>
  <c r="F768" i="16"/>
  <c r="Y768" i="16" s="1"/>
  <c r="F769" i="16"/>
  <c r="Y769" i="16" s="1"/>
  <c r="F770" i="16"/>
  <c r="Y770" i="16" s="1"/>
  <c r="F771" i="16"/>
  <c r="Y771" i="16" s="1"/>
  <c r="F772" i="16"/>
  <c r="Y772" i="16" s="1"/>
  <c r="F773" i="16"/>
  <c r="Y773" i="16" s="1"/>
  <c r="F774" i="16"/>
  <c r="Y774" i="16" s="1"/>
  <c r="F775" i="16"/>
  <c r="Y775" i="16" s="1"/>
  <c r="F776" i="16"/>
  <c r="Y776" i="16" s="1"/>
  <c r="F777" i="16"/>
  <c r="Y777" i="16" s="1"/>
  <c r="F778" i="16"/>
  <c r="Y778" i="16" s="1"/>
  <c r="F779" i="16"/>
  <c r="Y779" i="16" s="1"/>
  <c r="F780" i="16"/>
  <c r="Y780" i="16" s="1"/>
  <c r="F781" i="16"/>
  <c r="Y781" i="16" s="1"/>
  <c r="F782" i="16"/>
  <c r="Y782" i="16" s="1"/>
  <c r="F783" i="16"/>
  <c r="Y783" i="16" s="1"/>
  <c r="F784" i="16"/>
  <c r="Y784" i="16" s="1"/>
  <c r="F785" i="16"/>
  <c r="Y785" i="16" s="1"/>
  <c r="F786" i="16"/>
  <c r="Y786" i="16" s="1"/>
  <c r="F787" i="16"/>
  <c r="Y787" i="16" s="1"/>
  <c r="F788" i="16"/>
  <c r="Y788" i="16" s="1"/>
  <c r="F789" i="16"/>
  <c r="Y789" i="16" s="1"/>
  <c r="F790" i="16"/>
  <c r="Y790" i="16" s="1"/>
  <c r="F791" i="16"/>
  <c r="Y791" i="16" s="1"/>
  <c r="F792" i="16"/>
  <c r="F793" i="16"/>
  <c r="Y793" i="16" s="1"/>
  <c r="F794" i="16"/>
  <c r="Y794" i="16" s="1"/>
  <c r="F795" i="16"/>
  <c r="Y795" i="16" s="1"/>
  <c r="F796" i="16"/>
  <c r="Y796" i="16" s="1"/>
  <c r="F797" i="16"/>
  <c r="Y797" i="16" s="1"/>
  <c r="F798" i="16"/>
  <c r="Y798" i="16" s="1"/>
  <c r="F799" i="16"/>
  <c r="Y799" i="16" s="1"/>
  <c r="F800" i="16"/>
  <c r="Y800" i="16" s="1"/>
  <c r="F801" i="16"/>
  <c r="Y801" i="16" s="1"/>
  <c r="F802" i="16"/>
  <c r="Y802" i="16" s="1"/>
  <c r="F803" i="16"/>
  <c r="Y803" i="16" s="1"/>
  <c r="F804" i="16"/>
  <c r="Y804" i="16" s="1"/>
  <c r="F805" i="16"/>
  <c r="Y805" i="16" s="1"/>
  <c r="F806" i="16"/>
  <c r="Y806" i="16" s="1"/>
  <c r="F807" i="16"/>
  <c r="Y807" i="16" s="1"/>
  <c r="F808" i="16"/>
  <c r="Y808" i="16" s="1"/>
  <c r="F809" i="16"/>
  <c r="F810" i="16"/>
  <c r="F811" i="16"/>
  <c r="Y811" i="16" s="1"/>
  <c r="F812" i="16"/>
  <c r="Y812" i="16" s="1"/>
  <c r="F813" i="16"/>
  <c r="Y813" i="16" s="1"/>
  <c r="F814" i="16"/>
  <c r="Y814" i="16" s="1"/>
  <c r="F815" i="16"/>
  <c r="Y815" i="16" s="1"/>
  <c r="F816" i="16"/>
  <c r="Y816" i="16" s="1"/>
  <c r="F817" i="16"/>
  <c r="Y817" i="16" s="1"/>
  <c r="F818" i="16"/>
  <c r="Y818" i="16" s="1"/>
  <c r="F819" i="16"/>
  <c r="Y819" i="16" s="1"/>
  <c r="F820" i="16"/>
  <c r="Y820" i="16" s="1"/>
  <c r="F821" i="16"/>
  <c r="Y821" i="16" s="1"/>
  <c r="F822" i="16"/>
  <c r="Y822" i="16" s="1"/>
  <c r="F823" i="16"/>
  <c r="Y823" i="16" s="1"/>
  <c r="F824" i="16"/>
  <c r="Y824" i="16" s="1"/>
  <c r="F825" i="16"/>
  <c r="Y825" i="16" s="1"/>
  <c r="F826" i="16"/>
  <c r="Y826" i="16" s="1"/>
  <c r="F827" i="16"/>
  <c r="Y827" i="16" s="1"/>
  <c r="F828" i="16"/>
  <c r="Y828" i="16" s="1"/>
  <c r="F829" i="16"/>
  <c r="Y829" i="16" s="1"/>
  <c r="F830" i="16"/>
  <c r="Y830" i="16" s="1"/>
  <c r="F831" i="16"/>
  <c r="Y831" i="16" s="1"/>
  <c r="F832" i="16"/>
  <c r="Y832" i="16" s="1"/>
  <c r="F833" i="16"/>
  <c r="Y833" i="16" s="1"/>
  <c r="F834" i="16"/>
  <c r="Y834" i="16" s="1"/>
  <c r="F835" i="16"/>
  <c r="Y835" i="16" s="1"/>
  <c r="F836" i="16"/>
  <c r="Y836" i="16" s="1"/>
  <c r="F837" i="16"/>
  <c r="Y837" i="16" s="1"/>
  <c r="F838" i="16"/>
  <c r="Y838" i="16" s="1"/>
  <c r="F839" i="16"/>
  <c r="Y839" i="16" s="1"/>
  <c r="F840" i="16"/>
  <c r="Y840" i="16" s="1"/>
  <c r="F841" i="16"/>
  <c r="Y841" i="16" s="1"/>
  <c r="F842" i="16"/>
  <c r="Y842" i="16" s="1"/>
  <c r="F843" i="16"/>
  <c r="Y843" i="16" s="1"/>
  <c r="F844" i="16"/>
  <c r="Y844" i="16" s="1"/>
  <c r="F845" i="16"/>
  <c r="Y845" i="16" s="1"/>
  <c r="F846" i="16"/>
  <c r="Y846" i="16" s="1"/>
  <c r="F847" i="16"/>
  <c r="Y847" i="16" s="1"/>
  <c r="F848" i="16"/>
  <c r="Y848" i="16" s="1"/>
  <c r="F849" i="16"/>
  <c r="Y849" i="16" s="1"/>
  <c r="F850" i="16"/>
  <c r="Y850" i="16" s="1"/>
  <c r="F851" i="16"/>
  <c r="Y851" i="16" s="1"/>
  <c r="F852" i="16"/>
  <c r="Y852" i="16" s="1"/>
  <c r="F853" i="16"/>
  <c r="Y853" i="16" s="1"/>
  <c r="F854" i="16"/>
  <c r="Y854" i="16" s="1"/>
  <c r="F855" i="16"/>
  <c r="Y855" i="16" s="1"/>
  <c r="F856" i="16"/>
  <c r="Y856" i="16" s="1"/>
  <c r="F857" i="16"/>
  <c r="Y857" i="16" s="1"/>
  <c r="F858" i="16"/>
  <c r="Y858" i="16" s="1"/>
  <c r="F859" i="16"/>
  <c r="Y859" i="16" s="1"/>
  <c r="F860" i="16"/>
  <c r="Y860" i="16" s="1"/>
  <c r="F861" i="16"/>
  <c r="Y861" i="16" s="1"/>
  <c r="F862" i="16"/>
  <c r="Y862" i="16" s="1"/>
  <c r="F863" i="16"/>
  <c r="Y863" i="16" s="1"/>
  <c r="F864" i="16"/>
  <c r="F865" i="16"/>
  <c r="Y865" i="16" s="1"/>
  <c r="F866" i="16"/>
  <c r="Y866" i="16" s="1"/>
  <c r="F867" i="16"/>
  <c r="Y867" i="16" s="1"/>
  <c r="F868" i="16"/>
  <c r="Y868" i="16" s="1"/>
  <c r="F869" i="16"/>
  <c r="Y869" i="16" s="1"/>
  <c r="F870" i="16"/>
  <c r="Y870" i="16" s="1"/>
  <c r="F871" i="16"/>
  <c r="Y871" i="16" s="1"/>
  <c r="F872" i="16"/>
  <c r="Y872" i="16" s="1"/>
  <c r="F873" i="16"/>
  <c r="Y873" i="16" s="1"/>
  <c r="F874" i="16"/>
  <c r="Y874" i="16" s="1"/>
  <c r="F875" i="16"/>
  <c r="Y875" i="16" s="1"/>
  <c r="F876" i="16"/>
  <c r="Y876" i="16" s="1"/>
  <c r="F877" i="16"/>
  <c r="Y877" i="16" s="1"/>
  <c r="F878" i="16"/>
  <c r="Y878" i="16" s="1"/>
  <c r="F879" i="16"/>
  <c r="Y879" i="16" s="1"/>
  <c r="F880" i="16"/>
  <c r="Y880" i="16" s="1"/>
  <c r="F881" i="16"/>
  <c r="Y881" i="16" s="1"/>
  <c r="F882" i="16"/>
  <c r="Y882" i="16" s="1"/>
  <c r="F883" i="16"/>
  <c r="Y883" i="16" s="1"/>
  <c r="F884" i="16"/>
  <c r="Y884" i="16" s="1"/>
  <c r="F885" i="16"/>
  <c r="Y885" i="16" s="1"/>
  <c r="F886" i="16"/>
  <c r="Y886" i="16" s="1"/>
  <c r="F887" i="16"/>
  <c r="Y887" i="16" s="1"/>
  <c r="F888" i="16"/>
  <c r="Y888" i="16" s="1"/>
  <c r="F889" i="16"/>
  <c r="Y889" i="16" s="1"/>
  <c r="F890" i="16"/>
  <c r="Y890" i="16" s="1"/>
  <c r="F891" i="16"/>
  <c r="Y891" i="16" s="1"/>
  <c r="F892" i="16"/>
  <c r="Y892" i="16" s="1"/>
  <c r="F893" i="16"/>
  <c r="Y893" i="16" s="1"/>
  <c r="F894" i="16"/>
  <c r="Y894" i="16" s="1"/>
  <c r="F895" i="16"/>
  <c r="Y895" i="16" s="1"/>
  <c r="F896" i="16"/>
  <c r="Y896" i="16" s="1"/>
  <c r="F897" i="16"/>
  <c r="Y897" i="16" s="1"/>
  <c r="F898" i="16"/>
  <c r="Y898" i="16" s="1"/>
  <c r="F899" i="16"/>
  <c r="Y899" i="16" s="1"/>
  <c r="F900" i="16"/>
  <c r="Y900" i="16" s="1"/>
  <c r="F901" i="16"/>
  <c r="Y901" i="16" s="1"/>
  <c r="F902" i="16"/>
  <c r="Y902" i="16" s="1"/>
  <c r="F903" i="16"/>
  <c r="Y903" i="16" s="1"/>
  <c r="F904" i="16"/>
  <c r="Y904" i="16" s="1"/>
  <c r="F905" i="16"/>
  <c r="Y905" i="16" s="1"/>
  <c r="F906" i="16"/>
  <c r="Y906" i="16" s="1"/>
  <c r="F907" i="16"/>
  <c r="Y907" i="16" s="1"/>
  <c r="F908" i="16"/>
  <c r="Y908" i="16" s="1"/>
  <c r="F909" i="16"/>
  <c r="Y909" i="16" s="1"/>
  <c r="F910" i="16"/>
  <c r="Y910" i="16" s="1"/>
  <c r="F911" i="16"/>
  <c r="Y911" i="16" s="1"/>
  <c r="F912" i="16"/>
  <c r="Y912" i="16" s="1"/>
  <c r="F913" i="16"/>
  <c r="Y913" i="16" s="1"/>
  <c r="F914" i="16"/>
  <c r="Y914" i="16" s="1"/>
  <c r="F915" i="16"/>
  <c r="Y915" i="16" s="1"/>
  <c r="F916" i="16"/>
  <c r="Y916" i="16" s="1"/>
  <c r="F917" i="16"/>
  <c r="Y917" i="16" s="1"/>
  <c r="F918" i="16"/>
  <c r="Y918" i="16" s="1"/>
  <c r="F919" i="16"/>
  <c r="Y919" i="16" s="1"/>
  <c r="F920" i="16"/>
  <c r="Y920" i="16" s="1"/>
  <c r="F921" i="16"/>
  <c r="Y921" i="16" s="1"/>
  <c r="F922" i="16"/>
  <c r="Y922" i="16" s="1"/>
  <c r="F923" i="16"/>
  <c r="Y923" i="16" s="1"/>
  <c r="F924" i="16"/>
  <c r="Y924" i="16" s="1"/>
  <c r="F925" i="16"/>
  <c r="Y925" i="16" s="1"/>
  <c r="F926" i="16"/>
  <c r="Y926" i="16" s="1"/>
  <c r="F927" i="16"/>
  <c r="Y927" i="16" s="1"/>
  <c r="F928" i="16"/>
  <c r="Y928" i="16" s="1"/>
  <c r="F929" i="16"/>
  <c r="Y929" i="16" s="1"/>
  <c r="F930" i="16"/>
  <c r="Y930" i="16" s="1"/>
  <c r="F931" i="16"/>
  <c r="Y931" i="16" s="1"/>
  <c r="F932" i="16"/>
  <c r="Y932" i="16" s="1"/>
  <c r="F933" i="16"/>
  <c r="Y933" i="16" s="1"/>
  <c r="F934" i="16"/>
  <c r="Y934" i="16" s="1"/>
  <c r="F935" i="16"/>
  <c r="Y935" i="16" s="1"/>
  <c r="F936" i="16"/>
  <c r="Y936" i="16" s="1"/>
  <c r="F937" i="16"/>
  <c r="Y937" i="16" s="1"/>
  <c r="F938" i="16"/>
  <c r="Y938" i="16" s="1"/>
  <c r="F939" i="16"/>
  <c r="Y939" i="16" s="1"/>
  <c r="F940" i="16"/>
  <c r="Y940" i="16" s="1"/>
  <c r="F941" i="16"/>
  <c r="Y941" i="16" s="1"/>
  <c r="F942" i="16"/>
  <c r="Y942" i="16" s="1"/>
  <c r="F943" i="16"/>
  <c r="Y943" i="16" s="1"/>
  <c r="F944" i="16"/>
  <c r="Y944" i="16" s="1"/>
  <c r="F945" i="16"/>
  <c r="Y945" i="16" s="1"/>
  <c r="F946" i="16"/>
  <c r="Y946" i="16" s="1"/>
  <c r="F947" i="16"/>
  <c r="Y947" i="16" s="1"/>
  <c r="F948" i="16"/>
  <c r="Y948" i="16" s="1"/>
  <c r="F949" i="16"/>
  <c r="Y949" i="16" s="1"/>
  <c r="F950" i="16"/>
  <c r="Y950" i="16" s="1"/>
  <c r="F951" i="16"/>
  <c r="Y951" i="16" s="1"/>
  <c r="F952" i="16"/>
  <c r="Y952" i="16" s="1"/>
  <c r="F953" i="16"/>
  <c r="Y953" i="16" s="1"/>
  <c r="F954" i="16"/>
  <c r="Y954" i="16" s="1"/>
  <c r="F955" i="16"/>
  <c r="Y955" i="16" s="1"/>
  <c r="F956" i="16"/>
  <c r="Y956" i="16" s="1"/>
  <c r="F957" i="16"/>
  <c r="Y957" i="16" s="1"/>
  <c r="F958" i="16"/>
  <c r="Y958" i="16" s="1"/>
  <c r="F959" i="16"/>
  <c r="Y959" i="16" s="1"/>
  <c r="F960" i="16"/>
  <c r="Y960" i="16" s="1"/>
  <c r="F961" i="16"/>
  <c r="Y961" i="16" s="1"/>
  <c r="F962" i="16"/>
  <c r="Y962" i="16" s="1"/>
  <c r="F963" i="16"/>
  <c r="Y963" i="16" s="1"/>
  <c r="F964" i="16"/>
  <c r="Y964" i="16" s="1"/>
  <c r="F965" i="16"/>
  <c r="Y965" i="16" s="1"/>
  <c r="F966" i="16"/>
  <c r="Y966" i="16" s="1"/>
  <c r="F967" i="16"/>
  <c r="Y967" i="16" s="1"/>
  <c r="F968" i="16"/>
  <c r="Y968" i="16" s="1"/>
  <c r="F969" i="16"/>
  <c r="Y969" i="16" s="1"/>
  <c r="F970" i="16"/>
  <c r="Y970" i="16" s="1"/>
  <c r="F971" i="16"/>
  <c r="Y971" i="16" s="1"/>
  <c r="F972" i="16"/>
  <c r="Y972" i="16" s="1"/>
  <c r="F973" i="16"/>
  <c r="Y973" i="16" s="1"/>
  <c r="F974" i="16"/>
  <c r="Y974" i="16" s="1"/>
  <c r="F975" i="16"/>
  <c r="Y975" i="16" s="1"/>
  <c r="F976" i="16"/>
  <c r="Y976" i="16" s="1"/>
  <c r="F977" i="16"/>
  <c r="Y977" i="16" s="1"/>
  <c r="F978" i="16"/>
  <c r="Y978" i="16" s="1"/>
  <c r="F979" i="16"/>
  <c r="Y979" i="16" s="1"/>
  <c r="F980" i="16"/>
  <c r="Y980" i="16" s="1"/>
  <c r="F981" i="16"/>
  <c r="F982" i="16"/>
  <c r="Y982" i="16" s="1"/>
  <c r="F983" i="16"/>
  <c r="Y983" i="16" s="1"/>
  <c r="F984" i="16"/>
  <c r="Y984" i="16" s="1"/>
  <c r="F985" i="16"/>
  <c r="Y985" i="16" s="1"/>
  <c r="F986" i="16"/>
  <c r="Y986" i="16" s="1"/>
  <c r="F987" i="16"/>
  <c r="Y987" i="16" s="1"/>
  <c r="F988" i="16"/>
  <c r="Y988" i="16" s="1"/>
  <c r="F989" i="16"/>
  <c r="Y989" i="16" s="1"/>
  <c r="F990" i="16"/>
  <c r="Y990" i="16" s="1"/>
  <c r="F991" i="16"/>
  <c r="Y991" i="16" s="1"/>
  <c r="F992" i="16"/>
  <c r="Y992" i="16" s="1"/>
  <c r="F993" i="16"/>
  <c r="Y993" i="16" s="1"/>
  <c r="F994" i="16"/>
  <c r="Y994" i="16" s="1"/>
  <c r="F995" i="16"/>
  <c r="Y995" i="16" s="1"/>
  <c r="F996" i="16"/>
  <c r="Y996" i="16" s="1"/>
  <c r="F997" i="16"/>
  <c r="Y997" i="16" s="1"/>
  <c r="F998" i="16"/>
  <c r="Y998" i="16" s="1"/>
  <c r="F999" i="16"/>
  <c r="Y999" i="16" s="1"/>
  <c r="F1000" i="16"/>
  <c r="Y1000" i="16" s="1"/>
  <c r="F1001" i="16"/>
  <c r="Y1001" i="16" s="1"/>
  <c r="F1002" i="16"/>
  <c r="Y1002" i="16" s="1"/>
  <c r="F1003" i="16"/>
  <c r="Y1003" i="16" s="1"/>
  <c r="F1004" i="16"/>
  <c r="Y1004" i="16" s="1"/>
  <c r="F1005" i="16"/>
  <c r="Y1005" i="16" s="1"/>
  <c r="F1006" i="16"/>
  <c r="Y1006" i="16" s="1"/>
  <c r="F1007" i="16"/>
  <c r="Y1007" i="16" s="1"/>
  <c r="F1008" i="16"/>
  <c r="Y1008" i="16" s="1"/>
  <c r="F1009" i="16"/>
  <c r="Y1009" i="16" s="1"/>
  <c r="F1010" i="16"/>
  <c r="Y1010" i="16" s="1"/>
  <c r="F1011" i="16"/>
  <c r="Y1011" i="16" s="1"/>
  <c r="F1012" i="16"/>
  <c r="Y1012" i="16" s="1"/>
  <c r="F1013" i="16"/>
  <c r="Y1013" i="16" s="1"/>
  <c r="F1014" i="16"/>
  <c r="Y1014" i="16" s="1"/>
  <c r="F1015" i="16"/>
  <c r="Y1015" i="16" s="1"/>
  <c r="F1016" i="16"/>
  <c r="Y1016" i="16" s="1"/>
  <c r="F1017" i="16"/>
  <c r="Y1017" i="16" s="1"/>
  <c r="F1018" i="16"/>
  <c r="Y1018" i="16" s="1"/>
  <c r="F1019" i="16"/>
  <c r="Y1019" i="16" s="1"/>
  <c r="F1020" i="16"/>
  <c r="Y1020" i="16" s="1"/>
  <c r="F1021" i="16"/>
  <c r="Y1021" i="16" s="1"/>
  <c r="F1022" i="16"/>
  <c r="Y1022" i="16" s="1"/>
  <c r="Z1022" i="16" s="1"/>
  <c r="AA1022" i="16" s="1"/>
  <c r="AB1022" i="16" s="1"/>
  <c r="F1023" i="16"/>
  <c r="Y1023" i="16" s="1"/>
  <c r="F1024" i="16"/>
  <c r="Y1024" i="16" s="1"/>
  <c r="F1025" i="16"/>
  <c r="Y1025" i="16" s="1"/>
  <c r="F1026" i="16"/>
  <c r="Y1026" i="16" s="1"/>
  <c r="F1027" i="16"/>
  <c r="Y1027" i="16" s="1"/>
  <c r="F1028" i="16"/>
  <c r="Y1028" i="16" s="1"/>
  <c r="F1029" i="16"/>
  <c r="Y1029" i="16" s="1"/>
  <c r="Z1029" i="16" s="1"/>
  <c r="AA1029" i="16" s="1"/>
  <c r="AB1029" i="16" s="1"/>
  <c r="F1030" i="16"/>
  <c r="Y1030" i="16" s="1"/>
  <c r="F1031" i="16"/>
  <c r="Y1031" i="16" s="1"/>
  <c r="F1032" i="16"/>
  <c r="Y1032" i="16" s="1"/>
  <c r="F1033" i="16"/>
  <c r="Y1033" i="16" s="1"/>
  <c r="F1034" i="16"/>
  <c r="Y1034" i="16" s="1"/>
  <c r="F1035" i="16"/>
  <c r="Y1035" i="16" s="1"/>
  <c r="Z1035" i="16" s="1"/>
  <c r="AA1035" i="16" s="1"/>
  <c r="AB1035" i="16" s="1"/>
  <c r="F1036" i="16"/>
  <c r="Y1036" i="16" s="1"/>
  <c r="Z1036" i="16" s="1"/>
  <c r="AA1036" i="16" s="1"/>
  <c r="AB1036" i="16" s="1"/>
  <c r="F1037" i="16"/>
  <c r="Y1037" i="16" s="1"/>
  <c r="Z1037" i="16" s="1"/>
  <c r="AA1037" i="16" s="1"/>
  <c r="AB1037" i="16" s="1"/>
  <c r="F1038" i="16"/>
  <c r="Y1038" i="16" s="1"/>
  <c r="Z1038" i="16" s="1"/>
  <c r="AA1038" i="16" s="1"/>
  <c r="AB1038" i="16" s="1"/>
  <c r="F1039" i="16"/>
  <c r="Y1039" i="16" s="1"/>
  <c r="Z1039" i="16" s="1"/>
  <c r="AA1039" i="16" s="1"/>
  <c r="AB1039" i="16" s="1"/>
  <c r="F1040" i="16"/>
  <c r="Y1040" i="16" s="1"/>
  <c r="Z1040" i="16" s="1"/>
  <c r="AA1040" i="16" s="1"/>
  <c r="AB1040" i="16" s="1"/>
  <c r="F1041" i="16"/>
  <c r="Y1041" i="16" s="1"/>
  <c r="Z1041" i="16" s="1"/>
  <c r="AA1041" i="16" s="1"/>
  <c r="AB1041" i="16" s="1"/>
  <c r="F1042" i="16"/>
  <c r="Y1042" i="16" s="1"/>
  <c r="Z1042" i="16" s="1"/>
  <c r="AA1042" i="16" s="1"/>
  <c r="AB1042" i="16" s="1"/>
  <c r="F1043" i="16"/>
  <c r="Y1043" i="16" s="1"/>
  <c r="Z1043" i="16" s="1"/>
  <c r="AA1043" i="16" s="1"/>
  <c r="AB1043" i="16" s="1"/>
  <c r="F1044" i="16"/>
  <c r="Y1044" i="16" s="1"/>
  <c r="Z1044" i="16" s="1"/>
  <c r="AA1044" i="16" s="1"/>
  <c r="AB1044" i="16" s="1"/>
  <c r="F1045" i="16"/>
  <c r="Y1045" i="16" s="1"/>
  <c r="F1046" i="16"/>
  <c r="Y1046" i="16" s="1"/>
  <c r="F1047" i="16"/>
  <c r="Y1047" i="16" s="1"/>
  <c r="F1048" i="16"/>
  <c r="Y1048" i="16" s="1"/>
  <c r="F1049" i="16"/>
  <c r="Y1049" i="16" s="1"/>
  <c r="F1050" i="16"/>
  <c r="Y1050" i="16" s="1"/>
  <c r="F1051" i="16"/>
  <c r="Y1051" i="16" s="1"/>
  <c r="F1052" i="16"/>
  <c r="Y1052" i="16" s="1"/>
  <c r="F1053" i="16"/>
  <c r="Y1053" i="16" s="1"/>
  <c r="F1054" i="16"/>
  <c r="Y1054" i="16" s="1"/>
  <c r="F1055" i="16"/>
  <c r="Y1055" i="16" s="1"/>
  <c r="F1056" i="16"/>
  <c r="Y1056" i="16" s="1"/>
  <c r="F1057" i="16"/>
  <c r="Y1057" i="16" s="1"/>
  <c r="F1058" i="16"/>
  <c r="Y1058" i="16" s="1"/>
  <c r="F1059" i="16"/>
  <c r="Y1059" i="16" s="1"/>
  <c r="F1060" i="16"/>
  <c r="Y1060" i="16" s="1"/>
  <c r="F1061" i="16"/>
  <c r="Y1061" i="16" s="1"/>
  <c r="F1062" i="16"/>
  <c r="Y1062" i="16" s="1"/>
  <c r="F1063" i="16"/>
  <c r="Y1063" i="16" s="1"/>
  <c r="F1064" i="16"/>
  <c r="Y1064" i="16" s="1"/>
  <c r="F1065" i="16"/>
  <c r="Y1065" i="16" s="1"/>
  <c r="F1066" i="16"/>
  <c r="Y1066" i="16" s="1"/>
  <c r="F1067" i="16"/>
  <c r="Y1067" i="16" s="1"/>
  <c r="F1068" i="16"/>
  <c r="Y1068" i="16" s="1"/>
  <c r="F1069" i="16"/>
  <c r="Y1069" i="16" s="1"/>
  <c r="F1070" i="16"/>
  <c r="Y1070" i="16" s="1"/>
  <c r="F1071" i="16"/>
  <c r="Y1071" i="16" s="1"/>
  <c r="F1072" i="16"/>
  <c r="Y1072" i="16" s="1"/>
  <c r="F1073" i="16"/>
  <c r="Y1073" i="16" s="1"/>
  <c r="F1074" i="16"/>
  <c r="Y1074" i="16" s="1"/>
  <c r="F1075" i="16"/>
  <c r="Y1075" i="16" s="1"/>
  <c r="F1076" i="16"/>
  <c r="Y1076" i="16" s="1"/>
  <c r="F1077" i="16"/>
  <c r="Y1077" i="16" s="1"/>
  <c r="F1078" i="16"/>
  <c r="Y1078" i="16" s="1"/>
  <c r="F1079" i="16"/>
  <c r="Y1079" i="16" s="1"/>
  <c r="F1080" i="16"/>
  <c r="Y1080" i="16" s="1"/>
  <c r="F1081" i="16"/>
  <c r="Y1081" i="16" s="1"/>
  <c r="F1082" i="16"/>
  <c r="Y1082" i="16" s="1"/>
  <c r="F1083" i="16"/>
  <c r="Y1083" i="16" s="1"/>
  <c r="F1084" i="16"/>
  <c r="Y1084" i="16" s="1"/>
  <c r="F1085" i="16"/>
  <c r="Y1085" i="16" s="1"/>
  <c r="F1086" i="16"/>
  <c r="Y1086" i="16" s="1"/>
  <c r="F1087" i="16"/>
  <c r="Y1087" i="16" s="1"/>
  <c r="F1088" i="16"/>
  <c r="Y1088" i="16" s="1"/>
  <c r="F1089" i="16"/>
  <c r="Y1089" i="16" s="1"/>
  <c r="F1090" i="16"/>
  <c r="Y1090" i="16" s="1"/>
  <c r="F1091" i="16"/>
  <c r="Y1091" i="16" s="1"/>
  <c r="F1092" i="16"/>
  <c r="Y1092" i="16" s="1"/>
  <c r="F1093" i="16"/>
  <c r="Y1093" i="16" s="1"/>
  <c r="F1094" i="16"/>
  <c r="Y1094" i="16" s="1"/>
  <c r="F1095" i="16"/>
  <c r="Y1095" i="16" s="1"/>
  <c r="F1096" i="16"/>
  <c r="Y1096" i="16" s="1"/>
  <c r="F1097" i="16"/>
  <c r="Y1097" i="16" s="1"/>
  <c r="F1098" i="16"/>
  <c r="Y1098" i="16" s="1"/>
  <c r="F1099" i="16"/>
  <c r="Y1099" i="16" s="1"/>
  <c r="F1100" i="16"/>
  <c r="Y1100" i="16" s="1"/>
  <c r="F1101" i="16"/>
  <c r="Y1101" i="16" s="1"/>
  <c r="F1102" i="16"/>
  <c r="Y1102" i="16" s="1"/>
  <c r="F1103" i="16"/>
  <c r="Y1103" i="16" s="1"/>
  <c r="F1104" i="16"/>
  <c r="Y1104" i="16" s="1"/>
  <c r="F1105" i="16"/>
  <c r="Y1105" i="16" s="1"/>
  <c r="F1106" i="16"/>
  <c r="Y1106" i="16" s="1"/>
  <c r="F1107" i="16"/>
  <c r="Y1107" i="16" s="1"/>
  <c r="F1108" i="16"/>
  <c r="Y1108" i="16" s="1"/>
  <c r="F1109" i="16"/>
  <c r="Y1109" i="16" s="1"/>
  <c r="F1110" i="16"/>
  <c r="Y1110" i="16" s="1"/>
  <c r="F1111" i="16"/>
  <c r="Y1111" i="16" s="1"/>
  <c r="F1112" i="16"/>
  <c r="Y1112" i="16" s="1"/>
  <c r="F1113" i="16"/>
  <c r="Y1113" i="16" s="1"/>
  <c r="F1114" i="16"/>
  <c r="Y1114" i="16" s="1"/>
  <c r="F1115" i="16"/>
  <c r="Y1115" i="16" s="1"/>
  <c r="F1116" i="16"/>
  <c r="Y1116" i="16" s="1"/>
  <c r="Z1116" i="16" l="1"/>
  <c r="Z1112" i="16"/>
  <c r="AA1112" i="16" s="1"/>
  <c r="Z1108" i="16"/>
  <c r="AA1108" i="16" s="1"/>
  <c r="Z1096" i="16"/>
  <c r="Z1092" i="16"/>
  <c r="Z1114" i="16"/>
  <c r="Z1110" i="16"/>
  <c r="Z1106" i="16"/>
  <c r="Z1102" i="16"/>
  <c r="Z1098" i="16"/>
  <c r="Z1094" i="16"/>
  <c r="Z1090" i="16"/>
  <c r="Z1086" i="16"/>
  <c r="Z1104" i="16"/>
  <c r="AA1104" i="16" s="1"/>
  <c r="Z1084" i="16"/>
  <c r="Z1113" i="16"/>
  <c r="Z1109" i="16"/>
  <c r="Z1105" i="16"/>
  <c r="Z1101" i="16"/>
  <c r="AA1101" i="16" s="1"/>
  <c r="Z1097" i="16"/>
  <c r="Z1093" i="16"/>
  <c r="Z1089" i="16"/>
  <c r="AA1089" i="16" s="1"/>
  <c r="Z1085" i="16"/>
  <c r="AA1085" i="16" s="1"/>
  <c r="Z1100" i="16"/>
  <c r="Z1088" i="16"/>
  <c r="Z1115" i="16"/>
  <c r="AA1115" i="16" s="1"/>
  <c r="Z1111" i="16"/>
  <c r="AA1111" i="16" s="1"/>
  <c r="Z1107" i="16"/>
  <c r="Z1103" i="16"/>
  <c r="AA1103" i="16" s="1"/>
  <c r="Z1099" i="16"/>
  <c r="AA1099" i="16" s="1"/>
  <c r="Z1095" i="16"/>
  <c r="AA1095" i="16" s="1"/>
  <c r="Z1091" i="16"/>
  <c r="AA1091" i="16" s="1"/>
  <c r="Z1087" i="16"/>
  <c r="AA1087" i="16" s="1"/>
  <c r="Z1083" i="16"/>
  <c r="AA1083" i="16" s="1"/>
  <c r="Z1082" i="16"/>
  <c r="AA1082" i="16" s="1"/>
  <c r="AA1107" i="16"/>
  <c r="Z1015" i="16"/>
  <c r="AA1015" i="16" s="1"/>
  <c r="AJ1041" i="16"/>
  <c r="AK1041" i="16" s="1"/>
  <c r="AJ1037" i="16"/>
  <c r="AK1037" i="16" s="1"/>
  <c r="AJ1029" i="16"/>
  <c r="AK1029" i="16" s="1"/>
  <c r="AJ1044" i="16"/>
  <c r="AK1044" i="16" s="1"/>
  <c r="AJ1040" i="16"/>
  <c r="AK1040" i="16" s="1"/>
  <c r="AJ1036" i="16"/>
  <c r="AK1036" i="16" s="1"/>
  <c r="AJ1043" i="16"/>
  <c r="AK1043" i="16" s="1"/>
  <c r="AJ1039" i="16"/>
  <c r="AK1039" i="16" s="1"/>
  <c r="AJ1035" i="16"/>
  <c r="AK1035" i="16" s="1"/>
  <c r="AJ1042" i="16"/>
  <c r="AK1042" i="16" s="1"/>
  <c r="AJ1038" i="16"/>
  <c r="AK1038" i="16" s="1"/>
  <c r="AJ1022" i="16"/>
  <c r="AK1022" i="16" s="1"/>
  <c r="Z1079" i="16"/>
  <c r="AA1079" i="16" s="1"/>
  <c r="Z1059" i="16"/>
  <c r="AA1059" i="16" s="1"/>
  <c r="Z1051" i="16"/>
  <c r="AA1051" i="16" s="1"/>
  <c r="Z1031" i="16"/>
  <c r="AA1031" i="16" s="1"/>
  <c r="Z1027" i="16"/>
  <c r="AA1027" i="16" s="1"/>
  <c r="Z1023" i="16"/>
  <c r="AA1023" i="16" s="1"/>
  <c r="Z1019" i="16"/>
  <c r="AA1019" i="16" s="1"/>
  <c r="Z1011" i="16"/>
  <c r="AA1011" i="16" s="1"/>
  <c r="Z1007" i="16"/>
  <c r="AA1007" i="16" s="1"/>
  <c r="Z1003" i="16"/>
  <c r="AA1003" i="16" s="1"/>
  <c r="Z999" i="16"/>
  <c r="AA999" i="16" s="1"/>
  <c r="Z995" i="16"/>
  <c r="AA995" i="16" s="1"/>
  <c r="Z923" i="16"/>
  <c r="AA923" i="16" s="1"/>
  <c r="Z991" i="16"/>
  <c r="AA991" i="16" s="1"/>
  <c r="Z983" i="16"/>
  <c r="AA983" i="16" s="1"/>
  <c r="Z765" i="16"/>
  <c r="AA765" i="16" s="1"/>
  <c r="Z987" i="16"/>
  <c r="AA987" i="16" s="1"/>
  <c r="Z979" i="16"/>
  <c r="AA979" i="16" s="1"/>
  <c r="Z963" i="16"/>
  <c r="AA963" i="16" s="1"/>
  <c r="Z959" i="16"/>
  <c r="AA959" i="16" s="1"/>
  <c r="Z955" i="16"/>
  <c r="AA955" i="16" s="1"/>
  <c r="Z939" i="16"/>
  <c r="AA939" i="16" s="1"/>
  <c r="Z931" i="16"/>
  <c r="AA931" i="16" s="1"/>
  <c r="Z927" i="16"/>
  <c r="AA927" i="16" s="1"/>
  <c r="Z807" i="16"/>
  <c r="AA807" i="16" s="1"/>
  <c r="AA1113" i="16"/>
  <c r="AA1109" i="16"/>
  <c r="AA1105" i="16"/>
  <c r="AA1116" i="16"/>
  <c r="Z919" i="16"/>
  <c r="AA919" i="16" s="1"/>
  <c r="Z907" i="16"/>
  <c r="AA907" i="16" s="1"/>
  <c r="Z895" i="16"/>
  <c r="AA895" i="16" s="1"/>
  <c r="AA1097" i="16"/>
  <c r="AA1100" i="16"/>
  <c r="AA1096" i="16"/>
  <c r="AA1092" i="16"/>
  <c r="Z883" i="16"/>
  <c r="AA883" i="16" s="1"/>
  <c r="Z859" i="16"/>
  <c r="AA859" i="16" s="1"/>
  <c r="Z847" i="16"/>
  <c r="AA847" i="16" s="1"/>
  <c r="Z835" i="16"/>
  <c r="AA835" i="16" s="1"/>
  <c r="Z823" i="16"/>
  <c r="AA823" i="16" s="1"/>
  <c r="Z1080" i="16"/>
  <c r="AA1080" i="16" s="1"/>
  <c r="Z764" i="16"/>
  <c r="AA764" i="16" s="1"/>
  <c r="Z791" i="16"/>
  <c r="AA791" i="16" s="1"/>
  <c r="Z767" i="16"/>
  <c r="AA767" i="16" s="1"/>
  <c r="Z763" i="16"/>
  <c r="AA763" i="16" s="1"/>
  <c r="Z769" i="16"/>
  <c r="AA769" i="16" s="1"/>
  <c r="Z772" i="16"/>
  <c r="AA772" i="16" s="1"/>
  <c r="Z768" i="16"/>
  <c r="AA768" i="16" s="1"/>
  <c r="Z771" i="16"/>
  <c r="AA771" i="16" s="1"/>
  <c r="Z1018" i="16"/>
  <c r="AA1018" i="16" s="1"/>
  <c r="Z1010" i="16"/>
  <c r="AA1010" i="16" s="1"/>
  <c r="Z998" i="16"/>
  <c r="AA998" i="16" s="1"/>
  <c r="Z922" i="16"/>
  <c r="AA922" i="16" s="1"/>
  <c r="AA1093" i="16"/>
  <c r="Z1081" i="16"/>
  <c r="AA1081" i="16" s="1"/>
  <c r="Z1077" i="16"/>
  <c r="AA1077" i="16" s="1"/>
  <c r="Z1073" i="16"/>
  <c r="AA1073" i="16" s="1"/>
  <c r="Z1069" i="16"/>
  <c r="AA1069" i="16" s="1"/>
  <c r="Z1065" i="16"/>
  <c r="AA1065" i="16" s="1"/>
  <c r="Z1061" i="16"/>
  <c r="AA1061" i="16" s="1"/>
  <c r="Z1057" i="16"/>
  <c r="AA1057" i="16" s="1"/>
  <c r="Z1053" i="16"/>
  <c r="AA1053" i="16" s="1"/>
  <c r="Z1049" i="16"/>
  <c r="AA1049" i="16" s="1"/>
  <c r="Z1045" i="16"/>
  <c r="AA1045" i="16" s="1"/>
  <c r="Z1033" i="16"/>
  <c r="AA1033" i="16" s="1"/>
  <c r="Z1025" i="16"/>
  <c r="AA1025" i="16" s="1"/>
  <c r="Z1021" i="16"/>
  <c r="AA1021" i="16" s="1"/>
  <c r="Z1017" i="16"/>
  <c r="AA1017" i="16" s="1"/>
  <c r="Z1013" i="16"/>
  <c r="AA1013" i="16" s="1"/>
  <c r="Z1009" i="16"/>
  <c r="AA1009" i="16" s="1"/>
  <c r="Z1005" i="16"/>
  <c r="AA1005" i="16" s="1"/>
  <c r="Z1001" i="16"/>
  <c r="AA1001" i="16" s="1"/>
  <c r="Z997" i="16"/>
  <c r="AA997" i="16" s="1"/>
  <c r="Z993" i="16"/>
  <c r="AA993" i="16" s="1"/>
  <c r="Z989" i="16"/>
  <c r="AA989" i="16" s="1"/>
  <c r="Z985" i="16"/>
  <c r="AA985" i="16" s="1"/>
  <c r="Z977" i="16"/>
  <c r="AA977" i="16" s="1"/>
  <c r="Z973" i="16"/>
  <c r="AA973" i="16" s="1"/>
  <c r="Z969" i="16"/>
  <c r="AA969" i="16" s="1"/>
  <c r="Z965" i="16"/>
  <c r="AA965" i="16" s="1"/>
  <c r="Z961" i="16"/>
  <c r="AA961" i="16" s="1"/>
  <c r="Z957" i="16"/>
  <c r="AA957" i="16" s="1"/>
  <c r="Z953" i="16"/>
  <c r="AA953" i="16" s="1"/>
  <c r="Z949" i="16"/>
  <c r="AA949" i="16" s="1"/>
  <c r="Z945" i="16"/>
  <c r="AA945" i="16" s="1"/>
  <c r="Z941" i="16"/>
  <c r="AA941" i="16" s="1"/>
  <c r="Z937" i="16"/>
  <c r="AA937" i="16" s="1"/>
  <c r="Z933" i="16"/>
  <c r="AA933" i="16" s="1"/>
  <c r="Z929" i="16"/>
  <c r="AA929" i="16" s="1"/>
  <c r="Z925" i="16"/>
  <c r="AA925" i="16" s="1"/>
  <c r="Z921" i="16"/>
  <c r="AA921" i="16" s="1"/>
  <c r="Z917" i="16"/>
  <c r="AA917" i="16" s="1"/>
  <c r="Z913" i="16"/>
  <c r="AA913" i="16" s="1"/>
  <c r="Z909" i="16"/>
  <c r="AA909" i="16" s="1"/>
  <c r="Z905" i="16"/>
  <c r="AA905" i="16" s="1"/>
  <c r="Z901" i="16"/>
  <c r="AA901" i="16" s="1"/>
  <c r="Z897" i="16"/>
  <c r="AA897" i="16" s="1"/>
  <c r="Z893" i="16"/>
  <c r="AA893" i="16" s="1"/>
  <c r="Z889" i="16"/>
  <c r="AA889" i="16" s="1"/>
  <c r="Z885" i="16"/>
  <c r="AA885" i="16" s="1"/>
  <c r="Z881" i="16"/>
  <c r="AA881" i="16" s="1"/>
  <c r="Z877" i="16"/>
  <c r="AA877" i="16" s="1"/>
  <c r="Z873" i="16"/>
  <c r="AA873" i="16" s="1"/>
  <c r="Z869" i="16"/>
  <c r="AA869" i="16" s="1"/>
  <c r="Z865" i="16"/>
  <c r="AA865" i="16" s="1"/>
  <c r="AA864" i="16"/>
  <c r="Z861" i="16"/>
  <c r="AA861" i="16" s="1"/>
  <c r="Z857" i="16"/>
  <c r="AA857" i="16" s="1"/>
  <c r="Z853" i="16"/>
  <c r="AA853" i="16" s="1"/>
  <c r="Z849" i="16"/>
  <c r="AA849" i="16" s="1"/>
  <c r="Z845" i="16"/>
  <c r="AA845" i="16" s="1"/>
  <c r="Z841" i="16"/>
  <c r="AA841" i="16" s="1"/>
  <c r="Z837" i="16"/>
  <c r="AA837" i="16" s="1"/>
  <c r="Z833" i="16"/>
  <c r="AA833" i="16" s="1"/>
  <c r="Z829" i="16"/>
  <c r="AA829" i="16" s="1"/>
  <c r="Z825" i="16"/>
  <c r="AA825" i="16" s="1"/>
  <c r="Z821" i="16"/>
  <c r="AA821" i="16" s="1"/>
  <c r="Z817" i="16"/>
  <c r="AA817" i="16" s="1"/>
  <c r="Z813" i="16"/>
  <c r="AA813" i="16" s="1"/>
  <c r="Z805" i="16"/>
  <c r="AA805" i="16" s="1"/>
  <c r="Z801" i="16"/>
  <c r="AA801" i="16" s="1"/>
  <c r="Z797" i="16"/>
  <c r="AA797" i="16" s="1"/>
  <c r="Z792" i="16"/>
  <c r="AA792" i="16" s="1"/>
  <c r="Z793" i="16"/>
  <c r="AA793" i="16" s="1"/>
  <c r="Z789" i="16"/>
  <c r="AA789" i="16" s="1"/>
  <c r="Z785" i="16"/>
  <c r="AA785" i="16" s="1"/>
  <c r="Z781" i="16"/>
  <c r="AA781" i="16" s="1"/>
  <c r="Z777" i="16"/>
  <c r="AA777" i="16" s="1"/>
  <c r="Z773" i="16"/>
  <c r="AA773" i="16" s="1"/>
  <c r="Z761" i="16"/>
  <c r="AA761" i="16" s="1"/>
  <c r="Z757" i="16"/>
  <c r="AA757" i="16" s="1"/>
  <c r="Z753" i="16"/>
  <c r="AA753" i="16" s="1"/>
  <c r="AA1088" i="16"/>
  <c r="AA1084" i="16"/>
  <c r="Z1076" i="16"/>
  <c r="AA1076" i="16" s="1"/>
  <c r="Z1072" i="16"/>
  <c r="AA1072" i="16" s="1"/>
  <c r="Z1068" i="16"/>
  <c r="AA1068" i="16" s="1"/>
  <c r="Z1064" i="16"/>
  <c r="AA1064" i="16" s="1"/>
  <c r="Z1060" i="16"/>
  <c r="AA1060" i="16" s="1"/>
  <c r="Z1056" i="16"/>
  <c r="AA1056" i="16" s="1"/>
  <c r="Z1052" i="16"/>
  <c r="AA1052" i="16" s="1"/>
  <c r="Z1048" i="16"/>
  <c r="AA1048" i="16" s="1"/>
  <c r="Z1032" i="16"/>
  <c r="AA1032" i="16" s="1"/>
  <c r="Z1028" i="16"/>
  <c r="AA1028" i="16" s="1"/>
  <c r="Z1024" i="16"/>
  <c r="AA1024" i="16" s="1"/>
  <c r="Z1020" i="16"/>
  <c r="AA1020" i="16" s="1"/>
  <c r="Z1016" i="16"/>
  <c r="AA1016" i="16" s="1"/>
  <c r="Z1012" i="16"/>
  <c r="AA1012" i="16" s="1"/>
  <c r="Z1008" i="16"/>
  <c r="AA1008" i="16" s="1"/>
  <c r="AB1008" i="16" s="1"/>
  <c r="Z1004" i="16"/>
  <c r="AA1004" i="16" s="1"/>
  <c r="Z1000" i="16"/>
  <c r="AA1000" i="16" s="1"/>
  <c r="Z996" i="16"/>
  <c r="AA996" i="16" s="1"/>
  <c r="Z992" i="16"/>
  <c r="AA992" i="16" s="1"/>
  <c r="Z988" i="16"/>
  <c r="AA988" i="16" s="1"/>
  <c r="Z984" i="16"/>
  <c r="AA984" i="16" s="1"/>
  <c r="Z980" i="16"/>
  <c r="AA980" i="16" s="1"/>
  <c r="Z976" i="16"/>
  <c r="AA976" i="16" s="1"/>
  <c r="Z972" i="16"/>
  <c r="AA972" i="16" s="1"/>
  <c r="Z968" i="16"/>
  <c r="AA968" i="16" s="1"/>
  <c r="Z964" i="16"/>
  <c r="AA964" i="16" s="1"/>
  <c r="Z960" i="16"/>
  <c r="AA960" i="16" s="1"/>
  <c r="Z956" i="16"/>
  <c r="AA956" i="16" s="1"/>
  <c r="Z952" i="16"/>
  <c r="AA952" i="16" s="1"/>
  <c r="Z948" i="16"/>
  <c r="AA948" i="16" s="1"/>
  <c r="Z944" i="16"/>
  <c r="AA944" i="16" s="1"/>
  <c r="Z940" i="16"/>
  <c r="AA940" i="16" s="1"/>
  <c r="Z936" i="16"/>
  <c r="AA936" i="16" s="1"/>
  <c r="Z932" i="16"/>
  <c r="AA932" i="16" s="1"/>
  <c r="Z928" i="16"/>
  <c r="AA928" i="16" s="1"/>
  <c r="Z924" i="16"/>
  <c r="AA924" i="16" s="1"/>
  <c r="Z920" i="16"/>
  <c r="AA920" i="16" s="1"/>
  <c r="Z916" i="16"/>
  <c r="AA916" i="16" s="1"/>
  <c r="Z912" i="16"/>
  <c r="AA912" i="16" s="1"/>
  <c r="Z908" i="16"/>
  <c r="AA908" i="16" s="1"/>
  <c r="Z904" i="16"/>
  <c r="AA904" i="16" s="1"/>
  <c r="Z900" i="16"/>
  <c r="AA900" i="16" s="1"/>
  <c r="Z896" i="16"/>
  <c r="AA896" i="16" s="1"/>
  <c r="Z892" i="16"/>
  <c r="AA892" i="16" s="1"/>
  <c r="Z888" i="16"/>
  <c r="AA888" i="16" s="1"/>
  <c r="Z884" i="16"/>
  <c r="AA884" i="16" s="1"/>
  <c r="Z880" i="16"/>
  <c r="AA880" i="16" s="1"/>
  <c r="Z876" i="16"/>
  <c r="AA876" i="16" s="1"/>
  <c r="Z872" i="16"/>
  <c r="AA872" i="16" s="1"/>
  <c r="Z868" i="16"/>
  <c r="AA868" i="16" s="1"/>
  <c r="Z860" i="16"/>
  <c r="AA860" i="16" s="1"/>
  <c r="Z856" i="16"/>
  <c r="AA856" i="16" s="1"/>
  <c r="Z852" i="16"/>
  <c r="AA852" i="16" s="1"/>
  <c r="Z848" i="16"/>
  <c r="AA848" i="16" s="1"/>
  <c r="Z844" i="16"/>
  <c r="AA844" i="16" s="1"/>
  <c r="Z840" i="16"/>
  <c r="AA840" i="16" s="1"/>
  <c r="Z836" i="16"/>
  <c r="AA836" i="16" s="1"/>
  <c r="Z832" i="16"/>
  <c r="AA832" i="16" s="1"/>
  <c r="Z828" i="16"/>
  <c r="AA828" i="16" s="1"/>
  <c r="Z824" i="16"/>
  <c r="AA824" i="16" s="1"/>
  <c r="Z820" i="16"/>
  <c r="AA820" i="16" s="1"/>
  <c r="Z816" i="16"/>
  <c r="AA816" i="16" s="1"/>
  <c r="Z812" i="16"/>
  <c r="AA812" i="16" s="1"/>
  <c r="Z808" i="16"/>
  <c r="AA808" i="16" s="1"/>
  <c r="Z804" i="16"/>
  <c r="AA804" i="16" s="1"/>
  <c r="Z800" i="16"/>
  <c r="AA800" i="16" s="1"/>
  <c r="Z796" i="16"/>
  <c r="AA796" i="16" s="1"/>
  <c r="Z788" i="16"/>
  <c r="AA788" i="16" s="1"/>
  <c r="Z784" i="16"/>
  <c r="AA784" i="16" s="1"/>
  <c r="Z780" i="16"/>
  <c r="AA780" i="16" s="1"/>
  <c r="Z776" i="16"/>
  <c r="AA776" i="16" s="1"/>
  <c r="Z760" i="16"/>
  <c r="AA760" i="16" s="1"/>
  <c r="Z756" i="16"/>
  <c r="AA756" i="16" s="1"/>
  <c r="Z752" i="16"/>
  <c r="AA752" i="16" s="1"/>
  <c r="Z1075" i="16"/>
  <c r="AA1075" i="16" s="1"/>
  <c r="Z1071" i="16"/>
  <c r="AA1071" i="16" s="1"/>
  <c r="Z1067" i="16"/>
  <c r="AA1067" i="16" s="1"/>
  <c r="Z1063" i="16"/>
  <c r="AA1063" i="16" s="1"/>
  <c r="Z1055" i="16"/>
  <c r="AA1055" i="16" s="1"/>
  <c r="Z1047" i="16"/>
  <c r="AA1047" i="16" s="1"/>
  <c r="Z975" i="16"/>
  <c r="AA975" i="16" s="1"/>
  <c r="Z971" i="16"/>
  <c r="AA971" i="16" s="1"/>
  <c r="Z967" i="16"/>
  <c r="AA967" i="16" s="1"/>
  <c r="Z951" i="16"/>
  <c r="AA951" i="16" s="1"/>
  <c r="Z947" i="16"/>
  <c r="AA947" i="16" s="1"/>
  <c r="Z943" i="16"/>
  <c r="AA943" i="16" s="1"/>
  <c r="Z935" i="16"/>
  <c r="AA935" i="16" s="1"/>
  <c r="Z915" i="16"/>
  <c r="AA915" i="16" s="1"/>
  <c r="Z911" i="16"/>
  <c r="AA911" i="16" s="1"/>
  <c r="Z903" i="16"/>
  <c r="AA903" i="16" s="1"/>
  <c r="Z899" i="16"/>
  <c r="AA899" i="16" s="1"/>
  <c r="Z891" i="16"/>
  <c r="AA891" i="16" s="1"/>
  <c r="Z887" i="16"/>
  <c r="AA887" i="16" s="1"/>
  <c r="Z879" i="16"/>
  <c r="AA879" i="16" s="1"/>
  <c r="Z875" i="16"/>
  <c r="AA875" i="16" s="1"/>
  <c r="Z871" i="16"/>
  <c r="AA871" i="16" s="1"/>
  <c r="Z867" i="16"/>
  <c r="AA867" i="16" s="1"/>
  <c r="Z863" i="16"/>
  <c r="AA863" i="16" s="1"/>
  <c r="Z855" i="16"/>
  <c r="AA855" i="16" s="1"/>
  <c r="Z851" i="16"/>
  <c r="AA851" i="16" s="1"/>
  <c r="Z843" i="16"/>
  <c r="AA843" i="16" s="1"/>
  <c r="Z839" i="16"/>
  <c r="AA839" i="16" s="1"/>
  <c r="Z831" i="16"/>
  <c r="AA831" i="16" s="1"/>
  <c r="Z827" i="16"/>
  <c r="AA827" i="16" s="1"/>
  <c r="Z819" i="16"/>
  <c r="AA819" i="16" s="1"/>
  <c r="Z815" i="16"/>
  <c r="AA815" i="16" s="1"/>
  <c r="Z811" i="16"/>
  <c r="AA811" i="16" s="1"/>
  <c r="Z803" i="16"/>
  <c r="AA803" i="16" s="1"/>
  <c r="Z799" i="16"/>
  <c r="AA799" i="16" s="1"/>
  <c r="Z795" i="16"/>
  <c r="AA795" i="16" s="1"/>
  <c r="Z787" i="16"/>
  <c r="AA787" i="16" s="1"/>
  <c r="Z783" i="16"/>
  <c r="AA783" i="16" s="1"/>
  <c r="Z779" i="16"/>
  <c r="AA779" i="16" s="1"/>
  <c r="Z775" i="16"/>
  <c r="AA775" i="16" s="1"/>
  <c r="Z759" i="16"/>
  <c r="AA759" i="16" s="1"/>
  <c r="Z755" i="16"/>
  <c r="AA755" i="16" s="1"/>
  <c r="Z751" i="16"/>
  <c r="AA751" i="16" s="1"/>
  <c r="Z1078" i="16"/>
  <c r="AA1078" i="16" s="1"/>
  <c r="Z1074" i="16"/>
  <c r="AA1074" i="16" s="1"/>
  <c r="Z1070" i="16"/>
  <c r="AA1070" i="16" s="1"/>
  <c r="Z1066" i="16"/>
  <c r="AA1066" i="16" s="1"/>
  <c r="Z1062" i="16"/>
  <c r="AA1062" i="16" s="1"/>
  <c r="Z1058" i="16"/>
  <c r="AA1058" i="16" s="1"/>
  <c r="Z1054" i="16"/>
  <c r="AA1054" i="16" s="1"/>
  <c r="Z1050" i="16"/>
  <c r="AA1050" i="16" s="1"/>
  <c r="Z1046" i="16"/>
  <c r="AA1046" i="16" s="1"/>
  <c r="Z1034" i="16"/>
  <c r="AA1034" i="16" s="1"/>
  <c r="Z1030" i="16"/>
  <c r="AA1030" i="16" s="1"/>
  <c r="Z1026" i="16"/>
  <c r="AA1026" i="16" s="1"/>
  <c r="Z1014" i="16"/>
  <c r="AA1014" i="16" s="1"/>
  <c r="Z1006" i="16"/>
  <c r="AA1006" i="16" s="1"/>
  <c r="Z1002" i="16"/>
  <c r="AA1002" i="16" s="1"/>
  <c r="Z994" i="16"/>
  <c r="AA994" i="16" s="1"/>
  <c r="Z990" i="16"/>
  <c r="AA990" i="16" s="1"/>
  <c r="Z986" i="16"/>
  <c r="AA986" i="16" s="1"/>
  <c r="Z982" i="16"/>
  <c r="AA982" i="16" s="1"/>
  <c r="Z978" i="16"/>
  <c r="AA978" i="16" s="1"/>
  <c r="Z974" i="16"/>
  <c r="AA974" i="16" s="1"/>
  <c r="Z970" i="16"/>
  <c r="AA970" i="16" s="1"/>
  <c r="Z966" i="16"/>
  <c r="AA966" i="16" s="1"/>
  <c r="Z962" i="16"/>
  <c r="AA962" i="16" s="1"/>
  <c r="Z958" i="16"/>
  <c r="AA958" i="16" s="1"/>
  <c r="Z954" i="16"/>
  <c r="AA954" i="16" s="1"/>
  <c r="Z950" i="16"/>
  <c r="AA950" i="16" s="1"/>
  <c r="Z946" i="16"/>
  <c r="AA946" i="16" s="1"/>
  <c r="Z942" i="16"/>
  <c r="AA942" i="16" s="1"/>
  <c r="Z938" i="16"/>
  <c r="AA938" i="16" s="1"/>
  <c r="Z934" i="16"/>
  <c r="AA934" i="16" s="1"/>
  <c r="Z930" i="16"/>
  <c r="AA930" i="16" s="1"/>
  <c r="Z926" i="16"/>
  <c r="AA926" i="16" s="1"/>
  <c r="Z918" i="16"/>
  <c r="AA918" i="16" s="1"/>
  <c r="Z914" i="16"/>
  <c r="AA914" i="16" s="1"/>
  <c r="Z910" i="16"/>
  <c r="AA910" i="16" s="1"/>
  <c r="Z906" i="16"/>
  <c r="AA906" i="16" s="1"/>
  <c r="Z902" i="16"/>
  <c r="AA902" i="16" s="1"/>
  <c r="Z898" i="16"/>
  <c r="AA898" i="16" s="1"/>
  <c r="Z894" i="16"/>
  <c r="AA894" i="16" s="1"/>
  <c r="Z890" i="16"/>
  <c r="AA890" i="16" s="1"/>
  <c r="Z886" i="16"/>
  <c r="AA886" i="16" s="1"/>
  <c r="Z882" i="16"/>
  <c r="AA882" i="16" s="1"/>
  <c r="Z878" i="16"/>
  <c r="AA878" i="16" s="1"/>
  <c r="Z874" i="16"/>
  <c r="AA874" i="16" s="1"/>
  <c r="Z870" i="16"/>
  <c r="AA870" i="16" s="1"/>
  <c r="Z866" i="16"/>
  <c r="AA866" i="16" s="1"/>
  <c r="Z862" i="16"/>
  <c r="AA862" i="16" s="1"/>
  <c r="Z858" i="16"/>
  <c r="AA858" i="16" s="1"/>
  <c r="Z854" i="16"/>
  <c r="AA854" i="16" s="1"/>
  <c r="Z850" i="16"/>
  <c r="AA850" i="16" s="1"/>
  <c r="Z846" i="16"/>
  <c r="AA846" i="16" s="1"/>
  <c r="Z842" i="16"/>
  <c r="AA842" i="16" s="1"/>
  <c r="Z838" i="16"/>
  <c r="AA838" i="16" s="1"/>
  <c r="Z834" i="16"/>
  <c r="AA834" i="16" s="1"/>
  <c r="Z830" i="16"/>
  <c r="AA830" i="16" s="1"/>
  <c r="Z826" i="16"/>
  <c r="AA826" i="16" s="1"/>
  <c r="Z822" i="16"/>
  <c r="AA822" i="16" s="1"/>
  <c r="Z818" i="16"/>
  <c r="AA818" i="16" s="1"/>
  <c r="Z814" i="16"/>
  <c r="AA814" i="16" s="1"/>
  <c r="Z806" i="16"/>
  <c r="AA806" i="16" s="1"/>
  <c r="Z802" i="16"/>
  <c r="AA802" i="16" s="1"/>
  <c r="Z798" i="16"/>
  <c r="AA798" i="16" s="1"/>
  <c r="Z794" i="16"/>
  <c r="AA794" i="16" s="1"/>
  <c r="Z790" i="16"/>
  <c r="AA790" i="16" s="1"/>
  <c r="Z786" i="16"/>
  <c r="AA786" i="16" s="1"/>
  <c r="Z782" i="16"/>
  <c r="AA782" i="16" s="1"/>
  <c r="Z778" i="16"/>
  <c r="AA778" i="16" s="1"/>
  <c r="Z774" i="16"/>
  <c r="AA774" i="16" s="1"/>
  <c r="Z770" i="16"/>
  <c r="AA770" i="16" s="1"/>
  <c r="AB770" i="16" s="1"/>
  <c r="AH770" i="16" s="1"/>
  <c r="Z766" i="16"/>
  <c r="AA766" i="16" s="1"/>
  <c r="Z762" i="16"/>
  <c r="AA762" i="16" s="1"/>
  <c r="Z758" i="16"/>
  <c r="AA758" i="16" s="1"/>
  <c r="Z754" i="16"/>
  <c r="AA754" i="16" s="1"/>
  <c r="Z750" i="16"/>
  <c r="AA750" i="16" s="1"/>
  <c r="Y746" i="16"/>
  <c r="Z746" i="16" s="1"/>
  <c r="AA746" i="16" s="1"/>
  <c r="J86" i="7"/>
  <c r="H86" i="7"/>
  <c r="D19" i="7"/>
  <c r="D17" i="7"/>
  <c r="D15" i="7"/>
  <c r="D14" i="7"/>
  <c r="D13" i="7"/>
  <c r="D12" i="7"/>
  <c r="D11" i="7"/>
  <c r="D10" i="7"/>
  <c r="AB921" i="16" l="1"/>
  <c r="AB1081" i="16"/>
  <c r="AB990" i="16"/>
  <c r="AB1020" i="16"/>
  <c r="AB1014" i="16"/>
  <c r="AB1028" i="16"/>
  <c r="AB766" i="16"/>
  <c r="AB924" i="16"/>
  <c r="AK770" i="16"/>
  <c r="AA1094" i="16"/>
  <c r="AA1090" i="16"/>
  <c r="AA1102" i="16"/>
  <c r="AA1098" i="16"/>
  <c r="AA1086" i="16"/>
  <c r="AA1114" i="16"/>
  <c r="AA1106" i="16"/>
  <c r="AA1110" i="16"/>
  <c r="AB986" i="16"/>
  <c r="Z749" i="16"/>
  <c r="AB750" i="16"/>
  <c r="AB962" i="16"/>
  <c r="AB1000" i="16"/>
  <c r="AB1016" i="16"/>
  <c r="AF1016" i="16" s="1"/>
  <c r="AK1016" i="16" s="1"/>
  <c r="AB982" i="16"/>
  <c r="AB926" i="16"/>
  <c r="AB958" i="16"/>
  <c r="AB930" i="16"/>
  <c r="AH930" i="16" s="1"/>
  <c r="AK930" i="16" s="1"/>
  <c r="AB1012" i="16"/>
  <c r="AB994" i="16"/>
  <c r="AJ994" i="16" s="1"/>
  <c r="AK994" i="16" s="1"/>
  <c r="AB1026" i="16"/>
  <c r="AC1026" i="16" s="1"/>
  <c r="AK1026" i="16" s="1"/>
  <c r="AB1006" i="16"/>
  <c r="AC1006" i="16" s="1"/>
  <c r="AK1006" i="16" s="1"/>
  <c r="AB1034" i="16"/>
  <c r="AB754" i="16"/>
  <c r="AB802" i="16"/>
  <c r="AB786" i="16"/>
  <c r="AB822" i="16"/>
  <c r="AB838" i="16"/>
  <c r="AD838" i="16" s="1"/>
  <c r="AK838" i="16" s="1"/>
  <c r="AB854" i="16"/>
  <c r="AI854" i="16" s="1"/>
  <c r="AK854" i="16" s="1"/>
  <c r="AB830" i="16"/>
  <c r="AE830" i="16" s="1"/>
  <c r="AK830" i="16" s="1"/>
  <c r="AB870" i="16"/>
  <c r="AB886" i="16"/>
  <c r="AD886" i="16" s="1"/>
  <c r="AK886" i="16" s="1"/>
  <c r="AB902" i="16"/>
  <c r="AE902" i="16" s="1"/>
  <c r="AK902" i="16" s="1"/>
  <c r="AB938" i="16"/>
  <c r="AD938" i="16" s="1"/>
  <c r="AK938" i="16" s="1"/>
  <c r="AB918" i="16"/>
  <c r="AD918" i="16" s="1"/>
  <c r="AK918" i="16" s="1"/>
  <c r="AB954" i="16"/>
  <c r="AD954" i="16" s="1"/>
  <c r="AK954" i="16" s="1"/>
  <c r="AB970" i="16"/>
  <c r="AD970" i="16" s="1"/>
  <c r="AK970" i="16" s="1"/>
  <c r="AB1058" i="16"/>
  <c r="AD1058" i="16" s="1"/>
  <c r="AK1058" i="16" s="1"/>
  <c r="AB1050" i="16"/>
  <c r="AD1050" i="16" s="1"/>
  <c r="AK1050" i="16" s="1"/>
  <c r="AJ962" i="16"/>
  <c r="AK962" i="16" s="1"/>
  <c r="AB751" i="16"/>
  <c r="AB756" i="16"/>
  <c r="AJ1000" i="16"/>
  <c r="AK1000" i="16" s="1"/>
  <c r="AB757" i="16"/>
  <c r="AG921" i="16"/>
  <c r="AJ1081" i="16"/>
  <c r="AK1081" i="16" s="1"/>
  <c r="AB763" i="16"/>
  <c r="AB762" i="16"/>
  <c r="AD982" i="16"/>
  <c r="AK982" i="16" s="1"/>
  <c r="AB755" i="16"/>
  <c r="AB760" i="16"/>
  <c r="AD760" i="16" s="1"/>
  <c r="AK760" i="16" s="1"/>
  <c r="AC924" i="16"/>
  <c r="AJ1020" i="16"/>
  <c r="AK1020" i="16" s="1"/>
  <c r="AB761" i="16"/>
  <c r="AB768" i="16"/>
  <c r="AI768" i="16" s="1"/>
  <c r="AK768" i="16" s="1"/>
  <c r="AB767" i="16"/>
  <c r="AD802" i="16"/>
  <c r="AK802" i="16" s="1"/>
  <c r="AD870" i="16"/>
  <c r="AK870" i="16" s="1"/>
  <c r="AD986" i="16"/>
  <c r="AK986" i="16" s="1"/>
  <c r="AC1034" i="16"/>
  <c r="AK1034" i="16" s="1"/>
  <c r="AB1074" i="16"/>
  <c r="AB759" i="16"/>
  <c r="AD759" i="16" s="1"/>
  <c r="AK759" i="16" s="1"/>
  <c r="AC1008" i="16"/>
  <c r="AK1008" i="16" s="1"/>
  <c r="AB1010" i="16"/>
  <c r="AB765" i="16"/>
  <c r="AD822" i="16"/>
  <c r="AK822" i="16" s="1"/>
  <c r="AB758" i="16"/>
  <c r="AF926" i="16"/>
  <c r="AK926" i="16" s="1"/>
  <c r="AD958" i="16"/>
  <c r="AK958" i="16" s="1"/>
  <c r="AJ990" i="16"/>
  <c r="AK990" i="16" s="1"/>
  <c r="AF1014" i="16"/>
  <c r="AK1014" i="16" s="1"/>
  <c r="AB752" i="16"/>
  <c r="AJ1012" i="16"/>
  <c r="AK1012" i="16" s="1"/>
  <c r="AC1028" i="16"/>
  <c r="AK1028" i="16" s="1"/>
  <c r="AB753" i="16"/>
  <c r="AB769" i="16"/>
  <c r="AB764" i="16"/>
  <c r="AB834" i="16"/>
  <c r="AB778" i="16"/>
  <c r="AB794" i="16"/>
  <c r="AB814" i="16"/>
  <c r="AB846" i="16"/>
  <c r="AB862" i="16"/>
  <c r="AB878" i="16"/>
  <c r="AB894" i="16"/>
  <c r="AB910" i="16"/>
  <c r="AB946" i="16"/>
  <c r="AB978" i="16"/>
  <c r="AB1066" i="16"/>
  <c r="AB779" i="16"/>
  <c r="AB799" i="16"/>
  <c r="AB819" i="16"/>
  <c r="AB843" i="16"/>
  <c r="AB867" i="16"/>
  <c r="AB887" i="16"/>
  <c r="AB911" i="16"/>
  <c r="AB947" i="16"/>
  <c r="AB975" i="16"/>
  <c r="AB1067" i="16"/>
  <c r="AB784" i="16"/>
  <c r="AB804" i="16"/>
  <c r="AB820" i="16"/>
  <c r="AB836" i="16"/>
  <c r="AB852" i="16"/>
  <c r="AB872" i="16"/>
  <c r="AB888" i="16"/>
  <c r="AB904" i="16"/>
  <c r="AB920" i="16"/>
  <c r="AB936" i="16"/>
  <c r="AB952" i="16"/>
  <c r="AB968" i="16"/>
  <c r="AB984" i="16"/>
  <c r="AB1032" i="16"/>
  <c r="AB1060" i="16"/>
  <c r="AD1060" i="16" s="1"/>
  <c r="AK1060" i="16" s="1"/>
  <c r="AB1076" i="16"/>
  <c r="AB781" i="16"/>
  <c r="AB792" i="16"/>
  <c r="AB813" i="16"/>
  <c r="AB829" i="16"/>
  <c r="AB845" i="16"/>
  <c r="AB861" i="16"/>
  <c r="AB873" i="16"/>
  <c r="AB889" i="16"/>
  <c r="AB905" i="16"/>
  <c r="AB937" i="16"/>
  <c r="AB953" i="16"/>
  <c r="AB969" i="16"/>
  <c r="AB989" i="16"/>
  <c r="AB1005" i="16"/>
  <c r="AB1021" i="16"/>
  <c r="AB1049" i="16"/>
  <c r="AB1065" i="16"/>
  <c r="AB922" i="16"/>
  <c r="AB771" i="16"/>
  <c r="AB1080" i="16"/>
  <c r="AB859" i="16"/>
  <c r="AB907" i="16"/>
  <c r="AB939" i="16"/>
  <c r="AB979" i="16"/>
  <c r="AB991" i="16"/>
  <c r="AB1003" i="16"/>
  <c r="AB1023" i="16"/>
  <c r="AB1059" i="16"/>
  <c r="AB782" i="16"/>
  <c r="AB798" i="16"/>
  <c r="AB818" i="16"/>
  <c r="AB850" i="16"/>
  <c r="AB866" i="16"/>
  <c r="AB882" i="16"/>
  <c r="AB898" i="16"/>
  <c r="AB914" i="16"/>
  <c r="AB934" i="16"/>
  <c r="AB950" i="16"/>
  <c r="AB966" i="16"/>
  <c r="AB1002" i="16"/>
  <c r="AB1030" i="16"/>
  <c r="AB1054" i="16"/>
  <c r="AB1070" i="16"/>
  <c r="AB783" i="16"/>
  <c r="AB803" i="16"/>
  <c r="AB827" i="16"/>
  <c r="AB851" i="16"/>
  <c r="AB871" i="16"/>
  <c r="AB891" i="16"/>
  <c r="AB915" i="16"/>
  <c r="AB951" i="16"/>
  <c r="AB1047" i="16"/>
  <c r="AB1071" i="16"/>
  <c r="AB788" i="16"/>
  <c r="AB808" i="16"/>
  <c r="AB824" i="16"/>
  <c r="AB840" i="16"/>
  <c r="AB856" i="16"/>
  <c r="AB876" i="16"/>
  <c r="AB892" i="16"/>
  <c r="AB908" i="16"/>
  <c r="AB940" i="16"/>
  <c r="AB956" i="16"/>
  <c r="AB972" i="16"/>
  <c r="AB988" i="16"/>
  <c r="AB1004" i="16"/>
  <c r="AB1048" i="16"/>
  <c r="AD1048" i="16" s="1"/>
  <c r="AK1048" i="16" s="1"/>
  <c r="AB1064" i="16"/>
  <c r="AB785" i="16"/>
  <c r="AB797" i="16"/>
  <c r="AB817" i="16"/>
  <c r="AB833" i="16"/>
  <c r="AB849" i="16"/>
  <c r="AB864" i="16"/>
  <c r="AB877" i="16"/>
  <c r="AB893" i="16"/>
  <c r="AB909" i="16"/>
  <c r="AB925" i="16"/>
  <c r="AB941" i="16"/>
  <c r="AB957" i="16"/>
  <c r="AB973" i="16"/>
  <c r="AB993" i="16"/>
  <c r="AB1009" i="16"/>
  <c r="AB1025" i="16"/>
  <c r="AB1053" i="16"/>
  <c r="AB1069" i="16"/>
  <c r="AB998" i="16"/>
  <c r="AB823" i="16"/>
  <c r="AB883" i="16"/>
  <c r="AB919" i="16"/>
  <c r="AB807" i="16"/>
  <c r="AB955" i="16"/>
  <c r="AB987" i="16"/>
  <c r="AB923" i="16"/>
  <c r="AB1007" i="16"/>
  <c r="AB1027" i="16"/>
  <c r="AB1079" i="16"/>
  <c r="AB1015" i="16"/>
  <c r="AB787" i="16"/>
  <c r="AB811" i="16"/>
  <c r="AB831" i="16"/>
  <c r="AB855" i="16"/>
  <c r="AB875" i="16"/>
  <c r="AB899" i="16"/>
  <c r="AB935" i="16"/>
  <c r="AB967" i="16"/>
  <c r="AB1055" i="16"/>
  <c r="AB1075" i="16"/>
  <c r="AB776" i="16"/>
  <c r="AB796" i="16"/>
  <c r="AB812" i="16"/>
  <c r="AB828" i="16"/>
  <c r="AB844" i="16"/>
  <c r="AB860" i="16"/>
  <c r="AB880" i="16"/>
  <c r="AB896" i="16"/>
  <c r="AB912" i="16"/>
  <c r="AB928" i="16"/>
  <c r="AB944" i="16"/>
  <c r="AB960" i="16"/>
  <c r="AB976" i="16"/>
  <c r="AB992" i="16"/>
  <c r="AB1024" i="16"/>
  <c r="AB1052" i="16"/>
  <c r="AD1052" i="16" s="1"/>
  <c r="AK1052" i="16" s="1"/>
  <c r="AB1068" i="16"/>
  <c r="AB773" i="16"/>
  <c r="AB789" i="16"/>
  <c r="AB801" i="16"/>
  <c r="AB821" i="16"/>
  <c r="AB837" i="16"/>
  <c r="AB853" i="16"/>
  <c r="AB865" i="16"/>
  <c r="AB881" i="16"/>
  <c r="AB897" i="16"/>
  <c r="AB913" i="16"/>
  <c r="AB929" i="16"/>
  <c r="AB945" i="16"/>
  <c r="AB961" i="16"/>
  <c r="AB977" i="16"/>
  <c r="AB997" i="16"/>
  <c r="AB1013" i="16"/>
  <c r="AB1033" i="16"/>
  <c r="AB1057" i="16"/>
  <c r="AB1073" i="16"/>
  <c r="AB772" i="16"/>
  <c r="AB791" i="16"/>
  <c r="AB835" i="16"/>
  <c r="AB927" i="16"/>
  <c r="AB959" i="16"/>
  <c r="AB995" i="16"/>
  <c r="AB1011" i="16"/>
  <c r="AB1031" i="16"/>
  <c r="AB774" i="16"/>
  <c r="AB790" i="16"/>
  <c r="AB806" i="16"/>
  <c r="AB826" i="16"/>
  <c r="AB842" i="16"/>
  <c r="AB858" i="16"/>
  <c r="AB874" i="16"/>
  <c r="AB890" i="16"/>
  <c r="AB906" i="16"/>
  <c r="AB942" i="16"/>
  <c r="AB974" i="16"/>
  <c r="AB1046" i="16"/>
  <c r="AB1062" i="16"/>
  <c r="AB1078" i="16"/>
  <c r="AB775" i="16"/>
  <c r="AB795" i="16"/>
  <c r="AB815" i="16"/>
  <c r="AB839" i="16"/>
  <c r="AB863" i="16"/>
  <c r="AB879" i="16"/>
  <c r="AB903" i="16"/>
  <c r="AB943" i="16"/>
  <c r="AB971" i="16"/>
  <c r="AB1063" i="16"/>
  <c r="AB780" i="16"/>
  <c r="AB800" i="16"/>
  <c r="AB816" i="16"/>
  <c r="AB832" i="16"/>
  <c r="AB848" i="16"/>
  <c r="AB868" i="16"/>
  <c r="AB884" i="16"/>
  <c r="AB900" i="16"/>
  <c r="AB916" i="16"/>
  <c r="AB932" i="16"/>
  <c r="AB948" i="16"/>
  <c r="AB964" i="16"/>
  <c r="AJ964" i="16" s="1"/>
  <c r="AB980" i="16"/>
  <c r="AB996" i="16"/>
  <c r="AG996" i="16" s="1"/>
  <c r="AK996" i="16" s="1"/>
  <c r="AB1056" i="16"/>
  <c r="AD1056" i="16" s="1"/>
  <c r="AK1056" i="16" s="1"/>
  <c r="AB1072" i="16"/>
  <c r="AB777" i="16"/>
  <c r="AB793" i="16"/>
  <c r="AB805" i="16"/>
  <c r="AB825" i="16"/>
  <c r="AB841" i="16"/>
  <c r="AB857" i="16"/>
  <c r="AB869" i="16"/>
  <c r="AB885" i="16"/>
  <c r="AB901" i="16"/>
  <c r="AB917" i="16"/>
  <c r="AB933" i="16"/>
  <c r="AB949" i="16"/>
  <c r="AB965" i="16"/>
  <c r="AB985" i="16"/>
  <c r="AB1001" i="16"/>
  <c r="AB1017" i="16"/>
  <c r="AB1045" i="16"/>
  <c r="AB1061" i="16"/>
  <c r="AB1077" i="16"/>
  <c r="AB1018" i="16"/>
  <c r="AB847" i="16"/>
  <c r="AB895" i="16"/>
  <c r="AB931" i="16"/>
  <c r="AB963" i="16"/>
  <c r="AB983" i="16"/>
  <c r="AB999" i="16"/>
  <c r="AB1019" i="16"/>
  <c r="AF1019" i="16" s="1"/>
  <c r="AK1019" i="16" s="1"/>
  <c r="AB1051" i="16"/>
  <c r="AJ1032" i="16"/>
  <c r="AK1032" i="16" s="1"/>
  <c r="Z747" i="16"/>
  <c r="AA747" i="16" s="1"/>
  <c r="Z748" i="16"/>
  <c r="AA748" i="16" s="1"/>
  <c r="AA749" i="16"/>
  <c r="AB1117" i="16" s="1"/>
  <c r="AO61" i="15"/>
  <c r="AO28" i="15"/>
  <c r="AO29" i="15"/>
  <c r="AO30" i="15"/>
  <c r="AO31" i="15"/>
  <c r="AO32" i="15"/>
  <c r="AO33" i="15"/>
  <c r="AO34" i="15"/>
  <c r="AO35" i="15"/>
  <c r="AO36" i="15"/>
  <c r="AO37" i="15"/>
  <c r="AO38" i="15"/>
  <c r="AO39" i="15"/>
  <c r="AO40" i="15"/>
  <c r="AO41" i="15"/>
  <c r="AO42" i="15"/>
  <c r="AO43" i="15"/>
  <c r="AO44" i="15"/>
  <c r="AO45" i="15"/>
  <c r="AO46" i="15"/>
  <c r="AO47" i="15"/>
  <c r="AO48" i="15"/>
  <c r="AO49" i="15"/>
  <c r="AO50" i="15"/>
  <c r="AO51" i="15"/>
  <c r="AO52" i="15"/>
  <c r="AO53" i="15"/>
  <c r="AO54" i="15"/>
  <c r="AO55" i="15"/>
  <c r="AO56" i="15"/>
  <c r="AO57" i="15"/>
  <c r="AO58" i="15"/>
  <c r="AO59" i="15"/>
  <c r="AO60" i="15"/>
  <c r="AO62" i="15"/>
  <c r="AO63" i="15"/>
  <c r="AO64" i="15"/>
  <c r="AO65" i="15"/>
  <c r="AO66" i="15"/>
  <c r="AO67" i="15"/>
  <c r="AO68" i="15"/>
  <c r="AO69" i="15"/>
  <c r="AO70" i="15"/>
  <c r="AO71" i="15"/>
  <c r="AO72" i="15"/>
  <c r="AO73" i="15"/>
  <c r="AO74" i="15"/>
  <c r="AO75" i="15"/>
  <c r="AO76" i="15"/>
  <c r="AO77" i="15"/>
  <c r="AO78" i="15"/>
  <c r="AO79" i="15"/>
  <c r="AO80" i="15"/>
  <c r="AO81" i="15"/>
  <c r="AO82" i="15"/>
  <c r="AO83" i="15"/>
  <c r="AO27" i="15"/>
  <c r="AB1110" i="16" l="1"/>
  <c r="AI1110" i="16" s="1"/>
  <c r="AK1110" i="16" s="1"/>
  <c r="AK921" i="16"/>
  <c r="AK924" i="16"/>
  <c r="AB1115" i="16"/>
  <c r="AE1115" i="16" s="1"/>
  <c r="AK1115" i="16" s="1"/>
  <c r="AB1106" i="16"/>
  <c r="AG1106" i="16" s="1"/>
  <c r="AK1106" i="16" s="1"/>
  <c r="AB1102" i="16"/>
  <c r="AD1102" i="16" s="1"/>
  <c r="AK1102" i="16" s="1"/>
  <c r="AB1114" i="16"/>
  <c r="AI1114" i="16" s="1"/>
  <c r="AK1114" i="16" s="1"/>
  <c r="AB1099" i="16"/>
  <c r="AH1099" i="16" s="1"/>
  <c r="AK1099" i="16" s="1"/>
  <c r="AB1094" i="16"/>
  <c r="AB1098" i="16"/>
  <c r="AD1098" i="16" s="1"/>
  <c r="AK1098" i="16" s="1"/>
  <c r="AB1090" i="16"/>
  <c r="AB1111" i="16"/>
  <c r="AF1111" i="16" s="1"/>
  <c r="AK1111" i="16" s="1"/>
  <c r="AB1108" i="16"/>
  <c r="AD1108" i="16" s="1"/>
  <c r="AK1108" i="16" s="1"/>
  <c r="AB1086" i="16"/>
  <c r="AI1086" i="16" s="1"/>
  <c r="AK1086" i="16" s="1"/>
  <c r="AB1088" i="16"/>
  <c r="AB1107" i="16"/>
  <c r="AD1107" i="16" s="1"/>
  <c r="AK1107" i="16" s="1"/>
  <c r="AB1103" i="16"/>
  <c r="AD1103" i="16" s="1"/>
  <c r="AK1103" i="16" s="1"/>
  <c r="AB1101" i="16"/>
  <c r="AD1101" i="16" s="1"/>
  <c r="AK1101" i="16" s="1"/>
  <c r="AB1100" i="16"/>
  <c r="AB1109" i="16"/>
  <c r="AI1109" i="16" s="1"/>
  <c r="AK1109" i="16" s="1"/>
  <c r="AB1097" i="16"/>
  <c r="AB1095" i="16"/>
  <c r="AH1095" i="16" s="1"/>
  <c r="AK1095" i="16" s="1"/>
  <c r="AB1091" i="16"/>
  <c r="AB1087" i="16"/>
  <c r="AB1104" i="16"/>
  <c r="AD1104" i="16" s="1"/>
  <c r="AK1104" i="16" s="1"/>
  <c r="AB1112" i="16"/>
  <c r="AF1112" i="16" s="1"/>
  <c r="AK1112" i="16" s="1"/>
  <c r="AB1092" i="16"/>
  <c r="AB1082" i="16"/>
  <c r="AB1085" i="16"/>
  <c r="AH1085" i="16" s="1"/>
  <c r="AK1085" i="16" s="1"/>
  <c r="AB1113" i="16"/>
  <c r="AF1113" i="16" s="1"/>
  <c r="AK1113" i="16" s="1"/>
  <c r="AB1096" i="16"/>
  <c r="AB1105" i="16"/>
  <c r="AG1105" i="16" s="1"/>
  <c r="AK1105" i="16" s="1"/>
  <c r="AB1089" i="16"/>
  <c r="AB1084" i="16"/>
  <c r="AB1116" i="16"/>
  <c r="AI1116" i="16" s="1"/>
  <c r="AK1116" i="16" s="1"/>
  <c r="AB1083" i="16"/>
  <c r="AB1093" i="16"/>
  <c r="AD1093" i="16" s="1"/>
  <c r="AK1093" i="16" s="1"/>
  <c r="AJ1117" i="16"/>
  <c r="AI1117" i="16"/>
  <c r="AG1117" i="16"/>
  <c r="AF1117" i="16"/>
  <c r="AH1117" i="16"/>
  <c r="AE1117" i="16"/>
  <c r="AC1117" i="16"/>
  <c r="AD1117" i="16"/>
  <c r="AB748" i="16"/>
  <c r="AJ748" i="16" s="1"/>
  <c r="AK748" i="16" s="1"/>
  <c r="AB746" i="16"/>
  <c r="AD983" i="16"/>
  <c r="AK983" i="16" s="1"/>
  <c r="AC963" i="16"/>
  <c r="AK963" i="16" s="1"/>
  <c r="AC1018" i="16"/>
  <c r="AK1018" i="16" s="1"/>
  <c r="AJ1017" i="16"/>
  <c r="AK1017" i="16" s="1"/>
  <c r="AD949" i="16"/>
  <c r="AK949" i="16" s="1"/>
  <c r="AI885" i="16"/>
  <c r="AH885" i="16"/>
  <c r="AF885" i="16"/>
  <c r="AG885" i="16"/>
  <c r="AG1072" i="16"/>
  <c r="AK1072" i="16" s="1"/>
  <c r="AG900" i="16"/>
  <c r="AK900" i="16" s="1"/>
  <c r="AD832" i="16"/>
  <c r="AK832" i="16" s="1"/>
  <c r="AH1063" i="16"/>
  <c r="AK1063" i="16" s="1"/>
  <c r="AD879" i="16"/>
  <c r="AK879" i="16" s="1"/>
  <c r="AD1046" i="16"/>
  <c r="AK1046" i="16" s="1"/>
  <c r="AD890" i="16"/>
  <c r="AK890" i="16" s="1"/>
  <c r="AD826" i="16"/>
  <c r="AK826" i="16" s="1"/>
  <c r="AH1031" i="16"/>
  <c r="AK1031" i="16" s="1"/>
  <c r="AI927" i="16"/>
  <c r="AK927" i="16" s="1"/>
  <c r="AD1073" i="16"/>
  <c r="AK1073" i="16" s="1"/>
  <c r="AJ997" i="16"/>
  <c r="AK997" i="16" s="1"/>
  <c r="AH929" i="16"/>
  <c r="AD865" i="16"/>
  <c r="AK865" i="16" s="1"/>
  <c r="AG801" i="16"/>
  <c r="AK801" i="16" s="1"/>
  <c r="AC960" i="16"/>
  <c r="AK960" i="16" s="1"/>
  <c r="AE896" i="16"/>
  <c r="AG896" i="16"/>
  <c r="AH896" i="16"/>
  <c r="AF896" i="16"/>
  <c r="AI896" i="16"/>
  <c r="AG828" i="16"/>
  <c r="AK828" i="16" s="1"/>
  <c r="AH1075" i="16"/>
  <c r="AF1075" i="16"/>
  <c r="AI1075" i="16"/>
  <c r="AD899" i="16"/>
  <c r="AK899" i="16" s="1"/>
  <c r="AJ1027" i="16"/>
  <c r="AK1027" i="16" s="1"/>
  <c r="AJ955" i="16"/>
  <c r="AJ823" i="16"/>
  <c r="AK823" i="16" s="1"/>
  <c r="AJ1025" i="16"/>
  <c r="AK1025" i="16" s="1"/>
  <c r="AD957" i="16"/>
  <c r="AK957" i="16" s="1"/>
  <c r="AD893" i="16"/>
  <c r="AK893" i="16" s="1"/>
  <c r="AD833" i="16"/>
  <c r="AK833" i="16" s="1"/>
  <c r="AD972" i="16"/>
  <c r="AK972" i="16" s="1"/>
  <c r="AD892" i="16"/>
  <c r="AK892" i="16" s="1"/>
  <c r="AC824" i="16"/>
  <c r="AK824" i="16" s="1"/>
  <c r="AD1047" i="16"/>
  <c r="AK1047" i="16" s="1"/>
  <c r="AI871" i="16"/>
  <c r="AK871" i="16" s="1"/>
  <c r="AG783" i="16"/>
  <c r="AK783" i="16" s="1"/>
  <c r="AD1002" i="16"/>
  <c r="AK1002" i="16" s="1"/>
  <c r="AD914" i="16"/>
  <c r="AK914" i="16" s="1"/>
  <c r="AD1059" i="16"/>
  <c r="AK1059" i="16" s="1"/>
  <c r="AJ979" i="16"/>
  <c r="AK979" i="16" s="1"/>
  <c r="AI1080" i="16"/>
  <c r="AK1080" i="16" s="1"/>
  <c r="AD1049" i="16"/>
  <c r="AK1049" i="16" s="1"/>
  <c r="AG969" i="16"/>
  <c r="AD889" i="16"/>
  <c r="AK889" i="16" s="1"/>
  <c r="AI829" i="16"/>
  <c r="AK829" i="16" s="1"/>
  <c r="AG1076" i="16"/>
  <c r="AK1076" i="16" s="1"/>
  <c r="AD968" i="16"/>
  <c r="AK968" i="16" s="1"/>
  <c r="AD904" i="16"/>
  <c r="AK904" i="16" s="1"/>
  <c r="AC836" i="16"/>
  <c r="AK836" i="16" s="1"/>
  <c r="AG887" i="16"/>
  <c r="AK887" i="16" s="1"/>
  <c r="AD946" i="16"/>
  <c r="AK946" i="16" s="1"/>
  <c r="AG758" i="16"/>
  <c r="AK758" i="16" s="1"/>
  <c r="AF767" i="16"/>
  <c r="AK767" i="16" s="1"/>
  <c r="AG762" i="16"/>
  <c r="AK762" i="16" s="1"/>
  <c r="AK964" i="16"/>
  <c r="AD1045" i="16"/>
  <c r="AK1045" i="16" s="1"/>
  <c r="AD1051" i="16"/>
  <c r="AK1051" i="16" s="1"/>
  <c r="AJ931" i="16"/>
  <c r="AF1077" i="16"/>
  <c r="AK1077" i="16" s="1"/>
  <c r="AC1001" i="16"/>
  <c r="AK1001" i="16" s="1"/>
  <c r="AD933" i="16"/>
  <c r="AD869" i="16"/>
  <c r="AK869" i="16" s="1"/>
  <c r="AG805" i="16"/>
  <c r="AK805" i="16" s="1"/>
  <c r="AE948" i="16"/>
  <c r="AH884" i="16"/>
  <c r="AI884" i="16"/>
  <c r="AE884" i="16"/>
  <c r="AF884" i="16"/>
  <c r="AG884" i="16"/>
  <c r="AD816" i="16"/>
  <c r="AK816" i="16" s="1"/>
  <c r="AE971" i="16"/>
  <c r="AK971" i="16" s="1"/>
  <c r="AD863" i="16"/>
  <c r="AK863" i="16" s="1"/>
  <c r="AD974" i="16"/>
  <c r="AK974" i="16" s="1"/>
  <c r="AD874" i="16"/>
  <c r="AK874" i="16" s="1"/>
  <c r="AF806" i="16"/>
  <c r="AK806" i="16" s="1"/>
  <c r="AD1011" i="16"/>
  <c r="AK1011" i="16" s="1"/>
  <c r="AJ835" i="16"/>
  <c r="AK835" i="16" s="1"/>
  <c r="AD1057" i="16"/>
  <c r="AK1057" i="16" s="1"/>
  <c r="AD977" i="16"/>
  <c r="AK977" i="16" s="1"/>
  <c r="AG913" i="16"/>
  <c r="AK913" i="16" s="1"/>
  <c r="AD853" i="16"/>
  <c r="AK853" i="16" s="1"/>
  <c r="AI789" i="16"/>
  <c r="AK789" i="16" s="1"/>
  <c r="AD1024" i="16"/>
  <c r="AK1024" i="16" s="1"/>
  <c r="AD944" i="16"/>
  <c r="AK944" i="16" s="1"/>
  <c r="AD880" i="16"/>
  <c r="AK880" i="16" s="1"/>
  <c r="AD1055" i="16"/>
  <c r="AK1055" i="16" s="1"/>
  <c r="AD875" i="16"/>
  <c r="AK875" i="16" s="1"/>
  <c r="AG787" i="16"/>
  <c r="AK787" i="16" s="1"/>
  <c r="AJ1007" i="16"/>
  <c r="AK1007" i="16" s="1"/>
  <c r="AI807" i="16"/>
  <c r="AK807" i="16" s="1"/>
  <c r="AC998" i="16"/>
  <c r="AK998" i="16" s="1"/>
  <c r="AJ1009" i="16"/>
  <c r="AK1009" i="16" s="1"/>
  <c r="AJ941" i="16"/>
  <c r="AD877" i="16"/>
  <c r="AK877" i="16" s="1"/>
  <c r="AE817" i="16"/>
  <c r="AK817" i="16" s="1"/>
  <c r="AC956" i="16"/>
  <c r="AD876" i="16"/>
  <c r="AK876" i="16" s="1"/>
  <c r="AC808" i="16"/>
  <c r="AK808" i="16" s="1"/>
  <c r="AD951" i="16"/>
  <c r="AK951" i="16" s="1"/>
  <c r="AD851" i="16"/>
  <c r="AK851" i="16" s="1"/>
  <c r="AD966" i="16"/>
  <c r="AK966" i="16" s="1"/>
  <c r="AD898" i="16"/>
  <c r="AK898" i="16" s="1"/>
  <c r="AI818" i="16"/>
  <c r="AK818" i="16" s="1"/>
  <c r="AD1023" i="16"/>
  <c r="AK1023" i="16" s="1"/>
  <c r="AD939" i="16"/>
  <c r="AK939" i="16" s="1"/>
  <c r="AJ771" i="16"/>
  <c r="AC1021" i="16"/>
  <c r="AK1021" i="16" s="1"/>
  <c r="AD953" i="16"/>
  <c r="AK953" i="16" s="1"/>
  <c r="AI873" i="16"/>
  <c r="AK873" i="16" s="1"/>
  <c r="AD813" i="16"/>
  <c r="AK813" i="16" s="1"/>
  <c r="AD952" i="16"/>
  <c r="AK952" i="16" s="1"/>
  <c r="AD888" i="16"/>
  <c r="AK888" i="16" s="1"/>
  <c r="AD820" i="16"/>
  <c r="AK820" i="16" s="1"/>
  <c r="AD975" i="16"/>
  <c r="AK975" i="16" s="1"/>
  <c r="AD867" i="16"/>
  <c r="AK867" i="16" s="1"/>
  <c r="AH910" i="16"/>
  <c r="AG910" i="16"/>
  <c r="AE910" i="16"/>
  <c r="AF910" i="16"/>
  <c r="AI910" i="16"/>
  <c r="AD846" i="16"/>
  <c r="AK846" i="16" s="1"/>
  <c r="AD834" i="16"/>
  <c r="AK834" i="16" s="1"/>
  <c r="AB747" i="16"/>
  <c r="AB749" i="16"/>
  <c r="AC749" i="16" s="1"/>
  <c r="AC895" i="16"/>
  <c r="AK895" i="16" s="1"/>
  <c r="AD1061" i="16"/>
  <c r="AK1061" i="16" s="1"/>
  <c r="AC985" i="16"/>
  <c r="AK985" i="16" s="1"/>
  <c r="AD917" i="16"/>
  <c r="AK917" i="16" s="1"/>
  <c r="AD857" i="16"/>
  <c r="AK857" i="16" s="1"/>
  <c r="AH793" i="16"/>
  <c r="AK793" i="16" s="1"/>
  <c r="AC932" i="16"/>
  <c r="AG868" i="16"/>
  <c r="AK868" i="16" s="1"/>
  <c r="AD943" i="16"/>
  <c r="AG839" i="16"/>
  <c r="AK839" i="16" s="1"/>
  <c r="AI1078" i="16"/>
  <c r="AK1078" i="16" s="1"/>
  <c r="AC942" i="16"/>
  <c r="AD858" i="16"/>
  <c r="AK858" i="16" s="1"/>
  <c r="AJ790" i="16"/>
  <c r="AK790" i="16" s="1"/>
  <c r="AC995" i="16"/>
  <c r="AK995" i="16" s="1"/>
  <c r="AC791" i="16"/>
  <c r="AK791" i="16" s="1"/>
  <c r="AJ1033" i="16"/>
  <c r="AK1033" i="16" s="1"/>
  <c r="AH961" i="16"/>
  <c r="AK961" i="16" s="1"/>
  <c r="AF897" i="16"/>
  <c r="AI897" i="16"/>
  <c r="AH897" i="16"/>
  <c r="AG897" i="16"/>
  <c r="AD992" i="16"/>
  <c r="AK992" i="16" s="1"/>
  <c r="AC928" i="16"/>
  <c r="AK928" i="16" s="1"/>
  <c r="AC860" i="16"/>
  <c r="AK860" i="16" s="1"/>
  <c r="AD967" i="16"/>
  <c r="AK967" i="16" s="1"/>
  <c r="AE855" i="16"/>
  <c r="AK855" i="16" s="1"/>
  <c r="AC1015" i="16"/>
  <c r="AK1015" i="16" s="1"/>
  <c r="AD923" i="16"/>
  <c r="AD919" i="16"/>
  <c r="AK919" i="16" s="1"/>
  <c r="AD993" i="16"/>
  <c r="AK993" i="16" s="1"/>
  <c r="AD864" i="16"/>
  <c r="AK864" i="16" s="1"/>
  <c r="AD1004" i="16"/>
  <c r="AK1004" i="16" s="1"/>
  <c r="AD940" i="16"/>
  <c r="AK940" i="16" s="1"/>
  <c r="AI856" i="16"/>
  <c r="AK856" i="16" s="1"/>
  <c r="AF788" i="16"/>
  <c r="AK788" i="16" s="1"/>
  <c r="AD915" i="16"/>
  <c r="AK915" i="16" s="1"/>
  <c r="AD827" i="16"/>
  <c r="AK827" i="16" s="1"/>
  <c r="AD1054" i="16"/>
  <c r="AK1054" i="16" s="1"/>
  <c r="AD950" i="16"/>
  <c r="AK950" i="16" s="1"/>
  <c r="AJ882" i="16"/>
  <c r="AK882" i="16" s="1"/>
  <c r="AD1003" i="16"/>
  <c r="AK1003" i="16" s="1"/>
  <c r="AD907" i="16"/>
  <c r="AK907" i="16" s="1"/>
  <c r="AC922" i="16"/>
  <c r="AJ1005" i="16"/>
  <c r="AK1005" i="16" s="1"/>
  <c r="AD937" i="16"/>
  <c r="AK937" i="16" s="1"/>
  <c r="AD936" i="16"/>
  <c r="AK936" i="16" s="1"/>
  <c r="AE872" i="16"/>
  <c r="AK872" i="16" s="1"/>
  <c r="AD947" i="16"/>
  <c r="AK947" i="16" s="1"/>
  <c r="AI843" i="16"/>
  <c r="AK843" i="16" s="1"/>
  <c r="AJ894" i="16"/>
  <c r="AK894" i="16" s="1"/>
  <c r="AD814" i="16"/>
  <c r="AK814" i="16" s="1"/>
  <c r="AJ764" i="16"/>
  <c r="AK764" i="16" s="1"/>
  <c r="AD847" i="16"/>
  <c r="AK847" i="16" s="1"/>
  <c r="AD965" i="16"/>
  <c r="AK965" i="16" s="1"/>
  <c r="AD901" i="16"/>
  <c r="AK901" i="16" s="1"/>
  <c r="AI841" i="16"/>
  <c r="AK841" i="16" s="1"/>
  <c r="AC980" i="16"/>
  <c r="AD916" i="16"/>
  <c r="AK916" i="16" s="1"/>
  <c r="AJ848" i="16"/>
  <c r="AK848" i="16" s="1"/>
  <c r="AD903" i="16"/>
  <c r="AK903" i="16" s="1"/>
  <c r="AD815" i="16"/>
  <c r="AK815" i="16" s="1"/>
  <c r="AJ1062" i="16"/>
  <c r="AK1062" i="16" s="1"/>
  <c r="AD906" i="16"/>
  <c r="AK906" i="16" s="1"/>
  <c r="AE842" i="16"/>
  <c r="AK842" i="16" s="1"/>
  <c r="AH774" i="16"/>
  <c r="AK774" i="16" s="1"/>
  <c r="AJ959" i="16"/>
  <c r="AK959" i="16" s="1"/>
  <c r="AC772" i="16"/>
  <c r="AC1013" i="16"/>
  <c r="AK1013" i="16" s="1"/>
  <c r="AD945" i="16"/>
  <c r="AK945" i="16" s="1"/>
  <c r="AD881" i="16"/>
  <c r="AK881" i="16" s="1"/>
  <c r="AD821" i="16"/>
  <c r="AK821" i="16" s="1"/>
  <c r="AD976" i="16"/>
  <c r="AK976" i="16" s="1"/>
  <c r="AD912" i="16"/>
  <c r="AK912" i="16" s="1"/>
  <c r="AD844" i="16"/>
  <c r="AK844" i="16" s="1"/>
  <c r="AD935" i="16"/>
  <c r="AK935" i="16" s="1"/>
  <c r="AI831" i="16"/>
  <c r="AK831" i="16" s="1"/>
  <c r="AC1079" i="16"/>
  <c r="AK1079" i="16" s="1"/>
  <c r="AJ987" i="16"/>
  <c r="AK987" i="16" s="1"/>
  <c r="AC883" i="16"/>
  <c r="AK883" i="16" s="1"/>
  <c r="AJ1053" i="16"/>
  <c r="AK1053" i="16" s="1"/>
  <c r="AD973" i="16"/>
  <c r="AK973" i="16" s="1"/>
  <c r="AC909" i="16"/>
  <c r="AK909" i="16" s="1"/>
  <c r="AC849" i="16"/>
  <c r="AK849" i="16" s="1"/>
  <c r="AH785" i="16"/>
  <c r="AK785" i="16" s="1"/>
  <c r="AC988" i="16"/>
  <c r="AK988" i="16" s="1"/>
  <c r="AJ908" i="16"/>
  <c r="AK908" i="16" s="1"/>
  <c r="AD840" i="16"/>
  <c r="AK840" i="16" s="1"/>
  <c r="AD891" i="16"/>
  <c r="AK891" i="16" s="1"/>
  <c r="AH803" i="16"/>
  <c r="AK803" i="16" s="1"/>
  <c r="AI1030" i="16"/>
  <c r="AH1030" i="16"/>
  <c r="AF1030" i="16"/>
  <c r="AD934" i="16"/>
  <c r="AK934" i="16" s="1"/>
  <c r="AD866" i="16"/>
  <c r="AK866" i="16" s="1"/>
  <c r="AC991" i="16"/>
  <c r="AK991" i="16" s="1"/>
  <c r="AJ859" i="16"/>
  <c r="AK859" i="16" s="1"/>
  <c r="AD989" i="16"/>
  <c r="AK989" i="16" s="1"/>
  <c r="AD905" i="16"/>
  <c r="AK905" i="16" s="1"/>
  <c r="AD845" i="16"/>
  <c r="AK845" i="16" s="1"/>
  <c r="AJ984" i="16"/>
  <c r="AK984" i="16" s="1"/>
  <c r="AJ920" i="16"/>
  <c r="AK920" i="16" s="1"/>
  <c r="AD852" i="16"/>
  <c r="AK852" i="16" s="1"/>
  <c r="AD784" i="16"/>
  <c r="AK784" i="16" s="1"/>
  <c r="AH911" i="16"/>
  <c r="AF911" i="16"/>
  <c r="AI911" i="16"/>
  <c r="AG911" i="16"/>
  <c r="AD819" i="16"/>
  <c r="AK819" i="16" s="1"/>
  <c r="AD978" i="16"/>
  <c r="AK978" i="16" s="1"/>
  <c r="AD878" i="16"/>
  <c r="AK878" i="16" s="1"/>
  <c r="AC769" i="16"/>
  <c r="AK769" i="16" s="1"/>
  <c r="AC765" i="16"/>
  <c r="AK765" i="16" s="1"/>
  <c r="AC1010" i="16"/>
  <c r="AK1010" i="16" s="1"/>
  <c r="AH1074" i="16"/>
  <c r="AK1074" i="16" s="1"/>
  <c r="AI763" i="16"/>
  <c r="AK763" i="16" s="1"/>
  <c r="AG999" i="16"/>
  <c r="AK999" i="16" s="1"/>
  <c r="G117" i="8"/>
  <c r="G103" i="8"/>
  <c r="G60" i="8"/>
  <c r="A84" i="15"/>
  <c r="B84" i="15"/>
  <c r="AK923" i="16" l="1"/>
  <c r="AK941" i="16"/>
  <c r="AK933" i="16"/>
  <c r="AK955" i="16"/>
  <c r="AK948" i="16"/>
  <c r="AK772" i="16"/>
  <c r="AK922" i="16"/>
  <c r="AK932" i="16"/>
  <c r="AK771" i="16"/>
  <c r="AK931" i="16"/>
  <c r="AK929" i="16"/>
  <c r="AD1453" i="16"/>
  <c r="AF1453" i="16"/>
  <c r="AG1453" i="16"/>
  <c r="AE1453" i="16"/>
  <c r="AI1453" i="16"/>
  <c r="AH1453" i="16"/>
  <c r="AJ1453" i="16"/>
  <c r="AC1453" i="16"/>
  <c r="AG1096" i="16"/>
  <c r="AH1096" i="16"/>
  <c r="AE1096" i="16"/>
  <c r="AF1096" i="16"/>
  <c r="AI1096" i="16"/>
  <c r="AF1100" i="16"/>
  <c r="AI1100" i="16"/>
  <c r="AH1100" i="16"/>
  <c r="AG1097" i="16"/>
  <c r="AH1097" i="16"/>
  <c r="AF1097" i="16"/>
  <c r="AI1097" i="16"/>
  <c r="AF1069" i="16"/>
  <c r="AH1069" i="16"/>
  <c r="AG1069" i="16"/>
  <c r="AI1069" i="16"/>
  <c r="AJ1030" i="16"/>
  <c r="AJ1100" i="16"/>
  <c r="AC1100" i="16"/>
  <c r="AC1030" i="16"/>
  <c r="AC1075" i="16"/>
  <c r="AC910" i="16"/>
  <c r="AC896" i="16"/>
  <c r="AC884" i="16"/>
  <c r="AC1096" i="16"/>
  <c r="AK749" i="16"/>
  <c r="AG1030" i="16"/>
  <c r="AG1100" i="16"/>
  <c r="AG1075" i="16"/>
  <c r="AI1092" i="16"/>
  <c r="AI1070" i="16"/>
  <c r="AK942" i="16"/>
  <c r="AJ896" i="16"/>
  <c r="AJ884" i="16"/>
  <c r="AJ910" i="16"/>
  <c r="AJ1096" i="16"/>
  <c r="AE1075" i="16"/>
  <c r="AE1030" i="16"/>
  <c r="AE1100" i="16"/>
  <c r="AD910" i="16"/>
  <c r="AD1096" i="16"/>
  <c r="AD884" i="16"/>
  <c r="AD896" i="16"/>
  <c r="AJ1075" i="16"/>
  <c r="AK969" i="16"/>
  <c r="AJ897" i="16"/>
  <c r="AJ885" i="16"/>
  <c r="AJ911" i="16"/>
  <c r="AJ1097" i="16"/>
  <c r="AF1092" i="16"/>
  <c r="AF1070" i="16"/>
  <c r="AD1030" i="16"/>
  <c r="AD1075" i="16"/>
  <c r="AD1100" i="16"/>
  <c r="AD1097" i="16"/>
  <c r="AD885" i="16"/>
  <c r="AD911" i="16"/>
  <c r="AD897" i="16"/>
  <c r="AI1071" i="16"/>
  <c r="AG1071" i="16"/>
  <c r="AC897" i="16"/>
  <c r="AC911" i="16"/>
  <c r="AC885" i="16"/>
  <c r="AC1097" i="16"/>
  <c r="AH1070" i="16"/>
  <c r="AH1092" i="16"/>
  <c r="AK980" i="16"/>
  <c r="AK943" i="16"/>
  <c r="AF1071" i="16"/>
  <c r="AH1071" i="16"/>
  <c r="AK956" i="16"/>
  <c r="AE897" i="16"/>
  <c r="AE1070" i="16" s="1"/>
  <c r="AE885" i="16"/>
  <c r="AE1069" i="16" s="1"/>
  <c r="AE911" i="16"/>
  <c r="AE1071" i="16" s="1"/>
  <c r="AE1097" i="16"/>
  <c r="AG1070" i="16"/>
  <c r="AG1092" i="16"/>
  <c r="AD925" i="16"/>
  <c r="AD1094" i="16" s="1"/>
  <c r="AD786" i="16"/>
  <c r="AD804" i="16"/>
  <c r="AD850" i="16"/>
  <c r="AD811" i="16"/>
  <c r="AD837" i="16"/>
  <c r="AD861" i="16"/>
  <c r="AD761" i="16"/>
  <c r="AD766" i="16"/>
  <c r="AD1084" i="16" s="1"/>
  <c r="AI837" i="16"/>
  <c r="AH861" i="16"/>
  <c r="AG811" i="16"/>
  <c r="AD862" i="16"/>
  <c r="D3" i="18"/>
  <c r="M198" i="18"/>
  <c r="M199" i="18"/>
  <c r="M200" i="18"/>
  <c r="M187" i="8"/>
  <c r="M188" i="8"/>
  <c r="M189" i="8"/>
  <c r="H57" i="18"/>
  <c r="H26" i="18"/>
  <c r="H12" i="18"/>
  <c r="M197" i="18"/>
  <c r="M196" i="18"/>
  <c r="M195" i="18"/>
  <c r="M194" i="18"/>
  <c r="M193" i="18"/>
  <c r="M192" i="18"/>
  <c r="M191" i="18"/>
  <c r="M190" i="18"/>
  <c r="M189" i="18"/>
  <c r="M188" i="18"/>
  <c r="M187" i="18"/>
  <c r="M186" i="18"/>
  <c r="M185" i="18"/>
  <c r="M184" i="18"/>
  <c r="M183" i="18"/>
  <c r="M182" i="18"/>
  <c r="M181" i="18"/>
  <c r="M180" i="18"/>
  <c r="M179" i="18"/>
  <c r="M178" i="18"/>
  <c r="M177" i="18"/>
  <c r="M176" i="18"/>
  <c r="M175" i="18"/>
  <c r="M174" i="18"/>
  <c r="M173" i="18"/>
  <c r="M172" i="18"/>
  <c r="M171" i="18"/>
  <c r="M170" i="18"/>
  <c r="M169" i="18"/>
  <c r="M168" i="18"/>
  <c r="M167" i="18"/>
  <c r="M166" i="18"/>
  <c r="M165" i="18"/>
  <c r="M164" i="18"/>
  <c r="M163" i="18"/>
  <c r="M162" i="18"/>
  <c r="M161" i="18"/>
  <c r="M160" i="18"/>
  <c r="M159" i="18"/>
  <c r="M158" i="18"/>
  <c r="M157" i="18"/>
  <c r="M156" i="18"/>
  <c r="M155" i="18"/>
  <c r="M154" i="18"/>
  <c r="M153" i="18"/>
  <c r="M152" i="18"/>
  <c r="M151" i="18"/>
  <c r="M150" i="18"/>
  <c r="M149" i="18"/>
  <c r="M148" i="18"/>
  <c r="M147" i="18"/>
  <c r="M146" i="18"/>
  <c r="M145" i="18"/>
  <c r="M144" i="18"/>
  <c r="AD1090" i="16" l="1"/>
  <c r="AK1075" i="16"/>
  <c r="AK911" i="16"/>
  <c r="AD1069" i="16"/>
  <c r="AJ1069" i="16"/>
  <c r="AE1092" i="16"/>
  <c r="AC1071" i="16"/>
  <c r="AK910" i="16"/>
  <c r="AK897" i="16"/>
  <c r="AJ1070" i="16"/>
  <c r="AJ1092" i="16"/>
  <c r="AK1096" i="16"/>
  <c r="AK1097" i="16"/>
  <c r="AD1071" i="16"/>
  <c r="AC1069" i="16"/>
  <c r="AK884" i="16"/>
  <c r="AK1030" i="16"/>
  <c r="AK885" i="16"/>
  <c r="AD1070" i="16"/>
  <c r="AD1092" i="16"/>
  <c r="AJ1071" i="16"/>
  <c r="AC1092" i="16"/>
  <c r="AC1070" i="16"/>
  <c r="AK896" i="16"/>
  <c r="AK1100" i="16"/>
  <c r="H138" i="18"/>
  <c r="D5" i="18"/>
  <c r="AD1091" i="16"/>
  <c r="AD1068" i="16"/>
  <c r="AI1089" i="16"/>
  <c r="AI1067" i="16"/>
  <c r="AD1089" i="16"/>
  <c r="AD1067" i="16"/>
  <c r="AE925" i="16"/>
  <c r="AE1094" i="16" s="1"/>
  <c r="AI778" i="16"/>
  <c r="AI796" i="16"/>
  <c r="AC837" i="16"/>
  <c r="AF861" i="16"/>
  <c r="AE825" i="16"/>
  <c r="AD779" i="16"/>
  <c r="AD797" i="16"/>
  <c r="AI811" i="16"/>
  <c r="AD825" i="16"/>
  <c r="AJ811" i="16"/>
  <c r="AG850" i="16"/>
  <c r="AE861" i="16"/>
  <c r="AH811" i="16"/>
  <c r="AE781" i="16"/>
  <c r="AE799" i="16"/>
  <c r="AC811" i="16"/>
  <c r="AF837" i="16"/>
  <c r="AD778" i="16"/>
  <c r="AD796" i="16"/>
  <c r="AI850" i="16"/>
  <c r="AD812" i="16"/>
  <c r="AD1065" i="16" s="1"/>
  <c r="AJ850" i="16"/>
  <c r="AG861" i="16"/>
  <c r="AE837" i="16"/>
  <c r="AH850" i="16"/>
  <c r="AC850" i="16"/>
  <c r="AF811" i="16"/>
  <c r="AE812" i="16"/>
  <c r="AI861" i="16"/>
  <c r="AJ861" i="16"/>
  <c r="AG837" i="16"/>
  <c r="AE811" i="16"/>
  <c r="AH837" i="16"/>
  <c r="AE786" i="16"/>
  <c r="AE804" i="16"/>
  <c r="AC861" i="16"/>
  <c r="AF850" i="16"/>
  <c r="AE862" i="16"/>
  <c r="AJ837" i="16"/>
  <c r="AE850" i="16"/>
  <c r="AE761" i="16"/>
  <c r="AE766" i="16"/>
  <c r="AE1084" i="16" s="1"/>
  <c r="AD753" i="16"/>
  <c r="AE756" i="16"/>
  <c r="AD752" i="16"/>
  <c r="AD798" i="16"/>
  <c r="AG761" i="16"/>
  <c r="AJ862" i="16"/>
  <c r="AJ925" i="16"/>
  <c r="AJ1094" i="16" s="1"/>
  <c r="AH799" i="16"/>
  <c r="AG780" i="16"/>
  <c r="AE798" i="16"/>
  <c r="AF812" i="16"/>
  <c r="AF925" i="16"/>
  <c r="AF1094" i="16" s="1"/>
  <c r="AH782" i="16"/>
  <c r="AD799" i="16"/>
  <c r="AI755" i="16"/>
  <c r="AI786" i="16"/>
  <c r="AD754" i="16"/>
  <c r="AC761" i="16"/>
  <c r="H70" i="18"/>
  <c r="H124" i="18"/>
  <c r="H11" i="18"/>
  <c r="H25" i="18"/>
  <c r="H39" i="18"/>
  <c r="G48" i="18" s="1"/>
  <c r="H56" i="18"/>
  <c r="H110" i="18"/>
  <c r="AL23" i="15"/>
  <c r="S189" i="8"/>
  <c r="S188" i="8"/>
  <c r="S187" i="8"/>
  <c r="Q189" i="8"/>
  <c r="Q188" i="8"/>
  <c r="Q187" i="8"/>
  <c r="K80" i="7"/>
  <c r="K78" i="7"/>
  <c r="K74" i="7"/>
  <c r="K72" i="7"/>
  <c r="K70" i="7"/>
  <c r="K69" i="7"/>
  <c r="K68" i="7"/>
  <c r="K66" i="7"/>
  <c r="K65" i="7"/>
  <c r="K64" i="7"/>
  <c r="K63" i="7"/>
  <c r="K62" i="7"/>
  <c r="K61" i="7"/>
  <c r="K60" i="7"/>
  <c r="K58" i="7"/>
  <c r="K57" i="7"/>
  <c r="K53" i="7"/>
  <c r="K51" i="7"/>
  <c r="K50" i="7"/>
  <c r="K49" i="7"/>
  <c r="K47" i="7"/>
  <c r="K45" i="7"/>
  <c r="K44" i="7"/>
  <c r="K43" i="7"/>
  <c r="K42" i="7"/>
  <c r="K41" i="7"/>
  <c r="K39" i="7"/>
  <c r="K38" i="7"/>
  <c r="K37" i="7"/>
  <c r="K35" i="7"/>
  <c r="K34" i="7"/>
  <c r="K33" i="7"/>
  <c r="K31" i="7"/>
  <c r="K30" i="7"/>
  <c r="K29" i="7"/>
  <c r="P189" i="8"/>
  <c r="P188" i="8"/>
  <c r="P187" i="8"/>
  <c r="K83" i="7"/>
  <c r="K79" i="7"/>
  <c r="K75" i="7"/>
  <c r="K71" i="7"/>
  <c r="K67" i="7"/>
  <c r="K59" i="7"/>
  <c r="K55" i="7"/>
  <c r="G80" i="7"/>
  <c r="G79" i="7"/>
  <c r="G78" i="7"/>
  <c r="G77" i="7"/>
  <c r="G76" i="7"/>
  <c r="G75" i="7"/>
  <c r="G74" i="7"/>
  <c r="G73" i="7"/>
  <c r="G72" i="7"/>
  <c r="G71" i="7"/>
  <c r="G70" i="7"/>
  <c r="G69" i="7"/>
  <c r="G68" i="7"/>
  <c r="G67" i="7"/>
  <c r="G66" i="7"/>
  <c r="G65" i="7"/>
  <c r="G64" i="7"/>
  <c r="G63" i="7"/>
  <c r="G62" i="7"/>
  <c r="G61" i="7"/>
  <c r="G60" i="7"/>
  <c r="G59" i="7"/>
  <c r="G58" i="7"/>
  <c r="G57" i="7"/>
  <c r="G56" i="7"/>
  <c r="G55" i="7"/>
  <c r="G54" i="7"/>
  <c r="G53" i="7"/>
  <c r="G52" i="7"/>
  <c r="G51" i="7"/>
  <c r="G50" i="7"/>
  <c r="G49" i="7"/>
  <c r="G48" i="7"/>
  <c r="G47" i="7"/>
  <c r="G46" i="7"/>
  <c r="G45" i="7"/>
  <c r="G44" i="7"/>
  <c r="G43" i="7"/>
  <c r="G42" i="7"/>
  <c r="G41" i="7"/>
  <c r="G40" i="7"/>
  <c r="G39" i="7"/>
  <c r="G38" i="7"/>
  <c r="G37" i="7"/>
  <c r="G36" i="7"/>
  <c r="G35" i="7"/>
  <c r="G34" i="7"/>
  <c r="G33" i="7"/>
  <c r="G30" i="7"/>
  <c r="G29" i="7"/>
  <c r="S200" i="18"/>
  <c r="S199" i="18"/>
  <c r="S198" i="18"/>
  <c r="S197" i="18"/>
  <c r="S196" i="18"/>
  <c r="S187" i="18"/>
  <c r="Q200" i="18"/>
  <c r="Q199" i="18"/>
  <c r="Q198" i="18"/>
  <c r="Q197" i="18"/>
  <c r="Q196" i="18"/>
  <c r="Q187" i="18"/>
  <c r="AL28" i="15"/>
  <c r="AL29" i="15"/>
  <c r="AL30" i="15"/>
  <c r="AL31" i="15"/>
  <c r="AL32" i="15"/>
  <c r="AL33" i="15"/>
  <c r="AL34" i="15"/>
  <c r="AL35" i="15"/>
  <c r="AL36" i="15"/>
  <c r="AL37" i="15"/>
  <c r="AL38" i="15"/>
  <c r="AL39" i="15"/>
  <c r="AL40" i="15"/>
  <c r="AL41" i="15"/>
  <c r="AL42" i="15"/>
  <c r="AL43" i="15"/>
  <c r="AL44" i="15"/>
  <c r="AL45" i="15"/>
  <c r="AL46" i="15"/>
  <c r="AL47" i="15"/>
  <c r="AL48" i="15"/>
  <c r="AL49" i="15"/>
  <c r="AL50" i="15"/>
  <c r="AL51" i="15"/>
  <c r="AL52" i="15"/>
  <c r="AL53" i="15"/>
  <c r="AL54" i="15"/>
  <c r="AL55" i="15"/>
  <c r="AL56" i="15"/>
  <c r="AL57" i="15"/>
  <c r="AL58" i="15"/>
  <c r="AL59" i="15"/>
  <c r="AL60" i="15"/>
  <c r="AL61" i="15"/>
  <c r="AL62" i="15"/>
  <c r="AL63" i="15"/>
  <c r="AL64" i="15"/>
  <c r="AL65" i="15"/>
  <c r="AL66" i="15"/>
  <c r="AL67" i="15"/>
  <c r="AL68" i="15"/>
  <c r="AL69" i="15"/>
  <c r="AL70" i="15"/>
  <c r="AL71" i="15"/>
  <c r="AL72" i="15"/>
  <c r="AL73" i="15"/>
  <c r="AL74" i="15"/>
  <c r="AL75" i="15"/>
  <c r="AL76" i="15"/>
  <c r="AL77" i="15"/>
  <c r="AL78" i="15"/>
  <c r="AL79" i="15"/>
  <c r="AL80" i="15"/>
  <c r="AL81" i="15"/>
  <c r="AL82" i="15"/>
  <c r="AL83" i="15"/>
  <c r="AL27" i="15"/>
  <c r="AE1090" i="16" l="1"/>
  <c r="AJ752" i="16"/>
  <c r="AG752" i="16"/>
  <c r="AG1090" i="16"/>
  <c r="AC1090" i="16"/>
  <c r="AJ1090" i="16"/>
  <c r="AF1090" i="16"/>
  <c r="AH1090" i="16"/>
  <c r="AF752" i="16"/>
  <c r="AD751" i="16"/>
  <c r="AE751" i="16"/>
  <c r="AE750" i="16"/>
  <c r="AE752" i="16"/>
  <c r="AI1090" i="16"/>
  <c r="AF753" i="16"/>
  <c r="AH753" i="16"/>
  <c r="AJ753" i="16"/>
  <c r="AD750" i="16"/>
  <c r="AD794" i="16"/>
  <c r="AE754" i="16"/>
  <c r="AK1070" i="16"/>
  <c r="AK1092" i="16"/>
  <c r="AD776" i="16"/>
  <c r="AE753" i="16"/>
  <c r="AK1069" i="16"/>
  <c r="AK1071" i="16"/>
  <c r="AH1089" i="16"/>
  <c r="AH1067" i="16"/>
  <c r="AF1087" i="16"/>
  <c r="AF1065" i="16"/>
  <c r="AC1067" i="16"/>
  <c r="AC1089" i="16"/>
  <c r="AD1087" i="16"/>
  <c r="AE1065" i="16"/>
  <c r="AE1087" i="16"/>
  <c r="AJ1067" i="16"/>
  <c r="AJ1089" i="16"/>
  <c r="AG1067" i="16"/>
  <c r="AG1089" i="16"/>
  <c r="AF1067" i="16"/>
  <c r="AF1089" i="16"/>
  <c r="AD1066" i="16"/>
  <c r="AD1088" i="16"/>
  <c r="AE1088" i="16"/>
  <c r="AE1066" i="16"/>
  <c r="AJ1091" i="16"/>
  <c r="AJ1068" i="16"/>
  <c r="AE1089" i="16"/>
  <c r="AE1067" i="16"/>
  <c r="AE1068" i="16"/>
  <c r="AE1091" i="16"/>
  <c r="AH925" i="16"/>
  <c r="AH1094" i="16" s="1"/>
  <c r="AI925" i="16"/>
  <c r="AI1094" i="16" s="1"/>
  <c r="AG925" i="16"/>
  <c r="AG1094" i="16" s="1"/>
  <c r="AC925" i="16"/>
  <c r="AH781" i="16"/>
  <c r="AG798" i="16"/>
  <c r="AE780" i="16"/>
  <c r="AC862" i="16"/>
  <c r="AC1091" i="16" s="1"/>
  <c r="AJ797" i="16"/>
  <c r="AJ779" i="16"/>
  <c r="AG825" i="16"/>
  <c r="AG786" i="16"/>
  <c r="AD780" i="16"/>
  <c r="AI812" i="16"/>
  <c r="AI794" i="16" s="1"/>
  <c r="AH812" i="16"/>
  <c r="AH1065" i="16" s="1"/>
  <c r="AG862" i="16"/>
  <c r="AG1091" i="16" s="1"/>
  <c r="AJ804" i="16"/>
  <c r="AH804" i="16"/>
  <c r="AH800" i="16"/>
  <c r="AG812" i="16"/>
  <c r="AF862" i="16"/>
  <c r="AF797" i="16" s="1"/>
  <c r="AG799" i="16"/>
  <c r="AG781" i="16"/>
  <c r="AK861" i="16"/>
  <c r="AH778" i="16"/>
  <c r="AH796" i="16"/>
  <c r="AG804" i="16"/>
  <c r="AF796" i="16"/>
  <c r="AF778" i="16"/>
  <c r="AF786" i="16"/>
  <c r="AE797" i="16"/>
  <c r="AE779" i="16"/>
  <c r="AC796" i="16"/>
  <c r="AK837" i="16"/>
  <c r="AC778" i="16"/>
  <c r="AH786" i="16"/>
  <c r="AH862" i="16"/>
  <c r="AC825" i="16"/>
  <c r="AE757" i="16"/>
  <c r="AE782" i="16"/>
  <c r="AE800" i="16"/>
  <c r="AJ796" i="16"/>
  <c r="AJ778" i="16"/>
  <c r="AI798" i="16"/>
  <c r="AI804" i="16"/>
  <c r="AD800" i="16"/>
  <c r="AE794" i="16"/>
  <c r="AE776" i="16"/>
  <c r="AF776" i="16"/>
  <c r="AF794" i="16"/>
  <c r="AF798" i="16"/>
  <c r="AC786" i="16"/>
  <c r="AE778" i="16"/>
  <c r="AE796" i="16"/>
  <c r="AK811" i="16"/>
  <c r="AF804" i="16"/>
  <c r="AF825" i="16"/>
  <c r="AJ825" i="16"/>
  <c r="AD781" i="16"/>
  <c r="AI825" i="16"/>
  <c r="AJ781" i="16"/>
  <c r="AJ799" i="16"/>
  <c r="AI780" i="16"/>
  <c r="AD782" i="16"/>
  <c r="AI862" i="16"/>
  <c r="AI797" i="16" s="1"/>
  <c r="AG778" i="16"/>
  <c r="AG796" i="16"/>
  <c r="AK850" i="16"/>
  <c r="AF780" i="16"/>
  <c r="AC804" i="16"/>
  <c r="AJ812" i="16"/>
  <c r="AJ776" i="16" s="1"/>
  <c r="AJ786" i="16"/>
  <c r="AC812" i="16"/>
  <c r="AC1087" i="16" s="1"/>
  <c r="AH825" i="16"/>
  <c r="AD795" i="16"/>
  <c r="AD777" i="16"/>
  <c r="AE777" i="16"/>
  <c r="AE795" i="16"/>
  <c r="AH756" i="16"/>
  <c r="AG766" i="16"/>
  <c r="AG1084" i="16" s="1"/>
  <c r="AC766" i="16"/>
  <c r="AC1084" i="16" s="1"/>
  <c r="AJ766" i="16"/>
  <c r="AJ1084" i="16" s="1"/>
  <c r="AF761" i="16"/>
  <c r="AH766" i="16"/>
  <c r="AH1084" i="16" s="1"/>
  <c r="AI766" i="16"/>
  <c r="AI1084" i="16" s="1"/>
  <c r="AF766" i="16"/>
  <c r="AF1084" i="16" s="1"/>
  <c r="AH761" i="16"/>
  <c r="AI761" i="16"/>
  <c r="AJ761" i="16"/>
  <c r="AJ754" i="16"/>
  <c r="AC752" i="16"/>
  <c r="AH750" i="16"/>
  <c r="AE755" i="16"/>
  <c r="AG756" i="16"/>
  <c r="AD757" i="16"/>
  <c r="AC753" i="16"/>
  <c r="AJ756" i="16"/>
  <c r="AD756" i="16"/>
  <c r="AI753" i="16"/>
  <c r="AG753" i="16"/>
  <c r="AH757" i="16"/>
  <c r="AF755" i="16"/>
  <c r="AG755" i="16"/>
  <c r="AI752" i="16"/>
  <c r="AH752" i="16"/>
  <c r="AD755" i="16"/>
  <c r="AJ757" i="16"/>
  <c r="AC756" i="16"/>
  <c r="AH754" i="16"/>
  <c r="AC780" i="16"/>
  <c r="AF750" i="16"/>
  <c r="AJ755" i="16"/>
  <c r="AG782" i="16"/>
  <c r="R187" i="8"/>
  <c r="K82" i="7"/>
  <c r="K73" i="7"/>
  <c r="K77" i="7"/>
  <c r="R189" i="8"/>
  <c r="R188" i="8"/>
  <c r="K46" i="7"/>
  <c r="K54" i="7"/>
  <c r="J84" i="7"/>
  <c r="G27" i="7"/>
  <c r="D84" i="7"/>
  <c r="F84" i="7"/>
  <c r="K27" i="7"/>
  <c r="H84" i="7"/>
  <c r="K40" i="7"/>
  <c r="K56" i="7"/>
  <c r="K28" i="7"/>
  <c r="K32" i="7"/>
  <c r="K36" i="7"/>
  <c r="G31" i="7"/>
  <c r="K81" i="7"/>
  <c r="R199" i="18"/>
  <c r="G81" i="7"/>
  <c r="N187" i="8"/>
  <c r="O187" i="8" s="1"/>
  <c r="R198" i="18"/>
  <c r="G82" i="7"/>
  <c r="N188" i="8"/>
  <c r="O188" i="8" s="1"/>
  <c r="G28" i="7"/>
  <c r="G83" i="7"/>
  <c r="N189" i="8"/>
  <c r="O189" i="8" s="1"/>
  <c r="K52" i="7"/>
  <c r="K76" i="7"/>
  <c r="R187" i="18"/>
  <c r="R200" i="18"/>
  <c r="R197" i="18"/>
  <c r="R196" i="18"/>
  <c r="H40" i="18"/>
  <c r="G32" i="7"/>
  <c r="K48" i="7"/>
  <c r="AM86" i="15"/>
  <c r="AM85" i="15"/>
  <c r="AM84" i="15"/>
  <c r="K101" i="17"/>
  <c r="K102" i="17"/>
  <c r="K103" i="17"/>
  <c r="K104" i="17"/>
  <c r="K105" i="17"/>
  <c r="K106" i="17"/>
  <c r="K91" i="17"/>
  <c r="K92" i="17"/>
  <c r="K93" i="17"/>
  <c r="K94" i="17"/>
  <c r="K95" i="17"/>
  <c r="K96" i="17"/>
  <c r="K97" i="17"/>
  <c r="K98" i="17"/>
  <c r="K99" i="17"/>
  <c r="K100" i="17"/>
  <c r="K90" i="17"/>
  <c r="K89" i="17"/>
  <c r="K82" i="17"/>
  <c r="T1858" i="16" l="1"/>
  <c r="T1856" i="16"/>
  <c r="T1854" i="16"/>
  <c r="T1852" i="16"/>
  <c r="T1850" i="16"/>
  <c r="T1848" i="16"/>
  <c r="T1846" i="16"/>
  <c r="T1844" i="16"/>
  <c r="T1842" i="16"/>
  <c r="T1840" i="16"/>
  <c r="T1838" i="16"/>
  <c r="T1836" i="16"/>
  <c r="T1834" i="16"/>
  <c r="T1832" i="16"/>
  <c r="T1830" i="16"/>
  <c r="T1828" i="16"/>
  <c r="T1826" i="16"/>
  <c r="T1824" i="16"/>
  <c r="T1857" i="16"/>
  <c r="T1855" i="16"/>
  <c r="T1853" i="16"/>
  <c r="T1851" i="16"/>
  <c r="T1849" i="16"/>
  <c r="T1847" i="16"/>
  <c r="T1845" i="16"/>
  <c r="T1843" i="16"/>
  <c r="T1841" i="16"/>
  <c r="T1839" i="16"/>
  <c r="T1837" i="16"/>
  <c r="T1835" i="16"/>
  <c r="T1833" i="16"/>
  <c r="T1831" i="16"/>
  <c r="T1829" i="16"/>
  <c r="T1827" i="16"/>
  <c r="T1825" i="16"/>
  <c r="T1453" i="16"/>
  <c r="T1455" i="16"/>
  <c r="T1457" i="16"/>
  <c r="T1459" i="16"/>
  <c r="T1461" i="16"/>
  <c r="T1463" i="16"/>
  <c r="T1465" i="16"/>
  <c r="T1467" i="16"/>
  <c r="T1469" i="16"/>
  <c r="T1471" i="16"/>
  <c r="T1473" i="16"/>
  <c r="T1475" i="16"/>
  <c r="T1477" i="16"/>
  <c r="T1479" i="16"/>
  <c r="T1481" i="16"/>
  <c r="T1483" i="16"/>
  <c r="T1485" i="16"/>
  <c r="T1487" i="16"/>
  <c r="T1454" i="16"/>
  <c r="T1456" i="16"/>
  <c r="T1458" i="16"/>
  <c r="T1460" i="16"/>
  <c r="T1462" i="16"/>
  <c r="T1464" i="16"/>
  <c r="T1466" i="16"/>
  <c r="T1468" i="16"/>
  <c r="T1470" i="16"/>
  <c r="T1472" i="16"/>
  <c r="T1474" i="16"/>
  <c r="T1476" i="16"/>
  <c r="T1478" i="16"/>
  <c r="T1480" i="16"/>
  <c r="T1482" i="16"/>
  <c r="T1484" i="16"/>
  <c r="T1486" i="16"/>
  <c r="U1821" i="16"/>
  <c r="U1763" i="16"/>
  <c r="U1757" i="16"/>
  <c r="U1755" i="16"/>
  <c r="U1743" i="16"/>
  <c r="U1737" i="16"/>
  <c r="U1733" i="16"/>
  <c r="U1727" i="16"/>
  <c r="U1705" i="16"/>
  <c r="U1750" i="16"/>
  <c r="U1748" i="16"/>
  <c r="U1740" i="16"/>
  <c r="U1722" i="16"/>
  <c r="U1702" i="16"/>
  <c r="U1770" i="16"/>
  <c r="U1730" i="16"/>
  <c r="U1698" i="16"/>
  <c r="U1752" i="16"/>
  <c r="U1684" i="16"/>
  <c r="U1664" i="16"/>
  <c r="U1651" i="16"/>
  <c r="U1776" i="16"/>
  <c r="U1637" i="16"/>
  <c r="U1602" i="16"/>
  <c r="U1578" i="16"/>
  <c r="U1768" i="16"/>
  <c r="U1674" i="16"/>
  <c r="U1670" i="16"/>
  <c r="U1666" i="16"/>
  <c r="U1591" i="16"/>
  <c r="U1760" i="16"/>
  <c r="U1625" i="16"/>
  <c r="U1514" i="16"/>
  <c r="U1552" i="16"/>
  <c r="U1533" i="16"/>
  <c r="U1491" i="16"/>
  <c r="U1566" i="16"/>
  <c r="U1550" i="16"/>
  <c r="U1507" i="16"/>
  <c r="U1511" i="16"/>
  <c r="U1143" i="16"/>
  <c r="U1179" i="16"/>
  <c r="U1181" i="16"/>
  <c r="U1195" i="16"/>
  <c r="U1207" i="16"/>
  <c r="U1231" i="16"/>
  <c r="U1293" i="16"/>
  <c r="U1295" i="16"/>
  <c r="U1299" i="16"/>
  <c r="U1162" i="16"/>
  <c r="U1220" i="16"/>
  <c r="U1254" i="16"/>
  <c r="U1266" i="16"/>
  <c r="U1280" i="16"/>
  <c r="U1334" i="16"/>
  <c r="U1366" i="16"/>
  <c r="U1372" i="16"/>
  <c r="U1384" i="16"/>
  <c r="U1386" i="16"/>
  <c r="U1392" i="16"/>
  <c r="U1136" i="16"/>
  <c r="U1303" i="16"/>
  <c r="U1327" i="16"/>
  <c r="U1331" i="16"/>
  <c r="U1351" i="16"/>
  <c r="U1359" i="16"/>
  <c r="U1362" i="16"/>
  <c r="U1356" i="16"/>
  <c r="U1369" i="16"/>
  <c r="U1377" i="16"/>
  <c r="U1379" i="16"/>
  <c r="U1381" i="16"/>
  <c r="U1389" i="16"/>
  <c r="U1397" i="16"/>
  <c r="U1399" i="16"/>
  <c r="U1405" i="16"/>
  <c r="U1313" i="16"/>
  <c r="U1450" i="16"/>
  <c r="U1120" i="16"/>
  <c r="U1140" i="16"/>
  <c r="U1795" i="16"/>
  <c r="U1785" i="16"/>
  <c r="U1783" i="16"/>
  <c r="U1781" i="16"/>
  <c r="U1779" i="16"/>
  <c r="U1777" i="16"/>
  <c r="U1775" i="16"/>
  <c r="U1771" i="16"/>
  <c r="U1769" i="16"/>
  <c r="U1767" i="16"/>
  <c r="U1759" i="16"/>
  <c r="U1751" i="16"/>
  <c r="U1749" i="16"/>
  <c r="U1747" i="16"/>
  <c r="U1739" i="16"/>
  <c r="U1729" i="16"/>
  <c r="U1723" i="16"/>
  <c r="U1721" i="16"/>
  <c r="U1701" i="16"/>
  <c r="U1823" i="16"/>
  <c r="U1782" i="16"/>
  <c r="U1742" i="16"/>
  <c r="U1697" i="16"/>
  <c r="U1804" i="16"/>
  <c r="U1780" i="16"/>
  <c r="U1764" i="16"/>
  <c r="U1732" i="16"/>
  <c r="U1726" i="16"/>
  <c r="U1786" i="16"/>
  <c r="U1778" i="16"/>
  <c r="U1762" i="16"/>
  <c r="U1754" i="16"/>
  <c r="U1784" i="16"/>
  <c r="U1624" i="16"/>
  <c r="U1565" i="16"/>
  <c r="U1551" i="16"/>
  <c r="U1704" i="16"/>
  <c r="U1683" i="16"/>
  <c r="U1650" i="16"/>
  <c r="U1736" i="16"/>
  <c r="U1662" i="16"/>
  <c r="U1636" i="16"/>
  <c r="U1673" i="16"/>
  <c r="U1601" i="16"/>
  <c r="U1590" i="16"/>
  <c r="U1506" i="16"/>
  <c r="U1577" i="16"/>
  <c r="U1513" i="16"/>
  <c r="U1532" i="16"/>
  <c r="U1490" i="16"/>
  <c r="U1161" i="16"/>
  <c r="U1219" i="16"/>
  <c r="U1253" i="16"/>
  <c r="U1265" i="16"/>
  <c r="U1279" i="16"/>
  <c r="U1291" i="16"/>
  <c r="U1142" i="16"/>
  <c r="U1180" i="16"/>
  <c r="U1194" i="16"/>
  <c r="U1206" i="16"/>
  <c r="U1230" i="16"/>
  <c r="U1302" i="16"/>
  <c r="U1326" i="16"/>
  <c r="U1330" i="16"/>
  <c r="U1350" i="16"/>
  <c r="U1358" i="16"/>
  <c r="U1361" i="16"/>
  <c r="U1368" i="16"/>
  <c r="U1376" i="16"/>
  <c r="U1378" i="16"/>
  <c r="U1380" i="16"/>
  <c r="U1388" i="16"/>
  <c r="U1396" i="16"/>
  <c r="U1398" i="16"/>
  <c r="U1400" i="16"/>
  <c r="U1404" i="16"/>
  <c r="U1406" i="16"/>
  <c r="U1408" i="16"/>
  <c r="U1410" i="16"/>
  <c r="U1412" i="16"/>
  <c r="U1414" i="16"/>
  <c r="U1424" i="16"/>
  <c r="U1119" i="16"/>
  <c r="U1355" i="16"/>
  <c r="U1433" i="16"/>
  <c r="U1312" i="16"/>
  <c r="U1352" i="16"/>
  <c r="U1365" i="16"/>
  <c r="U1371" i="16"/>
  <c r="U1383" i="16"/>
  <c r="U1391" i="16"/>
  <c r="U1393" i="16"/>
  <c r="U1407" i="16"/>
  <c r="U1409" i="16"/>
  <c r="U1411" i="16"/>
  <c r="U1413" i="16"/>
  <c r="U1415" i="16"/>
  <c r="U1333" i="16"/>
  <c r="U1452" i="16"/>
  <c r="U1135" i="16"/>
  <c r="AC779" i="16"/>
  <c r="AK1090" i="16"/>
  <c r="AJ751" i="16"/>
  <c r="AC751" i="16"/>
  <c r="AF751" i="16"/>
  <c r="AI751" i="16"/>
  <c r="AG750" i="16"/>
  <c r="AC750" i="16"/>
  <c r="AI750" i="16"/>
  <c r="AJ750" i="16"/>
  <c r="AJ1083" i="16" s="1"/>
  <c r="AI754" i="16"/>
  <c r="AC754" i="16"/>
  <c r="AF754" i="16"/>
  <c r="AE773" i="16"/>
  <c r="AC797" i="16"/>
  <c r="AG797" i="16"/>
  <c r="AG779" i="16"/>
  <c r="AH776" i="16"/>
  <c r="AH794" i="16"/>
  <c r="AK804" i="16"/>
  <c r="AD1083" i="16"/>
  <c r="AK1084" i="16"/>
  <c r="AH1066" i="16"/>
  <c r="AH1088" i="16"/>
  <c r="AJ1088" i="16"/>
  <c r="AJ1066" i="16"/>
  <c r="AC1066" i="16"/>
  <c r="AC1088" i="16"/>
  <c r="AK925" i="16"/>
  <c r="AC1094" i="16"/>
  <c r="AK1094" i="16" s="1"/>
  <c r="AF1068" i="16"/>
  <c r="AE1083" i="16"/>
  <c r="AG1068" i="16"/>
  <c r="AI1091" i="16"/>
  <c r="AF1088" i="16"/>
  <c r="AF1066" i="16"/>
  <c r="AH1091" i="16"/>
  <c r="AH1068" i="16"/>
  <c r="AG1066" i="16"/>
  <c r="AG1088" i="16"/>
  <c r="AF1091" i="16"/>
  <c r="AH1087" i="16"/>
  <c r="AJ1065" i="16"/>
  <c r="AI1068" i="16"/>
  <c r="AI1088" i="16"/>
  <c r="AI1066" i="16"/>
  <c r="AG1087" i="16"/>
  <c r="AG1065" i="16"/>
  <c r="AI1087" i="16"/>
  <c r="AC1065" i="16"/>
  <c r="AJ1087" i="16"/>
  <c r="AC1068" i="16"/>
  <c r="AK1089" i="16"/>
  <c r="AI1065" i="16"/>
  <c r="AK1067" i="16"/>
  <c r="AK812" i="16"/>
  <c r="AD792" i="16"/>
  <c r="AD747" i="16" s="1"/>
  <c r="AI776" i="16"/>
  <c r="AI757" i="16"/>
  <c r="AI782" i="16"/>
  <c r="AI800" i="16"/>
  <c r="AI756" i="16"/>
  <c r="AI781" i="16"/>
  <c r="AI799" i="16"/>
  <c r="AH795" i="16"/>
  <c r="AH777" i="16"/>
  <c r="AH751" i="16"/>
  <c r="AD773" i="16"/>
  <c r="AG800" i="16"/>
  <c r="AJ777" i="16"/>
  <c r="AJ795" i="16"/>
  <c r="AC776" i="16"/>
  <c r="AK786" i="16"/>
  <c r="AJ800" i="16"/>
  <c r="AJ794" i="16"/>
  <c r="AC799" i="16"/>
  <c r="AK862" i="16"/>
  <c r="AE792" i="16"/>
  <c r="AE747" i="16" s="1"/>
  <c r="AF756" i="16"/>
  <c r="AF781" i="16"/>
  <c r="AF799" i="16"/>
  <c r="AJ792" i="16"/>
  <c r="AK761" i="16"/>
  <c r="AF777" i="16"/>
  <c r="AF795" i="16"/>
  <c r="AJ798" i="16"/>
  <c r="AK778" i="16"/>
  <c r="AF779" i="16"/>
  <c r="AG795" i="16"/>
  <c r="AG777" i="16"/>
  <c r="AG751" i="16"/>
  <c r="AH755" i="16"/>
  <c r="AH780" i="16"/>
  <c r="AH798" i="16"/>
  <c r="AI777" i="16"/>
  <c r="AI795" i="16"/>
  <c r="AJ780" i="16"/>
  <c r="AC795" i="16"/>
  <c r="AC777" i="16"/>
  <c r="AK825" i="16"/>
  <c r="AI779" i="16"/>
  <c r="AG776" i="16"/>
  <c r="AG794" i="16"/>
  <c r="AC798" i="16"/>
  <c r="AF757" i="16"/>
  <c r="AF800" i="16"/>
  <c r="AF782" i="16"/>
  <c r="AC757" i="16"/>
  <c r="AC800" i="16"/>
  <c r="AC782" i="16"/>
  <c r="AC794" i="16"/>
  <c r="AJ782" i="16"/>
  <c r="AH779" i="16"/>
  <c r="AH797" i="16"/>
  <c r="AK796" i="16"/>
  <c r="AC781" i="16"/>
  <c r="AK766" i="16"/>
  <c r="AK752" i="16"/>
  <c r="AC755" i="16"/>
  <c r="AK753" i="16"/>
  <c r="AG754" i="16"/>
  <c r="AG757" i="16"/>
  <c r="U749" i="16"/>
  <c r="U765" i="16"/>
  <c r="U769" i="16"/>
  <c r="U791" i="16"/>
  <c r="U849" i="16"/>
  <c r="U883" i="16"/>
  <c r="U895" i="16"/>
  <c r="U772" i="16"/>
  <c r="U808" i="16"/>
  <c r="U810" i="16"/>
  <c r="U909" i="16"/>
  <c r="U922" i="16"/>
  <c r="U1010" i="16"/>
  <c r="U1013" i="16"/>
  <c r="U1018" i="16"/>
  <c r="U1021" i="16"/>
  <c r="U1026" i="16"/>
  <c r="U1034" i="16"/>
  <c r="U836" i="16"/>
  <c r="U860" i="16"/>
  <c r="U928" i="16"/>
  <c r="U960" i="16"/>
  <c r="U963" i="16"/>
  <c r="U995" i="16"/>
  <c r="U1008" i="16"/>
  <c r="U1079" i="16"/>
  <c r="U942" i="16"/>
  <c r="U985" i="16"/>
  <c r="U998" i="16"/>
  <c r="U1001" i="16"/>
  <c r="U1006" i="16"/>
  <c r="U824" i="16"/>
  <c r="U924" i="16"/>
  <c r="U932" i="16"/>
  <c r="U956" i="16"/>
  <c r="U980" i="16"/>
  <c r="U988" i="16"/>
  <c r="U991" i="16"/>
  <c r="U1015" i="16"/>
  <c r="U1028" i="16"/>
  <c r="T1082" i="16"/>
  <c r="T1084" i="16"/>
  <c r="T1088" i="16"/>
  <c r="T1091" i="16"/>
  <c r="T1096" i="16"/>
  <c r="T1098" i="16"/>
  <c r="T1100" i="16"/>
  <c r="T1102" i="16"/>
  <c r="T1104" i="16"/>
  <c r="T1106" i="16"/>
  <c r="T1108" i="16"/>
  <c r="T1110" i="16"/>
  <c r="T1114" i="16"/>
  <c r="T1083" i="16"/>
  <c r="T1086" i="16"/>
  <c r="T1089" i="16"/>
  <c r="T1094" i="16"/>
  <c r="T1105" i="16"/>
  <c r="T1109" i="16"/>
  <c r="T1113" i="16"/>
  <c r="T1087" i="16"/>
  <c r="T1092" i="16"/>
  <c r="T1095" i="16"/>
  <c r="T1097" i="16"/>
  <c r="T1099" i="16"/>
  <c r="T1101" i="16"/>
  <c r="T1103" i="16"/>
  <c r="T1107" i="16"/>
  <c r="T1111" i="16"/>
  <c r="T1115" i="16"/>
  <c r="T1085" i="16"/>
  <c r="T1090" i="16"/>
  <c r="T1093" i="16"/>
  <c r="T1112" i="16"/>
  <c r="T1116" i="16"/>
  <c r="U771" i="16"/>
  <c r="U809" i="16"/>
  <c r="U823" i="16"/>
  <c r="U835" i="16"/>
  <c r="U859" i="16"/>
  <c r="U748" i="16"/>
  <c r="U764" i="16"/>
  <c r="U790" i="16"/>
  <c r="U882" i="16"/>
  <c r="U941" i="16"/>
  <c r="U962" i="16"/>
  <c r="U981" i="16"/>
  <c r="U994" i="16"/>
  <c r="U997" i="16"/>
  <c r="U1005" i="16"/>
  <c r="U1029" i="16"/>
  <c r="U1037" i="16"/>
  <c r="U1042" i="16"/>
  <c r="U1053" i="16"/>
  <c r="U920" i="16"/>
  <c r="U931" i="16"/>
  <c r="U955" i="16"/>
  <c r="U979" i="16"/>
  <c r="U984" i="16"/>
  <c r="U987" i="16"/>
  <c r="U1000" i="16"/>
  <c r="U1027" i="16"/>
  <c r="U1035" i="16"/>
  <c r="U1040" i="16"/>
  <c r="U1043" i="16"/>
  <c r="U1081" i="16"/>
  <c r="U894" i="16"/>
  <c r="U990" i="16"/>
  <c r="U1009" i="16"/>
  <c r="U1017" i="16"/>
  <c r="U1022" i="16"/>
  <c r="U1025" i="16"/>
  <c r="U1033" i="16"/>
  <c r="U1038" i="16"/>
  <c r="U1041" i="16"/>
  <c r="U1062" i="16"/>
  <c r="U848" i="16"/>
  <c r="U908" i="16"/>
  <c r="U959" i="16"/>
  <c r="U1007" i="16"/>
  <c r="U1012" i="16"/>
  <c r="U1020" i="16"/>
  <c r="U1036" i="16"/>
  <c r="U1039" i="16"/>
  <c r="U1044" i="16"/>
  <c r="T340" i="16"/>
  <c r="T342" i="16"/>
  <c r="T344" i="16"/>
  <c r="T346" i="16"/>
  <c r="T348" i="16"/>
  <c r="T350" i="16"/>
  <c r="T352" i="16"/>
  <c r="T354" i="16"/>
  <c r="T356" i="16"/>
  <c r="T358" i="16"/>
  <c r="T360" i="16"/>
  <c r="T362" i="16"/>
  <c r="T364" i="16"/>
  <c r="T366" i="16"/>
  <c r="T368" i="16"/>
  <c r="T370" i="16"/>
  <c r="T372" i="16"/>
  <c r="T374" i="16"/>
  <c r="T341" i="16"/>
  <c r="T345" i="16"/>
  <c r="T349" i="16"/>
  <c r="T353" i="16"/>
  <c r="T357" i="16"/>
  <c r="T361" i="16"/>
  <c r="T365" i="16"/>
  <c r="T369" i="16"/>
  <c r="T373" i="16"/>
  <c r="T343" i="16"/>
  <c r="T347" i="16"/>
  <c r="T351" i="16"/>
  <c r="T355" i="16"/>
  <c r="T359" i="16"/>
  <c r="T363" i="16"/>
  <c r="T367" i="16"/>
  <c r="T371" i="16"/>
  <c r="T712" i="16"/>
  <c r="T714" i="16"/>
  <c r="T716" i="16"/>
  <c r="T718" i="16"/>
  <c r="T720" i="16"/>
  <c r="T722" i="16"/>
  <c r="T724" i="16"/>
  <c r="T726" i="16"/>
  <c r="T728" i="16"/>
  <c r="T730" i="16"/>
  <c r="T732" i="16"/>
  <c r="T734" i="16"/>
  <c r="T736" i="16"/>
  <c r="T738" i="16"/>
  <c r="T740" i="16"/>
  <c r="T742" i="16"/>
  <c r="T744" i="16"/>
  <c r="T735" i="16"/>
  <c r="T715" i="16"/>
  <c r="T719" i="16"/>
  <c r="T723" i="16"/>
  <c r="T727" i="16"/>
  <c r="T731" i="16"/>
  <c r="T737" i="16"/>
  <c r="T711" i="16"/>
  <c r="T713" i="16"/>
  <c r="T717" i="16"/>
  <c r="T721" i="16"/>
  <c r="T725" i="16"/>
  <c r="T729" i="16"/>
  <c r="T733" i="16"/>
  <c r="T741" i="16"/>
  <c r="T745" i="16"/>
  <c r="T739" i="16"/>
  <c r="T743" i="16"/>
  <c r="U30" i="16"/>
  <c r="U7" i="16"/>
  <c r="U23" i="16"/>
  <c r="U27" i="16"/>
  <c r="U66" i="16"/>
  <c r="U68" i="16"/>
  <c r="U82" i="16"/>
  <c r="U141" i="16"/>
  <c r="U180" i="16"/>
  <c r="U182" i="16"/>
  <c r="U186" i="16"/>
  <c r="U190" i="16"/>
  <c r="U94" i="16"/>
  <c r="U107" i="16"/>
  <c r="U118" i="16"/>
  <c r="U153" i="16"/>
  <c r="U221" i="16"/>
  <c r="U243" i="16"/>
  <c r="U167" i="16"/>
  <c r="U246" i="16"/>
  <c r="U249" i="16"/>
  <c r="U253" i="16"/>
  <c r="U259" i="16"/>
  <c r="U271" i="16"/>
  <c r="U273" i="16"/>
  <c r="U279" i="16"/>
  <c r="U337" i="16"/>
  <c r="U401" i="16"/>
  <c r="U437" i="16"/>
  <c r="U439" i="16"/>
  <c r="U453" i="16"/>
  <c r="U200" i="16"/>
  <c r="U49" i="16"/>
  <c r="U256" i="16"/>
  <c r="U264" i="16"/>
  <c r="U266" i="16"/>
  <c r="U268" i="16"/>
  <c r="U276" i="16"/>
  <c r="U284" i="16"/>
  <c r="U286" i="16"/>
  <c r="U292" i="16"/>
  <c r="U238" i="16"/>
  <c r="U512" i="16"/>
  <c r="U551" i="16"/>
  <c r="U553" i="16"/>
  <c r="U557" i="16"/>
  <c r="U561" i="16"/>
  <c r="U571" i="16"/>
  <c r="U585" i="16"/>
  <c r="U589" i="16"/>
  <c r="U609" i="16"/>
  <c r="U617" i="16"/>
  <c r="U627" i="16"/>
  <c r="U635" i="16"/>
  <c r="U637" i="16"/>
  <c r="U639" i="16"/>
  <c r="U378" i="16"/>
  <c r="U394" i="16"/>
  <c r="U398" i="16"/>
  <c r="U478" i="16"/>
  <c r="U214" i="16"/>
  <c r="U465" i="16"/>
  <c r="U489" i="16"/>
  <c r="U524" i="16"/>
  <c r="U538" i="16"/>
  <c r="U592" i="16"/>
  <c r="U614" i="16"/>
  <c r="U620" i="16"/>
  <c r="U624" i="16"/>
  <c r="U630" i="16"/>
  <c r="U642" i="16"/>
  <c r="U644" i="16"/>
  <c r="U650" i="16"/>
  <c r="U708" i="16"/>
  <c r="U218" i="16"/>
  <c r="U420" i="16"/>
  <c r="U657" i="16"/>
  <c r="U647" i="16"/>
  <c r="U655" i="16"/>
  <c r="U663" i="16"/>
  <c r="U6" i="16"/>
  <c r="U22" i="16"/>
  <c r="U48" i="16"/>
  <c r="U93" i="16"/>
  <c r="U117" i="16"/>
  <c r="U152" i="16"/>
  <c r="U178" i="16"/>
  <c r="U67" i="16"/>
  <c r="U166" i="16"/>
  <c r="U140" i="16"/>
  <c r="U189" i="16"/>
  <c r="U199" i="16"/>
  <c r="U213" i="16"/>
  <c r="U217" i="16"/>
  <c r="U237" i="16"/>
  <c r="U239" i="16"/>
  <c r="U255" i="16"/>
  <c r="U263" i="16"/>
  <c r="U265" i="16"/>
  <c r="U267" i="16"/>
  <c r="U275" i="16"/>
  <c r="U283" i="16"/>
  <c r="U285" i="16"/>
  <c r="U287" i="16"/>
  <c r="U291" i="16"/>
  <c r="U293" i="16"/>
  <c r="U295" i="16"/>
  <c r="U297" i="16"/>
  <c r="U299" i="16"/>
  <c r="U301" i="16"/>
  <c r="U311" i="16"/>
  <c r="U339" i="16"/>
  <c r="U377" i="16"/>
  <c r="U393" i="16"/>
  <c r="U419" i="16"/>
  <c r="U81" i="16"/>
  <c r="U106" i="16"/>
  <c r="U220" i="16"/>
  <c r="U245" i="16"/>
  <c r="U252" i="16"/>
  <c r="U258" i="16"/>
  <c r="U270" i="16"/>
  <c r="U278" i="16"/>
  <c r="U280" i="16"/>
  <c r="U294" i="16"/>
  <c r="U296" i="16"/>
  <c r="U298" i="16"/>
  <c r="U300" i="16"/>
  <c r="U302" i="16"/>
  <c r="U29" i="16"/>
  <c r="U464" i="16"/>
  <c r="U477" i="16"/>
  <c r="U488" i="16"/>
  <c r="U537" i="16"/>
  <c r="U549" i="16"/>
  <c r="U591" i="16"/>
  <c r="U613" i="16"/>
  <c r="U619" i="16"/>
  <c r="U623" i="16"/>
  <c r="U629" i="16"/>
  <c r="U641" i="16"/>
  <c r="U242" i="16"/>
  <c r="U438" i="16"/>
  <c r="U560" i="16"/>
  <c r="U570" i="16"/>
  <c r="U584" i="16"/>
  <c r="U588" i="16"/>
  <c r="U608" i="16"/>
  <c r="U610" i="16"/>
  <c r="U616" i="16"/>
  <c r="U626" i="16"/>
  <c r="U634" i="16"/>
  <c r="U636" i="16"/>
  <c r="U638" i="16"/>
  <c r="U646" i="16"/>
  <c r="U654" i="16"/>
  <c r="U656" i="16"/>
  <c r="U658" i="16"/>
  <c r="U662" i="16"/>
  <c r="U664" i="16"/>
  <c r="U666" i="16"/>
  <c r="U668" i="16"/>
  <c r="U670" i="16"/>
  <c r="U672" i="16"/>
  <c r="U682" i="16"/>
  <c r="U710" i="16"/>
  <c r="U669" i="16"/>
  <c r="U320" i="16"/>
  <c r="U400" i="16"/>
  <c r="U651" i="16"/>
  <c r="U667" i="16"/>
  <c r="U691" i="16"/>
  <c r="U248" i="16"/>
  <c r="U452" i="16"/>
  <c r="U511" i="16"/>
  <c r="U649" i="16"/>
  <c r="U665" i="16"/>
  <c r="U673" i="16"/>
  <c r="U523" i="16"/>
  <c r="U671" i="16"/>
  <c r="S62" i="17"/>
  <c r="S63" i="17"/>
  <c r="S64" i="17"/>
  <c r="S65" i="17"/>
  <c r="S66" i="17"/>
  <c r="S67" i="17"/>
  <c r="S68" i="17"/>
  <c r="S69" i="17"/>
  <c r="S70" i="17"/>
  <c r="S71" i="17"/>
  <c r="S72" i="17"/>
  <c r="S73" i="17"/>
  <c r="S74" i="17"/>
  <c r="S75" i="17"/>
  <c r="S76" i="17"/>
  <c r="S77" i="17"/>
  <c r="S78" i="17"/>
  <c r="S79" i="17"/>
  <c r="S80" i="17"/>
  <c r="S81" i="17"/>
  <c r="S82" i="17"/>
  <c r="S83" i="17"/>
  <c r="S84" i="17"/>
  <c r="S85" i="17"/>
  <c r="S86" i="17"/>
  <c r="S87" i="17"/>
  <c r="S88" i="17"/>
  <c r="S89" i="17"/>
  <c r="S90" i="17"/>
  <c r="S91" i="17"/>
  <c r="S92" i="17"/>
  <c r="S93" i="17"/>
  <c r="S94" i="17"/>
  <c r="S95" i="17"/>
  <c r="S96" i="17"/>
  <c r="S97" i="17"/>
  <c r="S98" i="17"/>
  <c r="S99" i="17"/>
  <c r="S100" i="17"/>
  <c r="S101" i="17"/>
  <c r="S102" i="17"/>
  <c r="S103" i="17"/>
  <c r="S104" i="17"/>
  <c r="S105" i="17"/>
  <c r="S106" i="17"/>
  <c r="S107" i="17"/>
  <c r="S108" i="17"/>
  <c r="S109" i="17"/>
  <c r="S110" i="17"/>
  <c r="S111" i="17"/>
  <c r="S112" i="17"/>
  <c r="S113" i="17"/>
  <c r="S114" i="17"/>
  <c r="S115" i="17"/>
  <c r="S116" i="17"/>
  <c r="S117" i="17"/>
  <c r="S118" i="17"/>
  <c r="AJ773" i="16" l="1"/>
  <c r="AK750" i="16"/>
  <c r="AK754" i="16"/>
  <c r="AK797" i="16"/>
  <c r="AK756" i="16"/>
  <c r="AK751" i="16"/>
  <c r="AK1068" i="16"/>
  <c r="AK781" i="16"/>
  <c r="AF792" i="16"/>
  <c r="AF1064" i="16" s="1"/>
  <c r="AH792" i="16"/>
  <c r="AH747" i="16" s="1"/>
  <c r="AI773" i="16"/>
  <c r="AC1083" i="16"/>
  <c r="AI1083" i="16"/>
  <c r="AK1091" i="16"/>
  <c r="AH1083" i="16"/>
  <c r="AK1087" i="16"/>
  <c r="AG1083" i="16"/>
  <c r="AF1083" i="16"/>
  <c r="AD775" i="16"/>
  <c r="AD746" i="16" s="1"/>
  <c r="AD1064" i="16"/>
  <c r="AK1088" i="16"/>
  <c r="AJ1064" i="16"/>
  <c r="AI792" i="16"/>
  <c r="AI1064" i="16" s="1"/>
  <c r="AK1066" i="16"/>
  <c r="AE775" i="16"/>
  <c r="AE746" i="16" s="1"/>
  <c r="AE1064" i="16"/>
  <c r="AK1065" i="16"/>
  <c r="AK794" i="16"/>
  <c r="AK800" i="16"/>
  <c r="AK798" i="16"/>
  <c r="AK757" i="16"/>
  <c r="AK755" i="16"/>
  <c r="AK777" i="16"/>
  <c r="AF775" i="16"/>
  <c r="AF773" i="16"/>
  <c r="AK780" i="16"/>
  <c r="AK779" i="16"/>
  <c r="AK782" i="16"/>
  <c r="AC792" i="16"/>
  <c r="AC1064" i="16" s="1"/>
  <c r="AJ775" i="16"/>
  <c r="AK799" i="16"/>
  <c r="AH773" i="16"/>
  <c r="AK776" i="16"/>
  <c r="AG773" i="16"/>
  <c r="AG792" i="16"/>
  <c r="AG1064" i="16" s="1"/>
  <c r="AK795" i="16"/>
  <c r="AC773" i="16"/>
  <c r="AJ747" i="16"/>
  <c r="D79" i="15"/>
  <c r="N196" i="18" s="1"/>
  <c r="F79" i="15"/>
  <c r="P196" i="18" s="1"/>
  <c r="D65" i="15"/>
  <c r="N182" i="18" s="1"/>
  <c r="F65" i="15"/>
  <c r="P182" i="18" s="1"/>
  <c r="D74" i="15"/>
  <c r="N191" i="18" s="1"/>
  <c r="F74" i="15"/>
  <c r="P191" i="18" s="1"/>
  <c r="D68" i="15"/>
  <c r="N185" i="18" s="1"/>
  <c r="F68" i="15"/>
  <c r="P185" i="18" s="1"/>
  <c r="D60" i="15"/>
  <c r="N177" i="18" s="1"/>
  <c r="F60" i="15"/>
  <c r="P177" i="18" s="1"/>
  <c r="H27" i="15"/>
  <c r="Q144" i="18" s="1"/>
  <c r="J27" i="15"/>
  <c r="S144" i="18" s="1"/>
  <c r="J44" i="15"/>
  <c r="S161" i="18" s="1"/>
  <c r="H44" i="15"/>
  <c r="Q161" i="18" s="1"/>
  <c r="D71" i="15"/>
  <c r="N188" i="18" s="1"/>
  <c r="F71" i="15"/>
  <c r="P188" i="18" s="1"/>
  <c r="D72" i="15"/>
  <c r="N189" i="18" s="1"/>
  <c r="F72" i="15"/>
  <c r="P189" i="18" s="1"/>
  <c r="D67" i="15"/>
  <c r="N184" i="18" s="1"/>
  <c r="F67" i="15"/>
  <c r="P184" i="18" s="1"/>
  <c r="D59" i="15"/>
  <c r="N176" i="18" s="1"/>
  <c r="F59" i="15"/>
  <c r="P176" i="18" s="1"/>
  <c r="D51" i="15"/>
  <c r="N168" i="18" s="1"/>
  <c r="F51" i="15"/>
  <c r="P168" i="18" s="1"/>
  <c r="D77" i="15"/>
  <c r="N194" i="18" s="1"/>
  <c r="F77" i="15"/>
  <c r="P194" i="18" s="1"/>
  <c r="D78" i="15"/>
  <c r="N195" i="18" s="1"/>
  <c r="F78" i="15"/>
  <c r="P195" i="18" s="1"/>
  <c r="D70" i="15"/>
  <c r="N187" i="18" s="1"/>
  <c r="F70" i="15"/>
  <c r="P187" i="18" s="1"/>
  <c r="H45" i="15"/>
  <c r="Q162" i="18" s="1"/>
  <c r="J45" i="15"/>
  <c r="S162" i="18" s="1"/>
  <c r="D73" i="15"/>
  <c r="N190" i="18" s="1"/>
  <c r="F73" i="15"/>
  <c r="P190" i="18" s="1"/>
  <c r="D75" i="15"/>
  <c r="N192" i="18" s="1"/>
  <c r="F75" i="15"/>
  <c r="P192" i="18" s="1"/>
  <c r="D76" i="15"/>
  <c r="N193" i="18" s="1"/>
  <c r="F76" i="15"/>
  <c r="P193" i="18" s="1"/>
  <c r="D33" i="15"/>
  <c r="N150" i="18" s="1"/>
  <c r="F33" i="15"/>
  <c r="P150" i="18" s="1"/>
  <c r="J29" i="15"/>
  <c r="S146" i="18" s="1"/>
  <c r="H29" i="15"/>
  <c r="Q146" i="18" s="1"/>
  <c r="K79" i="15"/>
  <c r="K80" i="15"/>
  <c r="K81" i="15"/>
  <c r="K82" i="15"/>
  <c r="K83" i="15"/>
  <c r="K70" i="15"/>
  <c r="AA28" i="15"/>
  <c r="AM28" i="15" s="1"/>
  <c r="AA29" i="15"/>
  <c r="AM29" i="15" s="1"/>
  <c r="AA30" i="15"/>
  <c r="AM30" i="15" s="1"/>
  <c r="AA31" i="15"/>
  <c r="AM31" i="15" s="1"/>
  <c r="AA32" i="15"/>
  <c r="AM32" i="15" s="1"/>
  <c r="AA33" i="15"/>
  <c r="AM33" i="15" s="1"/>
  <c r="AA34" i="15"/>
  <c r="AM34" i="15" s="1"/>
  <c r="AA35" i="15"/>
  <c r="AM35" i="15" s="1"/>
  <c r="AA36" i="15"/>
  <c r="AM36" i="15" s="1"/>
  <c r="AA37" i="15"/>
  <c r="AM37" i="15" s="1"/>
  <c r="AA38" i="15"/>
  <c r="AM38" i="15" s="1"/>
  <c r="AA39" i="15"/>
  <c r="AM39" i="15" s="1"/>
  <c r="AA40" i="15"/>
  <c r="AM40" i="15" s="1"/>
  <c r="AA41" i="15"/>
  <c r="AM41" i="15" s="1"/>
  <c r="AA42" i="15"/>
  <c r="AM42" i="15" s="1"/>
  <c r="AA43" i="15"/>
  <c r="AM43" i="15" s="1"/>
  <c r="AA44" i="15"/>
  <c r="AM44" i="15" s="1"/>
  <c r="AA45" i="15"/>
  <c r="AM45" i="15" s="1"/>
  <c r="AA46" i="15"/>
  <c r="AM46" i="15" s="1"/>
  <c r="AA47" i="15"/>
  <c r="AM47" i="15" s="1"/>
  <c r="AA48" i="15"/>
  <c r="AM48" i="15" s="1"/>
  <c r="AA49" i="15"/>
  <c r="AM49" i="15" s="1"/>
  <c r="AA50" i="15"/>
  <c r="AM50" i="15" s="1"/>
  <c r="AA51" i="15"/>
  <c r="AM51" i="15" s="1"/>
  <c r="AA52" i="15"/>
  <c r="AM52" i="15" s="1"/>
  <c r="AA53" i="15"/>
  <c r="AM53" i="15" s="1"/>
  <c r="AA54" i="15"/>
  <c r="AM54" i="15" s="1"/>
  <c r="AA55" i="15"/>
  <c r="AM55" i="15" s="1"/>
  <c r="AA56" i="15"/>
  <c r="AM56" i="15" s="1"/>
  <c r="AA57" i="15"/>
  <c r="AM57" i="15" s="1"/>
  <c r="AA58" i="15"/>
  <c r="AM58" i="15" s="1"/>
  <c r="AA59" i="15"/>
  <c r="AM59" i="15" s="1"/>
  <c r="AA60" i="15"/>
  <c r="AM60" i="15" s="1"/>
  <c r="AA61" i="15"/>
  <c r="AM61" i="15" s="1"/>
  <c r="AA62" i="15"/>
  <c r="AM62" i="15" s="1"/>
  <c r="AA63" i="15"/>
  <c r="AM63" i="15" s="1"/>
  <c r="AA64" i="15"/>
  <c r="AM64" i="15" s="1"/>
  <c r="AA65" i="15"/>
  <c r="AM65" i="15" s="1"/>
  <c r="AA66" i="15"/>
  <c r="AM66" i="15" s="1"/>
  <c r="AA67" i="15"/>
  <c r="AM67" i="15" s="1"/>
  <c r="AA68" i="15"/>
  <c r="AM68" i="15" s="1"/>
  <c r="AA69" i="15"/>
  <c r="AM69" i="15" s="1"/>
  <c r="AA70" i="15"/>
  <c r="AM70" i="15" s="1"/>
  <c r="AA71" i="15"/>
  <c r="AM71" i="15" s="1"/>
  <c r="AA72" i="15"/>
  <c r="AM72" i="15" s="1"/>
  <c r="AA73" i="15"/>
  <c r="AM73" i="15" s="1"/>
  <c r="AA74" i="15"/>
  <c r="AM74" i="15" s="1"/>
  <c r="AA75" i="15"/>
  <c r="AM75" i="15" s="1"/>
  <c r="AA76" i="15"/>
  <c r="AM76" i="15" s="1"/>
  <c r="AA77" i="15"/>
  <c r="AM77" i="15" s="1"/>
  <c r="AA78" i="15"/>
  <c r="AM78" i="15" s="1"/>
  <c r="AA79" i="15"/>
  <c r="AM79" i="15" s="1"/>
  <c r="AA80" i="15"/>
  <c r="AM80" i="15" s="1"/>
  <c r="AA81" i="15"/>
  <c r="AM81" i="15" s="1"/>
  <c r="AA82" i="15"/>
  <c r="AM82" i="15" s="1"/>
  <c r="AA83" i="15"/>
  <c r="AM83" i="15" s="1"/>
  <c r="AA27" i="15"/>
  <c r="AM27" i="15" s="1"/>
  <c r="AF747" i="16" l="1"/>
  <c r="AJ746" i="16"/>
  <c r="U1824" i="16"/>
  <c r="T1490" i="16"/>
  <c r="T1488" i="16"/>
  <c r="T1489" i="16"/>
  <c r="T1491" i="16"/>
  <c r="U176" i="17"/>
  <c r="T176" i="17"/>
  <c r="T1119" i="16"/>
  <c r="U1453" i="16"/>
  <c r="T1117" i="16"/>
  <c r="T1118" i="16"/>
  <c r="T1120" i="16"/>
  <c r="T1795" i="16"/>
  <c r="T1793" i="16"/>
  <c r="T1791" i="16"/>
  <c r="T1789" i="16"/>
  <c r="T1787" i="16"/>
  <c r="T1794" i="16"/>
  <c r="T1792" i="16"/>
  <c r="T1790" i="16"/>
  <c r="T1788" i="16"/>
  <c r="T1417" i="16"/>
  <c r="T1419" i="16"/>
  <c r="T1421" i="16"/>
  <c r="T1423" i="16"/>
  <c r="T1416" i="16"/>
  <c r="T1418" i="16"/>
  <c r="T1420" i="16"/>
  <c r="T1422" i="16"/>
  <c r="T1424" i="16"/>
  <c r="U1801" i="16"/>
  <c r="T1783" i="16"/>
  <c r="U1718" i="16"/>
  <c r="U1695" i="16"/>
  <c r="U1660" i="16"/>
  <c r="U1648" i="16"/>
  <c r="U1634" i="16"/>
  <c r="U1621" i="16"/>
  <c r="U1700" i="16"/>
  <c r="U1588" i="16"/>
  <c r="U1792" i="16"/>
  <c r="U1728" i="16"/>
  <c r="U1681" i="16"/>
  <c r="U1564" i="16"/>
  <c r="U1193" i="16"/>
  <c r="U1217" i="16"/>
  <c r="U1263" i="16"/>
  <c r="U1277" i="16"/>
  <c r="U1289" i="16"/>
  <c r="U1250" i="16"/>
  <c r="U1310" i="16"/>
  <c r="U1430" i="16"/>
  <c r="U1347" i="16"/>
  <c r="U1324" i="16"/>
  <c r="U1421" i="16"/>
  <c r="U1329" i="16"/>
  <c r="U1357" i="16"/>
  <c r="T1412" i="16"/>
  <c r="U1797" i="16"/>
  <c r="U1753" i="16"/>
  <c r="U1715" i="16"/>
  <c r="T1779" i="16"/>
  <c r="U1788" i="16"/>
  <c r="U1692" i="16"/>
  <c r="U1677" i="16"/>
  <c r="U1617" i="16"/>
  <c r="U1246" i="16"/>
  <c r="U1306" i="16"/>
  <c r="U1382" i="16"/>
  <c r="U1426" i="16"/>
  <c r="U1417" i="16"/>
  <c r="U1344" i="16"/>
  <c r="U1321" i="16"/>
  <c r="T1408" i="16"/>
  <c r="U1773" i="16"/>
  <c r="U1703" i="16"/>
  <c r="T1771" i="16"/>
  <c r="U1672" i="16"/>
  <c r="U1301" i="16"/>
  <c r="U1402" i="16"/>
  <c r="U1332" i="16"/>
  <c r="T1400" i="16"/>
  <c r="U1761" i="16"/>
  <c r="T1763" i="16"/>
  <c r="T1761" i="16"/>
  <c r="T1762" i="16"/>
  <c r="U1855" i="16"/>
  <c r="U1758" i="16"/>
  <c r="U1390" i="16"/>
  <c r="T1391" i="16"/>
  <c r="U1387" i="16"/>
  <c r="T1390" i="16"/>
  <c r="T1392" i="16"/>
  <c r="U1484" i="16"/>
  <c r="T1751" i="16"/>
  <c r="T1752" i="16"/>
  <c r="U1851" i="16"/>
  <c r="U1571" i="16"/>
  <c r="U1613" i="16"/>
  <c r="U1596" i="16"/>
  <c r="U1583" i="16"/>
  <c r="U1225" i="16"/>
  <c r="U1200" i="16"/>
  <c r="U1212" i="16"/>
  <c r="U1242" i="16"/>
  <c r="T1381" i="16"/>
  <c r="T1380" i="16"/>
  <c r="U1480" i="16"/>
  <c r="U1711" i="16"/>
  <c r="T1739" i="16"/>
  <c r="T1740" i="16"/>
  <c r="T1738" i="16"/>
  <c r="U1847" i="16"/>
  <c r="U1818" i="16"/>
  <c r="U1738" i="16"/>
  <c r="U1581" i="16"/>
  <c r="U1642" i="16"/>
  <c r="U1629" i="16"/>
  <c r="U1610" i="16"/>
  <c r="U1547" i="16"/>
  <c r="U1655" i="16"/>
  <c r="U1570" i="16"/>
  <c r="U1529" i="16"/>
  <c r="U1504" i="16"/>
  <c r="U1199" i="16"/>
  <c r="U1239" i="16"/>
  <c r="U1271" i="16"/>
  <c r="U1158" i="16"/>
  <c r="U1176" i="16"/>
  <c r="U1210" i="16"/>
  <c r="U1258" i="16"/>
  <c r="U1284" i="16"/>
  <c r="T1367" i="16"/>
  <c r="T1369" i="16"/>
  <c r="U1447" i="16"/>
  <c r="U1133" i="16"/>
  <c r="U1340" i="16"/>
  <c r="U1367" i="16"/>
  <c r="T1368" i="16"/>
  <c r="U1476" i="16"/>
  <c r="U1707" i="16"/>
  <c r="T1727" i="16"/>
  <c r="T1725" i="16"/>
  <c r="T1724" i="16"/>
  <c r="U1843" i="16"/>
  <c r="T1726" i="16"/>
  <c r="U1555" i="16"/>
  <c r="U1580" i="16"/>
  <c r="U1568" i="16"/>
  <c r="U1593" i="16"/>
  <c r="T1353" i="16"/>
  <c r="T1355" i="16"/>
  <c r="U1197" i="16"/>
  <c r="U1209" i="16"/>
  <c r="T1354" i="16"/>
  <c r="T1356" i="16"/>
  <c r="U1184" i="16"/>
  <c r="U1222" i="16"/>
  <c r="U1336" i="16"/>
  <c r="U1472" i="16"/>
  <c r="U1840" i="16"/>
  <c r="T1701" i="16"/>
  <c r="T1699" i="16"/>
  <c r="T1700" i="16"/>
  <c r="T1702" i="16"/>
  <c r="U1640" i="16"/>
  <c r="U1675" i="16"/>
  <c r="U1605" i="16"/>
  <c r="U1628" i="16"/>
  <c r="U1685" i="16"/>
  <c r="U1665" i="16"/>
  <c r="U1654" i="16"/>
  <c r="U1502" i="16"/>
  <c r="T1329" i="16"/>
  <c r="T1331" i="16"/>
  <c r="U1257" i="16"/>
  <c r="U1269" i="16"/>
  <c r="U1283" i="16"/>
  <c r="T1328" i="16"/>
  <c r="T1330" i="16"/>
  <c r="U1234" i="16"/>
  <c r="U1294" i="16"/>
  <c r="U1304" i="16"/>
  <c r="U1314" i="16"/>
  <c r="U1469" i="16"/>
  <c r="U1131" i="16"/>
  <c r="U1836" i="16"/>
  <c r="T1669" i="16"/>
  <c r="T1667" i="16"/>
  <c r="T1670" i="16"/>
  <c r="T1668" i="16"/>
  <c r="T1297" i="16"/>
  <c r="T1299" i="16"/>
  <c r="T1296" i="16"/>
  <c r="T1298" i="16"/>
  <c r="U1465" i="16"/>
  <c r="U1834" i="16"/>
  <c r="T1651" i="16"/>
  <c r="T1649" i="16"/>
  <c r="T1647" i="16"/>
  <c r="T1645" i="16"/>
  <c r="T1643" i="16"/>
  <c r="T1641" i="16"/>
  <c r="T1639" i="16"/>
  <c r="U1812" i="16"/>
  <c r="T1646" i="16"/>
  <c r="T1638" i="16"/>
  <c r="U1541" i="16"/>
  <c r="T1648" i="16"/>
  <c r="T1640" i="16"/>
  <c r="T1650" i="16"/>
  <c r="T1642" i="16"/>
  <c r="T1644" i="16"/>
  <c r="U1498" i="16"/>
  <c r="U1523" i="16"/>
  <c r="T1267" i="16"/>
  <c r="T1269" i="16"/>
  <c r="T1271" i="16"/>
  <c r="T1273" i="16"/>
  <c r="T1275" i="16"/>
  <c r="T1277" i="16"/>
  <c r="T1279" i="16"/>
  <c r="T1268" i="16"/>
  <c r="T1270" i="16"/>
  <c r="T1272" i="16"/>
  <c r="T1274" i="16"/>
  <c r="T1276" i="16"/>
  <c r="T1278" i="16"/>
  <c r="T1280" i="16"/>
  <c r="U1152" i="16"/>
  <c r="U1170" i="16"/>
  <c r="U1441" i="16"/>
  <c r="U1127" i="16"/>
  <c r="U1463" i="16"/>
  <c r="U1809" i="16"/>
  <c r="U1831" i="16"/>
  <c r="T1591" i="16"/>
  <c r="T1589" i="16"/>
  <c r="T1587" i="16"/>
  <c r="T1585" i="16"/>
  <c r="T1583" i="16"/>
  <c r="T1581" i="16"/>
  <c r="T1579" i="16"/>
  <c r="T1590" i="16"/>
  <c r="T1582" i="16"/>
  <c r="T1584" i="16"/>
  <c r="T1586" i="16"/>
  <c r="T1580" i="16"/>
  <c r="U1538" i="16"/>
  <c r="T1588" i="16"/>
  <c r="U1494" i="16"/>
  <c r="U1520" i="16"/>
  <c r="T1209" i="16"/>
  <c r="T1211" i="16"/>
  <c r="T1213" i="16"/>
  <c r="T1215" i="16"/>
  <c r="T1217" i="16"/>
  <c r="T1219" i="16"/>
  <c r="U1149" i="16"/>
  <c r="U1167" i="16"/>
  <c r="T1208" i="16"/>
  <c r="T1210" i="16"/>
  <c r="T1212" i="16"/>
  <c r="T1214" i="16"/>
  <c r="T1216" i="16"/>
  <c r="T1218" i="16"/>
  <c r="T1220" i="16"/>
  <c r="U1123" i="16"/>
  <c r="U1438" i="16"/>
  <c r="U1460" i="16"/>
  <c r="U1806" i="16"/>
  <c r="T1550" i="16"/>
  <c r="T1548" i="16"/>
  <c r="T1546" i="16"/>
  <c r="T1544" i="16"/>
  <c r="T1542" i="16"/>
  <c r="T1540" i="16"/>
  <c r="T1538" i="16"/>
  <c r="T1536" i="16"/>
  <c r="T1534" i="16"/>
  <c r="T1549" i="16"/>
  <c r="T1547" i="16"/>
  <c r="T1545" i="16"/>
  <c r="T1543" i="16"/>
  <c r="T1541" i="16"/>
  <c r="T1539" i="16"/>
  <c r="T1537" i="16"/>
  <c r="T1535" i="16"/>
  <c r="U1489" i="16"/>
  <c r="U1517" i="16"/>
  <c r="T1163" i="16"/>
  <c r="T1165" i="16"/>
  <c r="T1167" i="16"/>
  <c r="T1169" i="16"/>
  <c r="T1171" i="16"/>
  <c r="T1173" i="16"/>
  <c r="T1175" i="16"/>
  <c r="T1177" i="16"/>
  <c r="T1179" i="16"/>
  <c r="T1164" i="16"/>
  <c r="T1166" i="16"/>
  <c r="T1168" i="16"/>
  <c r="T1170" i="16"/>
  <c r="T1172" i="16"/>
  <c r="T1174" i="16"/>
  <c r="T1176" i="16"/>
  <c r="T1178" i="16"/>
  <c r="U1146" i="16"/>
  <c r="U1435" i="16"/>
  <c r="U1118" i="16"/>
  <c r="T1506" i="16"/>
  <c r="T1504" i="16"/>
  <c r="T1502" i="16"/>
  <c r="T1500" i="16"/>
  <c r="T1498" i="16"/>
  <c r="T1496" i="16"/>
  <c r="T1494" i="16"/>
  <c r="T1492" i="16"/>
  <c r="T1507" i="16"/>
  <c r="T1505" i="16"/>
  <c r="T1503" i="16"/>
  <c r="T1501" i="16"/>
  <c r="T1499" i="16"/>
  <c r="T1497" i="16"/>
  <c r="U1825" i="16"/>
  <c r="U1534" i="16"/>
  <c r="T1495" i="16"/>
  <c r="T1493" i="16"/>
  <c r="U1515" i="16"/>
  <c r="U1163" i="16"/>
  <c r="U1144" i="16"/>
  <c r="T1121" i="16"/>
  <c r="T1123" i="16"/>
  <c r="T1125" i="16"/>
  <c r="T1127" i="16"/>
  <c r="T1129" i="16"/>
  <c r="T1131" i="16"/>
  <c r="T1133" i="16"/>
  <c r="T1135" i="16"/>
  <c r="T1122" i="16"/>
  <c r="T1124" i="16"/>
  <c r="T1126" i="16"/>
  <c r="T1128" i="16"/>
  <c r="T1130" i="16"/>
  <c r="T1132" i="16"/>
  <c r="T1134" i="16"/>
  <c r="T1136" i="16"/>
  <c r="U1454" i="16"/>
  <c r="T1823" i="16"/>
  <c r="T1451" i="16"/>
  <c r="T1452" i="16"/>
  <c r="T1786" i="16"/>
  <c r="T1415" i="16"/>
  <c r="U1791" i="16"/>
  <c r="U1725" i="16"/>
  <c r="T1782" i="16"/>
  <c r="U1680" i="16"/>
  <c r="U1800" i="16"/>
  <c r="U1620" i="16"/>
  <c r="U1249" i="16"/>
  <c r="U1309" i="16"/>
  <c r="U1354" i="16"/>
  <c r="U1420" i="16"/>
  <c r="T1411" i="16"/>
  <c r="U1429" i="16"/>
  <c r="U1787" i="16"/>
  <c r="T1778" i="16"/>
  <c r="U1796" i="16"/>
  <c r="U1714" i="16"/>
  <c r="U1699" i="16"/>
  <c r="U1616" i="16"/>
  <c r="U1744" i="16"/>
  <c r="U1645" i="16"/>
  <c r="U1561" i="16"/>
  <c r="U1691" i="16"/>
  <c r="U1631" i="16"/>
  <c r="U1657" i="16"/>
  <c r="U1574" i="16"/>
  <c r="U1203" i="16"/>
  <c r="U1245" i="16"/>
  <c r="U1190" i="16"/>
  <c r="U1260" i="16"/>
  <c r="U1274" i="16"/>
  <c r="U1286" i="16"/>
  <c r="U1416" i="16"/>
  <c r="U1343" i="16"/>
  <c r="T1407" i="16"/>
  <c r="U1425" i="16"/>
  <c r="U1320" i="16"/>
  <c r="U1328" i="16"/>
  <c r="U1373" i="16"/>
  <c r="U1858" i="16"/>
  <c r="T1769" i="16"/>
  <c r="T1770" i="16"/>
  <c r="U1573" i="16"/>
  <c r="U1615" i="16"/>
  <c r="U1598" i="16"/>
  <c r="U1560" i="16"/>
  <c r="U1585" i="16"/>
  <c r="U1189" i="16"/>
  <c r="U1227" i="16"/>
  <c r="U1202" i="16"/>
  <c r="U1214" i="16"/>
  <c r="U1244" i="16"/>
  <c r="T1399" i="16"/>
  <c r="T1398" i="16"/>
  <c r="U1487" i="16"/>
  <c r="U1854" i="16"/>
  <c r="T1759" i="16"/>
  <c r="T1760" i="16"/>
  <c r="T1758" i="16"/>
  <c r="U1756" i="16"/>
  <c r="T1387" i="16"/>
  <c r="T1389" i="16"/>
  <c r="U1483" i="16"/>
  <c r="U1385" i="16"/>
  <c r="T1388" i="16"/>
  <c r="U1850" i="16"/>
  <c r="T1749" i="16"/>
  <c r="T1750" i="16"/>
  <c r="U1689" i="16"/>
  <c r="U1656" i="16"/>
  <c r="U1643" i="16"/>
  <c r="U1612" i="16"/>
  <c r="U1630" i="16"/>
  <c r="U1558" i="16"/>
  <c r="U1582" i="16"/>
  <c r="U1187" i="16"/>
  <c r="U1211" i="16"/>
  <c r="U1241" i="16"/>
  <c r="U1259" i="16"/>
  <c r="U1285" i="16"/>
  <c r="U1272" i="16"/>
  <c r="U1318" i="16"/>
  <c r="U1479" i="16"/>
  <c r="T1379" i="16"/>
  <c r="T1378" i="16"/>
  <c r="U1846" i="16"/>
  <c r="T1737" i="16"/>
  <c r="T1735" i="16"/>
  <c r="T1736" i="16"/>
  <c r="T1734" i="16"/>
  <c r="U1710" i="16"/>
  <c r="U1688" i="16"/>
  <c r="U1595" i="16"/>
  <c r="U1569" i="16"/>
  <c r="U1557" i="16"/>
  <c r="U1609" i="16"/>
  <c r="T1364" i="16"/>
  <c r="U1186" i="16"/>
  <c r="U1198" i="16"/>
  <c r="U1224" i="16"/>
  <c r="U1238" i="16"/>
  <c r="U1339" i="16"/>
  <c r="T1365" i="16"/>
  <c r="U1475" i="16"/>
  <c r="T1363" i="16"/>
  <c r="U1317" i="16"/>
  <c r="T1366" i="16"/>
  <c r="T1723" i="16"/>
  <c r="U1606" i="16"/>
  <c r="U1235" i="16"/>
  <c r="T1352" i="16"/>
  <c r="T1697" i="16"/>
  <c r="T1695" i="16"/>
  <c r="T1693" i="16"/>
  <c r="T1691" i="16"/>
  <c r="T1689" i="16"/>
  <c r="U1839" i="16"/>
  <c r="T1692" i="16"/>
  <c r="T1687" i="16"/>
  <c r="T1685" i="16"/>
  <c r="T1694" i="16"/>
  <c r="T1696" i="16"/>
  <c r="T1688" i="16"/>
  <c r="T1686" i="16"/>
  <c r="U1627" i="16"/>
  <c r="U1653" i="16"/>
  <c r="U1567" i="16"/>
  <c r="U1639" i="16"/>
  <c r="U1604" i="16"/>
  <c r="T1698" i="16"/>
  <c r="T1690" i="16"/>
  <c r="U1554" i="16"/>
  <c r="T1315" i="16"/>
  <c r="T1317" i="16"/>
  <c r="T1319" i="16"/>
  <c r="T1321" i="16"/>
  <c r="T1323" i="16"/>
  <c r="T1325" i="16"/>
  <c r="T1327" i="16"/>
  <c r="U1183" i="16"/>
  <c r="U1233" i="16"/>
  <c r="T1314" i="16"/>
  <c r="T1316" i="16"/>
  <c r="T1318" i="16"/>
  <c r="T1320" i="16"/>
  <c r="T1322" i="16"/>
  <c r="T1324" i="16"/>
  <c r="T1326" i="16"/>
  <c r="U1196" i="16"/>
  <c r="U1256" i="16"/>
  <c r="U1268" i="16"/>
  <c r="U1282" i="16"/>
  <c r="U1468" i="16"/>
  <c r="U1815" i="16"/>
  <c r="T1665" i="16"/>
  <c r="U1835" i="16"/>
  <c r="T1666" i="16"/>
  <c r="U1526" i="16"/>
  <c r="U1544" i="16"/>
  <c r="U1501" i="16"/>
  <c r="T1295" i="16"/>
  <c r="U1155" i="16"/>
  <c r="U1173" i="16"/>
  <c r="T1294" i="16"/>
  <c r="U1444" i="16"/>
  <c r="U1464" i="16"/>
  <c r="U1130" i="16"/>
  <c r="U1811" i="16"/>
  <c r="T1637" i="16"/>
  <c r="T1635" i="16"/>
  <c r="T1633" i="16"/>
  <c r="T1631" i="16"/>
  <c r="T1629" i="16"/>
  <c r="T1627" i="16"/>
  <c r="T1630" i="16"/>
  <c r="T1632" i="16"/>
  <c r="T1634" i="16"/>
  <c r="T1626" i="16"/>
  <c r="T1636" i="16"/>
  <c r="T1628" i="16"/>
  <c r="U1522" i="16"/>
  <c r="U1497" i="16"/>
  <c r="U1540" i="16"/>
  <c r="T1255" i="16"/>
  <c r="T1257" i="16"/>
  <c r="T1259" i="16"/>
  <c r="T1261" i="16"/>
  <c r="T1263" i="16"/>
  <c r="T1265" i="16"/>
  <c r="U1151" i="16"/>
  <c r="U1169" i="16"/>
  <c r="T1256" i="16"/>
  <c r="T1258" i="16"/>
  <c r="T1260" i="16"/>
  <c r="T1262" i="16"/>
  <c r="T1264" i="16"/>
  <c r="T1266" i="16"/>
  <c r="U1126" i="16"/>
  <c r="U1440" i="16"/>
  <c r="U1830" i="16"/>
  <c r="T1577" i="16"/>
  <c r="T1575" i="16"/>
  <c r="T1574" i="16"/>
  <c r="T1572" i="16"/>
  <c r="T1570" i="16"/>
  <c r="T1568" i="16"/>
  <c r="T1576" i="16"/>
  <c r="U1808" i="16"/>
  <c r="T1578" i="16"/>
  <c r="T1573" i="16"/>
  <c r="T1571" i="16"/>
  <c r="T1569" i="16"/>
  <c r="T1567" i="16"/>
  <c r="U1537" i="16"/>
  <c r="U1493" i="16"/>
  <c r="U1519" i="16"/>
  <c r="T1197" i="16"/>
  <c r="T1199" i="16"/>
  <c r="T1201" i="16"/>
  <c r="T1203" i="16"/>
  <c r="T1205" i="16"/>
  <c r="T1207" i="16"/>
  <c r="T1196" i="16"/>
  <c r="T1198" i="16"/>
  <c r="T1200" i="16"/>
  <c r="T1202" i="16"/>
  <c r="T1204" i="16"/>
  <c r="T1206" i="16"/>
  <c r="U1148" i="16"/>
  <c r="U1166" i="16"/>
  <c r="U1122" i="16"/>
  <c r="U1437" i="16"/>
  <c r="U1459" i="16"/>
  <c r="T1532" i="16"/>
  <c r="T1530" i="16"/>
  <c r="T1528" i="16"/>
  <c r="T1526" i="16"/>
  <c r="T1524" i="16"/>
  <c r="T1522" i="16"/>
  <c r="T1520" i="16"/>
  <c r="T1518" i="16"/>
  <c r="T1516" i="16"/>
  <c r="T1533" i="16"/>
  <c r="T1531" i="16"/>
  <c r="T1529" i="16"/>
  <c r="T1527" i="16"/>
  <c r="T1525" i="16"/>
  <c r="T1523" i="16"/>
  <c r="T1521" i="16"/>
  <c r="T1519" i="16"/>
  <c r="T1517" i="16"/>
  <c r="T1515" i="16"/>
  <c r="U1488" i="16"/>
  <c r="T1145" i="16"/>
  <c r="T1147" i="16"/>
  <c r="T1149" i="16"/>
  <c r="T1151" i="16"/>
  <c r="T1153" i="16"/>
  <c r="T1155" i="16"/>
  <c r="T1157" i="16"/>
  <c r="T1159" i="16"/>
  <c r="T1161" i="16"/>
  <c r="T1144" i="16"/>
  <c r="T1146" i="16"/>
  <c r="T1148" i="16"/>
  <c r="T1150" i="16"/>
  <c r="T1152" i="16"/>
  <c r="T1154" i="16"/>
  <c r="T1156" i="16"/>
  <c r="T1158" i="16"/>
  <c r="T1160" i="16"/>
  <c r="T1162" i="16"/>
  <c r="U1117" i="16"/>
  <c r="T1803" i="16"/>
  <c r="T1801" i="16"/>
  <c r="T1799" i="16"/>
  <c r="T1797" i="16"/>
  <c r="T1804" i="16"/>
  <c r="T1802" i="16"/>
  <c r="T1800" i="16"/>
  <c r="T1798" i="16"/>
  <c r="T1796" i="16"/>
  <c r="T1425" i="16"/>
  <c r="T1427" i="16"/>
  <c r="T1429" i="16"/>
  <c r="T1431" i="16"/>
  <c r="T1433" i="16"/>
  <c r="T1426" i="16"/>
  <c r="T1428" i="16"/>
  <c r="T1430" i="16"/>
  <c r="T1432" i="16"/>
  <c r="U1793" i="16"/>
  <c r="U1745" i="16"/>
  <c r="U1719" i="16"/>
  <c r="T1784" i="16"/>
  <c r="U1802" i="16"/>
  <c r="U1589" i="16"/>
  <c r="U1682" i="16"/>
  <c r="U1622" i="16"/>
  <c r="U1251" i="16"/>
  <c r="U1218" i="16"/>
  <c r="U1374" i="16"/>
  <c r="U1422" i="16"/>
  <c r="U1311" i="16"/>
  <c r="T1413" i="16"/>
  <c r="U1348" i="16"/>
  <c r="U1431" i="16"/>
  <c r="U1789" i="16"/>
  <c r="U1731" i="16"/>
  <c r="T1780" i="16"/>
  <c r="U1798" i="16"/>
  <c r="U1734" i="16"/>
  <c r="U1693" i="16"/>
  <c r="U1632" i="16"/>
  <c r="U1586" i="16"/>
  <c r="U1618" i="16"/>
  <c r="U1716" i="16"/>
  <c r="U1678" i="16"/>
  <c r="U1658" i="16"/>
  <c r="U1599" i="16"/>
  <c r="U1575" i="16"/>
  <c r="U1646" i="16"/>
  <c r="U1562" i="16"/>
  <c r="U1191" i="16"/>
  <c r="U1215" i="16"/>
  <c r="U1247" i="16"/>
  <c r="U1261" i="16"/>
  <c r="U1275" i="16"/>
  <c r="U1287" i="16"/>
  <c r="U1204" i="16"/>
  <c r="U1228" i="16"/>
  <c r="U1322" i="16"/>
  <c r="U1418" i="16"/>
  <c r="T1409" i="16"/>
  <c r="U1360" i="16"/>
  <c r="U1427" i="16"/>
  <c r="U1307" i="16"/>
  <c r="U1345" i="16"/>
  <c r="U1363" i="16"/>
  <c r="T1775" i="16"/>
  <c r="T1773" i="16"/>
  <c r="T1776" i="16"/>
  <c r="T1774" i="16"/>
  <c r="T1772" i="16"/>
  <c r="U1774" i="16"/>
  <c r="T1401" i="16"/>
  <c r="T1403" i="16"/>
  <c r="T1405" i="16"/>
  <c r="U1403" i="16"/>
  <c r="T1402" i="16"/>
  <c r="T1404" i="16"/>
  <c r="U1856" i="16"/>
  <c r="T1764" i="16"/>
  <c r="U1820" i="16"/>
  <c r="U1549" i="16"/>
  <c r="U1669" i="16"/>
  <c r="U1510" i="16"/>
  <c r="U1531" i="16"/>
  <c r="U1160" i="16"/>
  <c r="U1178" i="16"/>
  <c r="U1298" i="16"/>
  <c r="T1393" i="16"/>
  <c r="U1139" i="16"/>
  <c r="U1449" i="16"/>
  <c r="U1485" i="16"/>
  <c r="U1852" i="16"/>
  <c r="T1755" i="16"/>
  <c r="T1753" i="16"/>
  <c r="T1754" i="16"/>
  <c r="U1505" i="16"/>
  <c r="U1481" i="16"/>
  <c r="T1383" i="16"/>
  <c r="T1382" i="16"/>
  <c r="T1384" i="16"/>
  <c r="U1134" i="16"/>
  <c r="U1848" i="16"/>
  <c r="U1741" i="16"/>
  <c r="T1743" i="16"/>
  <c r="T1741" i="16"/>
  <c r="T1742" i="16"/>
  <c r="U1663" i="16"/>
  <c r="U1292" i="16"/>
  <c r="U1370" i="16"/>
  <c r="T1371" i="16"/>
  <c r="U1477" i="16"/>
  <c r="T1370" i="16"/>
  <c r="T1372" i="16"/>
  <c r="U1844" i="16"/>
  <c r="U1765" i="16"/>
  <c r="T1729" i="16"/>
  <c r="T1730" i="16"/>
  <c r="T1728" i="16"/>
  <c r="U1708" i="16"/>
  <c r="U1686" i="16"/>
  <c r="U1607" i="16"/>
  <c r="T1357" i="16"/>
  <c r="T1359" i="16"/>
  <c r="T1358" i="16"/>
  <c r="U1236" i="16"/>
  <c r="U1394" i="16"/>
  <c r="U1315" i="16"/>
  <c r="U1473" i="16"/>
  <c r="U1337" i="16"/>
  <c r="T1705" i="16"/>
  <c r="T1703" i="16"/>
  <c r="T1704" i="16"/>
  <c r="U1816" i="16"/>
  <c r="U1545" i="16"/>
  <c r="U1841" i="16"/>
  <c r="U1671" i="16"/>
  <c r="U1512" i="16"/>
  <c r="U1527" i="16"/>
  <c r="T1333" i="16"/>
  <c r="U1141" i="16"/>
  <c r="T1332" i="16"/>
  <c r="T1334" i="16"/>
  <c r="U1156" i="16"/>
  <c r="U1174" i="16"/>
  <c r="U1300" i="16"/>
  <c r="U1470" i="16"/>
  <c r="U1445" i="16"/>
  <c r="T1673" i="16"/>
  <c r="T1671" i="16"/>
  <c r="U1837" i="16"/>
  <c r="T1674" i="16"/>
  <c r="T1672" i="16"/>
  <c r="T1301" i="16"/>
  <c r="T1303" i="16"/>
  <c r="T1300" i="16"/>
  <c r="T1302" i="16"/>
  <c r="U1466" i="16"/>
  <c r="U1813" i="16"/>
  <c r="T1661" i="16"/>
  <c r="T1659" i="16"/>
  <c r="T1657" i="16"/>
  <c r="T1655" i="16"/>
  <c r="T1653" i="16"/>
  <c r="T1662" i="16"/>
  <c r="T1660" i="16"/>
  <c r="T1658" i="16"/>
  <c r="T1654" i="16"/>
  <c r="T1656" i="16"/>
  <c r="T1652" i="16"/>
  <c r="U1542" i="16"/>
  <c r="U1524" i="16"/>
  <c r="U1499" i="16"/>
  <c r="T1281" i="16"/>
  <c r="T1283" i="16"/>
  <c r="T1285" i="16"/>
  <c r="T1287" i="16"/>
  <c r="T1289" i="16"/>
  <c r="T1291" i="16"/>
  <c r="U1153" i="16"/>
  <c r="U1171" i="16"/>
  <c r="T1282" i="16"/>
  <c r="T1284" i="16"/>
  <c r="T1286" i="16"/>
  <c r="T1288" i="16"/>
  <c r="T1290" i="16"/>
  <c r="U1128" i="16"/>
  <c r="U1442" i="16"/>
  <c r="U1832" i="16"/>
  <c r="T1601" i="16"/>
  <c r="T1599" i="16"/>
  <c r="T1597" i="16"/>
  <c r="T1595" i="16"/>
  <c r="T1593" i="16"/>
  <c r="T1598" i="16"/>
  <c r="T1592" i="16"/>
  <c r="T1600" i="16"/>
  <c r="T1602" i="16"/>
  <c r="T1594" i="16"/>
  <c r="T1596" i="16"/>
  <c r="U1495" i="16"/>
  <c r="T1221" i="16"/>
  <c r="T1223" i="16"/>
  <c r="T1225" i="16"/>
  <c r="T1227" i="16"/>
  <c r="T1229" i="16"/>
  <c r="T1231" i="16"/>
  <c r="T1222" i="16"/>
  <c r="T1224" i="16"/>
  <c r="T1226" i="16"/>
  <c r="T1228" i="16"/>
  <c r="T1230" i="16"/>
  <c r="U1124" i="16"/>
  <c r="U1461" i="16"/>
  <c r="U1828" i="16"/>
  <c r="T1552" i="16"/>
  <c r="T1551" i="16"/>
  <c r="T1181" i="16"/>
  <c r="T1180" i="16"/>
  <c r="U1451" i="16"/>
  <c r="U1457" i="16"/>
  <c r="U1826" i="16"/>
  <c r="T1510" i="16"/>
  <c r="T1508" i="16"/>
  <c r="T1511" i="16"/>
  <c r="T1509" i="16"/>
  <c r="T1137" i="16"/>
  <c r="T1139" i="16"/>
  <c r="U1455" i="16"/>
  <c r="T1138" i="16"/>
  <c r="T1140" i="16"/>
  <c r="T1821" i="16"/>
  <c r="T1819" i="16"/>
  <c r="T1817" i="16"/>
  <c r="T1815" i="16"/>
  <c r="T1813" i="16"/>
  <c r="T1811" i="16"/>
  <c r="T1809" i="16"/>
  <c r="T1807" i="16"/>
  <c r="T1805" i="16"/>
  <c r="T1820" i="16"/>
  <c r="T1818" i="16"/>
  <c r="T1816" i="16"/>
  <c r="T1814" i="16"/>
  <c r="T1812" i="16"/>
  <c r="T1810" i="16"/>
  <c r="T1808" i="16"/>
  <c r="T1806" i="16"/>
  <c r="T1435" i="16"/>
  <c r="T1437" i="16"/>
  <c r="T1439" i="16"/>
  <c r="T1441" i="16"/>
  <c r="T1443" i="16"/>
  <c r="T1445" i="16"/>
  <c r="T1447" i="16"/>
  <c r="T1449" i="16"/>
  <c r="T1434" i="16"/>
  <c r="T1436" i="16"/>
  <c r="T1438" i="16"/>
  <c r="T1440" i="16"/>
  <c r="T1442" i="16"/>
  <c r="T1444" i="16"/>
  <c r="T1446" i="16"/>
  <c r="T1448" i="16"/>
  <c r="T1450" i="16"/>
  <c r="U1803" i="16"/>
  <c r="T1785" i="16"/>
  <c r="U1696" i="16"/>
  <c r="U1794" i="16"/>
  <c r="U1746" i="16"/>
  <c r="U1635" i="16"/>
  <c r="U1720" i="16"/>
  <c r="U1623" i="16"/>
  <c r="U1661" i="16"/>
  <c r="U1649" i="16"/>
  <c r="U1252" i="16"/>
  <c r="U1264" i="16"/>
  <c r="U1278" i="16"/>
  <c r="U1290" i="16"/>
  <c r="U1432" i="16"/>
  <c r="U1423" i="16"/>
  <c r="U1375" i="16"/>
  <c r="U1325" i="16"/>
  <c r="U1349" i="16"/>
  <c r="T1414" i="16"/>
  <c r="U1799" i="16"/>
  <c r="U1735" i="16"/>
  <c r="U1717" i="16"/>
  <c r="T1781" i="16"/>
  <c r="U1790" i="16"/>
  <c r="U1766" i="16"/>
  <c r="U1694" i="16"/>
  <c r="U1724" i="16"/>
  <c r="U1619" i="16"/>
  <c r="U1600" i="16"/>
  <c r="U1587" i="16"/>
  <c r="U1576" i="16"/>
  <c r="U1679" i="16"/>
  <c r="U1659" i="16"/>
  <c r="U1563" i="16"/>
  <c r="U1647" i="16"/>
  <c r="U1633" i="16"/>
  <c r="U1205" i="16"/>
  <c r="U1229" i="16"/>
  <c r="U1192" i="16"/>
  <c r="U1216" i="16"/>
  <c r="U1248" i="16"/>
  <c r="U1262" i="16"/>
  <c r="U1276" i="16"/>
  <c r="U1288" i="16"/>
  <c r="U1308" i="16"/>
  <c r="U1346" i="16"/>
  <c r="U1364" i="16"/>
  <c r="U1428" i="16"/>
  <c r="U1323" i="16"/>
  <c r="U1419" i="16"/>
  <c r="U1395" i="16"/>
  <c r="U1353" i="16"/>
  <c r="T1410" i="16"/>
  <c r="T1777" i="16"/>
  <c r="T1406" i="16"/>
  <c r="U1713" i="16"/>
  <c r="T1767" i="16"/>
  <c r="T1765" i="16"/>
  <c r="U1857" i="16"/>
  <c r="T1768" i="16"/>
  <c r="T1766" i="16"/>
  <c r="U1690" i="16"/>
  <c r="U1584" i="16"/>
  <c r="U1559" i="16"/>
  <c r="U1597" i="16"/>
  <c r="U1644" i="16"/>
  <c r="U1614" i="16"/>
  <c r="U1572" i="16"/>
  <c r="U1201" i="16"/>
  <c r="U1213" i="16"/>
  <c r="U1243" i="16"/>
  <c r="U1273" i="16"/>
  <c r="U1188" i="16"/>
  <c r="U1226" i="16"/>
  <c r="U1342" i="16"/>
  <c r="U1486" i="16"/>
  <c r="U1319" i="16"/>
  <c r="T1395" i="16"/>
  <c r="T1397" i="16"/>
  <c r="T1394" i="16"/>
  <c r="T1396" i="16"/>
  <c r="U1819" i="16"/>
  <c r="T1757" i="16"/>
  <c r="T1756" i="16"/>
  <c r="U1853" i="16"/>
  <c r="U1668" i="16"/>
  <c r="U1530" i="16"/>
  <c r="U1509" i="16"/>
  <c r="U1548" i="16"/>
  <c r="U1159" i="16"/>
  <c r="U1177" i="16"/>
  <c r="U1297" i="16"/>
  <c r="U1482" i="16"/>
  <c r="T1385" i="16"/>
  <c r="T1386" i="16"/>
  <c r="U1448" i="16"/>
  <c r="U1138" i="16"/>
  <c r="T1747" i="16"/>
  <c r="T1745" i="16"/>
  <c r="T1748" i="16"/>
  <c r="T1746" i="16"/>
  <c r="T1744" i="16"/>
  <c r="U1849" i="16"/>
  <c r="U1611" i="16"/>
  <c r="U1712" i="16"/>
  <c r="U1240" i="16"/>
  <c r="U1478" i="16"/>
  <c r="T1373" i="16"/>
  <c r="T1375" i="16"/>
  <c r="T1377" i="16"/>
  <c r="U1341" i="16"/>
  <c r="T1374" i="16"/>
  <c r="T1376" i="16"/>
  <c r="U1709" i="16"/>
  <c r="T1733" i="16"/>
  <c r="T1731" i="16"/>
  <c r="T1732" i="16"/>
  <c r="U1845" i="16"/>
  <c r="U1676" i="16"/>
  <c r="U1608" i="16"/>
  <c r="U1687" i="16"/>
  <c r="U1594" i="16"/>
  <c r="U1641" i="16"/>
  <c r="U1556" i="16"/>
  <c r="U1185" i="16"/>
  <c r="U1223" i="16"/>
  <c r="U1237" i="16"/>
  <c r="T1360" i="16"/>
  <c r="T1362" i="16"/>
  <c r="U1270" i="16"/>
  <c r="U1338" i="16"/>
  <c r="U1474" i="16"/>
  <c r="U1305" i="16"/>
  <c r="U1316" i="16"/>
  <c r="T1361" i="16"/>
  <c r="U1842" i="16"/>
  <c r="U1817" i="16"/>
  <c r="T1721" i="16"/>
  <c r="T1719" i="16"/>
  <c r="T1717" i="16"/>
  <c r="T1715" i="16"/>
  <c r="T1713" i="16"/>
  <c r="T1711" i="16"/>
  <c r="T1709" i="16"/>
  <c r="T1707" i="16"/>
  <c r="T1720" i="16"/>
  <c r="T1716" i="16"/>
  <c r="T1712" i="16"/>
  <c r="T1708" i="16"/>
  <c r="U1772" i="16"/>
  <c r="U1706" i="16"/>
  <c r="T1722" i="16"/>
  <c r="T1718" i="16"/>
  <c r="T1714" i="16"/>
  <c r="T1710" i="16"/>
  <c r="T1706" i="16"/>
  <c r="U1667" i="16"/>
  <c r="U1546" i="16"/>
  <c r="U1528" i="16"/>
  <c r="U1508" i="16"/>
  <c r="U1503" i="16"/>
  <c r="T1335" i="16"/>
  <c r="T1337" i="16"/>
  <c r="T1339" i="16"/>
  <c r="T1341" i="16"/>
  <c r="T1343" i="16"/>
  <c r="T1345" i="16"/>
  <c r="T1347" i="16"/>
  <c r="T1349" i="16"/>
  <c r="T1351" i="16"/>
  <c r="U1157" i="16"/>
  <c r="U1175" i="16"/>
  <c r="T1336" i="16"/>
  <c r="T1338" i="16"/>
  <c r="T1340" i="16"/>
  <c r="T1342" i="16"/>
  <c r="T1344" i="16"/>
  <c r="T1346" i="16"/>
  <c r="T1348" i="16"/>
  <c r="T1350" i="16"/>
  <c r="U1296" i="16"/>
  <c r="U1132" i="16"/>
  <c r="U1335" i="16"/>
  <c r="U1471" i="16"/>
  <c r="U1401" i="16"/>
  <c r="U1137" i="16"/>
  <c r="U1446" i="16"/>
  <c r="U1838" i="16"/>
  <c r="T1683" i="16"/>
  <c r="T1681" i="16"/>
  <c r="T1679" i="16"/>
  <c r="T1677" i="16"/>
  <c r="T1675" i="16"/>
  <c r="T1684" i="16"/>
  <c r="T1682" i="16"/>
  <c r="T1680" i="16"/>
  <c r="T1678" i="16"/>
  <c r="T1676" i="16"/>
  <c r="U1603" i="16"/>
  <c r="U1592" i="16"/>
  <c r="U1579" i="16"/>
  <c r="U1626" i="16"/>
  <c r="U1553" i="16"/>
  <c r="U1652" i="16"/>
  <c r="U1638" i="16"/>
  <c r="T1305" i="16"/>
  <c r="T1307" i="16"/>
  <c r="T1309" i="16"/>
  <c r="T1311" i="16"/>
  <c r="T1313" i="16"/>
  <c r="U1221" i="16"/>
  <c r="U1255" i="16"/>
  <c r="U1267" i="16"/>
  <c r="U1281" i="16"/>
  <c r="T1304" i="16"/>
  <c r="T1306" i="16"/>
  <c r="T1308" i="16"/>
  <c r="T1310" i="16"/>
  <c r="T1312" i="16"/>
  <c r="U1182" i="16"/>
  <c r="U1208" i="16"/>
  <c r="U1232" i="16"/>
  <c r="U1467" i="16"/>
  <c r="U1814" i="16"/>
  <c r="T1663" i="16"/>
  <c r="T1664" i="16"/>
  <c r="U1543" i="16"/>
  <c r="U1525" i="16"/>
  <c r="U1500" i="16"/>
  <c r="T1293" i="16"/>
  <c r="T1292" i="16"/>
  <c r="U1154" i="16"/>
  <c r="U1172" i="16"/>
  <c r="U1443" i="16"/>
  <c r="U1129" i="16"/>
  <c r="T1625" i="16"/>
  <c r="T1623" i="16"/>
  <c r="T1621" i="16"/>
  <c r="T1619" i="16"/>
  <c r="T1617" i="16"/>
  <c r="T1615" i="16"/>
  <c r="T1613" i="16"/>
  <c r="T1611" i="16"/>
  <c r="T1609" i="16"/>
  <c r="T1607" i="16"/>
  <c r="T1605" i="16"/>
  <c r="T1603" i="16"/>
  <c r="U1810" i="16"/>
  <c r="T1622" i="16"/>
  <c r="T1614" i="16"/>
  <c r="T1606" i="16"/>
  <c r="U1539" i="16"/>
  <c r="T1624" i="16"/>
  <c r="T1616" i="16"/>
  <c r="T1608" i="16"/>
  <c r="U1833" i="16"/>
  <c r="T1618" i="16"/>
  <c r="T1610" i="16"/>
  <c r="T1620" i="16"/>
  <c r="T1612" i="16"/>
  <c r="U1521" i="16"/>
  <c r="U1496" i="16"/>
  <c r="T1604" i="16"/>
  <c r="T1233" i="16"/>
  <c r="T1235" i="16"/>
  <c r="T1237" i="16"/>
  <c r="T1239" i="16"/>
  <c r="T1241" i="16"/>
  <c r="T1243" i="16"/>
  <c r="T1245" i="16"/>
  <c r="T1247" i="16"/>
  <c r="T1249" i="16"/>
  <c r="T1251" i="16"/>
  <c r="T1253" i="16"/>
  <c r="T1232" i="16"/>
  <c r="T1234" i="16"/>
  <c r="T1236" i="16"/>
  <c r="T1238" i="16"/>
  <c r="T1240" i="16"/>
  <c r="T1242" i="16"/>
  <c r="T1244" i="16"/>
  <c r="T1246" i="16"/>
  <c r="T1248" i="16"/>
  <c r="T1250" i="16"/>
  <c r="T1252" i="16"/>
  <c r="T1254" i="16"/>
  <c r="U1150" i="16"/>
  <c r="U1168" i="16"/>
  <c r="U1439" i="16"/>
  <c r="U1462" i="16"/>
  <c r="U1125" i="16"/>
  <c r="U1807" i="16"/>
  <c r="U1829" i="16"/>
  <c r="T1566" i="16"/>
  <c r="T1564" i="16"/>
  <c r="T1562" i="16"/>
  <c r="T1560" i="16"/>
  <c r="T1558" i="16"/>
  <c r="T1556" i="16"/>
  <c r="T1554" i="16"/>
  <c r="T1565" i="16"/>
  <c r="T1563" i="16"/>
  <c r="T1561" i="16"/>
  <c r="T1559" i="16"/>
  <c r="T1557" i="16"/>
  <c r="T1555" i="16"/>
  <c r="T1553" i="16"/>
  <c r="U1518" i="16"/>
  <c r="U1492" i="16"/>
  <c r="U1536" i="16"/>
  <c r="T1183" i="16"/>
  <c r="T1185" i="16"/>
  <c r="T1187" i="16"/>
  <c r="T1189" i="16"/>
  <c r="T1191" i="16"/>
  <c r="T1193" i="16"/>
  <c r="T1195" i="16"/>
  <c r="U1147" i="16"/>
  <c r="U1165" i="16"/>
  <c r="T1182" i="16"/>
  <c r="T1184" i="16"/>
  <c r="T1186" i="16"/>
  <c r="T1188" i="16"/>
  <c r="T1190" i="16"/>
  <c r="T1192" i="16"/>
  <c r="T1194" i="16"/>
  <c r="U1436" i="16"/>
  <c r="U1121" i="16"/>
  <c r="U1458" i="16"/>
  <c r="U1805" i="16"/>
  <c r="U1827" i="16"/>
  <c r="T1514" i="16"/>
  <c r="T1512" i="16"/>
  <c r="T1513" i="16"/>
  <c r="U1516" i="16"/>
  <c r="U1535" i="16"/>
  <c r="T1141" i="16"/>
  <c r="T1143" i="16"/>
  <c r="U1145" i="16"/>
  <c r="T1142" i="16"/>
  <c r="U1164" i="16"/>
  <c r="U1434" i="16"/>
  <c r="U1456" i="16"/>
  <c r="AH775" i="16"/>
  <c r="AH1064" i="16"/>
  <c r="AK1064" i="16" s="1"/>
  <c r="AD1082" i="16"/>
  <c r="AE1082" i="16"/>
  <c r="AH746" i="16"/>
  <c r="AJ1082" i="16"/>
  <c r="AK1083" i="16"/>
  <c r="AI747" i="16"/>
  <c r="AI775" i="16"/>
  <c r="AI746" i="16" s="1"/>
  <c r="AK773" i="16"/>
  <c r="AC775" i="16"/>
  <c r="AK792" i="16"/>
  <c r="AC747" i="16"/>
  <c r="AG775" i="16"/>
  <c r="AG746" i="16" s="1"/>
  <c r="AG747" i="16"/>
  <c r="AF746" i="16"/>
  <c r="U174" i="17"/>
  <c r="U288" i="17"/>
  <c r="T231" i="17"/>
  <c r="U231" i="17"/>
  <c r="T174" i="17"/>
  <c r="T288" i="17"/>
  <c r="T1063" i="16"/>
  <c r="T1065" i="16"/>
  <c r="T1067" i="16"/>
  <c r="T1064" i="16"/>
  <c r="T1069" i="16"/>
  <c r="T1071" i="16"/>
  <c r="T1073" i="16"/>
  <c r="T1075" i="16"/>
  <c r="T1077" i="16"/>
  <c r="T1079" i="16"/>
  <c r="T1068" i="16"/>
  <c r="T1070" i="16"/>
  <c r="T1072" i="16"/>
  <c r="T1074" i="16"/>
  <c r="T1076" i="16"/>
  <c r="T1078" i="16"/>
  <c r="T1066" i="16"/>
  <c r="U166" i="17"/>
  <c r="U280" i="17"/>
  <c r="T223" i="17"/>
  <c r="U223" i="17"/>
  <c r="T166" i="17"/>
  <c r="T280" i="17"/>
  <c r="T1039" i="16"/>
  <c r="U821" i="16"/>
  <c r="U845" i="16"/>
  <c r="U877" i="16"/>
  <c r="U891" i="16"/>
  <c r="U834" i="16"/>
  <c r="U858" i="16"/>
  <c r="U905" i="16"/>
  <c r="U917" i="16"/>
  <c r="U952" i="16"/>
  <c r="U1024" i="16"/>
  <c r="U1048" i="16"/>
  <c r="U937" i="16"/>
  <c r="U982" i="16"/>
  <c r="U993" i="16"/>
  <c r="U1057" i="16"/>
  <c r="U975" i="16"/>
  <c r="U158" i="17"/>
  <c r="U272" i="17"/>
  <c r="T215" i="17"/>
  <c r="U215" i="17"/>
  <c r="T158" i="17"/>
  <c r="T272" i="17"/>
  <c r="T1023" i="16"/>
  <c r="T1025" i="16"/>
  <c r="U817" i="16"/>
  <c r="U855" i="16"/>
  <c r="U842" i="16"/>
  <c r="T1024" i="16"/>
  <c r="U971" i="16"/>
  <c r="U830" i="16"/>
  <c r="U902" i="16"/>
  <c r="U872" i="16"/>
  <c r="U948" i="16"/>
  <c r="T1026" i="16"/>
  <c r="U1115" i="16"/>
  <c r="U146" i="17"/>
  <c r="U260" i="17"/>
  <c r="T203" i="17"/>
  <c r="U203" i="17"/>
  <c r="T146" i="17"/>
  <c r="T260" i="17"/>
  <c r="T989" i="16"/>
  <c r="T991" i="16"/>
  <c r="U899" i="16"/>
  <c r="U866" i="16"/>
  <c r="U852" i="16"/>
  <c r="T990" i="16"/>
  <c r="U814" i="16"/>
  <c r="U934" i="16"/>
  <c r="U945" i="16"/>
  <c r="U967" i="16"/>
  <c r="U1103" i="16"/>
  <c r="U134" i="17"/>
  <c r="U248" i="17"/>
  <c r="T191" i="17"/>
  <c r="U191" i="17"/>
  <c r="T134" i="17"/>
  <c r="T248" i="17"/>
  <c r="T921" i="16"/>
  <c r="U783" i="16"/>
  <c r="U801" i="16"/>
  <c r="U758" i="16"/>
  <c r="T922" i="16"/>
  <c r="U1072" i="16"/>
  <c r="U170" i="17"/>
  <c r="U284" i="17"/>
  <c r="T227" i="17"/>
  <c r="U227" i="17"/>
  <c r="T170" i="17"/>
  <c r="T284" i="17"/>
  <c r="T1043" i="16"/>
  <c r="U881" i="16"/>
  <c r="U893" i="16"/>
  <c r="U954" i="16"/>
  <c r="U978" i="16"/>
  <c r="U1061" i="16"/>
  <c r="U907" i="16"/>
  <c r="U919" i="16"/>
  <c r="U1004" i="16"/>
  <c r="U1052" i="16"/>
  <c r="U162" i="17"/>
  <c r="U276" i="17"/>
  <c r="T219" i="17"/>
  <c r="U219" i="17"/>
  <c r="T162" i="17"/>
  <c r="T276" i="17"/>
  <c r="T1035" i="16"/>
  <c r="U154" i="17"/>
  <c r="U268" i="17"/>
  <c r="T211" i="17"/>
  <c r="U211" i="17"/>
  <c r="T154" i="17"/>
  <c r="T268" i="17"/>
  <c r="T1015" i="16"/>
  <c r="U767" i="16"/>
  <c r="U788" i="16"/>
  <c r="U806" i="16"/>
  <c r="T1014" i="16"/>
  <c r="U1077" i="16"/>
  <c r="U926" i="16"/>
  <c r="U1111" i="16"/>
  <c r="U150" i="17"/>
  <c r="U264" i="17"/>
  <c r="T207" i="17"/>
  <c r="U207" i="17"/>
  <c r="T150" i="17"/>
  <c r="T264" i="17"/>
  <c r="T1003" i="16"/>
  <c r="T1005" i="16"/>
  <c r="U869" i="16"/>
  <c r="U970" i="16"/>
  <c r="T1006" i="16"/>
  <c r="T1004" i="16"/>
  <c r="T1002" i="16"/>
  <c r="U1107" i="16"/>
  <c r="U142" i="17"/>
  <c r="U256" i="17"/>
  <c r="T199" i="17"/>
  <c r="U199" i="17"/>
  <c r="T142" i="17"/>
  <c r="T256" i="17"/>
  <c r="T965" i="16"/>
  <c r="T967" i="16"/>
  <c r="T969" i="16"/>
  <c r="T971" i="16"/>
  <c r="T973" i="16"/>
  <c r="T975" i="16"/>
  <c r="T977" i="16"/>
  <c r="T979" i="16"/>
  <c r="U761" i="16"/>
  <c r="U766" i="16"/>
  <c r="U786" i="16"/>
  <c r="U804" i="16"/>
  <c r="U925" i="16"/>
  <c r="T968" i="16"/>
  <c r="T976" i="16"/>
  <c r="T966" i="16"/>
  <c r="T974" i="16"/>
  <c r="U1075" i="16"/>
  <c r="T964" i="16"/>
  <c r="T972" i="16"/>
  <c r="T980" i="16"/>
  <c r="U1030" i="16"/>
  <c r="U964" i="16"/>
  <c r="T970" i="16"/>
  <c r="T978" i="16"/>
  <c r="U1100" i="16"/>
  <c r="U138" i="17"/>
  <c r="U252" i="17"/>
  <c r="T195" i="17"/>
  <c r="U195" i="17"/>
  <c r="T138" i="17"/>
  <c r="T252" i="17"/>
  <c r="T933" i="16"/>
  <c r="T935" i="16"/>
  <c r="T937" i="16"/>
  <c r="T939" i="16"/>
  <c r="T941" i="16"/>
  <c r="U811" i="16"/>
  <c r="U837" i="16"/>
  <c r="U861" i="16"/>
  <c r="U850" i="16"/>
  <c r="T936" i="16"/>
  <c r="U884" i="16"/>
  <c r="U910" i="16"/>
  <c r="T934" i="16"/>
  <c r="T942" i="16"/>
  <c r="T940" i="16"/>
  <c r="U896" i="16"/>
  <c r="T938" i="16"/>
  <c r="U1096" i="16"/>
  <c r="U130" i="17"/>
  <c r="U244" i="17"/>
  <c r="T187" i="17"/>
  <c r="U187" i="17"/>
  <c r="T130" i="17"/>
  <c r="T244" i="17"/>
  <c r="T861" i="16"/>
  <c r="T863" i="16"/>
  <c r="T865" i="16"/>
  <c r="T867" i="16"/>
  <c r="T869" i="16"/>
  <c r="T871" i="16"/>
  <c r="T873" i="16"/>
  <c r="T875" i="16"/>
  <c r="T877" i="16"/>
  <c r="T879" i="16"/>
  <c r="T881" i="16"/>
  <c r="T883" i="16"/>
  <c r="U779" i="16"/>
  <c r="U797" i="16"/>
  <c r="T862" i="16"/>
  <c r="T864" i="16"/>
  <c r="T866" i="16"/>
  <c r="T868" i="16"/>
  <c r="T870" i="16"/>
  <c r="T872" i="16"/>
  <c r="T874" i="16"/>
  <c r="T876" i="16"/>
  <c r="T878" i="16"/>
  <c r="T880" i="16"/>
  <c r="T882" i="16"/>
  <c r="U754" i="16"/>
  <c r="U1068" i="16"/>
  <c r="U1091" i="16"/>
  <c r="U126" i="17"/>
  <c r="U240" i="17"/>
  <c r="T183" i="17"/>
  <c r="U183" i="17"/>
  <c r="T126" i="17"/>
  <c r="T240" i="17"/>
  <c r="T811" i="16"/>
  <c r="T813" i="16"/>
  <c r="T815" i="16"/>
  <c r="T817" i="16"/>
  <c r="T819" i="16"/>
  <c r="T821" i="16"/>
  <c r="T823" i="16"/>
  <c r="T812" i="16"/>
  <c r="T814" i="16"/>
  <c r="T816" i="16"/>
  <c r="T818" i="16"/>
  <c r="T820" i="16"/>
  <c r="T822" i="16"/>
  <c r="T824" i="16"/>
  <c r="U750" i="16"/>
  <c r="U776" i="16"/>
  <c r="U794" i="16"/>
  <c r="U1065" i="16"/>
  <c r="U1087" i="16"/>
  <c r="U122" i="17"/>
  <c r="U236" i="17"/>
  <c r="T179" i="17"/>
  <c r="U179" i="17"/>
  <c r="T122" i="17"/>
  <c r="T236" i="17"/>
  <c r="T771" i="16"/>
  <c r="U793" i="16"/>
  <c r="T770" i="16"/>
  <c r="T772" i="16"/>
  <c r="U774" i="16"/>
  <c r="U1063" i="16"/>
  <c r="U1085" i="16"/>
  <c r="U230" i="17"/>
  <c r="T173" i="17"/>
  <c r="U173" i="17"/>
  <c r="U287" i="17"/>
  <c r="T230" i="17"/>
  <c r="T287" i="17"/>
  <c r="T1055" i="16"/>
  <c r="T1057" i="16"/>
  <c r="T1059" i="16"/>
  <c r="T1061" i="16"/>
  <c r="T1056" i="16"/>
  <c r="T1054" i="16"/>
  <c r="T1062" i="16"/>
  <c r="T1060" i="16"/>
  <c r="T1058" i="16"/>
  <c r="U226" i="17"/>
  <c r="T169" i="17"/>
  <c r="U169" i="17"/>
  <c r="U283" i="17"/>
  <c r="T226" i="17"/>
  <c r="T283" i="17"/>
  <c r="U847" i="16"/>
  <c r="U1003" i="16"/>
  <c r="U1051" i="16"/>
  <c r="U977" i="16"/>
  <c r="U880" i="16"/>
  <c r="U940" i="16"/>
  <c r="T1042" i="16"/>
  <c r="U1060" i="16"/>
  <c r="U222" i="17"/>
  <c r="T165" i="17"/>
  <c r="U165" i="17"/>
  <c r="U279" i="17"/>
  <c r="T222" i="17"/>
  <c r="T279" i="17"/>
  <c r="U833" i="16"/>
  <c r="U857" i="16"/>
  <c r="U890" i="16"/>
  <c r="U989" i="16"/>
  <c r="U820" i="16"/>
  <c r="U844" i="16"/>
  <c r="U876" i="16"/>
  <c r="U936" i="16"/>
  <c r="U992" i="16"/>
  <c r="T1038" i="16"/>
  <c r="U1056" i="16"/>
  <c r="U974" i="16"/>
  <c r="U904" i="16"/>
  <c r="U916" i="16"/>
  <c r="U951" i="16"/>
  <c r="U1047" i="16"/>
  <c r="U218" i="17"/>
  <c r="T161" i="17"/>
  <c r="U161" i="17"/>
  <c r="U275" i="17"/>
  <c r="T218" i="17"/>
  <c r="T275" i="17"/>
  <c r="T1031" i="16"/>
  <c r="T1033" i="16"/>
  <c r="T1032" i="16"/>
  <c r="T1030" i="16"/>
  <c r="U1032" i="16"/>
  <c r="T1034" i="16"/>
  <c r="U214" i="17"/>
  <c r="T157" i="17"/>
  <c r="U157" i="17"/>
  <c r="U271" i="17"/>
  <c r="T214" i="17"/>
  <c r="T271" i="17"/>
  <c r="U789" i="16"/>
  <c r="U807" i="16"/>
  <c r="U768" i="16"/>
  <c r="T1022" i="16"/>
  <c r="U927" i="16"/>
  <c r="U1078" i="16"/>
  <c r="U1114" i="16"/>
  <c r="U210" i="17"/>
  <c r="T153" i="17"/>
  <c r="U153" i="17"/>
  <c r="U267" i="17"/>
  <c r="T210" i="17"/>
  <c r="T267" i="17"/>
  <c r="T1011" i="16"/>
  <c r="T1013" i="16"/>
  <c r="U763" i="16"/>
  <c r="T1012" i="16"/>
  <c r="U1110" i="16"/>
  <c r="U206" i="17"/>
  <c r="T149" i="17"/>
  <c r="U149" i="17"/>
  <c r="U263" i="17"/>
  <c r="T206" i="17"/>
  <c r="T263" i="17"/>
  <c r="T999" i="16"/>
  <c r="T1001" i="16"/>
  <c r="T1000" i="16"/>
  <c r="U921" i="16"/>
  <c r="U999" i="16"/>
  <c r="U1106" i="16"/>
  <c r="U202" i="17"/>
  <c r="T145" i="17"/>
  <c r="U145" i="17"/>
  <c r="U259" i="17"/>
  <c r="T202" i="17"/>
  <c r="T259" i="17"/>
  <c r="T987" i="16"/>
  <c r="U865" i="16"/>
  <c r="U944" i="16"/>
  <c r="U966" i="16"/>
  <c r="T988" i="16"/>
  <c r="T986" i="16"/>
  <c r="U1023" i="16"/>
  <c r="U1102" i="16"/>
  <c r="U198" i="17"/>
  <c r="T141" i="17"/>
  <c r="U141" i="17"/>
  <c r="U255" i="17"/>
  <c r="T198" i="17"/>
  <c r="T255" i="17"/>
  <c r="T961" i="16"/>
  <c r="T963" i="16"/>
  <c r="U785" i="16"/>
  <c r="U803" i="16"/>
  <c r="U770" i="16"/>
  <c r="U929" i="16"/>
  <c r="T962" i="16"/>
  <c r="U1074" i="16"/>
  <c r="U1099" i="16"/>
  <c r="U194" i="17"/>
  <c r="T137" i="17"/>
  <c r="U137" i="17"/>
  <c r="U251" i="17"/>
  <c r="T194" i="17"/>
  <c r="T251" i="17"/>
  <c r="T929" i="16"/>
  <c r="T931" i="16"/>
  <c r="T932" i="16"/>
  <c r="T930" i="16"/>
  <c r="U1095" i="16"/>
  <c r="U190" i="17"/>
  <c r="T133" i="17"/>
  <c r="T247" i="17"/>
  <c r="U133" i="17"/>
  <c r="U247" i="17"/>
  <c r="T190" i="17"/>
  <c r="T911" i="16"/>
  <c r="T913" i="16"/>
  <c r="T915" i="16"/>
  <c r="T917" i="16"/>
  <c r="T919" i="16"/>
  <c r="U757" i="16"/>
  <c r="T910" i="16"/>
  <c r="T912" i="16"/>
  <c r="T914" i="16"/>
  <c r="T916" i="16"/>
  <c r="U782" i="16"/>
  <c r="U800" i="16"/>
  <c r="T920" i="16"/>
  <c r="T918" i="16"/>
  <c r="U1071" i="16"/>
  <c r="U186" i="17"/>
  <c r="T129" i="17"/>
  <c r="T243" i="17"/>
  <c r="U129" i="17"/>
  <c r="U243" i="17"/>
  <c r="T186" i="17"/>
  <c r="T851" i="16"/>
  <c r="T853" i="16"/>
  <c r="T855" i="16"/>
  <c r="T857" i="16"/>
  <c r="T859" i="16"/>
  <c r="U753" i="16"/>
  <c r="T850" i="16"/>
  <c r="T852" i="16"/>
  <c r="T854" i="16"/>
  <c r="T856" i="16"/>
  <c r="T858" i="16"/>
  <c r="T860" i="16"/>
  <c r="U1090" i="16"/>
  <c r="U182" i="17"/>
  <c r="T125" i="17"/>
  <c r="T239" i="17"/>
  <c r="U125" i="17"/>
  <c r="U239" i="17"/>
  <c r="T182" i="17"/>
  <c r="T809" i="16"/>
  <c r="T810" i="16"/>
  <c r="U1080" i="16"/>
  <c r="U1086" i="16"/>
  <c r="U178" i="17"/>
  <c r="T121" i="17"/>
  <c r="T235" i="17"/>
  <c r="U121" i="17"/>
  <c r="U235" i="17"/>
  <c r="T178" i="17"/>
  <c r="T767" i="16"/>
  <c r="T769" i="16"/>
  <c r="T766" i="16"/>
  <c r="T768" i="16"/>
  <c r="U1084" i="16"/>
  <c r="T119" i="17"/>
  <c r="T233" i="17"/>
  <c r="U119" i="17"/>
  <c r="U233" i="17"/>
  <c r="T747" i="16"/>
  <c r="T749" i="16"/>
  <c r="T748" i="16"/>
  <c r="U1082" i="16"/>
  <c r="T746" i="16"/>
  <c r="U172" i="17"/>
  <c r="U286" i="17"/>
  <c r="T229" i="17"/>
  <c r="U229" i="17"/>
  <c r="T172" i="17"/>
  <c r="T286" i="17"/>
  <c r="T1045" i="16"/>
  <c r="T1047" i="16"/>
  <c r="T1049" i="16"/>
  <c r="T1051" i="16"/>
  <c r="T1053" i="16"/>
  <c r="T1048" i="16"/>
  <c r="T1046" i="16"/>
  <c r="T1052" i="16"/>
  <c r="T1050" i="16"/>
  <c r="U168" i="17"/>
  <c r="U282" i="17"/>
  <c r="T225" i="17"/>
  <c r="U225" i="17"/>
  <c r="T168" i="17"/>
  <c r="T282" i="17"/>
  <c r="T1041" i="16"/>
  <c r="U879" i="16"/>
  <c r="U986" i="16"/>
  <c r="U1050" i="16"/>
  <c r="U892" i="16"/>
  <c r="U906" i="16"/>
  <c r="U939" i="16"/>
  <c r="U976" i="16"/>
  <c r="U1059" i="16"/>
  <c r="U822" i="16"/>
  <c r="U846" i="16"/>
  <c r="U918" i="16"/>
  <c r="U953" i="16"/>
  <c r="U958" i="16"/>
  <c r="U164" i="17"/>
  <c r="U278" i="17"/>
  <c r="T221" i="17"/>
  <c r="U221" i="17"/>
  <c r="T164" i="17"/>
  <c r="T278" i="17"/>
  <c r="T1037" i="16"/>
  <c r="U875" i="16"/>
  <c r="U973" i="16"/>
  <c r="U1011" i="16"/>
  <c r="U950" i="16"/>
  <c r="U1046" i="16"/>
  <c r="U935" i="16"/>
  <c r="U1055" i="16"/>
  <c r="U160" i="17"/>
  <c r="U274" i="17"/>
  <c r="T217" i="17"/>
  <c r="U217" i="17"/>
  <c r="T160" i="17"/>
  <c r="T274" i="17"/>
  <c r="T1029" i="16"/>
  <c r="U930" i="16"/>
  <c r="U961" i="16"/>
  <c r="U1031" i="16"/>
  <c r="U156" i="17"/>
  <c r="U270" i="17"/>
  <c r="T213" i="17"/>
  <c r="U213" i="17"/>
  <c r="T156" i="17"/>
  <c r="T270" i="17"/>
  <c r="T1019" i="16"/>
  <c r="T1021" i="16"/>
  <c r="U1016" i="16"/>
  <c r="U1019" i="16"/>
  <c r="T1020" i="16"/>
  <c r="U1113" i="16"/>
  <c r="U152" i="17"/>
  <c r="U266" i="17"/>
  <c r="T209" i="17"/>
  <c r="U209" i="17"/>
  <c r="T152" i="17"/>
  <c r="T266" i="17"/>
  <c r="T1009" i="16"/>
  <c r="U829" i="16"/>
  <c r="U841" i="16"/>
  <c r="U871" i="16"/>
  <c r="U854" i="16"/>
  <c r="T1010" i="16"/>
  <c r="U1109" i="16"/>
  <c r="U148" i="17"/>
  <c r="U262" i="17"/>
  <c r="T205" i="17"/>
  <c r="U205" i="17"/>
  <c r="T148" i="17"/>
  <c r="T262" i="17"/>
  <c r="T997" i="16"/>
  <c r="U787" i="16"/>
  <c r="U805" i="16"/>
  <c r="U839" i="16"/>
  <c r="U887" i="16"/>
  <c r="U762" i="16"/>
  <c r="U913" i="16"/>
  <c r="U828" i="16"/>
  <c r="U868" i="16"/>
  <c r="U900" i="16"/>
  <c r="T998" i="16"/>
  <c r="U969" i="16"/>
  <c r="T996" i="16"/>
  <c r="U996" i="16"/>
  <c r="U1076" i="16"/>
  <c r="U1105" i="16"/>
  <c r="U144" i="17"/>
  <c r="U258" i="17"/>
  <c r="T201" i="17"/>
  <c r="U201" i="17"/>
  <c r="T144" i="17"/>
  <c r="T258" i="17"/>
  <c r="T983" i="16"/>
  <c r="T985" i="16"/>
  <c r="U813" i="16"/>
  <c r="U851" i="16"/>
  <c r="U826" i="16"/>
  <c r="U965" i="16"/>
  <c r="T984" i="16"/>
  <c r="T982" i="16"/>
  <c r="U838" i="16"/>
  <c r="U1101" i="16"/>
  <c r="U140" i="17"/>
  <c r="U254" i="17"/>
  <c r="T197" i="17"/>
  <c r="U197" i="17"/>
  <c r="T140" i="17"/>
  <c r="T254" i="17"/>
  <c r="T957" i="16"/>
  <c r="T959" i="16"/>
  <c r="U863" i="16"/>
  <c r="U760" i="16"/>
  <c r="U898" i="16"/>
  <c r="U933" i="16"/>
  <c r="T960" i="16"/>
  <c r="U923" i="16"/>
  <c r="T958" i="16"/>
  <c r="U886" i="16"/>
  <c r="U912" i="16"/>
  <c r="U943" i="16"/>
  <c r="U1098" i="16"/>
  <c r="U136" i="17"/>
  <c r="U250" i="17"/>
  <c r="T193" i="17"/>
  <c r="U193" i="17"/>
  <c r="T136" i="17"/>
  <c r="T250" i="17"/>
  <c r="T925" i="16"/>
  <c r="T927" i="16"/>
  <c r="T928" i="16"/>
  <c r="T926" i="16"/>
  <c r="U1094" i="16"/>
  <c r="U132" i="17"/>
  <c r="U246" i="17"/>
  <c r="T189" i="17"/>
  <c r="U189" i="17"/>
  <c r="T132" i="17"/>
  <c r="T246" i="17"/>
  <c r="T897" i="16"/>
  <c r="T899" i="16"/>
  <c r="T901" i="16"/>
  <c r="T903" i="16"/>
  <c r="T905" i="16"/>
  <c r="T907" i="16"/>
  <c r="T909" i="16"/>
  <c r="U781" i="16"/>
  <c r="U799" i="16"/>
  <c r="T896" i="16"/>
  <c r="T898" i="16"/>
  <c r="T900" i="16"/>
  <c r="T902" i="16"/>
  <c r="T904" i="16"/>
  <c r="T906" i="16"/>
  <c r="T908" i="16"/>
  <c r="U756" i="16"/>
  <c r="U1070" i="16"/>
  <c r="U1092" i="16"/>
  <c r="U128" i="17"/>
  <c r="U242" i="17"/>
  <c r="T185" i="17"/>
  <c r="U185" i="17"/>
  <c r="T128" i="17"/>
  <c r="T242" i="17"/>
  <c r="T837" i="16"/>
  <c r="T839" i="16"/>
  <c r="T841" i="16"/>
  <c r="T843" i="16"/>
  <c r="T845" i="16"/>
  <c r="T847" i="16"/>
  <c r="T849" i="16"/>
  <c r="T838" i="16"/>
  <c r="T840" i="16"/>
  <c r="T842" i="16"/>
  <c r="T844" i="16"/>
  <c r="T846" i="16"/>
  <c r="T848" i="16"/>
  <c r="U752" i="16"/>
  <c r="U778" i="16"/>
  <c r="U796" i="16"/>
  <c r="U1067" i="16"/>
  <c r="U1089" i="16"/>
  <c r="U124" i="17"/>
  <c r="U238" i="17"/>
  <c r="T181" i="17"/>
  <c r="U181" i="17"/>
  <c r="T124" i="17"/>
  <c r="T238" i="17"/>
  <c r="T793" i="16"/>
  <c r="T795" i="16"/>
  <c r="T797" i="16"/>
  <c r="T799" i="16"/>
  <c r="T801" i="16"/>
  <c r="T803" i="16"/>
  <c r="T805" i="16"/>
  <c r="T807" i="16"/>
  <c r="U747" i="16"/>
  <c r="U775" i="16"/>
  <c r="T792" i="16"/>
  <c r="T794" i="16"/>
  <c r="T796" i="16"/>
  <c r="T798" i="16"/>
  <c r="T800" i="16"/>
  <c r="T802" i="16"/>
  <c r="T804" i="16"/>
  <c r="T806" i="16"/>
  <c r="T808" i="16"/>
  <c r="U1064" i="16"/>
  <c r="U120" i="17"/>
  <c r="U234" i="17"/>
  <c r="T177" i="17"/>
  <c r="U177" i="17"/>
  <c r="T120" i="17"/>
  <c r="T234" i="17"/>
  <c r="T751" i="16"/>
  <c r="T753" i="16"/>
  <c r="T755" i="16"/>
  <c r="T757" i="16"/>
  <c r="T759" i="16"/>
  <c r="T761" i="16"/>
  <c r="T763" i="16"/>
  <c r="T765" i="16"/>
  <c r="U773" i="16"/>
  <c r="T750" i="16"/>
  <c r="T752" i="16"/>
  <c r="T754" i="16"/>
  <c r="T756" i="16"/>
  <c r="T758" i="16"/>
  <c r="T760" i="16"/>
  <c r="T762" i="16"/>
  <c r="T764" i="16"/>
  <c r="U792" i="16"/>
  <c r="U1083" i="16"/>
  <c r="U232" i="17"/>
  <c r="T175" i="17"/>
  <c r="U175" i="17"/>
  <c r="T232" i="17"/>
  <c r="T289" i="17"/>
  <c r="U289" i="17"/>
  <c r="T1080" i="16"/>
  <c r="T1081" i="16"/>
  <c r="U228" i="17"/>
  <c r="T171" i="17"/>
  <c r="U171" i="17"/>
  <c r="U285" i="17"/>
  <c r="T228" i="17"/>
  <c r="T285" i="17"/>
  <c r="T1044" i="16"/>
  <c r="U224" i="17"/>
  <c r="T167" i="17"/>
  <c r="U167" i="17"/>
  <c r="U281" i="17"/>
  <c r="T224" i="17"/>
  <c r="T281" i="17"/>
  <c r="U938" i="16"/>
  <c r="T1040" i="16"/>
  <c r="U1058" i="16"/>
  <c r="U878" i="16"/>
  <c r="U1049" i="16"/>
  <c r="U983" i="16"/>
  <c r="U220" i="17"/>
  <c r="T163" i="17"/>
  <c r="U163" i="17"/>
  <c r="U277" i="17"/>
  <c r="T220" i="17"/>
  <c r="T277" i="17"/>
  <c r="U819" i="16"/>
  <c r="U889" i="16"/>
  <c r="U903" i="16"/>
  <c r="U874" i="16"/>
  <c r="U949" i="16"/>
  <c r="U957" i="16"/>
  <c r="U1002" i="16"/>
  <c r="U1045" i="16"/>
  <c r="U915" i="16"/>
  <c r="T1036" i="16"/>
  <c r="U1054" i="16"/>
  <c r="U832" i="16"/>
  <c r="U972" i="16"/>
  <c r="U216" i="17"/>
  <c r="T159" i="17"/>
  <c r="U159" i="17"/>
  <c r="U273" i="17"/>
  <c r="T216" i="17"/>
  <c r="T273" i="17"/>
  <c r="T1027" i="16"/>
  <c r="U831" i="16"/>
  <c r="U843" i="16"/>
  <c r="U873" i="16"/>
  <c r="U818" i="16"/>
  <c r="T1028" i="16"/>
  <c r="U856" i="16"/>
  <c r="U1116" i="16"/>
  <c r="U212" i="17"/>
  <c r="T155" i="17"/>
  <c r="U155" i="17"/>
  <c r="U269" i="17"/>
  <c r="T212" i="17"/>
  <c r="T269" i="17"/>
  <c r="T1017" i="16"/>
  <c r="T1016" i="16"/>
  <c r="U1014" i="16"/>
  <c r="T1018" i="16"/>
  <c r="U1112" i="16"/>
  <c r="U208" i="17"/>
  <c r="T151" i="17"/>
  <c r="U151" i="17"/>
  <c r="U265" i="17"/>
  <c r="T208" i="17"/>
  <c r="T265" i="17"/>
  <c r="T1007" i="16"/>
  <c r="U901" i="16"/>
  <c r="T1008" i="16"/>
  <c r="U914" i="16"/>
  <c r="U947" i="16"/>
  <c r="U870" i="16"/>
  <c r="U816" i="16"/>
  <c r="U840" i="16"/>
  <c r="U888" i="16"/>
  <c r="U1108" i="16"/>
  <c r="U204" i="17"/>
  <c r="T147" i="17"/>
  <c r="U147" i="17"/>
  <c r="U261" i="17"/>
  <c r="T204" i="17"/>
  <c r="T261" i="17"/>
  <c r="T993" i="16"/>
  <c r="T995" i="16"/>
  <c r="U815" i="16"/>
  <c r="U827" i="16"/>
  <c r="U853" i="16"/>
  <c r="U867" i="16"/>
  <c r="U946" i="16"/>
  <c r="T992" i="16"/>
  <c r="U968" i="16"/>
  <c r="T994" i="16"/>
  <c r="U1104" i="16"/>
  <c r="U200" i="17"/>
  <c r="T143" i="17"/>
  <c r="U143" i="17"/>
  <c r="U257" i="17"/>
  <c r="T200" i="17"/>
  <c r="T257" i="17"/>
  <c r="T981" i="16"/>
  <c r="U864" i="16"/>
  <c r="U196" i="17"/>
  <c r="T139" i="17"/>
  <c r="U139" i="17"/>
  <c r="U253" i="17"/>
  <c r="T196" i="17"/>
  <c r="T253" i="17"/>
  <c r="T943" i="16"/>
  <c r="T945" i="16"/>
  <c r="T947" i="16"/>
  <c r="T949" i="16"/>
  <c r="T951" i="16"/>
  <c r="T953" i="16"/>
  <c r="T955" i="16"/>
  <c r="U825" i="16"/>
  <c r="U885" i="16"/>
  <c r="U897" i="16"/>
  <c r="T944" i="16"/>
  <c r="T952" i="16"/>
  <c r="U812" i="16"/>
  <c r="T950" i="16"/>
  <c r="U862" i="16"/>
  <c r="U911" i="16"/>
  <c r="T948" i="16"/>
  <c r="T956" i="16"/>
  <c r="T946" i="16"/>
  <c r="T954" i="16"/>
  <c r="U1097" i="16"/>
  <c r="U192" i="17"/>
  <c r="T135" i="17"/>
  <c r="U135" i="17"/>
  <c r="U249" i="17"/>
  <c r="T192" i="17"/>
  <c r="T249" i="17"/>
  <c r="T923" i="16"/>
  <c r="U759" i="16"/>
  <c r="U784" i="16"/>
  <c r="U802" i="16"/>
  <c r="U1073" i="16"/>
  <c r="T924" i="16"/>
  <c r="U1093" i="16"/>
  <c r="U188" i="17"/>
  <c r="T131" i="17"/>
  <c r="T245" i="17"/>
  <c r="U131" i="17"/>
  <c r="U245" i="17"/>
  <c r="T188" i="17"/>
  <c r="T885" i="16"/>
  <c r="T887" i="16"/>
  <c r="T889" i="16"/>
  <c r="T891" i="16"/>
  <c r="T893" i="16"/>
  <c r="T895" i="16"/>
  <c r="U755" i="16"/>
  <c r="T884" i="16"/>
  <c r="T886" i="16"/>
  <c r="T888" i="16"/>
  <c r="T890" i="16"/>
  <c r="T892" i="16"/>
  <c r="T894" i="16"/>
  <c r="U780" i="16"/>
  <c r="U798" i="16"/>
  <c r="U1069" i="16"/>
  <c r="U184" i="17"/>
  <c r="T127" i="17"/>
  <c r="T241" i="17"/>
  <c r="U127" i="17"/>
  <c r="U241" i="17"/>
  <c r="T184" i="17"/>
  <c r="T825" i="16"/>
  <c r="T827" i="16"/>
  <c r="T829" i="16"/>
  <c r="T831" i="16"/>
  <c r="T833" i="16"/>
  <c r="T835" i="16"/>
  <c r="U751" i="16"/>
  <c r="U777" i="16"/>
  <c r="U795" i="16"/>
  <c r="T826" i="16"/>
  <c r="T828" i="16"/>
  <c r="T830" i="16"/>
  <c r="T832" i="16"/>
  <c r="T834" i="16"/>
  <c r="T836" i="16"/>
  <c r="U1066" i="16"/>
  <c r="U1088" i="16"/>
  <c r="U180" i="17"/>
  <c r="T123" i="17"/>
  <c r="T237" i="17"/>
  <c r="U123" i="17"/>
  <c r="U237" i="17"/>
  <c r="T180" i="17"/>
  <c r="T773" i="16"/>
  <c r="T775" i="16"/>
  <c r="T777" i="16"/>
  <c r="T779" i="16"/>
  <c r="T781" i="16"/>
  <c r="T783" i="16"/>
  <c r="T785" i="16"/>
  <c r="T787" i="16"/>
  <c r="T789" i="16"/>
  <c r="T791" i="16"/>
  <c r="T774" i="16"/>
  <c r="T776" i="16"/>
  <c r="T778" i="16"/>
  <c r="T780" i="16"/>
  <c r="T782" i="16"/>
  <c r="T784" i="16"/>
  <c r="T786" i="16"/>
  <c r="T788" i="16"/>
  <c r="T790" i="16"/>
  <c r="U746" i="16"/>
  <c r="T673" i="16"/>
  <c r="U57" i="17"/>
  <c r="T114" i="17"/>
  <c r="T302" i="16"/>
  <c r="U114" i="17"/>
  <c r="T57" i="17"/>
  <c r="U196" i="16"/>
  <c r="U241" i="16"/>
  <c r="U612" i="16"/>
  <c r="T669" i="16"/>
  <c r="U307" i="16"/>
  <c r="U678" i="16"/>
  <c r="U687" i="16"/>
  <c r="U316" i="16"/>
  <c r="T53" i="17"/>
  <c r="U136" i="16"/>
  <c r="U507" i="16"/>
  <c r="T110" i="17"/>
  <c r="T298" i="16"/>
  <c r="U110" i="17"/>
  <c r="U567" i="16"/>
  <c r="U53" i="17"/>
  <c r="U132" i="16"/>
  <c r="U77" i="16"/>
  <c r="U461" i="16"/>
  <c r="U532" i="16"/>
  <c r="U674" i="16"/>
  <c r="U683" i="16"/>
  <c r="U90" i="16"/>
  <c r="U161" i="16"/>
  <c r="U303" i="16"/>
  <c r="U601" i="16"/>
  <c r="U544" i="16"/>
  <c r="U503" i="16"/>
  <c r="U312" i="16"/>
  <c r="U173" i="16"/>
  <c r="U207" i="16"/>
  <c r="T294" i="16"/>
  <c r="U631" i="16"/>
  <c r="U578" i="16"/>
  <c r="U448" i="16"/>
  <c r="U518" i="16"/>
  <c r="U215" i="16"/>
  <c r="T665" i="16"/>
  <c r="T49" i="17"/>
  <c r="U260" i="16"/>
  <c r="T106" i="17"/>
  <c r="U230" i="16"/>
  <c r="U106" i="17"/>
  <c r="U147" i="16"/>
  <c r="U586" i="16"/>
  <c r="U49" i="17"/>
  <c r="U114" i="16"/>
  <c r="U485" i="16"/>
  <c r="U89" i="16"/>
  <c r="U745" i="16"/>
  <c r="U76" i="16"/>
  <c r="U447" i="16"/>
  <c r="T285" i="16"/>
  <c r="T656" i="16"/>
  <c r="U101" i="16"/>
  <c r="T286" i="16"/>
  <c r="U374" i="16"/>
  <c r="T657" i="16"/>
  <c r="U472" i="16"/>
  <c r="T45" i="17"/>
  <c r="U460" i="16"/>
  <c r="T102" i="17"/>
  <c r="U502" i="16"/>
  <c r="U45" i="17"/>
  <c r="U131" i="16"/>
  <c r="U102" i="17"/>
  <c r="T276" i="16"/>
  <c r="U643" i="16"/>
  <c r="U741" i="16"/>
  <c r="U272" i="16"/>
  <c r="T646" i="16"/>
  <c r="T275" i="16"/>
  <c r="T647" i="16"/>
  <c r="T274" i="16"/>
  <c r="T41" i="17"/>
  <c r="U370" i="16"/>
  <c r="T98" i="17"/>
  <c r="T645" i="16"/>
  <c r="U98" i="17"/>
  <c r="U41" i="17"/>
  <c r="U205" i="16"/>
  <c r="T266" i="16"/>
  <c r="U543" i="16"/>
  <c r="U530" i="16"/>
  <c r="U737" i="16"/>
  <c r="U74" i="16"/>
  <c r="U445" i="16"/>
  <c r="U517" i="16"/>
  <c r="U499" i="16"/>
  <c r="U128" i="16"/>
  <c r="U159" i="16"/>
  <c r="U366" i="16"/>
  <c r="T636" i="16"/>
  <c r="U146" i="16"/>
  <c r="T265" i="16"/>
  <c r="U98" i="16"/>
  <c r="T637" i="16"/>
  <c r="U469" i="16"/>
  <c r="U37" i="17"/>
  <c r="T94" i="17"/>
  <c r="U172" i="16"/>
  <c r="U94" i="17"/>
  <c r="U576" i="16"/>
  <c r="T37" i="17"/>
  <c r="U204" i="16"/>
  <c r="T251" i="16"/>
  <c r="U597" i="16"/>
  <c r="U362" i="16"/>
  <c r="U482" i="16"/>
  <c r="U733" i="16"/>
  <c r="T250" i="16"/>
  <c r="U456" i="16"/>
  <c r="U111" i="16"/>
  <c r="U73" i="16"/>
  <c r="T624" i="16"/>
  <c r="U496" i="16"/>
  <c r="U444" i="16"/>
  <c r="U125" i="16"/>
  <c r="U575" i="16"/>
  <c r="T623" i="16"/>
  <c r="T253" i="16"/>
  <c r="T252" i="16"/>
  <c r="T621" i="16"/>
  <c r="U85" i="16"/>
  <c r="T622" i="16"/>
  <c r="T33" i="17"/>
  <c r="U226" i="16"/>
  <c r="T90" i="17"/>
  <c r="U33" i="17"/>
  <c r="U90" i="17"/>
  <c r="U493" i="16"/>
  <c r="U122" i="16"/>
  <c r="T610" i="16"/>
  <c r="T239" i="16"/>
  <c r="U29" i="17"/>
  <c r="T86" i="17"/>
  <c r="U86" i="17"/>
  <c r="T29" i="17"/>
  <c r="U155" i="16"/>
  <c r="T207" i="16"/>
  <c r="U169" i="16"/>
  <c r="U355" i="16"/>
  <c r="T210" i="16"/>
  <c r="U540" i="16"/>
  <c r="T583" i="16"/>
  <c r="T580" i="16"/>
  <c r="T577" i="16"/>
  <c r="T574" i="16"/>
  <c r="U70" i="16"/>
  <c r="T201" i="16"/>
  <c r="T209" i="16"/>
  <c r="T204" i="16"/>
  <c r="U441" i="16"/>
  <c r="T214" i="16"/>
  <c r="U514" i="16"/>
  <c r="U526" i="16"/>
  <c r="T584" i="16"/>
  <c r="T581" i="16"/>
  <c r="T578" i="16"/>
  <c r="T203" i="16"/>
  <c r="T208" i="16"/>
  <c r="U143" i="16"/>
  <c r="T572" i="16"/>
  <c r="T585" i="16"/>
  <c r="T205" i="16"/>
  <c r="T212" i="16"/>
  <c r="U454" i="16"/>
  <c r="T576" i="16"/>
  <c r="U491" i="16"/>
  <c r="T213" i="16"/>
  <c r="T579" i="16"/>
  <c r="U120" i="16"/>
  <c r="T202" i="16"/>
  <c r="U726" i="16"/>
  <c r="U83" i="16"/>
  <c r="T206" i="16"/>
  <c r="T573" i="16"/>
  <c r="T582" i="16"/>
  <c r="T25" i="17"/>
  <c r="T82" i="17"/>
  <c r="T211" i="16"/>
  <c r="U82" i="17"/>
  <c r="T575" i="16"/>
  <c r="U25" i="17"/>
  <c r="U17" i="16"/>
  <c r="U351" i="16"/>
  <c r="U702" i="16"/>
  <c r="T553" i="16"/>
  <c r="T181" i="16"/>
  <c r="U413" i="16"/>
  <c r="T552" i="16"/>
  <c r="U60" i="16"/>
  <c r="U431" i="16"/>
  <c r="U722" i="16"/>
  <c r="U331" i="16"/>
  <c r="T78" i="17"/>
  <c r="U21" i="17"/>
  <c r="T182" i="16"/>
  <c r="U78" i="17"/>
  <c r="T21" i="17"/>
  <c r="U42" i="16"/>
  <c r="U388" i="16"/>
  <c r="T142" i="16"/>
  <c r="T150" i="16"/>
  <c r="T145" i="16"/>
  <c r="U327" i="16"/>
  <c r="T149" i="16"/>
  <c r="T520" i="16"/>
  <c r="T523" i="16"/>
  <c r="T521" i="16"/>
  <c r="T144" i="16"/>
  <c r="T152" i="16"/>
  <c r="T153" i="16"/>
  <c r="U409" i="16"/>
  <c r="T514" i="16"/>
  <c r="T522" i="16"/>
  <c r="T519" i="16"/>
  <c r="T517" i="16"/>
  <c r="T146" i="16"/>
  <c r="U56" i="16"/>
  <c r="T143" i="16"/>
  <c r="U427" i="16"/>
  <c r="T516" i="16"/>
  <c r="T524" i="16"/>
  <c r="U698" i="16"/>
  <c r="T513" i="16"/>
  <c r="T148" i="16"/>
  <c r="T518" i="16"/>
  <c r="T74" i="17"/>
  <c r="U38" i="16"/>
  <c r="T147" i="16"/>
  <c r="T515" i="16"/>
  <c r="U17" i="17"/>
  <c r="T151" i="16"/>
  <c r="U384" i="16"/>
  <c r="U74" i="17"/>
  <c r="U13" i="16"/>
  <c r="T17" i="17"/>
  <c r="T90" i="16"/>
  <c r="U53" i="16"/>
  <c r="U9" i="16"/>
  <c r="T454" i="16"/>
  <c r="T462" i="16"/>
  <c r="U406" i="16"/>
  <c r="T463" i="16"/>
  <c r="U424" i="16"/>
  <c r="T84" i="16"/>
  <c r="T92" i="16"/>
  <c r="T83" i="16"/>
  <c r="T85" i="16"/>
  <c r="T456" i="16"/>
  <c r="T464" i="16"/>
  <c r="T457" i="16"/>
  <c r="U380" i="16"/>
  <c r="U695" i="16"/>
  <c r="T70" i="17"/>
  <c r="T86" i="16"/>
  <c r="T94" i="16"/>
  <c r="T87" i="16"/>
  <c r="T89" i="16"/>
  <c r="T458" i="16"/>
  <c r="T459" i="16"/>
  <c r="T465" i="16"/>
  <c r="T461" i="16"/>
  <c r="U717" i="16"/>
  <c r="U35" i="16"/>
  <c r="U346" i="16"/>
  <c r="T460" i="16"/>
  <c r="T13" i="17"/>
  <c r="T91" i="16"/>
  <c r="T455" i="16"/>
  <c r="U70" i="17"/>
  <c r="U13" i="17"/>
  <c r="T88" i="16"/>
  <c r="T93" i="16"/>
  <c r="U324" i="16"/>
  <c r="T328" i="16"/>
  <c r="T336" i="16"/>
  <c r="T333" i="16"/>
  <c r="T331" i="16"/>
  <c r="T704" i="16"/>
  <c r="T702" i="16"/>
  <c r="T700" i="16"/>
  <c r="T698" i="16"/>
  <c r="T322" i="16"/>
  <c r="T330" i="16"/>
  <c r="T321" i="16"/>
  <c r="T337" i="16"/>
  <c r="T335" i="16"/>
  <c r="T707" i="16"/>
  <c r="T705" i="16"/>
  <c r="T703" i="16"/>
  <c r="T701" i="16"/>
  <c r="T324" i="16"/>
  <c r="T332" i="16"/>
  <c r="T325" i="16"/>
  <c r="T323" i="16"/>
  <c r="T696" i="16"/>
  <c r="T694" i="16"/>
  <c r="T692" i="16"/>
  <c r="T708" i="16"/>
  <c r="T706" i="16"/>
  <c r="T326" i="16"/>
  <c r="T699" i="16"/>
  <c r="U117" i="17"/>
  <c r="T334" i="16"/>
  <c r="T697" i="16"/>
  <c r="T60" i="17"/>
  <c r="T329" i="16"/>
  <c r="T695" i="16"/>
  <c r="U60" i="17"/>
  <c r="T327" i="16"/>
  <c r="T693" i="16"/>
  <c r="T117" i="17"/>
  <c r="U319" i="16"/>
  <c r="U262" i="16"/>
  <c r="T301" i="16"/>
  <c r="U690" i="16"/>
  <c r="U681" i="16"/>
  <c r="U165" i="16"/>
  <c r="U212" i="16"/>
  <c r="U583" i="16"/>
  <c r="U310" i="16"/>
  <c r="T672" i="16"/>
  <c r="U139" i="16"/>
  <c r="U607" i="16"/>
  <c r="U510" i="16"/>
  <c r="U177" i="16"/>
  <c r="U633" i="16"/>
  <c r="U522" i="16"/>
  <c r="U548" i="16"/>
  <c r="U236" i="16"/>
  <c r="U151" i="16"/>
  <c r="U113" i="17"/>
  <c r="U536" i="16"/>
  <c r="T56" i="17"/>
  <c r="U56" i="17"/>
  <c r="T113" i="17"/>
  <c r="U79" i="16"/>
  <c r="U195" i="16"/>
  <c r="U251" i="16"/>
  <c r="U520" i="16"/>
  <c r="U306" i="16"/>
  <c r="U566" i="16"/>
  <c r="T297" i="16"/>
  <c r="U175" i="16"/>
  <c r="T668" i="16"/>
  <c r="U163" i="16"/>
  <c r="U233" i="16"/>
  <c r="U315" i="16"/>
  <c r="U581" i="16"/>
  <c r="U450" i="16"/>
  <c r="U604" i="16"/>
  <c r="U487" i="16"/>
  <c r="U463" i="16"/>
  <c r="T52" i="17"/>
  <c r="U92" i="16"/>
  <c r="U103" i="16"/>
  <c r="U240" i="16"/>
  <c r="U611" i="16"/>
  <c r="U534" i="16"/>
  <c r="U622" i="16"/>
  <c r="U653" i="16"/>
  <c r="U474" i="16"/>
  <c r="U135" i="16"/>
  <c r="U686" i="16"/>
  <c r="T109" i="17"/>
  <c r="U109" i="17"/>
  <c r="U116" i="16"/>
  <c r="U282" i="16"/>
  <c r="U677" i="16"/>
  <c r="U149" i="16"/>
  <c r="U210" i="16"/>
  <c r="U506" i="16"/>
  <c r="U546" i="16"/>
  <c r="U52" i="17"/>
  <c r="T105" i="17"/>
  <c r="T293" i="16"/>
  <c r="T48" i="17"/>
  <c r="T664" i="16"/>
  <c r="U48" i="17"/>
  <c r="U105" i="17"/>
  <c r="U160" i="16"/>
  <c r="U229" i="16"/>
  <c r="U130" i="16"/>
  <c r="U577" i="16"/>
  <c r="U600" i="16"/>
  <c r="U744" i="16"/>
  <c r="T653" i="16"/>
  <c r="U75" i="16"/>
  <c r="U373" i="16"/>
  <c r="U206" i="16"/>
  <c r="U446" i="16"/>
  <c r="U471" i="16"/>
  <c r="T281" i="16"/>
  <c r="U100" i="16"/>
  <c r="T282" i="16"/>
  <c r="T283" i="16"/>
  <c r="U459" i="16"/>
  <c r="U531" i="16"/>
  <c r="T652" i="16"/>
  <c r="U501" i="16"/>
  <c r="T101" i="17"/>
  <c r="U88" i="16"/>
  <c r="U484" i="16"/>
  <c r="T44" i="17"/>
  <c r="U113" i="16"/>
  <c r="T654" i="16"/>
  <c r="U44" i="17"/>
  <c r="T284" i="16"/>
  <c r="T655" i="16"/>
  <c r="U101" i="17"/>
  <c r="U25" i="16"/>
  <c r="U435" i="16"/>
  <c r="U396" i="16"/>
  <c r="T644" i="16"/>
  <c r="U64" i="16"/>
  <c r="U335" i="16"/>
  <c r="T272" i="16"/>
  <c r="T643" i="16"/>
  <c r="U46" i="16"/>
  <c r="U555" i="16"/>
  <c r="U184" i="16"/>
  <c r="U706" i="16"/>
  <c r="U740" i="16"/>
  <c r="U369" i="16"/>
  <c r="U417" i="16"/>
  <c r="T273" i="16"/>
  <c r="T97" i="17"/>
  <c r="T40" i="17"/>
  <c r="U97" i="17"/>
  <c r="U40" i="17"/>
  <c r="U127" i="16"/>
  <c r="T264" i="16"/>
  <c r="U498" i="16"/>
  <c r="U736" i="16"/>
  <c r="U228" i="16"/>
  <c r="U599" i="16"/>
  <c r="T631" i="16"/>
  <c r="T633" i="16"/>
  <c r="T36" i="17"/>
  <c r="T260" i="16"/>
  <c r="T261" i="16"/>
  <c r="T635" i="16"/>
  <c r="T634" i="16"/>
  <c r="T263" i="16"/>
  <c r="T93" i="17"/>
  <c r="T632" i="16"/>
  <c r="U93" i="17"/>
  <c r="U365" i="16"/>
  <c r="T262" i="16"/>
  <c r="U36" i="17"/>
  <c r="U157" i="16"/>
  <c r="T249" i="16"/>
  <c r="U361" i="16"/>
  <c r="U563" i="16"/>
  <c r="T619" i="16"/>
  <c r="T618" i="16"/>
  <c r="T89" i="17"/>
  <c r="U192" i="16"/>
  <c r="U124" i="16"/>
  <c r="U443" i="16"/>
  <c r="U481" i="16"/>
  <c r="T620" i="16"/>
  <c r="T32" i="17"/>
  <c r="U110" i="16"/>
  <c r="U203" i="16"/>
  <c r="T248" i="16"/>
  <c r="U574" i="16"/>
  <c r="U732" i="16"/>
  <c r="U72" i="16"/>
  <c r="T247" i="16"/>
  <c r="U225" i="16"/>
  <c r="U528" i="16"/>
  <c r="U596" i="16"/>
  <c r="U495" i="16"/>
  <c r="U89" i="17"/>
  <c r="U32" i="17"/>
  <c r="U24" i="16"/>
  <c r="T225" i="16"/>
  <c r="T233" i="16"/>
  <c r="T224" i="16"/>
  <c r="U333" i="16"/>
  <c r="U44" i="16"/>
  <c r="T234" i="16"/>
  <c r="U593" i="16"/>
  <c r="U704" i="16"/>
  <c r="T607" i="16"/>
  <c r="T227" i="16"/>
  <c r="T237" i="16"/>
  <c r="T236" i="16"/>
  <c r="T222" i="16"/>
  <c r="U288" i="16"/>
  <c r="U554" i="16"/>
  <c r="T596" i="16"/>
  <c r="U659" i="16"/>
  <c r="T605" i="16"/>
  <c r="T602" i="16"/>
  <c r="U19" i="16"/>
  <c r="T229" i="16"/>
  <c r="U183" i="16"/>
  <c r="U395" i="16"/>
  <c r="T226" i="16"/>
  <c r="U222" i="16"/>
  <c r="T595" i="16"/>
  <c r="T600" i="16"/>
  <c r="T593" i="16"/>
  <c r="T609" i="16"/>
  <c r="T606" i="16"/>
  <c r="U62" i="16"/>
  <c r="T231" i="16"/>
  <c r="T228" i="16"/>
  <c r="U415" i="16"/>
  <c r="T230" i="16"/>
  <c r="U358" i="16"/>
  <c r="T599" i="16"/>
  <c r="T604" i="16"/>
  <c r="T597" i="16"/>
  <c r="T594" i="16"/>
  <c r="U729" i="16"/>
  <c r="T235" i="16"/>
  <c r="U390" i="16"/>
  <c r="T598" i="16"/>
  <c r="T85" i="17"/>
  <c r="T232" i="16"/>
  <c r="T603" i="16"/>
  <c r="T28" i="17"/>
  <c r="U433" i="16"/>
  <c r="T608" i="16"/>
  <c r="U28" i="17"/>
  <c r="T223" i="16"/>
  <c r="T238" i="16"/>
  <c r="T601" i="16"/>
  <c r="U85" i="17"/>
  <c r="T193" i="16"/>
  <c r="U108" i="16"/>
  <c r="T196" i="16"/>
  <c r="U525" i="16"/>
  <c r="U354" i="16"/>
  <c r="T567" i="16"/>
  <c r="U490" i="16"/>
  <c r="U466" i="16"/>
  <c r="U725" i="16"/>
  <c r="U168" i="16"/>
  <c r="T195" i="16"/>
  <c r="T194" i="16"/>
  <c r="U69" i="16"/>
  <c r="U539" i="16"/>
  <c r="U513" i="16"/>
  <c r="T571" i="16"/>
  <c r="T565" i="16"/>
  <c r="T562" i="16"/>
  <c r="T197" i="16"/>
  <c r="U119" i="16"/>
  <c r="U479" i="16"/>
  <c r="T569" i="16"/>
  <c r="T199" i="16"/>
  <c r="T198" i="16"/>
  <c r="T563" i="16"/>
  <c r="U440" i="16"/>
  <c r="T191" i="16"/>
  <c r="T192" i="16"/>
  <c r="T570" i="16"/>
  <c r="T200" i="16"/>
  <c r="T564" i="16"/>
  <c r="U95" i="16"/>
  <c r="T568" i="16"/>
  <c r="T81" i="17"/>
  <c r="U142" i="16"/>
  <c r="T24" i="17"/>
  <c r="U154" i="16"/>
  <c r="U81" i="17"/>
  <c r="T566" i="16"/>
  <c r="U24" i="17"/>
  <c r="U41" i="16"/>
  <c r="T180" i="16"/>
  <c r="T551" i="16"/>
  <c r="T179" i="16"/>
  <c r="U330" i="16"/>
  <c r="U701" i="16"/>
  <c r="T20" i="17"/>
  <c r="U59" i="16"/>
  <c r="U430" i="16"/>
  <c r="T550" i="16"/>
  <c r="U387" i="16"/>
  <c r="U20" i="17"/>
  <c r="U412" i="16"/>
  <c r="T77" i="17"/>
  <c r="U16" i="16"/>
  <c r="U77" i="17"/>
  <c r="U55" i="16"/>
  <c r="T126" i="16"/>
  <c r="T134" i="16"/>
  <c r="T123" i="16"/>
  <c r="T129" i="16"/>
  <c r="T135" i="16"/>
  <c r="U383" i="16"/>
  <c r="T496" i="16"/>
  <c r="T504" i="16"/>
  <c r="T512" i="16"/>
  <c r="T507" i="16"/>
  <c r="T503" i="16"/>
  <c r="T133" i="16"/>
  <c r="U697" i="16"/>
  <c r="T73" i="17"/>
  <c r="T120" i="16"/>
  <c r="T128" i="16"/>
  <c r="T136" i="16"/>
  <c r="T131" i="16"/>
  <c r="T137" i="16"/>
  <c r="U37" i="16"/>
  <c r="T490" i="16"/>
  <c r="T498" i="16"/>
  <c r="T506" i="16"/>
  <c r="T141" i="16"/>
  <c r="U326" i="16"/>
  <c r="T511" i="16"/>
  <c r="T505" i="16"/>
  <c r="U408" i="16"/>
  <c r="T16" i="17"/>
  <c r="T122" i="16"/>
  <c r="T130" i="16"/>
  <c r="T138" i="16"/>
  <c r="T139" i="16"/>
  <c r="T119" i="16"/>
  <c r="T125" i="16"/>
  <c r="T492" i="16"/>
  <c r="T500" i="16"/>
  <c r="T508" i="16"/>
  <c r="T491" i="16"/>
  <c r="U426" i="16"/>
  <c r="T493" i="16"/>
  <c r="U720" i="16"/>
  <c r="T497" i="16"/>
  <c r="U12" i="16"/>
  <c r="T124" i="16"/>
  <c r="T132" i="16"/>
  <c r="T140" i="16"/>
  <c r="T121" i="16"/>
  <c r="T127" i="16"/>
  <c r="U349" i="16"/>
  <c r="T494" i="16"/>
  <c r="T502" i="16"/>
  <c r="T510" i="16"/>
  <c r="T499" i="16"/>
  <c r="T495" i="16"/>
  <c r="T509" i="16"/>
  <c r="T501" i="16"/>
  <c r="U73" i="17"/>
  <c r="U16" i="17"/>
  <c r="U34" i="16"/>
  <c r="T76" i="16"/>
  <c r="T71" i="16"/>
  <c r="T69" i="16"/>
  <c r="U323" i="16"/>
  <c r="U423" i="16"/>
  <c r="T446" i="16"/>
  <c r="T441" i="16"/>
  <c r="T70" i="16"/>
  <c r="T78" i="16"/>
  <c r="T75" i="16"/>
  <c r="T73" i="16"/>
  <c r="U345" i="16"/>
  <c r="T440" i="16"/>
  <c r="T448" i="16"/>
  <c r="T445" i="16"/>
  <c r="T447" i="16"/>
  <c r="U8" i="16"/>
  <c r="T82" i="16"/>
  <c r="T81" i="16"/>
  <c r="T444" i="16"/>
  <c r="T453" i="16"/>
  <c r="U716" i="16"/>
  <c r="T72" i="16"/>
  <c r="T79" i="16"/>
  <c r="U379" i="16"/>
  <c r="T450" i="16"/>
  <c r="T443" i="16"/>
  <c r="T74" i="16"/>
  <c r="U52" i="16"/>
  <c r="U405" i="16"/>
  <c r="T452" i="16"/>
  <c r="T451" i="16"/>
  <c r="T442" i="16"/>
  <c r="U69" i="17"/>
  <c r="T449" i="16"/>
  <c r="T12" i="17"/>
  <c r="T80" i="16"/>
  <c r="U694" i="16"/>
  <c r="U12" i="17"/>
  <c r="T77" i="16"/>
  <c r="T69" i="17"/>
  <c r="T318" i="16"/>
  <c r="T315" i="16"/>
  <c r="T691" i="16"/>
  <c r="T687" i="16"/>
  <c r="T59" i="17"/>
  <c r="T312" i="16"/>
  <c r="T320" i="16"/>
  <c r="T319" i="16"/>
  <c r="T686" i="16"/>
  <c r="T685" i="16"/>
  <c r="T116" i="17"/>
  <c r="T314" i="16"/>
  <c r="T313" i="16"/>
  <c r="T683" i="16"/>
  <c r="T689" i="16"/>
  <c r="T690" i="16"/>
  <c r="T316" i="16"/>
  <c r="T317" i="16"/>
  <c r="T688" i="16"/>
  <c r="T684" i="16"/>
  <c r="U116" i="17"/>
  <c r="U59" i="17"/>
  <c r="U235" i="16"/>
  <c r="T300" i="16"/>
  <c r="U198" i="16"/>
  <c r="U680" i="16"/>
  <c r="U261" i="16"/>
  <c r="U509" i="16"/>
  <c r="U476" i="16"/>
  <c r="T671" i="16"/>
  <c r="U105" i="16"/>
  <c r="U318" i="16"/>
  <c r="U309" i="16"/>
  <c r="U606" i="16"/>
  <c r="U138" i="16"/>
  <c r="U632" i="16"/>
  <c r="U569" i="16"/>
  <c r="T55" i="17"/>
  <c r="U689" i="16"/>
  <c r="T112" i="17"/>
  <c r="U55" i="17"/>
  <c r="U112" i="17"/>
  <c r="U102" i="16"/>
  <c r="U148" i="16"/>
  <c r="U232" i="16"/>
  <c r="U250" i="16"/>
  <c r="U603" i="16"/>
  <c r="U473" i="16"/>
  <c r="U676" i="16"/>
  <c r="U486" i="16"/>
  <c r="U78" i="16"/>
  <c r="U115" i="16"/>
  <c r="U209" i="16"/>
  <c r="U247" i="16"/>
  <c r="U533" i="16"/>
  <c r="U621" i="16"/>
  <c r="U505" i="16"/>
  <c r="U519" i="16"/>
  <c r="U134" i="16"/>
  <c r="T296" i="16"/>
  <c r="U314" i="16"/>
  <c r="T667" i="16"/>
  <c r="U174" i="16"/>
  <c r="U162" i="16"/>
  <c r="U462" i="16"/>
  <c r="U685" i="16"/>
  <c r="U91" i="16"/>
  <c r="U565" i="16"/>
  <c r="U305" i="16"/>
  <c r="U580" i="16"/>
  <c r="U449" i="16"/>
  <c r="U618" i="16"/>
  <c r="U545" i="16"/>
  <c r="T51" i="17"/>
  <c r="T108" i="17"/>
  <c r="U51" i="17"/>
  <c r="U194" i="16"/>
  <c r="U108" i="17"/>
  <c r="T290" i="16"/>
  <c r="T659" i="16"/>
  <c r="T663" i="16"/>
  <c r="T292" i="16"/>
  <c r="U661" i="16"/>
  <c r="T289" i="16"/>
  <c r="T104" i="17"/>
  <c r="U290" i="16"/>
  <c r="T662" i="16"/>
  <c r="T661" i="16"/>
  <c r="T288" i="16"/>
  <c r="T291" i="16"/>
  <c r="U104" i="17"/>
  <c r="T47" i="17"/>
  <c r="T660" i="16"/>
  <c r="U47" i="17"/>
  <c r="U47" i="16"/>
  <c r="T280" i="16"/>
  <c r="U336" i="16"/>
  <c r="U743" i="16"/>
  <c r="U43" i="17"/>
  <c r="U185" i="16"/>
  <c r="U418" i="16"/>
  <c r="U707" i="16"/>
  <c r="T100" i="17"/>
  <c r="U397" i="16"/>
  <c r="U556" i="16"/>
  <c r="U372" i="16"/>
  <c r="U26" i="16"/>
  <c r="U65" i="16"/>
  <c r="T651" i="16"/>
  <c r="U436" i="16"/>
  <c r="T43" i="17"/>
  <c r="U100" i="17"/>
  <c r="T271" i="16"/>
  <c r="U392" i="16"/>
  <c r="T270" i="16"/>
  <c r="U368" i="16"/>
  <c r="T642" i="16"/>
  <c r="T269" i="16"/>
  <c r="T640" i="16"/>
  <c r="T641" i="16"/>
  <c r="T39" i="17"/>
  <c r="T96" i="17"/>
  <c r="U21" i="16"/>
  <c r="U39" i="17"/>
  <c r="U739" i="16"/>
  <c r="U96" i="17"/>
  <c r="T245" i="16"/>
  <c r="U573" i="16"/>
  <c r="T615" i="16"/>
  <c r="U202" i="16"/>
  <c r="U31" i="17"/>
  <c r="T244" i="16"/>
  <c r="U595" i="16"/>
  <c r="U494" i="16"/>
  <c r="U360" i="16"/>
  <c r="T88" i="17"/>
  <c r="U281" i="16"/>
  <c r="T246" i="16"/>
  <c r="T616" i="16"/>
  <c r="U731" i="16"/>
  <c r="U123" i="16"/>
  <c r="U224" i="16"/>
  <c r="T31" i="17"/>
  <c r="U88" i="17"/>
  <c r="U652" i="16"/>
  <c r="T617" i="16"/>
  <c r="T221" i="16"/>
  <c r="U357" i="16"/>
  <c r="U332" i="16"/>
  <c r="U728" i="16"/>
  <c r="T27" i="17"/>
  <c r="U28" i="16"/>
  <c r="U43" i="16"/>
  <c r="U399" i="16"/>
  <c r="T591" i="16"/>
  <c r="T590" i="16"/>
  <c r="T84" i="17"/>
  <c r="U61" i="16"/>
  <c r="U187" i="16"/>
  <c r="U414" i="16"/>
  <c r="U432" i="16"/>
  <c r="U703" i="16"/>
  <c r="T219" i="16"/>
  <c r="T220" i="16"/>
  <c r="U558" i="16"/>
  <c r="T592" i="16"/>
  <c r="U27" i="17"/>
  <c r="U84" i="17"/>
  <c r="T189" i="16"/>
  <c r="T559" i="16"/>
  <c r="T558" i="16"/>
  <c r="U353" i="16"/>
  <c r="T560" i="16"/>
  <c r="T190" i="16"/>
  <c r="U724" i="16"/>
  <c r="T187" i="16"/>
  <c r="T561" i="16"/>
  <c r="T23" i="17"/>
  <c r="T188" i="16"/>
  <c r="T80" i="17"/>
  <c r="U23" i="17"/>
  <c r="U80" i="17"/>
  <c r="U58" i="16"/>
  <c r="T174" i="16"/>
  <c r="T169" i="16"/>
  <c r="U329" i="16"/>
  <c r="U386" i="16"/>
  <c r="T547" i="16"/>
  <c r="T541" i="16"/>
  <c r="T546" i="16"/>
  <c r="T168" i="16"/>
  <c r="T176" i="16"/>
  <c r="T177" i="16"/>
  <c r="U411" i="16"/>
  <c r="U700" i="16"/>
  <c r="T540" i="16"/>
  <c r="T545" i="16"/>
  <c r="T170" i="16"/>
  <c r="U15" i="16"/>
  <c r="T175" i="16"/>
  <c r="T171" i="16"/>
  <c r="T539" i="16"/>
  <c r="T549" i="16"/>
  <c r="T178" i="16"/>
  <c r="T543" i="16"/>
  <c r="T542" i="16"/>
  <c r="T173" i="16"/>
  <c r="U40" i="16"/>
  <c r="T544" i="16"/>
  <c r="T172" i="16"/>
  <c r="T548" i="16"/>
  <c r="T19" i="17"/>
  <c r="T76" i="17"/>
  <c r="U429" i="16"/>
  <c r="U76" i="17"/>
  <c r="U19" i="17"/>
  <c r="T114" i="16"/>
  <c r="T115" i="16"/>
  <c r="T480" i="16"/>
  <c r="T488" i="16"/>
  <c r="T481" i="16"/>
  <c r="T489" i="16"/>
  <c r="U15" i="17"/>
  <c r="T108" i="16"/>
  <c r="T116" i="16"/>
  <c r="T113" i="16"/>
  <c r="T482" i="16"/>
  <c r="T109" i="16"/>
  <c r="T479" i="16"/>
  <c r="T485" i="16"/>
  <c r="T72" i="17"/>
  <c r="T110" i="16"/>
  <c r="T118" i="16"/>
  <c r="T111" i="16"/>
  <c r="T484" i="16"/>
  <c r="T483" i="16"/>
  <c r="T487" i="16"/>
  <c r="U719" i="16"/>
  <c r="T112" i="16"/>
  <c r="U11" i="16"/>
  <c r="T117" i="16"/>
  <c r="T486" i="16"/>
  <c r="U382" i="16"/>
  <c r="U348" i="16"/>
  <c r="U72" i="17"/>
  <c r="T15" i="17"/>
  <c r="U338" i="16"/>
  <c r="U715" i="16"/>
  <c r="U11" i="17"/>
  <c r="T68" i="16"/>
  <c r="T439" i="16"/>
  <c r="T68" i="17"/>
  <c r="T67" i="16"/>
  <c r="U709" i="16"/>
  <c r="T438" i="16"/>
  <c r="U344" i="16"/>
  <c r="T11" i="17"/>
  <c r="U68" i="17"/>
  <c r="T306" i="16"/>
  <c r="T309" i="16"/>
  <c r="T675" i="16"/>
  <c r="T676" i="16"/>
  <c r="T682" i="16"/>
  <c r="T115" i="17"/>
  <c r="T308" i="16"/>
  <c r="T303" i="16"/>
  <c r="T680" i="16"/>
  <c r="T679" i="16"/>
  <c r="T58" i="17"/>
  <c r="T310" i="16"/>
  <c r="T307" i="16"/>
  <c r="T678" i="16"/>
  <c r="T674" i="16"/>
  <c r="T304" i="16"/>
  <c r="T305" i="16"/>
  <c r="T311" i="16"/>
  <c r="T681" i="16"/>
  <c r="T677" i="16"/>
  <c r="U58" i="17"/>
  <c r="U115" i="17"/>
  <c r="U80" i="16"/>
  <c r="U137" i="16"/>
  <c r="U317" i="16"/>
  <c r="T299" i="16"/>
  <c r="U104" i="16"/>
  <c r="U164" i="16"/>
  <c r="U451" i="16"/>
  <c r="U176" i="16"/>
  <c r="U216" i="16"/>
  <c r="U587" i="16"/>
  <c r="U508" i="16"/>
  <c r="U688" i="16"/>
  <c r="U679" i="16"/>
  <c r="T111" i="17"/>
  <c r="U150" i="16"/>
  <c r="U244" i="16"/>
  <c r="U605" i="16"/>
  <c r="U521" i="16"/>
  <c r="U234" i="16"/>
  <c r="T54" i="17"/>
  <c r="U197" i="16"/>
  <c r="U535" i="16"/>
  <c r="U615" i="16"/>
  <c r="U568" i="16"/>
  <c r="T670" i="16"/>
  <c r="U54" i="17"/>
  <c r="U211" i="16"/>
  <c r="U547" i="16"/>
  <c r="U475" i="16"/>
  <c r="U582" i="16"/>
  <c r="U308" i="16"/>
  <c r="U111" i="17"/>
  <c r="U193" i="16"/>
  <c r="U208" i="16"/>
  <c r="U564" i="16"/>
  <c r="U304" i="16"/>
  <c r="U231" i="16"/>
  <c r="U504" i="16"/>
  <c r="U602" i="16"/>
  <c r="U675" i="16"/>
  <c r="U313" i="16"/>
  <c r="U684" i="16"/>
  <c r="U579" i="16"/>
  <c r="T666" i="16"/>
  <c r="U133" i="16"/>
  <c r="T295" i="16"/>
  <c r="U640" i="16"/>
  <c r="U107" i="17"/>
  <c r="T50" i="17"/>
  <c r="U50" i="17"/>
  <c r="U269" i="16"/>
  <c r="T107" i="17"/>
  <c r="U559" i="16"/>
  <c r="T658" i="16"/>
  <c r="U188" i="16"/>
  <c r="T287" i="16"/>
  <c r="U219" i="16"/>
  <c r="U590" i="16"/>
  <c r="U289" i="16"/>
  <c r="U660" i="16"/>
  <c r="U103" i="17"/>
  <c r="T46" i="17"/>
  <c r="U46" i="17"/>
  <c r="T103" i="17"/>
  <c r="U371" i="16"/>
  <c r="T279" i="16"/>
  <c r="T649" i="16"/>
  <c r="U99" i="17"/>
  <c r="T278" i="16"/>
  <c r="U648" i="16"/>
  <c r="U742" i="16"/>
  <c r="T42" i="17"/>
  <c r="U274" i="16"/>
  <c r="U645" i="16"/>
  <c r="T650" i="16"/>
  <c r="U277" i="16"/>
  <c r="T277" i="16"/>
  <c r="T648" i="16"/>
  <c r="U42" i="17"/>
  <c r="T99" i="17"/>
  <c r="U129" i="16"/>
  <c r="U470" i="16"/>
  <c r="T639" i="16"/>
  <c r="U87" i="16"/>
  <c r="T267" i="16"/>
  <c r="U738" i="16"/>
  <c r="U99" i="16"/>
  <c r="U483" i="16"/>
  <c r="T638" i="16"/>
  <c r="T268" i="16"/>
  <c r="U500" i="16"/>
  <c r="U112" i="16"/>
  <c r="U458" i="16"/>
  <c r="U367" i="16"/>
  <c r="T95" i="17"/>
  <c r="T38" i="17"/>
  <c r="U38" i="17"/>
  <c r="U95" i="17"/>
  <c r="U63" i="16"/>
  <c r="U158" i="16"/>
  <c r="U227" i="16"/>
  <c r="T256" i="16"/>
  <c r="U434" i="16"/>
  <c r="U497" i="16"/>
  <c r="U598" i="16"/>
  <c r="T625" i="16"/>
  <c r="U45" i="16"/>
  <c r="U171" i="16"/>
  <c r="U363" i="16"/>
  <c r="U254" i="16"/>
  <c r="T255" i="16"/>
  <c r="U516" i="16"/>
  <c r="T627" i="16"/>
  <c r="U705" i="16"/>
  <c r="U126" i="16"/>
  <c r="T254" i="16"/>
  <c r="U468" i="16"/>
  <c r="U734" i="16"/>
  <c r="U97" i="16"/>
  <c r="U625" i="16"/>
  <c r="U529" i="16"/>
  <c r="T626" i="16"/>
  <c r="U20" i="16"/>
  <c r="U145" i="16"/>
  <c r="U334" i="16"/>
  <c r="U542" i="16"/>
  <c r="U391" i="16"/>
  <c r="T91" i="17"/>
  <c r="U457" i="16"/>
  <c r="T34" i="17"/>
  <c r="U416" i="16"/>
  <c r="U34" i="17"/>
  <c r="U86" i="16"/>
  <c r="U91" i="17"/>
  <c r="U96" i="16"/>
  <c r="T243" i="16"/>
  <c r="T242" i="16"/>
  <c r="U594" i="16"/>
  <c r="T613" i="16"/>
  <c r="U71" i="16"/>
  <c r="U359" i="16"/>
  <c r="T611" i="16"/>
  <c r="T614" i="16"/>
  <c r="T241" i="16"/>
  <c r="U480" i="16"/>
  <c r="T612" i="16"/>
  <c r="U109" i="16"/>
  <c r="U467" i="16"/>
  <c r="U223" i="16"/>
  <c r="U730" i="16"/>
  <c r="T240" i="16"/>
  <c r="U455" i="16"/>
  <c r="U87" i="17"/>
  <c r="U84" i="16"/>
  <c r="T30" i="17"/>
  <c r="U442" i="16"/>
  <c r="U30" i="17"/>
  <c r="T87" i="17"/>
  <c r="T217" i="16"/>
  <c r="U191" i="16"/>
  <c r="U170" i="16"/>
  <c r="U552" i="16"/>
  <c r="U515" i="16"/>
  <c r="T589" i="16"/>
  <c r="T83" i="17"/>
  <c r="U18" i="16"/>
  <c r="U121" i="16"/>
  <c r="U201" i="16"/>
  <c r="T218" i="16"/>
  <c r="U562" i="16"/>
  <c r="T588" i="16"/>
  <c r="T586" i="16"/>
  <c r="T26" i="17"/>
  <c r="U144" i="16"/>
  <c r="U156" i="16"/>
  <c r="T216" i="16"/>
  <c r="U541" i="16"/>
  <c r="U572" i="16"/>
  <c r="U356" i="16"/>
  <c r="U727" i="16"/>
  <c r="T215" i="16"/>
  <c r="U181" i="16"/>
  <c r="U389" i="16"/>
  <c r="U492" i="16"/>
  <c r="T587" i="16"/>
  <c r="U527" i="16"/>
  <c r="U83" i="17"/>
  <c r="U26" i="17"/>
  <c r="T186" i="16"/>
  <c r="T556" i="16"/>
  <c r="T184" i="16"/>
  <c r="T557" i="16"/>
  <c r="T555" i="16"/>
  <c r="T79" i="17"/>
  <c r="U352" i="16"/>
  <c r="T22" i="17"/>
  <c r="T183" i="16"/>
  <c r="T554" i="16"/>
  <c r="U22" i="17"/>
  <c r="T185" i="16"/>
  <c r="U723" i="16"/>
  <c r="U79" i="17"/>
  <c r="T154" i="16"/>
  <c r="T162" i="16"/>
  <c r="T155" i="16"/>
  <c r="T159" i="16"/>
  <c r="T526" i="16"/>
  <c r="T531" i="16"/>
  <c r="T527" i="16"/>
  <c r="T536" i="16"/>
  <c r="T160" i="16"/>
  <c r="T163" i="16"/>
  <c r="T157" i="16"/>
  <c r="T532" i="16"/>
  <c r="U428" i="16"/>
  <c r="T533" i="16"/>
  <c r="T534" i="16"/>
  <c r="U14" i="16"/>
  <c r="T164" i="16"/>
  <c r="U57" i="16"/>
  <c r="U385" i="16"/>
  <c r="U350" i="16"/>
  <c r="T525" i="16"/>
  <c r="T537" i="16"/>
  <c r="T538" i="16"/>
  <c r="T158" i="16"/>
  <c r="T167" i="16"/>
  <c r="T165" i="16"/>
  <c r="T529" i="16"/>
  <c r="T166" i="16"/>
  <c r="T528" i="16"/>
  <c r="T535" i="16"/>
  <c r="U721" i="16"/>
  <c r="U39" i="16"/>
  <c r="T530" i="16"/>
  <c r="U699" i="16"/>
  <c r="T161" i="16"/>
  <c r="T75" i="17"/>
  <c r="U410" i="16"/>
  <c r="T18" i="17"/>
  <c r="U328" i="16"/>
  <c r="U75" i="17"/>
  <c r="T156" i="16"/>
  <c r="U18" i="17"/>
  <c r="T8" i="16"/>
  <c r="T6" i="17"/>
  <c r="T386" i="16"/>
  <c r="T9" i="16"/>
  <c r="U421" i="16"/>
  <c r="T390" i="16"/>
  <c r="U402" i="16"/>
  <c r="T14" i="16"/>
  <c r="T384" i="16"/>
  <c r="T382" i="16"/>
  <c r="T10" i="16"/>
  <c r="T16" i="16"/>
  <c r="T385" i="16"/>
  <c r="T391" i="16"/>
  <c r="U6" i="17"/>
  <c r="T22" i="16"/>
  <c r="U341" i="16"/>
  <c r="T394" i="16"/>
  <c r="T383" i="16"/>
  <c r="T17" i="16"/>
  <c r="T21" i="16"/>
  <c r="T13" i="16"/>
  <c r="T388" i="16"/>
  <c r="T19" i="16"/>
  <c r="T387" i="16"/>
  <c r="T63" i="17"/>
  <c r="T18" i="16"/>
  <c r="T380" i="16"/>
  <c r="T389" i="16"/>
  <c r="T15" i="16"/>
  <c r="T23" i="16"/>
  <c r="U50" i="16"/>
  <c r="U63" i="17"/>
  <c r="U712" i="16"/>
  <c r="T20" i="16"/>
  <c r="T393" i="16"/>
  <c r="U31" i="16"/>
  <c r="T11" i="16"/>
  <c r="T381" i="16"/>
  <c r="T392" i="16"/>
  <c r="T379" i="16"/>
  <c r="T12" i="16"/>
  <c r="T259" i="16"/>
  <c r="T628" i="16"/>
  <c r="U735" i="16"/>
  <c r="U179" i="16"/>
  <c r="U550" i="16"/>
  <c r="T629" i="16"/>
  <c r="T92" i="17"/>
  <c r="U257" i="16"/>
  <c r="U628" i="16"/>
  <c r="T257" i="16"/>
  <c r="U92" i="17"/>
  <c r="T258" i="16"/>
  <c r="U364" i="16"/>
  <c r="T630" i="16"/>
  <c r="U35" i="17"/>
  <c r="T35" i="17"/>
  <c r="T56" i="16"/>
  <c r="T64" i="16"/>
  <c r="T51" i="16"/>
  <c r="T63" i="16"/>
  <c r="T424" i="16"/>
  <c r="T432" i="16"/>
  <c r="T425" i="16"/>
  <c r="T55" i="16"/>
  <c r="T431" i="16"/>
  <c r="U376" i="16"/>
  <c r="T67" i="17"/>
  <c r="T54" i="16"/>
  <c r="T62" i="16"/>
  <c r="T66" i="16"/>
  <c r="U33" i="16"/>
  <c r="T422" i="16"/>
  <c r="T421" i="16"/>
  <c r="T427" i="16"/>
  <c r="T50" i="16"/>
  <c r="T58" i="16"/>
  <c r="T53" i="16"/>
  <c r="T59" i="16"/>
  <c r="T65" i="16"/>
  <c r="T426" i="16"/>
  <c r="T434" i="16"/>
  <c r="T429" i="16"/>
  <c r="U322" i="16"/>
  <c r="T435" i="16"/>
  <c r="T10" i="17"/>
  <c r="T437" i="16"/>
  <c r="U67" i="17"/>
  <c r="T52" i="16"/>
  <c r="T60" i="16"/>
  <c r="T61" i="16"/>
  <c r="T57" i="16"/>
  <c r="U5" i="16"/>
  <c r="T428" i="16"/>
  <c r="T436" i="16"/>
  <c r="T433" i="16"/>
  <c r="T423" i="16"/>
  <c r="U693" i="16"/>
  <c r="U10" i="17"/>
  <c r="T430" i="16"/>
  <c r="U404" i="16"/>
  <c r="T98" i="16"/>
  <c r="T106" i="16"/>
  <c r="T105" i="16"/>
  <c r="U325" i="16"/>
  <c r="U425" i="16"/>
  <c r="T472" i="16"/>
  <c r="T101" i="16"/>
  <c r="T471" i="16"/>
  <c r="T477" i="16"/>
  <c r="U10" i="16"/>
  <c r="T100" i="16"/>
  <c r="T99" i="16"/>
  <c r="U54" i="16"/>
  <c r="U347" i="16"/>
  <c r="T466" i="16"/>
  <c r="T474" i="16"/>
  <c r="T467" i="16"/>
  <c r="U696" i="16"/>
  <c r="T14" i="17"/>
  <c r="T71" i="17"/>
  <c r="U36" i="16"/>
  <c r="T102" i="16"/>
  <c r="T107" i="16"/>
  <c r="T95" i="16"/>
  <c r="U381" i="16"/>
  <c r="T468" i="16"/>
  <c r="T476" i="16"/>
  <c r="T475" i="16"/>
  <c r="T469" i="16"/>
  <c r="U71" i="17"/>
  <c r="T96" i="16"/>
  <c r="T104" i="16"/>
  <c r="T97" i="16"/>
  <c r="T103" i="16"/>
  <c r="U407" i="16"/>
  <c r="T470" i="16"/>
  <c r="T478" i="16"/>
  <c r="T473" i="16"/>
  <c r="U718" i="16"/>
  <c r="U14" i="17"/>
  <c r="U51" i="16"/>
  <c r="U403" i="16"/>
  <c r="T399" i="16"/>
  <c r="U8" i="17"/>
  <c r="T8" i="17"/>
  <c r="T28" i="16"/>
  <c r="T29" i="16"/>
  <c r="T400" i="16"/>
  <c r="U692" i="16"/>
  <c r="T65" i="17"/>
  <c r="U32" i="16"/>
  <c r="U343" i="16"/>
  <c r="U422" i="16"/>
  <c r="T30" i="16"/>
  <c r="U321" i="16"/>
  <c r="T401" i="16"/>
  <c r="U714" i="16"/>
  <c r="U65" i="17"/>
  <c r="T34" i="16"/>
  <c r="T42" i="16"/>
  <c r="T31" i="16"/>
  <c r="T43" i="16"/>
  <c r="T37" i="16"/>
  <c r="T404" i="16"/>
  <c r="T412" i="16"/>
  <c r="T420" i="16"/>
  <c r="T417" i="16"/>
  <c r="T415" i="16"/>
  <c r="U66" i="17"/>
  <c r="U9" i="17"/>
  <c r="T9" i="17"/>
  <c r="T418" i="16"/>
  <c r="T36" i="16"/>
  <c r="T44" i="16"/>
  <c r="T35" i="16"/>
  <c r="T33" i="16"/>
  <c r="T49" i="16"/>
  <c r="T406" i="16"/>
  <c r="T414" i="16"/>
  <c r="T405" i="16"/>
  <c r="T403" i="16"/>
  <c r="T419" i="16"/>
  <c r="T32" i="16"/>
  <c r="T40" i="16"/>
  <c r="T48" i="16"/>
  <c r="T47" i="16"/>
  <c r="T410" i="16"/>
  <c r="T411" i="16"/>
  <c r="T38" i="16"/>
  <c r="T46" i="16"/>
  <c r="T39" i="16"/>
  <c r="T41" i="16"/>
  <c r="U375" i="16"/>
  <c r="T408" i="16"/>
  <c r="T416" i="16"/>
  <c r="T409" i="16"/>
  <c r="T407" i="16"/>
  <c r="U4" i="16"/>
  <c r="T45" i="16"/>
  <c r="T402" i="16"/>
  <c r="T413" i="16"/>
  <c r="T66" i="17"/>
  <c r="T26" i="16"/>
  <c r="T398" i="16"/>
  <c r="U713" i="16"/>
  <c r="U7" i="17"/>
  <c r="T24" i="16"/>
  <c r="T395" i="16"/>
  <c r="T27" i="16"/>
  <c r="T397" i="16"/>
  <c r="T64" i="17"/>
  <c r="T396" i="16"/>
  <c r="T25" i="16"/>
  <c r="U342" i="16"/>
  <c r="U64" i="17"/>
  <c r="T7" i="17"/>
  <c r="T376" i="16"/>
  <c r="T4" i="16"/>
  <c r="U62" i="17"/>
  <c r="T5" i="17"/>
  <c r="T6" i="16"/>
  <c r="T378" i="16"/>
  <c r="U340" i="16"/>
  <c r="T62" i="17"/>
  <c r="T7" i="16"/>
  <c r="T377" i="16"/>
  <c r="U711" i="16"/>
  <c r="U5" i="17"/>
  <c r="T5" i="16"/>
  <c r="T375" i="16"/>
  <c r="O189" i="18"/>
  <c r="O190" i="18"/>
  <c r="O177" i="18"/>
  <c r="O150" i="18"/>
  <c r="O192" i="18"/>
  <c r="O185" i="18"/>
  <c r="O193" i="18"/>
  <c r="R162" i="18"/>
  <c r="O195" i="18"/>
  <c r="O168" i="18"/>
  <c r="O184" i="18"/>
  <c r="O188" i="18"/>
  <c r="R161" i="18"/>
  <c r="O182" i="18"/>
  <c r="R146" i="18"/>
  <c r="O187" i="18"/>
  <c r="O194" i="18"/>
  <c r="O176" i="18"/>
  <c r="O191" i="18"/>
  <c r="O196" i="18"/>
  <c r="R144" i="18"/>
  <c r="T339" i="16"/>
  <c r="T710" i="16"/>
  <c r="T61" i="17"/>
  <c r="T338" i="16"/>
  <c r="U61" i="17"/>
  <c r="U118" i="17"/>
  <c r="T709" i="16"/>
  <c r="T118" i="17"/>
  <c r="F745" i="16"/>
  <c r="Y745" i="16" s="1"/>
  <c r="F744" i="16"/>
  <c r="Y744" i="16" s="1"/>
  <c r="F743" i="16"/>
  <c r="Y743" i="16" s="1"/>
  <c r="F742" i="16"/>
  <c r="Y742" i="16" s="1"/>
  <c r="F741" i="16"/>
  <c r="Y741" i="16" s="1"/>
  <c r="F740" i="16"/>
  <c r="Y740" i="16" s="1"/>
  <c r="F739" i="16"/>
  <c r="Y739" i="16" s="1"/>
  <c r="F738" i="16"/>
  <c r="Y738" i="16" s="1"/>
  <c r="F737" i="16"/>
  <c r="Y737" i="16" s="1"/>
  <c r="F736" i="16"/>
  <c r="Y736" i="16" s="1"/>
  <c r="F735" i="16"/>
  <c r="Y735" i="16" s="1"/>
  <c r="F734" i="16"/>
  <c r="Y734" i="16" s="1"/>
  <c r="F733" i="16"/>
  <c r="Y733" i="16" s="1"/>
  <c r="F732" i="16"/>
  <c r="Y732" i="16" s="1"/>
  <c r="F731" i="16"/>
  <c r="Y731" i="16" s="1"/>
  <c r="F730" i="16"/>
  <c r="Y730" i="16" s="1"/>
  <c r="F729" i="16"/>
  <c r="Y729" i="16" s="1"/>
  <c r="F728" i="16"/>
  <c r="Y728" i="16" s="1"/>
  <c r="F727" i="16"/>
  <c r="Y727" i="16" s="1"/>
  <c r="F726" i="16"/>
  <c r="Y726" i="16" s="1"/>
  <c r="F725" i="16"/>
  <c r="Y725" i="16" s="1"/>
  <c r="F724" i="16"/>
  <c r="Y724" i="16" s="1"/>
  <c r="F723" i="16"/>
  <c r="Y723" i="16" s="1"/>
  <c r="F722" i="16"/>
  <c r="Y722" i="16" s="1"/>
  <c r="F721" i="16"/>
  <c r="Y721" i="16" s="1"/>
  <c r="F720" i="16"/>
  <c r="Y720" i="16" s="1"/>
  <c r="F719" i="16"/>
  <c r="Y719" i="16" s="1"/>
  <c r="F718" i="16"/>
  <c r="Y718" i="16" s="1"/>
  <c r="F717" i="16"/>
  <c r="Y717" i="16" s="1"/>
  <c r="F716" i="16"/>
  <c r="Y716" i="16" s="1"/>
  <c r="F715" i="16"/>
  <c r="Y715" i="16" s="1"/>
  <c r="F714" i="16"/>
  <c r="Y714" i="16" s="1"/>
  <c r="F713" i="16"/>
  <c r="Y713" i="16" s="1"/>
  <c r="F712" i="16"/>
  <c r="Y712" i="16" s="1"/>
  <c r="F711" i="16"/>
  <c r="Y711" i="16" s="1"/>
  <c r="F710" i="16"/>
  <c r="F709" i="16"/>
  <c r="F708" i="16"/>
  <c r="F707" i="16"/>
  <c r="F706" i="16"/>
  <c r="F705" i="16"/>
  <c r="F704" i="16"/>
  <c r="F703" i="16"/>
  <c r="F702" i="16"/>
  <c r="F701" i="16"/>
  <c r="F700" i="16"/>
  <c r="F699" i="16"/>
  <c r="F698" i="16"/>
  <c r="F697" i="16"/>
  <c r="F696" i="16"/>
  <c r="F695" i="16"/>
  <c r="F694" i="16"/>
  <c r="F693" i="16"/>
  <c r="F692" i="16"/>
  <c r="F691" i="16"/>
  <c r="F690" i="16"/>
  <c r="F689" i="16"/>
  <c r="F688" i="16"/>
  <c r="F687" i="16"/>
  <c r="F686" i="16"/>
  <c r="F685" i="16"/>
  <c r="F684" i="16"/>
  <c r="F683" i="16"/>
  <c r="F682" i="16"/>
  <c r="F681" i="16"/>
  <c r="F680" i="16"/>
  <c r="F679" i="16"/>
  <c r="F678" i="16"/>
  <c r="F677" i="16"/>
  <c r="F676" i="16"/>
  <c r="F675" i="16"/>
  <c r="F674" i="16"/>
  <c r="F673" i="16"/>
  <c r="F672" i="16"/>
  <c r="F671" i="16"/>
  <c r="F670" i="16"/>
  <c r="F669" i="16"/>
  <c r="F668" i="16"/>
  <c r="F667" i="16"/>
  <c r="F666" i="16"/>
  <c r="F665" i="16"/>
  <c r="F664" i="16"/>
  <c r="F663" i="16"/>
  <c r="F662" i="16"/>
  <c r="F661" i="16"/>
  <c r="F660" i="16"/>
  <c r="F659" i="16"/>
  <c r="F658" i="16"/>
  <c r="F657" i="16"/>
  <c r="F656" i="16"/>
  <c r="F655" i="16"/>
  <c r="F654" i="16"/>
  <c r="F653" i="16"/>
  <c r="F652" i="16"/>
  <c r="F651" i="16"/>
  <c r="F650" i="16"/>
  <c r="F649" i="16"/>
  <c r="F648" i="16"/>
  <c r="F647" i="16"/>
  <c r="F646" i="16"/>
  <c r="F645" i="16"/>
  <c r="F644" i="16"/>
  <c r="F643" i="16"/>
  <c r="F642" i="16"/>
  <c r="F641" i="16"/>
  <c r="F640" i="16"/>
  <c r="F639" i="16"/>
  <c r="F638" i="16"/>
  <c r="F637" i="16"/>
  <c r="F636" i="16"/>
  <c r="F635" i="16"/>
  <c r="F634" i="16"/>
  <c r="F633" i="16"/>
  <c r="F632" i="16"/>
  <c r="F631" i="16"/>
  <c r="F630" i="16"/>
  <c r="F629" i="16"/>
  <c r="F628" i="16"/>
  <c r="F627" i="16"/>
  <c r="F626" i="16"/>
  <c r="F625" i="16"/>
  <c r="F624" i="16"/>
  <c r="F623" i="16"/>
  <c r="F622" i="16"/>
  <c r="F621" i="16"/>
  <c r="F620" i="16"/>
  <c r="F619" i="16"/>
  <c r="F618" i="16"/>
  <c r="F617" i="16"/>
  <c r="F616" i="16"/>
  <c r="F615" i="16"/>
  <c r="F614" i="16"/>
  <c r="F613" i="16"/>
  <c r="F612" i="16"/>
  <c r="F611" i="16"/>
  <c r="F610" i="16"/>
  <c r="F609" i="16"/>
  <c r="F608" i="16"/>
  <c r="F607" i="16"/>
  <c r="F606" i="16"/>
  <c r="F605" i="16"/>
  <c r="F604" i="16"/>
  <c r="F603" i="16"/>
  <c r="F602" i="16"/>
  <c r="F601" i="16"/>
  <c r="F600" i="16"/>
  <c r="F599" i="16"/>
  <c r="F598" i="16"/>
  <c r="F597" i="16"/>
  <c r="F596" i="16"/>
  <c r="F595" i="16"/>
  <c r="F594" i="16"/>
  <c r="F593" i="16"/>
  <c r="F592" i="16"/>
  <c r="F591" i="16"/>
  <c r="F590" i="16"/>
  <c r="F589" i="16"/>
  <c r="F588" i="16"/>
  <c r="F587" i="16"/>
  <c r="F586" i="16"/>
  <c r="F585" i="16"/>
  <c r="F584" i="16"/>
  <c r="F583" i="16"/>
  <c r="F582" i="16"/>
  <c r="F581" i="16"/>
  <c r="F580" i="16"/>
  <c r="F579" i="16"/>
  <c r="F578" i="16"/>
  <c r="F577" i="16"/>
  <c r="F576" i="16"/>
  <c r="F575" i="16"/>
  <c r="F574" i="16"/>
  <c r="F573" i="16"/>
  <c r="F572" i="16"/>
  <c r="F571" i="16"/>
  <c r="F570" i="16"/>
  <c r="F569" i="16"/>
  <c r="F568" i="16"/>
  <c r="F567" i="16"/>
  <c r="F566" i="16"/>
  <c r="F565" i="16"/>
  <c r="F564" i="16"/>
  <c r="F563" i="16"/>
  <c r="F562" i="16"/>
  <c r="F561" i="16"/>
  <c r="F560" i="16"/>
  <c r="F559" i="16"/>
  <c r="F558" i="16"/>
  <c r="F557" i="16"/>
  <c r="F556" i="16"/>
  <c r="F555" i="16"/>
  <c r="F554" i="16"/>
  <c r="F553" i="16"/>
  <c r="F552" i="16"/>
  <c r="F551" i="16"/>
  <c r="F550" i="16"/>
  <c r="F549" i="16"/>
  <c r="F548" i="16"/>
  <c r="F547" i="16"/>
  <c r="F546" i="16"/>
  <c r="F545" i="16"/>
  <c r="F544" i="16"/>
  <c r="F543" i="16"/>
  <c r="F542" i="16"/>
  <c r="F541" i="16"/>
  <c r="F540" i="16"/>
  <c r="F539" i="16"/>
  <c r="F538" i="16"/>
  <c r="F537" i="16"/>
  <c r="F536" i="16"/>
  <c r="F535" i="16"/>
  <c r="F534" i="16"/>
  <c r="F533" i="16"/>
  <c r="F532" i="16"/>
  <c r="F531" i="16"/>
  <c r="F530" i="16"/>
  <c r="F529" i="16"/>
  <c r="F528" i="16"/>
  <c r="F527" i="16"/>
  <c r="F526" i="16"/>
  <c r="F525" i="16"/>
  <c r="F524" i="16"/>
  <c r="F523" i="16"/>
  <c r="F522" i="16"/>
  <c r="F521" i="16"/>
  <c r="F520" i="16"/>
  <c r="F519" i="16"/>
  <c r="F518" i="16"/>
  <c r="F517" i="16"/>
  <c r="F516" i="16"/>
  <c r="F515" i="16"/>
  <c r="F514" i="16"/>
  <c r="F513" i="16"/>
  <c r="F512" i="16"/>
  <c r="F511" i="16"/>
  <c r="F510" i="16"/>
  <c r="F509" i="16"/>
  <c r="F508" i="16"/>
  <c r="F507" i="16"/>
  <c r="F506" i="16"/>
  <c r="F505" i="16"/>
  <c r="F504" i="16"/>
  <c r="F503" i="16"/>
  <c r="F502" i="16"/>
  <c r="F501" i="16"/>
  <c r="F500" i="16"/>
  <c r="F499" i="16"/>
  <c r="F498" i="16"/>
  <c r="F497" i="16"/>
  <c r="F496" i="16"/>
  <c r="F495" i="16"/>
  <c r="F494" i="16"/>
  <c r="F493" i="16"/>
  <c r="F492" i="16"/>
  <c r="F491" i="16"/>
  <c r="F490" i="16"/>
  <c r="F489" i="16"/>
  <c r="F488" i="16"/>
  <c r="F487" i="16"/>
  <c r="F486" i="16"/>
  <c r="F485" i="16"/>
  <c r="F484" i="16"/>
  <c r="F483" i="16"/>
  <c r="F482" i="16"/>
  <c r="F481" i="16"/>
  <c r="F480" i="16"/>
  <c r="F479" i="16"/>
  <c r="F478" i="16"/>
  <c r="F477" i="16"/>
  <c r="F476" i="16"/>
  <c r="F475" i="16"/>
  <c r="F474" i="16"/>
  <c r="F473" i="16"/>
  <c r="F472" i="16"/>
  <c r="F471" i="16"/>
  <c r="F470" i="16"/>
  <c r="F469" i="16"/>
  <c r="F468" i="16"/>
  <c r="F467" i="16"/>
  <c r="F466" i="16"/>
  <c r="F465" i="16"/>
  <c r="F464" i="16"/>
  <c r="F463" i="16"/>
  <c r="F462" i="16"/>
  <c r="F461" i="16"/>
  <c r="F460" i="16"/>
  <c r="F459" i="16"/>
  <c r="F458" i="16"/>
  <c r="F457" i="16"/>
  <c r="F456" i="16"/>
  <c r="F455" i="16"/>
  <c r="F454" i="16"/>
  <c r="F453" i="16"/>
  <c r="F452" i="16"/>
  <c r="F451" i="16"/>
  <c r="F450" i="16"/>
  <c r="F449" i="16"/>
  <c r="F448" i="16"/>
  <c r="F447" i="16"/>
  <c r="F446" i="16"/>
  <c r="F445" i="16"/>
  <c r="F444" i="16"/>
  <c r="F443" i="16"/>
  <c r="F442" i="16"/>
  <c r="F441" i="16"/>
  <c r="F440" i="16"/>
  <c r="F439" i="16"/>
  <c r="F438" i="16"/>
  <c r="F437" i="16"/>
  <c r="F436" i="16"/>
  <c r="F435" i="16"/>
  <c r="F434" i="16"/>
  <c r="F433" i="16"/>
  <c r="F432" i="16"/>
  <c r="F431" i="16"/>
  <c r="F430" i="16"/>
  <c r="F429" i="16"/>
  <c r="F428" i="16"/>
  <c r="F427" i="16"/>
  <c r="F426" i="16"/>
  <c r="F425" i="16"/>
  <c r="F424" i="16"/>
  <c r="F423" i="16"/>
  <c r="F422" i="16"/>
  <c r="F421" i="16"/>
  <c r="F420" i="16"/>
  <c r="F419" i="16"/>
  <c r="F418" i="16"/>
  <c r="F417" i="16"/>
  <c r="F416" i="16"/>
  <c r="F415" i="16"/>
  <c r="F414" i="16"/>
  <c r="F413" i="16"/>
  <c r="F412" i="16"/>
  <c r="F411" i="16"/>
  <c r="F410" i="16"/>
  <c r="F409" i="16"/>
  <c r="F408" i="16"/>
  <c r="F407" i="16"/>
  <c r="F406" i="16"/>
  <c r="F405" i="16"/>
  <c r="F404" i="16"/>
  <c r="F403" i="16"/>
  <c r="F402" i="16"/>
  <c r="F401" i="16"/>
  <c r="F400" i="16"/>
  <c r="F399" i="16"/>
  <c r="F398" i="16"/>
  <c r="F397" i="16"/>
  <c r="F396" i="16"/>
  <c r="F395" i="16"/>
  <c r="F394" i="16"/>
  <c r="F393" i="16"/>
  <c r="F392" i="16"/>
  <c r="F391" i="16"/>
  <c r="F390" i="16"/>
  <c r="F389" i="16"/>
  <c r="F388" i="16"/>
  <c r="F387" i="16"/>
  <c r="F386" i="16"/>
  <c r="F385" i="16"/>
  <c r="F384" i="16"/>
  <c r="F383" i="16"/>
  <c r="F382" i="16"/>
  <c r="F381" i="16"/>
  <c r="F380" i="16"/>
  <c r="F379" i="16"/>
  <c r="F378" i="16"/>
  <c r="F377" i="16"/>
  <c r="F376" i="16"/>
  <c r="F375" i="16"/>
  <c r="F374" i="16"/>
  <c r="Y374" i="16" s="1"/>
  <c r="F373" i="16"/>
  <c r="Y373" i="16" s="1"/>
  <c r="F372" i="16"/>
  <c r="Y372" i="16" s="1"/>
  <c r="F371" i="16"/>
  <c r="Y371" i="16" s="1"/>
  <c r="F370" i="16"/>
  <c r="Y370" i="16" s="1"/>
  <c r="F369" i="16"/>
  <c r="Y369" i="16" s="1"/>
  <c r="F368" i="16"/>
  <c r="Y368" i="16" s="1"/>
  <c r="F367" i="16"/>
  <c r="Y367" i="16" s="1"/>
  <c r="F366" i="16"/>
  <c r="Y366" i="16" s="1"/>
  <c r="F365" i="16"/>
  <c r="Y365" i="16" s="1"/>
  <c r="F364" i="16"/>
  <c r="Y364" i="16" s="1"/>
  <c r="F363" i="16"/>
  <c r="Y363" i="16" s="1"/>
  <c r="F362" i="16"/>
  <c r="Y362" i="16" s="1"/>
  <c r="F361" i="16"/>
  <c r="Y361" i="16" s="1"/>
  <c r="F360" i="16"/>
  <c r="Y360" i="16" s="1"/>
  <c r="F359" i="16"/>
  <c r="Y359" i="16" s="1"/>
  <c r="F358" i="16"/>
  <c r="Y358" i="16" s="1"/>
  <c r="F357" i="16"/>
  <c r="Y357" i="16" s="1"/>
  <c r="F356" i="16"/>
  <c r="Y356" i="16" s="1"/>
  <c r="F355" i="16"/>
  <c r="Y355" i="16" s="1"/>
  <c r="F354" i="16"/>
  <c r="Y354" i="16" s="1"/>
  <c r="F353" i="16"/>
  <c r="Y353" i="16" s="1"/>
  <c r="F352" i="16"/>
  <c r="Y352" i="16" s="1"/>
  <c r="F351" i="16"/>
  <c r="Y351" i="16" s="1"/>
  <c r="F350" i="16"/>
  <c r="Y350" i="16" s="1"/>
  <c r="F349" i="16"/>
  <c r="Y349" i="16" s="1"/>
  <c r="F348" i="16"/>
  <c r="Y348" i="16" s="1"/>
  <c r="F347" i="16"/>
  <c r="Y347" i="16" s="1"/>
  <c r="F346" i="16"/>
  <c r="Y346" i="16" s="1"/>
  <c r="F345" i="16"/>
  <c r="Y345" i="16" s="1"/>
  <c r="F344" i="16"/>
  <c r="Y344" i="16" s="1"/>
  <c r="F343" i="16"/>
  <c r="Y343" i="16" s="1"/>
  <c r="F342" i="16"/>
  <c r="Y342" i="16" s="1"/>
  <c r="F341" i="16"/>
  <c r="Y341" i="16" s="1"/>
  <c r="F340" i="16"/>
  <c r="Y340" i="16" s="1"/>
  <c r="F339" i="16"/>
  <c r="Y339" i="16" s="1"/>
  <c r="F338" i="16"/>
  <c r="Y338" i="16" s="1"/>
  <c r="F337" i="16"/>
  <c r="Y337" i="16" s="1"/>
  <c r="F336" i="16"/>
  <c r="Y336" i="16" s="1"/>
  <c r="F335" i="16"/>
  <c r="Y335" i="16" s="1"/>
  <c r="F334" i="16"/>
  <c r="Y334" i="16" s="1"/>
  <c r="F333" i="16"/>
  <c r="Y333" i="16" s="1"/>
  <c r="F332" i="16"/>
  <c r="Y332" i="16" s="1"/>
  <c r="F331" i="16"/>
  <c r="Y331" i="16" s="1"/>
  <c r="F330" i="16"/>
  <c r="Y330" i="16" s="1"/>
  <c r="F329" i="16"/>
  <c r="Y329" i="16" s="1"/>
  <c r="F328" i="16"/>
  <c r="Y328" i="16" s="1"/>
  <c r="F327" i="16"/>
  <c r="Y327" i="16" s="1"/>
  <c r="F326" i="16"/>
  <c r="Y326" i="16" s="1"/>
  <c r="F325" i="16"/>
  <c r="Y325" i="16" s="1"/>
  <c r="F324" i="16"/>
  <c r="Y324" i="16" s="1"/>
  <c r="F323" i="16"/>
  <c r="Y323" i="16" s="1"/>
  <c r="F322" i="16"/>
  <c r="Y322" i="16" s="1"/>
  <c r="F321" i="16"/>
  <c r="Y321" i="16" s="1"/>
  <c r="F320" i="16"/>
  <c r="Y320" i="16" s="1"/>
  <c r="F319" i="16"/>
  <c r="Y319" i="16" s="1"/>
  <c r="F318" i="16"/>
  <c r="Y318" i="16" s="1"/>
  <c r="F317" i="16"/>
  <c r="Y317" i="16" s="1"/>
  <c r="F316" i="16"/>
  <c r="Y316" i="16" s="1"/>
  <c r="F315" i="16"/>
  <c r="Y315" i="16" s="1"/>
  <c r="F314" i="16"/>
  <c r="Y314" i="16" s="1"/>
  <c r="F313" i="16"/>
  <c r="Y313" i="16" s="1"/>
  <c r="F312" i="16"/>
  <c r="Y312" i="16" s="1"/>
  <c r="F311" i="16"/>
  <c r="Y311" i="16" s="1"/>
  <c r="F310" i="16"/>
  <c r="Y310" i="16" s="1"/>
  <c r="F309" i="16"/>
  <c r="Y309" i="16" s="1"/>
  <c r="F308" i="16"/>
  <c r="Y308" i="16" s="1"/>
  <c r="F307" i="16"/>
  <c r="Y307" i="16" s="1"/>
  <c r="F306" i="16"/>
  <c r="Y306" i="16" s="1"/>
  <c r="F305" i="16"/>
  <c r="Y305" i="16" s="1"/>
  <c r="F304" i="16"/>
  <c r="Y304" i="16" s="1"/>
  <c r="F303" i="16"/>
  <c r="Y303" i="16" s="1"/>
  <c r="F302" i="16"/>
  <c r="Y302" i="16" s="1"/>
  <c r="Z302" i="16" s="1"/>
  <c r="AA302" i="16" s="1"/>
  <c r="F301" i="16"/>
  <c r="Y301" i="16" s="1"/>
  <c r="Z301" i="16" s="1"/>
  <c r="AA301" i="16" s="1"/>
  <c r="F300" i="16"/>
  <c r="Y300" i="16" s="1"/>
  <c r="Z300" i="16" s="1"/>
  <c r="AA300" i="16" s="1"/>
  <c r="F299" i="16"/>
  <c r="Y299" i="16" s="1"/>
  <c r="Z299" i="16" s="1"/>
  <c r="AA299" i="16" s="1"/>
  <c r="F298" i="16"/>
  <c r="Y298" i="16" s="1"/>
  <c r="Z298" i="16" s="1"/>
  <c r="AA298" i="16" s="1"/>
  <c r="F297" i="16"/>
  <c r="Y297" i="16" s="1"/>
  <c r="Z297" i="16" s="1"/>
  <c r="AA297" i="16" s="1"/>
  <c r="F296" i="16"/>
  <c r="Y296" i="16" s="1"/>
  <c r="Z296" i="16" s="1"/>
  <c r="AA296" i="16" s="1"/>
  <c r="F295" i="16"/>
  <c r="Y295" i="16" s="1"/>
  <c r="Z295" i="16" s="1"/>
  <c r="AA295" i="16" s="1"/>
  <c r="F294" i="16"/>
  <c r="Y294" i="16" s="1"/>
  <c r="Z294" i="16" s="1"/>
  <c r="AA294" i="16" s="1"/>
  <c r="F293" i="16"/>
  <c r="Y293" i="16" s="1"/>
  <c r="Z293" i="16" s="1"/>
  <c r="AA293" i="16" s="1"/>
  <c r="F292" i="16"/>
  <c r="Y292" i="16" s="1"/>
  <c r="F291" i="16"/>
  <c r="Y291" i="16" s="1"/>
  <c r="F290" i="16"/>
  <c r="Y290" i="16" s="1"/>
  <c r="F289" i="16"/>
  <c r="Y289" i="16" s="1"/>
  <c r="F288" i="16"/>
  <c r="Y288" i="16" s="1"/>
  <c r="F287" i="16"/>
  <c r="Y287" i="16" s="1"/>
  <c r="Z287" i="16" s="1"/>
  <c r="AA287" i="16" s="1"/>
  <c r="F286" i="16"/>
  <c r="Y286" i="16" s="1"/>
  <c r="F285" i="16"/>
  <c r="Y285" i="16" s="1"/>
  <c r="F284" i="16"/>
  <c r="Y284" i="16" s="1"/>
  <c r="F283" i="16"/>
  <c r="Y283" i="16" s="1"/>
  <c r="F282" i="16"/>
  <c r="Y282" i="16" s="1"/>
  <c r="F281" i="16"/>
  <c r="Y281" i="16" s="1"/>
  <c r="F280" i="16"/>
  <c r="Y280" i="16" s="1"/>
  <c r="Z280" i="16" s="1"/>
  <c r="AA280" i="16" s="1"/>
  <c r="F279" i="16"/>
  <c r="Y279" i="16" s="1"/>
  <c r="F278" i="16"/>
  <c r="Y278" i="16" s="1"/>
  <c r="F277" i="16"/>
  <c r="Y277" i="16" s="1"/>
  <c r="F276" i="16"/>
  <c r="Y276" i="16" s="1"/>
  <c r="F275" i="16"/>
  <c r="Y275" i="16" s="1"/>
  <c r="F274" i="16"/>
  <c r="Y274" i="16" s="1"/>
  <c r="F273" i="16"/>
  <c r="Y273" i="16" s="1"/>
  <c r="F272" i="16"/>
  <c r="Y272" i="16" s="1"/>
  <c r="F271" i="16"/>
  <c r="Y271" i="16" s="1"/>
  <c r="F270" i="16"/>
  <c r="Y270" i="16" s="1"/>
  <c r="F269" i="16"/>
  <c r="Y269" i="16" s="1"/>
  <c r="F268" i="16"/>
  <c r="Y268" i="16" s="1"/>
  <c r="F267" i="16"/>
  <c r="Y267" i="16" s="1"/>
  <c r="F266" i="16"/>
  <c r="Y266" i="16" s="1"/>
  <c r="F265" i="16"/>
  <c r="Y265" i="16" s="1"/>
  <c r="F264" i="16"/>
  <c r="Y264" i="16" s="1"/>
  <c r="F263" i="16"/>
  <c r="Y263" i="16" s="1"/>
  <c r="F262" i="16"/>
  <c r="Y262" i="16" s="1"/>
  <c r="F261" i="16"/>
  <c r="Y261" i="16" s="1"/>
  <c r="F260" i="16"/>
  <c r="Y260" i="16" s="1"/>
  <c r="F259" i="16"/>
  <c r="Y259" i="16" s="1"/>
  <c r="F258" i="16"/>
  <c r="Y258" i="16" s="1"/>
  <c r="F257" i="16"/>
  <c r="Y257" i="16" s="1"/>
  <c r="F256" i="16"/>
  <c r="Y256" i="16" s="1"/>
  <c r="F255" i="16"/>
  <c r="Y255" i="16" s="1"/>
  <c r="F254" i="16"/>
  <c r="Y254" i="16" s="1"/>
  <c r="F253" i="16"/>
  <c r="Y253" i="16" s="1"/>
  <c r="F252" i="16"/>
  <c r="Y252" i="16" s="1"/>
  <c r="F251" i="16"/>
  <c r="Y251" i="16" s="1"/>
  <c r="F250" i="16"/>
  <c r="Y250" i="16" s="1"/>
  <c r="F249" i="16"/>
  <c r="Y249" i="16" s="1"/>
  <c r="F248" i="16"/>
  <c r="Y248" i="16" s="1"/>
  <c r="F247" i="16"/>
  <c r="Y247" i="16" s="1"/>
  <c r="F246" i="16"/>
  <c r="Y246" i="16" s="1"/>
  <c r="F245" i="16"/>
  <c r="Y245" i="16" s="1"/>
  <c r="F244" i="16"/>
  <c r="Y244" i="16" s="1"/>
  <c r="F243" i="16"/>
  <c r="Y243" i="16" s="1"/>
  <c r="F242" i="16"/>
  <c r="Y242" i="16" s="1"/>
  <c r="F241" i="16"/>
  <c r="Y241" i="16" s="1"/>
  <c r="F240" i="16"/>
  <c r="Y240" i="16" s="1"/>
  <c r="F239" i="16"/>
  <c r="F238" i="16"/>
  <c r="Y238" i="16" s="1"/>
  <c r="F237" i="16"/>
  <c r="Y237" i="16" s="1"/>
  <c r="F236" i="16"/>
  <c r="Y236" i="16" s="1"/>
  <c r="F235" i="16"/>
  <c r="Y235" i="16" s="1"/>
  <c r="F234" i="16"/>
  <c r="Y234" i="16" s="1"/>
  <c r="F233" i="16"/>
  <c r="Y233" i="16" s="1"/>
  <c r="F232" i="16"/>
  <c r="Y232" i="16" s="1"/>
  <c r="F231" i="16"/>
  <c r="Y231" i="16" s="1"/>
  <c r="F230" i="16"/>
  <c r="Y230" i="16" s="1"/>
  <c r="F229" i="16"/>
  <c r="Y229" i="16" s="1"/>
  <c r="F228" i="16"/>
  <c r="Y228" i="16" s="1"/>
  <c r="F227" i="16"/>
  <c r="Y227" i="16" s="1"/>
  <c r="F226" i="16"/>
  <c r="Y226" i="16" s="1"/>
  <c r="F225" i="16"/>
  <c r="Y225" i="16" s="1"/>
  <c r="F224" i="16"/>
  <c r="Y224" i="16" s="1"/>
  <c r="F223" i="16"/>
  <c r="Y223" i="16" s="1"/>
  <c r="F222" i="16"/>
  <c r="Y222" i="16" s="1"/>
  <c r="F221" i="16"/>
  <c r="Y221" i="16" s="1"/>
  <c r="F220" i="16"/>
  <c r="Y220" i="16" s="1"/>
  <c r="F219" i="16"/>
  <c r="Y219" i="16" s="1"/>
  <c r="F218" i="16"/>
  <c r="Y218" i="16" s="1"/>
  <c r="F217" i="16"/>
  <c r="Y217" i="16" s="1"/>
  <c r="F216" i="16"/>
  <c r="Y216" i="16" s="1"/>
  <c r="F215" i="16"/>
  <c r="Y215" i="16" s="1"/>
  <c r="F214" i="16"/>
  <c r="Y214" i="16" s="1"/>
  <c r="F213" i="16"/>
  <c r="Y213" i="16" s="1"/>
  <c r="F212" i="16"/>
  <c r="Y212" i="16" s="1"/>
  <c r="F211" i="16"/>
  <c r="Y211" i="16" s="1"/>
  <c r="F210" i="16"/>
  <c r="Y210" i="16" s="1"/>
  <c r="F209" i="16"/>
  <c r="Y209" i="16" s="1"/>
  <c r="F208" i="16"/>
  <c r="Y208" i="16" s="1"/>
  <c r="F207" i="16"/>
  <c r="Y207" i="16" s="1"/>
  <c r="F206" i="16"/>
  <c r="Y206" i="16" s="1"/>
  <c r="F205" i="16"/>
  <c r="Y205" i="16" s="1"/>
  <c r="F204" i="16"/>
  <c r="Y204" i="16" s="1"/>
  <c r="F203" i="16"/>
  <c r="Y203" i="16" s="1"/>
  <c r="F202" i="16"/>
  <c r="Y202" i="16" s="1"/>
  <c r="F201" i="16"/>
  <c r="Y201" i="16" s="1"/>
  <c r="F200" i="16"/>
  <c r="Y200" i="16" s="1"/>
  <c r="F199" i="16"/>
  <c r="Y199" i="16" s="1"/>
  <c r="F198" i="16"/>
  <c r="Y198" i="16" s="1"/>
  <c r="F197" i="16"/>
  <c r="Y197" i="16" s="1"/>
  <c r="F196" i="16"/>
  <c r="Y196" i="16" s="1"/>
  <c r="F195" i="16"/>
  <c r="Y195" i="16" s="1"/>
  <c r="F194" i="16"/>
  <c r="Y194" i="16" s="1"/>
  <c r="F193" i="16"/>
  <c r="Y193" i="16" s="1"/>
  <c r="F192" i="16"/>
  <c r="Y192" i="16" s="1"/>
  <c r="F191" i="16"/>
  <c r="Y191" i="16" s="1"/>
  <c r="F190" i="16"/>
  <c r="Y190" i="16" s="1"/>
  <c r="F189" i="16"/>
  <c r="Y189" i="16" s="1"/>
  <c r="F188" i="16"/>
  <c r="Y188" i="16" s="1"/>
  <c r="F187" i="16"/>
  <c r="Y187" i="16" s="1"/>
  <c r="F186" i="16"/>
  <c r="Y186" i="16" s="1"/>
  <c r="F185" i="16"/>
  <c r="Y185" i="16" s="1"/>
  <c r="F184" i="16"/>
  <c r="Y184" i="16" s="1"/>
  <c r="F183" i="16"/>
  <c r="Y183" i="16" s="1"/>
  <c r="F182" i="16"/>
  <c r="Y182" i="16" s="1"/>
  <c r="F181" i="16"/>
  <c r="Y181" i="16" s="1"/>
  <c r="F180" i="16"/>
  <c r="Y180" i="16" s="1"/>
  <c r="F179" i="16"/>
  <c r="Y179" i="16" s="1"/>
  <c r="F178" i="16"/>
  <c r="Y178" i="16" s="1"/>
  <c r="F177" i="16"/>
  <c r="Y177" i="16" s="1"/>
  <c r="F176" i="16"/>
  <c r="Y176" i="16" s="1"/>
  <c r="F175" i="16"/>
  <c r="Y175" i="16" s="1"/>
  <c r="F174" i="16"/>
  <c r="Y174" i="16" s="1"/>
  <c r="F173" i="16"/>
  <c r="Y173" i="16" s="1"/>
  <c r="F172" i="16"/>
  <c r="Y172" i="16" s="1"/>
  <c r="F171" i="16"/>
  <c r="Y171" i="16" s="1"/>
  <c r="F170" i="16"/>
  <c r="Y170" i="16" s="1"/>
  <c r="F169" i="16"/>
  <c r="Y169" i="16" s="1"/>
  <c r="F168" i="16"/>
  <c r="Y168" i="16" s="1"/>
  <c r="F167" i="16"/>
  <c r="Y167" i="16" s="1"/>
  <c r="F166" i="16"/>
  <c r="Y166" i="16" s="1"/>
  <c r="F165" i="16"/>
  <c r="Y165" i="16" s="1"/>
  <c r="F164" i="16"/>
  <c r="Y164" i="16" s="1"/>
  <c r="F163" i="16"/>
  <c r="Y163" i="16" s="1"/>
  <c r="F162" i="16"/>
  <c r="Y162" i="16" s="1"/>
  <c r="F161" i="16"/>
  <c r="Y161" i="16" s="1"/>
  <c r="F160" i="16"/>
  <c r="Y160" i="16" s="1"/>
  <c r="F159" i="16"/>
  <c r="Y159" i="16" s="1"/>
  <c r="F158" i="16"/>
  <c r="Y158" i="16" s="1"/>
  <c r="F157" i="16"/>
  <c r="Y157" i="16" s="1"/>
  <c r="F156" i="16"/>
  <c r="Y156" i="16" s="1"/>
  <c r="F155" i="16"/>
  <c r="Y155" i="16" s="1"/>
  <c r="F154" i="16"/>
  <c r="Y154" i="16" s="1"/>
  <c r="F153" i="16"/>
  <c r="Y153" i="16" s="1"/>
  <c r="F152" i="16"/>
  <c r="Y152" i="16" s="1"/>
  <c r="F151" i="16"/>
  <c r="Y151" i="16" s="1"/>
  <c r="F150" i="16"/>
  <c r="Y150" i="16" s="1"/>
  <c r="F149" i="16"/>
  <c r="Y149" i="16" s="1"/>
  <c r="F148" i="16"/>
  <c r="Y148" i="16" s="1"/>
  <c r="F147" i="16"/>
  <c r="Y147" i="16" s="1"/>
  <c r="F146" i="16"/>
  <c r="Y146" i="16" s="1"/>
  <c r="F145" i="16"/>
  <c r="Y145" i="16" s="1"/>
  <c r="F144" i="16"/>
  <c r="Y144" i="16" s="1"/>
  <c r="F143" i="16"/>
  <c r="Y143" i="16" s="1"/>
  <c r="F142" i="16"/>
  <c r="Y142" i="16" s="1"/>
  <c r="F141" i="16"/>
  <c r="Y141" i="16" s="1"/>
  <c r="F140" i="16"/>
  <c r="Y140" i="16" s="1"/>
  <c r="F139" i="16"/>
  <c r="Y139" i="16" s="1"/>
  <c r="F138" i="16"/>
  <c r="Y138" i="16" s="1"/>
  <c r="F137" i="16"/>
  <c r="Y137" i="16" s="1"/>
  <c r="F136" i="16"/>
  <c r="Y136" i="16" s="1"/>
  <c r="F135" i="16"/>
  <c r="Y135" i="16" s="1"/>
  <c r="F134" i="16"/>
  <c r="Y134" i="16" s="1"/>
  <c r="F133" i="16"/>
  <c r="Y133" i="16" s="1"/>
  <c r="F132" i="16"/>
  <c r="Y132" i="16" s="1"/>
  <c r="F131" i="16"/>
  <c r="Y131" i="16" s="1"/>
  <c r="F130" i="16"/>
  <c r="Y130" i="16" s="1"/>
  <c r="F129" i="16"/>
  <c r="Y129" i="16" s="1"/>
  <c r="F128" i="16"/>
  <c r="Y128" i="16" s="1"/>
  <c r="F127" i="16"/>
  <c r="Y127" i="16" s="1"/>
  <c r="F126" i="16"/>
  <c r="Y126" i="16" s="1"/>
  <c r="F125" i="16"/>
  <c r="Y125" i="16" s="1"/>
  <c r="F124" i="16"/>
  <c r="Y124" i="16" s="1"/>
  <c r="F123" i="16"/>
  <c r="Y123" i="16" s="1"/>
  <c r="F122" i="16"/>
  <c r="F121" i="16"/>
  <c r="Y121" i="16" s="1"/>
  <c r="F120" i="16"/>
  <c r="Y120" i="16" s="1"/>
  <c r="F119" i="16"/>
  <c r="Y119" i="16" s="1"/>
  <c r="F118" i="16"/>
  <c r="Y118" i="16" s="1"/>
  <c r="F117" i="16"/>
  <c r="Y117" i="16" s="1"/>
  <c r="F116" i="16"/>
  <c r="Y116" i="16" s="1"/>
  <c r="F115" i="16"/>
  <c r="Y115" i="16" s="1"/>
  <c r="F114" i="16"/>
  <c r="Y114" i="16" s="1"/>
  <c r="F113" i="16"/>
  <c r="Y113" i="16" s="1"/>
  <c r="F112" i="16"/>
  <c r="Y112" i="16" s="1"/>
  <c r="F111" i="16"/>
  <c r="Y111" i="16" s="1"/>
  <c r="F110" i="16"/>
  <c r="Y110" i="16" s="1"/>
  <c r="F109" i="16"/>
  <c r="Y109" i="16" s="1"/>
  <c r="F108" i="16"/>
  <c r="Y108" i="16" s="1"/>
  <c r="F107" i="16"/>
  <c r="Y107" i="16" s="1"/>
  <c r="F106" i="16"/>
  <c r="Y106" i="16" s="1"/>
  <c r="F105" i="16"/>
  <c r="Y105" i="16" s="1"/>
  <c r="F104" i="16"/>
  <c r="Y104" i="16" s="1"/>
  <c r="F103" i="16"/>
  <c r="Y103" i="16" s="1"/>
  <c r="F102" i="16"/>
  <c r="Y102" i="16" s="1"/>
  <c r="F101" i="16"/>
  <c r="Y101" i="16" s="1"/>
  <c r="F100" i="16"/>
  <c r="Y100" i="16" s="1"/>
  <c r="F99" i="16"/>
  <c r="Y99" i="16" s="1"/>
  <c r="F98" i="16"/>
  <c r="Y98" i="16" s="1"/>
  <c r="F97" i="16"/>
  <c r="Y97" i="16" s="1"/>
  <c r="F96" i="16"/>
  <c r="Y96" i="16" s="1"/>
  <c r="F95" i="16"/>
  <c r="Y95" i="16" s="1"/>
  <c r="F94" i="16"/>
  <c r="Y94" i="16" s="1"/>
  <c r="F93" i="16"/>
  <c r="Y93" i="16" s="1"/>
  <c r="F92" i="16"/>
  <c r="Y92" i="16" s="1"/>
  <c r="F91" i="16"/>
  <c r="Y91" i="16" s="1"/>
  <c r="F90" i="16"/>
  <c r="Y90" i="16" s="1"/>
  <c r="F89" i="16"/>
  <c r="Y89" i="16" s="1"/>
  <c r="F88" i="16"/>
  <c r="Y88" i="16" s="1"/>
  <c r="F87" i="16"/>
  <c r="Y87" i="16" s="1"/>
  <c r="F86" i="16"/>
  <c r="Y86" i="16" s="1"/>
  <c r="F85" i="16"/>
  <c r="Y85" i="16" s="1"/>
  <c r="F84" i="16"/>
  <c r="Y84" i="16" s="1"/>
  <c r="F83" i="16"/>
  <c r="Y83" i="16" s="1"/>
  <c r="F82" i="16"/>
  <c r="Y82" i="16" s="1"/>
  <c r="F81" i="16"/>
  <c r="Y81" i="16" s="1"/>
  <c r="F80" i="16"/>
  <c r="Y80" i="16" s="1"/>
  <c r="F79" i="16"/>
  <c r="Y79" i="16" s="1"/>
  <c r="F78" i="16"/>
  <c r="Y78" i="16" s="1"/>
  <c r="F77" i="16"/>
  <c r="Y77" i="16" s="1"/>
  <c r="F76" i="16"/>
  <c r="Y76" i="16" s="1"/>
  <c r="F75" i="16"/>
  <c r="Y75" i="16" s="1"/>
  <c r="F74" i="16"/>
  <c r="Y74" i="16" s="1"/>
  <c r="F73" i="16"/>
  <c r="Y73" i="16" s="1"/>
  <c r="F72" i="16"/>
  <c r="Y72" i="16" s="1"/>
  <c r="F71" i="16"/>
  <c r="Y71" i="16" s="1"/>
  <c r="F70" i="16"/>
  <c r="Y70" i="16" s="1"/>
  <c r="F69" i="16"/>
  <c r="Y69" i="16" s="1"/>
  <c r="F68" i="16"/>
  <c r="F67" i="16"/>
  <c r="F66" i="16"/>
  <c r="Y66" i="16" s="1"/>
  <c r="F65" i="16"/>
  <c r="Y65" i="16" s="1"/>
  <c r="F64" i="16"/>
  <c r="Y64" i="16" s="1"/>
  <c r="F63" i="16"/>
  <c r="Y63" i="16" s="1"/>
  <c r="F62" i="16"/>
  <c r="Y62" i="16" s="1"/>
  <c r="F61" i="16"/>
  <c r="Y61" i="16" s="1"/>
  <c r="F60" i="16"/>
  <c r="Y60" i="16" s="1"/>
  <c r="F59" i="16"/>
  <c r="Y59" i="16" s="1"/>
  <c r="F58" i="16"/>
  <c r="Y58" i="16" s="1"/>
  <c r="F57" i="16"/>
  <c r="Y57" i="16" s="1"/>
  <c r="F56" i="16"/>
  <c r="Y56" i="16" s="1"/>
  <c r="F55" i="16"/>
  <c r="Y55" i="16" s="1"/>
  <c r="F54" i="16"/>
  <c r="Y54" i="16" s="1"/>
  <c r="F53" i="16"/>
  <c r="Y53" i="16" s="1"/>
  <c r="F52" i="16"/>
  <c r="Y52" i="16" s="1"/>
  <c r="F51" i="16"/>
  <c r="Y51" i="16" s="1"/>
  <c r="F50" i="16"/>
  <c r="F49" i="16"/>
  <c r="Y49" i="16" s="1"/>
  <c r="F48" i="16"/>
  <c r="Y48" i="16" s="1"/>
  <c r="F47" i="16"/>
  <c r="Y47" i="16" s="1"/>
  <c r="F46" i="16"/>
  <c r="Y46" i="16" s="1"/>
  <c r="F45" i="16"/>
  <c r="Y45" i="16" s="1"/>
  <c r="F44" i="16"/>
  <c r="Y44" i="16" s="1"/>
  <c r="F43" i="16"/>
  <c r="Y43" i="16" s="1"/>
  <c r="F42" i="16"/>
  <c r="Y42" i="16" s="1"/>
  <c r="F41" i="16"/>
  <c r="Y41" i="16" s="1"/>
  <c r="F40" i="16"/>
  <c r="Y40" i="16" s="1"/>
  <c r="F39" i="16"/>
  <c r="Y39" i="16" s="1"/>
  <c r="F38" i="16"/>
  <c r="Y38" i="16" s="1"/>
  <c r="F37" i="16"/>
  <c r="Y37" i="16" s="1"/>
  <c r="F36" i="16"/>
  <c r="Y36" i="16" s="1"/>
  <c r="F35" i="16"/>
  <c r="Y35" i="16" s="1"/>
  <c r="F34" i="16"/>
  <c r="Y34" i="16" s="1"/>
  <c r="F33" i="16"/>
  <c r="Y33" i="16" s="1"/>
  <c r="F32" i="16"/>
  <c r="Y32" i="16" s="1"/>
  <c r="F31" i="16"/>
  <c r="Y31" i="16" s="1"/>
  <c r="F30" i="16"/>
  <c r="Y30" i="16" s="1"/>
  <c r="F29" i="16"/>
  <c r="Y29" i="16" s="1"/>
  <c r="F28" i="16"/>
  <c r="Y28" i="16" s="1"/>
  <c r="F27" i="16"/>
  <c r="Y27" i="16" s="1"/>
  <c r="F26" i="16"/>
  <c r="Y26" i="16" s="1"/>
  <c r="F25" i="16"/>
  <c r="Y25" i="16" s="1"/>
  <c r="F24" i="16"/>
  <c r="Y24" i="16" s="1"/>
  <c r="F23" i="16"/>
  <c r="Y23" i="16" s="1"/>
  <c r="F22" i="16"/>
  <c r="Y22" i="16" s="1"/>
  <c r="F21" i="16"/>
  <c r="Y21" i="16" s="1"/>
  <c r="F20" i="16"/>
  <c r="Y20" i="16" s="1"/>
  <c r="F19" i="16"/>
  <c r="Y19" i="16" s="1"/>
  <c r="F18" i="16"/>
  <c r="Y18" i="16" s="1"/>
  <c r="F17" i="16"/>
  <c r="Y17" i="16" s="1"/>
  <c r="F16" i="16"/>
  <c r="Y16" i="16" s="1"/>
  <c r="F15" i="16"/>
  <c r="Y15" i="16" s="1"/>
  <c r="F14" i="16"/>
  <c r="Y14" i="16" s="1"/>
  <c r="F13" i="16"/>
  <c r="Y13" i="16" s="1"/>
  <c r="F12" i="16"/>
  <c r="Y12" i="16" s="1"/>
  <c r="F11" i="16"/>
  <c r="Y11" i="16" s="1"/>
  <c r="F10" i="16"/>
  <c r="Y10" i="16" s="1"/>
  <c r="F9" i="16"/>
  <c r="Y9" i="16" s="1"/>
  <c r="F8" i="16"/>
  <c r="Y8" i="16" s="1"/>
  <c r="F7" i="16"/>
  <c r="Y7" i="16" s="1"/>
  <c r="F6" i="16"/>
  <c r="Y6" i="16" s="1"/>
  <c r="F5" i="16"/>
  <c r="Y5" i="16" s="1"/>
  <c r="F4" i="16"/>
  <c r="H76" i="18" l="1"/>
  <c r="G31" i="18"/>
  <c r="H31" i="18" s="1"/>
  <c r="G17" i="18"/>
  <c r="G76" i="18"/>
  <c r="G45" i="18"/>
  <c r="Y4" i="16"/>
  <c r="G16" i="18"/>
  <c r="G30" i="18"/>
  <c r="H30" i="18" s="1"/>
  <c r="G75" i="18"/>
  <c r="G44" i="18"/>
  <c r="H75" i="18"/>
  <c r="Z341" i="16"/>
  <c r="Z713" i="16"/>
  <c r="Z344" i="16"/>
  <c r="AA344" i="16" s="1"/>
  <c r="Z348" i="16"/>
  <c r="AA348" i="16" s="1"/>
  <c r="Z352" i="16"/>
  <c r="AA352" i="16" s="1"/>
  <c r="Z356" i="16"/>
  <c r="AA356" i="16" s="1"/>
  <c r="Z360" i="16"/>
  <c r="AA360" i="16" s="1"/>
  <c r="Z364" i="16"/>
  <c r="AA364" i="16" s="1"/>
  <c r="Z368" i="16"/>
  <c r="AA368" i="16" s="1"/>
  <c r="Z372" i="16"/>
  <c r="AA372" i="16" s="1"/>
  <c r="Z712" i="16"/>
  <c r="Z716" i="16"/>
  <c r="Z720" i="16"/>
  <c r="Z724" i="16"/>
  <c r="Z728" i="16"/>
  <c r="Z732" i="16"/>
  <c r="Z736" i="16"/>
  <c r="Z740" i="16"/>
  <c r="Z744" i="16"/>
  <c r="Z345" i="16"/>
  <c r="AA345" i="16" s="1"/>
  <c r="Z349" i="16"/>
  <c r="AA349" i="16" s="1"/>
  <c r="Z353" i="16"/>
  <c r="AA353" i="16" s="1"/>
  <c r="Z357" i="16"/>
  <c r="AA357" i="16" s="1"/>
  <c r="Z361" i="16"/>
  <c r="AA361" i="16" s="1"/>
  <c r="Z365" i="16"/>
  <c r="AA365" i="16" s="1"/>
  <c r="Z369" i="16"/>
  <c r="AA369" i="16" s="1"/>
  <c r="Z373" i="16"/>
  <c r="AA373" i="16" s="1"/>
  <c r="Z717" i="16"/>
  <c r="Z721" i="16"/>
  <c r="Z725" i="16"/>
  <c r="Z729" i="16"/>
  <c r="Z733" i="16"/>
  <c r="Z737" i="16"/>
  <c r="Z741" i="16"/>
  <c r="Z745" i="16"/>
  <c r="Z342" i="16"/>
  <c r="Z346" i="16"/>
  <c r="AA346" i="16" s="1"/>
  <c r="Z350" i="16"/>
  <c r="AA350" i="16" s="1"/>
  <c r="Z354" i="16"/>
  <c r="AA354" i="16" s="1"/>
  <c r="Z358" i="16"/>
  <c r="AA358" i="16" s="1"/>
  <c r="Z362" i="16"/>
  <c r="AA362" i="16" s="1"/>
  <c r="Z366" i="16"/>
  <c r="AA366" i="16" s="1"/>
  <c r="Z370" i="16"/>
  <c r="AA370" i="16" s="1"/>
  <c r="Z374" i="16"/>
  <c r="AA374" i="16" s="1"/>
  <c r="Z714" i="16"/>
  <c r="Z718" i="16"/>
  <c r="Z722" i="16"/>
  <c r="Z726" i="16"/>
  <c r="Z730" i="16"/>
  <c r="Z734" i="16"/>
  <c r="Z738" i="16"/>
  <c r="Z742" i="16"/>
  <c r="Z343" i="16"/>
  <c r="AA343" i="16" s="1"/>
  <c r="Z347" i="16"/>
  <c r="AA347" i="16" s="1"/>
  <c r="Z351" i="16"/>
  <c r="AA351" i="16" s="1"/>
  <c r="Z355" i="16"/>
  <c r="AA355" i="16" s="1"/>
  <c r="Z359" i="16"/>
  <c r="Z363" i="16"/>
  <c r="AA363" i="16" s="1"/>
  <c r="Z367" i="16"/>
  <c r="AA367" i="16" s="1"/>
  <c r="Z371" i="16"/>
  <c r="AA371" i="16" s="1"/>
  <c r="Z715" i="16"/>
  <c r="Z719" i="16"/>
  <c r="Z723" i="16"/>
  <c r="Z727" i="16"/>
  <c r="Z731" i="16"/>
  <c r="Z735" i="16"/>
  <c r="Z739" i="16"/>
  <c r="Z743" i="16"/>
  <c r="Z340" i="16"/>
  <c r="AA340" i="16" s="1"/>
  <c r="Z711" i="16"/>
  <c r="AA711" i="16" s="1"/>
  <c r="AF1082" i="16"/>
  <c r="AH1082" i="16"/>
  <c r="AG1082" i="16"/>
  <c r="AI1082" i="16"/>
  <c r="AK747" i="16"/>
  <c r="AK775" i="16"/>
  <c r="AC746" i="16"/>
  <c r="AB280" i="16"/>
  <c r="AJ280" i="16" s="1"/>
  <c r="AK280" i="16" s="1"/>
  <c r="AB294" i="16"/>
  <c r="AB298" i="16"/>
  <c r="AJ298" i="16" s="1"/>
  <c r="AK298" i="16" s="1"/>
  <c r="AB302" i="16"/>
  <c r="AJ302" i="16" s="1"/>
  <c r="AK302" i="16" s="1"/>
  <c r="AB293" i="16"/>
  <c r="AB287" i="16"/>
  <c r="AJ287" i="16" s="1"/>
  <c r="AK287" i="16" s="1"/>
  <c r="AB295" i="16"/>
  <c r="AJ295" i="16" s="1"/>
  <c r="AK295" i="16" s="1"/>
  <c r="AB299" i="16"/>
  <c r="AJ299" i="16" s="1"/>
  <c r="AK299" i="16" s="1"/>
  <c r="AB300" i="16"/>
  <c r="AJ300" i="16" s="1"/>
  <c r="AK300" i="16" s="1"/>
  <c r="AB296" i="16"/>
  <c r="AJ296" i="16" s="1"/>
  <c r="AK296" i="16" s="1"/>
  <c r="AB297" i="16"/>
  <c r="AJ297" i="16" s="1"/>
  <c r="AK297" i="16" s="1"/>
  <c r="AB301" i="16"/>
  <c r="AJ301" i="16" s="1"/>
  <c r="AK301" i="16" s="1"/>
  <c r="Z181" i="16"/>
  <c r="AA181" i="16" s="1"/>
  <c r="Z5" i="16"/>
  <c r="AA5" i="16" s="1"/>
  <c r="Z29" i="16"/>
  <c r="AA29" i="16" s="1"/>
  <c r="Z69" i="16"/>
  <c r="AA69" i="16" s="1"/>
  <c r="Z85" i="16"/>
  <c r="AA85" i="16" s="1"/>
  <c r="Z109" i="16"/>
  <c r="AA109" i="16" s="1"/>
  <c r="Z33" i="16"/>
  <c r="AA33" i="16" s="1"/>
  <c r="Z97" i="16"/>
  <c r="AA97" i="16" s="1"/>
  <c r="Z121" i="16"/>
  <c r="AA121" i="16" s="1"/>
  <c r="Z145" i="16"/>
  <c r="AA145" i="16" s="1"/>
  <c r="Z9" i="16"/>
  <c r="AA9" i="16" s="1"/>
  <c r="Z25" i="16"/>
  <c r="AA25" i="16" s="1"/>
  <c r="Z53" i="16"/>
  <c r="AA53" i="16" s="1"/>
  <c r="Z169" i="16"/>
  <c r="AA169" i="16" s="1"/>
  <c r="Z189" i="16"/>
  <c r="AA189" i="16" s="1"/>
  <c r="Z157" i="16"/>
  <c r="AA157" i="16" s="1"/>
  <c r="Z185" i="16"/>
  <c r="AA185" i="16" s="1"/>
  <c r="Z193" i="16"/>
  <c r="AA193" i="16" s="1"/>
  <c r="Z221" i="16"/>
  <c r="AA221" i="16" s="1"/>
  <c r="Z225" i="16"/>
  <c r="AA225" i="16" s="1"/>
  <c r="Z241" i="16"/>
  <c r="AA241" i="16" s="1"/>
  <c r="Z245" i="16"/>
  <c r="AA245" i="16" s="1"/>
  <c r="Z249" i="16"/>
  <c r="AA249" i="16" s="1"/>
  <c r="Z257" i="16"/>
  <c r="AA257" i="16" s="1"/>
  <c r="Z265" i="16"/>
  <c r="AA265" i="16" s="1"/>
  <c r="Z217" i="16"/>
  <c r="AA217" i="16" s="1"/>
  <c r="Z201" i="16"/>
  <c r="AA201" i="16" s="1"/>
  <c r="Z205" i="16"/>
  <c r="AA205" i="16" s="1"/>
  <c r="Z149" i="16"/>
  <c r="AA149" i="16" s="1"/>
  <c r="Z269" i="16"/>
  <c r="AA269" i="16" s="1"/>
  <c r="Z229" i="16"/>
  <c r="AA229" i="16" s="1"/>
  <c r="Z253" i="16"/>
  <c r="AA253" i="16" s="1"/>
  <c r="Z261" i="16"/>
  <c r="AA261" i="16" s="1"/>
  <c r="Z273" i="16"/>
  <c r="AA273" i="16" s="1"/>
  <c r="Z113" i="16"/>
  <c r="AA113" i="16" s="1"/>
  <c r="Z277" i="16"/>
  <c r="AA277" i="16" s="1"/>
  <c r="Z281" i="16"/>
  <c r="AA281" i="16" s="1"/>
  <c r="Z285" i="16"/>
  <c r="AA285" i="16" s="1"/>
  <c r="Z289" i="16"/>
  <c r="AA289" i="16" s="1"/>
  <c r="Z339" i="16"/>
  <c r="AA339" i="16" s="1"/>
  <c r="Z89" i="16"/>
  <c r="AA89" i="16" s="1"/>
  <c r="Z305" i="16"/>
  <c r="AA305" i="16" s="1"/>
  <c r="Z313" i="16"/>
  <c r="AA313" i="16" s="1"/>
  <c r="Z321" i="16"/>
  <c r="AA321" i="16" s="1"/>
  <c r="AA341" i="16"/>
  <c r="Z57" i="16"/>
  <c r="AA57" i="16" s="1"/>
  <c r="Z61" i="16"/>
  <c r="AA61" i="16" s="1"/>
  <c r="Z101" i="16"/>
  <c r="AA101" i="16" s="1"/>
  <c r="Z180" i="16"/>
  <c r="AA180" i="16" s="1"/>
  <c r="Z256" i="16"/>
  <c r="AA256" i="16" s="1"/>
  <c r="Z268" i="16"/>
  <c r="AA268" i="16" s="1"/>
  <c r="Z276" i="16"/>
  <c r="AA276" i="16" s="1"/>
  <c r="Z37" i="16"/>
  <c r="AA37" i="16" s="1"/>
  <c r="Z161" i="16"/>
  <c r="AA161" i="16" s="1"/>
  <c r="Z338" i="16"/>
  <c r="AA338" i="16" s="1"/>
  <c r="Z41" i="16"/>
  <c r="AA41" i="16" s="1"/>
  <c r="Z125" i="16"/>
  <c r="AA125" i="16" s="1"/>
  <c r="Z21" i="16"/>
  <c r="AA21" i="16" s="1"/>
  <c r="Z45" i="16"/>
  <c r="AA45" i="16" s="1"/>
  <c r="Z49" i="16"/>
  <c r="AA49" i="16" s="1"/>
  <c r="Z77" i="16"/>
  <c r="AA77" i="16" s="1"/>
  <c r="Z105" i="16"/>
  <c r="AA105" i="16" s="1"/>
  <c r="Z133" i="16"/>
  <c r="AA133" i="16" s="1"/>
  <c r="Z141" i="16"/>
  <c r="AA141" i="16" s="1"/>
  <c r="Z4" i="16"/>
  <c r="AA4" i="16" s="1"/>
  <c r="Z8" i="16"/>
  <c r="AA8" i="16" s="1"/>
  <c r="Z12" i="16"/>
  <c r="AA12" i="16" s="1"/>
  <c r="Z16" i="16"/>
  <c r="AA16" i="16" s="1"/>
  <c r="Z20" i="16"/>
  <c r="AA20" i="16" s="1"/>
  <c r="Z24" i="16"/>
  <c r="AA24" i="16" s="1"/>
  <c r="Z28" i="16"/>
  <c r="AA28" i="16" s="1"/>
  <c r="Z32" i="16"/>
  <c r="AA32" i="16" s="1"/>
  <c r="Z65" i="16"/>
  <c r="AA65" i="16" s="1"/>
  <c r="Z73" i="16"/>
  <c r="AA73" i="16" s="1"/>
  <c r="Z81" i="16"/>
  <c r="AA81" i="16" s="1"/>
  <c r="Z129" i="16"/>
  <c r="AA129" i="16" s="1"/>
  <c r="Z137" i="16"/>
  <c r="AA137" i="16" s="1"/>
  <c r="Z165" i="16"/>
  <c r="AA165" i="16" s="1"/>
  <c r="Z173" i="16"/>
  <c r="AA173" i="16" s="1"/>
  <c r="Z13" i="16"/>
  <c r="AA13" i="16" s="1"/>
  <c r="Z93" i="16"/>
  <c r="AA93" i="16" s="1"/>
  <c r="Z177" i="16"/>
  <c r="AA177" i="16" s="1"/>
  <c r="Z17" i="16"/>
  <c r="AA17" i="16" s="1"/>
  <c r="Z117" i="16"/>
  <c r="AA117" i="16" s="1"/>
  <c r="Z153" i="16"/>
  <c r="AA153" i="16" s="1"/>
  <c r="Z36" i="16"/>
  <c r="AA36" i="16" s="1"/>
  <c r="Z40" i="16"/>
  <c r="AA40" i="16" s="1"/>
  <c r="Z44" i="16"/>
  <c r="AA44" i="16" s="1"/>
  <c r="Z48" i="16"/>
  <c r="AA48" i="16" s="1"/>
  <c r="Z52" i="16"/>
  <c r="AA52" i="16" s="1"/>
  <c r="Z56" i="16"/>
  <c r="AA56" i="16" s="1"/>
  <c r="Z60" i="16"/>
  <c r="AA60" i="16" s="1"/>
  <c r="Z64" i="16"/>
  <c r="AA64" i="16" s="1"/>
  <c r="Z72" i="16"/>
  <c r="AA72" i="16" s="1"/>
  <c r="Z76" i="16"/>
  <c r="AA76" i="16" s="1"/>
  <c r="Z80" i="16"/>
  <c r="AA80" i="16" s="1"/>
  <c r="Z84" i="16"/>
  <c r="AA84" i="16" s="1"/>
  <c r="Z88" i="16"/>
  <c r="AA88" i="16" s="1"/>
  <c r="Z92" i="16"/>
  <c r="AA92" i="16" s="1"/>
  <c r="Z96" i="16"/>
  <c r="AA96" i="16" s="1"/>
  <c r="Z100" i="16"/>
  <c r="AA100" i="16" s="1"/>
  <c r="Z104" i="16"/>
  <c r="AA104" i="16" s="1"/>
  <c r="Z108" i="16"/>
  <c r="AA108" i="16" s="1"/>
  <c r="Z112" i="16"/>
  <c r="AA112" i="16" s="1"/>
  <c r="Z116" i="16"/>
  <c r="AA116" i="16" s="1"/>
  <c r="Z120" i="16"/>
  <c r="AA120" i="16" s="1"/>
  <c r="Z124" i="16"/>
  <c r="AA124" i="16" s="1"/>
  <c r="Z128" i="16"/>
  <c r="AA128" i="16" s="1"/>
  <c r="Z132" i="16"/>
  <c r="AA132" i="16" s="1"/>
  <c r="Z136" i="16"/>
  <c r="AA136" i="16" s="1"/>
  <c r="Z140" i="16"/>
  <c r="AA140" i="16" s="1"/>
  <c r="Z144" i="16"/>
  <c r="AA144" i="16" s="1"/>
  <c r="Z148" i="16"/>
  <c r="AA148" i="16" s="1"/>
  <c r="Z152" i="16"/>
  <c r="AA152" i="16" s="1"/>
  <c r="Z156" i="16"/>
  <c r="AA156" i="16" s="1"/>
  <c r="Z160" i="16"/>
  <c r="AA160" i="16" s="1"/>
  <c r="Z164" i="16"/>
  <c r="AA164" i="16" s="1"/>
  <c r="Z168" i="16"/>
  <c r="AA168" i="16" s="1"/>
  <c r="Z172" i="16"/>
  <c r="AA172" i="16" s="1"/>
  <c r="Z176" i="16"/>
  <c r="AA176" i="16" s="1"/>
  <c r="Z184" i="16"/>
  <c r="AA184" i="16" s="1"/>
  <c r="Z188" i="16"/>
  <c r="AA188" i="16" s="1"/>
  <c r="Z192" i="16"/>
  <c r="AA192" i="16" s="1"/>
  <c r="Z196" i="16"/>
  <c r="AA196" i="16" s="1"/>
  <c r="Z200" i="16"/>
  <c r="AA200" i="16" s="1"/>
  <c r="Z204" i="16"/>
  <c r="AA204" i="16" s="1"/>
  <c r="Z208" i="16"/>
  <c r="AA208" i="16" s="1"/>
  <c r="Z212" i="16"/>
  <c r="AA212" i="16" s="1"/>
  <c r="Z216" i="16"/>
  <c r="AA216" i="16" s="1"/>
  <c r="Z220" i="16"/>
  <c r="AA220" i="16" s="1"/>
  <c r="Z224" i="16"/>
  <c r="AA224" i="16" s="1"/>
  <c r="Z228" i="16"/>
  <c r="AA228" i="16" s="1"/>
  <c r="Z232" i="16"/>
  <c r="AA232" i="16" s="1"/>
  <c r="Z236" i="16"/>
  <c r="AA236" i="16" s="1"/>
  <c r="Z240" i="16"/>
  <c r="AA240" i="16" s="1"/>
  <c r="Z244" i="16"/>
  <c r="AA244" i="16" s="1"/>
  <c r="Z248" i="16"/>
  <c r="AA248" i="16" s="1"/>
  <c r="Z252" i="16"/>
  <c r="AA252" i="16" s="1"/>
  <c r="Z260" i="16"/>
  <c r="AA260" i="16" s="1"/>
  <c r="Z264" i="16"/>
  <c r="AA264" i="16" s="1"/>
  <c r="Z272" i="16"/>
  <c r="AA272" i="16" s="1"/>
  <c r="Z284" i="16"/>
  <c r="AA284" i="16" s="1"/>
  <c r="Z288" i="16"/>
  <c r="AA288" i="16" s="1"/>
  <c r="Z292" i="16"/>
  <c r="AA292" i="16" s="1"/>
  <c r="Z304" i="16"/>
  <c r="AA304" i="16" s="1"/>
  <c r="Z308" i="16"/>
  <c r="AA308" i="16" s="1"/>
  <c r="Z312" i="16"/>
  <c r="AA312" i="16" s="1"/>
  <c r="Z316" i="16"/>
  <c r="AA316" i="16" s="1"/>
  <c r="Z320" i="16"/>
  <c r="AA320" i="16" s="1"/>
  <c r="Z324" i="16"/>
  <c r="AA324" i="16" s="1"/>
  <c r="Z328" i="16"/>
  <c r="AA328" i="16" s="1"/>
  <c r="Z332" i="16"/>
  <c r="AA332" i="16" s="1"/>
  <c r="Z336" i="16"/>
  <c r="AA336" i="16" s="1"/>
  <c r="Z309" i="16"/>
  <c r="AA309" i="16" s="1"/>
  <c r="Z317" i="16"/>
  <c r="AA317" i="16" s="1"/>
  <c r="Z325" i="16"/>
  <c r="AA325" i="16" s="1"/>
  <c r="Z329" i="16"/>
  <c r="AA329" i="16" s="1"/>
  <c r="Z333" i="16"/>
  <c r="AA333" i="16" s="1"/>
  <c r="Z337" i="16"/>
  <c r="AA337" i="16" s="1"/>
  <c r="Z197" i="16"/>
  <c r="AA197" i="16" s="1"/>
  <c r="Z237" i="16"/>
  <c r="AA237" i="16" s="1"/>
  <c r="Z6" i="16"/>
  <c r="AA6" i="16" s="1"/>
  <c r="Z14" i="16"/>
  <c r="AA14" i="16" s="1"/>
  <c r="Z22" i="16"/>
  <c r="AA22" i="16" s="1"/>
  <c r="Z30" i="16"/>
  <c r="AA30" i="16" s="1"/>
  <c r="Z38" i="16"/>
  <c r="AA38" i="16" s="1"/>
  <c r="Z42" i="16"/>
  <c r="AA42" i="16" s="1"/>
  <c r="Z46" i="16"/>
  <c r="AA46" i="16" s="1"/>
  <c r="Z54" i="16"/>
  <c r="AA54" i="16" s="1"/>
  <c r="Z58" i="16"/>
  <c r="AA58" i="16" s="1"/>
  <c r="Z62" i="16"/>
  <c r="AA62" i="16" s="1"/>
  <c r="Z66" i="16"/>
  <c r="AA66" i="16" s="1"/>
  <c r="Z70" i="16"/>
  <c r="AA70" i="16" s="1"/>
  <c r="Z74" i="16"/>
  <c r="AA74" i="16" s="1"/>
  <c r="Z78" i="16"/>
  <c r="AA78" i="16" s="1"/>
  <c r="Z82" i="16"/>
  <c r="AA82" i="16" s="1"/>
  <c r="Z86" i="16"/>
  <c r="AA86" i="16" s="1"/>
  <c r="Z90" i="16"/>
  <c r="AA90" i="16" s="1"/>
  <c r="Z94" i="16"/>
  <c r="AA94" i="16" s="1"/>
  <c r="Z98" i="16"/>
  <c r="AA98" i="16" s="1"/>
  <c r="Z102" i="16"/>
  <c r="AA102" i="16" s="1"/>
  <c r="Z106" i="16"/>
  <c r="AA106" i="16" s="1"/>
  <c r="Z110" i="16"/>
  <c r="AA110" i="16" s="1"/>
  <c r="Z114" i="16"/>
  <c r="AA114" i="16" s="1"/>
  <c r="Z118" i="16"/>
  <c r="AA118" i="16" s="1"/>
  <c r="Z126" i="16"/>
  <c r="AA126" i="16" s="1"/>
  <c r="Z130" i="16"/>
  <c r="AA130" i="16" s="1"/>
  <c r="Z134" i="16"/>
  <c r="AA134" i="16" s="1"/>
  <c r="Z138" i="16"/>
  <c r="AA138" i="16" s="1"/>
  <c r="Z142" i="16"/>
  <c r="AA142" i="16" s="1"/>
  <c r="Z146" i="16"/>
  <c r="AA146" i="16" s="1"/>
  <c r="Z150" i="16"/>
  <c r="AA150" i="16" s="1"/>
  <c r="Z154" i="16"/>
  <c r="AA154" i="16" s="1"/>
  <c r="Z158" i="16"/>
  <c r="AA158" i="16" s="1"/>
  <c r="Z162" i="16"/>
  <c r="AA162" i="16" s="1"/>
  <c r="Z166" i="16"/>
  <c r="AA166" i="16" s="1"/>
  <c r="Z170" i="16"/>
  <c r="AA170" i="16" s="1"/>
  <c r="Z174" i="16"/>
  <c r="AA174" i="16" s="1"/>
  <c r="Z178" i="16"/>
  <c r="AA178" i="16" s="1"/>
  <c r="Z182" i="16"/>
  <c r="AA182" i="16" s="1"/>
  <c r="Z186" i="16"/>
  <c r="AA186" i="16" s="1"/>
  <c r="Z190" i="16"/>
  <c r="AA190" i="16" s="1"/>
  <c r="Z194" i="16"/>
  <c r="AA194" i="16" s="1"/>
  <c r="Z198" i="16"/>
  <c r="AA198" i="16" s="1"/>
  <c r="Z202" i="16"/>
  <c r="AA202" i="16" s="1"/>
  <c r="Z206" i="16"/>
  <c r="AA206" i="16" s="1"/>
  <c r="Z210" i="16"/>
  <c r="AA210" i="16" s="1"/>
  <c r="Z214" i="16"/>
  <c r="AA214" i="16" s="1"/>
  <c r="Z218" i="16"/>
  <c r="AA218" i="16" s="1"/>
  <c r="Z222" i="16"/>
  <c r="AA222" i="16" s="1"/>
  <c r="Z226" i="16"/>
  <c r="AA226" i="16" s="1"/>
  <c r="Z230" i="16"/>
  <c r="AA230" i="16" s="1"/>
  <c r="Z234" i="16"/>
  <c r="AA234" i="16" s="1"/>
  <c r="Z238" i="16"/>
  <c r="AA238" i="16" s="1"/>
  <c r="Z242" i="16"/>
  <c r="AA242" i="16" s="1"/>
  <c r="Z246" i="16"/>
  <c r="AA246" i="16" s="1"/>
  <c r="Z250" i="16"/>
  <c r="AA250" i="16" s="1"/>
  <c r="Z254" i="16"/>
  <c r="AA254" i="16" s="1"/>
  <c r="Z258" i="16"/>
  <c r="AA258" i="16" s="1"/>
  <c r="Z262" i="16"/>
  <c r="AA262" i="16" s="1"/>
  <c r="Z266" i="16"/>
  <c r="AA266" i="16" s="1"/>
  <c r="Z270" i="16"/>
  <c r="AA270" i="16" s="1"/>
  <c r="Z274" i="16"/>
  <c r="AA274" i="16" s="1"/>
  <c r="Z278" i="16"/>
  <c r="AA278" i="16" s="1"/>
  <c r="Z282" i="16"/>
  <c r="AA282" i="16" s="1"/>
  <c r="Z286" i="16"/>
  <c r="AA286" i="16" s="1"/>
  <c r="Z290" i="16"/>
  <c r="AA290" i="16" s="1"/>
  <c r="Z306" i="16"/>
  <c r="AA306" i="16" s="1"/>
  <c r="Z310" i="16"/>
  <c r="AA310" i="16" s="1"/>
  <c r="Z314" i="16"/>
  <c r="AA314" i="16" s="1"/>
  <c r="Z318" i="16"/>
  <c r="AA318" i="16" s="1"/>
  <c r="Z322" i="16"/>
  <c r="AA322" i="16" s="1"/>
  <c r="Z326" i="16"/>
  <c r="AA326" i="16" s="1"/>
  <c r="Z330" i="16"/>
  <c r="AA330" i="16" s="1"/>
  <c r="Z334" i="16"/>
  <c r="AA334" i="16" s="1"/>
  <c r="AA342" i="16"/>
  <c r="Z209" i="16"/>
  <c r="AA209" i="16" s="1"/>
  <c r="Z213" i="16"/>
  <c r="AA213" i="16" s="1"/>
  <c r="Z233" i="16"/>
  <c r="AA233" i="16" s="1"/>
  <c r="Z10" i="16"/>
  <c r="AA10" i="16" s="1"/>
  <c r="Z18" i="16"/>
  <c r="AA18" i="16" s="1"/>
  <c r="Z26" i="16"/>
  <c r="AA26" i="16" s="1"/>
  <c r="Z34" i="16"/>
  <c r="AA34" i="16" s="1"/>
  <c r="Z7" i="16"/>
  <c r="AA7" i="16" s="1"/>
  <c r="Z11" i="16"/>
  <c r="AA11" i="16" s="1"/>
  <c r="Z15" i="16"/>
  <c r="AA15" i="16" s="1"/>
  <c r="Z19" i="16"/>
  <c r="AA19" i="16" s="1"/>
  <c r="Z23" i="16"/>
  <c r="AA23" i="16" s="1"/>
  <c r="Z27" i="16"/>
  <c r="AA27" i="16" s="1"/>
  <c r="Z31" i="16"/>
  <c r="AA31" i="16" s="1"/>
  <c r="Z35" i="16"/>
  <c r="AA35" i="16" s="1"/>
  <c r="Z39" i="16"/>
  <c r="AA39" i="16" s="1"/>
  <c r="Z43" i="16"/>
  <c r="AA43" i="16" s="1"/>
  <c r="Z47" i="16"/>
  <c r="AA47" i="16" s="1"/>
  <c r="Z50" i="16"/>
  <c r="AA50" i="16" s="1"/>
  <c r="Z51" i="16"/>
  <c r="AA51" i="16" s="1"/>
  <c r="Z55" i="16"/>
  <c r="AA55" i="16" s="1"/>
  <c r="Z59" i="16"/>
  <c r="AA59" i="16" s="1"/>
  <c r="Z63" i="16"/>
  <c r="AA63" i="16" s="1"/>
  <c r="Z71" i="16"/>
  <c r="AA71" i="16" s="1"/>
  <c r="Z75" i="16"/>
  <c r="AA75" i="16" s="1"/>
  <c r="Z79" i="16"/>
  <c r="AA79" i="16" s="1"/>
  <c r="Z83" i="16"/>
  <c r="AA83" i="16" s="1"/>
  <c r="Z87" i="16"/>
  <c r="AA87" i="16" s="1"/>
  <c r="Z91" i="16"/>
  <c r="AA91" i="16" s="1"/>
  <c r="Z95" i="16"/>
  <c r="AA95" i="16" s="1"/>
  <c r="Z99" i="16"/>
  <c r="AA99" i="16" s="1"/>
  <c r="Z103" i="16"/>
  <c r="AA103" i="16" s="1"/>
  <c r="Z107" i="16"/>
  <c r="AA107" i="16" s="1"/>
  <c r="Z111" i="16"/>
  <c r="AA111" i="16" s="1"/>
  <c r="Z115" i="16"/>
  <c r="AA115" i="16" s="1"/>
  <c r="AA122" i="16"/>
  <c r="Z119" i="16"/>
  <c r="AA119" i="16" s="1"/>
  <c r="Z123" i="16"/>
  <c r="AA123" i="16" s="1"/>
  <c r="Z127" i="16"/>
  <c r="AA127" i="16" s="1"/>
  <c r="Z131" i="16"/>
  <c r="AA131" i="16" s="1"/>
  <c r="Z135" i="16"/>
  <c r="AA135" i="16" s="1"/>
  <c r="Z139" i="16"/>
  <c r="AA139" i="16" s="1"/>
  <c r="Z143" i="16"/>
  <c r="AA143" i="16" s="1"/>
  <c r="Z147" i="16"/>
  <c r="AA147" i="16" s="1"/>
  <c r="Z151" i="16"/>
  <c r="AA151" i="16" s="1"/>
  <c r="Z155" i="16"/>
  <c r="AA155" i="16" s="1"/>
  <c r="Z159" i="16"/>
  <c r="AA159" i="16" s="1"/>
  <c r="Z163" i="16"/>
  <c r="AA163" i="16" s="1"/>
  <c r="Z167" i="16"/>
  <c r="AA167" i="16" s="1"/>
  <c r="Z171" i="16"/>
  <c r="AA171" i="16" s="1"/>
  <c r="Z175" i="16"/>
  <c r="AA175" i="16" s="1"/>
  <c r="Z179" i="16"/>
  <c r="AA179" i="16" s="1"/>
  <c r="Z183" i="16"/>
  <c r="AA183" i="16" s="1"/>
  <c r="Z187" i="16"/>
  <c r="AA187" i="16" s="1"/>
  <c r="Z191" i="16"/>
  <c r="AA191" i="16" s="1"/>
  <c r="Z195" i="16"/>
  <c r="AA195" i="16" s="1"/>
  <c r="Z199" i="16"/>
  <c r="AA199" i="16" s="1"/>
  <c r="Z203" i="16"/>
  <c r="AA203" i="16" s="1"/>
  <c r="Z207" i="16"/>
  <c r="AA207" i="16" s="1"/>
  <c r="Z211" i="16"/>
  <c r="AA211" i="16" s="1"/>
  <c r="Z215" i="16"/>
  <c r="AA215" i="16" s="1"/>
  <c r="Z219" i="16"/>
  <c r="AA219" i="16" s="1"/>
  <c r="Z223" i="16"/>
  <c r="AA223" i="16" s="1"/>
  <c r="Z227" i="16"/>
  <c r="AA227" i="16" s="1"/>
  <c r="Z231" i="16"/>
  <c r="AA231" i="16" s="1"/>
  <c r="Z235" i="16"/>
  <c r="AA235" i="16" s="1"/>
  <c r="Z243" i="16"/>
  <c r="AA243" i="16" s="1"/>
  <c r="Z247" i="16"/>
  <c r="AA247" i="16" s="1"/>
  <c r="Z251" i="16"/>
  <c r="AA251" i="16" s="1"/>
  <c r="Z255" i="16"/>
  <c r="AA255" i="16" s="1"/>
  <c r="Z259" i="16"/>
  <c r="AA259" i="16" s="1"/>
  <c r="Z263" i="16"/>
  <c r="AA263" i="16" s="1"/>
  <c r="Z267" i="16"/>
  <c r="AA267" i="16" s="1"/>
  <c r="Z271" i="16"/>
  <c r="AA271" i="16" s="1"/>
  <c r="Z275" i="16"/>
  <c r="AA275" i="16" s="1"/>
  <c r="Z279" i="16"/>
  <c r="AA279" i="16" s="1"/>
  <c r="Z283" i="16"/>
  <c r="AA283" i="16" s="1"/>
  <c r="Z291" i="16"/>
  <c r="AA291" i="16" s="1"/>
  <c r="Z303" i="16"/>
  <c r="AA303" i="16" s="1"/>
  <c r="Z307" i="16"/>
  <c r="AA307" i="16" s="1"/>
  <c r="Z311" i="16"/>
  <c r="AA311" i="16" s="1"/>
  <c r="Z315" i="16"/>
  <c r="AA315" i="16" s="1"/>
  <c r="Z319" i="16"/>
  <c r="AA319" i="16" s="1"/>
  <c r="Z323" i="16"/>
  <c r="AA323" i="16" s="1"/>
  <c r="Z327" i="16"/>
  <c r="AA327" i="16" s="1"/>
  <c r="Z331" i="16"/>
  <c r="AA331" i="16" s="1"/>
  <c r="Z335" i="16"/>
  <c r="AA335" i="16" s="1"/>
  <c r="AA359" i="16"/>
  <c r="Y384" i="16"/>
  <c r="Y392" i="16"/>
  <c r="Y400" i="16"/>
  <c r="Y412" i="16"/>
  <c r="Y424" i="16"/>
  <c r="Y436" i="16"/>
  <c r="Y448" i="16"/>
  <c r="Y460" i="16"/>
  <c r="Y472" i="16"/>
  <c r="Y480" i="16"/>
  <c r="Y492" i="16"/>
  <c r="Y504" i="16"/>
  <c r="Y516" i="16"/>
  <c r="Y528" i="16"/>
  <c r="Y540" i="16"/>
  <c r="Y544" i="16"/>
  <c r="Y560" i="16"/>
  <c r="Y572" i="16"/>
  <c r="Y584" i="16"/>
  <c r="Y596" i="16"/>
  <c r="Y608" i="16"/>
  <c r="Y616" i="16"/>
  <c r="Y628" i="16"/>
  <c r="Y640" i="16"/>
  <c r="Y648" i="16"/>
  <c r="Y660" i="16"/>
  <c r="Y668" i="16"/>
  <c r="Z668" i="16" s="1"/>
  <c r="AA668" i="16" s="1"/>
  <c r="Y676" i="16"/>
  <c r="Y684" i="16"/>
  <c r="Y692" i="16"/>
  <c r="Y708" i="16"/>
  <c r="Y377" i="16"/>
  <c r="Y385" i="16"/>
  <c r="Y393" i="16"/>
  <c r="Y401" i="16"/>
  <c r="Y409" i="16"/>
  <c r="Y413" i="16"/>
  <c r="Y425" i="16"/>
  <c r="Y433" i="16"/>
  <c r="Y437" i="16"/>
  <c r="Y445" i="16"/>
  <c r="Y453" i="16"/>
  <c r="Y461" i="16"/>
  <c r="Y469" i="16"/>
  <c r="Y477" i="16"/>
  <c r="Y485" i="16"/>
  <c r="Y501" i="16"/>
  <c r="Y509" i="16"/>
  <c r="Y517" i="16"/>
  <c r="Y525" i="16"/>
  <c r="Y533" i="16"/>
  <c r="Y541" i="16"/>
  <c r="Y549" i="16"/>
  <c r="Y553" i="16"/>
  <c r="Y561" i="16"/>
  <c r="Y569" i="16"/>
  <c r="Y577" i="16"/>
  <c r="Y585" i="16"/>
  <c r="Y593" i="16"/>
  <c r="Y601" i="16"/>
  <c r="Y609" i="16"/>
  <c r="Y613" i="16"/>
  <c r="Y621" i="16"/>
  <c r="Y629" i="16"/>
  <c r="Y637" i="16"/>
  <c r="Y645" i="16"/>
  <c r="Y649" i="16"/>
  <c r="Y653" i="16"/>
  <c r="Y657" i="16"/>
  <c r="Y661" i="16"/>
  <c r="Y665" i="16"/>
  <c r="Z665" i="16" s="1"/>
  <c r="AA665" i="16" s="1"/>
  <c r="Y673" i="16"/>
  <c r="Z673" i="16" s="1"/>
  <c r="AA673" i="16" s="1"/>
  <c r="Y677" i="16"/>
  <c r="Y681" i="16"/>
  <c r="Y685" i="16"/>
  <c r="Y689" i="16"/>
  <c r="Y693" i="16"/>
  <c r="Y697" i="16"/>
  <c r="Y701" i="16"/>
  <c r="Y705" i="16"/>
  <c r="Y709" i="16"/>
  <c r="Y376" i="16"/>
  <c r="Y396" i="16"/>
  <c r="Y408" i="16"/>
  <c r="Y420" i="16"/>
  <c r="Y432" i="16"/>
  <c r="Y444" i="16"/>
  <c r="Y456" i="16"/>
  <c r="Y464" i="16"/>
  <c r="Y476" i="16"/>
  <c r="Y488" i="16"/>
  <c r="Y500" i="16"/>
  <c r="Y512" i="16"/>
  <c r="Y524" i="16"/>
  <c r="Y536" i="16"/>
  <c r="Y548" i="16"/>
  <c r="Y556" i="16"/>
  <c r="Y568" i="16"/>
  <c r="Y580" i="16"/>
  <c r="Y592" i="16"/>
  <c r="Y604" i="16"/>
  <c r="Y620" i="16"/>
  <c r="Y632" i="16"/>
  <c r="Y644" i="16"/>
  <c r="Y652" i="16"/>
  <c r="Y664" i="16"/>
  <c r="Z664" i="16" s="1"/>
  <c r="AA664" i="16" s="1"/>
  <c r="Y672" i="16"/>
  <c r="Z672" i="16" s="1"/>
  <c r="AA672" i="16" s="1"/>
  <c r="Y680" i="16"/>
  <c r="Y688" i="16"/>
  <c r="Y696" i="16"/>
  <c r="Y704" i="16"/>
  <c r="Y381" i="16"/>
  <c r="Y389" i="16"/>
  <c r="Y397" i="16"/>
  <c r="Y405" i="16"/>
  <c r="Y417" i="16"/>
  <c r="Y429" i="16"/>
  <c r="Y441" i="16"/>
  <c r="Y449" i="16"/>
  <c r="Y457" i="16"/>
  <c r="Y465" i="16"/>
  <c r="Y473" i="16"/>
  <c r="Y481" i="16"/>
  <c r="Y489" i="16"/>
  <c r="Y497" i="16"/>
  <c r="Y505" i="16"/>
  <c r="Y513" i="16"/>
  <c r="Y521" i="16"/>
  <c r="Y529" i="16"/>
  <c r="Y537" i="16"/>
  <c r="Y545" i="16"/>
  <c r="Y557" i="16"/>
  <c r="Y565" i="16"/>
  <c r="Y573" i="16"/>
  <c r="Y581" i="16"/>
  <c r="Y589" i="16"/>
  <c r="Y597" i="16"/>
  <c r="Y605" i="16"/>
  <c r="Y617" i="16"/>
  <c r="Y625" i="16"/>
  <c r="Y633" i="16"/>
  <c r="Y641" i="16"/>
  <c r="Y669" i="16"/>
  <c r="Z669" i="16" s="1"/>
  <c r="AA669" i="16" s="1"/>
  <c r="Y378" i="16"/>
  <c r="Y382" i="16"/>
  <c r="Y386" i="16"/>
  <c r="Y390" i="16"/>
  <c r="Y394" i="16"/>
  <c r="Y398" i="16"/>
  <c r="Y402" i="16"/>
  <c r="Y406" i="16"/>
  <c r="Y410" i="16"/>
  <c r="Y414" i="16"/>
  <c r="Y418" i="16"/>
  <c r="Y422" i="16"/>
  <c r="Y426" i="16"/>
  <c r="Y430" i="16"/>
  <c r="Y434" i="16"/>
  <c r="Y442" i="16"/>
  <c r="Y446" i="16"/>
  <c r="Y450" i="16"/>
  <c r="Y454" i="16"/>
  <c r="Y458" i="16"/>
  <c r="Y462" i="16"/>
  <c r="Y466" i="16"/>
  <c r="Y470" i="16"/>
  <c r="Y474" i="16"/>
  <c r="Y478" i="16"/>
  <c r="Y482" i="16"/>
  <c r="Y486" i="16"/>
  <c r="Y490" i="16"/>
  <c r="Y494" i="16"/>
  <c r="Y498" i="16"/>
  <c r="Y502" i="16"/>
  <c r="Y506" i="16"/>
  <c r="Y510" i="16"/>
  <c r="Y514" i="16"/>
  <c r="Y518" i="16"/>
  <c r="Y522" i="16"/>
  <c r="Y526" i="16"/>
  <c r="Y530" i="16"/>
  <c r="Y534" i="16"/>
  <c r="Y538" i="16"/>
  <c r="Y542" i="16"/>
  <c r="Y546" i="16"/>
  <c r="Y550" i="16"/>
  <c r="Y554" i="16"/>
  <c r="Y558" i="16"/>
  <c r="Y562" i="16"/>
  <c r="Y566" i="16"/>
  <c r="Y570" i="16"/>
  <c r="Y574" i="16"/>
  <c r="Y578" i="16"/>
  <c r="Y582" i="16"/>
  <c r="Y586" i="16"/>
  <c r="Y590" i="16"/>
  <c r="Y594" i="16"/>
  <c r="Y598" i="16"/>
  <c r="Y602" i="16"/>
  <c r="Y606" i="16"/>
  <c r="Y614" i="16"/>
  <c r="Y618" i="16"/>
  <c r="Y622" i="16"/>
  <c r="Y626" i="16"/>
  <c r="Y630" i="16"/>
  <c r="Y634" i="16"/>
  <c r="Y638" i="16"/>
  <c r="Y642" i="16"/>
  <c r="Y646" i="16"/>
  <c r="Y650" i="16"/>
  <c r="Y654" i="16"/>
  <c r="Y658" i="16"/>
  <c r="Z658" i="16" s="1"/>
  <c r="AA658" i="16" s="1"/>
  <c r="Y662" i="16"/>
  <c r="Y666" i="16"/>
  <c r="Z666" i="16" s="1"/>
  <c r="AA666" i="16" s="1"/>
  <c r="Y670" i="16"/>
  <c r="Z670" i="16" s="1"/>
  <c r="AA670" i="16" s="1"/>
  <c r="Y674" i="16"/>
  <c r="Y678" i="16"/>
  <c r="Y682" i="16"/>
  <c r="Y686" i="16"/>
  <c r="Y690" i="16"/>
  <c r="Y694" i="16"/>
  <c r="Y698" i="16"/>
  <c r="Y702" i="16"/>
  <c r="Y706" i="16"/>
  <c r="Y710" i="16"/>
  <c r="Z710" i="16" s="1"/>
  <c r="AA710" i="16" s="1"/>
  <c r="Y380" i="16"/>
  <c r="Y388" i="16"/>
  <c r="Y404" i="16"/>
  <c r="Y416" i="16"/>
  <c r="Y428" i="16"/>
  <c r="Y440" i="16"/>
  <c r="Y452" i="16"/>
  <c r="Y468" i="16"/>
  <c r="Y484" i="16"/>
  <c r="Y496" i="16"/>
  <c r="Y508" i="16"/>
  <c r="Y520" i="16"/>
  <c r="Y532" i="16"/>
  <c r="Y552" i="16"/>
  <c r="Y564" i="16"/>
  <c r="Y576" i="16"/>
  <c r="Y588" i="16"/>
  <c r="Y600" i="16"/>
  <c r="Y612" i="16"/>
  <c r="Y624" i="16"/>
  <c r="Y636" i="16"/>
  <c r="Y656" i="16"/>
  <c r="Y700" i="16"/>
  <c r="Y375" i="16"/>
  <c r="Y379" i="16"/>
  <c r="Y383" i="16"/>
  <c r="Y387" i="16"/>
  <c r="Y391" i="16"/>
  <c r="Y395" i="16"/>
  <c r="Y399" i="16"/>
  <c r="Z399" i="16" s="1"/>
  <c r="AA399" i="16" s="1"/>
  <c r="Y403" i="16"/>
  <c r="Y407" i="16"/>
  <c r="Y411" i="16"/>
  <c r="Y415" i="16"/>
  <c r="Y419" i="16"/>
  <c r="Y423" i="16"/>
  <c r="Y427" i="16"/>
  <c r="Y431" i="16"/>
  <c r="Y435" i="16"/>
  <c r="Y443" i="16"/>
  <c r="Y447" i="16"/>
  <c r="Y451" i="16"/>
  <c r="Y455" i="16"/>
  <c r="Y459" i="16"/>
  <c r="Y463" i="16"/>
  <c r="Y467" i="16"/>
  <c r="Y471" i="16"/>
  <c r="Y475" i="16"/>
  <c r="Y479" i="16"/>
  <c r="Y483" i="16"/>
  <c r="Y487" i="16"/>
  <c r="Y491" i="16"/>
  <c r="Y495" i="16"/>
  <c r="Y499" i="16"/>
  <c r="Y503" i="16"/>
  <c r="Y507" i="16"/>
  <c r="Y511" i="16"/>
  <c r="Y515" i="16"/>
  <c r="Y519" i="16"/>
  <c r="Y523" i="16"/>
  <c r="Y527" i="16"/>
  <c r="Y531" i="16"/>
  <c r="Y535" i="16"/>
  <c r="Y539" i="16"/>
  <c r="Y543" i="16"/>
  <c r="Y547" i="16"/>
  <c r="Y551" i="16"/>
  <c r="Y555" i="16"/>
  <c r="Y559" i="16"/>
  <c r="Y563" i="16"/>
  <c r="Y567" i="16"/>
  <c r="Y571" i="16"/>
  <c r="Y575" i="16"/>
  <c r="Y579" i="16"/>
  <c r="Y583" i="16"/>
  <c r="Y587" i="16"/>
  <c r="Y591" i="16"/>
  <c r="Y595" i="16"/>
  <c r="Y599" i="16"/>
  <c r="Y603" i="16"/>
  <c r="Y607" i="16"/>
  <c r="Y611" i="16"/>
  <c r="Y615" i="16"/>
  <c r="Y619" i="16"/>
  <c r="Y623" i="16"/>
  <c r="Y627" i="16"/>
  <c r="Y631" i="16"/>
  <c r="Y635" i="16"/>
  <c r="Y639" i="16"/>
  <c r="Y643" i="16"/>
  <c r="Y647" i="16"/>
  <c r="Y651" i="16"/>
  <c r="Z651" i="16" s="1"/>
  <c r="AA651" i="16" s="1"/>
  <c r="Y655" i="16"/>
  <c r="Y659" i="16"/>
  <c r="Y663" i="16"/>
  <c r="Y667" i="16"/>
  <c r="Z667" i="16" s="1"/>
  <c r="AA667" i="16" s="1"/>
  <c r="Y671" i="16"/>
  <c r="Z671" i="16" s="1"/>
  <c r="AA671" i="16" s="1"/>
  <c r="Y675" i="16"/>
  <c r="Y679" i="16"/>
  <c r="Y683" i="16"/>
  <c r="Y687" i="16"/>
  <c r="Y691" i="16"/>
  <c r="Y695" i="16"/>
  <c r="Y699" i="16"/>
  <c r="Y703" i="16"/>
  <c r="Y707" i="16"/>
  <c r="G15" i="18"/>
  <c r="G43" i="18"/>
  <c r="H74" i="18"/>
  <c r="G29" i="18"/>
  <c r="H29" i="18" s="1"/>
  <c r="G74" i="18"/>
  <c r="J62" i="15"/>
  <c r="S179" i="18" s="1"/>
  <c r="H62" i="15"/>
  <c r="Q179" i="18" s="1"/>
  <c r="J28" i="15"/>
  <c r="S145" i="18" s="1"/>
  <c r="H28" i="15"/>
  <c r="Q145" i="18" s="1"/>
  <c r="J56" i="15"/>
  <c r="S173" i="18" s="1"/>
  <c r="H56" i="15"/>
  <c r="Q173" i="18" s="1"/>
  <c r="H37" i="15"/>
  <c r="Q154" i="18" s="1"/>
  <c r="J37" i="15"/>
  <c r="S154" i="18" s="1"/>
  <c r="J50" i="15"/>
  <c r="S167" i="18" s="1"/>
  <c r="H50" i="15"/>
  <c r="Q167" i="18" s="1"/>
  <c r="D47" i="15"/>
  <c r="N164" i="18" s="1"/>
  <c r="F47" i="15"/>
  <c r="P164" i="18" s="1"/>
  <c r="D46" i="15"/>
  <c r="N163" i="18" s="1"/>
  <c r="F46" i="15"/>
  <c r="P163" i="18" s="1"/>
  <c r="D43" i="15"/>
  <c r="N160" i="18" s="1"/>
  <c r="F43" i="15"/>
  <c r="P160" i="18" s="1"/>
  <c r="D63" i="15"/>
  <c r="N180" i="18" s="1"/>
  <c r="F63" i="15"/>
  <c r="P180" i="18" s="1"/>
  <c r="D64" i="15"/>
  <c r="N181" i="18" s="1"/>
  <c r="F64" i="15"/>
  <c r="P181" i="18" s="1"/>
  <c r="D49" i="15"/>
  <c r="N166" i="18" s="1"/>
  <c r="F49" i="15"/>
  <c r="P166" i="18" s="1"/>
  <c r="D83" i="15"/>
  <c r="N200" i="18" s="1"/>
  <c r="F83" i="15"/>
  <c r="P200" i="18" s="1"/>
  <c r="J68" i="15"/>
  <c r="S185" i="18" s="1"/>
  <c r="H68" i="15"/>
  <c r="Q185" i="18" s="1"/>
  <c r="D30" i="15"/>
  <c r="N147" i="18" s="1"/>
  <c r="F30" i="15"/>
  <c r="P147" i="18" s="1"/>
  <c r="J73" i="15"/>
  <c r="S190" i="18" s="1"/>
  <c r="H73" i="15"/>
  <c r="Q190" i="18" s="1"/>
  <c r="J54" i="15"/>
  <c r="S171" i="18" s="1"/>
  <c r="H54" i="15"/>
  <c r="Q171" i="18" s="1"/>
  <c r="J59" i="15"/>
  <c r="S176" i="18" s="1"/>
  <c r="H59" i="15"/>
  <c r="Q176" i="18" s="1"/>
  <c r="J47" i="15"/>
  <c r="S164" i="18" s="1"/>
  <c r="H47" i="15"/>
  <c r="Q164" i="18" s="1"/>
  <c r="J53" i="15"/>
  <c r="S170" i="18" s="1"/>
  <c r="H53" i="15"/>
  <c r="Q170" i="18" s="1"/>
  <c r="D36" i="15"/>
  <c r="N153" i="18" s="1"/>
  <c r="F36" i="15"/>
  <c r="P153" i="18" s="1"/>
  <c r="D40" i="15"/>
  <c r="N157" i="18" s="1"/>
  <c r="F40" i="15"/>
  <c r="P157" i="18" s="1"/>
  <c r="D29" i="15"/>
  <c r="N146" i="18" s="1"/>
  <c r="F29" i="15"/>
  <c r="P146" i="18" s="1"/>
  <c r="D44" i="15"/>
  <c r="N161" i="18" s="1"/>
  <c r="F44" i="15"/>
  <c r="P161" i="18" s="1"/>
  <c r="D50" i="15"/>
  <c r="N167" i="18" s="1"/>
  <c r="F50" i="15"/>
  <c r="P167" i="18" s="1"/>
  <c r="J64" i="15"/>
  <c r="S181" i="18" s="1"/>
  <c r="H64" i="15"/>
  <c r="Q181" i="18" s="1"/>
  <c r="D81" i="15"/>
  <c r="N198" i="18" s="1"/>
  <c r="F81" i="15"/>
  <c r="P198" i="18" s="1"/>
  <c r="J49" i="15"/>
  <c r="S166" i="18" s="1"/>
  <c r="H49" i="15"/>
  <c r="Q166" i="18" s="1"/>
  <c r="J77" i="15"/>
  <c r="S194" i="18" s="1"/>
  <c r="H77" i="15"/>
  <c r="Q194" i="18" s="1"/>
  <c r="J34" i="15"/>
  <c r="S151" i="18" s="1"/>
  <c r="H34" i="15"/>
  <c r="Q151" i="18" s="1"/>
  <c r="J48" i="15"/>
  <c r="S165" i="18" s="1"/>
  <c r="H48" i="15"/>
  <c r="Q165" i="18" s="1"/>
  <c r="J42" i="15"/>
  <c r="S159" i="18" s="1"/>
  <c r="H42" i="15"/>
  <c r="Q159" i="18" s="1"/>
  <c r="H40" i="15"/>
  <c r="Q157" i="18" s="1"/>
  <c r="J40" i="15"/>
  <c r="S157" i="18" s="1"/>
  <c r="J39" i="15"/>
  <c r="S156" i="18" s="1"/>
  <c r="H39" i="15"/>
  <c r="Q156" i="18" s="1"/>
  <c r="D32" i="15"/>
  <c r="N149" i="18" s="1"/>
  <c r="F32" i="15"/>
  <c r="P149" i="18" s="1"/>
  <c r="D45" i="15"/>
  <c r="N162" i="18" s="1"/>
  <c r="F45" i="15"/>
  <c r="P162" i="18" s="1"/>
  <c r="D66" i="15"/>
  <c r="N183" i="18" s="1"/>
  <c r="F66" i="15"/>
  <c r="P183" i="18" s="1"/>
  <c r="J74" i="15"/>
  <c r="S191" i="18" s="1"/>
  <c r="H74" i="15"/>
  <c r="Q191" i="18" s="1"/>
  <c r="J71" i="15"/>
  <c r="S188" i="18" s="1"/>
  <c r="H71" i="15"/>
  <c r="Q188" i="18" s="1"/>
  <c r="J66" i="15"/>
  <c r="S183" i="18" s="1"/>
  <c r="H66" i="15"/>
  <c r="Q183" i="18" s="1"/>
  <c r="J58" i="15"/>
  <c r="S175" i="18" s="1"/>
  <c r="H58" i="15"/>
  <c r="Q175" i="18" s="1"/>
  <c r="J75" i="15"/>
  <c r="S192" i="18" s="1"/>
  <c r="H75" i="15"/>
  <c r="Q192" i="18" s="1"/>
  <c r="D39" i="15"/>
  <c r="N156" i="18" s="1"/>
  <c r="F39" i="15"/>
  <c r="P156" i="18" s="1"/>
  <c r="D38" i="15"/>
  <c r="N155" i="18" s="1"/>
  <c r="F38" i="15"/>
  <c r="P155" i="18" s="1"/>
  <c r="J60" i="15"/>
  <c r="S177" i="18" s="1"/>
  <c r="H60" i="15"/>
  <c r="Q177" i="18" s="1"/>
  <c r="D48" i="15"/>
  <c r="N165" i="18" s="1"/>
  <c r="F48" i="15"/>
  <c r="P165" i="18" s="1"/>
  <c r="D58" i="15"/>
  <c r="N175" i="18" s="1"/>
  <c r="F58" i="15"/>
  <c r="P175" i="18" s="1"/>
  <c r="D80" i="15"/>
  <c r="N197" i="18" s="1"/>
  <c r="F80" i="15"/>
  <c r="P197" i="18" s="1"/>
  <c r="S1115" i="16"/>
  <c r="S1107" i="16"/>
  <c r="S1099" i="16"/>
  <c r="S1091" i="16"/>
  <c r="S1083" i="16"/>
  <c r="S1075" i="16"/>
  <c r="S1067" i="16"/>
  <c r="S1059" i="16"/>
  <c r="S1051" i="16"/>
  <c r="S1043" i="16"/>
  <c r="S1035" i="16"/>
  <c r="S1027" i="16"/>
  <c r="S1019" i="16"/>
  <c r="S1011" i="16"/>
  <c r="S1003" i="16"/>
  <c r="S995" i="16"/>
  <c r="S987" i="16"/>
  <c r="S979" i="16"/>
  <c r="S971" i="16"/>
  <c r="S963" i="16"/>
  <c r="S955" i="16"/>
  <c r="S947" i="16"/>
  <c r="S939" i="16"/>
  <c r="S1110" i="16"/>
  <c r="S1102" i="16"/>
  <c r="S1094" i="16"/>
  <c r="S1086" i="16"/>
  <c r="S1078" i="16"/>
  <c r="S1070" i="16"/>
  <c r="S1062" i="16"/>
  <c r="S1054" i="16"/>
  <c r="S1046" i="16"/>
  <c r="S1038" i="16"/>
  <c r="S1030" i="16"/>
  <c r="S1022" i="16"/>
  <c r="S1014" i="16"/>
  <c r="S1006" i="16"/>
  <c r="S998" i="16"/>
  <c r="S990" i="16"/>
  <c r="S982" i="16"/>
  <c r="S974" i="16"/>
  <c r="S966" i="16"/>
  <c r="S958" i="16"/>
  <c r="S950" i="16"/>
  <c r="S942" i="16"/>
  <c r="S934" i="16"/>
  <c r="S926" i="16"/>
  <c r="S918" i="16"/>
  <c r="S933" i="16"/>
  <c r="S925" i="16"/>
  <c r="S917" i="16"/>
  <c r="S909" i="16"/>
  <c r="S901" i="16"/>
  <c r="S893" i="16"/>
  <c r="S885" i="16"/>
  <c r="S877" i="16"/>
  <c r="S869" i="16"/>
  <c r="S861" i="16"/>
  <c r="S853" i="16"/>
  <c r="S845" i="16"/>
  <c r="S837" i="16"/>
  <c r="S829" i="16"/>
  <c r="S821" i="16"/>
  <c r="S813" i="16"/>
  <c r="S805" i="16"/>
  <c r="S797" i="16"/>
  <c r="S789" i="16"/>
  <c r="S781" i="16"/>
  <c r="S773" i="16"/>
  <c r="S765" i="16"/>
  <c r="S757" i="16"/>
  <c r="S749" i="16"/>
  <c r="S1113" i="16"/>
  <c r="S1105" i="16"/>
  <c r="S1097" i="16"/>
  <c r="S1089" i="16"/>
  <c r="S1081" i="16"/>
  <c r="S1073" i="16"/>
  <c r="S1065" i="16"/>
  <c r="S1057" i="16"/>
  <c r="S1049" i="16"/>
  <c r="S1041" i="16"/>
  <c r="S1033" i="16"/>
  <c r="S1025" i="16"/>
  <c r="S1017" i="16"/>
  <c r="S1009" i="16"/>
  <c r="S1001" i="16"/>
  <c r="S993" i="16"/>
  <c r="S985" i="16"/>
  <c r="S977" i="16"/>
  <c r="S969" i="16"/>
  <c r="S961" i="16"/>
  <c r="S953" i="16"/>
  <c r="S945" i="16"/>
  <c r="S1116" i="16"/>
  <c r="S1108" i="16"/>
  <c r="S1100" i="16"/>
  <c r="S1092" i="16"/>
  <c r="S1084" i="16"/>
  <c r="S1076" i="16"/>
  <c r="S1068" i="16"/>
  <c r="S1060" i="16"/>
  <c r="S1052" i="16"/>
  <c r="S1044" i="16"/>
  <c r="S1036" i="16"/>
  <c r="S1028" i="16"/>
  <c r="S1020" i="16"/>
  <c r="S1012" i="16"/>
  <c r="S1004" i="16"/>
  <c r="S996" i="16"/>
  <c r="S988" i="16"/>
  <c r="S980" i="16"/>
  <c r="S972" i="16"/>
  <c r="S964" i="16"/>
  <c r="S956" i="16"/>
  <c r="S948" i="16"/>
  <c r="S940" i="16"/>
  <c r="S932" i="16"/>
  <c r="S924" i="16"/>
  <c r="S916" i="16"/>
  <c r="S931" i="16"/>
  <c r="S923" i="16"/>
  <c r="S915" i="16"/>
  <c r="S907" i="16"/>
  <c r="S899" i="16"/>
  <c r="S891" i="16"/>
  <c r="S883" i="16"/>
  <c r="S875" i="16"/>
  <c r="S867" i="16"/>
  <c r="S859" i="16"/>
  <c r="S851" i="16"/>
  <c r="S843" i="16"/>
  <c r="S835" i="16"/>
  <c r="S827" i="16"/>
  <c r="S819" i="16"/>
  <c r="S811" i="16"/>
  <c r="S803" i="16"/>
  <c r="S795" i="16"/>
  <c r="S787" i="16"/>
  <c r="S779" i="16"/>
  <c r="S771" i="16"/>
  <c r="S763" i="16"/>
  <c r="S755" i="16"/>
  <c r="S747" i="16"/>
  <c r="S914" i="16"/>
  <c r="S906" i="16"/>
  <c r="S898" i="16"/>
  <c r="S890" i="16"/>
  <c r="S882" i="16"/>
  <c r="S874" i="16"/>
  <c r="S866" i="16"/>
  <c r="S858" i="16"/>
  <c r="S850" i="16"/>
  <c r="S842" i="16"/>
  <c r="S834" i="16"/>
  <c r="S826" i="16"/>
  <c r="S818" i="16"/>
  <c r="S810" i="16"/>
  <c r="S802" i="16"/>
  <c r="S794" i="16"/>
  <c r="S786" i="16"/>
  <c r="S778" i="16"/>
  <c r="S770" i="16"/>
  <c r="S762" i="16"/>
  <c r="S754" i="16"/>
  <c r="S746" i="16"/>
  <c r="S912" i="16"/>
  <c r="S904" i="16"/>
  <c r="S896" i="16"/>
  <c r="S888" i="16"/>
  <c r="S880" i="16"/>
  <c r="S872" i="16"/>
  <c r="S864" i="16"/>
  <c r="S856" i="16"/>
  <c r="S848" i="16"/>
  <c r="S840" i="16"/>
  <c r="S832" i="16"/>
  <c r="S824" i="16"/>
  <c r="S816" i="16"/>
  <c r="S808" i="16"/>
  <c r="S800" i="16"/>
  <c r="S792" i="16"/>
  <c r="S784" i="16"/>
  <c r="S776" i="16"/>
  <c r="S768" i="16"/>
  <c r="S760" i="16"/>
  <c r="S752" i="16"/>
  <c r="S910" i="16"/>
  <c r="S902" i="16"/>
  <c r="S894" i="16"/>
  <c r="S886" i="16"/>
  <c r="S878" i="16"/>
  <c r="S870" i="16"/>
  <c r="S862" i="16"/>
  <c r="S854" i="16"/>
  <c r="S846" i="16"/>
  <c r="S838" i="16"/>
  <c r="S830" i="16"/>
  <c r="S822" i="16"/>
  <c r="S814" i="16"/>
  <c r="S806" i="16"/>
  <c r="S798" i="16"/>
  <c r="S790" i="16"/>
  <c r="S782" i="16"/>
  <c r="S774" i="16"/>
  <c r="S766" i="16"/>
  <c r="S758" i="16"/>
  <c r="S750" i="16"/>
  <c r="S908" i="16"/>
  <c r="S900" i="16"/>
  <c r="S892" i="16"/>
  <c r="S884" i="16"/>
  <c r="S876" i="16"/>
  <c r="S868" i="16"/>
  <c r="S860" i="16"/>
  <c r="S852" i="16"/>
  <c r="S844" i="16"/>
  <c r="S836" i="16"/>
  <c r="S828" i="16"/>
  <c r="S820" i="16"/>
  <c r="S812" i="16"/>
  <c r="S804" i="16"/>
  <c r="S796" i="16"/>
  <c r="S788" i="16"/>
  <c r="S780" i="16"/>
  <c r="S772" i="16"/>
  <c r="S764" i="16"/>
  <c r="S756" i="16"/>
  <c r="S748" i="16"/>
  <c r="S1111" i="16"/>
  <c r="S1103" i="16"/>
  <c r="S1095" i="16"/>
  <c r="S1087" i="16"/>
  <c r="S1079" i="16"/>
  <c r="S1071" i="16"/>
  <c r="S1063" i="16"/>
  <c r="S1055" i="16"/>
  <c r="S1047" i="16"/>
  <c r="S1039" i="16"/>
  <c r="S1031" i="16"/>
  <c r="S1023" i="16"/>
  <c r="S1015" i="16"/>
  <c r="S1007" i="16"/>
  <c r="S999" i="16"/>
  <c r="S991" i="16"/>
  <c r="S983" i="16"/>
  <c r="S975" i="16"/>
  <c r="S967" i="16"/>
  <c r="S959" i="16"/>
  <c r="S951" i="16"/>
  <c r="S943" i="16"/>
  <c r="S1114" i="16"/>
  <c r="S1106" i="16"/>
  <c r="S1098" i="16"/>
  <c r="S1090" i="16"/>
  <c r="S1082" i="16"/>
  <c r="S1074" i="16"/>
  <c r="S1066" i="16"/>
  <c r="S1058" i="16"/>
  <c r="S1050" i="16"/>
  <c r="S1042" i="16"/>
  <c r="S1034" i="16"/>
  <c r="S1026" i="16"/>
  <c r="S1018" i="16"/>
  <c r="S1010" i="16"/>
  <c r="S1002" i="16"/>
  <c r="S994" i="16"/>
  <c r="S986" i="16"/>
  <c r="S978" i="16"/>
  <c r="S970" i="16"/>
  <c r="S962" i="16"/>
  <c r="S954" i="16"/>
  <c r="S946" i="16"/>
  <c r="S938" i="16"/>
  <c r="S930" i="16"/>
  <c r="S922" i="16"/>
  <c r="S937" i="16"/>
  <c r="S929" i="16"/>
  <c r="S921" i="16"/>
  <c r="S913" i="16"/>
  <c r="S905" i="16"/>
  <c r="S897" i="16"/>
  <c r="S889" i="16"/>
  <c r="S881" i="16"/>
  <c r="S873" i="16"/>
  <c r="S865" i="16"/>
  <c r="S857" i="16"/>
  <c r="S849" i="16"/>
  <c r="S841" i="16"/>
  <c r="S833" i="16"/>
  <c r="S825" i="16"/>
  <c r="S817" i="16"/>
  <c r="S809" i="16"/>
  <c r="S801" i="16"/>
  <c r="S793" i="16"/>
  <c r="S785" i="16"/>
  <c r="S777" i="16"/>
  <c r="S769" i="16"/>
  <c r="S761" i="16"/>
  <c r="S753" i="16"/>
  <c r="S1109" i="16"/>
  <c r="S1101" i="16"/>
  <c r="S1093" i="16"/>
  <c r="S1085" i="16"/>
  <c r="S1077" i="16"/>
  <c r="S1069" i="16"/>
  <c r="S1061" i="16"/>
  <c r="S1053" i="16"/>
  <c r="S1045" i="16"/>
  <c r="S1037" i="16"/>
  <c r="S1029" i="16"/>
  <c r="S1021" i="16"/>
  <c r="S1013" i="16"/>
  <c r="S1005" i="16"/>
  <c r="S997" i="16"/>
  <c r="S989" i="16"/>
  <c r="S981" i="16"/>
  <c r="S973" i="16"/>
  <c r="S965" i="16"/>
  <c r="S957" i="16"/>
  <c r="S949" i="16"/>
  <c r="S941" i="16"/>
  <c r="S1112" i="16"/>
  <c r="S1104" i="16"/>
  <c r="S1096" i="16"/>
  <c r="S1088" i="16"/>
  <c r="S1080" i="16"/>
  <c r="S1072" i="16"/>
  <c r="S1064" i="16"/>
  <c r="S1056" i="16"/>
  <c r="S1048" i="16"/>
  <c r="S1040" i="16"/>
  <c r="S1032" i="16"/>
  <c r="S1024" i="16"/>
  <c r="S1016" i="16"/>
  <c r="S1008" i="16"/>
  <c r="S1000" i="16"/>
  <c r="S992" i="16"/>
  <c r="S984" i="16"/>
  <c r="S976" i="16"/>
  <c r="S968" i="16"/>
  <c r="S960" i="16"/>
  <c r="S952" i="16"/>
  <c r="S944" i="16"/>
  <c r="S936" i="16"/>
  <c r="S928" i="16"/>
  <c r="S920" i="16"/>
  <c r="S935" i="16"/>
  <c r="S927" i="16"/>
  <c r="S919" i="16"/>
  <c r="S911" i="16"/>
  <c r="S903" i="16"/>
  <c r="S895" i="16"/>
  <c r="S887" i="16"/>
  <c r="S879" i="16"/>
  <c r="S871" i="16"/>
  <c r="S863" i="16"/>
  <c r="S855" i="16"/>
  <c r="S847" i="16"/>
  <c r="S839" i="16"/>
  <c r="S831" i="16"/>
  <c r="S823" i="16"/>
  <c r="S815" i="16"/>
  <c r="S807" i="16"/>
  <c r="S799" i="16"/>
  <c r="S791" i="16"/>
  <c r="S783" i="16"/>
  <c r="S775" i="16"/>
  <c r="S767" i="16"/>
  <c r="S759" i="16"/>
  <c r="S751" i="16"/>
  <c r="J33" i="15"/>
  <c r="S150" i="18" s="1"/>
  <c r="H33" i="15"/>
  <c r="Q150" i="18" s="1"/>
  <c r="H31" i="15"/>
  <c r="J31" i="15"/>
  <c r="J65" i="15"/>
  <c r="S182" i="18" s="1"/>
  <c r="H65" i="15"/>
  <c r="Q182" i="18" s="1"/>
  <c r="J61" i="15"/>
  <c r="S178" i="18" s="1"/>
  <c r="H61" i="15"/>
  <c r="Q178" i="18" s="1"/>
  <c r="J35" i="15"/>
  <c r="S152" i="18" s="1"/>
  <c r="H35" i="15"/>
  <c r="Q152" i="18" s="1"/>
  <c r="D56" i="15"/>
  <c r="N173" i="18" s="1"/>
  <c r="F56" i="15"/>
  <c r="P173" i="18" s="1"/>
  <c r="J69" i="15"/>
  <c r="S186" i="18" s="1"/>
  <c r="H69" i="15"/>
  <c r="Q186" i="18" s="1"/>
  <c r="D54" i="15"/>
  <c r="N171" i="18" s="1"/>
  <c r="F54" i="15"/>
  <c r="P171" i="18" s="1"/>
  <c r="D55" i="15"/>
  <c r="N172" i="18" s="1"/>
  <c r="F55" i="15"/>
  <c r="P172" i="18" s="1"/>
  <c r="J52" i="15"/>
  <c r="S169" i="18" s="1"/>
  <c r="H52" i="15"/>
  <c r="Q169" i="18" s="1"/>
  <c r="D28" i="15"/>
  <c r="N145" i="18" s="1"/>
  <c r="F28" i="15"/>
  <c r="P145" i="18" s="1"/>
  <c r="J46" i="15"/>
  <c r="S163" i="18" s="1"/>
  <c r="H46" i="15"/>
  <c r="Q163" i="18" s="1"/>
  <c r="J78" i="15"/>
  <c r="S195" i="18" s="1"/>
  <c r="H78" i="15"/>
  <c r="Q195" i="18" s="1"/>
  <c r="J51" i="15"/>
  <c r="S168" i="18" s="1"/>
  <c r="H51" i="15"/>
  <c r="Q168" i="18" s="1"/>
  <c r="J57" i="15"/>
  <c r="S174" i="18" s="1"/>
  <c r="H57" i="15"/>
  <c r="Q174" i="18" s="1"/>
  <c r="D34" i="15"/>
  <c r="N151" i="18" s="1"/>
  <c r="F34" i="15"/>
  <c r="P151" i="18" s="1"/>
  <c r="D41" i="15"/>
  <c r="N158" i="18" s="1"/>
  <c r="F41" i="15"/>
  <c r="P158" i="18" s="1"/>
  <c r="D69" i="15"/>
  <c r="N186" i="18" s="1"/>
  <c r="F69" i="15"/>
  <c r="P186" i="18" s="1"/>
  <c r="J63" i="15"/>
  <c r="S180" i="18" s="1"/>
  <c r="H63" i="15"/>
  <c r="Q180" i="18" s="1"/>
  <c r="D52" i="15"/>
  <c r="N169" i="18" s="1"/>
  <c r="F52" i="15"/>
  <c r="P169" i="18" s="1"/>
  <c r="D62" i="15"/>
  <c r="N179" i="18" s="1"/>
  <c r="F62" i="15"/>
  <c r="P179" i="18" s="1"/>
  <c r="J32" i="15"/>
  <c r="S149" i="18" s="1"/>
  <c r="H32" i="15"/>
  <c r="Q149" i="18" s="1"/>
  <c r="D27" i="15"/>
  <c r="F27" i="15"/>
  <c r="H30" i="15"/>
  <c r="Q147" i="18" s="1"/>
  <c r="J30" i="15"/>
  <c r="S147" i="18" s="1"/>
  <c r="D82" i="15"/>
  <c r="N199" i="18" s="1"/>
  <c r="F82" i="15"/>
  <c r="P199" i="18" s="1"/>
  <c r="D57" i="15"/>
  <c r="N174" i="18" s="1"/>
  <c r="F57" i="15"/>
  <c r="P174" i="18" s="1"/>
  <c r="D42" i="15"/>
  <c r="N159" i="18" s="1"/>
  <c r="F42" i="15"/>
  <c r="P159" i="18" s="1"/>
  <c r="J36" i="15"/>
  <c r="S153" i="18" s="1"/>
  <c r="H36" i="15"/>
  <c r="Q153" i="18" s="1"/>
  <c r="J43" i="15"/>
  <c r="S160" i="18" s="1"/>
  <c r="H43" i="15"/>
  <c r="Q160" i="18" s="1"/>
  <c r="J38" i="15"/>
  <c r="S155" i="18" s="1"/>
  <c r="H38" i="15"/>
  <c r="Q155" i="18" s="1"/>
  <c r="D31" i="15"/>
  <c r="N148" i="18" s="1"/>
  <c r="F31" i="15"/>
  <c r="P148" i="18" s="1"/>
  <c r="J41" i="15"/>
  <c r="S158" i="18" s="1"/>
  <c r="H41" i="15"/>
  <c r="Q158" i="18" s="1"/>
  <c r="D61" i="15"/>
  <c r="N178" i="18" s="1"/>
  <c r="F61" i="15"/>
  <c r="P178" i="18" s="1"/>
  <c r="D53" i="15"/>
  <c r="N170" i="18" s="1"/>
  <c r="F53" i="15"/>
  <c r="P170" i="18" s="1"/>
  <c r="J76" i="15"/>
  <c r="S193" i="18" s="1"/>
  <c r="H76" i="15"/>
  <c r="Q193" i="18" s="1"/>
  <c r="J55" i="15"/>
  <c r="S172" i="18" s="1"/>
  <c r="H55" i="15"/>
  <c r="Q172" i="18" s="1"/>
  <c r="J67" i="15"/>
  <c r="S184" i="18" s="1"/>
  <c r="H67" i="15"/>
  <c r="Q184" i="18" s="1"/>
  <c r="J72" i="15"/>
  <c r="S189" i="18" s="1"/>
  <c r="H72" i="15"/>
  <c r="Q189" i="18" s="1"/>
  <c r="D37" i="15"/>
  <c r="N154" i="18" s="1"/>
  <c r="F37" i="15"/>
  <c r="P154" i="18" s="1"/>
  <c r="D35" i="15"/>
  <c r="N152" i="18" s="1"/>
  <c r="F35" i="15"/>
  <c r="P152" i="18" s="1"/>
  <c r="G42" i="18"/>
  <c r="H42" i="18" s="1"/>
  <c r="G14" i="18"/>
  <c r="H14" i="18" s="1"/>
  <c r="D17" i="15"/>
  <c r="D12" i="15"/>
  <c r="G73" i="18"/>
  <c r="G87" i="18" s="1"/>
  <c r="D19" i="15"/>
  <c r="D13" i="15"/>
  <c r="D15" i="15"/>
  <c r="D11" i="15"/>
  <c r="H73" i="18"/>
  <c r="H87" i="18" s="1"/>
  <c r="G28" i="18"/>
  <c r="H28" i="18" s="1"/>
  <c r="J86" i="15"/>
  <c r="S142" i="18" s="1"/>
  <c r="D14" i="15"/>
  <c r="D10" i="15"/>
  <c r="H72" i="18"/>
  <c r="H86" i="18" s="1"/>
  <c r="G27" i="18"/>
  <c r="H27" i="18" s="1"/>
  <c r="G72" i="18"/>
  <c r="G86" i="18" s="1"/>
  <c r="G41" i="18"/>
  <c r="H41" i="18" s="1"/>
  <c r="G13" i="18"/>
  <c r="H13" i="18" s="1"/>
  <c r="G90" i="18" l="1"/>
  <c r="G102" i="18"/>
  <c r="H17" i="18"/>
  <c r="G62" i="18"/>
  <c r="H45" i="18"/>
  <c r="G116" i="18"/>
  <c r="H90" i="18"/>
  <c r="G130" i="18"/>
  <c r="AB183" i="16"/>
  <c r="AH183" i="16" s="1"/>
  <c r="H44" i="18"/>
  <c r="G115" i="18"/>
  <c r="G89" i="18"/>
  <c r="G101" i="18"/>
  <c r="H89" i="18"/>
  <c r="G129" i="18"/>
  <c r="H16" i="18"/>
  <c r="G61" i="18"/>
  <c r="AB355" i="16"/>
  <c r="AB354" i="16"/>
  <c r="AB350" i="16"/>
  <c r="AB345" i="16"/>
  <c r="AB347" i="16"/>
  <c r="AB346" i="16"/>
  <c r="AB349" i="16"/>
  <c r="AB352" i="16"/>
  <c r="AB341" i="16"/>
  <c r="AB358" i="16"/>
  <c r="AB342" i="16"/>
  <c r="AB348" i="16"/>
  <c r="AB340" i="16"/>
  <c r="AB303" i="16"/>
  <c r="AJ294" i="16"/>
  <c r="AK294" i="16" s="1"/>
  <c r="AJ293" i="16"/>
  <c r="AK293" i="16" s="1"/>
  <c r="AB327" i="16"/>
  <c r="AB311" i="16"/>
  <c r="AB231" i="16"/>
  <c r="AB199" i="16"/>
  <c r="AB27" i="16"/>
  <c r="AB319" i="16"/>
  <c r="AB175" i="16"/>
  <c r="AB115" i="16"/>
  <c r="AK746" i="16"/>
  <c r="AC1082" i="16"/>
  <c r="AK1082" i="16" s="1"/>
  <c r="AB207" i="16"/>
  <c r="AB167" i="16"/>
  <c r="AB151" i="16"/>
  <c r="AD151" i="16" s="1"/>
  <c r="AK151" i="16" s="1"/>
  <c r="AB135" i="16"/>
  <c r="AB107" i="16"/>
  <c r="AB91" i="16"/>
  <c r="AB75" i="16"/>
  <c r="AE75" i="16" s="1"/>
  <c r="AK75" i="16" s="1"/>
  <c r="AB55" i="16"/>
  <c r="AB43" i="16"/>
  <c r="AB11" i="16"/>
  <c r="AB670" i="16"/>
  <c r="AJ670" i="16" s="1"/>
  <c r="AK670" i="16" s="1"/>
  <c r="AB669" i="16"/>
  <c r="AJ669" i="16" s="1"/>
  <c r="AK669" i="16" s="1"/>
  <c r="AB672" i="16"/>
  <c r="AJ672" i="16" s="1"/>
  <c r="AK672" i="16" s="1"/>
  <c r="AB665" i="16"/>
  <c r="AB668" i="16"/>
  <c r="AJ668" i="16" s="1"/>
  <c r="AK668" i="16" s="1"/>
  <c r="AB371" i="16"/>
  <c r="AF371" i="16" s="1"/>
  <c r="AK371" i="16" s="1"/>
  <c r="AB335" i="16"/>
  <c r="AB275" i="16"/>
  <c r="AJ275" i="16" s="1"/>
  <c r="AK275" i="16" s="1"/>
  <c r="AB259" i="16"/>
  <c r="AC259" i="16" s="1"/>
  <c r="AK259" i="16" s="1"/>
  <c r="AB243" i="16"/>
  <c r="AC243" i="16" s="1"/>
  <c r="AK243" i="16" s="1"/>
  <c r="AB223" i="16"/>
  <c r="AB191" i="16"/>
  <c r="AB159" i="16"/>
  <c r="AB143" i="16"/>
  <c r="AB127" i="16"/>
  <c r="AB99" i="16"/>
  <c r="AB83" i="16"/>
  <c r="AB63" i="16"/>
  <c r="AB50" i="16"/>
  <c r="AB35" i="16"/>
  <c r="AB19" i="16"/>
  <c r="AB34" i="16"/>
  <c r="AB233" i="16"/>
  <c r="AB370" i="16"/>
  <c r="AF370" i="16" s="1"/>
  <c r="AK370" i="16" s="1"/>
  <c r="AB334" i="16"/>
  <c r="AG334" i="16" s="1"/>
  <c r="AK334" i="16" s="1"/>
  <c r="AB318" i="16"/>
  <c r="AB290" i="16"/>
  <c r="AB274" i="16"/>
  <c r="AB258" i="16"/>
  <c r="AJ258" i="16" s="1"/>
  <c r="AK258" i="16" s="1"/>
  <c r="AB242" i="16"/>
  <c r="AB226" i="16"/>
  <c r="AD226" i="16" s="1"/>
  <c r="AK226" i="16" s="1"/>
  <c r="AB210" i="16"/>
  <c r="AB194" i="16"/>
  <c r="AD194" i="16" s="1"/>
  <c r="AK194" i="16" s="1"/>
  <c r="AB178" i="16"/>
  <c r="AB162" i="16"/>
  <c r="AD162" i="16" s="1"/>
  <c r="AK162" i="16" s="1"/>
  <c r="AB146" i="16"/>
  <c r="AB130" i="16"/>
  <c r="AE130" i="16" s="1"/>
  <c r="AK130" i="16" s="1"/>
  <c r="AB110" i="16"/>
  <c r="AB94" i="16"/>
  <c r="AC94" i="16" s="1"/>
  <c r="AK94" i="16" s="1"/>
  <c r="AB78" i="16"/>
  <c r="AB62" i="16"/>
  <c r="AB42" i="16"/>
  <c r="AB14" i="16"/>
  <c r="AB373" i="16"/>
  <c r="AE373" i="16" s="1"/>
  <c r="AK373" i="16" s="1"/>
  <c r="AB357" i="16"/>
  <c r="AH357" i="16" s="1"/>
  <c r="AK357" i="16" s="1"/>
  <c r="AB333" i="16"/>
  <c r="AB309" i="16"/>
  <c r="AB360" i="16"/>
  <c r="AD360" i="16" s="1"/>
  <c r="AK360" i="16" s="1"/>
  <c r="AB344" i="16"/>
  <c r="AI344" i="16" s="1"/>
  <c r="AK344" i="16" s="1"/>
  <c r="AB324" i="16"/>
  <c r="AB308" i="16"/>
  <c r="AD308" i="16" s="1"/>
  <c r="AK308" i="16" s="1"/>
  <c r="AB284" i="16"/>
  <c r="AB252" i="16"/>
  <c r="AJ252" i="16" s="1"/>
  <c r="AK252" i="16" s="1"/>
  <c r="AB236" i="16"/>
  <c r="AB220" i="16"/>
  <c r="AJ220" i="16" s="1"/>
  <c r="AK220" i="16" s="1"/>
  <c r="AB204" i="16"/>
  <c r="AB188" i="16"/>
  <c r="AB168" i="16"/>
  <c r="AB152" i="16"/>
  <c r="AB136" i="16"/>
  <c r="AB120" i="16"/>
  <c r="AB104" i="16"/>
  <c r="AB88" i="16"/>
  <c r="AE88" i="16" s="1"/>
  <c r="AK88" i="16" s="1"/>
  <c r="AB72" i="16"/>
  <c r="AB52" i="16"/>
  <c r="AB36" i="16"/>
  <c r="AB177" i="16"/>
  <c r="AD177" i="16" s="1"/>
  <c r="AK177" i="16" s="1"/>
  <c r="AB165" i="16"/>
  <c r="AB73" i="16"/>
  <c r="AD73" i="16" s="1"/>
  <c r="AK73" i="16" s="1"/>
  <c r="AB24" i="16"/>
  <c r="AB8" i="16"/>
  <c r="AB105" i="16"/>
  <c r="AB21" i="16"/>
  <c r="AI21" i="16" s="1"/>
  <c r="AK21" i="16" s="1"/>
  <c r="AB161" i="16"/>
  <c r="AB256" i="16"/>
  <c r="AC256" i="16" s="1"/>
  <c r="AK256" i="16" s="1"/>
  <c r="AB57" i="16"/>
  <c r="AB313" i="16"/>
  <c r="AD313" i="16" s="1"/>
  <c r="AK313" i="16" s="1"/>
  <c r="AB289" i="16"/>
  <c r="AB113" i="16"/>
  <c r="AE113" i="16" s="1"/>
  <c r="AK113" i="16" s="1"/>
  <c r="AB229" i="16"/>
  <c r="AB201" i="16"/>
  <c r="AB249" i="16"/>
  <c r="AB221" i="16"/>
  <c r="AC221" i="16" s="1"/>
  <c r="AK221" i="16" s="1"/>
  <c r="AB189" i="16"/>
  <c r="AB9" i="16"/>
  <c r="AB33" i="16"/>
  <c r="AB29" i="16"/>
  <c r="AB671" i="16"/>
  <c r="AJ671" i="16" s="1"/>
  <c r="AK671" i="16" s="1"/>
  <c r="AB666" i="16"/>
  <c r="AJ666" i="16" s="1"/>
  <c r="AK666" i="16" s="1"/>
  <c r="AB664" i="16"/>
  <c r="AB367" i="16"/>
  <c r="AI367" i="16" s="1"/>
  <c r="AK367" i="16" s="1"/>
  <c r="AB351" i="16"/>
  <c r="AD351" i="16" s="1"/>
  <c r="AK351" i="16" s="1"/>
  <c r="AB331" i="16"/>
  <c r="AD331" i="16" s="1"/>
  <c r="AK331" i="16" s="1"/>
  <c r="AB315" i="16"/>
  <c r="AB291" i="16"/>
  <c r="AJ291" i="16" s="1"/>
  <c r="AK291" i="16" s="1"/>
  <c r="AB271" i="16"/>
  <c r="AC271" i="16" s="1"/>
  <c r="AK271" i="16" s="1"/>
  <c r="AB255" i="16"/>
  <c r="AJ255" i="16" s="1"/>
  <c r="AK255" i="16" s="1"/>
  <c r="AB235" i="16"/>
  <c r="AB219" i="16"/>
  <c r="AH219" i="16" s="1"/>
  <c r="AK219" i="16" s="1"/>
  <c r="AB203" i="16"/>
  <c r="AB187" i="16"/>
  <c r="AH187" i="16" s="1"/>
  <c r="AK187" i="16" s="1"/>
  <c r="AB171" i="16"/>
  <c r="AB155" i="16"/>
  <c r="AB139" i="16"/>
  <c r="AB123" i="16"/>
  <c r="AD123" i="16" s="1"/>
  <c r="AK123" i="16" s="1"/>
  <c r="AB111" i="16"/>
  <c r="AB95" i="16"/>
  <c r="AB79" i="16"/>
  <c r="AB59" i="16"/>
  <c r="AB47" i="16"/>
  <c r="AB31" i="16"/>
  <c r="AB15" i="16"/>
  <c r="AB26" i="16"/>
  <c r="AI26" i="16" s="1"/>
  <c r="AK26" i="16" s="1"/>
  <c r="AB213" i="16"/>
  <c r="AB366" i="16"/>
  <c r="AD366" i="16" s="1"/>
  <c r="AK366" i="16" s="1"/>
  <c r="AB330" i="16"/>
  <c r="AB314" i="16"/>
  <c r="AD314" i="16" s="1"/>
  <c r="AK314" i="16" s="1"/>
  <c r="AB286" i="16"/>
  <c r="AC286" i="16" s="1"/>
  <c r="AK286" i="16" s="1"/>
  <c r="AB270" i="16"/>
  <c r="AJ270" i="16" s="1"/>
  <c r="AK270" i="16" s="1"/>
  <c r="AB254" i="16"/>
  <c r="AB238" i="16"/>
  <c r="AC238" i="16" s="1"/>
  <c r="AB222" i="16"/>
  <c r="AB206" i="16"/>
  <c r="AE206" i="16" s="1"/>
  <c r="AE355" i="16" s="1"/>
  <c r="AB190" i="16"/>
  <c r="AB174" i="16"/>
  <c r="AD174" i="16" s="1"/>
  <c r="AK174" i="16" s="1"/>
  <c r="AB158" i="16"/>
  <c r="AB142" i="16"/>
  <c r="AB126" i="16"/>
  <c r="AB106" i="16"/>
  <c r="AJ106" i="16" s="1"/>
  <c r="AK106" i="16" s="1"/>
  <c r="AB90" i="16"/>
  <c r="AB74" i="16"/>
  <c r="AD74" i="16" s="1"/>
  <c r="AK74" i="16" s="1"/>
  <c r="AB58" i="16"/>
  <c r="AB38" i="16"/>
  <c r="AB6" i="16"/>
  <c r="AB369" i="16"/>
  <c r="AF369" i="16" s="1"/>
  <c r="AK369" i="16" s="1"/>
  <c r="AB353" i="16"/>
  <c r="AH353" i="16" s="1"/>
  <c r="AK353" i="16" s="1"/>
  <c r="AB329" i="16"/>
  <c r="AB372" i="16"/>
  <c r="AI372" i="16" s="1"/>
  <c r="AK372" i="16" s="1"/>
  <c r="AB356" i="16"/>
  <c r="AD356" i="16" s="1"/>
  <c r="AK356" i="16" s="1"/>
  <c r="AB336" i="16"/>
  <c r="AI336" i="16" s="1"/>
  <c r="AK336" i="16" s="1"/>
  <c r="AB320" i="16"/>
  <c r="AJ320" i="16" s="1"/>
  <c r="AK320" i="16" s="1"/>
  <c r="AB304" i="16"/>
  <c r="AB272" i="16"/>
  <c r="AF272" i="16" s="1"/>
  <c r="AK272" i="16" s="1"/>
  <c r="AB248" i="16"/>
  <c r="AJ248" i="16" s="1"/>
  <c r="AK248" i="16" s="1"/>
  <c r="AB232" i="16"/>
  <c r="AD232" i="16" s="1"/>
  <c r="AK232" i="16" s="1"/>
  <c r="AB216" i="16"/>
  <c r="AB200" i="16"/>
  <c r="AC200" i="16" s="1"/>
  <c r="AC354" i="16" s="1"/>
  <c r="AB184" i="16"/>
  <c r="AB164" i="16"/>
  <c r="AD164" i="16" s="1"/>
  <c r="AK164" i="16" s="1"/>
  <c r="AB148" i="16"/>
  <c r="AB132" i="16"/>
  <c r="AD132" i="16" s="1"/>
  <c r="AK132" i="16" s="1"/>
  <c r="AB116" i="16"/>
  <c r="AB100" i="16"/>
  <c r="AE100" i="16" s="1"/>
  <c r="AK100" i="16" s="1"/>
  <c r="AB84" i="16"/>
  <c r="AB64" i="16"/>
  <c r="AF64" i="16" s="1"/>
  <c r="AK64" i="16" s="1"/>
  <c r="AB48" i="16"/>
  <c r="AJ48" i="16" s="1"/>
  <c r="AK48" i="16" s="1"/>
  <c r="AB153" i="16"/>
  <c r="AC153" i="16" s="1"/>
  <c r="AK153" i="16" s="1"/>
  <c r="AB93" i="16"/>
  <c r="AB137" i="16"/>
  <c r="AD137" i="16" s="1"/>
  <c r="AK137" i="16" s="1"/>
  <c r="AB65" i="16"/>
  <c r="AI65" i="16" s="1"/>
  <c r="AK65" i="16" s="1"/>
  <c r="AB20" i="16"/>
  <c r="AB4" i="16"/>
  <c r="AB77" i="16"/>
  <c r="AD77" i="16" s="1"/>
  <c r="AK77" i="16" s="1"/>
  <c r="AB125" i="16"/>
  <c r="AB37" i="16"/>
  <c r="AB180" i="16"/>
  <c r="AB305" i="16"/>
  <c r="AD305" i="16" s="1"/>
  <c r="AK305" i="16" s="1"/>
  <c r="AB285" i="16"/>
  <c r="AJ285" i="16" s="1"/>
  <c r="AK285" i="16" s="1"/>
  <c r="AB273" i="16"/>
  <c r="AC273" i="16" s="1"/>
  <c r="AK273" i="16" s="1"/>
  <c r="AB269" i="16"/>
  <c r="AB217" i="16"/>
  <c r="AB245" i="16"/>
  <c r="AJ245" i="16" s="1"/>
  <c r="AK245" i="16" s="1"/>
  <c r="AB193" i="16"/>
  <c r="AD193" i="16" s="1"/>
  <c r="AK193" i="16" s="1"/>
  <c r="AB169" i="16"/>
  <c r="AB145" i="16"/>
  <c r="AG145" i="16" s="1"/>
  <c r="AK145" i="16" s="1"/>
  <c r="AB109" i="16"/>
  <c r="AD109" i="16" s="1"/>
  <c r="AK109" i="16" s="1"/>
  <c r="AB5" i="16"/>
  <c r="AB667" i="16"/>
  <c r="AJ667" i="16" s="1"/>
  <c r="AK667" i="16" s="1"/>
  <c r="AB651" i="16"/>
  <c r="AJ651" i="16" s="1"/>
  <c r="AK651" i="16" s="1"/>
  <c r="AB363" i="16"/>
  <c r="AG363" i="16" s="1"/>
  <c r="AK363" i="16" s="1"/>
  <c r="AB283" i="16"/>
  <c r="AJ283" i="16" s="1"/>
  <c r="AK283" i="16" s="1"/>
  <c r="AB267" i="16"/>
  <c r="AJ267" i="16" s="1"/>
  <c r="AK267" i="16" s="1"/>
  <c r="AB251" i="16"/>
  <c r="AD251" i="16" s="1"/>
  <c r="AK251" i="16" s="1"/>
  <c r="AB215" i="16"/>
  <c r="AD215" i="16" s="1"/>
  <c r="AK215" i="16" s="1"/>
  <c r="AB119" i="16"/>
  <c r="AB18" i="16"/>
  <c r="AB209" i="16"/>
  <c r="AD209" i="16" s="1"/>
  <c r="AK209" i="16" s="1"/>
  <c r="AB362" i="16"/>
  <c r="AD362" i="16" s="1"/>
  <c r="AK362" i="16" s="1"/>
  <c r="AB326" i="16"/>
  <c r="AB310" i="16"/>
  <c r="AB282" i="16"/>
  <c r="AD282" i="16" s="1"/>
  <c r="AK282" i="16" s="1"/>
  <c r="AB266" i="16"/>
  <c r="AC266" i="16" s="1"/>
  <c r="AK266" i="16" s="1"/>
  <c r="AB250" i="16"/>
  <c r="AD250" i="16" s="1"/>
  <c r="AK250" i="16" s="1"/>
  <c r="AB234" i="16"/>
  <c r="AB218" i="16"/>
  <c r="AC218" i="16" s="1"/>
  <c r="AK218" i="16" s="1"/>
  <c r="AB202" i="16"/>
  <c r="AD202" i="16" s="1"/>
  <c r="AK202" i="16" s="1"/>
  <c r="AB186" i="16"/>
  <c r="AC186" i="16" s="1"/>
  <c r="AK186" i="16" s="1"/>
  <c r="AB170" i="16"/>
  <c r="AB154" i="16"/>
  <c r="AB138" i="16"/>
  <c r="AD138" i="16" s="1"/>
  <c r="AK138" i="16" s="1"/>
  <c r="AB118" i="16"/>
  <c r="AC118" i="16" s="1"/>
  <c r="AK118" i="16" s="1"/>
  <c r="AB102" i="16"/>
  <c r="AB86" i="16"/>
  <c r="AG86" i="16" s="1"/>
  <c r="AK86" i="16" s="1"/>
  <c r="AB70" i="16"/>
  <c r="AB54" i="16"/>
  <c r="AB30" i="16"/>
  <c r="AC30" i="16" s="1"/>
  <c r="AK30" i="16" s="1"/>
  <c r="AB237" i="16"/>
  <c r="AJ237" i="16" s="1"/>
  <c r="AK237" i="16" s="1"/>
  <c r="AB365" i="16"/>
  <c r="AD365" i="16" s="1"/>
  <c r="AK365" i="16" s="1"/>
  <c r="AB325" i="16"/>
  <c r="AB368" i="16"/>
  <c r="AI368" i="16" s="1"/>
  <c r="AK368" i="16" s="1"/>
  <c r="AB332" i="16"/>
  <c r="AH332" i="16" s="1"/>
  <c r="AK332" i="16" s="1"/>
  <c r="AB316" i="16"/>
  <c r="AD316" i="16" s="1"/>
  <c r="AK316" i="16" s="1"/>
  <c r="AB292" i="16"/>
  <c r="AC292" i="16" s="1"/>
  <c r="AK292" i="16" s="1"/>
  <c r="AB264" i="16"/>
  <c r="AB244" i="16"/>
  <c r="AD244" i="16" s="1"/>
  <c r="AK244" i="16" s="1"/>
  <c r="AB228" i="16"/>
  <c r="AD228" i="16" s="1"/>
  <c r="AK228" i="16" s="1"/>
  <c r="AB212" i="16"/>
  <c r="AD212" i="16" s="1"/>
  <c r="AK212" i="16" s="1"/>
  <c r="AB196" i="16"/>
  <c r="AB176" i="16"/>
  <c r="AD176" i="16" s="1"/>
  <c r="AK176" i="16" s="1"/>
  <c r="AB160" i="16"/>
  <c r="AE160" i="16" s="1"/>
  <c r="AK160" i="16" s="1"/>
  <c r="AB144" i="16"/>
  <c r="AD144" i="16" s="1"/>
  <c r="AK144" i="16" s="1"/>
  <c r="AB128" i="16"/>
  <c r="AB112" i="16"/>
  <c r="AI112" i="16" s="1"/>
  <c r="AK112" i="16" s="1"/>
  <c r="AB96" i="16"/>
  <c r="AD96" i="16" s="1"/>
  <c r="AK96" i="16" s="1"/>
  <c r="AB80" i="16"/>
  <c r="AD80" i="16" s="1"/>
  <c r="AK80" i="16" s="1"/>
  <c r="AB60" i="16"/>
  <c r="AB44" i="16"/>
  <c r="AB117" i="16"/>
  <c r="AJ117" i="16" s="1"/>
  <c r="AK117" i="16" s="1"/>
  <c r="AB13" i="16"/>
  <c r="AB129" i="16"/>
  <c r="AB32" i="16"/>
  <c r="AH32" i="16" s="1"/>
  <c r="AK32" i="16" s="1"/>
  <c r="AB16" i="16"/>
  <c r="AG16" i="16" s="1"/>
  <c r="AK16" i="16" s="1"/>
  <c r="AB141" i="16"/>
  <c r="AC141" i="16" s="1"/>
  <c r="AK141" i="16" s="1"/>
  <c r="AB49" i="16"/>
  <c r="AB41" i="16"/>
  <c r="AG41" i="16" s="1"/>
  <c r="AK41" i="16" s="1"/>
  <c r="AB276" i="16"/>
  <c r="AB101" i="16"/>
  <c r="AI101" i="16" s="1"/>
  <c r="AK101" i="16" s="1"/>
  <c r="AB89" i="16"/>
  <c r="AI89" i="16" s="1"/>
  <c r="AK89" i="16" s="1"/>
  <c r="AB281" i="16"/>
  <c r="AD281" i="16" s="1"/>
  <c r="AK281" i="16" s="1"/>
  <c r="AB261" i="16"/>
  <c r="AD261" i="16" s="1"/>
  <c r="AK261" i="16" s="1"/>
  <c r="AB149" i="16"/>
  <c r="AD149" i="16" s="1"/>
  <c r="AK149" i="16" s="1"/>
  <c r="AB265" i="16"/>
  <c r="AB241" i="16"/>
  <c r="AD241" i="16" s="1"/>
  <c r="AK241" i="16" s="1"/>
  <c r="AB185" i="16"/>
  <c r="AI185" i="16" s="1"/>
  <c r="AK185" i="16" s="1"/>
  <c r="AB53" i="16"/>
  <c r="AB121" i="16"/>
  <c r="AB85" i="16"/>
  <c r="AD85" i="16" s="1"/>
  <c r="AK85" i="16" s="1"/>
  <c r="AB181" i="16"/>
  <c r="AD181" i="16" s="1"/>
  <c r="AK181" i="16" s="1"/>
  <c r="AB658" i="16"/>
  <c r="AJ658" i="16" s="1"/>
  <c r="AK658" i="16" s="1"/>
  <c r="AB673" i="16"/>
  <c r="AJ673" i="16" s="1"/>
  <c r="AK673" i="16" s="1"/>
  <c r="AB359" i="16"/>
  <c r="AD359" i="16" s="1"/>
  <c r="AK359" i="16" s="1"/>
  <c r="AB343" i="16"/>
  <c r="AH343" i="16" s="1"/>
  <c r="AK343" i="16" s="1"/>
  <c r="AB323" i="16"/>
  <c r="AB307" i="16"/>
  <c r="AD307" i="16" s="1"/>
  <c r="AK307" i="16" s="1"/>
  <c r="AB279" i="16"/>
  <c r="AC279" i="16" s="1"/>
  <c r="AK279" i="16" s="1"/>
  <c r="AB263" i="16"/>
  <c r="AJ263" i="16" s="1"/>
  <c r="AK263" i="16" s="1"/>
  <c r="AB247" i="16"/>
  <c r="AD247" i="16" s="1"/>
  <c r="AK247" i="16" s="1"/>
  <c r="AB227" i="16"/>
  <c r="AG227" i="16" s="1"/>
  <c r="AB211" i="16"/>
  <c r="AD211" i="16" s="1"/>
  <c r="AK211" i="16" s="1"/>
  <c r="AB195" i="16"/>
  <c r="AD195" i="16" s="1"/>
  <c r="AK195" i="16" s="1"/>
  <c r="AB179" i="16"/>
  <c r="AG179" i="16" s="1"/>
  <c r="AK179" i="16" s="1"/>
  <c r="AB163" i="16"/>
  <c r="AD163" i="16" s="1"/>
  <c r="AK163" i="16" s="1"/>
  <c r="AB147" i="16"/>
  <c r="AD147" i="16" s="1"/>
  <c r="AK147" i="16" s="1"/>
  <c r="AB131" i="16"/>
  <c r="AI131" i="16" s="1"/>
  <c r="AK131" i="16" s="1"/>
  <c r="AB122" i="16"/>
  <c r="AD122" i="16" s="1"/>
  <c r="AK122" i="16" s="1"/>
  <c r="AB103" i="16"/>
  <c r="AD103" i="16" s="1"/>
  <c r="AK103" i="16" s="1"/>
  <c r="AB87" i="16"/>
  <c r="AI87" i="16" s="1"/>
  <c r="AK87" i="16" s="1"/>
  <c r="AB71" i="16"/>
  <c r="AD71" i="16" s="1"/>
  <c r="AK71" i="16" s="1"/>
  <c r="AB51" i="16"/>
  <c r="AH51" i="16" s="1"/>
  <c r="AK51" i="16" s="1"/>
  <c r="AB39" i="16"/>
  <c r="AB23" i="16"/>
  <c r="AC23" i="16" s="1"/>
  <c r="AK23" i="16" s="1"/>
  <c r="AB7" i="16"/>
  <c r="AC7" i="16" s="1"/>
  <c r="AK7" i="16" s="1"/>
  <c r="AB10" i="16"/>
  <c r="AB374" i="16"/>
  <c r="AI374" i="16" s="1"/>
  <c r="AK374" i="16" s="1"/>
  <c r="AB322" i="16"/>
  <c r="AB306" i="16"/>
  <c r="AD306" i="16" s="1"/>
  <c r="AK306" i="16" s="1"/>
  <c r="AB278" i="16"/>
  <c r="AJ278" i="16" s="1"/>
  <c r="AK278" i="16" s="1"/>
  <c r="AB262" i="16"/>
  <c r="AD262" i="16" s="1"/>
  <c r="AK262" i="16" s="1"/>
  <c r="AB246" i="16"/>
  <c r="AC246" i="16" s="1"/>
  <c r="AK246" i="16" s="1"/>
  <c r="AB230" i="16"/>
  <c r="AD230" i="16" s="1"/>
  <c r="AK230" i="16" s="1"/>
  <c r="AB214" i="16"/>
  <c r="AC214" i="16" s="1"/>
  <c r="AC355" i="16" s="1"/>
  <c r="AB198" i="16"/>
  <c r="AD198" i="16" s="1"/>
  <c r="AK198" i="16" s="1"/>
  <c r="AB182" i="16"/>
  <c r="AC182" i="16" s="1"/>
  <c r="AK182" i="16" s="1"/>
  <c r="AB166" i="16"/>
  <c r="AJ166" i="16" s="1"/>
  <c r="AK166" i="16" s="1"/>
  <c r="AB150" i="16"/>
  <c r="AD150" i="16" s="1"/>
  <c r="AK150" i="16" s="1"/>
  <c r="AB134" i="16"/>
  <c r="AD134" i="16" s="1"/>
  <c r="AK134" i="16" s="1"/>
  <c r="AB114" i="16"/>
  <c r="AI114" i="16" s="1"/>
  <c r="AK114" i="16" s="1"/>
  <c r="AB98" i="16"/>
  <c r="AD98" i="16" s="1"/>
  <c r="AK98" i="16" s="1"/>
  <c r="AB82" i="16"/>
  <c r="AC82" i="16" s="1"/>
  <c r="AK82" i="16" s="1"/>
  <c r="AB66" i="16"/>
  <c r="AC66" i="16" s="1"/>
  <c r="AK66" i="16" s="1"/>
  <c r="AB46" i="16"/>
  <c r="AF46" i="16" s="1"/>
  <c r="AK46" i="16" s="1"/>
  <c r="AB22" i="16"/>
  <c r="AJ22" i="16" s="1"/>
  <c r="AK22" i="16" s="1"/>
  <c r="AB197" i="16"/>
  <c r="AD197" i="16" s="1"/>
  <c r="AK197" i="16" s="1"/>
  <c r="AB361" i="16"/>
  <c r="AD361" i="16" s="1"/>
  <c r="AK361" i="16" s="1"/>
  <c r="AB337" i="16"/>
  <c r="AC337" i="16" s="1"/>
  <c r="AK337" i="16" s="1"/>
  <c r="AB317" i="16"/>
  <c r="AD317" i="16" s="1"/>
  <c r="AK317" i="16" s="1"/>
  <c r="AB364" i="16"/>
  <c r="AG364" i="16" s="1"/>
  <c r="AK364" i="16" s="1"/>
  <c r="AB328" i="16"/>
  <c r="AB312" i="16"/>
  <c r="AD312" i="16" s="1"/>
  <c r="AK312" i="16" s="1"/>
  <c r="AB288" i="16"/>
  <c r="AB260" i="16"/>
  <c r="AD260" i="16" s="1"/>
  <c r="AK260" i="16" s="1"/>
  <c r="AB240" i="16"/>
  <c r="AD240" i="16" s="1"/>
  <c r="AK240" i="16" s="1"/>
  <c r="AB224" i="16"/>
  <c r="AD224" i="16" s="1"/>
  <c r="AK224" i="16" s="1"/>
  <c r="AB208" i="16"/>
  <c r="AD208" i="16" s="1"/>
  <c r="AK208" i="16" s="1"/>
  <c r="AB192" i="16"/>
  <c r="AD192" i="16" s="1"/>
  <c r="AK192" i="16" s="1"/>
  <c r="AB172" i="16"/>
  <c r="AD172" i="16" s="1"/>
  <c r="AK172" i="16" s="1"/>
  <c r="AB156" i="16"/>
  <c r="AD156" i="16" s="1"/>
  <c r="AK156" i="16" s="1"/>
  <c r="AB140" i="16"/>
  <c r="AJ140" i="16" s="1"/>
  <c r="AK140" i="16" s="1"/>
  <c r="AB124" i="16"/>
  <c r="AD124" i="16" s="1"/>
  <c r="AK124" i="16" s="1"/>
  <c r="AB108" i="16"/>
  <c r="AB92" i="16"/>
  <c r="AD92" i="16" s="1"/>
  <c r="AK92" i="16" s="1"/>
  <c r="AB76" i="16"/>
  <c r="AI76" i="16" s="1"/>
  <c r="AK76" i="16" s="1"/>
  <c r="AB56" i="16"/>
  <c r="AB40" i="16"/>
  <c r="AB17" i="16"/>
  <c r="AD17" i="16" s="1"/>
  <c r="AK17" i="16" s="1"/>
  <c r="AB173" i="16"/>
  <c r="AD173" i="16" s="1"/>
  <c r="AK173" i="16" s="1"/>
  <c r="AB81" i="16"/>
  <c r="AJ81" i="16" s="1"/>
  <c r="AK81" i="16" s="1"/>
  <c r="AB28" i="16"/>
  <c r="AH28" i="16" s="1"/>
  <c r="AK28" i="16" s="1"/>
  <c r="AB12" i="16"/>
  <c r="AB133" i="16"/>
  <c r="AD133" i="16" s="1"/>
  <c r="AK133" i="16" s="1"/>
  <c r="AB45" i="16"/>
  <c r="AG45" i="16" s="1"/>
  <c r="AK45" i="16" s="1"/>
  <c r="AB338" i="16"/>
  <c r="AI338" i="16" s="1"/>
  <c r="AK338" i="16" s="1"/>
  <c r="AB268" i="16"/>
  <c r="AC268" i="16" s="1"/>
  <c r="AK268" i="16" s="1"/>
  <c r="AB61" i="16"/>
  <c r="AH61" i="16" s="1"/>
  <c r="AK61" i="16" s="1"/>
  <c r="AB321" i="16"/>
  <c r="AH321" i="16" s="1"/>
  <c r="AK321" i="16" s="1"/>
  <c r="AB339" i="16"/>
  <c r="AJ339" i="16" s="1"/>
  <c r="AK339" i="16" s="1"/>
  <c r="AB277" i="16"/>
  <c r="AF277" i="16" s="1"/>
  <c r="AK277" i="16" s="1"/>
  <c r="AB253" i="16"/>
  <c r="AC253" i="16" s="1"/>
  <c r="AK253" i="16" s="1"/>
  <c r="AB205" i="16"/>
  <c r="AD205" i="16" s="1"/>
  <c r="AK205" i="16" s="1"/>
  <c r="AB257" i="16"/>
  <c r="AG257" i="16" s="1"/>
  <c r="AK257" i="16" s="1"/>
  <c r="AB225" i="16"/>
  <c r="AD225" i="16" s="1"/>
  <c r="AK225" i="16" s="1"/>
  <c r="AB157" i="16"/>
  <c r="AD157" i="16" s="1"/>
  <c r="AK157" i="16" s="1"/>
  <c r="AB25" i="16"/>
  <c r="AF25" i="16" s="1"/>
  <c r="AK25" i="16" s="1"/>
  <c r="AB97" i="16"/>
  <c r="AG97" i="16" s="1"/>
  <c r="AK97" i="16" s="1"/>
  <c r="AB69" i="16"/>
  <c r="AF358" i="16"/>
  <c r="AH358" i="16"/>
  <c r="AI358" i="16"/>
  <c r="AG355" i="16"/>
  <c r="AI355" i="16"/>
  <c r="AH355" i="16"/>
  <c r="AF355" i="16"/>
  <c r="AI354" i="16"/>
  <c r="AF354" i="16"/>
  <c r="AE354" i="16"/>
  <c r="AH354" i="16"/>
  <c r="AG354" i="16"/>
  <c r="AI183" i="16"/>
  <c r="AF183" i="16"/>
  <c r="Z643" i="16"/>
  <c r="AA643" i="16" s="1"/>
  <c r="Z627" i="16"/>
  <c r="AA627" i="16" s="1"/>
  <c r="AA735" i="16"/>
  <c r="Z591" i="16"/>
  <c r="AA591" i="16" s="1"/>
  <c r="AA739" i="16"/>
  <c r="AC27" i="16"/>
  <c r="AK27" i="16" s="1"/>
  <c r="Z635" i="16"/>
  <c r="AA635" i="16" s="1"/>
  <c r="Z619" i="16"/>
  <c r="AA619" i="16" s="1"/>
  <c r="AD319" i="16"/>
  <c r="AK319" i="16" s="1"/>
  <c r="AD175" i="16"/>
  <c r="AK175" i="16" s="1"/>
  <c r="AD115" i="16"/>
  <c r="AK115" i="16" s="1"/>
  <c r="AD269" i="16"/>
  <c r="AK269" i="16" s="1"/>
  <c r="AD121" i="16"/>
  <c r="AK121" i="16" s="1"/>
  <c r="Z639" i="16"/>
  <c r="AA639" i="16" s="1"/>
  <c r="AH289" i="16"/>
  <c r="AK289" i="16" s="1"/>
  <c r="AJ217" i="16"/>
  <c r="AK217" i="16" s="1"/>
  <c r="AF335" i="16"/>
  <c r="AK335" i="16" s="1"/>
  <c r="AD303" i="16"/>
  <c r="AK303" i="16" s="1"/>
  <c r="AD223" i="16"/>
  <c r="AD207" i="16"/>
  <c r="AK207" i="16" s="1"/>
  <c r="AD191" i="16"/>
  <c r="AD159" i="16"/>
  <c r="AK159" i="16" s="1"/>
  <c r="AD127" i="16"/>
  <c r="AK127" i="16" s="1"/>
  <c r="AI99" i="16"/>
  <c r="AK99" i="16" s="1"/>
  <c r="AG63" i="16"/>
  <c r="AK63" i="16" s="1"/>
  <c r="AD233" i="16"/>
  <c r="AK233" i="16" s="1"/>
  <c r="AD318" i="16"/>
  <c r="AK318" i="16" s="1"/>
  <c r="AJ290" i="16"/>
  <c r="AK290" i="16" s="1"/>
  <c r="AF274" i="16"/>
  <c r="AK274" i="16" s="1"/>
  <c r="AJ242" i="16"/>
  <c r="AK242" i="16" s="1"/>
  <c r="AD210" i="16"/>
  <c r="AK210" i="16" s="1"/>
  <c r="AJ178" i="16"/>
  <c r="AK178" i="16" s="1"/>
  <c r="AD146" i="16"/>
  <c r="AK146" i="16" s="1"/>
  <c r="AD110" i="16"/>
  <c r="AK110" i="16" s="1"/>
  <c r="AD78" i="16"/>
  <c r="AK78" i="16" s="1"/>
  <c r="AD42" i="16"/>
  <c r="AK42" i="16" s="1"/>
  <c r="AD309" i="16"/>
  <c r="AK309" i="16" s="1"/>
  <c r="AC284" i="16"/>
  <c r="AK284" i="16" s="1"/>
  <c r="AD236" i="16"/>
  <c r="AK236" i="16" s="1"/>
  <c r="AD204" i="16"/>
  <c r="AK204" i="16" s="1"/>
  <c r="AH188" i="16"/>
  <c r="AK188" i="16" s="1"/>
  <c r="AJ152" i="16"/>
  <c r="AK152" i="16" s="1"/>
  <c r="AD136" i="16"/>
  <c r="AK136" i="16" s="1"/>
  <c r="AD104" i="16"/>
  <c r="AK104" i="16" s="1"/>
  <c r="AD72" i="16"/>
  <c r="AK72" i="16" s="1"/>
  <c r="AD165" i="16"/>
  <c r="AK165" i="16" s="1"/>
  <c r="AD105" i="16"/>
  <c r="AK105" i="16" s="1"/>
  <c r="AD161" i="16"/>
  <c r="AK161" i="16" s="1"/>
  <c r="AC249" i="16"/>
  <c r="AK249" i="16" s="1"/>
  <c r="AJ189" i="16"/>
  <c r="AK189" i="16" s="1"/>
  <c r="Z552" i="16"/>
  <c r="AA552" i="16" s="1"/>
  <c r="AA743" i="16"/>
  <c r="AD315" i="16"/>
  <c r="AK315" i="16" s="1"/>
  <c r="AD235" i="16"/>
  <c r="AK235" i="16" s="1"/>
  <c r="AD203" i="16"/>
  <c r="AK203" i="16" s="1"/>
  <c r="AG171" i="16"/>
  <c r="AK171" i="16" s="1"/>
  <c r="AD139" i="16"/>
  <c r="AK139" i="16" s="1"/>
  <c r="AD111" i="16"/>
  <c r="AK111" i="16" s="1"/>
  <c r="AD79" i="16"/>
  <c r="AK79" i="16" s="1"/>
  <c r="AG59" i="16"/>
  <c r="AK59" i="16" s="1"/>
  <c r="AI47" i="16"/>
  <c r="AK47" i="16" s="1"/>
  <c r="AJ213" i="16"/>
  <c r="AJ355" i="16" s="1"/>
  <c r="AG330" i="16"/>
  <c r="AK330" i="16" s="1"/>
  <c r="AG254" i="16"/>
  <c r="AK254" i="16" s="1"/>
  <c r="AJ222" i="16"/>
  <c r="AC190" i="16"/>
  <c r="AK190" i="16" s="1"/>
  <c r="AG158" i="16"/>
  <c r="AK158" i="16" s="1"/>
  <c r="AG126" i="16"/>
  <c r="AK126" i="16" s="1"/>
  <c r="AD90" i="16"/>
  <c r="AK90" i="16" s="1"/>
  <c r="AJ6" i="16"/>
  <c r="AK6" i="16" s="1"/>
  <c r="AD304" i="16"/>
  <c r="AK304" i="16" s="1"/>
  <c r="AD216" i="16"/>
  <c r="AK216" i="16" s="1"/>
  <c r="AF184" i="16"/>
  <c r="AK184" i="16" s="1"/>
  <c r="AD148" i="16"/>
  <c r="AK148" i="16" s="1"/>
  <c r="AD116" i="16"/>
  <c r="AK116" i="16" s="1"/>
  <c r="AD84" i="16"/>
  <c r="AK84" i="16" s="1"/>
  <c r="AJ93" i="16"/>
  <c r="AK93" i="16" s="1"/>
  <c r="AG20" i="16"/>
  <c r="AK20" i="16" s="1"/>
  <c r="AD125" i="16"/>
  <c r="AK125" i="16" s="1"/>
  <c r="AC180" i="16"/>
  <c r="AK180" i="16" s="1"/>
  <c r="AE229" i="16"/>
  <c r="AJ29" i="16"/>
  <c r="AK29" i="16" s="1"/>
  <c r="Z559" i="16"/>
  <c r="AA559" i="16" s="1"/>
  <c r="AJ311" i="16"/>
  <c r="AK311" i="16" s="1"/>
  <c r="AD231" i="16"/>
  <c r="AK231" i="16" s="1"/>
  <c r="AJ199" i="16"/>
  <c r="AJ354" i="16" s="1"/>
  <c r="AC167" i="16"/>
  <c r="AK167" i="16" s="1"/>
  <c r="AD135" i="16"/>
  <c r="AK135" i="16" s="1"/>
  <c r="AC107" i="16"/>
  <c r="AK107" i="16" s="1"/>
  <c r="AD91" i="16"/>
  <c r="AK91" i="16" s="1"/>
  <c r="AH43" i="16"/>
  <c r="AK43" i="16" s="1"/>
  <c r="AD18" i="16"/>
  <c r="AK18" i="16" s="1"/>
  <c r="AD310" i="16"/>
  <c r="AK310" i="16" s="1"/>
  <c r="AD234" i="16"/>
  <c r="AK234" i="16" s="1"/>
  <c r="AD170" i="16"/>
  <c r="AK170" i="16" s="1"/>
  <c r="AD102" i="16"/>
  <c r="AK102" i="16" s="1"/>
  <c r="AC264" i="16"/>
  <c r="AK264" i="16" s="1"/>
  <c r="AD196" i="16"/>
  <c r="AK196" i="16" s="1"/>
  <c r="AD128" i="16"/>
  <c r="AK128" i="16" s="1"/>
  <c r="AD60" i="16"/>
  <c r="AK60" i="16" s="1"/>
  <c r="AI129" i="16"/>
  <c r="AK129" i="16" s="1"/>
  <c r="AC49" i="16"/>
  <c r="AK49" i="16" s="1"/>
  <c r="AC276" i="16"/>
  <c r="AK276" i="16" s="1"/>
  <c r="AD201" i="16"/>
  <c r="AJ265" i="16"/>
  <c r="AK265" i="16" s="1"/>
  <c r="AA719" i="16"/>
  <c r="AA723" i="16"/>
  <c r="Z699" i="16"/>
  <c r="AA699" i="16" s="1"/>
  <c r="Z683" i="16"/>
  <c r="AA683" i="16" s="1"/>
  <c r="Z603" i="16"/>
  <c r="AA603" i="16" s="1"/>
  <c r="Z587" i="16"/>
  <c r="AA587" i="16" s="1"/>
  <c r="Z571" i="16"/>
  <c r="AA571" i="16" s="1"/>
  <c r="Z555" i="16"/>
  <c r="AA555" i="16" s="1"/>
  <c r="Z539" i="16"/>
  <c r="AA539" i="16" s="1"/>
  <c r="Z523" i="16"/>
  <c r="AA523" i="16" s="1"/>
  <c r="Z507" i="16"/>
  <c r="AA507" i="16" s="1"/>
  <c r="Z475" i="16"/>
  <c r="AA475" i="16" s="1"/>
  <c r="Z459" i="16"/>
  <c r="AA459" i="16" s="1"/>
  <c r="Z443" i="16"/>
  <c r="AA443" i="16" s="1"/>
  <c r="Z423" i="16"/>
  <c r="AA423" i="16" s="1"/>
  <c r="Z407" i="16"/>
  <c r="AA407" i="16" s="1"/>
  <c r="Z391" i="16"/>
  <c r="AA391" i="16" s="1"/>
  <c r="Z375" i="16"/>
  <c r="AA375" i="16" s="1"/>
  <c r="Z624" i="16"/>
  <c r="AA624" i="16" s="1"/>
  <c r="Z576" i="16"/>
  <c r="AA576" i="16" s="1"/>
  <c r="Z678" i="16"/>
  <c r="AA678" i="16" s="1"/>
  <c r="Z662" i="16"/>
  <c r="AA662" i="16" s="1"/>
  <c r="Z646" i="16"/>
  <c r="AA646" i="16" s="1"/>
  <c r="Z630" i="16"/>
  <c r="AA630" i="16" s="1"/>
  <c r="Z398" i="16"/>
  <c r="AA398" i="16" s="1"/>
  <c r="Z615" i="16"/>
  <c r="AA615" i="16" s="1"/>
  <c r="Z551" i="16"/>
  <c r="AA551" i="16" s="1"/>
  <c r="Z642" i="16"/>
  <c r="AA642" i="16" s="1"/>
  <c r="AA727" i="16"/>
  <c r="Z614" i="16"/>
  <c r="AA614" i="16" s="1"/>
  <c r="Z530" i="16"/>
  <c r="AA530" i="16" s="1"/>
  <c r="Z482" i="16"/>
  <c r="AA482" i="16" s="1"/>
  <c r="Z652" i="16"/>
  <c r="AA652" i="16" s="1"/>
  <c r="Z657" i="16"/>
  <c r="AA657" i="16" s="1"/>
  <c r="Z637" i="16"/>
  <c r="AA637" i="16" s="1"/>
  <c r="Z648" i="16"/>
  <c r="AA648" i="16" s="1"/>
  <c r="Z695" i="16"/>
  <c r="AA695" i="16" s="1"/>
  <c r="Z679" i="16"/>
  <c r="AA679" i="16" s="1"/>
  <c r="Z663" i="16"/>
  <c r="AA663" i="16" s="1"/>
  <c r="Z647" i="16"/>
  <c r="AA647" i="16" s="1"/>
  <c r="Z631" i="16"/>
  <c r="AA631" i="16" s="1"/>
  <c r="Z599" i="16"/>
  <c r="AA599" i="16" s="1"/>
  <c r="Z583" i="16"/>
  <c r="AA583" i="16" s="1"/>
  <c r="Z567" i="16"/>
  <c r="AA567" i="16" s="1"/>
  <c r="Z535" i="16"/>
  <c r="AA535" i="16" s="1"/>
  <c r="Z519" i="16"/>
  <c r="AA519" i="16" s="1"/>
  <c r="Z503" i="16"/>
  <c r="AA503" i="16" s="1"/>
  <c r="Z487" i="16"/>
  <c r="AA487" i="16" s="1"/>
  <c r="Z471" i="16"/>
  <c r="AA471" i="16" s="1"/>
  <c r="Z455" i="16"/>
  <c r="AA455" i="16" s="1"/>
  <c r="Z435" i="16"/>
  <c r="AA435" i="16" s="1"/>
  <c r="Z419" i="16"/>
  <c r="AA419" i="16" s="1"/>
  <c r="Z403" i="16"/>
  <c r="AA403" i="16" s="1"/>
  <c r="Z387" i="16"/>
  <c r="AA387" i="16" s="1"/>
  <c r="Z700" i="16"/>
  <c r="AA700" i="16" s="1"/>
  <c r="Z612" i="16"/>
  <c r="AA612" i="16" s="1"/>
  <c r="Z564" i="16"/>
  <c r="AA564" i="16" s="1"/>
  <c r="Z508" i="16"/>
  <c r="AA508" i="16" s="1"/>
  <c r="Z452" i="16"/>
  <c r="AA452" i="16" s="1"/>
  <c r="Z404" i="16"/>
  <c r="AA404" i="16" s="1"/>
  <c r="Z706" i="16"/>
  <c r="AA706" i="16" s="1"/>
  <c r="Z690" i="16"/>
  <c r="AA690" i="16" s="1"/>
  <c r="Z674" i="16"/>
  <c r="AA674" i="16" s="1"/>
  <c r="Z626" i="16"/>
  <c r="AA626" i="16" s="1"/>
  <c r="Z606" i="16"/>
  <c r="AA606" i="16" s="1"/>
  <c r="Z590" i="16"/>
  <c r="AA590" i="16" s="1"/>
  <c r="Z574" i="16"/>
  <c r="AA574" i="16" s="1"/>
  <c r="Z558" i="16"/>
  <c r="AA558" i="16" s="1"/>
  <c r="Z542" i="16"/>
  <c r="AA542" i="16" s="1"/>
  <c r="Z526" i="16"/>
  <c r="AA526" i="16" s="1"/>
  <c r="Z510" i="16"/>
  <c r="AA510" i="16" s="1"/>
  <c r="Z494" i="16"/>
  <c r="AA494" i="16" s="1"/>
  <c r="Z478" i="16"/>
  <c r="AA478" i="16" s="1"/>
  <c r="Z462" i="16"/>
  <c r="AA462" i="16" s="1"/>
  <c r="Z446" i="16"/>
  <c r="AA446" i="16" s="1"/>
  <c r="Z426" i="16"/>
  <c r="AA426" i="16" s="1"/>
  <c r="Z410" i="16"/>
  <c r="AA410" i="16" s="1"/>
  <c r="Z394" i="16"/>
  <c r="AA394" i="16" s="1"/>
  <c r="Z378" i="16"/>
  <c r="AA378" i="16" s="1"/>
  <c r="Z625" i="16"/>
  <c r="AA625" i="16" s="1"/>
  <c r="Z589" i="16"/>
  <c r="AA589" i="16" s="1"/>
  <c r="Z557" i="16"/>
  <c r="AA557" i="16" s="1"/>
  <c r="Z521" i="16"/>
  <c r="AA521" i="16" s="1"/>
  <c r="Z489" i="16"/>
  <c r="AA489" i="16" s="1"/>
  <c r="Z457" i="16"/>
  <c r="AA457" i="16" s="1"/>
  <c r="Z417" i="16"/>
  <c r="AA417" i="16" s="1"/>
  <c r="Z381" i="16"/>
  <c r="AA381" i="16" s="1"/>
  <c r="Z680" i="16"/>
  <c r="AA680" i="16" s="1"/>
  <c r="Z644" i="16"/>
  <c r="AA644" i="16" s="1"/>
  <c r="Z592" i="16"/>
  <c r="AA592" i="16" s="1"/>
  <c r="Z548" i="16"/>
  <c r="AA548" i="16" s="1"/>
  <c r="Z500" i="16"/>
  <c r="AA500" i="16" s="1"/>
  <c r="Z456" i="16"/>
  <c r="AA456" i="16" s="1"/>
  <c r="Z408" i="16"/>
  <c r="AA408" i="16" s="1"/>
  <c r="Z705" i="16"/>
  <c r="AA705" i="16" s="1"/>
  <c r="Z689" i="16"/>
  <c r="AA689" i="16" s="1"/>
  <c r="Z653" i="16"/>
  <c r="AA653" i="16" s="1"/>
  <c r="Z629" i="16"/>
  <c r="AA629" i="16" s="1"/>
  <c r="Z601" i="16"/>
  <c r="AA601" i="16" s="1"/>
  <c r="Z569" i="16"/>
  <c r="AA569" i="16" s="1"/>
  <c r="Z541" i="16"/>
  <c r="AA541" i="16" s="1"/>
  <c r="Z509" i="16"/>
  <c r="AA509" i="16" s="1"/>
  <c r="Z469" i="16"/>
  <c r="AA469" i="16" s="1"/>
  <c r="Z437" i="16"/>
  <c r="AA437" i="16" s="1"/>
  <c r="Z409" i="16"/>
  <c r="AA409" i="16" s="1"/>
  <c r="Z377" i="16"/>
  <c r="AA377" i="16" s="1"/>
  <c r="Z676" i="16"/>
  <c r="AA676" i="16" s="1"/>
  <c r="Z640" i="16"/>
  <c r="AA640" i="16" s="1"/>
  <c r="Z596" i="16"/>
  <c r="AA596" i="16" s="1"/>
  <c r="Z544" i="16"/>
  <c r="AA544" i="16" s="1"/>
  <c r="Z504" i="16"/>
  <c r="AA504" i="16" s="1"/>
  <c r="Z460" i="16"/>
  <c r="AA460" i="16" s="1"/>
  <c r="Z412" i="16"/>
  <c r="AA412" i="16" s="1"/>
  <c r="AA731" i="16"/>
  <c r="AA715" i="16"/>
  <c r="AA742" i="16"/>
  <c r="AA726" i="16"/>
  <c r="AA733" i="16"/>
  <c r="AA717" i="16"/>
  <c r="AA740" i="16"/>
  <c r="AA724" i="16"/>
  <c r="Z707" i="16"/>
  <c r="AA707" i="16" s="1"/>
  <c r="Z691" i="16"/>
  <c r="AA691" i="16" s="1"/>
  <c r="Z675" i="16"/>
  <c r="AA675" i="16" s="1"/>
  <c r="Z659" i="16"/>
  <c r="AA659" i="16" s="1"/>
  <c r="Z611" i="16"/>
  <c r="AA611" i="16" s="1"/>
  <c r="Z595" i="16"/>
  <c r="AA595" i="16" s="1"/>
  <c r="Z579" i="16"/>
  <c r="AA579" i="16" s="1"/>
  <c r="Z563" i="16"/>
  <c r="AA563" i="16" s="1"/>
  <c r="Z547" i="16"/>
  <c r="AA547" i="16" s="1"/>
  <c r="Z531" i="16"/>
  <c r="AA531" i="16" s="1"/>
  <c r="Z515" i="16"/>
  <c r="AA515" i="16" s="1"/>
  <c r="Z499" i="16"/>
  <c r="AA499" i="16" s="1"/>
  <c r="Z483" i="16"/>
  <c r="AA483" i="16" s="1"/>
  <c r="Z467" i="16"/>
  <c r="AA467" i="16" s="1"/>
  <c r="Z451" i="16"/>
  <c r="AA451" i="16" s="1"/>
  <c r="Z431" i="16"/>
  <c r="AA431" i="16" s="1"/>
  <c r="Z415" i="16"/>
  <c r="AA415" i="16" s="1"/>
  <c r="Z383" i="16"/>
  <c r="AA383" i="16" s="1"/>
  <c r="Z656" i="16"/>
  <c r="AA656" i="16" s="1"/>
  <c r="Z600" i="16"/>
  <c r="AA600" i="16" s="1"/>
  <c r="Z496" i="16"/>
  <c r="AA496" i="16" s="1"/>
  <c r="Z440" i="16"/>
  <c r="AA440" i="16" s="1"/>
  <c r="Z388" i="16"/>
  <c r="AA388" i="16" s="1"/>
  <c r="Z702" i="16"/>
  <c r="AA702" i="16" s="1"/>
  <c r="Z686" i="16"/>
  <c r="AA686" i="16" s="1"/>
  <c r="Z654" i="16"/>
  <c r="AA654" i="16" s="1"/>
  <c r="Z638" i="16"/>
  <c r="AA638" i="16" s="1"/>
  <c r="Z622" i="16"/>
  <c r="AA622" i="16" s="1"/>
  <c r="Z602" i="16"/>
  <c r="AA602" i="16" s="1"/>
  <c r="Z586" i="16"/>
  <c r="AA586" i="16" s="1"/>
  <c r="Z570" i="16"/>
  <c r="AA570" i="16" s="1"/>
  <c r="Z554" i="16"/>
  <c r="AA554" i="16" s="1"/>
  <c r="Z538" i="16"/>
  <c r="AA538" i="16" s="1"/>
  <c r="Z522" i="16"/>
  <c r="AA522" i="16" s="1"/>
  <c r="Z506" i="16"/>
  <c r="AA506" i="16" s="1"/>
  <c r="AA493" i="16"/>
  <c r="Z490" i="16"/>
  <c r="AA490" i="16" s="1"/>
  <c r="Z474" i="16"/>
  <c r="AA474" i="16" s="1"/>
  <c r="Z458" i="16"/>
  <c r="AA458" i="16" s="1"/>
  <c r="Z442" i="16"/>
  <c r="AA442" i="16" s="1"/>
  <c r="Z421" i="16"/>
  <c r="AA421" i="16" s="1"/>
  <c r="Z422" i="16"/>
  <c r="AA422" i="16" s="1"/>
  <c r="Z406" i="16"/>
  <c r="AA406" i="16" s="1"/>
  <c r="Z390" i="16"/>
  <c r="AA390" i="16" s="1"/>
  <c r="Z617" i="16"/>
  <c r="AA617" i="16" s="1"/>
  <c r="Z581" i="16"/>
  <c r="AA581" i="16" s="1"/>
  <c r="Z545" i="16"/>
  <c r="AA545" i="16" s="1"/>
  <c r="Z513" i="16"/>
  <c r="AA513" i="16" s="1"/>
  <c r="Z481" i="16"/>
  <c r="AA481" i="16" s="1"/>
  <c r="Z449" i="16"/>
  <c r="AA449" i="16" s="1"/>
  <c r="Z405" i="16"/>
  <c r="AA405" i="16" s="1"/>
  <c r="Z704" i="16"/>
  <c r="AA704" i="16" s="1"/>
  <c r="Z632" i="16"/>
  <c r="AA632" i="16" s="1"/>
  <c r="Z580" i="16"/>
  <c r="AA580" i="16" s="1"/>
  <c r="Z536" i="16"/>
  <c r="AA536" i="16" s="1"/>
  <c r="Z488" i="16"/>
  <c r="AA488" i="16" s="1"/>
  <c r="Z444" i="16"/>
  <c r="AA444" i="16" s="1"/>
  <c r="Z396" i="16"/>
  <c r="AA396" i="16" s="1"/>
  <c r="Z701" i="16"/>
  <c r="AA701" i="16" s="1"/>
  <c r="Z685" i="16"/>
  <c r="AA685" i="16" s="1"/>
  <c r="Z649" i="16"/>
  <c r="AA649" i="16" s="1"/>
  <c r="Z621" i="16"/>
  <c r="AA621" i="16" s="1"/>
  <c r="Z593" i="16"/>
  <c r="AA593" i="16" s="1"/>
  <c r="Z561" i="16"/>
  <c r="AA561" i="16" s="1"/>
  <c r="Z533" i="16"/>
  <c r="AA533" i="16" s="1"/>
  <c r="Z501" i="16"/>
  <c r="AA501" i="16" s="1"/>
  <c r="Z461" i="16"/>
  <c r="AA461" i="16" s="1"/>
  <c r="Z433" i="16"/>
  <c r="AA433" i="16" s="1"/>
  <c r="Z401" i="16"/>
  <c r="AA401" i="16" s="1"/>
  <c r="Z708" i="16"/>
  <c r="AA708" i="16" s="1"/>
  <c r="Z628" i="16"/>
  <c r="AA628" i="16" s="1"/>
  <c r="Z584" i="16"/>
  <c r="AA584" i="16" s="1"/>
  <c r="Z540" i="16"/>
  <c r="AA540" i="16" s="1"/>
  <c r="Z492" i="16"/>
  <c r="AA492" i="16" s="1"/>
  <c r="Z448" i="16"/>
  <c r="AA448" i="16" s="1"/>
  <c r="Z400" i="16"/>
  <c r="AA400" i="16" s="1"/>
  <c r="AA738" i="16"/>
  <c r="AA722" i="16"/>
  <c r="AA745" i="16"/>
  <c r="AA729" i="16"/>
  <c r="AA713" i="16"/>
  <c r="AA736" i="16"/>
  <c r="AA720" i="16"/>
  <c r="Z703" i="16"/>
  <c r="AA703" i="16" s="1"/>
  <c r="Z687" i="16"/>
  <c r="AA687" i="16" s="1"/>
  <c r="Z655" i="16"/>
  <c r="AA655" i="16" s="1"/>
  <c r="Z623" i="16"/>
  <c r="AA623" i="16" s="1"/>
  <c r="Z607" i="16"/>
  <c r="AA607" i="16" s="1"/>
  <c r="Z575" i="16"/>
  <c r="AA575" i="16" s="1"/>
  <c r="Z543" i="16"/>
  <c r="AA543" i="16" s="1"/>
  <c r="Z527" i="16"/>
  <c r="AA527" i="16" s="1"/>
  <c r="Z511" i="16"/>
  <c r="AA511" i="16" s="1"/>
  <c r="Z495" i="16"/>
  <c r="AA495" i="16" s="1"/>
  <c r="Z479" i="16"/>
  <c r="AA479" i="16" s="1"/>
  <c r="Z463" i="16"/>
  <c r="AA463" i="16" s="1"/>
  <c r="Z447" i="16"/>
  <c r="AA447" i="16" s="1"/>
  <c r="Z427" i="16"/>
  <c r="AA427" i="16" s="1"/>
  <c r="Z411" i="16"/>
  <c r="AA411" i="16" s="1"/>
  <c r="Z395" i="16"/>
  <c r="AA395" i="16" s="1"/>
  <c r="Z379" i="16"/>
  <c r="AA379" i="16" s="1"/>
  <c r="Z636" i="16"/>
  <c r="AA636" i="16" s="1"/>
  <c r="Z588" i="16"/>
  <c r="AA588" i="16" s="1"/>
  <c r="Z532" i="16"/>
  <c r="AA532" i="16" s="1"/>
  <c r="Z484" i="16"/>
  <c r="AA484" i="16" s="1"/>
  <c r="Z428" i="16"/>
  <c r="AA428" i="16" s="1"/>
  <c r="Z380" i="16"/>
  <c r="AA380" i="16" s="1"/>
  <c r="Z698" i="16"/>
  <c r="AA698" i="16" s="1"/>
  <c r="Z682" i="16"/>
  <c r="AA682" i="16" s="1"/>
  <c r="Z650" i="16"/>
  <c r="AA650" i="16" s="1"/>
  <c r="Z634" i="16"/>
  <c r="AA634" i="16" s="1"/>
  <c r="Z618" i="16"/>
  <c r="AA618" i="16" s="1"/>
  <c r="Z598" i="16"/>
  <c r="AA598" i="16" s="1"/>
  <c r="Z582" i="16"/>
  <c r="AA582" i="16" s="1"/>
  <c r="Z566" i="16"/>
  <c r="AA566" i="16" s="1"/>
  <c r="Z550" i="16"/>
  <c r="AA550" i="16" s="1"/>
  <c r="Z534" i="16"/>
  <c r="AA534" i="16" s="1"/>
  <c r="Z518" i="16"/>
  <c r="AA518" i="16" s="1"/>
  <c r="Z502" i="16"/>
  <c r="AA502" i="16" s="1"/>
  <c r="Z486" i="16"/>
  <c r="AA486" i="16" s="1"/>
  <c r="Z470" i="16"/>
  <c r="AA470" i="16" s="1"/>
  <c r="Z454" i="16"/>
  <c r="AA454" i="16" s="1"/>
  <c r="Z434" i="16"/>
  <c r="AA434" i="16" s="1"/>
  <c r="Z418" i="16"/>
  <c r="AA418" i="16" s="1"/>
  <c r="Z402" i="16"/>
  <c r="AA402" i="16" s="1"/>
  <c r="Z386" i="16"/>
  <c r="AA386" i="16" s="1"/>
  <c r="Z641" i="16"/>
  <c r="AA641" i="16" s="1"/>
  <c r="Z605" i="16"/>
  <c r="AA605" i="16" s="1"/>
  <c r="Z573" i="16"/>
  <c r="AA573" i="16" s="1"/>
  <c r="Z537" i="16"/>
  <c r="AA537" i="16" s="1"/>
  <c r="Z505" i="16"/>
  <c r="AA505" i="16" s="1"/>
  <c r="Z473" i="16"/>
  <c r="AA473" i="16" s="1"/>
  <c r="Z441" i="16"/>
  <c r="AA441" i="16" s="1"/>
  <c r="Z397" i="16"/>
  <c r="AA397" i="16" s="1"/>
  <c r="Z696" i="16"/>
  <c r="AA696" i="16" s="1"/>
  <c r="Z620" i="16"/>
  <c r="AA620" i="16" s="1"/>
  <c r="Z568" i="16"/>
  <c r="AA568" i="16" s="1"/>
  <c r="Z524" i="16"/>
  <c r="AA524" i="16" s="1"/>
  <c r="Z476" i="16"/>
  <c r="AA476" i="16" s="1"/>
  <c r="Z432" i="16"/>
  <c r="AA432" i="16" s="1"/>
  <c r="Z376" i="16"/>
  <c r="AA376" i="16" s="1"/>
  <c r="Z697" i="16"/>
  <c r="AA697" i="16" s="1"/>
  <c r="Z681" i="16"/>
  <c r="AA681" i="16" s="1"/>
  <c r="Z661" i="16"/>
  <c r="AA661" i="16" s="1"/>
  <c r="Z645" i="16"/>
  <c r="AA645" i="16" s="1"/>
  <c r="Z613" i="16"/>
  <c r="AA613" i="16" s="1"/>
  <c r="Z585" i="16"/>
  <c r="AA585" i="16" s="1"/>
  <c r="Z553" i="16"/>
  <c r="AA553" i="16" s="1"/>
  <c r="Z525" i="16"/>
  <c r="AA525" i="16" s="1"/>
  <c r="Z485" i="16"/>
  <c r="AA485" i="16" s="1"/>
  <c r="Z453" i="16"/>
  <c r="AA453" i="16" s="1"/>
  <c r="Z425" i="16"/>
  <c r="AA425" i="16" s="1"/>
  <c r="Z393" i="16"/>
  <c r="AA393" i="16" s="1"/>
  <c r="Z692" i="16"/>
  <c r="AA692" i="16" s="1"/>
  <c r="Z660" i="16"/>
  <c r="AA660" i="16" s="1"/>
  <c r="Z616" i="16"/>
  <c r="AA616" i="16" s="1"/>
  <c r="Z572" i="16"/>
  <c r="AA572" i="16" s="1"/>
  <c r="Z528" i="16"/>
  <c r="AA528" i="16" s="1"/>
  <c r="Z480" i="16"/>
  <c r="AA480" i="16" s="1"/>
  <c r="Z436" i="16"/>
  <c r="AA436" i="16" s="1"/>
  <c r="Z392" i="16"/>
  <c r="AA392" i="16" s="1"/>
  <c r="AA734" i="16"/>
  <c r="AA718" i="16"/>
  <c r="AA741" i="16"/>
  <c r="AA725" i="16"/>
  <c r="AA732" i="16"/>
  <c r="AA716" i="16"/>
  <c r="Z491" i="16"/>
  <c r="AA491" i="16" s="1"/>
  <c r="Z520" i="16"/>
  <c r="AA520" i="16" s="1"/>
  <c r="Z468" i="16"/>
  <c r="AA468" i="16" s="1"/>
  <c r="Z416" i="16"/>
  <c r="AA416" i="16" s="1"/>
  <c r="Z694" i="16"/>
  <c r="AA694" i="16" s="1"/>
  <c r="Z594" i="16"/>
  <c r="AA594" i="16" s="1"/>
  <c r="Z578" i="16"/>
  <c r="AA578" i="16" s="1"/>
  <c r="Z562" i="16"/>
  <c r="AA562" i="16" s="1"/>
  <c r="Z546" i="16"/>
  <c r="AA546" i="16" s="1"/>
  <c r="Z514" i="16"/>
  <c r="AA514" i="16" s="1"/>
  <c r="Z498" i="16"/>
  <c r="AA498" i="16" s="1"/>
  <c r="Z466" i="16"/>
  <c r="AA466" i="16" s="1"/>
  <c r="Z450" i="16"/>
  <c r="AA450" i="16" s="1"/>
  <c r="Z430" i="16"/>
  <c r="AA430" i="16" s="1"/>
  <c r="Z414" i="16"/>
  <c r="AA414" i="16" s="1"/>
  <c r="Z382" i="16"/>
  <c r="AA382" i="16" s="1"/>
  <c r="Z633" i="16"/>
  <c r="AA633" i="16" s="1"/>
  <c r="Z597" i="16"/>
  <c r="AA597" i="16" s="1"/>
  <c r="Z565" i="16"/>
  <c r="AA565" i="16" s="1"/>
  <c r="Z529" i="16"/>
  <c r="AA529" i="16" s="1"/>
  <c r="Z497" i="16"/>
  <c r="AA497" i="16" s="1"/>
  <c r="Z465" i="16"/>
  <c r="AA465" i="16" s="1"/>
  <c r="Z429" i="16"/>
  <c r="AA429" i="16" s="1"/>
  <c r="Z389" i="16"/>
  <c r="AA389" i="16" s="1"/>
  <c r="Z688" i="16"/>
  <c r="AA688" i="16" s="1"/>
  <c r="Z604" i="16"/>
  <c r="AA604" i="16" s="1"/>
  <c r="Z556" i="16"/>
  <c r="AA556" i="16" s="1"/>
  <c r="Z512" i="16"/>
  <c r="AA512" i="16" s="1"/>
  <c r="Z464" i="16"/>
  <c r="AA464" i="16" s="1"/>
  <c r="Z420" i="16"/>
  <c r="AA420" i="16" s="1"/>
  <c r="Z709" i="16"/>
  <c r="AA709" i="16" s="1"/>
  <c r="AB709" i="16" s="1"/>
  <c r="AI709" i="16" s="1"/>
  <c r="AK709" i="16" s="1"/>
  <c r="Z693" i="16"/>
  <c r="AA693" i="16" s="1"/>
  <c r="Z677" i="16"/>
  <c r="AA677" i="16" s="1"/>
  <c r="Z609" i="16"/>
  <c r="AA609" i="16" s="1"/>
  <c r="Z577" i="16"/>
  <c r="AA577" i="16" s="1"/>
  <c r="Z549" i="16"/>
  <c r="AA549" i="16" s="1"/>
  <c r="Z517" i="16"/>
  <c r="AA517" i="16" s="1"/>
  <c r="Z477" i="16"/>
  <c r="AA477" i="16" s="1"/>
  <c r="Z445" i="16"/>
  <c r="AA445" i="16" s="1"/>
  <c r="Z413" i="16"/>
  <c r="AA413" i="16" s="1"/>
  <c r="Z385" i="16"/>
  <c r="AA385" i="16" s="1"/>
  <c r="Z684" i="16"/>
  <c r="AA684" i="16" s="1"/>
  <c r="Z608" i="16"/>
  <c r="AA608" i="16" s="1"/>
  <c r="Z560" i="16"/>
  <c r="AA560" i="16" s="1"/>
  <c r="Z516" i="16"/>
  <c r="AA516" i="16" s="1"/>
  <c r="Z472" i="16"/>
  <c r="AA472" i="16" s="1"/>
  <c r="Z424" i="16"/>
  <c r="AA424" i="16" s="1"/>
  <c r="Z384" i="16"/>
  <c r="AA384" i="16" s="1"/>
  <c r="AA730" i="16"/>
  <c r="AA714" i="16"/>
  <c r="AA737" i="16"/>
  <c r="AA721" i="16"/>
  <c r="AA744" i="16"/>
  <c r="AA728" i="16"/>
  <c r="AA712" i="16"/>
  <c r="H88" i="18"/>
  <c r="G128" i="18"/>
  <c r="H43" i="18"/>
  <c r="G114" i="18"/>
  <c r="G100" i="18"/>
  <c r="G88" i="18"/>
  <c r="H15" i="18"/>
  <c r="G60" i="18"/>
  <c r="G78" i="18"/>
  <c r="O145" i="18"/>
  <c r="O162" i="18"/>
  <c r="R178" i="18"/>
  <c r="O178" i="18"/>
  <c r="O152" i="18"/>
  <c r="O179" i="18"/>
  <c r="R168" i="18"/>
  <c r="O165" i="18"/>
  <c r="O156" i="18"/>
  <c r="O146" i="18"/>
  <c r="R164" i="18"/>
  <c r="O147" i="18"/>
  <c r="O172" i="18"/>
  <c r="R172" i="18"/>
  <c r="O169" i="18"/>
  <c r="O155" i="18"/>
  <c r="R192" i="18"/>
  <c r="R188" i="18"/>
  <c r="R181" i="18"/>
  <c r="R171" i="18"/>
  <c r="O166" i="18"/>
  <c r="O180" i="18"/>
  <c r="O163" i="18"/>
  <c r="O171" i="18"/>
  <c r="O173" i="18"/>
  <c r="R189" i="18"/>
  <c r="R180" i="18"/>
  <c r="O158" i="18"/>
  <c r="O197" i="18"/>
  <c r="R175" i="18"/>
  <c r="O198" i="18"/>
  <c r="O167" i="18"/>
  <c r="O153" i="18"/>
  <c r="O200" i="18"/>
  <c r="O181" i="18"/>
  <c r="O160" i="18"/>
  <c r="O164" i="18"/>
  <c r="R186" i="18"/>
  <c r="O170" i="18"/>
  <c r="R165" i="18"/>
  <c r="O154" i="18"/>
  <c r="O186" i="18"/>
  <c r="O151" i="18"/>
  <c r="R195" i="18"/>
  <c r="O175" i="18"/>
  <c r="O161" i="18"/>
  <c r="O157" i="18"/>
  <c r="R170" i="18"/>
  <c r="R185" i="18"/>
  <c r="R154" i="18"/>
  <c r="O183" i="18"/>
  <c r="O159" i="18"/>
  <c r="R174" i="18"/>
  <c r="O174" i="18"/>
  <c r="R184" i="18"/>
  <c r="R163" i="18"/>
  <c r="R193" i="18"/>
  <c r="O199" i="18"/>
  <c r="R169" i="18"/>
  <c r="R176" i="18"/>
  <c r="R190" i="18"/>
  <c r="R194" i="18"/>
  <c r="R191" i="18"/>
  <c r="R183" i="18"/>
  <c r="R177" i="18"/>
  <c r="R152" i="18"/>
  <c r="O149" i="18"/>
  <c r="R179" i="18"/>
  <c r="R145" i="18"/>
  <c r="R159" i="18"/>
  <c r="O148" i="18"/>
  <c r="R167" i="18"/>
  <c r="R157" i="18"/>
  <c r="R156" i="18"/>
  <c r="R155" i="18"/>
  <c r="R147" i="18"/>
  <c r="R153" i="18"/>
  <c r="P144" i="18"/>
  <c r="F84" i="15"/>
  <c r="R160" i="18"/>
  <c r="R182" i="18"/>
  <c r="R151" i="18"/>
  <c r="R166" i="18"/>
  <c r="R173" i="18"/>
  <c r="R158" i="18"/>
  <c r="N144" i="18"/>
  <c r="D84" i="15"/>
  <c r="Q148" i="18"/>
  <c r="Q138" i="18" s="1"/>
  <c r="H84" i="15"/>
  <c r="S148" i="18"/>
  <c r="J84" i="15"/>
  <c r="R149" i="18"/>
  <c r="G113" i="18"/>
  <c r="G112" i="18"/>
  <c r="G99" i="18"/>
  <c r="G98" i="18"/>
  <c r="R150" i="18"/>
  <c r="R143" i="18"/>
  <c r="G58" i="18"/>
  <c r="G126" i="18"/>
  <c r="G127" i="18"/>
  <c r="G59" i="18"/>
  <c r="H86" i="15"/>
  <c r="R142" i="18" s="1"/>
  <c r="N26" i="15"/>
  <c r="E65" i="15"/>
  <c r="G65" i="15"/>
  <c r="E70" i="15"/>
  <c r="G70" i="15"/>
  <c r="E78" i="15"/>
  <c r="G78" i="15"/>
  <c r="E76" i="15"/>
  <c r="G76" i="15"/>
  <c r="E59" i="15"/>
  <c r="G59" i="15"/>
  <c r="E71" i="15"/>
  <c r="G71" i="15"/>
  <c r="E79" i="15"/>
  <c r="G79" i="15"/>
  <c r="E51" i="15"/>
  <c r="G51" i="15"/>
  <c r="E67" i="15"/>
  <c r="G67" i="15"/>
  <c r="E77" i="15"/>
  <c r="G77" i="15"/>
  <c r="E74" i="15"/>
  <c r="G74" i="15"/>
  <c r="E68" i="15"/>
  <c r="G68" i="15"/>
  <c r="E72" i="15"/>
  <c r="G72" i="15"/>
  <c r="E60" i="15"/>
  <c r="G60" i="15"/>
  <c r="E75" i="15"/>
  <c r="G75" i="15"/>
  <c r="E33" i="15"/>
  <c r="G33" i="15"/>
  <c r="E73" i="15"/>
  <c r="G73" i="15"/>
  <c r="B83" i="15"/>
  <c r="A83" i="15"/>
  <c r="B82" i="15"/>
  <c r="A82" i="15"/>
  <c r="B81" i="15"/>
  <c r="A81" i="15"/>
  <c r="B80" i="15"/>
  <c r="A80" i="15"/>
  <c r="B79" i="15"/>
  <c r="A79" i="15"/>
  <c r="B78" i="15"/>
  <c r="A78" i="15"/>
  <c r="B77" i="15"/>
  <c r="A77" i="15"/>
  <c r="B76" i="15"/>
  <c r="A76" i="15"/>
  <c r="B75" i="15"/>
  <c r="A75" i="15"/>
  <c r="B74" i="15"/>
  <c r="A74" i="15"/>
  <c r="B73" i="15"/>
  <c r="A73" i="15"/>
  <c r="B72" i="15"/>
  <c r="A72" i="15"/>
  <c r="B71" i="15"/>
  <c r="A71" i="15"/>
  <c r="B70" i="15"/>
  <c r="A70" i="15"/>
  <c r="B69" i="15"/>
  <c r="A69" i="15"/>
  <c r="B68" i="15"/>
  <c r="A68" i="15"/>
  <c r="B67" i="15"/>
  <c r="A67" i="15"/>
  <c r="B66" i="15"/>
  <c r="A66" i="15"/>
  <c r="B65" i="15"/>
  <c r="A65" i="15"/>
  <c r="B64" i="15"/>
  <c r="A64" i="15"/>
  <c r="B63" i="15"/>
  <c r="A63" i="15"/>
  <c r="B62" i="15"/>
  <c r="A62" i="15"/>
  <c r="B61" i="15"/>
  <c r="A61" i="15"/>
  <c r="B60" i="15"/>
  <c r="A60" i="15"/>
  <c r="B59" i="15"/>
  <c r="A59" i="15"/>
  <c r="B58" i="15"/>
  <c r="A58" i="15"/>
  <c r="B57" i="15"/>
  <c r="A57" i="15"/>
  <c r="B56" i="15"/>
  <c r="A56" i="15"/>
  <c r="B55" i="15"/>
  <c r="A55" i="15"/>
  <c r="B54" i="15"/>
  <c r="A54" i="15"/>
  <c r="B53" i="15"/>
  <c r="A53" i="15"/>
  <c r="B52" i="15"/>
  <c r="A52" i="15"/>
  <c r="B51" i="15"/>
  <c r="A51" i="15"/>
  <c r="B50" i="15"/>
  <c r="A50" i="15"/>
  <c r="B49" i="15"/>
  <c r="A49" i="15"/>
  <c r="B48" i="15"/>
  <c r="A48" i="15"/>
  <c r="B47" i="15"/>
  <c r="A47" i="15"/>
  <c r="B46" i="15"/>
  <c r="A46" i="15"/>
  <c r="B45" i="15"/>
  <c r="A45" i="15"/>
  <c r="B44" i="15"/>
  <c r="A44" i="15"/>
  <c r="B43" i="15"/>
  <c r="A43" i="15"/>
  <c r="B42" i="15"/>
  <c r="A42" i="15"/>
  <c r="B41" i="15"/>
  <c r="A41" i="15"/>
  <c r="B40" i="15"/>
  <c r="A40" i="15"/>
  <c r="B39" i="15"/>
  <c r="A39" i="15"/>
  <c r="B38" i="15"/>
  <c r="A38" i="15"/>
  <c r="B37" i="15"/>
  <c r="A37" i="15"/>
  <c r="B36" i="15"/>
  <c r="A36" i="15"/>
  <c r="B35" i="15"/>
  <c r="A35" i="15"/>
  <c r="B34" i="15"/>
  <c r="A34" i="15"/>
  <c r="B33" i="15"/>
  <c r="A33" i="15"/>
  <c r="B32" i="15"/>
  <c r="A32" i="15"/>
  <c r="B31" i="15"/>
  <c r="A31" i="15"/>
  <c r="B30" i="15"/>
  <c r="A30" i="15"/>
  <c r="B29" i="15"/>
  <c r="A29" i="15"/>
  <c r="B28" i="15"/>
  <c r="A28" i="15"/>
  <c r="B27" i="15"/>
  <c r="A27" i="15"/>
  <c r="AH352" i="16" l="1"/>
  <c r="AE183" i="16"/>
  <c r="AE352" i="16" s="1"/>
  <c r="AG183" i="16"/>
  <c r="AG352" i="16" s="1"/>
  <c r="AB712" i="16"/>
  <c r="AB737" i="16"/>
  <c r="AD737" i="16" s="1"/>
  <c r="AK737" i="16" s="1"/>
  <c r="AB713" i="16"/>
  <c r="AB744" i="16"/>
  <c r="AB741" i="16"/>
  <c r="AF741" i="16" s="1"/>
  <c r="AK741" i="16" s="1"/>
  <c r="AB721" i="16"/>
  <c r="AB716" i="16"/>
  <c r="AB718" i="16"/>
  <c r="AB736" i="16"/>
  <c r="AD736" i="16" s="1"/>
  <c r="AK736" i="16" s="1"/>
  <c r="AB722" i="16"/>
  <c r="AB717" i="16"/>
  <c r="AB715" i="16"/>
  <c r="AI715" i="16" s="1"/>
  <c r="AK715" i="16" s="1"/>
  <c r="AB734" i="16"/>
  <c r="AG734" i="16" s="1"/>
  <c r="AK734" i="16" s="1"/>
  <c r="AB738" i="16"/>
  <c r="AB733" i="16"/>
  <c r="AD733" i="16" s="1"/>
  <c r="AK733" i="16" s="1"/>
  <c r="AB731" i="16"/>
  <c r="AD731" i="16" s="1"/>
  <c r="AK731" i="16" s="1"/>
  <c r="AB723" i="16"/>
  <c r="AB739" i="16"/>
  <c r="AI739" i="16" s="1"/>
  <c r="AK739" i="16" s="1"/>
  <c r="AB732" i="16"/>
  <c r="AB728" i="16"/>
  <c r="AB725" i="16"/>
  <c r="AH725" i="16" s="1"/>
  <c r="AB729" i="16"/>
  <c r="AB724" i="16"/>
  <c r="AH724" i="16" s="1"/>
  <c r="AK724" i="16" s="1"/>
  <c r="AB726" i="16"/>
  <c r="AG726" i="16" s="1"/>
  <c r="AB727" i="16"/>
  <c r="AD727" i="16" s="1"/>
  <c r="AK727" i="16" s="1"/>
  <c r="AB719" i="16"/>
  <c r="AB743" i="16"/>
  <c r="AI743" i="16" s="1"/>
  <c r="AK743" i="16" s="1"/>
  <c r="AB714" i="16"/>
  <c r="AH714" i="16" s="1"/>
  <c r="AK714" i="16" s="1"/>
  <c r="AB730" i="16"/>
  <c r="AD730" i="16" s="1"/>
  <c r="AK730" i="16" s="1"/>
  <c r="AB720" i="16"/>
  <c r="AB745" i="16"/>
  <c r="AI745" i="16" s="1"/>
  <c r="AK745" i="16" s="1"/>
  <c r="AB740" i="16"/>
  <c r="AF740" i="16" s="1"/>
  <c r="AK740" i="16" s="1"/>
  <c r="AB742" i="16"/>
  <c r="AF742" i="16" s="1"/>
  <c r="AK742" i="16" s="1"/>
  <c r="AB735" i="16"/>
  <c r="AB711" i="16"/>
  <c r="AB616" i="16"/>
  <c r="AJ664" i="16"/>
  <c r="AK664" i="16" s="1"/>
  <c r="AJ665" i="16"/>
  <c r="AK665" i="16" s="1"/>
  <c r="AB625" i="16"/>
  <c r="AB655" i="16"/>
  <c r="AB556" i="16"/>
  <c r="AB588" i="16"/>
  <c r="AB650" i="16"/>
  <c r="AB424" i="16"/>
  <c r="AB577" i="16"/>
  <c r="AE577" i="16" s="1"/>
  <c r="AB644" i="16"/>
  <c r="AB677" i="16"/>
  <c r="AB633" i="16"/>
  <c r="AB565" i="16"/>
  <c r="AB472" i="16"/>
  <c r="AH728" i="16"/>
  <c r="AK728" i="16" s="1"/>
  <c r="AE744" i="16"/>
  <c r="AK744" i="16" s="1"/>
  <c r="AD722" i="16"/>
  <c r="AK722" i="16" s="1"/>
  <c r="AD732" i="16"/>
  <c r="AK732" i="16" s="1"/>
  <c r="AI738" i="16"/>
  <c r="AK738" i="16" s="1"/>
  <c r="AG735" i="16"/>
  <c r="AK735" i="16" s="1"/>
  <c r="AB420" i="16"/>
  <c r="AF729" i="16"/>
  <c r="AH729" i="16"/>
  <c r="AI729" i="16"/>
  <c r="AB400" i="16"/>
  <c r="AJ400" i="16" s="1"/>
  <c r="AH726" i="16"/>
  <c r="AF726" i="16"/>
  <c r="AB710" i="16"/>
  <c r="AB385" i="16"/>
  <c r="AB464" i="16"/>
  <c r="AB688" i="16"/>
  <c r="AB497" i="16"/>
  <c r="AB450" i="16"/>
  <c r="AB546" i="16"/>
  <c r="AB694" i="16"/>
  <c r="AB661" i="16"/>
  <c r="AB486" i="16"/>
  <c r="AB395" i="16"/>
  <c r="AB623" i="16"/>
  <c r="AB628" i="16"/>
  <c r="AB656" i="16"/>
  <c r="AJ656" i="16" s="1"/>
  <c r="AB516" i="16"/>
  <c r="AB529" i="16"/>
  <c r="AB609" i="16"/>
  <c r="AB517" i="16"/>
  <c r="AB608" i="16"/>
  <c r="AB445" i="16"/>
  <c r="AB429" i="16"/>
  <c r="AB414" i="16"/>
  <c r="AB498" i="16"/>
  <c r="AB578" i="16"/>
  <c r="AB468" i="16"/>
  <c r="AB528" i="16"/>
  <c r="AB692" i="16"/>
  <c r="AB485" i="16"/>
  <c r="AB684" i="16"/>
  <c r="AB477" i="16"/>
  <c r="AB604" i="16"/>
  <c r="AB465" i="16"/>
  <c r="AB597" i="16"/>
  <c r="AB430" i="16"/>
  <c r="AB514" i="16"/>
  <c r="AB594" i="16"/>
  <c r="AB520" i="16"/>
  <c r="AB392" i="16"/>
  <c r="AB572" i="16"/>
  <c r="AB393" i="16"/>
  <c r="AB525" i="16"/>
  <c r="AB645" i="16"/>
  <c r="AF645" i="16" s="1"/>
  <c r="AK645" i="16" s="1"/>
  <c r="AB376" i="16"/>
  <c r="AB568" i="16"/>
  <c r="AB491" i="16"/>
  <c r="AB436" i="16"/>
  <c r="AB425" i="16"/>
  <c r="AB553" i="16"/>
  <c r="AC553" i="16" s="1"/>
  <c r="AK553" i="16" s="1"/>
  <c r="AB432" i="16"/>
  <c r="AB620" i="16"/>
  <c r="AC620" i="16" s="1"/>
  <c r="AK620" i="16" s="1"/>
  <c r="AB473" i="16"/>
  <c r="AB605" i="16"/>
  <c r="AB418" i="16"/>
  <c r="AB550" i="16"/>
  <c r="AG550" i="16" s="1"/>
  <c r="AK550" i="16" s="1"/>
  <c r="AB618" i="16"/>
  <c r="AB698" i="16"/>
  <c r="AB532" i="16"/>
  <c r="AB384" i="16"/>
  <c r="AB560" i="16"/>
  <c r="AJ560" i="16" s="1"/>
  <c r="AK560" i="16" s="1"/>
  <c r="AB413" i="16"/>
  <c r="AB549" i="16"/>
  <c r="AB693" i="16"/>
  <c r="AB512" i="16"/>
  <c r="AB389" i="16"/>
  <c r="AB382" i="16"/>
  <c r="AB466" i="16"/>
  <c r="AB562" i="16"/>
  <c r="AB416" i="16"/>
  <c r="AB441" i="16"/>
  <c r="AB573" i="16"/>
  <c r="AB402" i="16"/>
  <c r="AB470" i="16"/>
  <c r="AB534" i="16"/>
  <c r="AB598" i="16"/>
  <c r="AG598" i="16" s="1"/>
  <c r="AG729" i="16" s="1"/>
  <c r="AB682" i="16"/>
  <c r="AB484" i="16"/>
  <c r="AB379" i="16"/>
  <c r="AB447" i="16"/>
  <c r="AB511" i="16"/>
  <c r="AB607" i="16"/>
  <c r="AB703" i="16"/>
  <c r="AB584" i="16"/>
  <c r="AJ584" i="16" s="1"/>
  <c r="AJ726" i="16" s="1"/>
  <c r="AB433" i="16"/>
  <c r="AB561" i="16"/>
  <c r="AB685" i="16"/>
  <c r="AB488" i="16"/>
  <c r="AB704" i="16"/>
  <c r="AB513" i="16"/>
  <c r="AB390" i="16"/>
  <c r="AB442" i="16"/>
  <c r="AB493" i="16"/>
  <c r="AB554" i="16"/>
  <c r="AB622" i="16"/>
  <c r="AB702" i="16"/>
  <c r="AB600" i="16"/>
  <c r="AB431" i="16"/>
  <c r="AB499" i="16"/>
  <c r="AB563" i="16"/>
  <c r="AB659" i="16"/>
  <c r="AB412" i="16"/>
  <c r="AB596" i="16"/>
  <c r="AB409" i="16"/>
  <c r="AB541" i="16"/>
  <c r="AB653" i="16"/>
  <c r="AB456" i="16"/>
  <c r="AB457" i="16"/>
  <c r="AB589" i="16"/>
  <c r="AB410" i="16"/>
  <c r="AB478" i="16"/>
  <c r="AB542" i="16"/>
  <c r="AB606" i="16"/>
  <c r="AB706" i="16"/>
  <c r="AB564" i="16"/>
  <c r="AB403" i="16"/>
  <c r="AB471" i="16"/>
  <c r="AB535" i="16"/>
  <c r="AB631" i="16"/>
  <c r="AB695" i="16"/>
  <c r="AB652" i="16"/>
  <c r="AB398" i="16"/>
  <c r="AB678" i="16"/>
  <c r="AB391" i="16"/>
  <c r="AB459" i="16"/>
  <c r="AB539" i="16"/>
  <c r="AB603" i="16"/>
  <c r="AB559" i="16"/>
  <c r="AB619" i="16"/>
  <c r="AB591" i="16"/>
  <c r="AB463" i="16"/>
  <c r="AB527" i="16"/>
  <c r="AB448" i="16"/>
  <c r="AB461" i="16"/>
  <c r="AB593" i="16"/>
  <c r="AB701" i="16"/>
  <c r="AB536" i="16"/>
  <c r="AB405" i="16"/>
  <c r="AB545" i="16"/>
  <c r="AB406" i="16"/>
  <c r="AB458" i="16"/>
  <c r="AB506" i="16"/>
  <c r="AB570" i="16"/>
  <c r="AB638" i="16"/>
  <c r="AJ638" i="16" s="1"/>
  <c r="AK638" i="16" s="1"/>
  <c r="AB388" i="16"/>
  <c r="AB451" i="16"/>
  <c r="AB515" i="16"/>
  <c r="AB579" i="16"/>
  <c r="AB675" i="16"/>
  <c r="AB460" i="16"/>
  <c r="AB640" i="16"/>
  <c r="AB437" i="16"/>
  <c r="AB569" i="16"/>
  <c r="AB689" i="16"/>
  <c r="AB500" i="16"/>
  <c r="AB680" i="16"/>
  <c r="AB489" i="16"/>
  <c r="AB426" i="16"/>
  <c r="AB494" i="16"/>
  <c r="AB558" i="16"/>
  <c r="AB626" i="16"/>
  <c r="AB404" i="16"/>
  <c r="AB612" i="16"/>
  <c r="AB419" i="16"/>
  <c r="AB487" i="16"/>
  <c r="AB567" i="16"/>
  <c r="AB647" i="16"/>
  <c r="AB648" i="16"/>
  <c r="AF648" i="16" s="1"/>
  <c r="AB482" i="16"/>
  <c r="AB642" i="16"/>
  <c r="AB630" i="16"/>
  <c r="AB576" i="16"/>
  <c r="AB407" i="16"/>
  <c r="AB475" i="16"/>
  <c r="AB555" i="16"/>
  <c r="AB683" i="16"/>
  <c r="AB552" i="16"/>
  <c r="AB635" i="16"/>
  <c r="AC635" i="16" s="1"/>
  <c r="AB480" i="16"/>
  <c r="AB660" i="16"/>
  <c r="AB453" i="16"/>
  <c r="AB585" i="16"/>
  <c r="AB681" i="16"/>
  <c r="AB476" i="16"/>
  <c r="AB696" i="16"/>
  <c r="AB505" i="16"/>
  <c r="AB641" i="16"/>
  <c r="AJ641" i="16" s="1"/>
  <c r="AK641" i="16" s="1"/>
  <c r="AB434" i="16"/>
  <c r="AB502" i="16"/>
  <c r="AB566" i="16"/>
  <c r="AB634" i="16"/>
  <c r="AB380" i="16"/>
  <c r="AB411" i="16"/>
  <c r="AB479" i="16"/>
  <c r="AB543" i="16"/>
  <c r="AB492" i="16"/>
  <c r="AB708" i="16"/>
  <c r="AB501" i="16"/>
  <c r="AB621" i="16"/>
  <c r="AB396" i="16"/>
  <c r="AB580" i="16"/>
  <c r="AB449" i="16"/>
  <c r="AB581" i="16"/>
  <c r="AB422" i="16"/>
  <c r="AB474" i="16"/>
  <c r="AB522" i="16"/>
  <c r="AB586" i="16"/>
  <c r="AB654" i="16"/>
  <c r="AJ654" i="16" s="1"/>
  <c r="AB440" i="16"/>
  <c r="AB383" i="16"/>
  <c r="AB467" i="16"/>
  <c r="AB531" i="16"/>
  <c r="AB595" i="16"/>
  <c r="AB691" i="16"/>
  <c r="AJ691" i="16" s="1"/>
  <c r="AB504" i="16"/>
  <c r="AB676" i="16"/>
  <c r="AB469" i="16"/>
  <c r="AB601" i="16"/>
  <c r="AB705" i="16"/>
  <c r="AB548" i="16"/>
  <c r="AB381" i="16"/>
  <c r="AB521" i="16"/>
  <c r="AB378" i="16"/>
  <c r="AB446" i="16"/>
  <c r="AB510" i="16"/>
  <c r="AB574" i="16"/>
  <c r="AB674" i="16"/>
  <c r="AB452" i="16"/>
  <c r="AB700" i="16"/>
  <c r="AB435" i="16"/>
  <c r="AB503" i="16"/>
  <c r="AB583" i="16"/>
  <c r="AB663" i="16"/>
  <c r="AB637" i="16"/>
  <c r="AC637" i="16" s="1"/>
  <c r="AB530" i="16"/>
  <c r="AB551" i="16"/>
  <c r="AB646" i="16"/>
  <c r="AJ646" i="16" s="1"/>
  <c r="AB624" i="16"/>
  <c r="AC624" i="16" s="1"/>
  <c r="AB423" i="16"/>
  <c r="AB507" i="16"/>
  <c r="AB571" i="16"/>
  <c r="AC571" i="16" s="1"/>
  <c r="AC725" i="16" s="1"/>
  <c r="AB699" i="16"/>
  <c r="AB639" i="16"/>
  <c r="AC639" i="16" s="1"/>
  <c r="AB627" i="16"/>
  <c r="AB613" i="16"/>
  <c r="AJ613" i="16" s="1"/>
  <c r="AK613" i="16" s="1"/>
  <c r="AB697" i="16"/>
  <c r="AB524" i="16"/>
  <c r="AB397" i="16"/>
  <c r="AB537" i="16"/>
  <c r="AB386" i="16"/>
  <c r="AB454" i="16"/>
  <c r="AB518" i="16"/>
  <c r="AB582" i="16"/>
  <c r="AB428" i="16"/>
  <c r="AB636" i="16"/>
  <c r="AJ636" i="16" s="1"/>
  <c r="AK636" i="16" s="1"/>
  <c r="AB427" i="16"/>
  <c r="AB495" i="16"/>
  <c r="AB575" i="16"/>
  <c r="AB687" i="16"/>
  <c r="AB540" i="16"/>
  <c r="AB401" i="16"/>
  <c r="AC401" i="16" s="1"/>
  <c r="AB533" i="16"/>
  <c r="AB649" i="16"/>
  <c r="AB444" i="16"/>
  <c r="AB632" i="16"/>
  <c r="AB481" i="16"/>
  <c r="AB617" i="16"/>
  <c r="AC617" i="16" s="1"/>
  <c r="AB421" i="16"/>
  <c r="AB490" i="16"/>
  <c r="AB538" i="16"/>
  <c r="AB602" i="16"/>
  <c r="AB686" i="16"/>
  <c r="AB496" i="16"/>
  <c r="AB415" i="16"/>
  <c r="AB483" i="16"/>
  <c r="AB547" i="16"/>
  <c r="AB611" i="16"/>
  <c r="AB707" i="16"/>
  <c r="AB544" i="16"/>
  <c r="AB377" i="16"/>
  <c r="AB509" i="16"/>
  <c r="AB629" i="16"/>
  <c r="AB408" i="16"/>
  <c r="AB592" i="16"/>
  <c r="AC592" i="16" s="1"/>
  <c r="AK592" i="16" s="1"/>
  <c r="AB417" i="16"/>
  <c r="AB557" i="16"/>
  <c r="AB394" i="16"/>
  <c r="AB462" i="16"/>
  <c r="AB526" i="16"/>
  <c r="AB590" i="16"/>
  <c r="AH590" i="16" s="1"/>
  <c r="AB690" i="16"/>
  <c r="AB508" i="16"/>
  <c r="AB387" i="16"/>
  <c r="AB455" i="16"/>
  <c r="AB519" i="16"/>
  <c r="AB599" i="16"/>
  <c r="AB679" i="16"/>
  <c r="AB657" i="16"/>
  <c r="AC657" i="16" s="1"/>
  <c r="AB614" i="16"/>
  <c r="AC614" i="16" s="1"/>
  <c r="AB615" i="16"/>
  <c r="AB662" i="16"/>
  <c r="AB375" i="16"/>
  <c r="AB443" i="16"/>
  <c r="AB523" i="16"/>
  <c r="AB587" i="16"/>
  <c r="AB643" i="16"/>
  <c r="AF643" i="16" s="1"/>
  <c r="AB399" i="16"/>
  <c r="AK222" i="16"/>
  <c r="AJ333" i="16"/>
  <c r="AJ288" i="16"/>
  <c r="AJ358" i="16"/>
  <c r="AD333" i="16"/>
  <c r="AD358" i="16"/>
  <c r="AD288" i="16"/>
  <c r="AK223" i="16"/>
  <c r="AK238" i="16"/>
  <c r="AC358" i="16"/>
  <c r="AC333" i="16"/>
  <c r="AC288" i="16"/>
  <c r="AK229" i="16"/>
  <c r="AE333" i="16"/>
  <c r="AE358" i="16"/>
  <c r="AE288" i="16"/>
  <c r="AG358" i="16"/>
  <c r="AG333" i="16"/>
  <c r="AG288" i="16"/>
  <c r="AK227" i="16"/>
  <c r="AD183" i="16"/>
  <c r="AD352" i="16" s="1"/>
  <c r="AI333" i="16"/>
  <c r="AH333" i="16"/>
  <c r="AF333" i="16"/>
  <c r="AI288" i="16"/>
  <c r="AF288" i="16"/>
  <c r="AH288" i="16"/>
  <c r="AC183" i="16"/>
  <c r="AC352" i="16" s="1"/>
  <c r="AD354" i="16"/>
  <c r="AK354" i="16" s="1"/>
  <c r="AI352" i="16"/>
  <c r="AD355" i="16"/>
  <c r="AK355" i="16" s="1"/>
  <c r="AF352" i="16"/>
  <c r="AJ183" i="16"/>
  <c r="AJ352" i="16" s="1"/>
  <c r="AF44" i="16"/>
  <c r="AD44" i="16"/>
  <c r="AJ44" i="16"/>
  <c r="AH44" i="16"/>
  <c r="AC44" i="16"/>
  <c r="AI44" i="16"/>
  <c r="AG44" i="16"/>
  <c r="AE44" i="16"/>
  <c r="AI70" i="16"/>
  <c r="AH70" i="16"/>
  <c r="AG70" i="16"/>
  <c r="AF70" i="16"/>
  <c r="AH95" i="16"/>
  <c r="AG95" i="16"/>
  <c r="AF95" i="16"/>
  <c r="AI95" i="16"/>
  <c r="AE95" i="16"/>
  <c r="AH155" i="16"/>
  <c r="AG155" i="16"/>
  <c r="AI155" i="16"/>
  <c r="AF155" i="16"/>
  <c r="AE24" i="16"/>
  <c r="AE342" i="16" s="1"/>
  <c r="AC24" i="16"/>
  <c r="AC342" i="16" s="1"/>
  <c r="AI24" i="16"/>
  <c r="AI342" i="16" s="1"/>
  <c r="AG24" i="16"/>
  <c r="AG342" i="16" s="1"/>
  <c r="AF24" i="16"/>
  <c r="AF342" i="16" s="1"/>
  <c r="AD24" i="16"/>
  <c r="AD342" i="16" s="1"/>
  <c r="AJ24" i="16"/>
  <c r="AJ342" i="16" s="1"/>
  <c r="AH24" i="16"/>
  <c r="AH342" i="16" s="1"/>
  <c r="AE168" i="16"/>
  <c r="AF168" i="16"/>
  <c r="AH168" i="16"/>
  <c r="AI168" i="16"/>
  <c r="AG168" i="16"/>
  <c r="AC19" i="16"/>
  <c r="AI19" i="16"/>
  <c r="AG19" i="16"/>
  <c r="AE19" i="16"/>
  <c r="AF19" i="16"/>
  <c r="AD19" i="16"/>
  <c r="AJ19" i="16"/>
  <c r="AH19" i="16"/>
  <c r="AG83" i="16"/>
  <c r="AF83" i="16"/>
  <c r="AH83" i="16"/>
  <c r="AI83" i="16"/>
  <c r="AG108" i="16"/>
  <c r="AE108" i="16"/>
  <c r="AI108" i="16"/>
  <c r="AF108" i="16"/>
  <c r="AH108" i="16"/>
  <c r="AI169" i="16"/>
  <c r="AF169" i="16"/>
  <c r="AH169" i="16"/>
  <c r="AG169" i="16"/>
  <c r="AF154" i="16"/>
  <c r="AG154" i="16"/>
  <c r="AE154" i="16"/>
  <c r="AH154" i="16"/>
  <c r="AI154" i="16"/>
  <c r="AJ120" i="16"/>
  <c r="AJ155" i="16"/>
  <c r="AJ70" i="16"/>
  <c r="AJ169" i="16"/>
  <c r="AK213" i="16"/>
  <c r="AJ143" i="16"/>
  <c r="AJ83" i="16"/>
  <c r="AF120" i="16"/>
  <c r="AI120" i="16"/>
  <c r="AH120" i="16"/>
  <c r="AG120" i="16"/>
  <c r="AD62" i="16"/>
  <c r="AF62" i="16"/>
  <c r="AH62" i="16"/>
  <c r="AJ62" i="16"/>
  <c r="AC62" i="16"/>
  <c r="AE62" i="16"/>
  <c r="AG62" i="16"/>
  <c r="AI62" i="16"/>
  <c r="AD142" i="16"/>
  <c r="AD95" i="16"/>
  <c r="AD119" i="16"/>
  <c r="AD69" i="16"/>
  <c r="AD154" i="16"/>
  <c r="AD108" i="16"/>
  <c r="AD168" i="16"/>
  <c r="AK191" i="16"/>
  <c r="AD155" i="16"/>
  <c r="AD70" i="16"/>
  <c r="AD83" i="16"/>
  <c r="AD143" i="16"/>
  <c r="AD120" i="16"/>
  <c r="AD169" i="16"/>
  <c r="AK201" i="16"/>
  <c r="AG142" i="16"/>
  <c r="AI142" i="16"/>
  <c r="AE142" i="16"/>
  <c r="AH142" i="16"/>
  <c r="AF142" i="16"/>
  <c r="AE120" i="16"/>
  <c r="AE169" i="16"/>
  <c r="AE155" i="16"/>
  <c r="AE39" i="16" s="1"/>
  <c r="AE83" i="16"/>
  <c r="AE70" i="16"/>
  <c r="AK206" i="16"/>
  <c r="AE143" i="16"/>
  <c r="AC120" i="16"/>
  <c r="AC83" i="16"/>
  <c r="AC169" i="16"/>
  <c r="AK214" i="16"/>
  <c r="AC143" i="16"/>
  <c r="AC70" i="16"/>
  <c r="AC155" i="16"/>
  <c r="AH69" i="16"/>
  <c r="AI69" i="16"/>
  <c r="AE69" i="16"/>
  <c r="AF69" i="16"/>
  <c r="AG69" i="16"/>
  <c r="AH119" i="16"/>
  <c r="AG119" i="16"/>
  <c r="AF119" i="16"/>
  <c r="AI119" i="16"/>
  <c r="AE119" i="16"/>
  <c r="AJ108" i="16"/>
  <c r="AJ119" i="16"/>
  <c r="AK199" i="16"/>
  <c r="AJ168" i="16"/>
  <c r="AJ95" i="16"/>
  <c r="AJ142" i="16"/>
  <c r="AJ327" i="16" s="1"/>
  <c r="AJ69" i="16"/>
  <c r="AJ154" i="16"/>
  <c r="AK200" i="16"/>
  <c r="AC108" i="16"/>
  <c r="AC348" i="16" s="1"/>
  <c r="AC168" i="16"/>
  <c r="AC142" i="16"/>
  <c r="AC119" i="16"/>
  <c r="AC154" i="16"/>
  <c r="AC69" i="16"/>
  <c r="AC95" i="16"/>
  <c r="AG143" i="16"/>
  <c r="AI143" i="16"/>
  <c r="AF143" i="16"/>
  <c r="AH143" i="16"/>
  <c r="AI556" i="16"/>
  <c r="AK556" i="16" s="1"/>
  <c r="AC650" i="16"/>
  <c r="AK650" i="16" s="1"/>
  <c r="AC644" i="16"/>
  <c r="AK644" i="16" s="1"/>
  <c r="AK625" i="16"/>
  <c r="AJ608" i="16"/>
  <c r="AJ729" i="16" s="1"/>
  <c r="AJ616" i="16"/>
  <c r="AJ623" i="16"/>
  <c r="AJ588" i="16"/>
  <c r="AC655" i="16"/>
  <c r="AJ591" i="16"/>
  <c r="AJ682" i="16"/>
  <c r="AC561" i="16"/>
  <c r="AE600" i="16"/>
  <c r="AE729" i="16" s="1"/>
  <c r="AC589" i="16"/>
  <c r="AD652" i="16"/>
  <c r="AH399" i="16"/>
  <c r="AD618" i="16"/>
  <c r="AJ570" i="16"/>
  <c r="AJ725" i="16" s="1"/>
  <c r="AD640" i="16"/>
  <c r="AJ626" i="16"/>
  <c r="AC642" i="16"/>
  <c r="AC585" i="16"/>
  <c r="AC726" i="16" s="1"/>
  <c r="AJ634" i="16"/>
  <c r="AD621" i="16"/>
  <c r="AJ619" i="16"/>
  <c r="AJ649" i="16"/>
  <c r="AJ629" i="16"/>
  <c r="AD615" i="16"/>
  <c r="AD552" i="16"/>
  <c r="O144" i="18"/>
  <c r="N138" i="18"/>
  <c r="D140" i="18" s="1"/>
  <c r="R148" i="18"/>
  <c r="K45" i="15"/>
  <c r="K27" i="15"/>
  <c r="K44" i="15"/>
  <c r="K29" i="15"/>
  <c r="K86" i="15"/>
  <c r="K75" i="15"/>
  <c r="K51" i="15"/>
  <c r="K58" i="15"/>
  <c r="K63" i="15"/>
  <c r="K60" i="15"/>
  <c r="K33" i="15"/>
  <c r="K72" i="15"/>
  <c r="K57" i="15"/>
  <c r="K77" i="15"/>
  <c r="K69" i="15"/>
  <c r="K78" i="15"/>
  <c r="K53" i="15"/>
  <c r="K68" i="15"/>
  <c r="K64" i="15"/>
  <c r="G27" i="15"/>
  <c r="K16" i="15"/>
  <c r="AF725" i="16" l="1"/>
  <c r="AE726" i="16"/>
  <c r="AJ329" i="16"/>
  <c r="AI726" i="16"/>
  <c r="AK183" i="16"/>
  <c r="AE725" i="16"/>
  <c r="AG725" i="16"/>
  <c r="AI725" i="16"/>
  <c r="AJ710" i="16"/>
  <c r="AK710" i="16" s="1"/>
  <c r="AC327" i="16"/>
  <c r="AK358" i="16"/>
  <c r="AK342" i="16"/>
  <c r="AK352" i="16"/>
  <c r="AC329" i="16"/>
  <c r="AK288" i="16"/>
  <c r="AK333" i="16"/>
  <c r="AD329" i="16"/>
  <c r="AC328" i="16"/>
  <c r="AC350" i="16"/>
  <c r="AJ349" i="16"/>
  <c r="AJ326" i="16"/>
  <c r="AF349" i="16"/>
  <c r="AF326" i="16"/>
  <c r="AG323" i="16"/>
  <c r="AG345" i="16"/>
  <c r="AH323" i="16"/>
  <c r="AH345" i="16"/>
  <c r="AH327" i="16"/>
  <c r="AD324" i="16"/>
  <c r="AD346" i="16"/>
  <c r="AD326" i="16"/>
  <c r="AD349" i="16"/>
  <c r="AE350" i="16"/>
  <c r="AE328" i="16"/>
  <c r="AF11" i="16"/>
  <c r="AF348" i="16"/>
  <c r="AI346" i="16"/>
  <c r="AI324" i="16"/>
  <c r="AG329" i="16"/>
  <c r="AE329" i="16"/>
  <c r="AG325" i="16"/>
  <c r="AG347" i="16"/>
  <c r="AC349" i="16"/>
  <c r="AC326" i="16"/>
  <c r="AJ325" i="16"/>
  <c r="AJ347" i="16"/>
  <c r="AJ11" i="16"/>
  <c r="AJ348" i="16"/>
  <c r="AG349" i="16"/>
  <c r="AG326" i="16"/>
  <c r="AF345" i="16"/>
  <c r="AF323" i="16"/>
  <c r="AE327" i="16"/>
  <c r="AD11" i="16"/>
  <c r="AD348" i="16"/>
  <c r="AD347" i="16"/>
  <c r="AD325" i="16"/>
  <c r="AG328" i="16"/>
  <c r="AG350" i="16"/>
  <c r="AI11" i="16"/>
  <c r="AI348" i="16"/>
  <c r="AH324" i="16"/>
  <c r="AH346" i="16"/>
  <c r="AI329" i="16"/>
  <c r="AE325" i="16"/>
  <c r="AE347" i="16"/>
  <c r="AH347" i="16"/>
  <c r="AH325" i="16"/>
  <c r="AC325" i="16"/>
  <c r="AC347" i="16"/>
  <c r="AJ350" i="16"/>
  <c r="AJ328" i="16"/>
  <c r="AE326" i="16"/>
  <c r="AE349" i="16"/>
  <c r="AH326" i="16"/>
  <c r="AH349" i="16"/>
  <c r="AE323" i="16"/>
  <c r="AE345" i="16"/>
  <c r="AC324" i="16"/>
  <c r="AC346" i="16"/>
  <c r="AI327" i="16"/>
  <c r="AD328" i="16"/>
  <c r="AD350" i="16"/>
  <c r="AD327" i="16"/>
  <c r="AI350" i="16"/>
  <c r="AI328" i="16"/>
  <c r="AF350" i="16"/>
  <c r="AF328" i="16"/>
  <c r="AE11" i="16"/>
  <c r="AE348" i="16"/>
  <c r="AF324" i="16"/>
  <c r="AF346" i="16"/>
  <c r="AH329" i="16"/>
  <c r="AI325" i="16"/>
  <c r="AI347" i="16"/>
  <c r="AC323" i="16"/>
  <c r="AC345" i="16"/>
  <c r="AJ345" i="16"/>
  <c r="AJ323" i="16"/>
  <c r="AI326" i="16"/>
  <c r="AI349" i="16"/>
  <c r="AI323" i="16"/>
  <c r="AI345" i="16"/>
  <c r="AE346" i="16"/>
  <c r="AE324" i="16"/>
  <c r="AF327" i="16"/>
  <c r="AG327" i="16"/>
  <c r="AD323" i="16"/>
  <c r="AD345" i="16"/>
  <c r="AJ346" i="16"/>
  <c r="AJ324" i="16"/>
  <c r="AH328" i="16"/>
  <c r="AH350" i="16"/>
  <c r="AH11" i="16"/>
  <c r="AH348" i="16"/>
  <c r="AG11" i="16"/>
  <c r="AG348" i="16"/>
  <c r="AG324" i="16"/>
  <c r="AG346" i="16"/>
  <c r="AF329" i="16"/>
  <c r="AF325" i="16"/>
  <c r="AF347" i="16"/>
  <c r="AG15" i="16"/>
  <c r="AK120" i="16"/>
  <c r="AK155" i="16"/>
  <c r="AK70" i="16"/>
  <c r="AK169" i="16"/>
  <c r="AK95" i="16"/>
  <c r="AC10" i="16"/>
  <c r="AC36" i="16"/>
  <c r="AC54" i="16"/>
  <c r="AK142" i="16"/>
  <c r="AC38" i="16"/>
  <c r="AC13" i="16"/>
  <c r="AC56" i="16"/>
  <c r="AJ39" i="16"/>
  <c r="AJ14" i="16"/>
  <c r="AJ57" i="16"/>
  <c r="AJ15" i="16"/>
  <c r="AJ58" i="16"/>
  <c r="AJ40" i="16"/>
  <c r="AE55" i="16"/>
  <c r="AE37" i="16"/>
  <c r="AE12" i="16"/>
  <c r="AH55" i="16"/>
  <c r="AH12" i="16"/>
  <c r="AH37" i="16"/>
  <c r="AE34" i="16"/>
  <c r="AE52" i="16"/>
  <c r="AE8" i="16"/>
  <c r="AK83" i="16"/>
  <c r="AC35" i="16"/>
  <c r="AC9" i="16"/>
  <c r="AC53" i="16"/>
  <c r="AI38" i="16"/>
  <c r="AI13" i="16"/>
  <c r="AI56" i="16"/>
  <c r="AD39" i="16"/>
  <c r="AD57" i="16"/>
  <c r="AD14" i="16"/>
  <c r="AD38" i="16"/>
  <c r="AD13" i="16"/>
  <c r="AD56" i="16"/>
  <c r="AK62" i="16"/>
  <c r="AI14" i="16"/>
  <c r="AI39" i="16"/>
  <c r="AI57" i="16"/>
  <c r="AF39" i="16"/>
  <c r="AF14" i="16"/>
  <c r="AF57" i="16"/>
  <c r="AF35" i="16"/>
  <c r="AF9" i="16"/>
  <c r="AF53" i="16"/>
  <c r="AH15" i="16"/>
  <c r="AH58" i="16"/>
  <c r="AH40" i="16"/>
  <c r="AI10" i="16"/>
  <c r="AI54" i="16"/>
  <c r="AI36" i="16"/>
  <c r="AK69" i="16"/>
  <c r="AC34" i="16"/>
  <c r="AC8" i="16"/>
  <c r="AC52" i="16"/>
  <c r="AK168" i="16"/>
  <c r="AC15" i="16"/>
  <c r="AC58" i="16"/>
  <c r="AC40" i="16"/>
  <c r="AJ34" i="16"/>
  <c r="AJ52" i="16"/>
  <c r="AJ8" i="16"/>
  <c r="AI55" i="16"/>
  <c r="AI12" i="16"/>
  <c r="AI37" i="16"/>
  <c r="AI34" i="16"/>
  <c r="AI52" i="16"/>
  <c r="AI8" i="16"/>
  <c r="AK143" i="16"/>
  <c r="AE35" i="16"/>
  <c r="AE53" i="16"/>
  <c r="AE9" i="16"/>
  <c r="AF13" i="16"/>
  <c r="AF56" i="16"/>
  <c r="AF38" i="16"/>
  <c r="AG38" i="16"/>
  <c r="AG13" i="16"/>
  <c r="AG56" i="16"/>
  <c r="AD52" i="16"/>
  <c r="AD8" i="16"/>
  <c r="AD34" i="16"/>
  <c r="AJ35" i="16"/>
  <c r="AJ9" i="16"/>
  <c r="AJ53" i="16"/>
  <c r="AH39" i="16"/>
  <c r="AH14" i="16"/>
  <c r="AH57" i="16"/>
  <c r="AG35" i="16"/>
  <c r="AG9" i="16"/>
  <c r="AG53" i="16"/>
  <c r="AK19" i="16"/>
  <c r="AF15" i="16"/>
  <c r="AF58" i="16"/>
  <c r="AF40" i="16"/>
  <c r="AK24" i="16"/>
  <c r="AF10" i="16"/>
  <c r="AF54" i="16"/>
  <c r="AF36" i="16"/>
  <c r="AK154" i="16"/>
  <c r="AC39" i="16"/>
  <c r="AC14" i="16"/>
  <c r="AC57" i="16"/>
  <c r="AK108" i="16"/>
  <c r="AC11" i="16"/>
  <c r="AJ38" i="16"/>
  <c r="AJ56" i="16"/>
  <c r="AJ13" i="16"/>
  <c r="AJ55" i="16"/>
  <c r="AJ37" i="16"/>
  <c r="AJ12" i="16"/>
  <c r="AF55" i="16"/>
  <c r="AF37" i="16"/>
  <c r="AF12" i="16"/>
  <c r="AG34" i="16"/>
  <c r="AG8" i="16"/>
  <c r="AG52" i="16"/>
  <c r="AH34" i="16"/>
  <c r="AH8" i="16"/>
  <c r="AH52" i="16"/>
  <c r="AH38" i="16"/>
  <c r="AH56" i="16"/>
  <c r="AH13" i="16"/>
  <c r="AD35" i="16"/>
  <c r="AD53" i="16"/>
  <c r="AD9" i="16"/>
  <c r="AD15" i="16"/>
  <c r="AD40" i="16"/>
  <c r="AD58" i="16"/>
  <c r="AD55" i="16"/>
  <c r="AD12" i="16"/>
  <c r="AD37" i="16"/>
  <c r="AE14" i="16"/>
  <c r="AE57" i="16"/>
  <c r="AI35" i="16"/>
  <c r="AI9" i="16"/>
  <c r="AI53" i="16"/>
  <c r="AG58" i="16"/>
  <c r="AG40" i="16"/>
  <c r="AE15" i="16"/>
  <c r="AE40" i="16"/>
  <c r="AE58" i="16"/>
  <c r="AG54" i="16"/>
  <c r="AG36" i="16"/>
  <c r="AG10" i="16"/>
  <c r="AK119" i="16"/>
  <c r="AC55" i="16"/>
  <c r="AC37" i="16"/>
  <c r="AC12" i="16"/>
  <c r="AJ54" i="16"/>
  <c r="AJ36" i="16"/>
  <c r="AJ10" i="16"/>
  <c r="AG55" i="16"/>
  <c r="AG37" i="16"/>
  <c r="AG12" i="16"/>
  <c r="AF34" i="16"/>
  <c r="AF8" i="16"/>
  <c r="AF52" i="16"/>
  <c r="AE38" i="16"/>
  <c r="AE13" i="16"/>
  <c r="AE56" i="16"/>
  <c r="AD10" i="16"/>
  <c r="AD54" i="16"/>
  <c r="AD36" i="16"/>
  <c r="AG39" i="16"/>
  <c r="AG14" i="16"/>
  <c r="AG57" i="16"/>
  <c r="AH35" i="16"/>
  <c r="AH53" i="16"/>
  <c r="AH9" i="16"/>
  <c r="AI15" i="16"/>
  <c r="AI58" i="16"/>
  <c r="AI40" i="16"/>
  <c r="AE10" i="16"/>
  <c r="AE36" i="16"/>
  <c r="AE54" i="16"/>
  <c r="AH36" i="16"/>
  <c r="AH10" i="16"/>
  <c r="AH54" i="16"/>
  <c r="AK44" i="16"/>
  <c r="AD509" i="16"/>
  <c r="AK509" i="16" s="1"/>
  <c r="AD496" i="16"/>
  <c r="AK496" i="16" s="1"/>
  <c r="AE490" i="16"/>
  <c r="AI490" i="16"/>
  <c r="AF490" i="16"/>
  <c r="AG490" i="16"/>
  <c r="AH490" i="16"/>
  <c r="AD632" i="16"/>
  <c r="AK632" i="16" s="1"/>
  <c r="AD495" i="16"/>
  <c r="AK495" i="16" s="1"/>
  <c r="AD518" i="16"/>
  <c r="AK518" i="16" s="1"/>
  <c r="AC524" i="16"/>
  <c r="AK524" i="16" s="1"/>
  <c r="AG468" i="16"/>
  <c r="AK468" i="16" s="1"/>
  <c r="AD565" i="16"/>
  <c r="AK565" i="16" s="1"/>
  <c r="AF435" i="16"/>
  <c r="AK435" i="16" s="1"/>
  <c r="AD574" i="16"/>
  <c r="AK574" i="16" s="1"/>
  <c r="AD521" i="16"/>
  <c r="AK521" i="16" s="1"/>
  <c r="AD601" i="16"/>
  <c r="AK601" i="16" s="1"/>
  <c r="AD522" i="16"/>
  <c r="AK522" i="16" s="1"/>
  <c r="AD449" i="16"/>
  <c r="AK449" i="16" s="1"/>
  <c r="AE501" i="16"/>
  <c r="AK501" i="16" s="1"/>
  <c r="AF479" i="16"/>
  <c r="AF719" i="16" s="1"/>
  <c r="AE479" i="16"/>
  <c r="AI479" i="16"/>
  <c r="AG479" i="16"/>
  <c r="AG719" i="16" s="1"/>
  <c r="AH479" i="16"/>
  <c r="AH719" i="16" s="1"/>
  <c r="AD566" i="16"/>
  <c r="AK566" i="16" s="1"/>
  <c r="AC453" i="16"/>
  <c r="AK453" i="16" s="1"/>
  <c r="AF466" i="16"/>
  <c r="AF718" i="16" s="1"/>
  <c r="AG466" i="16"/>
  <c r="AI466" i="16"/>
  <c r="AE466" i="16"/>
  <c r="AH466" i="16"/>
  <c r="AH718" i="16" s="1"/>
  <c r="AH559" i="16"/>
  <c r="AK559" i="16" s="1"/>
  <c r="AD482" i="16"/>
  <c r="AK482" i="16" s="1"/>
  <c r="AD487" i="16"/>
  <c r="AK487" i="16" s="1"/>
  <c r="AC489" i="16"/>
  <c r="AK489" i="16" s="1"/>
  <c r="AD569" i="16"/>
  <c r="AK569" i="16" s="1"/>
  <c r="AD675" i="16"/>
  <c r="AK675" i="16" s="1"/>
  <c r="AD388" i="16"/>
  <c r="AK388" i="16" s="1"/>
  <c r="AG701" i="16"/>
  <c r="AK701" i="16" s="1"/>
  <c r="AD527" i="16"/>
  <c r="AK527" i="16" s="1"/>
  <c r="AD605" i="16"/>
  <c r="AK605" i="16" s="1"/>
  <c r="AI436" i="16"/>
  <c r="AK436" i="16" s="1"/>
  <c r="AD450" i="16"/>
  <c r="AK450" i="16" s="1"/>
  <c r="AE459" i="16"/>
  <c r="AK459" i="16" s="1"/>
  <c r="AE471" i="16"/>
  <c r="AK471" i="16" s="1"/>
  <c r="AD606" i="16"/>
  <c r="AK606" i="16" s="1"/>
  <c r="AD541" i="16"/>
  <c r="AK541" i="16" s="1"/>
  <c r="AH659" i="16"/>
  <c r="AF659" i="16"/>
  <c r="AI659" i="16"/>
  <c r="AE390" i="16"/>
  <c r="AE433" i="16"/>
  <c r="AE659" i="16"/>
  <c r="AE395" i="16"/>
  <c r="AE713" i="16" s="1"/>
  <c r="AE415" i="16"/>
  <c r="AE704" i="16"/>
  <c r="AE554" i="16"/>
  <c r="AE723" i="16" s="1"/>
  <c r="AD493" i="16"/>
  <c r="AK493" i="16" s="1"/>
  <c r="AI704" i="16"/>
  <c r="AF704" i="16"/>
  <c r="AH704" i="16"/>
  <c r="AF433" i="16"/>
  <c r="AH433" i="16"/>
  <c r="AI433" i="16"/>
  <c r="AJ511" i="16"/>
  <c r="AK511" i="16" s="1"/>
  <c r="AH525" i="16"/>
  <c r="AF525" i="16"/>
  <c r="AE525" i="16"/>
  <c r="AI525" i="16"/>
  <c r="AG525" i="16"/>
  <c r="AD520" i="16"/>
  <c r="AK520" i="16" s="1"/>
  <c r="AD597" i="16"/>
  <c r="AK597" i="16" s="1"/>
  <c r="AC609" i="16"/>
  <c r="AC729" i="16" s="1"/>
  <c r="AD413" i="16"/>
  <c r="AK413" i="16" s="1"/>
  <c r="AI485" i="16"/>
  <c r="AK485" i="16" s="1"/>
  <c r="AD677" i="16"/>
  <c r="AK677" i="16" s="1"/>
  <c r="AD455" i="16"/>
  <c r="AK455" i="16" s="1"/>
  <c r="AD611" i="16"/>
  <c r="AK611" i="16" s="1"/>
  <c r="AD679" i="16"/>
  <c r="AK679" i="16" s="1"/>
  <c r="AI526" i="16"/>
  <c r="AG526" i="16"/>
  <c r="AH526" i="16"/>
  <c r="AF526" i="16"/>
  <c r="AF417" i="16"/>
  <c r="AK417" i="16" s="1"/>
  <c r="AJ377" i="16"/>
  <c r="AK377" i="16" s="1"/>
  <c r="AD547" i="16"/>
  <c r="AK547" i="16" s="1"/>
  <c r="AD686" i="16"/>
  <c r="AK686" i="16" s="1"/>
  <c r="AD444" i="16"/>
  <c r="AK444" i="16" s="1"/>
  <c r="AF540" i="16"/>
  <c r="AI540" i="16"/>
  <c r="AG540" i="16"/>
  <c r="AH540" i="16"/>
  <c r="AG454" i="16"/>
  <c r="AI454" i="16"/>
  <c r="AF454" i="16"/>
  <c r="AF717" i="16" s="1"/>
  <c r="AH454" i="16"/>
  <c r="AH717" i="16" s="1"/>
  <c r="AD578" i="16"/>
  <c r="AK578" i="16" s="1"/>
  <c r="AC466" i="16"/>
  <c r="AC525" i="16"/>
  <c r="AC490" i="16"/>
  <c r="AC513" i="16"/>
  <c r="AC539" i="16"/>
  <c r="AC479" i="16"/>
  <c r="AC440" i="16"/>
  <c r="AC663" i="16"/>
  <c r="AK663" i="16" s="1"/>
  <c r="AD510" i="16"/>
  <c r="AK510" i="16" s="1"/>
  <c r="AD469" i="16"/>
  <c r="AK469" i="16" s="1"/>
  <c r="AD595" i="16"/>
  <c r="AK595" i="16" s="1"/>
  <c r="AE440" i="16"/>
  <c r="AH440" i="16"/>
  <c r="AG440" i="16"/>
  <c r="AI440" i="16"/>
  <c r="AF440" i="16"/>
  <c r="AD474" i="16"/>
  <c r="AK474" i="16" s="1"/>
  <c r="AD580" i="16"/>
  <c r="AK580" i="16" s="1"/>
  <c r="AC708" i="16"/>
  <c r="AK708" i="16" s="1"/>
  <c r="AI502" i="16"/>
  <c r="AK502" i="16" s="1"/>
  <c r="AD476" i="16"/>
  <c r="AK476" i="16" s="1"/>
  <c r="AH660" i="16"/>
  <c r="AK660" i="16" s="1"/>
  <c r="AD683" i="16"/>
  <c r="AK683" i="16" s="1"/>
  <c r="AD576" i="16"/>
  <c r="AK576" i="16" s="1"/>
  <c r="AJ419" i="16"/>
  <c r="AK419" i="16" s="1"/>
  <c r="AH558" i="16"/>
  <c r="AK558" i="16" s="1"/>
  <c r="AD680" i="16"/>
  <c r="AK680" i="16" s="1"/>
  <c r="AC437" i="16"/>
  <c r="AK437" i="16" s="1"/>
  <c r="AD579" i="16"/>
  <c r="AK579" i="16" s="1"/>
  <c r="AJ466" i="16"/>
  <c r="AJ539" i="16"/>
  <c r="AJ513" i="16"/>
  <c r="AJ440" i="16"/>
  <c r="AJ479" i="16"/>
  <c r="AJ490" i="16"/>
  <c r="AJ525" i="16"/>
  <c r="AD545" i="16"/>
  <c r="AK545" i="16" s="1"/>
  <c r="AK593" i="16"/>
  <c r="AD463" i="16"/>
  <c r="AK463" i="16" s="1"/>
  <c r="AD473" i="16"/>
  <c r="AK473" i="16" s="1"/>
  <c r="AI491" i="16"/>
  <c r="AH491" i="16"/>
  <c r="AG491" i="16"/>
  <c r="AF491" i="16"/>
  <c r="AG497" i="16"/>
  <c r="AK497" i="16" s="1"/>
  <c r="AG391" i="16"/>
  <c r="AK391" i="16" s="1"/>
  <c r="AH403" i="16"/>
  <c r="AK403" i="16" s="1"/>
  <c r="AG542" i="16"/>
  <c r="AK542" i="16" s="1"/>
  <c r="AG457" i="16"/>
  <c r="AK457" i="16" s="1"/>
  <c r="AD563" i="16"/>
  <c r="AK563" i="16" s="1"/>
  <c r="AD702" i="16"/>
  <c r="AK702" i="16" s="1"/>
  <c r="AD442" i="16"/>
  <c r="AK442" i="16" s="1"/>
  <c r="AJ488" i="16"/>
  <c r="AK488" i="16" s="1"/>
  <c r="AJ514" i="16"/>
  <c r="AJ454" i="16"/>
  <c r="AJ526" i="16"/>
  <c r="AJ491" i="16"/>
  <c r="AJ441" i="16"/>
  <c r="AJ540" i="16"/>
  <c r="AI447" i="16"/>
  <c r="AK447" i="16" s="1"/>
  <c r="AG390" i="16"/>
  <c r="AG659" i="16"/>
  <c r="AG433" i="16"/>
  <c r="AG704" i="16"/>
  <c r="AG415" i="16"/>
  <c r="AG395" i="16"/>
  <c r="AG713" i="16" s="1"/>
  <c r="AG554" i="16"/>
  <c r="AG723" i="16" s="1"/>
  <c r="AD573" i="16"/>
  <c r="AK573" i="16" s="1"/>
  <c r="AJ393" i="16"/>
  <c r="AK393" i="16" s="1"/>
  <c r="AD594" i="16"/>
  <c r="AC465" i="16"/>
  <c r="AK465" i="16" s="1"/>
  <c r="AJ477" i="16"/>
  <c r="AK477" i="16" s="1"/>
  <c r="AD562" i="16"/>
  <c r="AI472" i="16"/>
  <c r="AK472" i="16" s="1"/>
  <c r="AG516" i="16"/>
  <c r="AK516" i="16" s="1"/>
  <c r="AD587" i="16"/>
  <c r="AK587" i="16" s="1"/>
  <c r="AG387" i="16"/>
  <c r="AK387" i="16" s="1"/>
  <c r="AJ523" i="16"/>
  <c r="AK523" i="16" s="1"/>
  <c r="AD599" i="16"/>
  <c r="AK599" i="16" s="1"/>
  <c r="AD462" i="16"/>
  <c r="AK462" i="16" s="1"/>
  <c r="AD544" i="16"/>
  <c r="AK544" i="16" s="1"/>
  <c r="AI483" i="16"/>
  <c r="AK483" i="16" s="1"/>
  <c r="AD602" i="16"/>
  <c r="AK602" i="16" s="1"/>
  <c r="AD687" i="16"/>
  <c r="AK687" i="16" s="1"/>
  <c r="AH692" i="16"/>
  <c r="AK692" i="16" s="1"/>
  <c r="AD498" i="16"/>
  <c r="AK498" i="16" s="1"/>
  <c r="AD507" i="16"/>
  <c r="AK507" i="16" s="1"/>
  <c r="AC551" i="16"/>
  <c r="AK551" i="16" s="1"/>
  <c r="AD583" i="16"/>
  <c r="AK583" i="16" s="1"/>
  <c r="AJ452" i="16"/>
  <c r="AK452" i="16" s="1"/>
  <c r="AE446" i="16"/>
  <c r="AK446" i="16" s="1"/>
  <c r="AD548" i="16"/>
  <c r="AK548" i="16" s="1"/>
  <c r="AD676" i="16"/>
  <c r="AK676" i="16" s="1"/>
  <c r="AE531" i="16"/>
  <c r="AK531" i="16" s="1"/>
  <c r="AH422" i="16"/>
  <c r="AK422" i="16" s="1"/>
  <c r="AF396" i="16"/>
  <c r="AK396" i="16" s="1"/>
  <c r="AD492" i="16"/>
  <c r="AK492" i="16" s="1"/>
  <c r="AG434" i="16"/>
  <c r="AK434" i="16" s="1"/>
  <c r="AD681" i="16"/>
  <c r="AK681" i="16" s="1"/>
  <c r="AD480" i="16"/>
  <c r="AK480" i="16" s="1"/>
  <c r="AD389" i="16"/>
  <c r="AK389" i="16" s="1"/>
  <c r="AF555" i="16"/>
  <c r="AK555" i="16" s="1"/>
  <c r="AC630" i="16"/>
  <c r="AK630" i="16" s="1"/>
  <c r="AC647" i="16"/>
  <c r="AK647" i="16" s="1"/>
  <c r="AD612" i="16"/>
  <c r="AK612" i="16" s="1"/>
  <c r="AD494" i="16"/>
  <c r="AK494" i="16" s="1"/>
  <c r="AI500" i="16"/>
  <c r="AK500" i="16" s="1"/>
  <c r="AD515" i="16"/>
  <c r="AK515" i="16" s="1"/>
  <c r="AD506" i="16"/>
  <c r="AK506" i="16" s="1"/>
  <c r="AD461" i="16"/>
  <c r="AK461" i="16" s="1"/>
  <c r="AI395" i="16"/>
  <c r="AF395" i="16"/>
  <c r="AH395" i="16"/>
  <c r="AH713" i="16" s="1"/>
  <c r="AD486" i="16"/>
  <c r="AK486" i="16" s="1"/>
  <c r="AH432" i="16"/>
  <c r="AK432" i="16" s="1"/>
  <c r="AD688" i="16"/>
  <c r="AK688" i="16" s="1"/>
  <c r="AD603" i="16"/>
  <c r="AK603" i="16" s="1"/>
  <c r="AD678" i="16"/>
  <c r="AK678" i="16" s="1"/>
  <c r="AD631" i="16"/>
  <c r="AK631" i="16" s="1"/>
  <c r="AD564" i="16"/>
  <c r="AK564" i="16" s="1"/>
  <c r="AC478" i="16"/>
  <c r="AK478" i="16" s="1"/>
  <c r="AD456" i="16"/>
  <c r="AK456" i="16" s="1"/>
  <c r="AD596" i="16"/>
  <c r="AK596" i="16" s="1"/>
  <c r="AD499" i="16"/>
  <c r="AK499" i="16" s="1"/>
  <c r="AD622" i="16"/>
  <c r="AK622" i="16" s="1"/>
  <c r="AF390" i="16"/>
  <c r="AH390" i="16"/>
  <c r="AI390" i="16"/>
  <c r="AD685" i="16"/>
  <c r="AK685" i="16" s="1"/>
  <c r="AH703" i="16"/>
  <c r="AK703" i="16" s="1"/>
  <c r="AD534" i="16"/>
  <c r="AK534" i="16" s="1"/>
  <c r="AI441" i="16"/>
  <c r="AH441" i="16"/>
  <c r="AF441" i="16"/>
  <c r="AG441" i="16"/>
  <c r="AD572" i="16"/>
  <c r="AF514" i="16"/>
  <c r="AH514" i="16"/>
  <c r="AI514" i="16"/>
  <c r="AG514" i="16"/>
  <c r="AD604" i="16"/>
  <c r="AK604" i="16" s="1"/>
  <c r="AG529" i="16"/>
  <c r="AK529" i="16" s="1"/>
  <c r="AJ549" i="16"/>
  <c r="AK549" i="16" s="1"/>
  <c r="AI397" i="16"/>
  <c r="AK397" i="16" s="1"/>
  <c r="AD633" i="16"/>
  <c r="AK633" i="16" s="1"/>
  <c r="AE491" i="16"/>
  <c r="AE441" i="16"/>
  <c r="AE454" i="16"/>
  <c r="AE526" i="16"/>
  <c r="AE514" i="16"/>
  <c r="AE540" i="16"/>
  <c r="AC557" i="16"/>
  <c r="AK557" i="16" s="1"/>
  <c r="AJ662" i="16"/>
  <c r="AK662" i="16" s="1"/>
  <c r="AD508" i="16"/>
  <c r="AK508" i="16" s="1"/>
  <c r="AD443" i="16"/>
  <c r="AK443" i="16" s="1"/>
  <c r="AD519" i="16"/>
  <c r="AK519" i="16" s="1"/>
  <c r="AD690" i="16"/>
  <c r="AK690" i="16" s="1"/>
  <c r="AC394" i="16"/>
  <c r="AK394" i="16" s="1"/>
  <c r="AI707" i="16"/>
  <c r="AK707" i="16" s="1"/>
  <c r="AF415" i="16"/>
  <c r="AH415" i="16"/>
  <c r="AI415" i="16"/>
  <c r="AC538" i="16"/>
  <c r="AK538" i="16" s="1"/>
  <c r="AD481" i="16"/>
  <c r="AK481" i="16" s="1"/>
  <c r="AD533" i="16"/>
  <c r="AK533" i="16" s="1"/>
  <c r="AD575" i="16"/>
  <c r="AK575" i="16" s="1"/>
  <c r="AD582" i="16"/>
  <c r="AK582" i="16" s="1"/>
  <c r="AJ537" i="16"/>
  <c r="AK537" i="16" s="1"/>
  <c r="AD528" i="16"/>
  <c r="AK528" i="16" s="1"/>
  <c r="AH414" i="16"/>
  <c r="AK414" i="16" s="1"/>
  <c r="AD530" i="16"/>
  <c r="AK530" i="16" s="1"/>
  <c r="AD503" i="16"/>
  <c r="AK503" i="16" s="1"/>
  <c r="AD674" i="16"/>
  <c r="AK674" i="16" s="1"/>
  <c r="AC378" i="16"/>
  <c r="AK378" i="16" s="1"/>
  <c r="AG705" i="16"/>
  <c r="AK705" i="16" s="1"/>
  <c r="AD504" i="16"/>
  <c r="AK504" i="16" s="1"/>
  <c r="AD467" i="16"/>
  <c r="AK467" i="16" s="1"/>
  <c r="AD586" i="16"/>
  <c r="AK586" i="16" s="1"/>
  <c r="AD581" i="16"/>
  <c r="AK581" i="16" s="1"/>
  <c r="AD543" i="16"/>
  <c r="AK543" i="16" s="1"/>
  <c r="AD505" i="16"/>
  <c r="AK505" i="16" s="1"/>
  <c r="AC540" i="16"/>
  <c r="AC491" i="16"/>
  <c r="AC454" i="16"/>
  <c r="AC441" i="16"/>
  <c r="AC526" i="16"/>
  <c r="AC514" i="16"/>
  <c r="AG416" i="16"/>
  <c r="AK416" i="16" s="1"/>
  <c r="AC627" i="16"/>
  <c r="AK627" i="16" s="1"/>
  <c r="AD475" i="16"/>
  <c r="AK475" i="16" s="1"/>
  <c r="AD567" i="16"/>
  <c r="AK567" i="16" s="1"/>
  <c r="AD689" i="16"/>
  <c r="AK689" i="16" s="1"/>
  <c r="AI460" i="16"/>
  <c r="AK460" i="16" s="1"/>
  <c r="AD451" i="16"/>
  <c r="AK451" i="16" s="1"/>
  <c r="AI458" i="16"/>
  <c r="AK458" i="16" s="1"/>
  <c r="AD536" i="16"/>
  <c r="AK536" i="16" s="1"/>
  <c r="AD448" i="16"/>
  <c r="AK448" i="16" s="1"/>
  <c r="AD532" i="16"/>
  <c r="AK532" i="16" s="1"/>
  <c r="AI418" i="16"/>
  <c r="AK418" i="16" s="1"/>
  <c r="AD546" i="16"/>
  <c r="AK546" i="16" s="1"/>
  <c r="AD517" i="16"/>
  <c r="AK517" i="16" s="1"/>
  <c r="AH539" i="16"/>
  <c r="AF539" i="16"/>
  <c r="AG539" i="16"/>
  <c r="AE539" i="16"/>
  <c r="AI539" i="16"/>
  <c r="AC398" i="16"/>
  <c r="AK398" i="16" s="1"/>
  <c r="AD535" i="16"/>
  <c r="AK535" i="16" s="1"/>
  <c r="AF706" i="16"/>
  <c r="AK706" i="16" s="1"/>
  <c r="AD653" i="16"/>
  <c r="AK653" i="16" s="1"/>
  <c r="AG412" i="16"/>
  <c r="AK412" i="16" s="1"/>
  <c r="AD431" i="16"/>
  <c r="AK431" i="16" s="1"/>
  <c r="AF554" i="16"/>
  <c r="AI554" i="16"/>
  <c r="AI723" i="16" s="1"/>
  <c r="AH554" i="16"/>
  <c r="AH723" i="16" s="1"/>
  <c r="AG513" i="16"/>
  <c r="AH513" i="16"/>
  <c r="AE513" i="16"/>
  <c r="AI513" i="16"/>
  <c r="AF513" i="16"/>
  <c r="AD607" i="16"/>
  <c r="AK607" i="16" s="1"/>
  <c r="AE484" i="16"/>
  <c r="AK484" i="16" s="1"/>
  <c r="AI470" i="16"/>
  <c r="AK470" i="16" s="1"/>
  <c r="AD568" i="16"/>
  <c r="AK568" i="16" s="1"/>
  <c r="AI392" i="16"/>
  <c r="AK392" i="16" s="1"/>
  <c r="AG430" i="16"/>
  <c r="AK430" i="16" s="1"/>
  <c r="AC420" i="16"/>
  <c r="AK420" i="16" s="1"/>
  <c r="AC512" i="16"/>
  <c r="AK512" i="16" s="1"/>
  <c r="AD684" i="16"/>
  <c r="AK684" i="16" s="1"/>
  <c r="AD445" i="16"/>
  <c r="AK445" i="16" s="1"/>
  <c r="AJ464" i="16"/>
  <c r="AK464" i="16" s="1"/>
  <c r="AJ390" i="16"/>
  <c r="AJ433" i="16"/>
  <c r="AJ704" i="16"/>
  <c r="AJ659" i="16"/>
  <c r="AJ395" i="16"/>
  <c r="AJ713" i="16" s="1"/>
  <c r="AJ415" i="16"/>
  <c r="AJ554" i="16"/>
  <c r="AJ723" i="16" s="1"/>
  <c r="AK646" i="16"/>
  <c r="AK626" i="16"/>
  <c r="AK652" i="16"/>
  <c r="AK589" i="16"/>
  <c r="AK600" i="16"/>
  <c r="AK682" i="16"/>
  <c r="AK400" i="16"/>
  <c r="AK628" i="16"/>
  <c r="AK623" i="16"/>
  <c r="AK616" i="16"/>
  <c r="AK635" i="16"/>
  <c r="AK617" i="16"/>
  <c r="AK649" i="16"/>
  <c r="AK619" i="16"/>
  <c r="AK654" i="16"/>
  <c r="AK648" i="16"/>
  <c r="AK570" i="16"/>
  <c r="AK618" i="16"/>
  <c r="AK399" i="16"/>
  <c r="AK584" i="16"/>
  <c r="AK598" i="16"/>
  <c r="AK655" i="16"/>
  <c r="AK571" i="16"/>
  <c r="AK614" i="16"/>
  <c r="AK629" i="16"/>
  <c r="AK643" i="16"/>
  <c r="AK621" i="16"/>
  <c r="AK634" i="16"/>
  <c r="AK585" i="16"/>
  <c r="AK640" i="16"/>
  <c r="AK591" i="16"/>
  <c r="AK588" i="16"/>
  <c r="AK657" i="16"/>
  <c r="AK401" i="16"/>
  <c r="AK624" i="16"/>
  <c r="AK691" i="16"/>
  <c r="AK642" i="16"/>
  <c r="AK561" i="16"/>
  <c r="AK656" i="16"/>
  <c r="AJ661" i="16"/>
  <c r="AK661" i="16" s="1"/>
  <c r="K15" i="15"/>
  <c r="K13" i="15"/>
  <c r="K12" i="15"/>
  <c r="K17" i="15"/>
  <c r="K61" i="15"/>
  <c r="K30" i="15"/>
  <c r="K62" i="15"/>
  <c r="K11" i="15"/>
  <c r="K49" i="15"/>
  <c r="K65" i="15"/>
  <c r="K35" i="15"/>
  <c r="K28" i="15"/>
  <c r="K31" i="15"/>
  <c r="K10" i="15"/>
  <c r="K14" i="15"/>
  <c r="K32" i="15"/>
  <c r="K73" i="15"/>
  <c r="G28" i="15"/>
  <c r="K54" i="15"/>
  <c r="K74" i="15"/>
  <c r="K38" i="15"/>
  <c r="K41" i="15"/>
  <c r="K42" i="15"/>
  <c r="K50" i="15"/>
  <c r="K56" i="15"/>
  <c r="K55" i="15"/>
  <c r="K47" i="15"/>
  <c r="K76" i="15"/>
  <c r="K71" i="15"/>
  <c r="K67" i="15"/>
  <c r="E41" i="15"/>
  <c r="G41" i="15"/>
  <c r="E47" i="15"/>
  <c r="G47" i="15"/>
  <c r="E35" i="15"/>
  <c r="G35" i="15"/>
  <c r="E55" i="15"/>
  <c r="G55" i="15"/>
  <c r="E44" i="15"/>
  <c r="G44" i="15"/>
  <c r="E66" i="15"/>
  <c r="G66" i="15"/>
  <c r="E46" i="15"/>
  <c r="G46" i="15"/>
  <c r="E50" i="15"/>
  <c r="G50" i="15"/>
  <c r="E38" i="15"/>
  <c r="G38" i="15"/>
  <c r="E30" i="15"/>
  <c r="G30" i="15"/>
  <c r="E58" i="15"/>
  <c r="G58" i="15"/>
  <c r="E34" i="15"/>
  <c r="G34" i="15"/>
  <c r="E54" i="15"/>
  <c r="G54" i="15"/>
  <c r="K66" i="15"/>
  <c r="E81" i="15"/>
  <c r="G81" i="15"/>
  <c r="E37" i="15"/>
  <c r="G37" i="15"/>
  <c r="K34" i="15"/>
  <c r="E53" i="15"/>
  <c r="G53" i="15"/>
  <c r="E63" i="15"/>
  <c r="G63" i="15"/>
  <c r="E80" i="15"/>
  <c r="G80" i="15"/>
  <c r="E43" i="15"/>
  <c r="G43" i="15"/>
  <c r="E69" i="15"/>
  <c r="G69" i="15"/>
  <c r="K37" i="15"/>
  <c r="E31" i="15"/>
  <c r="G31" i="15"/>
  <c r="E49" i="15"/>
  <c r="G49" i="15"/>
  <c r="E45" i="15"/>
  <c r="G45" i="15"/>
  <c r="K48" i="15"/>
  <c r="G83" i="15"/>
  <c r="E83" i="15"/>
  <c r="E62" i="15"/>
  <c r="G62" i="15"/>
  <c r="K46" i="15"/>
  <c r="K59" i="15"/>
  <c r="K52" i="15"/>
  <c r="E56" i="15"/>
  <c r="G56" i="15"/>
  <c r="E48" i="15"/>
  <c r="G48" i="15"/>
  <c r="E40" i="15"/>
  <c r="G40" i="15"/>
  <c r="E42" i="15"/>
  <c r="G42" i="15"/>
  <c r="K40" i="15"/>
  <c r="E82" i="15"/>
  <c r="G82" i="15"/>
  <c r="E64" i="15"/>
  <c r="G64" i="15"/>
  <c r="E52" i="15"/>
  <c r="G52" i="15"/>
  <c r="E36" i="15"/>
  <c r="G36" i="15"/>
  <c r="K43" i="15"/>
  <c r="K36" i="15"/>
  <c r="K39" i="15"/>
  <c r="E32" i="15"/>
  <c r="G32" i="15"/>
  <c r="E39" i="15"/>
  <c r="G39" i="15"/>
  <c r="E57" i="15"/>
  <c r="G57" i="15"/>
  <c r="E61" i="15"/>
  <c r="G61" i="15"/>
  <c r="E29" i="15"/>
  <c r="G29" i="15"/>
  <c r="AK11" i="16" l="1"/>
  <c r="AE717" i="16"/>
  <c r="AC719" i="16"/>
  <c r="AG718" i="16"/>
  <c r="AC717" i="16"/>
  <c r="AJ720" i="16"/>
  <c r="AE718" i="16"/>
  <c r="AF713" i="16"/>
  <c r="AJ718" i="16"/>
  <c r="AJ717" i="16"/>
  <c r="AJ721" i="16"/>
  <c r="AF716" i="16"/>
  <c r="AE716" i="16"/>
  <c r="AG717" i="16"/>
  <c r="AI721" i="16"/>
  <c r="AI720" i="16"/>
  <c r="AD729" i="16"/>
  <c r="AK729" i="16" s="1"/>
  <c r="AI716" i="16"/>
  <c r="AC716" i="16"/>
  <c r="AC720" i="16"/>
  <c r="AE721" i="16"/>
  <c r="AI719" i="16"/>
  <c r="AH720" i="16"/>
  <c r="AE720" i="16"/>
  <c r="AD726" i="16"/>
  <c r="AK726" i="16" s="1"/>
  <c r="AD725" i="16"/>
  <c r="AK725" i="16" s="1"/>
  <c r="AJ719" i="16"/>
  <c r="AG716" i="16"/>
  <c r="AC721" i="16"/>
  <c r="AF721" i="16"/>
  <c r="AI718" i="16"/>
  <c r="AE719" i="16"/>
  <c r="AG720" i="16"/>
  <c r="AF723" i="16"/>
  <c r="AI713" i="16"/>
  <c r="AJ716" i="16"/>
  <c r="AH716" i="16"/>
  <c r="AC718" i="16"/>
  <c r="AI717" i="16"/>
  <c r="AG721" i="16"/>
  <c r="AH721" i="16"/>
  <c r="AF720" i="16"/>
  <c r="AK609" i="16"/>
  <c r="AG382" i="16"/>
  <c r="AK594" i="16"/>
  <c r="AK572" i="16"/>
  <c r="AH382" i="16"/>
  <c r="AF382" i="16"/>
  <c r="AK348" i="16"/>
  <c r="AK345" i="16"/>
  <c r="AK346" i="16"/>
  <c r="AK349" i="16"/>
  <c r="AK350" i="16"/>
  <c r="AK347" i="16"/>
  <c r="AC382" i="16"/>
  <c r="AK329" i="16"/>
  <c r="AF341" i="16"/>
  <c r="AK327" i="16"/>
  <c r="AG341" i="16"/>
  <c r="AK323" i="16"/>
  <c r="AK325" i="16"/>
  <c r="AH341" i="16"/>
  <c r="AJ341" i="16"/>
  <c r="AC341" i="16"/>
  <c r="AE341" i="16"/>
  <c r="AK324" i="16"/>
  <c r="AK326" i="16"/>
  <c r="AD341" i="16"/>
  <c r="AI341" i="16"/>
  <c r="AK328" i="16"/>
  <c r="AK55" i="16"/>
  <c r="AK37" i="16"/>
  <c r="AG31" i="16"/>
  <c r="AG50" i="16"/>
  <c r="AG322" i="16" s="1"/>
  <c r="AK40" i="16"/>
  <c r="AK52" i="16"/>
  <c r="AK56" i="16"/>
  <c r="AK54" i="16"/>
  <c r="AH31" i="16"/>
  <c r="AH50" i="16"/>
  <c r="AH322" i="16" s="1"/>
  <c r="AK57" i="16"/>
  <c r="AJ31" i="16"/>
  <c r="AJ50" i="16"/>
  <c r="AJ322" i="16" s="1"/>
  <c r="AK58" i="16"/>
  <c r="AK8" i="16"/>
  <c r="AC31" i="16"/>
  <c r="AC50" i="16"/>
  <c r="AC322" i="16" s="1"/>
  <c r="AK53" i="16"/>
  <c r="AE31" i="16"/>
  <c r="AE50" i="16"/>
  <c r="AE322" i="16" s="1"/>
  <c r="AK13" i="16"/>
  <c r="AK36" i="16"/>
  <c r="AK14" i="16"/>
  <c r="AK15" i="16"/>
  <c r="AK34" i="16"/>
  <c r="AK9" i="16"/>
  <c r="AK38" i="16"/>
  <c r="AK10" i="16"/>
  <c r="AF31" i="16"/>
  <c r="AF50" i="16"/>
  <c r="AF322" i="16" s="1"/>
  <c r="AK12" i="16"/>
  <c r="AK39" i="16"/>
  <c r="AD31" i="16"/>
  <c r="AD50" i="16"/>
  <c r="AD322" i="16" s="1"/>
  <c r="AI31" i="16"/>
  <c r="AI50" i="16"/>
  <c r="AI322" i="16" s="1"/>
  <c r="AK35" i="16"/>
  <c r="AF698" i="16"/>
  <c r="AF409" i="16"/>
  <c r="AF427" i="16"/>
  <c r="AF384" i="16"/>
  <c r="AG409" i="16"/>
  <c r="AG698" i="16"/>
  <c r="AG384" i="16"/>
  <c r="AG427" i="16"/>
  <c r="AF429" i="16"/>
  <c r="AF700" i="16"/>
  <c r="AF411" i="16"/>
  <c r="AF386" i="16"/>
  <c r="AD490" i="16"/>
  <c r="AD525" i="16"/>
  <c r="AD513" i="16"/>
  <c r="AD440" i="16"/>
  <c r="AD479" i="16"/>
  <c r="AD719" i="16" s="1"/>
  <c r="AD539" i="16"/>
  <c r="AD466" i="16"/>
  <c r="AD718" i="16" s="1"/>
  <c r="AJ423" i="16"/>
  <c r="AJ379" i="16"/>
  <c r="AJ694" i="16"/>
  <c r="AG694" i="16"/>
  <c r="AG405" i="16"/>
  <c r="AG379" i="16"/>
  <c r="AG423" i="16"/>
  <c r="AC699" i="16"/>
  <c r="AC385" i="16"/>
  <c r="AC428" i="16"/>
  <c r="AC410" i="16"/>
  <c r="AH695" i="16"/>
  <c r="AH424" i="16"/>
  <c r="AH406" i="16"/>
  <c r="AH380" i="16"/>
  <c r="AG428" i="16"/>
  <c r="AG385" i="16"/>
  <c r="AG699" i="16"/>
  <c r="AG410" i="16"/>
  <c r="AH699" i="16"/>
  <c r="AH385" i="16"/>
  <c r="AH428" i="16"/>
  <c r="AH410" i="16"/>
  <c r="AE696" i="16"/>
  <c r="AE425" i="16"/>
  <c r="AE381" i="16"/>
  <c r="AE407" i="16"/>
  <c r="AG697" i="16"/>
  <c r="AG408" i="16"/>
  <c r="AG426" i="16"/>
  <c r="AG383" i="16"/>
  <c r="AI409" i="16"/>
  <c r="AI384" i="16"/>
  <c r="AI427" i="16"/>
  <c r="AI698" i="16"/>
  <c r="AI700" i="16"/>
  <c r="AI429" i="16"/>
  <c r="AI386" i="16"/>
  <c r="AI411" i="16"/>
  <c r="AH700" i="16"/>
  <c r="AH429" i="16"/>
  <c r="AH411" i="16"/>
  <c r="AH386" i="16"/>
  <c r="AC695" i="16"/>
  <c r="AC406" i="16"/>
  <c r="AC380" i="16"/>
  <c r="AC424" i="16"/>
  <c r="AE695" i="16"/>
  <c r="AE424" i="16"/>
  <c r="AE380" i="16"/>
  <c r="AE406" i="16"/>
  <c r="AK562" i="16"/>
  <c r="AJ695" i="16"/>
  <c r="AJ424" i="16"/>
  <c r="AJ406" i="16"/>
  <c r="AJ380" i="16"/>
  <c r="AJ699" i="16"/>
  <c r="AJ385" i="16"/>
  <c r="AJ410" i="16"/>
  <c r="AJ428" i="16"/>
  <c r="AJ698" i="16"/>
  <c r="AJ409" i="16"/>
  <c r="AJ427" i="16"/>
  <c r="AJ384" i="16"/>
  <c r="AH694" i="16"/>
  <c r="AH405" i="16"/>
  <c r="AH423" i="16"/>
  <c r="AH379" i="16"/>
  <c r="AC700" i="16"/>
  <c r="AC429" i="16"/>
  <c r="AC411" i="16"/>
  <c r="AC386" i="16"/>
  <c r="AC696" i="16"/>
  <c r="AC425" i="16"/>
  <c r="AC381" i="16"/>
  <c r="AC407" i="16"/>
  <c r="AF695" i="16"/>
  <c r="AF424" i="16"/>
  <c r="AF380" i="16"/>
  <c r="AF406" i="16"/>
  <c r="AI699" i="16"/>
  <c r="AI428" i="16"/>
  <c r="AI385" i="16"/>
  <c r="AI410" i="16"/>
  <c r="AI696" i="16"/>
  <c r="AI381" i="16"/>
  <c r="AI425" i="16"/>
  <c r="AI407" i="16"/>
  <c r="AF697" i="16"/>
  <c r="AF408" i="16"/>
  <c r="AF426" i="16"/>
  <c r="AF383" i="16"/>
  <c r="AE698" i="16"/>
  <c r="AE409" i="16"/>
  <c r="AE384" i="16"/>
  <c r="AE427" i="16"/>
  <c r="AE700" i="16"/>
  <c r="AE429" i="16"/>
  <c r="AE411" i="16"/>
  <c r="AE386" i="16"/>
  <c r="AD659" i="16"/>
  <c r="AD433" i="16"/>
  <c r="AD554" i="16"/>
  <c r="AD723" i="16" s="1"/>
  <c r="AD704" i="16"/>
  <c r="AD395" i="16"/>
  <c r="AD713" i="16" s="1"/>
  <c r="AD390" i="16"/>
  <c r="AD415" i="16"/>
  <c r="AJ405" i="16"/>
  <c r="AJ697" i="16"/>
  <c r="AJ426" i="16"/>
  <c r="AJ408" i="16"/>
  <c r="AJ383" i="16"/>
  <c r="AJ700" i="16"/>
  <c r="AJ429" i="16"/>
  <c r="AJ386" i="16"/>
  <c r="AJ411" i="16"/>
  <c r="AF694" i="16"/>
  <c r="AF405" i="16"/>
  <c r="AF379" i="16"/>
  <c r="AF423" i="16"/>
  <c r="AE694" i="16"/>
  <c r="AE405" i="16"/>
  <c r="AE423" i="16"/>
  <c r="AE379" i="16"/>
  <c r="AC409" i="16"/>
  <c r="AC384" i="16"/>
  <c r="AC427" i="16"/>
  <c r="AC698" i="16"/>
  <c r="AI695" i="16"/>
  <c r="AI424" i="16"/>
  <c r="AI380" i="16"/>
  <c r="AI406" i="16"/>
  <c r="AC390" i="16"/>
  <c r="AC433" i="16"/>
  <c r="AC704" i="16"/>
  <c r="AC395" i="16"/>
  <c r="AC713" i="16" s="1"/>
  <c r="AC659" i="16"/>
  <c r="AC554" i="16"/>
  <c r="AC723" i="16" s="1"/>
  <c r="AC415" i="16"/>
  <c r="AE699" i="16"/>
  <c r="AE428" i="16"/>
  <c r="AE385" i="16"/>
  <c r="AE410" i="16"/>
  <c r="AG696" i="16"/>
  <c r="AG381" i="16"/>
  <c r="AG425" i="16"/>
  <c r="AG407" i="16"/>
  <c r="AI382" i="16"/>
  <c r="AI697" i="16"/>
  <c r="AI426" i="16"/>
  <c r="AI408" i="16"/>
  <c r="AI383" i="16"/>
  <c r="AH698" i="16"/>
  <c r="AH409" i="16"/>
  <c r="AH427" i="16"/>
  <c r="AH384" i="16"/>
  <c r="AG700" i="16"/>
  <c r="AG429" i="16"/>
  <c r="AG411" i="16"/>
  <c r="AG386" i="16"/>
  <c r="AD526" i="16"/>
  <c r="AD514" i="16"/>
  <c r="AD540" i="16"/>
  <c r="AD454" i="16"/>
  <c r="AD717" i="16" s="1"/>
  <c r="AD441" i="16"/>
  <c r="AD491" i="16"/>
  <c r="AJ382" i="16"/>
  <c r="AJ696" i="16"/>
  <c r="AJ425" i="16"/>
  <c r="AJ381" i="16"/>
  <c r="AJ407" i="16"/>
  <c r="AI405" i="16"/>
  <c r="AI379" i="16"/>
  <c r="AI423" i="16"/>
  <c r="AI694" i="16"/>
  <c r="AC694" i="16"/>
  <c r="AC405" i="16"/>
  <c r="AC423" i="16"/>
  <c r="AC379" i="16"/>
  <c r="AC697" i="16"/>
  <c r="AC426" i="16"/>
  <c r="AC408" i="16"/>
  <c r="AC383" i="16"/>
  <c r="AG695" i="16"/>
  <c r="AG424" i="16"/>
  <c r="AG380" i="16"/>
  <c r="AG406" i="16"/>
  <c r="AF385" i="16"/>
  <c r="AF428" i="16"/>
  <c r="AF410" i="16"/>
  <c r="AF699" i="16"/>
  <c r="AH696" i="16"/>
  <c r="AH381" i="16"/>
  <c r="AH425" i="16"/>
  <c r="AH407" i="16"/>
  <c r="AF696" i="16"/>
  <c r="AF381" i="16"/>
  <c r="AF425" i="16"/>
  <c r="AF407" i="16"/>
  <c r="AE382" i="16"/>
  <c r="AH697" i="16"/>
  <c r="AH426" i="16"/>
  <c r="AH408" i="16"/>
  <c r="AH383" i="16"/>
  <c r="AE697" i="16"/>
  <c r="AE426" i="16"/>
  <c r="AE408" i="16"/>
  <c r="AE383" i="16"/>
  <c r="AK577" i="16"/>
  <c r="AK608" i="16"/>
  <c r="AK590" i="16"/>
  <c r="AK615" i="16"/>
  <c r="AK639" i="16"/>
  <c r="AK637" i="16"/>
  <c r="AK552" i="16"/>
  <c r="D3" i="8"/>
  <c r="G89" i="8" l="1"/>
  <c r="G90" i="8"/>
  <c r="AK717" i="16"/>
  <c r="AK719" i="16"/>
  <c r="AK713" i="16"/>
  <c r="AK723" i="16"/>
  <c r="AC712" i="16"/>
  <c r="AF712" i="16"/>
  <c r="AD721" i="16"/>
  <c r="AK721" i="16" s="1"/>
  <c r="AK718" i="16"/>
  <c r="AG712" i="16"/>
  <c r="AJ712" i="16"/>
  <c r="AD720" i="16"/>
  <c r="AK720" i="16" s="1"/>
  <c r="AI712" i="16"/>
  <c r="AD716" i="16"/>
  <c r="AK716" i="16" s="1"/>
  <c r="AE712" i="16"/>
  <c r="AH712" i="16"/>
  <c r="AD382" i="16"/>
  <c r="AK341" i="16"/>
  <c r="AK322" i="16"/>
  <c r="AK50" i="16"/>
  <c r="AC33" i="16"/>
  <c r="AC5" i="16"/>
  <c r="AJ33" i="16"/>
  <c r="AJ4" i="16" s="1"/>
  <c r="AJ5" i="16"/>
  <c r="AI5" i="16"/>
  <c r="AI33" i="16"/>
  <c r="AI4" i="16" s="1"/>
  <c r="AE5" i="16"/>
  <c r="AE33" i="16"/>
  <c r="AE4" i="16" s="1"/>
  <c r="AK31" i="16"/>
  <c r="AG33" i="16"/>
  <c r="AG4" i="16" s="1"/>
  <c r="AG5" i="16"/>
  <c r="AD33" i="16"/>
  <c r="AD4" i="16" s="1"/>
  <c r="AD5" i="16"/>
  <c r="AF5" i="16"/>
  <c r="AF33" i="16"/>
  <c r="AF4" i="16" s="1"/>
  <c r="AH33" i="16"/>
  <c r="AH4" i="16" s="1"/>
  <c r="AH5" i="16"/>
  <c r="AI421" i="16"/>
  <c r="AI402" i="16"/>
  <c r="AD694" i="16"/>
  <c r="AD405" i="16"/>
  <c r="AD379" i="16"/>
  <c r="AD423" i="16"/>
  <c r="AD695" i="16"/>
  <c r="AD424" i="16"/>
  <c r="AD380" i="16"/>
  <c r="AD406" i="16"/>
  <c r="AE421" i="16"/>
  <c r="AE402" i="16"/>
  <c r="AH421" i="16"/>
  <c r="AH402" i="16"/>
  <c r="AD696" i="16"/>
  <c r="AD425" i="16"/>
  <c r="AD381" i="16"/>
  <c r="AD407" i="16"/>
  <c r="AD409" i="16"/>
  <c r="AD698" i="16"/>
  <c r="AD384" i="16"/>
  <c r="AD427" i="16"/>
  <c r="AC421" i="16"/>
  <c r="AC402" i="16"/>
  <c r="AF421" i="16"/>
  <c r="AF402" i="16"/>
  <c r="AD700" i="16"/>
  <c r="AD429" i="16"/>
  <c r="AD386" i="16"/>
  <c r="AD411" i="16"/>
  <c r="AD699" i="16"/>
  <c r="AD428" i="16"/>
  <c r="AD385" i="16"/>
  <c r="AD410" i="16"/>
  <c r="AG421" i="16"/>
  <c r="AG402" i="16"/>
  <c r="AJ421" i="16"/>
  <c r="AJ402" i="16"/>
  <c r="AD426" i="16"/>
  <c r="AD408" i="16"/>
  <c r="AD697" i="16"/>
  <c r="AD383" i="16"/>
  <c r="AK491" i="16"/>
  <c r="AK526" i="16"/>
  <c r="G87" i="8"/>
  <c r="G88" i="8"/>
  <c r="G86" i="8"/>
  <c r="D6" i="8"/>
  <c r="H127" i="8"/>
  <c r="G80" i="8"/>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P186"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H113" i="8"/>
  <c r="H99" i="8"/>
  <c r="H70" i="8"/>
  <c r="H56" i="8"/>
  <c r="H39" i="8"/>
  <c r="H25" i="8"/>
  <c r="H11" i="8"/>
  <c r="S131" i="8"/>
  <c r="R131" i="8"/>
  <c r="B83" i="7"/>
  <c r="A83" i="7"/>
  <c r="B82" i="7"/>
  <c r="A82" i="7"/>
  <c r="B81" i="7"/>
  <c r="A81" i="7"/>
  <c r="B80" i="7"/>
  <c r="A80" i="7"/>
  <c r="B79" i="7"/>
  <c r="A79" i="7"/>
  <c r="B78" i="7"/>
  <c r="A78" i="7"/>
  <c r="B77" i="7"/>
  <c r="A77" i="7"/>
  <c r="B76" i="7"/>
  <c r="A76" i="7"/>
  <c r="B75" i="7"/>
  <c r="A75" i="7"/>
  <c r="B74" i="7"/>
  <c r="A74" i="7"/>
  <c r="B73" i="7"/>
  <c r="A73" i="7"/>
  <c r="B72" i="7"/>
  <c r="A72" i="7"/>
  <c r="B71" i="7"/>
  <c r="A71" i="7"/>
  <c r="B70" i="7"/>
  <c r="A70" i="7"/>
  <c r="B69" i="7"/>
  <c r="A69" i="7"/>
  <c r="B68" i="7"/>
  <c r="A68" i="7"/>
  <c r="B67" i="7"/>
  <c r="A67" i="7"/>
  <c r="B66" i="7"/>
  <c r="A66" i="7"/>
  <c r="B65" i="7"/>
  <c r="A65" i="7"/>
  <c r="B64" i="7"/>
  <c r="A64" i="7"/>
  <c r="B63" i="7"/>
  <c r="A63" i="7"/>
  <c r="B62" i="7"/>
  <c r="A62" i="7"/>
  <c r="B61" i="7"/>
  <c r="A61" i="7"/>
  <c r="B60" i="7"/>
  <c r="A60" i="7"/>
  <c r="B59" i="7"/>
  <c r="A59" i="7"/>
  <c r="B58" i="7"/>
  <c r="A58" i="7"/>
  <c r="B57" i="7"/>
  <c r="A57" i="7"/>
  <c r="B56" i="7"/>
  <c r="A56" i="7"/>
  <c r="B55" i="7"/>
  <c r="A55" i="7"/>
  <c r="B54" i="7"/>
  <c r="A54" i="7"/>
  <c r="B53" i="7"/>
  <c r="A53" i="7"/>
  <c r="B52" i="7"/>
  <c r="A52" i="7"/>
  <c r="B51" i="7"/>
  <c r="A51" i="7"/>
  <c r="B50" i="7"/>
  <c r="A50" i="7"/>
  <c r="B49" i="7"/>
  <c r="A49" i="7"/>
  <c r="B48" i="7"/>
  <c r="A48" i="7"/>
  <c r="B47" i="7"/>
  <c r="A47" i="7"/>
  <c r="B46" i="7"/>
  <c r="A46" i="7"/>
  <c r="B45" i="7"/>
  <c r="A45" i="7"/>
  <c r="B44" i="7"/>
  <c r="A44" i="7"/>
  <c r="B43" i="7"/>
  <c r="A43" i="7"/>
  <c r="B42" i="7"/>
  <c r="A42" i="7"/>
  <c r="B41" i="7"/>
  <c r="A41" i="7"/>
  <c r="B40" i="7"/>
  <c r="A40" i="7"/>
  <c r="B39" i="7"/>
  <c r="A39" i="7"/>
  <c r="B38" i="7"/>
  <c r="A38" i="7"/>
  <c r="B37" i="7"/>
  <c r="A37" i="7"/>
  <c r="B36" i="7"/>
  <c r="A36" i="7"/>
  <c r="B35" i="7"/>
  <c r="A35" i="7"/>
  <c r="B34" i="7"/>
  <c r="A34" i="7"/>
  <c r="B33" i="7"/>
  <c r="A33" i="7"/>
  <c r="B32" i="7"/>
  <c r="A32" i="7"/>
  <c r="B31" i="7"/>
  <c r="A31" i="7"/>
  <c r="B30" i="7"/>
  <c r="A30" i="7"/>
  <c r="B29" i="7"/>
  <c r="A29" i="7"/>
  <c r="B28" i="7"/>
  <c r="A28" i="7"/>
  <c r="B27" i="7"/>
  <c r="A27" i="7"/>
  <c r="H119" i="8" l="1"/>
  <c r="H90" i="8"/>
  <c r="H62" i="8"/>
  <c r="H105" i="8"/>
  <c r="H17" i="8"/>
  <c r="H31" i="8"/>
  <c r="H45" i="8"/>
  <c r="H16" i="8"/>
  <c r="H118" i="8"/>
  <c r="H89" i="8"/>
  <c r="H61" i="8"/>
  <c r="H104" i="8"/>
  <c r="H44" i="8"/>
  <c r="H30" i="8"/>
  <c r="AI340" i="16"/>
  <c r="AJ340" i="16"/>
  <c r="AD712" i="16"/>
  <c r="AK712" i="16" s="1"/>
  <c r="AF340" i="16"/>
  <c r="AH340" i="16"/>
  <c r="AG340" i="16"/>
  <c r="AD340" i="16"/>
  <c r="AE340" i="16"/>
  <c r="AK5" i="16"/>
  <c r="AC4" i="16"/>
  <c r="AK33" i="16"/>
  <c r="AG404" i="16"/>
  <c r="AG693" i="16"/>
  <c r="AC693" i="16"/>
  <c r="AC404" i="16"/>
  <c r="AC375" i="16" s="1"/>
  <c r="AE693" i="16"/>
  <c r="AE404" i="16"/>
  <c r="AJ693" i="16"/>
  <c r="AJ404" i="16"/>
  <c r="AF693" i="16"/>
  <c r="AF404" i="16"/>
  <c r="AH693" i="16"/>
  <c r="AH404" i="16"/>
  <c r="AD421" i="16"/>
  <c r="AD402" i="16"/>
  <c r="AI693" i="16"/>
  <c r="AI404" i="16"/>
  <c r="AK540" i="16"/>
  <c r="AK514" i="16"/>
  <c r="AK441" i="16"/>
  <c r="B8" i="16"/>
  <c r="B12" i="16"/>
  <c r="B16" i="16"/>
  <c r="B20" i="16"/>
  <c r="B24" i="16"/>
  <c r="B28" i="16"/>
  <c r="B32" i="16"/>
  <c r="B36" i="16"/>
  <c r="B40" i="16"/>
  <c r="B44" i="16"/>
  <c r="B48" i="16"/>
  <c r="B52" i="16"/>
  <c r="B56" i="16"/>
  <c r="B60" i="16"/>
  <c r="B64" i="16"/>
  <c r="B68" i="16"/>
  <c r="B72" i="16"/>
  <c r="B76" i="16"/>
  <c r="B80" i="16"/>
  <c r="B84" i="16"/>
  <c r="B88" i="16"/>
  <c r="B92" i="16"/>
  <c r="B96" i="16"/>
  <c r="B100" i="16"/>
  <c r="B104" i="16"/>
  <c r="B108" i="16"/>
  <c r="B112" i="16"/>
  <c r="B116" i="16"/>
  <c r="B120" i="16"/>
  <c r="B124" i="16"/>
  <c r="B128" i="16"/>
  <c r="B132" i="16"/>
  <c r="B136" i="16"/>
  <c r="B140" i="16"/>
  <c r="B144" i="16"/>
  <c r="B148" i="16"/>
  <c r="B152" i="16"/>
  <c r="B156" i="16"/>
  <c r="B160" i="16"/>
  <c r="B164" i="16"/>
  <c r="B168" i="16"/>
  <c r="B172" i="16"/>
  <c r="B176" i="16"/>
  <c r="B180" i="16"/>
  <c r="B184" i="16"/>
  <c r="B188" i="16"/>
  <c r="B192" i="16"/>
  <c r="B196" i="16"/>
  <c r="B200" i="16"/>
  <c r="B204" i="16"/>
  <c r="B208" i="16"/>
  <c r="B212" i="16"/>
  <c r="B216" i="16"/>
  <c r="B220" i="16"/>
  <c r="B224" i="16"/>
  <c r="B228" i="16"/>
  <c r="B232" i="16"/>
  <c r="B236" i="16"/>
  <c r="B240" i="16"/>
  <c r="B244" i="16"/>
  <c r="B248" i="16"/>
  <c r="B252" i="16"/>
  <c r="B256" i="16"/>
  <c r="B260" i="16"/>
  <c r="B264" i="16"/>
  <c r="B268" i="16"/>
  <c r="B272" i="16"/>
  <c r="B276" i="16"/>
  <c r="B280" i="16"/>
  <c r="B284" i="16"/>
  <c r="B288" i="16"/>
  <c r="B292" i="16"/>
  <c r="B296" i="16"/>
  <c r="B300" i="16"/>
  <c r="B304" i="16"/>
  <c r="B308" i="16"/>
  <c r="B312" i="16"/>
  <c r="B316" i="16"/>
  <c r="B320" i="16"/>
  <c r="B324" i="16"/>
  <c r="B328" i="16"/>
  <c r="B332" i="16"/>
  <c r="B336" i="16"/>
  <c r="B340" i="16"/>
  <c r="B344" i="16"/>
  <c r="B348" i="16"/>
  <c r="B352" i="16"/>
  <c r="B356" i="16"/>
  <c r="B360" i="16"/>
  <c r="B364" i="16"/>
  <c r="B368" i="16"/>
  <c r="B372" i="16"/>
  <c r="B376" i="16"/>
  <c r="B380" i="16"/>
  <c r="B384" i="16"/>
  <c r="B388" i="16"/>
  <c r="B392" i="16"/>
  <c r="B396" i="16"/>
  <c r="B400" i="16"/>
  <c r="B9" i="16"/>
  <c r="B13" i="16"/>
  <c r="B17" i="16"/>
  <c r="B21" i="16"/>
  <c r="B25" i="16"/>
  <c r="B29" i="16"/>
  <c r="B33" i="16"/>
  <c r="B37" i="16"/>
  <c r="B41" i="16"/>
  <c r="B45" i="16"/>
  <c r="B49" i="16"/>
  <c r="B53" i="16"/>
  <c r="B57" i="16"/>
  <c r="B61" i="16"/>
  <c r="B65" i="16"/>
  <c r="B69" i="16"/>
  <c r="B73" i="16"/>
  <c r="B77" i="16"/>
  <c r="B81" i="16"/>
  <c r="B85" i="16"/>
  <c r="B89" i="16"/>
  <c r="B93" i="16"/>
  <c r="B97" i="16"/>
  <c r="B101" i="16"/>
  <c r="B105" i="16"/>
  <c r="B109" i="16"/>
  <c r="B113" i="16"/>
  <c r="B117" i="16"/>
  <c r="B121" i="16"/>
  <c r="B125" i="16"/>
  <c r="B129" i="16"/>
  <c r="B133" i="16"/>
  <c r="B137" i="16"/>
  <c r="B141" i="16"/>
  <c r="B145" i="16"/>
  <c r="B149" i="16"/>
  <c r="B153" i="16"/>
  <c r="B157" i="16"/>
  <c r="B161" i="16"/>
  <c r="B165" i="16"/>
  <c r="B169" i="16"/>
  <c r="B173" i="16"/>
  <c r="B177" i="16"/>
  <c r="B181" i="16"/>
  <c r="B185" i="16"/>
  <c r="B189" i="16"/>
  <c r="B193" i="16"/>
  <c r="B197" i="16"/>
  <c r="B201" i="16"/>
  <c r="B205" i="16"/>
  <c r="B209" i="16"/>
  <c r="B213" i="16"/>
  <c r="B217" i="16"/>
  <c r="B221" i="16"/>
  <c r="B225" i="16"/>
  <c r="B229" i="16"/>
  <c r="B233" i="16"/>
  <c r="B237" i="16"/>
  <c r="B241" i="16"/>
  <c r="B245" i="16"/>
  <c r="B249" i="16"/>
  <c r="B253" i="16"/>
  <c r="B257" i="16"/>
  <c r="B261" i="16"/>
  <c r="B265" i="16"/>
  <c r="B269" i="16"/>
  <c r="B273" i="16"/>
  <c r="B277" i="16"/>
  <c r="B281" i="16"/>
  <c r="B285" i="16"/>
  <c r="B289" i="16"/>
  <c r="B293" i="16"/>
  <c r="B297" i="16"/>
  <c r="B301" i="16"/>
  <c r="B305" i="16"/>
  <c r="B309" i="16"/>
  <c r="B313" i="16"/>
  <c r="B317" i="16"/>
  <c r="B321" i="16"/>
  <c r="B325" i="16"/>
  <c r="B329" i="16"/>
  <c r="B333" i="16"/>
  <c r="B337" i="16"/>
  <c r="B341" i="16"/>
  <c r="B345" i="16"/>
  <c r="B10" i="16"/>
  <c r="B14" i="16"/>
  <c r="B18" i="16"/>
  <c r="B22" i="16"/>
  <c r="B26" i="16"/>
  <c r="B30" i="16"/>
  <c r="B34" i="16"/>
  <c r="B38" i="16"/>
  <c r="B42" i="16"/>
  <c r="B46" i="16"/>
  <c r="B50" i="16"/>
  <c r="B54" i="16"/>
  <c r="B58" i="16"/>
  <c r="B62" i="16"/>
  <c r="B66" i="16"/>
  <c r="B70" i="16"/>
  <c r="B74" i="16"/>
  <c r="B78" i="16"/>
  <c r="B82" i="16"/>
  <c r="B86" i="16"/>
  <c r="B90" i="16"/>
  <c r="B94" i="16"/>
  <c r="B98" i="16"/>
  <c r="B102" i="16"/>
  <c r="B106" i="16"/>
  <c r="B110" i="16"/>
  <c r="B114" i="16"/>
  <c r="B118" i="16"/>
  <c r="B122" i="16"/>
  <c r="B126" i="16"/>
  <c r="B130" i="16"/>
  <c r="B134" i="16"/>
  <c r="B138" i="16"/>
  <c r="B142" i="16"/>
  <c r="B146" i="16"/>
  <c r="B150" i="16"/>
  <c r="B154" i="16"/>
  <c r="B158" i="16"/>
  <c r="B162" i="16"/>
  <c r="B166" i="16"/>
  <c r="B170" i="16"/>
  <c r="B174" i="16"/>
  <c r="B178" i="16"/>
  <c r="B182" i="16"/>
  <c r="B186" i="16"/>
  <c r="B190" i="16"/>
  <c r="B194" i="16"/>
  <c r="B198" i="16"/>
  <c r="B202" i="16"/>
  <c r="B206" i="16"/>
  <c r="B210" i="16"/>
  <c r="B214" i="16"/>
  <c r="B218" i="16"/>
  <c r="B222" i="16"/>
  <c r="B226" i="16"/>
  <c r="B230" i="16"/>
  <c r="B234" i="16"/>
  <c r="B238" i="16"/>
  <c r="B242" i="16"/>
  <c r="B246" i="16"/>
  <c r="B250" i="16"/>
  <c r="B254" i="16"/>
  <c r="B258" i="16"/>
  <c r="B262" i="16"/>
  <c r="B266" i="16"/>
  <c r="B270" i="16"/>
  <c r="B274" i="16"/>
  <c r="B278" i="16"/>
  <c r="B282" i="16"/>
  <c r="B286" i="16"/>
  <c r="B290" i="16"/>
  <c r="B294" i="16"/>
  <c r="B298" i="16"/>
  <c r="B302" i="16"/>
  <c r="B306" i="16"/>
  <c r="B310" i="16"/>
  <c r="B314" i="16"/>
  <c r="B318" i="16"/>
  <c r="B322" i="16"/>
  <c r="B326" i="16"/>
  <c r="B330" i="16"/>
  <c r="B334" i="16"/>
  <c r="B338" i="16"/>
  <c r="B342" i="16"/>
  <c r="B346" i="16"/>
  <c r="B11" i="16"/>
  <c r="B15" i="16"/>
  <c r="B19" i="16"/>
  <c r="B23" i="16"/>
  <c r="B27" i="16"/>
  <c r="B31" i="16"/>
  <c r="B35" i="16"/>
  <c r="B39" i="16"/>
  <c r="B43" i="16"/>
  <c r="B47" i="16"/>
  <c r="B51" i="16"/>
  <c r="B55" i="16"/>
  <c r="B59" i="16"/>
  <c r="B63" i="16"/>
  <c r="B67" i="16"/>
  <c r="B71" i="16"/>
  <c r="B75" i="16"/>
  <c r="B79" i="16"/>
  <c r="B83" i="16"/>
  <c r="B87" i="16"/>
  <c r="B91" i="16"/>
  <c r="B95" i="16"/>
  <c r="B99" i="16"/>
  <c r="B103" i="16"/>
  <c r="B107" i="16"/>
  <c r="B111" i="16"/>
  <c r="B115" i="16"/>
  <c r="B119" i="16"/>
  <c r="B123" i="16"/>
  <c r="B127" i="16"/>
  <c r="B131" i="16"/>
  <c r="B135" i="16"/>
  <c r="B139" i="16"/>
  <c r="B143" i="16"/>
  <c r="B147" i="16"/>
  <c r="B151" i="16"/>
  <c r="B155" i="16"/>
  <c r="B159" i="16"/>
  <c r="B163" i="16"/>
  <c r="B167" i="16"/>
  <c r="B171" i="16"/>
  <c r="B175" i="16"/>
  <c r="B179" i="16"/>
  <c r="B183" i="16"/>
  <c r="B187" i="16"/>
  <c r="B191" i="16"/>
  <c r="B195" i="16"/>
  <c r="B199" i="16"/>
  <c r="B203" i="16"/>
  <c r="B207" i="16"/>
  <c r="B211" i="16"/>
  <c r="B215" i="16"/>
  <c r="B219" i="16"/>
  <c r="B223" i="16"/>
  <c r="B227" i="16"/>
  <c r="B231" i="16"/>
  <c r="B235" i="16"/>
  <c r="B239" i="16"/>
  <c r="B243" i="16"/>
  <c r="B247" i="16"/>
  <c r="B251" i="16"/>
  <c r="B255" i="16"/>
  <c r="B259" i="16"/>
  <c r="B263" i="16"/>
  <c r="B267" i="16"/>
  <c r="B271" i="16"/>
  <c r="B275" i="16"/>
  <c r="B279" i="16"/>
  <c r="B283" i="16"/>
  <c r="B287" i="16"/>
  <c r="B291" i="16"/>
  <c r="B295" i="16"/>
  <c r="B299" i="16"/>
  <c r="B303" i="16"/>
  <c r="B307" i="16"/>
  <c r="B311" i="16"/>
  <c r="B315" i="16"/>
  <c r="B319" i="16"/>
  <c r="B323" i="16"/>
  <c r="B327" i="16"/>
  <c r="B331" i="16"/>
  <c r="B335" i="16"/>
  <c r="B339" i="16"/>
  <c r="B343" i="16"/>
  <c r="B347" i="16"/>
  <c r="B351" i="16"/>
  <c r="B355" i="16"/>
  <c r="B359" i="16"/>
  <c r="B363" i="16"/>
  <c r="B367" i="16"/>
  <c r="B371" i="16"/>
  <c r="B375" i="16"/>
  <c r="B379" i="16"/>
  <c r="B383" i="16"/>
  <c r="B387" i="16"/>
  <c r="B391" i="16"/>
  <c r="B395" i="16"/>
  <c r="B399" i="16"/>
  <c r="B349" i="16"/>
  <c r="B357" i="16"/>
  <c r="B365" i="16"/>
  <c r="B373" i="16"/>
  <c r="B381" i="16"/>
  <c r="B389" i="16"/>
  <c r="B397" i="16"/>
  <c r="B403" i="16"/>
  <c r="B407" i="16"/>
  <c r="B411" i="16"/>
  <c r="B415" i="16"/>
  <c r="B419" i="16"/>
  <c r="B423" i="16"/>
  <c r="B427" i="16"/>
  <c r="B431" i="16"/>
  <c r="B435" i="16"/>
  <c r="B439" i="16"/>
  <c r="B443" i="16"/>
  <c r="B447" i="16"/>
  <c r="B451" i="16"/>
  <c r="B455" i="16"/>
  <c r="B459" i="16"/>
  <c r="B463" i="16"/>
  <c r="B467" i="16"/>
  <c r="B471" i="16"/>
  <c r="B475" i="16"/>
  <c r="B479" i="16"/>
  <c r="B483" i="16"/>
  <c r="B487" i="16"/>
  <c r="B491" i="16"/>
  <c r="B495" i="16"/>
  <c r="B499" i="16"/>
  <c r="B503" i="16"/>
  <c r="B507" i="16"/>
  <c r="B511" i="16"/>
  <c r="B515" i="16"/>
  <c r="B519" i="16"/>
  <c r="B523" i="16"/>
  <c r="B527" i="16"/>
  <c r="B531" i="16"/>
  <c r="B535" i="16"/>
  <c r="B539" i="16"/>
  <c r="B543" i="16"/>
  <c r="B547" i="16"/>
  <c r="B551" i="16"/>
  <c r="B555" i="16"/>
  <c r="B559" i="16"/>
  <c r="B563" i="16"/>
  <c r="B567" i="16"/>
  <c r="B571" i="16"/>
  <c r="B575" i="16"/>
  <c r="B579" i="16"/>
  <c r="B583" i="16"/>
  <c r="B587" i="16"/>
  <c r="B591" i="16"/>
  <c r="B595" i="16"/>
  <c r="B599" i="16"/>
  <c r="B603" i="16"/>
  <c r="B607" i="16"/>
  <c r="B611" i="16"/>
  <c r="B615" i="16"/>
  <c r="B619" i="16"/>
  <c r="B623" i="16"/>
  <c r="B627" i="16"/>
  <c r="B631" i="16"/>
  <c r="B635" i="16"/>
  <c r="B639" i="16"/>
  <c r="B643" i="16"/>
  <c r="B647" i="16"/>
  <c r="B651" i="16"/>
  <c r="B655" i="16"/>
  <c r="B659" i="16"/>
  <c r="B663" i="16"/>
  <c r="B667" i="16"/>
  <c r="B671" i="16"/>
  <c r="B675" i="16"/>
  <c r="B679" i="16"/>
  <c r="B683" i="16"/>
  <c r="B687" i="16"/>
  <c r="B691" i="16"/>
  <c r="B695" i="16"/>
  <c r="B699" i="16"/>
  <c r="B703" i="16"/>
  <c r="B707" i="16"/>
  <c r="B711" i="16"/>
  <c r="B715" i="16"/>
  <c r="B719" i="16"/>
  <c r="B723" i="16"/>
  <c r="B727" i="16"/>
  <c r="B731" i="16"/>
  <c r="B735" i="16"/>
  <c r="B739" i="16"/>
  <c r="B743" i="16"/>
  <c r="B747" i="16"/>
  <c r="B751" i="16"/>
  <c r="B755" i="16"/>
  <c r="B759" i="16"/>
  <c r="B763" i="16"/>
  <c r="B767" i="16"/>
  <c r="B771" i="16"/>
  <c r="B775" i="16"/>
  <c r="B779" i="16"/>
  <c r="B783" i="16"/>
  <c r="B787" i="16"/>
  <c r="B791" i="16"/>
  <c r="B795" i="16"/>
  <c r="B799" i="16"/>
  <c r="B803" i="16"/>
  <c r="B807" i="16"/>
  <c r="B811" i="16"/>
  <c r="B815" i="16"/>
  <c r="B819" i="16"/>
  <c r="B823" i="16"/>
  <c r="B827" i="16"/>
  <c r="B831" i="16"/>
  <c r="B835" i="16"/>
  <c r="B839" i="16"/>
  <c r="B843" i="16"/>
  <c r="B847" i="16"/>
  <c r="B851" i="16"/>
  <c r="B855" i="16"/>
  <c r="B859" i="16"/>
  <c r="B863" i="16"/>
  <c r="B867" i="16"/>
  <c r="B871" i="16"/>
  <c r="B875" i="16"/>
  <c r="B879" i="16"/>
  <c r="B883" i="16"/>
  <c r="B887" i="16"/>
  <c r="B891" i="16"/>
  <c r="B895" i="16"/>
  <c r="B899" i="16"/>
  <c r="B903" i="16"/>
  <c r="B907" i="16"/>
  <c r="B911" i="16"/>
  <c r="B915" i="16"/>
  <c r="B919" i="16"/>
  <c r="B923" i="16"/>
  <c r="B927" i="16"/>
  <c r="B931" i="16"/>
  <c r="B935" i="16"/>
  <c r="B939" i="16"/>
  <c r="B943" i="16"/>
  <c r="B947" i="16"/>
  <c r="B951" i="16"/>
  <c r="B955" i="16"/>
  <c r="B959" i="16"/>
  <c r="B963" i="16"/>
  <c r="B967" i="16"/>
  <c r="B971" i="16"/>
  <c r="B975" i="16"/>
  <c r="B979" i="16"/>
  <c r="B983" i="16"/>
  <c r="B987" i="16"/>
  <c r="B991" i="16"/>
  <c r="B995" i="16"/>
  <c r="B999" i="16"/>
  <c r="B350" i="16"/>
  <c r="B358" i="16"/>
  <c r="B366" i="16"/>
  <c r="B374" i="16"/>
  <c r="B382" i="16"/>
  <c r="B390" i="16"/>
  <c r="B398" i="16"/>
  <c r="B404" i="16"/>
  <c r="B408" i="16"/>
  <c r="B412" i="16"/>
  <c r="B416" i="16"/>
  <c r="B420" i="16"/>
  <c r="B424" i="16"/>
  <c r="B428" i="16"/>
  <c r="B432" i="16"/>
  <c r="B436" i="16"/>
  <c r="B440" i="16"/>
  <c r="B444" i="16"/>
  <c r="B448" i="16"/>
  <c r="B452" i="16"/>
  <c r="B456" i="16"/>
  <c r="B460" i="16"/>
  <c r="B464" i="16"/>
  <c r="B468" i="16"/>
  <c r="B472" i="16"/>
  <c r="B476" i="16"/>
  <c r="B480" i="16"/>
  <c r="B484" i="16"/>
  <c r="B488" i="16"/>
  <c r="B492" i="16"/>
  <c r="B496" i="16"/>
  <c r="B500" i="16"/>
  <c r="B504" i="16"/>
  <c r="B508" i="16"/>
  <c r="B512" i="16"/>
  <c r="B516" i="16"/>
  <c r="B520" i="16"/>
  <c r="B524" i="16"/>
  <c r="B528" i="16"/>
  <c r="B532" i="16"/>
  <c r="B536" i="16"/>
  <c r="B540" i="16"/>
  <c r="B544" i="16"/>
  <c r="B548" i="16"/>
  <c r="B552" i="16"/>
  <c r="B556" i="16"/>
  <c r="B560" i="16"/>
  <c r="B564" i="16"/>
  <c r="B568" i="16"/>
  <c r="B572" i="16"/>
  <c r="B576" i="16"/>
  <c r="B580" i="16"/>
  <c r="B584" i="16"/>
  <c r="B588" i="16"/>
  <c r="B592" i="16"/>
  <c r="B596" i="16"/>
  <c r="B600" i="16"/>
  <c r="B604" i="16"/>
  <c r="B608" i="16"/>
  <c r="B612" i="16"/>
  <c r="B616" i="16"/>
  <c r="B620" i="16"/>
  <c r="B624" i="16"/>
  <c r="B628" i="16"/>
  <c r="B632" i="16"/>
  <c r="B636" i="16"/>
  <c r="B640" i="16"/>
  <c r="B644" i="16"/>
  <c r="B648" i="16"/>
  <c r="B652" i="16"/>
  <c r="B656" i="16"/>
  <c r="B660" i="16"/>
  <c r="B664" i="16"/>
  <c r="B668" i="16"/>
  <c r="B672" i="16"/>
  <c r="B676" i="16"/>
  <c r="B680" i="16"/>
  <c r="B684" i="16"/>
  <c r="B688" i="16"/>
  <c r="B692" i="16"/>
  <c r="B696" i="16"/>
  <c r="B700" i="16"/>
  <c r="B704" i="16"/>
  <c r="B708" i="16"/>
  <c r="B712" i="16"/>
  <c r="B716" i="16"/>
  <c r="B720" i="16"/>
  <c r="B724" i="16"/>
  <c r="B728" i="16"/>
  <c r="B732" i="16"/>
  <c r="B736" i="16"/>
  <c r="B740" i="16"/>
  <c r="B744" i="16"/>
  <c r="B748" i="16"/>
  <c r="B752" i="16"/>
  <c r="B756" i="16"/>
  <c r="B760" i="16"/>
  <c r="B764" i="16"/>
  <c r="B768" i="16"/>
  <c r="B772" i="16"/>
  <c r="B776" i="16"/>
  <c r="B780" i="16"/>
  <c r="B784" i="16"/>
  <c r="B788" i="16"/>
  <c r="B792" i="16"/>
  <c r="B796" i="16"/>
  <c r="B800" i="16"/>
  <c r="B804" i="16"/>
  <c r="B808" i="16"/>
  <c r="B812" i="16"/>
  <c r="B816" i="16"/>
  <c r="B820" i="16"/>
  <c r="B824" i="16"/>
  <c r="B828" i="16"/>
  <c r="B832" i="16"/>
  <c r="B836" i="16"/>
  <c r="B840" i="16"/>
  <c r="B844" i="16"/>
  <c r="B848" i="16"/>
  <c r="B852" i="16"/>
  <c r="B856" i="16"/>
  <c r="B860" i="16"/>
  <c r="B864" i="16"/>
  <c r="B868" i="16"/>
  <c r="B872" i="16"/>
  <c r="B876" i="16"/>
  <c r="B880" i="16"/>
  <c r="B884" i="16"/>
  <c r="B888" i="16"/>
  <c r="B892" i="16"/>
  <c r="B896" i="16"/>
  <c r="B900" i="16"/>
  <c r="B904" i="16"/>
  <c r="B908" i="16"/>
  <c r="B912" i="16"/>
  <c r="B916" i="16"/>
  <c r="B920" i="16"/>
  <c r="B924" i="16"/>
  <c r="B928" i="16"/>
  <c r="B932" i="16"/>
  <c r="B936" i="16"/>
  <c r="B940" i="16"/>
  <c r="B944" i="16"/>
  <c r="B948" i="16"/>
  <c r="B952" i="16"/>
  <c r="B956" i="16"/>
  <c r="B960" i="16"/>
  <c r="B964" i="16"/>
  <c r="B968" i="16"/>
  <c r="B972" i="16"/>
  <c r="B976" i="16"/>
  <c r="B980" i="16"/>
  <c r="B984" i="16"/>
  <c r="B988" i="16"/>
  <c r="B992" i="16"/>
  <c r="B996" i="16"/>
  <c r="B1000" i="16"/>
  <c r="B1004" i="16"/>
  <c r="B1008" i="16"/>
  <c r="B1012" i="16"/>
  <c r="B1016" i="16"/>
  <c r="B1020" i="16"/>
  <c r="B1024" i="16"/>
  <c r="B1028" i="16"/>
  <c r="B1032" i="16"/>
  <c r="B1036" i="16"/>
  <c r="B1040" i="16"/>
  <c r="B1044" i="16"/>
  <c r="B1048" i="16"/>
  <c r="B1052" i="16"/>
  <c r="B353" i="16"/>
  <c r="B361" i="16"/>
  <c r="B369" i="16"/>
  <c r="B377" i="16"/>
  <c r="B385" i="16"/>
  <c r="B393" i="16"/>
  <c r="B401" i="16"/>
  <c r="B405" i="16"/>
  <c r="B409" i="16"/>
  <c r="B413" i="16"/>
  <c r="B417" i="16"/>
  <c r="B421" i="16"/>
  <c r="B425" i="16"/>
  <c r="B429" i="16"/>
  <c r="B433" i="16"/>
  <c r="B437" i="16"/>
  <c r="B441" i="16"/>
  <c r="B445" i="16"/>
  <c r="B449" i="16"/>
  <c r="B453" i="16"/>
  <c r="B457" i="16"/>
  <c r="B461" i="16"/>
  <c r="B465" i="16"/>
  <c r="B469" i="16"/>
  <c r="B473" i="16"/>
  <c r="B477" i="16"/>
  <c r="B481" i="16"/>
  <c r="B485" i="16"/>
  <c r="B489" i="16"/>
  <c r="B493" i="16"/>
  <c r="B497" i="16"/>
  <c r="B501" i="16"/>
  <c r="B505" i="16"/>
  <c r="B509" i="16"/>
  <c r="B513" i="16"/>
  <c r="B517" i="16"/>
  <c r="B521" i="16"/>
  <c r="B525" i="16"/>
  <c r="B529" i="16"/>
  <c r="B533" i="16"/>
  <c r="B537" i="16"/>
  <c r="B541" i="16"/>
  <c r="B545" i="16"/>
  <c r="B549" i="16"/>
  <c r="B553" i="16"/>
  <c r="B557" i="16"/>
  <c r="B561" i="16"/>
  <c r="B565" i="16"/>
  <c r="B569" i="16"/>
  <c r="B573" i="16"/>
  <c r="B577" i="16"/>
  <c r="B581" i="16"/>
  <c r="B585" i="16"/>
  <c r="B589" i="16"/>
  <c r="B593" i="16"/>
  <c r="B597" i="16"/>
  <c r="B601" i="16"/>
  <c r="B605" i="16"/>
  <c r="B609" i="16"/>
  <c r="B613" i="16"/>
  <c r="B617" i="16"/>
  <c r="B621" i="16"/>
  <c r="B625" i="16"/>
  <c r="B629" i="16"/>
  <c r="B633" i="16"/>
  <c r="B637" i="16"/>
  <c r="B641" i="16"/>
  <c r="B645" i="16"/>
  <c r="B649" i="16"/>
  <c r="B653" i="16"/>
  <c r="B657" i="16"/>
  <c r="B661" i="16"/>
  <c r="B665" i="16"/>
  <c r="B669" i="16"/>
  <c r="B673" i="16"/>
  <c r="B677" i="16"/>
  <c r="B681" i="16"/>
  <c r="B685" i="16"/>
  <c r="B689" i="16"/>
  <c r="B693" i="16"/>
  <c r="B697" i="16"/>
  <c r="B701" i="16"/>
  <c r="B705" i="16"/>
  <c r="B709" i="16"/>
  <c r="B713" i="16"/>
  <c r="B717" i="16"/>
  <c r="B721" i="16"/>
  <c r="B725" i="16"/>
  <c r="B729" i="16"/>
  <c r="B733" i="16"/>
  <c r="B737" i="16"/>
  <c r="B741" i="16"/>
  <c r="B745" i="16"/>
  <c r="B749" i="16"/>
  <c r="B753" i="16"/>
  <c r="B757" i="16"/>
  <c r="B761" i="16"/>
  <c r="B765" i="16"/>
  <c r="B769" i="16"/>
  <c r="B773" i="16"/>
  <c r="B777" i="16"/>
  <c r="B781" i="16"/>
  <c r="B785" i="16"/>
  <c r="B789" i="16"/>
  <c r="B793" i="16"/>
  <c r="B797" i="16"/>
  <c r="B801" i="16"/>
  <c r="B805" i="16"/>
  <c r="B809" i="16"/>
  <c r="B813" i="16"/>
  <c r="B817" i="16"/>
  <c r="B821" i="16"/>
  <c r="B825" i="16"/>
  <c r="B829" i="16"/>
  <c r="B833" i="16"/>
  <c r="B837" i="16"/>
  <c r="B841" i="16"/>
  <c r="B845" i="16"/>
  <c r="B849" i="16"/>
  <c r="B853" i="16"/>
  <c r="B857" i="16"/>
  <c r="B861" i="16"/>
  <c r="B865" i="16"/>
  <c r="B869" i="16"/>
  <c r="B873" i="16"/>
  <c r="B877" i="16"/>
  <c r="B881" i="16"/>
  <c r="B885" i="16"/>
  <c r="B889" i="16"/>
  <c r="B893" i="16"/>
  <c r="B897" i="16"/>
  <c r="B901" i="16"/>
  <c r="B905" i="16"/>
  <c r="B909" i="16"/>
  <c r="B913" i="16"/>
  <c r="B917" i="16"/>
  <c r="B921" i="16"/>
  <c r="B925" i="16"/>
  <c r="B929" i="16"/>
  <c r="B933" i="16"/>
  <c r="B937" i="16"/>
  <c r="B941" i="16"/>
  <c r="B945" i="16"/>
  <c r="B949" i="16"/>
  <c r="B953" i="16"/>
  <c r="B957" i="16"/>
  <c r="B961" i="16"/>
  <c r="B965" i="16"/>
  <c r="B969" i="16"/>
  <c r="B973" i="16"/>
  <c r="B977" i="16"/>
  <c r="B981" i="16"/>
  <c r="B985" i="16"/>
  <c r="B989" i="16"/>
  <c r="B993" i="16"/>
  <c r="B997" i="16"/>
  <c r="B354" i="16"/>
  <c r="B362" i="16"/>
  <c r="B370" i="16"/>
  <c r="B378" i="16"/>
  <c r="B386" i="16"/>
  <c r="B394" i="16"/>
  <c r="B402" i="16"/>
  <c r="B406" i="16"/>
  <c r="B410" i="16"/>
  <c r="B414" i="16"/>
  <c r="B418" i="16"/>
  <c r="B422" i="16"/>
  <c r="B426" i="16"/>
  <c r="B430" i="16"/>
  <c r="B434" i="16"/>
  <c r="B438" i="16"/>
  <c r="B442" i="16"/>
  <c r="B446" i="16"/>
  <c r="B450" i="16"/>
  <c r="B454" i="16"/>
  <c r="B458" i="16"/>
  <c r="B462" i="16"/>
  <c r="B466" i="16"/>
  <c r="B470" i="16"/>
  <c r="B474" i="16"/>
  <c r="B478" i="16"/>
  <c r="B482" i="16"/>
  <c r="B486" i="16"/>
  <c r="B490" i="16"/>
  <c r="B494" i="16"/>
  <c r="B498" i="16"/>
  <c r="B502" i="16"/>
  <c r="B506" i="16"/>
  <c r="B510" i="16"/>
  <c r="B514" i="16"/>
  <c r="B518" i="16"/>
  <c r="B522" i="16"/>
  <c r="B526" i="16"/>
  <c r="B530" i="16"/>
  <c r="B534" i="16"/>
  <c r="B538" i="16"/>
  <c r="B542" i="16"/>
  <c r="B546" i="16"/>
  <c r="B550" i="16"/>
  <c r="B554" i="16"/>
  <c r="B558" i="16"/>
  <c r="B562" i="16"/>
  <c r="B566" i="16"/>
  <c r="B570" i="16"/>
  <c r="B574" i="16"/>
  <c r="B578" i="16"/>
  <c r="B582" i="16"/>
  <c r="B586" i="16"/>
  <c r="B590" i="16"/>
  <c r="B594" i="16"/>
  <c r="B598" i="16"/>
  <c r="B602" i="16"/>
  <c r="B606" i="16"/>
  <c r="B610" i="16"/>
  <c r="B614" i="16"/>
  <c r="B618" i="16"/>
  <c r="B622" i="16"/>
  <c r="B626" i="16"/>
  <c r="B630" i="16"/>
  <c r="B634" i="16"/>
  <c r="B638" i="16"/>
  <c r="B642" i="16"/>
  <c r="B646" i="16"/>
  <c r="B650" i="16"/>
  <c r="B654" i="16"/>
  <c r="B658" i="16"/>
  <c r="B662" i="16"/>
  <c r="B666" i="16"/>
  <c r="B670" i="16"/>
  <c r="B674" i="16"/>
  <c r="B678" i="16"/>
  <c r="B682" i="16"/>
  <c r="B686" i="16"/>
  <c r="B690" i="16"/>
  <c r="B694" i="16"/>
  <c r="B698" i="16"/>
  <c r="B702" i="16"/>
  <c r="B706" i="16"/>
  <c r="B710" i="16"/>
  <c r="B714" i="16"/>
  <c r="B718" i="16"/>
  <c r="B722" i="16"/>
  <c r="B726" i="16"/>
  <c r="B730" i="16"/>
  <c r="B734" i="16"/>
  <c r="B738" i="16"/>
  <c r="B742" i="16"/>
  <c r="B746" i="16"/>
  <c r="B750" i="16"/>
  <c r="B754" i="16"/>
  <c r="B758" i="16"/>
  <c r="B762" i="16"/>
  <c r="B766" i="16"/>
  <c r="B770" i="16"/>
  <c r="B774" i="16"/>
  <c r="B778" i="16"/>
  <c r="B782" i="16"/>
  <c r="B786" i="16"/>
  <c r="B790" i="16"/>
  <c r="B794" i="16"/>
  <c r="B798" i="16"/>
  <c r="B802" i="16"/>
  <c r="B806" i="16"/>
  <c r="B810" i="16"/>
  <c r="B814" i="16"/>
  <c r="B818" i="16"/>
  <c r="B822" i="16"/>
  <c r="B826" i="16"/>
  <c r="B830" i="16"/>
  <c r="B834" i="16"/>
  <c r="B838" i="16"/>
  <c r="B842" i="16"/>
  <c r="B846" i="16"/>
  <c r="B850" i="16"/>
  <c r="B854" i="16"/>
  <c r="B858" i="16"/>
  <c r="B862" i="16"/>
  <c r="B866" i="16"/>
  <c r="B870" i="16"/>
  <c r="B874" i="16"/>
  <c r="B878" i="16"/>
  <c r="B882" i="16"/>
  <c r="B886" i="16"/>
  <c r="B890" i="16"/>
  <c r="B894" i="16"/>
  <c r="B898" i="16"/>
  <c r="B902" i="16"/>
  <c r="B906" i="16"/>
  <c r="B910" i="16"/>
  <c r="B914" i="16"/>
  <c r="B918" i="16"/>
  <c r="B922" i="16"/>
  <c r="B926" i="16"/>
  <c r="B930" i="16"/>
  <c r="B934" i="16"/>
  <c r="B938" i="16"/>
  <c r="B942" i="16"/>
  <c r="B946" i="16"/>
  <c r="B950" i="16"/>
  <c r="B954" i="16"/>
  <c r="B958" i="16"/>
  <c r="B962" i="16"/>
  <c r="B966" i="16"/>
  <c r="B970" i="16"/>
  <c r="B974" i="16"/>
  <c r="B978" i="16"/>
  <c r="B982" i="16"/>
  <c r="B986" i="16"/>
  <c r="B990" i="16"/>
  <c r="B994" i="16"/>
  <c r="B998" i="16"/>
  <c r="B1002" i="16"/>
  <c r="B1006" i="16"/>
  <c r="B1010" i="16"/>
  <c r="B1014" i="16"/>
  <c r="B1018" i="16"/>
  <c r="B1022" i="16"/>
  <c r="B1026" i="16"/>
  <c r="B1030" i="16"/>
  <c r="B1034" i="16"/>
  <c r="B1038" i="16"/>
  <c r="B1042" i="16"/>
  <c r="B1046" i="16"/>
  <c r="B1050" i="16"/>
  <c r="B1001" i="16"/>
  <c r="B1009" i="16"/>
  <c r="B1017" i="16"/>
  <c r="B1025" i="16"/>
  <c r="B1033" i="16"/>
  <c r="B1041" i="16"/>
  <c r="B1049" i="16"/>
  <c r="B1055" i="16"/>
  <c r="B1059" i="16"/>
  <c r="B1063" i="16"/>
  <c r="B1067" i="16"/>
  <c r="B1071" i="16"/>
  <c r="B1075" i="16"/>
  <c r="B1079" i="16"/>
  <c r="B1083" i="16"/>
  <c r="B1087" i="16"/>
  <c r="B1091" i="16"/>
  <c r="B1095" i="16"/>
  <c r="B1099" i="16"/>
  <c r="B1103" i="16"/>
  <c r="B1107" i="16"/>
  <c r="B1111" i="16"/>
  <c r="B1115" i="16"/>
  <c r="E824" i="16"/>
  <c r="E838" i="16"/>
  <c r="E842" i="16"/>
  <c r="E846" i="16"/>
  <c r="E850" i="16"/>
  <c r="E854" i="16"/>
  <c r="E856" i="16"/>
  <c r="E860" i="16"/>
  <c r="E864" i="16"/>
  <c r="E868" i="16"/>
  <c r="E872" i="16"/>
  <c r="E876" i="16"/>
  <c r="E880" i="16"/>
  <c r="E884" i="16"/>
  <c r="E888" i="16"/>
  <c r="E892" i="16"/>
  <c r="E894" i="16"/>
  <c r="E898" i="16"/>
  <c r="E902" i="16"/>
  <c r="E906" i="16"/>
  <c r="E910" i="16"/>
  <c r="E914" i="16"/>
  <c r="E918" i="16"/>
  <c r="E922" i="16"/>
  <c r="E926" i="16"/>
  <c r="E930" i="16"/>
  <c r="E934" i="16"/>
  <c r="E936" i="16"/>
  <c r="E940" i="16"/>
  <c r="E944" i="16"/>
  <c r="E948" i="16"/>
  <c r="E952" i="16"/>
  <c r="E956" i="16"/>
  <c r="E960" i="16"/>
  <c r="E964" i="16"/>
  <c r="E968" i="16"/>
  <c r="E972" i="16"/>
  <c r="E976" i="16"/>
  <c r="E978" i="16"/>
  <c r="E982" i="16"/>
  <c r="E986" i="16"/>
  <c r="E990" i="16"/>
  <c r="E994" i="16"/>
  <c r="E998" i="16"/>
  <c r="B1003" i="16"/>
  <c r="B1011" i="16"/>
  <c r="B1019" i="16"/>
  <c r="B1027" i="16"/>
  <c r="B1035" i="16"/>
  <c r="B1043" i="16"/>
  <c r="B1051" i="16"/>
  <c r="B1056" i="16"/>
  <c r="B1060" i="16"/>
  <c r="B1064" i="16"/>
  <c r="B1068" i="16"/>
  <c r="B1072" i="16"/>
  <c r="B1076" i="16"/>
  <c r="B1080" i="16"/>
  <c r="B1084" i="16"/>
  <c r="B1088" i="16"/>
  <c r="B1092" i="16"/>
  <c r="B1096" i="16"/>
  <c r="B1100" i="16"/>
  <c r="B1104" i="16"/>
  <c r="B1108" i="16"/>
  <c r="B1112" i="16"/>
  <c r="B1116" i="16"/>
  <c r="E746" i="16"/>
  <c r="E748" i="16"/>
  <c r="E750" i="16"/>
  <c r="E752" i="16"/>
  <c r="E754" i="16"/>
  <c r="E756" i="16"/>
  <c r="E758" i="16"/>
  <c r="E760" i="16"/>
  <c r="E762" i="16"/>
  <c r="E764" i="16"/>
  <c r="E766" i="16"/>
  <c r="E768" i="16"/>
  <c r="E770" i="16"/>
  <c r="E772" i="16"/>
  <c r="E774" i="16"/>
  <c r="E776" i="16"/>
  <c r="E778" i="16"/>
  <c r="E780" i="16"/>
  <c r="E782" i="16"/>
  <c r="E784" i="16"/>
  <c r="E786" i="16"/>
  <c r="E788" i="16"/>
  <c r="E790" i="16"/>
  <c r="E792" i="16"/>
  <c r="E794" i="16"/>
  <c r="E796" i="16"/>
  <c r="E798" i="16"/>
  <c r="E800" i="16"/>
  <c r="E802" i="16"/>
  <c r="E804" i="16"/>
  <c r="E806" i="16"/>
  <c r="E808" i="16"/>
  <c r="E810" i="16"/>
  <c r="E812" i="16"/>
  <c r="E814" i="16"/>
  <c r="E816" i="16"/>
  <c r="E818" i="16"/>
  <c r="E820" i="16"/>
  <c r="E822" i="16"/>
  <c r="E826" i="16"/>
  <c r="E828" i="16"/>
  <c r="E830" i="16"/>
  <c r="E832" i="16"/>
  <c r="E834" i="16"/>
  <c r="E836" i="16"/>
  <c r="E840" i="16"/>
  <c r="E844" i="16"/>
  <c r="E848" i="16"/>
  <c r="E852" i="16"/>
  <c r="E858" i="16"/>
  <c r="E862" i="16"/>
  <c r="E866" i="16"/>
  <c r="E870" i="16"/>
  <c r="E874" i="16"/>
  <c r="E878" i="16"/>
  <c r="E882" i="16"/>
  <c r="E886" i="16"/>
  <c r="E890" i="16"/>
  <c r="E896" i="16"/>
  <c r="E900" i="16"/>
  <c r="E904" i="16"/>
  <c r="E908" i="16"/>
  <c r="E912" i="16"/>
  <c r="E916" i="16"/>
  <c r="E920" i="16"/>
  <c r="E924" i="16"/>
  <c r="E928" i="16"/>
  <c r="E932" i="16"/>
  <c r="E938" i="16"/>
  <c r="E942" i="16"/>
  <c r="E946" i="16"/>
  <c r="E950" i="16"/>
  <c r="E954" i="16"/>
  <c r="E958" i="16"/>
  <c r="E962" i="16"/>
  <c r="E966" i="16"/>
  <c r="E970" i="16"/>
  <c r="E974" i="16"/>
  <c r="E980" i="16"/>
  <c r="E984" i="16"/>
  <c r="E988" i="16"/>
  <c r="E992" i="16"/>
  <c r="E996" i="16"/>
  <c r="B1005" i="16"/>
  <c r="B1013" i="16"/>
  <c r="B1021" i="16"/>
  <c r="B1029" i="16"/>
  <c r="B1037" i="16"/>
  <c r="B1045" i="16"/>
  <c r="B1053" i="16"/>
  <c r="B1057" i="16"/>
  <c r="B1061" i="16"/>
  <c r="B1065" i="16"/>
  <c r="B1069" i="16"/>
  <c r="B1073" i="16"/>
  <c r="B1077" i="16"/>
  <c r="B1081" i="16"/>
  <c r="B1085" i="16"/>
  <c r="B1089" i="16"/>
  <c r="B1093" i="16"/>
  <c r="B1097" i="16"/>
  <c r="B1101" i="16"/>
  <c r="B1105" i="16"/>
  <c r="B1109" i="16"/>
  <c r="B1113" i="16"/>
  <c r="E1027" i="16"/>
  <c r="E1033" i="16"/>
  <c r="E1037" i="16"/>
  <c r="E1039" i="16"/>
  <c r="E1043" i="16"/>
  <c r="E1047" i="16"/>
  <c r="E1051" i="16"/>
  <c r="E1055" i="16"/>
  <c r="E1059" i="16"/>
  <c r="E1063" i="16"/>
  <c r="B1007" i="16"/>
  <c r="B1015" i="16"/>
  <c r="B1023" i="16"/>
  <c r="B1031" i="16"/>
  <c r="B1039" i="16"/>
  <c r="B1047" i="16"/>
  <c r="B1054" i="16"/>
  <c r="B1058" i="16"/>
  <c r="B1062" i="16"/>
  <c r="B1066" i="16"/>
  <c r="B1070" i="16"/>
  <c r="B1074" i="16"/>
  <c r="B1078" i="16"/>
  <c r="B1082" i="16"/>
  <c r="B1086" i="16"/>
  <c r="B1090" i="16"/>
  <c r="B1094" i="16"/>
  <c r="B1098" i="16"/>
  <c r="B1102" i="16"/>
  <c r="B1106" i="16"/>
  <c r="B1110" i="16"/>
  <c r="B1114" i="16"/>
  <c r="E747" i="16"/>
  <c r="E749" i="16"/>
  <c r="E751" i="16"/>
  <c r="E753" i="16"/>
  <c r="E755" i="16"/>
  <c r="E757" i="16"/>
  <c r="E759" i="16"/>
  <c r="E761" i="16"/>
  <c r="E763" i="16"/>
  <c r="E765" i="16"/>
  <c r="E767" i="16"/>
  <c r="E769" i="16"/>
  <c r="E771" i="16"/>
  <c r="E773" i="16"/>
  <c r="E775" i="16"/>
  <c r="E777" i="16"/>
  <c r="E779" i="16"/>
  <c r="E781" i="16"/>
  <c r="E783" i="16"/>
  <c r="E785" i="16"/>
  <c r="E787" i="16"/>
  <c r="E789" i="16"/>
  <c r="E791" i="16"/>
  <c r="E793" i="16"/>
  <c r="E795" i="16"/>
  <c r="E797" i="16"/>
  <c r="E799" i="16"/>
  <c r="E801" i="16"/>
  <c r="E803" i="16"/>
  <c r="E805" i="16"/>
  <c r="E807" i="16"/>
  <c r="E809" i="16"/>
  <c r="E811" i="16"/>
  <c r="E813" i="16"/>
  <c r="E815" i="16"/>
  <c r="E817" i="16"/>
  <c r="E819" i="16"/>
  <c r="E821" i="16"/>
  <c r="E823" i="16"/>
  <c r="E825" i="16"/>
  <c r="E827" i="16"/>
  <c r="E829" i="16"/>
  <c r="E831" i="16"/>
  <c r="E833" i="16"/>
  <c r="E835" i="16"/>
  <c r="E837" i="16"/>
  <c r="E839" i="16"/>
  <c r="E841" i="16"/>
  <c r="E843" i="16"/>
  <c r="E845" i="16"/>
  <c r="E847" i="16"/>
  <c r="E849" i="16"/>
  <c r="E851" i="16"/>
  <c r="E853" i="16"/>
  <c r="E855" i="16"/>
  <c r="E857" i="16"/>
  <c r="E859" i="16"/>
  <c r="E861" i="16"/>
  <c r="E863" i="16"/>
  <c r="E865" i="16"/>
  <c r="E867" i="16"/>
  <c r="E869" i="16"/>
  <c r="E871" i="16"/>
  <c r="E873" i="16"/>
  <c r="E875" i="16"/>
  <c r="E877" i="16"/>
  <c r="E879" i="16"/>
  <c r="E881" i="16"/>
  <c r="E883" i="16"/>
  <c r="E885" i="16"/>
  <c r="E887" i="16"/>
  <c r="E889" i="16"/>
  <c r="E891" i="16"/>
  <c r="E893" i="16"/>
  <c r="E895" i="16"/>
  <c r="E897" i="16"/>
  <c r="E899" i="16"/>
  <c r="E901" i="16"/>
  <c r="E903" i="16"/>
  <c r="E905" i="16"/>
  <c r="E907" i="16"/>
  <c r="E909" i="16"/>
  <c r="E911" i="16"/>
  <c r="E913" i="16"/>
  <c r="E915" i="16"/>
  <c r="E917" i="16"/>
  <c r="E919" i="16"/>
  <c r="E921" i="16"/>
  <c r="E923" i="16"/>
  <c r="E925" i="16"/>
  <c r="E927" i="16"/>
  <c r="E929" i="16"/>
  <c r="E931" i="16"/>
  <c r="E933" i="16"/>
  <c r="E935" i="16"/>
  <c r="E937" i="16"/>
  <c r="E939" i="16"/>
  <c r="E941" i="16"/>
  <c r="E943" i="16"/>
  <c r="E945" i="16"/>
  <c r="E947" i="16"/>
  <c r="E949" i="16"/>
  <c r="E951" i="16"/>
  <c r="E953" i="16"/>
  <c r="E955" i="16"/>
  <c r="E957" i="16"/>
  <c r="E959" i="16"/>
  <c r="E961" i="16"/>
  <c r="E963" i="16"/>
  <c r="E965" i="16"/>
  <c r="E967" i="16"/>
  <c r="E969" i="16"/>
  <c r="E971" i="16"/>
  <c r="E973" i="16"/>
  <c r="E975" i="16"/>
  <c r="E977" i="16"/>
  <c r="E979" i="16"/>
  <c r="E981" i="16"/>
  <c r="E983" i="16"/>
  <c r="E985" i="16"/>
  <c r="E987" i="16"/>
  <c r="E989" i="16"/>
  <c r="E991" i="16"/>
  <c r="E993" i="16"/>
  <c r="E995" i="16"/>
  <c r="E997" i="16"/>
  <c r="E999" i="16"/>
  <c r="E1001" i="16"/>
  <c r="E1003" i="16"/>
  <c r="E1005" i="16"/>
  <c r="E1007" i="16"/>
  <c r="E1009" i="16"/>
  <c r="E1011" i="16"/>
  <c r="E1013" i="16"/>
  <c r="E1015" i="16"/>
  <c r="E1017" i="16"/>
  <c r="E1019" i="16"/>
  <c r="E1021" i="16"/>
  <c r="E1023" i="16"/>
  <c r="E1025" i="16"/>
  <c r="E1029" i="16"/>
  <c r="E1031" i="16"/>
  <c r="E1035" i="16"/>
  <c r="E1041" i="16"/>
  <c r="E1045" i="16"/>
  <c r="E1049" i="16"/>
  <c r="E1053" i="16"/>
  <c r="E1057" i="16"/>
  <c r="E1002" i="16"/>
  <c r="E1010" i="16"/>
  <c r="E1018" i="16"/>
  <c r="E1026" i="16"/>
  <c r="E1034" i="16"/>
  <c r="E1042" i="16"/>
  <c r="E1050" i="16"/>
  <c r="E1058" i="16"/>
  <c r="E1065" i="16"/>
  <c r="E1067" i="16"/>
  <c r="E1069" i="16"/>
  <c r="E1071" i="16"/>
  <c r="E1073" i="16"/>
  <c r="E1075" i="16"/>
  <c r="E1077" i="16"/>
  <c r="E1079" i="16"/>
  <c r="E1081" i="16"/>
  <c r="E1083" i="16"/>
  <c r="E1085" i="16"/>
  <c r="E1087" i="16"/>
  <c r="E1089" i="16"/>
  <c r="E1095" i="16"/>
  <c r="E1103" i="16"/>
  <c r="E1111" i="16"/>
  <c r="E1000" i="16"/>
  <c r="E1008" i="16"/>
  <c r="E1016" i="16"/>
  <c r="E1024" i="16"/>
  <c r="E1032" i="16"/>
  <c r="E1040" i="16"/>
  <c r="E1048" i="16"/>
  <c r="E1056" i="16"/>
  <c r="E1061" i="16"/>
  <c r="E1064" i="16"/>
  <c r="E1068" i="16"/>
  <c r="E1072" i="16"/>
  <c r="E1076" i="16"/>
  <c r="E1080" i="16"/>
  <c r="E1084" i="16"/>
  <c r="E1088" i="16"/>
  <c r="E1092" i="16"/>
  <c r="E1096" i="16"/>
  <c r="E1100" i="16"/>
  <c r="E1104" i="16"/>
  <c r="E1108" i="16"/>
  <c r="E1112" i="16"/>
  <c r="E1116" i="16"/>
  <c r="E1020" i="16"/>
  <c r="E1044" i="16"/>
  <c r="E1062" i="16"/>
  <c r="E1093" i="16"/>
  <c r="E1101" i="16"/>
  <c r="E1109" i="16"/>
  <c r="E1006" i="16"/>
  <c r="E1014" i="16"/>
  <c r="E1022" i="16"/>
  <c r="E1030" i="16"/>
  <c r="E1038" i="16"/>
  <c r="E1046" i="16"/>
  <c r="E1054" i="16"/>
  <c r="E1066" i="16"/>
  <c r="E1070" i="16"/>
  <c r="E1074" i="16"/>
  <c r="E1078" i="16"/>
  <c r="E1082" i="16"/>
  <c r="E1086" i="16"/>
  <c r="E1090" i="16"/>
  <c r="E1094" i="16"/>
  <c r="E1098" i="16"/>
  <c r="E1102" i="16"/>
  <c r="E1106" i="16"/>
  <c r="E1110" i="16"/>
  <c r="E1114" i="16"/>
  <c r="E1028" i="16"/>
  <c r="E1060" i="16"/>
  <c r="E1091" i="16"/>
  <c r="E1099" i="16"/>
  <c r="E1107" i="16"/>
  <c r="E1115" i="16"/>
  <c r="E1004" i="16"/>
  <c r="E1012" i="16"/>
  <c r="E1036" i="16"/>
  <c r="E1052" i="16"/>
  <c r="E1097" i="16"/>
  <c r="E1105" i="16"/>
  <c r="E1113" i="16"/>
  <c r="H116" i="8"/>
  <c r="H101" i="8"/>
  <c r="H115" i="8"/>
  <c r="H88" i="8"/>
  <c r="H86" i="8"/>
  <c r="H60" i="8"/>
  <c r="H15" i="8"/>
  <c r="H58" i="8"/>
  <c r="H41" i="8"/>
  <c r="H103" i="8"/>
  <c r="H59" i="8"/>
  <c r="H117" i="8"/>
  <c r="H102" i="8"/>
  <c r="H87" i="8"/>
  <c r="H13" i="8"/>
  <c r="H29" i="8"/>
  <c r="H28" i="8"/>
  <c r="H14" i="8"/>
  <c r="H43" i="8"/>
  <c r="H27" i="8"/>
  <c r="H42" i="8"/>
  <c r="E742" i="16"/>
  <c r="E738" i="16"/>
  <c r="E734" i="16"/>
  <c r="E730" i="16"/>
  <c r="E726" i="16"/>
  <c r="E722" i="16"/>
  <c r="E718" i="16"/>
  <c r="E714" i="16"/>
  <c r="E710" i="16"/>
  <c r="E706" i="16"/>
  <c r="E702" i="16"/>
  <c r="E698" i="16"/>
  <c r="E694" i="16"/>
  <c r="E690" i="16"/>
  <c r="E686" i="16"/>
  <c r="E682" i="16"/>
  <c r="E678" i="16"/>
  <c r="E674" i="16"/>
  <c r="E670" i="16"/>
  <c r="E666" i="16"/>
  <c r="E662" i="16"/>
  <c r="E658" i="16"/>
  <c r="E654" i="16"/>
  <c r="E650" i="16"/>
  <c r="E646" i="16"/>
  <c r="E642" i="16"/>
  <c r="E638" i="16"/>
  <c r="E634" i="16"/>
  <c r="E630" i="16"/>
  <c r="E626" i="16"/>
  <c r="E622" i="16"/>
  <c r="E618" i="16"/>
  <c r="E744" i="16"/>
  <c r="E741" i="16"/>
  <c r="E736" i="16"/>
  <c r="E733" i="16"/>
  <c r="E728" i="16"/>
  <c r="E725" i="16"/>
  <c r="E720" i="16"/>
  <c r="E717" i="16"/>
  <c r="E712" i="16"/>
  <c r="E709" i="16"/>
  <c r="E704" i="16"/>
  <c r="E701" i="16"/>
  <c r="E696" i="16"/>
  <c r="E693" i="16"/>
  <c r="E688" i="16"/>
  <c r="E685" i="16"/>
  <c r="E680" i="16"/>
  <c r="E677" i="16"/>
  <c r="E672" i="16"/>
  <c r="E669" i="16"/>
  <c r="E664" i="16"/>
  <c r="E661" i="16"/>
  <c r="E656" i="16"/>
  <c r="E653" i="16"/>
  <c r="E648" i="16"/>
  <c r="E645" i="16"/>
  <c r="E640" i="16"/>
  <c r="E637" i="16"/>
  <c r="E632" i="16"/>
  <c r="E629" i="16"/>
  <c r="E624" i="16"/>
  <c r="E621" i="16"/>
  <c r="E616" i="16"/>
  <c r="E612" i="16"/>
  <c r="E608" i="16"/>
  <c r="E604" i="16"/>
  <c r="E600" i="16"/>
  <c r="E596" i="16"/>
  <c r="E592" i="16"/>
  <c r="E588" i="16"/>
  <c r="E584" i="16"/>
  <c r="E580" i="16"/>
  <c r="E576" i="16"/>
  <c r="E572" i="16"/>
  <c r="E568" i="16"/>
  <c r="E564" i="16"/>
  <c r="E560" i="16"/>
  <c r="E556" i="16"/>
  <c r="E552" i="16"/>
  <c r="E548" i="16"/>
  <c r="E544" i="16"/>
  <c r="E540" i="16"/>
  <c r="E536" i="16"/>
  <c r="E532" i="16"/>
  <c r="E528" i="16"/>
  <c r="E524" i="16"/>
  <c r="E520" i="16"/>
  <c r="E516" i="16"/>
  <c r="E512" i="16"/>
  <c r="E508" i="16"/>
  <c r="E504" i="16"/>
  <c r="E500" i="16"/>
  <c r="E496" i="16"/>
  <c r="E492" i="16"/>
  <c r="E488" i="16"/>
  <c r="E484" i="16"/>
  <c r="E480" i="16"/>
  <c r="E476" i="16"/>
  <c r="E472" i="16"/>
  <c r="E468" i="16"/>
  <c r="E464" i="16"/>
  <c r="E460" i="16"/>
  <c r="E456" i="16"/>
  <c r="E452" i="16"/>
  <c r="E448" i="16"/>
  <c r="E444" i="16"/>
  <c r="E440" i="16"/>
  <c r="E436" i="16"/>
  <c r="E432" i="16"/>
  <c r="E428" i="16"/>
  <c r="E424" i="16"/>
  <c r="E614" i="16"/>
  <c r="E611" i="16"/>
  <c r="E606" i="16"/>
  <c r="E603" i="16"/>
  <c r="E598" i="16"/>
  <c r="E595" i="16"/>
  <c r="E590" i="16"/>
  <c r="E587" i="16"/>
  <c r="E582" i="16"/>
  <c r="E579" i="16"/>
  <c r="E574" i="16"/>
  <c r="E571" i="16"/>
  <c r="E566" i="16"/>
  <c r="E563" i="16"/>
  <c r="E558" i="16"/>
  <c r="E555" i="16"/>
  <c r="E550" i="16"/>
  <c r="E547" i="16"/>
  <c r="E542" i="16"/>
  <c r="E539" i="16"/>
  <c r="E534" i="16"/>
  <c r="E531" i="16"/>
  <c r="E526" i="16"/>
  <c r="E523" i="16"/>
  <c r="E518" i="16"/>
  <c r="E515" i="16"/>
  <c r="E510" i="16"/>
  <c r="E507" i="16"/>
  <c r="E502" i="16"/>
  <c r="E499" i="16"/>
  <c r="E494" i="16"/>
  <c r="E491" i="16"/>
  <c r="E486" i="16"/>
  <c r="E483" i="16"/>
  <c r="E478" i="16"/>
  <c r="E475" i="16"/>
  <c r="E470" i="16"/>
  <c r="E467" i="16"/>
  <c r="E462" i="16"/>
  <c r="E459" i="16"/>
  <c r="E454" i="16"/>
  <c r="E451" i="16"/>
  <c r="E446" i="16"/>
  <c r="E443" i="16"/>
  <c r="E438" i="16"/>
  <c r="E435" i="16"/>
  <c r="E430" i="16"/>
  <c r="E427" i="16"/>
  <c r="E422" i="16"/>
  <c r="E418" i="16"/>
  <c r="E414" i="16"/>
  <c r="E410" i="16"/>
  <c r="E406" i="16"/>
  <c r="E402" i="16"/>
  <c r="E398" i="16"/>
  <c r="E394" i="16"/>
  <c r="E390" i="16"/>
  <c r="E386" i="16"/>
  <c r="E382" i="16"/>
  <c r="E378" i="16"/>
  <c r="E374" i="16"/>
  <c r="E370" i="16"/>
  <c r="E366" i="16"/>
  <c r="E362" i="16"/>
  <c r="E358" i="16"/>
  <c r="E354" i="16"/>
  <c r="E350" i="16"/>
  <c r="E346" i="16"/>
  <c r="E342" i="16"/>
  <c r="E338" i="16"/>
  <c r="E334" i="16"/>
  <c r="E330" i="16"/>
  <c r="E326" i="16"/>
  <c r="E322" i="16"/>
  <c r="E318" i="16"/>
  <c r="E314" i="16"/>
  <c r="E310" i="16"/>
  <c r="E306" i="16"/>
  <c r="E302" i="16"/>
  <c r="E298" i="16"/>
  <c r="E294" i="16"/>
  <c r="E290" i="16"/>
  <c r="E286" i="16"/>
  <c r="E282" i="16"/>
  <c r="E278" i="16"/>
  <c r="E274" i="16"/>
  <c r="E270" i="16"/>
  <c r="E266" i="16"/>
  <c r="E262" i="16"/>
  <c r="E258" i="16"/>
  <c r="E254" i="16"/>
  <c r="E250" i="16"/>
  <c r="E246" i="16"/>
  <c r="E242" i="16"/>
  <c r="E238" i="16"/>
  <c r="E234" i="16"/>
  <c r="E230" i="16"/>
  <c r="E226" i="16"/>
  <c r="E222" i="16"/>
  <c r="E218" i="16"/>
  <c r="E214" i="16"/>
  <c r="E210" i="16"/>
  <c r="E206" i="16"/>
  <c r="E202" i="16"/>
  <c r="E198" i="16"/>
  <c r="E194" i="16"/>
  <c r="E190" i="16"/>
  <c r="E186" i="16"/>
  <c r="E182" i="16"/>
  <c r="E178" i="16"/>
  <c r="E174" i="16"/>
  <c r="E170" i="16"/>
  <c r="E166" i="16"/>
  <c r="E162" i="16"/>
  <c r="E158" i="16"/>
  <c r="E154" i="16"/>
  <c r="E150" i="16"/>
  <c r="E146" i="16"/>
  <c r="E142" i="16"/>
  <c r="E138" i="16"/>
  <c r="E134" i="16"/>
  <c r="E130" i="16"/>
  <c r="E126" i="16"/>
  <c r="E122" i="16"/>
  <c r="E118" i="16"/>
  <c r="E114" i="16"/>
  <c r="E110" i="16"/>
  <c r="E106" i="16"/>
  <c r="E102" i="16"/>
  <c r="E98" i="16"/>
  <c r="E94" i="16"/>
  <c r="E90" i="16"/>
  <c r="E86" i="16"/>
  <c r="E82" i="16"/>
  <c r="E78" i="16"/>
  <c r="E74" i="16"/>
  <c r="E70" i="16"/>
  <c r="E66" i="16"/>
  <c r="E62" i="16"/>
  <c r="E58" i="16"/>
  <c r="E54" i="16"/>
  <c r="E50" i="16"/>
  <c r="E46" i="16"/>
  <c r="E42" i="16"/>
  <c r="E745" i="16"/>
  <c r="E735" i="16"/>
  <c r="E732" i="16"/>
  <c r="E715" i="16"/>
  <c r="E713" i="16"/>
  <c r="E703" i="16"/>
  <c r="E700" i="16"/>
  <c r="E683" i="16"/>
  <c r="E681" i="16"/>
  <c r="E671" i="16"/>
  <c r="E668" i="16"/>
  <c r="E651" i="16"/>
  <c r="E649" i="16"/>
  <c r="E639" i="16"/>
  <c r="E636" i="16"/>
  <c r="E619" i="16"/>
  <c r="E617" i="16"/>
  <c r="E610" i="16"/>
  <c r="E602" i="16"/>
  <c r="E594" i="16"/>
  <c r="E586" i="16"/>
  <c r="E578" i="16"/>
  <c r="E570" i="16"/>
  <c r="E562" i="16"/>
  <c r="E554" i="16"/>
  <c r="E546" i="16"/>
  <c r="E538" i="16"/>
  <c r="E530" i="16"/>
  <c r="E522" i="16"/>
  <c r="E514" i="16"/>
  <c r="E506" i="16"/>
  <c r="E498" i="16"/>
  <c r="E490" i="16"/>
  <c r="E482" i="16"/>
  <c r="E474" i="16"/>
  <c r="E466" i="16"/>
  <c r="E458" i="16"/>
  <c r="E450" i="16"/>
  <c r="E442" i="16"/>
  <c r="E434" i="16"/>
  <c r="E426" i="16"/>
  <c r="E419" i="16"/>
  <c r="E411" i="16"/>
  <c r="E403" i="16"/>
  <c r="E395" i="16"/>
  <c r="E387" i="16"/>
  <c r="E379" i="16"/>
  <c r="E371" i="16"/>
  <c r="E363" i="16"/>
  <c r="E355" i="16"/>
  <c r="E347" i="16"/>
  <c r="E339" i="16"/>
  <c r="E331" i="16"/>
  <c r="E323" i="16"/>
  <c r="E315" i="16"/>
  <c r="E307" i="16"/>
  <c r="E299" i="16"/>
  <c r="E291" i="16"/>
  <c r="E283" i="16"/>
  <c r="E275" i="16"/>
  <c r="E739" i="16"/>
  <c r="E737" i="16"/>
  <c r="E727" i="16"/>
  <c r="E724" i="16"/>
  <c r="E707" i="16"/>
  <c r="E705" i="16"/>
  <c r="E695" i="16"/>
  <c r="E692" i="16"/>
  <c r="E675" i="16"/>
  <c r="E673" i="16"/>
  <c r="E663" i="16"/>
  <c r="E660" i="16"/>
  <c r="E643" i="16"/>
  <c r="E641" i="16"/>
  <c r="E631" i="16"/>
  <c r="E628" i="16"/>
  <c r="E420" i="16"/>
  <c r="E417" i="16"/>
  <c r="E412" i="16"/>
  <c r="E409" i="16"/>
  <c r="E404" i="16"/>
  <c r="E401" i="16"/>
  <c r="E396" i="16"/>
  <c r="E393" i="16"/>
  <c r="E388" i="16"/>
  <c r="E385" i="16"/>
  <c r="E380" i="16"/>
  <c r="E377" i="16"/>
  <c r="E372" i="16"/>
  <c r="E369" i="16"/>
  <c r="E364" i="16"/>
  <c r="E361" i="16"/>
  <c r="E356" i="16"/>
  <c r="E353" i="16"/>
  <c r="E348" i="16"/>
  <c r="E345" i="16"/>
  <c r="E340" i="16"/>
  <c r="E337" i="16"/>
  <c r="E332" i="16"/>
  <c r="E329" i="16"/>
  <c r="E324" i="16"/>
  <c r="E321" i="16"/>
  <c r="E316" i="16"/>
  <c r="E313" i="16"/>
  <c r="E308" i="16"/>
  <c r="E305" i="16"/>
  <c r="E300" i="16"/>
  <c r="E297" i="16"/>
  <c r="E292" i="16"/>
  <c r="E289" i="16"/>
  <c r="E284" i="16"/>
  <c r="E731" i="16"/>
  <c r="E729" i="16"/>
  <c r="E719" i="16"/>
  <c r="E716" i="16"/>
  <c r="E699" i="16"/>
  <c r="E697" i="16"/>
  <c r="E687" i="16"/>
  <c r="E684" i="16"/>
  <c r="E667" i="16"/>
  <c r="E665" i="16"/>
  <c r="E655" i="16"/>
  <c r="E652" i="16"/>
  <c r="E635" i="16"/>
  <c r="E633" i="16"/>
  <c r="E623" i="16"/>
  <c r="E620" i="16"/>
  <c r="E415" i="16"/>
  <c r="E407" i="16"/>
  <c r="E399" i="16"/>
  <c r="E391" i="16"/>
  <c r="E383" i="16"/>
  <c r="E375" i="16"/>
  <c r="E367" i="16"/>
  <c r="E359" i="16"/>
  <c r="E351" i="16"/>
  <c r="E343" i="16"/>
  <c r="E335" i="16"/>
  <c r="E327" i="16"/>
  <c r="E319" i="16"/>
  <c r="E311" i="16"/>
  <c r="E303" i="16"/>
  <c r="E295" i="16"/>
  <c r="E287" i="16"/>
  <c r="E279" i="16"/>
  <c r="E271" i="16"/>
  <c r="E263" i="16"/>
  <c r="E255" i="16"/>
  <c r="E247" i="16"/>
  <c r="E239" i="16"/>
  <c r="E231" i="16"/>
  <c r="E223" i="16"/>
  <c r="E215" i="16"/>
  <c r="E207" i="16"/>
  <c r="E199" i="16"/>
  <c r="E191" i="16"/>
  <c r="E183" i="16"/>
  <c r="E175" i="16"/>
  <c r="E167" i="16"/>
  <c r="E159" i="16"/>
  <c r="E151" i="16"/>
  <c r="E143" i="16"/>
  <c r="E135" i="16"/>
  <c r="E127" i="16"/>
  <c r="E119" i="16"/>
  <c r="E111" i="16"/>
  <c r="E721" i="16"/>
  <c r="E679" i="16"/>
  <c r="E676" i="16"/>
  <c r="E627" i="16"/>
  <c r="E605" i="16"/>
  <c r="E599" i="16"/>
  <c r="E593" i="16"/>
  <c r="E573" i="16"/>
  <c r="E567" i="16"/>
  <c r="E561" i="16"/>
  <c r="E541" i="16"/>
  <c r="E535" i="16"/>
  <c r="E529" i="16"/>
  <c r="E509" i="16"/>
  <c r="E503" i="16"/>
  <c r="E497" i="16"/>
  <c r="E477" i="16"/>
  <c r="E471" i="16"/>
  <c r="E465" i="16"/>
  <c r="E445" i="16"/>
  <c r="E439" i="16"/>
  <c r="E433" i="16"/>
  <c r="E416" i="16"/>
  <c r="E408" i="16"/>
  <c r="E400" i="16"/>
  <c r="E392" i="16"/>
  <c r="E384" i="16"/>
  <c r="E376" i="16"/>
  <c r="E368" i="16"/>
  <c r="E360" i="16"/>
  <c r="E352" i="16"/>
  <c r="E344" i="16"/>
  <c r="E336" i="16"/>
  <c r="E328" i="16"/>
  <c r="E320" i="16"/>
  <c r="E312" i="16"/>
  <c r="E304" i="16"/>
  <c r="E296" i="16"/>
  <c r="E288" i="16"/>
  <c r="E265" i="16"/>
  <c r="E256" i="16"/>
  <c r="E249" i="16"/>
  <c r="E240" i="16"/>
  <c r="E233" i="16"/>
  <c r="E224" i="16"/>
  <c r="E217" i="16"/>
  <c r="E208" i="16"/>
  <c r="E201" i="16"/>
  <c r="E192" i="16"/>
  <c r="E185" i="16"/>
  <c r="E176" i="16"/>
  <c r="E169" i="16"/>
  <c r="E160" i="16"/>
  <c r="E153" i="16"/>
  <c r="E144" i="16"/>
  <c r="E137" i="16"/>
  <c r="E128" i="16"/>
  <c r="E121" i="16"/>
  <c r="E112" i="16"/>
  <c r="E105" i="16"/>
  <c r="E100" i="16"/>
  <c r="E97" i="16"/>
  <c r="E92" i="16"/>
  <c r="E89" i="16"/>
  <c r="E84" i="16"/>
  <c r="E81" i="16"/>
  <c r="E76" i="16"/>
  <c r="E73" i="16"/>
  <c r="E68" i="16"/>
  <c r="E65" i="16"/>
  <c r="E60" i="16"/>
  <c r="E57" i="16"/>
  <c r="E52" i="16"/>
  <c r="E49" i="16"/>
  <c r="E44" i="16"/>
  <c r="E41" i="16"/>
  <c r="E38" i="16"/>
  <c r="E34" i="16"/>
  <c r="E30" i="16"/>
  <c r="E26" i="16"/>
  <c r="E22" i="16"/>
  <c r="E18" i="16"/>
  <c r="E14" i="16"/>
  <c r="E10" i="16"/>
  <c r="E6" i="16"/>
  <c r="B5" i="16"/>
  <c r="E83" i="16"/>
  <c r="E67" i="16"/>
  <c r="E33" i="16"/>
  <c r="B4" i="16"/>
  <c r="E723" i="16"/>
  <c r="E689" i="16"/>
  <c r="E647" i="16"/>
  <c r="E644" i="16"/>
  <c r="E613" i="16"/>
  <c r="E607" i="16"/>
  <c r="E601" i="16"/>
  <c r="E581" i="16"/>
  <c r="E575" i="16"/>
  <c r="E569" i="16"/>
  <c r="E549" i="16"/>
  <c r="E543" i="16"/>
  <c r="E537" i="16"/>
  <c r="E517" i="16"/>
  <c r="E511" i="16"/>
  <c r="E505" i="16"/>
  <c r="E485" i="16"/>
  <c r="E479" i="16"/>
  <c r="E473" i="16"/>
  <c r="E453" i="16"/>
  <c r="E447" i="16"/>
  <c r="E441" i="16"/>
  <c r="E421" i="16"/>
  <c r="E413" i="16"/>
  <c r="E405" i="16"/>
  <c r="E397" i="16"/>
  <c r="E389" i="16"/>
  <c r="E381" i="16"/>
  <c r="E373" i="16"/>
  <c r="E365" i="16"/>
  <c r="E357" i="16"/>
  <c r="E349" i="16"/>
  <c r="E341" i="16"/>
  <c r="E333" i="16"/>
  <c r="E325" i="16"/>
  <c r="E317" i="16"/>
  <c r="E309" i="16"/>
  <c r="E301" i="16"/>
  <c r="E293" i="16"/>
  <c r="E285" i="16"/>
  <c r="E280" i="16"/>
  <c r="E276" i="16"/>
  <c r="E272" i="16"/>
  <c r="E268" i="16"/>
  <c r="E261" i="16"/>
  <c r="E259" i="16"/>
  <c r="E252" i="16"/>
  <c r="E245" i="16"/>
  <c r="E243" i="16"/>
  <c r="E236" i="16"/>
  <c r="E229" i="16"/>
  <c r="E227" i="16"/>
  <c r="E220" i="16"/>
  <c r="E213" i="16"/>
  <c r="E211" i="16"/>
  <c r="E204" i="16"/>
  <c r="E197" i="16"/>
  <c r="E195" i="16"/>
  <c r="E188" i="16"/>
  <c r="E181" i="16"/>
  <c r="E179" i="16"/>
  <c r="E172" i="16"/>
  <c r="E165" i="16"/>
  <c r="E163" i="16"/>
  <c r="E156" i="16"/>
  <c r="E149" i="16"/>
  <c r="E147" i="16"/>
  <c r="E140" i="16"/>
  <c r="E133" i="16"/>
  <c r="E131" i="16"/>
  <c r="E124" i="16"/>
  <c r="E117" i="16"/>
  <c r="E115" i="16"/>
  <c r="E108" i="16"/>
  <c r="E103" i="16"/>
  <c r="E95" i="16"/>
  <c r="E87" i="16"/>
  <c r="E79" i="16"/>
  <c r="E71" i="16"/>
  <c r="E63" i="16"/>
  <c r="E55" i="16"/>
  <c r="E47" i="16"/>
  <c r="E39" i="16"/>
  <c r="E35" i="16"/>
  <c r="E31" i="16"/>
  <c r="E27" i="16"/>
  <c r="E23" i="16"/>
  <c r="E19" i="16"/>
  <c r="E15" i="16"/>
  <c r="E11" i="16"/>
  <c r="E7" i="16"/>
  <c r="B6" i="16"/>
  <c r="E32" i="16"/>
  <c r="E28" i="16"/>
  <c r="E24" i="16"/>
  <c r="E20" i="16"/>
  <c r="E8" i="16"/>
  <c r="B7" i="16"/>
  <c r="E4" i="16"/>
  <c r="E711" i="16"/>
  <c r="E625" i="16"/>
  <c r="E597" i="16"/>
  <c r="E585" i="16"/>
  <c r="E559" i="16"/>
  <c r="E527" i="16"/>
  <c r="E495" i="16"/>
  <c r="E469" i="16"/>
  <c r="E457" i="16"/>
  <c r="E437" i="16"/>
  <c r="E431" i="16"/>
  <c r="E425" i="16"/>
  <c r="E277" i="16"/>
  <c r="E273" i="16"/>
  <c r="E267" i="16"/>
  <c r="E253" i="16"/>
  <c r="E237" i="16"/>
  <c r="E219" i="16"/>
  <c r="E203" i="16"/>
  <c r="E189" i="16"/>
  <c r="E180" i="16"/>
  <c r="E173" i="16"/>
  <c r="E164" i="16"/>
  <c r="E157" i="16"/>
  <c r="E155" i="16"/>
  <c r="E148" i="16"/>
  <c r="E141" i="16"/>
  <c r="E132" i="16"/>
  <c r="E125" i="16"/>
  <c r="E116" i="16"/>
  <c r="E109" i="16"/>
  <c r="E99" i="16"/>
  <c r="E91" i="16"/>
  <c r="E75" i="16"/>
  <c r="E51" i="16"/>
  <c r="E37" i="16"/>
  <c r="E29" i="16"/>
  <c r="E25" i="16"/>
  <c r="E17" i="16"/>
  <c r="E13" i="16"/>
  <c r="E9" i="16"/>
  <c r="E5" i="16"/>
  <c r="E743" i="16"/>
  <c r="E740" i="16"/>
  <c r="E691" i="16"/>
  <c r="E657" i="16"/>
  <c r="E615" i="16"/>
  <c r="E609" i="16"/>
  <c r="E589" i="16"/>
  <c r="E583" i="16"/>
  <c r="E577" i="16"/>
  <c r="E557" i="16"/>
  <c r="E551" i="16"/>
  <c r="E545" i="16"/>
  <c r="E525" i="16"/>
  <c r="E519" i="16"/>
  <c r="E513" i="16"/>
  <c r="E493" i="16"/>
  <c r="E487" i="16"/>
  <c r="E481" i="16"/>
  <c r="E461" i="16"/>
  <c r="E455" i="16"/>
  <c r="E449" i="16"/>
  <c r="E429" i="16"/>
  <c r="E423" i="16"/>
  <c r="E264" i="16"/>
  <c r="E257" i="16"/>
  <c r="E248" i="16"/>
  <c r="E241" i="16"/>
  <c r="E232" i="16"/>
  <c r="E225" i="16"/>
  <c r="E216" i="16"/>
  <c r="E209" i="16"/>
  <c r="E200" i="16"/>
  <c r="E193" i="16"/>
  <c r="E184" i="16"/>
  <c r="E177" i="16"/>
  <c r="E168" i="16"/>
  <c r="E161" i="16"/>
  <c r="E152" i="16"/>
  <c r="E145" i="16"/>
  <c r="E136" i="16"/>
  <c r="E129" i="16"/>
  <c r="E120" i="16"/>
  <c r="E113" i="16"/>
  <c r="E104" i="16"/>
  <c r="E101" i="16"/>
  <c r="E96" i="16"/>
  <c r="E93" i="16"/>
  <c r="E88" i="16"/>
  <c r="E85" i="16"/>
  <c r="E80" i="16"/>
  <c r="E77" i="16"/>
  <c r="E72" i="16"/>
  <c r="E69" i="16"/>
  <c r="E64" i="16"/>
  <c r="E61" i="16"/>
  <c r="E56" i="16"/>
  <c r="E53" i="16"/>
  <c r="E48" i="16"/>
  <c r="E45" i="16"/>
  <c r="E40" i="16"/>
  <c r="E36" i="16"/>
  <c r="E16" i="16"/>
  <c r="E12" i="16"/>
  <c r="E708" i="16"/>
  <c r="E659" i="16"/>
  <c r="E591" i="16"/>
  <c r="E565" i="16"/>
  <c r="E553" i="16"/>
  <c r="E533" i="16"/>
  <c r="E521" i="16"/>
  <c r="E501" i="16"/>
  <c r="E489" i="16"/>
  <c r="E463" i="16"/>
  <c r="E281" i="16"/>
  <c r="E269" i="16"/>
  <c r="E260" i="16"/>
  <c r="E251" i="16"/>
  <c r="E244" i="16"/>
  <c r="E235" i="16"/>
  <c r="E228" i="16"/>
  <c r="E221" i="16"/>
  <c r="E212" i="16"/>
  <c r="E205" i="16"/>
  <c r="E196" i="16"/>
  <c r="E187" i="16"/>
  <c r="E171" i="16"/>
  <c r="E139" i="16"/>
  <c r="E123" i="16"/>
  <c r="E107" i="16"/>
  <c r="E59" i="16"/>
  <c r="E43" i="16"/>
  <c r="E21" i="16"/>
  <c r="H114" i="8"/>
  <c r="I80" i="15"/>
  <c r="I81" i="15"/>
  <c r="E27" i="15"/>
  <c r="I83" i="15"/>
  <c r="R132" i="8"/>
  <c r="K17" i="7"/>
  <c r="G59" i="8"/>
  <c r="G101" i="8"/>
  <c r="H57" i="8"/>
  <c r="G116" i="8"/>
  <c r="H12" i="8"/>
  <c r="G102" i="8"/>
  <c r="H100" i="8"/>
  <c r="G58" i="8"/>
  <c r="H26" i="8"/>
  <c r="H40" i="8" s="1"/>
  <c r="G115" i="8"/>
  <c r="H85" i="8"/>
  <c r="N146" i="8"/>
  <c r="K16" i="7"/>
  <c r="K10" i="7"/>
  <c r="K11" i="7"/>
  <c r="K12" i="7"/>
  <c r="K13" i="7"/>
  <c r="K14" i="7"/>
  <c r="K15" i="7"/>
  <c r="K86" i="7"/>
  <c r="D9" i="13" l="1"/>
  <c r="D8" i="13"/>
  <c r="D13" i="10"/>
  <c r="AK4" i="16"/>
  <c r="AC340" i="16"/>
  <c r="AK340" i="16" s="1"/>
  <c r="AD693" i="16"/>
  <c r="AD404" i="16"/>
  <c r="D16" i="13"/>
  <c r="D13" i="13"/>
  <c r="D14" i="13"/>
  <c r="D17" i="13"/>
  <c r="D19" i="13"/>
  <c r="D10" i="13"/>
  <c r="D15" i="13"/>
  <c r="D12" i="13"/>
  <c r="D18" i="13"/>
  <c r="D11" i="13"/>
  <c r="D11" i="10"/>
  <c r="D14" i="10"/>
  <c r="D12" i="10"/>
  <c r="D9" i="12"/>
  <c r="D11" i="12"/>
  <c r="D16" i="12"/>
  <c r="D12" i="12"/>
  <c r="D8" i="12"/>
  <c r="D14" i="12"/>
  <c r="D10" i="12"/>
  <c r="D13" i="12"/>
  <c r="D15" i="12"/>
  <c r="D9" i="10"/>
  <c r="D10" i="10"/>
  <c r="D8" i="10"/>
  <c r="P20" i="17"/>
  <c r="P12" i="17"/>
  <c r="Q12" i="17" s="1"/>
  <c r="S12" i="17" s="1"/>
  <c r="P35" i="17"/>
  <c r="Q35" i="17" s="1"/>
  <c r="S35" i="17" s="1"/>
  <c r="P7" i="17"/>
  <c r="Q7" i="17" s="1"/>
  <c r="S7" i="17" s="1"/>
  <c r="P15" i="17"/>
  <c r="Q15" i="17" s="1"/>
  <c r="S15" i="17" s="1"/>
  <c r="P21" i="17"/>
  <c r="Q21" i="17" s="1"/>
  <c r="S21" i="17" s="1"/>
  <c r="P45" i="17"/>
  <c r="Q45" i="17" s="1"/>
  <c r="S45" i="17" s="1"/>
  <c r="P56" i="17"/>
  <c r="Q56" i="17" s="1"/>
  <c r="S56" i="17" s="1"/>
  <c r="P59" i="17"/>
  <c r="Q59" i="17" s="1"/>
  <c r="S59" i="17" s="1"/>
  <c r="P16" i="17"/>
  <c r="Q16" i="17" s="1"/>
  <c r="S16" i="17" s="1"/>
  <c r="P22" i="17"/>
  <c r="Q22" i="17" s="1"/>
  <c r="S22" i="17" s="1"/>
  <c r="P26" i="17"/>
  <c r="Q26" i="17" s="1"/>
  <c r="S26" i="17" s="1"/>
  <c r="P32" i="17"/>
  <c r="Q32" i="17" s="1"/>
  <c r="S32" i="17" s="1"/>
  <c r="P50" i="17"/>
  <c r="Q50" i="17" s="1"/>
  <c r="S50" i="17" s="1"/>
  <c r="P31" i="17"/>
  <c r="Q31" i="17" s="1"/>
  <c r="S31" i="17" s="1"/>
  <c r="P39" i="17"/>
  <c r="Q39" i="17" s="1"/>
  <c r="S39" i="17" s="1"/>
  <c r="P5" i="17"/>
  <c r="Q5" i="17" s="1"/>
  <c r="S5" i="17" s="1"/>
  <c r="P14" i="17"/>
  <c r="Q14" i="17" s="1"/>
  <c r="S14" i="17" s="1"/>
  <c r="P30" i="17"/>
  <c r="Q30" i="17" s="1"/>
  <c r="S30" i="17" s="1"/>
  <c r="P47" i="17"/>
  <c r="Q47" i="17" s="1"/>
  <c r="S47" i="17" s="1"/>
  <c r="P55" i="17"/>
  <c r="Q55" i="17" s="1"/>
  <c r="S55" i="17" s="1"/>
  <c r="P17" i="17"/>
  <c r="Q17" i="17" s="1"/>
  <c r="S17" i="17" s="1"/>
  <c r="P28" i="17"/>
  <c r="Q28" i="17" s="1"/>
  <c r="S28" i="17" s="1"/>
  <c r="P34" i="17"/>
  <c r="Q34" i="17" s="1"/>
  <c r="S34" i="17" s="1"/>
  <c r="P49" i="17"/>
  <c r="Q49" i="17" s="1"/>
  <c r="S49" i="17" s="1"/>
  <c r="P57" i="17"/>
  <c r="Q57" i="17" s="1"/>
  <c r="S57" i="17" s="1"/>
  <c r="P23" i="17"/>
  <c r="Q23" i="17" s="1"/>
  <c r="S23" i="17" s="1"/>
  <c r="P36" i="17"/>
  <c r="Q36" i="17" s="1"/>
  <c r="S36" i="17" s="1"/>
  <c r="P44" i="17"/>
  <c r="Q44" i="17" s="1"/>
  <c r="S44" i="17" s="1"/>
  <c r="P19" i="17"/>
  <c r="Q19" i="17" s="1"/>
  <c r="S19" i="17" s="1"/>
  <c r="P27" i="17"/>
  <c r="Q27" i="17" s="1"/>
  <c r="S27" i="17" s="1"/>
  <c r="P42" i="17"/>
  <c r="Q42" i="17" s="1"/>
  <c r="S42" i="17" s="1"/>
  <c r="P8" i="17"/>
  <c r="Q8" i="17" s="1"/>
  <c r="S8" i="17" s="1"/>
  <c r="P40" i="17"/>
  <c r="Q40" i="17" s="1"/>
  <c r="S40" i="17" s="1"/>
  <c r="P43" i="17"/>
  <c r="Q43" i="17" s="1"/>
  <c r="S43" i="17" s="1"/>
  <c r="P48" i="17"/>
  <c r="Q48" i="17" s="1"/>
  <c r="S48" i="17" s="1"/>
  <c r="P11" i="17"/>
  <c r="Q11" i="17" s="1"/>
  <c r="S11" i="17" s="1"/>
  <c r="P51" i="17"/>
  <c r="Q51" i="17" s="1"/>
  <c r="S51" i="17" s="1"/>
  <c r="P24" i="17"/>
  <c r="Q24" i="17" s="1"/>
  <c r="S24" i="17" s="1"/>
  <c r="P29" i="17"/>
  <c r="Q29" i="17" s="1"/>
  <c r="S29" i="17" s="1"/>
  <c r="P46" i="17"/>
  <c r="Q46" i="17" s="1"/>
  <c r="S46" i="17" s="1"/>
  <c r="P58" i="17"/>
  <c r="Q58" i="17" s="1"/>
  <c r="S58" i="17" s="1"/>
  <c r="P54" i="17"/>
  <c r="Q54" i="17" s="1"/>
  <c r="S54" i="17" s="1"/>
  <c r="P38" i="17"/>
  <c r="Q38" i="17" s="1"/>
  <c r="S38" i="17" s="1"/>
  <c r="P6" i="17"/>
  <c r="Q6" i="17" s="1"/>
  <c r="S6" i="17" s="1"/>
  <c r="P9" i="17"/>
  <c r="Q9" i="17" s="1"/>
  <c r="S9" i="17" s="1"/>
  <c r="P13" i="17"/>
  <c r="Q13" i="17" s="1"/>
  <c r="S13" i="17" s="1"/>
  <c r="P25" i="17"/>
  <c r="Q25" i="17" s="1"/>
  <c r="S25" i="17" s="1"/>
  <c r="P37" i="17"/>
  <c r="Q37" i="17" s="1"/>
  <c r="S37" i="17" s="1"/>
  <c r="P52" i="17"/>
  <c r="Q52" i="17" s="1"/>
  <c r="S52" i="17" s="1"/>
  <c r="P60" i="17"/>
  <c r="Q60" i="17" s="1"/>
  <c r="S60" i="17" s="1"/>
  <c r="P10" i="17"/>
  <c r="Q10" i="17" s="1"/>
  <c r="S10" i="17" s="1"/>
  <c r="P18" i="17"/>
  <c r="Q18" i="17" s="1"/>
  <c r="S18" i="17" s="1"/>
  <c r="P33" i="17"/>
  <c r="Q33" i="17" s="1"/>
  <c r="S33" i="17" s="1"/>
  <c r="P41" i="17"/>
  <c r="Q41" i="17" s="1"/>
  <c r="S41" i="17" s="1"/>
  <c r="P53" i="17"/>
  <c r="Q53" i="17" s="1"/>
  <c r="S53" i="17" s="1"/>
  <c r="P61" i="17"/>
  <c r="Q61" i="17" s="1"/>
  <c r="S61" i="17" s="1"/>
  <c r="Q20" i="17"/>
  <c r="S20" i="17" s="1"/>
  <c r="S181" i="8"/>
  <c r="N170" i="8"/>
  <c r="I68" i="15"/>
  <c r="I55" i="15"/>
  <c r="I67" i="15"/>
  <c r="I71" i="15"/>
  <c r="I40" i="15"/>
  <c r="I30" i="15"/>
  <c r="I33" i="15"/>
  <c r="I37" i="15"/>
  <c r="I36" i="15"/>
  <c r="I60" i="15"/>
  <c r="I56" i="15"/>
  <c r="I77" i="15"/>
  <c r="I59" i="15"/>
  <c r="I72" i="15"/>
  <c r="I39" i="15"/>
  <c r="I29" i="15"/>
  <c r="I28" i="15"/>
  <c r="I43" i="15"/>
  <c r="I58" i="15"/>
  <c r="I54" i="15"/>
  <c r="I57" i="15"/>
  <c r="I62" i="15"/>
  <c r="I75" i="15"/>
  <c r="I65" i="15"/>
  <c r="I70" i="15"/>
  <c r="I63" i="15"/>
  <c r="I53" i="15"/>
  <c r="I69" i="15"/>
  <c r="I52" i="15"/>
  <c r="I46" i="15"/>
  <c r="I51" i="15"/>
  <c r="I47" i="15"/>
  <c r="I41" i="15"/>
  <c r="I50" i="15"/>
  <c r="I38" i="15"/>
  <c r="I49" i="15"/>
  <c r="I66" i="15"/>
  <c r="I79" i="15"/>
  <c r="I32" i="15"/>
  <c r="I48" i="15"/>
  <c r="I73" i="15"/>
  <c r="E28" i="15"/>
  <c r="I61" i="15"/>
  <c r="I74" i="15"/>
  <c r="I82" i="15"/>
  <c r="I27" i="15"/>
  <c r="I35" i="15"/>
  <c r="I45" i="15"/>
  <c r="I64" i="15"/>
  <c r="I44" i="15"/>
  <c r="I76" i="15"/>
  <c r="I34" i="15"/>
  <c r="I31" i="15"/>
  <c r="I42" i="15"/>
  <c r="I78" i="15"/>
  <c r="S179" i="8"/>
  <c r="N168" i="8"/>
  <c r="S151" i="8"/>
  <c r="Q139" i="8"/>
  <c r="E42" i="7"/>
  <c r="Q135" i="8"/>
  <c r="E74" i="7"/>
  <c r="I46" i="7"/>
  <c r="S160" i="8"/>
  <c r="Q151" i="8"/>
  <c r="P144" i="8"/>
  <c r="S136" i="8"/>
  <c r="I82" i="7"/>
  <c r="E45" i="7"/>
  <c r="S137" i="8"/>
  <c r="P179" i="8"/>
  <c r="N184" i="8"/>
  <c r="Q168" i="8"/>
  <c r="E41" i="7"/>
  <c r="P141" i="8"/>
  <c r="P176" i="8"/>
  <c r="E61" i="7"/>
  <c r="S185" i="8"/>
  <c r="S158" i="8"/>
  <c r="Q182" i="8"/>
  <c r="I53" i="7"/>
  <c r="Q143" i="8"/>
  <c r="S183" i="8"/>
  <c r="N172" i="8"/>
  <c r="I60" i="7"/>
  <c r="S147" i="8"/>
  <c r="P182" i="8"/>
  <c r="N145" i="8"/>
  <c r="Q150" i="8"/>
  <c r="P172" i="8"/>
  <c r="N158" i="8"/>
  <c r="N150" i="8"/>
  <c r="E37" i="7"/>
  <c r="N135" i="8"/>
  <c r="P164" i="8"/>
  <c r="S135" i="8"/>
  <c r="P175" i="8"/>
  <c r="S161" i="8"/>
  <c r="S141" i="8"/>
  <c r="I81" i="7"/>
  <c r="Q180" i="8"/>
  <c r="S173" i="8"/>
  <c r="N166" i="8"/>
  <c r="Q158" i="8"/>
  <c r="P152" i="8"/>
  <c r="S138" i="8"/>
  <c r="P134" i="8"/>
  <c r="Q173" i="8"/>
  <c r="I68" i="7"/>
  <c r="P153" i="8"/>
  <c r="S154" i="8"/>
  <c r="P181" i="8"/>
  <c r="S139" i="8"/>
  <c r="S180" i="8"/>
  <c r="P171" i="8"/>
  <c r="Q162" i="8"/>
  <c r="E38" i="7"/>
  <c r="N139" i="8"/>
  <c r="E83" i="7"/>
  <c r="Q154" i="8"/>
  <c r="S140" i="8"/>
  <c r="Q164" i="8"/>
  <c r="S146" i="8"/>
  <c r="N134" i="8"/>
  <c r="I64" i="7"/>
  <c r="P160" i="8"/>
  <c r="P145" i="8"/>
  <c r="I27" i="7"/>
  <c r="S186" i="8"/>
  <c r="S170" i="8"/>
  <c r="P165" i="8"/>
  <c r="S157" i="8"/>
  <c r="S149" i="8"/>
  <c r="S143" i="8"/>
  <c r="P137" i="8"/>
  <c r="N133" i="8"/>
  <c r="P149" i="8"/>
  <c r="P168" i="8"/>
  <c r="S150" i="8"/>
  <c r="N165" i="8"/>
  <c r="S178" i="8"/>
  <c r="S164" i="8"/>
  <c r="N142" i="8"/>
  <c r="N176" i="8"/>
  <c r="E58" i="7"/>
  <c r="N138" i="8"/>
  <c r="N153" i="8"/>
  <c r="P185" i="8"/>
  <c r="E57" i="7"/>
  <c r="N154" i="8"/>
  <c r="S145" i="8"/>
  <c r="P139" i="8"/>
  <c r="S133" i="8"/>
  <c r="S168" i="8"/>
  <c r="N140" i="8"/>
  <c r="N169" i="8"/>
  <c r="S169" i="8"/>
  <c r="S162" i="8"/>
  <c r="P156" i="8"/>
  <c r="P148" i="8"/>
  <c r="S142" i="8"/>
  <c r="N136" i="8"/>
  <c r="E65" i="7"/>
  <c r="P169" i="8"/>
  <c r="N186" i="8"/>
  <c r="O186" i="8" s="1"/>
  <c r="E64" i="7"/>
  <c r="P142" i="8"/>
  <c r="S177" i="8"/>
  <c r="S184" i="8"/>
  <c r="I40" i="7"/>
  <c r="I41" i="7"/>
  <c r="I50" i="7"/>
  <c r="I49" i="7"/>
  <c r="I30" i="7"/>
  <c r="I38" i="7"/>
  <c r="I52" i="7"/>
  <c r="S175" i="8"/>
  <c r="P180" i="8"/>
  <c r="S172" i="8"/>
  <c r="E81" i="7"/>
  <c r="P138" i="8"/>
  <c r="E80" i="7"/>
  <c r="N167" i="8"/>
  <c r="S165" i="8"/>
  <c r="Q146" i="8"/>
  <c r="N182" i="8"/>
  <c r="Q144" i="8"/>
  <c r="I67" i="7"/>
  <c r="E40" i="7"/>
  <c r="E69" i="7"/>
  <c r="P161" i="8"/>
  <c r="I37" i="7"/>
  <c r="Q185" i="8"/>
  <c r="E79" i="7"/>
  <c r="E56" i="7"/>
  <c r="E73" i="7"/>
  <c r="N162" i="8"/>
  <c r="N185" i="8"/>
  <c r="S153" i="8"/>
  <c r="I76" i="7"/>
  <c r="N175" i="8"/>
  <c r="N147" i="8"/>
  <c r="P157" i="8"/>
  <c r="P135" i="8"/>
  <c r="E76" i="7"/>
  <c r="E60" i="7"/>
  <c r="S152" i="8"/>
  <c r="I48" i="7"/>
  <c r="I62" i="7"/>
  <c r="Q133" i="8"/>
  <c r="E59" i="7"/>
  <c r="Q147" i="8"/>
  <c r="N177" i="8"/>
  <c r="S166" i="8"/>
  <c r="Q155" i="8"/>
  <c r="N164" i="8"/>
  <c r="I58" i="7"/>
  <c r="Q136" i="8"/>
  <c r="Q140" i="8"/>
  <c r="I73" i="7"/>
  <c r="I72" i="7"/>
  <c r="I74" i="7"/>
  <c r="P184" i="8"/>
  <c r="I79" i="7"/>
  <c r="Q160" i="8"/>
  <c r="E82" i="7"/>
  <c r="E78" i="7"/>
  <c r="Q174" i="8"/>
  <c r="E62" i="7"/>
  <c r="E34" i="7"/>
  <c r="Q179" i="8"/>
  <c r="E71" i="7"/>
  <c r="S156" i="8"/>
  <c r="N163" i="8"/>
  <c r="N173" i="8"/>
  <c r="N181" i="8"/>
  <c r="N179" i="8"/>
  <c r="E67" i="7"/>
  <c r="E54" i="7"/>
  <c r="E46" i="7"/>
  <c r="I45" i="7"/>
  <c r="E27" i="7"/>
  <c r="Q170" i="8"/>
  <c r="E48" i="7"/>
  <c r="I71" i="7"/>
  <c r="I54" i="7"/>
  <c r="I77" i="7"/>
  <c r="E32" i="7"/>
  <c r="E70" i="7"/>
  <c r="P158" i="8"/>
  <c r="Q152" i="8"/>
  <c r="I34" i="7"/>
  <c r="Q156" i="8"/>
  <c r="E28" i="7"/>
  <c r="E33" i="7"/>
  <c r="E39" i="7"/>
  <c r="E75" i="7"/>
  <c r="N143" i="8"/>
  <c r="S134" i="8"/>
  <c r="I42" i="7"/>
  <c r="S176" i="8"/>
  <c r="Q184" i="8"/>
  <c r="Q177" i="8"/>
  <c r="Q183" i="8"/>
  <c r="Q178" i="8"/>
  <c r="N156" i="8"/>
  <c r="Q159" i="8"/>
  <c r="I44" i="7"/>
  <c r="I69" i="7"/>
  <c r="E29" i="7"/>
  <c r="I78" i="7"/>
  <c r="E66" i="7"/>
  <c r="E52" i="7"/>
  <c r="N152" i="8"/>
  <c r="N144" i="8"/>
  <c r="E36" i="7"/>
  <c r="Q181" i="8"/>
  <c r="Q175" i="8"/>
  <c r="N160" i="8"/>
  <c r="N148" i="8"/>
  <c r="Q148" i="8"/>
  <c r="E30" i="7"/>
  <c r="N180" i="8"/>
  <c r="N171" i="8"/>
  <c r="N151" i="8"/>
  <c r="P166" i="8"/>
  <c r="E44" i="7"/>
  <c r="E63" i="7"/>
  <c r="E50" i="7"/>
  <c r="E43" i="7"/>
  <c r="P162" i="8"/>
  <c r="Q166" i="8"/>
  <c r="I33" i="7"/>
  <c r="I29" i="7"/>
  <c r="E47" i="7"/>
  <c r="N161" i="8"/>
  <c r="E55" i="7"/>
  <c r="P170" i="8"/>
  <c r="I75" i="7"/>
  <c r="I56" i="7"/>
  <c r="N157" i="8"/>
  <c r="E51" i="7"/>
  <c r="N149" i="8"/>
  <c r="S182" i="8"/>
  <c r="P167" i="8"/>
  <c r="P178" i="8"/>
  <c r="Q165" i="8"/>
  <c r="I59" i="7"/>
  <c r="P174" i="8"/>
  <c r="S155" i="8"/>
  <c r="N174" i="8"/>
  <c r="E68" i="7"/>
  <c r="P177" i="8"/>
  <c r="P173" i="8"/>
  <c r="N183" i="8"/>
  <c r="E77" i="7"/>
  <c r="Q149" i="8"/>
  <c r="I43" i="7"/>
  <c r="Q145" i="8"/>
  <c r="I39" i="7"/>
  <c r="N155" i="8"/>
  <c r="E49" i="7"/>
  <c r="N159" i="8"/>
  <c r="E53" i="7"/>
  <c r="Q142" i="8"/>
  <c r="I36" i="7"/>
  <c r="Q169" i="8"/>
  <c r="I63" i="7"/>
  <c r="N178" i="8"/>
  <c r="E72" i="7"/>
  <c r="S174" i="8"/>
  <c r="I83" i="7"/>
  <c r="Q172" i="8"/>
  <c r="I66" i="7"/>
  <c r="P183" i="8"/>
  <c r="P163" i="8"/>
  <c r="Q153" i="8"/>
  <c r="I47" i="7"/>
  <c r="Q138" i="8"/>
  <c r="I32" i="7"/>
  <c r="S148" i="8"/>
  <c r="S144" i="8"/>
  <c r="Q157" i="8"/>
  <c r="I51" i="7"/>
  <c r="S159" i="8"/>
  <c r="P151" i="8"/>
  <c r="P147" i="8"/>
  <c r="P143" i="8"/>
  <c r="P140" i="8"/>
  <c r="S163" i="8"/>
  <c r="Q141" i="8"/>
  <c r="I35" i="7"/>
  <c r="Q137" i="8"/>
  <c r="I31" i="7"/>
  <c r="P133" i="8"/>
  <c r="S171" i="8"/>
  <c r="S167" i="8"/>
  <c r="P154" i="8"/>
  <c r="Q176" i="8"/>
  <c r="I70" i="7"/>
  <c r="Q186" i="8"/>
  <c r="I80" i="7"/>
  <c r="Q161" i="8"/>
  <c r="I55" i="7"/>
  <c r="P155" i="8"/>
  <c r="Q163" i="8"/>
  <c r="I57" i="7"/>
  <c r="P159" i="8"/>
  <c r="N141" i="8"/>
  <c r="E35" i="7"/>
  <c r="N137" i="8"/>
  <c r="E31" i="7"/>
  <c r="Q171" i="8"/>
  <c r="I65" i="7"/>
  <c r="Q167" i="8"/>
  <c r="I61" i="7"/>
  <c r="P150" i="8"/>
  <c r="P146" i="8"/>
  <c r="O146" i="8" s="1"/>
  <c r="P136" i="8"/>
  <c r="Q134" i="8"/>
  <c r="I28" i="7"/>
  <c r="D21" i="13" l="1"/>
  <c r="H8" i="13"/>
  <c r="D18" i="12"/>
  <c r="D16" i="10"/>
  <c r="D17" i="10"/>
  <c r="H13" i="10"/>
  <c r="H15" i="10"/>
  <c r="H9" i="10"/>
  <c r="H16" i="13"/>
  <c r="D32" i="13"/>
  <c r="H9" i="13"/>
  <c r="H11" i="13"/>
  <c r="D31" i="13"/>
  <c r="H10" i="13"/>
  <c r="H15" i="13"/>
  <c r="H8" i="12"/>
  <c r="D27" i="12"/>
  <c r="H9" i="12"/>
  <c r="H15" i="12"/>
  <c r="H16" i="12"/>
  <c r="H10" i="12"/>
  <c r="H11" i="12"/>
  <c r="D26" i="12"/>
  <c r="H8" i="10"/>
  <c r="H12" i="10"/>
  <c r="D21" i="10"/>
  <c r="D24" i="10"/>
  <c r="D25" i="10"/>
  <c r="D22" i="10"/>
  <c r="R181" i="8"/>
  <c r="I84" i="7"/>
  <c r="D19" i="12"/>
  <c r="D22" i="13"/>
  <c r="E84" i="7"/>
  <c r="O182" i="8"/>
  <c r="O170" i="8"/>
  <c r="E84" i="15"/>
  <c r="I84" i="15"/>
  <c r="R164" i="8"/>
  <c r="R182" i="8"/>
  <c r="O154" i="8"/>
  <c r="R160" i="8"/>
  <c r="R139" i="8"/>
  <c r="O171" i="8"/>
  <c r="O152" i="8"/>
  <c r="R141" i="8"/>
  <c r="O158" i="8"/>
  <c r="O184" i="8"/>
  <c r="O164" i="8"/>
  <c r="O134" i="8"/>
  <c r="R154" i="8"/>
  <c r="R137" i="8"/>
  <c r="R157" i="8"/>
  <c r="O144" i="8"/>
  <c r="O175" i="8"/>
  <c r="O172" i="8"/>
  <c r="O138" i="8"/>
  <c r="O139" i="8"/>
  <c r="O176" i="8"/>
  <c r="O153" i="8"/>
  <c r="R150" i="8"/>
  <c r="R173" i="8"/>
  <c r="R158" i="8"/>
  <c r="R179" i="8"/>
  <c r="O136" i="8"/>
  <c r="O169" i="8"/>
  <c r="O160" i="8"/>
  <c r="R170" i="8"/>
  <c r="O148" i="8"/>
  <c r="R143" i="8"/>
  <c r="O133" i="8"/>
  <c r="O166" i="8"/>
  <c r="R177" i="8"/>
  <c r="O185" i="8"/>
  <c r="R185" i="8"/>
  <c r="R151" i="8"/>
  <c r="O165" i="8"/>
  <c r="R162" i="8"/>
  <c r="R168" i="8"/>
  <c r="R169" i="8"/>
  <c r="R145" i="8"/>
  <c r="O149" i="8"/>
  <c r="R183" i="8"/>
  <c r="O142" i="8"/>
  <c r="O145" i="8"/>
  <c r="R135" i="8"/>
  <c r="O137" i="8"/>
  <c r="R186" i="8"/>
  <c r="R138" i="8"/>
  <c r="O156" i="8"/>
  <c r="R184" i="8"/>
  <c r="O179" i="8"/>
  <c r="R140" i="8"/>
  <c r="O135" i="8"/>
  <c r="R146" i="8"/>
  <c r="O150" i="8"/>
  <c r="O141" i="8"/>
  <c r="R161" i="8"/>
  <c r="O140" i="8"/>
  <c r="R142" i="8"/>
  <c r="R149" i="8"/>
  <c r="R178" i="8"/>
  <c r="O181" i="8"/>
  <c r="R136" i="8"/>
  <c r="R147" i="8"/>
  <c r="R133" i="8"/>
  <c r="R180" i="8"/>
  <c r="O168" i="8"/>
  <c r="O178" i="8"/>
  <c r="R172" i="8"/>
  <c r="O167" i="8"/>
  <c r="R144" i="8"/>
  <c r="R153" i="8"/>
  <c r="O161" i="8"/>
  <c r="O162" i="8"/>
  <c r="R175" i="8"/>
  <c r="R165" i="8"/>
  <c r="R156" i="8"/>
  <c r="O180" i="8"/>
  <c r="R155" i="8"/>
  <c r="O143" i="8"/>
  <c r="O177" i="8"/>
  <c r="R166" i="8"/>
  <c r="O147" i="8"/>
  <c r="R176" i="8"/>
  <c r="R174" i="8"/>
  <c r="R134" i="8"/>
  <c r="O163" i="8"/>
  <c r="O173" i="8"/>
  <c r="O157" i="8"/>
  <c r="R152" i="8"/>
  <c r="O151" i="8"/>
  <c r="R167" i="8"/>
  <c r="R159" i="8"/>
  <c r="R148" i="8"/>
  <c r="R171" i="8"/>
  <c r="O174" i="8"/>
  <c r="R163" i="8"/>
  <c r="Q127" i="8"/>
  <c r="N127" i="8"/>
  <c r="D129" i="8" s="1"/>
  <c r="O159" i="8"/>
  <c r="O155" i="8"/>
  <c r="O183" i="8"/>
  <c r="I9" i="13" l="1"/>
  <c r="I8" i="10"/>
  <c r="D29" i="13"/>
  <c r="D26" i="13"/>
  <c r="D28" i="13"/>
  <c r="I16" i="12"/>
  <c r="I10" i="13"/>
  <c r="I16" i="13"/>
  <c r="I15" i="13"/>
  <c r="I8" i="13"/>
  <c r="I11" i="13"/>
  <c r="D27" i="13"/>
  <c r="I10" i="12"/>
  <c r="D24" i="12"/>
  <c r="I11" i="12"/>
  <c r="I15" i="12"/>
  <c r="I8" i="12"/>
  <c r="D23" i="12"/>
  <c r="I9" i="12"/>
  <c r="I15" i="10"/>
  <c r="I12" i="10"/>
  <c r="I9" i="10"/>
  <c r="D19" i="10"/>
  <c r="I13" i="10"/>
  <c r="D21" i="12" l="1"/>
  <c r="D24" i="13"/>
  <c r="AK539" i="16"/>
  <c r="AK466" i="16"/>
  <c r="AK454" i="16"/>
  <c r="AK525" i="16"/>
  <c r="AK513" i="16"/>
  <c r="AK490" i="16"/>
  <c r="AK479" i="16"/>
  <c r="AK440" i="16"/>
  <c r="AK423" i="16" l="1"/>
  <c r="AK405" i="16"/>
  <c r="AK694" i="16"/>
  <c r="AK379" i="16"/>
  <c r="AK382" i="16"/>
  <c r="AK697" i="16" l="1"/>
  <c r="AK410" i="16"/>
  <c r="AK427" i="16"/>
  <c r="AK426" i="16"/>
  <c r="AK385" i="16"/>
  <c r="AK406" i="16"/>
  <c r="AK696" i="16"/>
  <c r="AK428" i="16"/>
  <c r="AK386" i="16"/>
  <c r="AK424" i="16"/>
  <c r="AK381" i="16"/>
  <c r="AK407" i="16"/>
  <c r="AK411" i="16"/>
  <c r="AK700" i="16"/>
  <c r="AK425" i="16"/>
  <c r="AK429" i="16"/>
  <c r="AK409" i="16"/>
  <c r="AK408" i="16"/>
  <c r="AK699" i="16"/>
  <c r="AK384" i="16"/>
  <c r="AK383" i="16"/>
  <c r="AK695" i="16"/>
  <c r="AK698" i="16"/>
  <c r="AK380" i="16" l="1"/>
  <c r="AD376" i="16" l="1"/>
  <c r="AC376" i="16"/>
  <c r="AK415" i="16"/>
  <c r="AK433" i="16"/>
  <c r="AK704" i="16"/>
  <c r="AE376" i="16" l="1"/>
  <c r="AF376" i="16" l="1"/>
  <c r="AC711" i="16" l="1"/>
  <c r="AD375" i="16"/>
  <c r="AG376" i="16"/>
  <c r="AD711" i="16" l="1"/>
  <c r="AE375" i="16"/>
  <c r="AH376" i="16"/>
  <c r="AE711" i="16" l="1"/>
  <c r="AF375" i="16"/>
  <c r="AI376" i="16"/>
  <c r="AK659" i="16"/>
  <c r="AK554" i="16"/>
  <c r="AK395" i="16"/>
  <c r="AK390" i="16"/>
  <c r="AF711" i="16" l="1"/>
  <c r="AG375" i="16"/>
  <c r="AG711" i="16" l="1"/>
  <c r="AH375" i="16"/>
  <c r="AJ376" i="16"/>
  <c r="AK402" i="16"/>
  <c r="AH711" i="16" l="1"/>
  <c r="AI375" i="16"/>
  <c r="AK421" i="16"/>
  <c r="AI711" i="16" l="1"/>
  <c r="AJ375" i="16"/>
  <c r="AK376" i="16"/>
  <c r="AJ711" i="16" l="1"/>
  <c r="AK711" i="16" s="1"/>
  <c r="AK404" i="16"/>
  <c r="AK693" i="16"/>
  <c r="AK375" i="16" l="1"/>
  <c r="AK1118" i="16" l="1"/>
  <c r="AK1157" i="16"/>
  <c r="AK1144" i="16"/>
  <c r="AK1117" i="16"/>
  <c r="AK1132" i="16"/>
  <c r="AK1296" i="16"/>
  <c r="AK1175" i="16"/>
  <c r="AK1163" i="16"/>
  <c r="AK1137" i="16"/>
  <c r="AK1146" i="16"/>
  <c r="AK1465" i="16" l="1"/>
  <c r="AK1455" i="16"/>
  <c r="AK1453" i="16"/>
  <c r="AK1454" i="16"/>
  <c r="AK1435" i="16"/>
  <c r="AK1335" i="16" l="1"/>
  <c r="AK1471" i="16" l="1"/>
  <c r="AK1401" i="16"/>
  <c r="AK1446" i="16"/>
  <c r="AK1403"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BIGOT DE MOROGUES Francis</author>
  </authors>
  <commentList>
    <comment ref="F12" authorId="0" shapeId="0" xr:uid="{00000000-0006-0000-0100-000001000000}">
      <text>
        <r>
          <rPr>
            <sz val="9"/>
            <color indexed="81"/>
            <rFont val="Tahoma"/>
            <family val="2"/>
          </rPr>
          <t xml:space="preserve">(Production – Exportation) /  (Production – Exportation + Importation) 
</t>
        </r>
      </text>
    </comment>
    <comment ref="H25" authorId="0" shapeId="0" xr:uid="{00000000-0006-0000-0100-000002000000}">
      <text>
        <r>
          <rPr>
            <sz val="9"/>
            <color indexed="81"/>
            <rFont val="Tahoma"/>
            <family val="2"/>
          </rPr>
          <t>Seuls les produits utilisés en CI par une autre branches de la filière sont comptabilisés ici. Les exportations et la consommation finale sont estimées dans la boite ci-dessus.</t>
        </r>
      </text>
    </comment>
    <comment ref="E26" authorId="0" shapeId="0" xr:uid="{00000000-0006-0000-0100-000003000000}">
      <text>
        <r>
          <rPr>
            <sz val="9"/>
            <color indexed="81"/>
            <rFont val="Tahoma"/>
            <family val="2"/>
          </rPr>
          <t>1 : Pourcentage à lire en colonne : part dans l'ensemble des branches, totaux en E84</t>
        </r>
      </text>
    </comment>
    <comment ref="G26" authorId="0" shapeId="0" xr:uid="{00000000-0006-0000-0100-000004000000}">
      <text>
        <r>
          <rPr>
            <sz val="9"/>
            <color indexed="81"/>
            <rFont val="Tahoma"/>
            <family val="2"/>
          </rPr>
          <t>Pourcentage à lire en ligne : part de l'origine France dans la branche</t>
        </r>
      </text>
    </comment>
    <comment ref="I26" authorId="0" shapeId="0" xr:uid="{00000000-0006-0000-0100-000005000000}">
      <text>
        <r>
          <rPr>
            <sz val="9"/>
            <color indexed="81"/>
            <rFont val="Tahoma"/>
            <family val="2"/>
          </rPr>
          <t>1 : Pourcentage à lire en colonne : part dans l'ensemble des branches, totaux en I84</t>
        </r>
      </text>
    </comment>
    <comment ref="K26" authorId="0" shapeId="0" xr:uid="{00000000-0006-0000-0100-000006000000}">
      <text>
        <r>
          <rPr>
            <sz val="9"/>
            <color indexed="81"/>
            <rFont val="Tahoma"/>
            <family val="2"/>
          </rPr>
          <t>Pourcentage à lire en ligne : part de l'origine France dans la branche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tc={B628B90D-01A6-4758-9E65-FC902AE04474}</author>
  </authors>
  <commentList>
    <comment ref="H100" authorId="0" shapeId="0" xr:uid="{B628B90D-01A6-4758-9E65-FC902AE0447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(Prod-Export)/(Prod-Export+Import)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BIGOT DE MOROGUES Francis</author>
  </authors>
  <commentList>
    <comment ref="F12" authorId="0" shapeId="0" xr:uid="{00000000-0006-0000-0600-000001000000}">
      <text>
        <r>
          <rPr>
            <sz val="9"/>
            <color indexed="81"/>
            <rFont val="Tahoma"/>
            <family val="2"/>
          </rPr>
          <t xml:space="preserve">(Production – Exportation) /  (Production – Exportation + Importation) 
</t>
        </r>
      </text>
    </comment>
    <comment ref="H25" authorId="0" shapeId="0" xr:uid="{00000000-0006-0000-0600-000002000000}">
      <text>
        <r>
          <rPr>
            <sz val="9"/>
            <color indexed="81"/>
            <rFont val="Tahoma"/>
            <family val="2"/>
          </rPr>
          <t>Seuls les produits utilisés en CI par une autre branches de la filière sont comptabilisés ici. Les exportations et la consommation finale sont estimées dans la boite ci-dessus.</t>
        </r>
      </text>
    </comment>
    <comment ref="E26" authorId="0" shapeId="0" xr:uid="{00000000-0006-0000-0600-000003000000}">
      <text>
        <r>
          <rPr>
            <sz val="9"/>
            <color indexed="81"/>
            <rFont val="Tahoma"/>
            <family val="2"/>
          </rPr>
          <t>1 : Pourcentage à lire en colonne : part dans l'ensemble des branches, totaux en E84</t>
        </r>
      </text>
    </comment>
    <comment ref="G26" authorId="0" shapeId="0" xr:uid="{00000000-0006-0000-0600-000004000000}">
      <text>
        <r>
          <rPr>
            <sz val="9"/>
            <color indexed="81"/>
            <rFont val="Tahoma"/>
            <family val="2"/>
          </rPr>
          <t>Pourcentage à lire en ligne : part de l'origine France dans la branche</t>
        </r>
      </text>
    </comment>
    <comment ref="I26" authorId="0" shapeId="0" xr:uid="{00000000-0006-0000-0600-000005000000}">
      <text>
        <r>
          <rPr>
            <sz val="9"/>
            <color indexed="81"/>
            <rFont val="Tahoma"/>
            <family val="2"/>
          </rPr>
          <t>1 : Pourcentage à lire en colonne : part dans l'ensemble des branches, totaux en I84</t>
        </r>
      </text>
    </comment>
    <comment ref="K26" authorId="0" shapeId="0" xr:uid="{00000000-0006-0000-0600-000006000000}">
      <text>
        <r>
          <rPr>
            <sz val="9"/>
            <color indexed="81"/>
            <rFont val="Tahoma"/>
            <family val="2"/>
          </rPr>
          <t>Pourcentage à lire en ligne : part de l'origine France dans la branche</t>
        </r>
      </text>
    </comment>
  </commentList>
</comments>
</file>

<file path=xl/sharedStrings.xml><?xml version="1.0" encoding="utf-8"?>
<sst xmlns="http://schemas.openxmlformats.org/spreadsheetml/2006/main" count="6117" uniqueCount="304">
  <si>
    <t>02 - Grumes et billons destinés au sciage, placage ou déroulage</t>
  </si>
  <si>
    <t>03 - Bois destinés à l'industrie</t>
  </si>
  <si>
    <t>04 - Bois destinés à l’énergie</t>
  </si>
  <si>
    <t>06 - Services des coopératives forestières</t>
  </si>
  <si>
    <t>08 - Sciages bruts de Chêne</t>
  </si>
  <si>
    <t>09 - Sciages bruts de Hêtre</t>
  </si>
  <si>
    <t>11 - Sciages de feuillus tropicaux</t>
  </si>
  <si>
    <t>12 - Sciages bruts de sapin-épicéa</t>
  </si>
  <si>
    <t>13 - Sciages bruts de Douglas</t>
  </si>
  <si>
    <t>15 - Sciages bruts de Pin maritime</t>
  </si>
  <si>
    <t>16 - Merrains</t>
  </si>
  <si>
    <t>18 - Produits connexes du sciage destinés à la trituration</t>
  </si>
  <si>
    <t>19 - Produits connexes du sciage non destinés à la trituration</t>
  </si>
  <si>
    <t>20 - Produits rabotés</t>
  </si>
  <si>
    <t>20b - Produits collés</t>
  </si>
  <si>
    <t>35 - Menuiseries extérieures</t>
  </si>
  <si>
    <t>36 - Menuiseries intérieures</t>
  </si>
  <si>
    <t>38 - Futailles</t>
  </si>
  <si>
    <t>39 - Coffrages pour le bétonnage, bardeaux en bois</t>
  </si>
  <si>
    <t>52 - Génie civil</t>
  </si>
  <si>
    <t>53 - Travaux d'isolation</t>
  </si>
  <si>
    <t>54 - Travaux de menuiserie bois</t>
  </si>
  <si>
    <t>55 - Agencement de lieux de vente</t>
  </si>
  <si>
    <t>56 - Travaux de revêtement des sols et des murs</t>
  </si>
  <si>
    <t>57 - Travaux de charpente</t>
  </si>
  <si>
    <t>58 - Travaux de couverture par éléments</t>
  </si>
  <si>
    <t>59 - Travaux de maçonnerie générale et gros œuvre de bâtiment</t>
  </si>
  <si>
    <t>60 - Travaux d'installation de chauffage au bois</t>
  </si>
  <si>
    <t>Consommation intermédiaire totale provenant de la filière bois (en k€)</t>
  </si>
  <si>
    <t>+ Autres consommations intermédiaires (en k€)</t>
  </si>
  <si>
    <t>% de la production correspondant à la consommation intermédiaire non bois (en %)</t>
  </si>
  <si>
    <t>+ Valeur ajoutée  (en k€)</t>
  </si>
  <si>
    <t>% de la production correspondant à la valeur ajoutée</t>
  </si>
  <si>
    <t>= Production  (en k€)</t>
  </si>
  <si>
    <t>+ Importation  (en k€)</t>
  </si>
  <si>
    <t>= Total ressource  (en k€)</t>
  </si>
  <si>
    <t>Consommation finale (en k€)</t>
  </si>
  <si>
    <t>Total Export (en k€)</t>
  </si>
  <si>
    <t>Import dans conso finale</t>
  </si>
  <si>
    <t>Total</t>
  </si>
  <si>
    <t>ETP</t>
  </si>
  <si>
    <t>De</t>
  </si>
  <si>
    <t>Vers</t>
  </si>
  <si>
    <t>Ebr_France</t>
  </si>
  <si>
    <t>Ebr_Import</t>
  </si>
  <si>
    <t>Ebr_Total</t>
  </si>
  <si>
    <t>BI_France</t>
  </si>
  <si>
    <t>BI_Import</t>
  </si>
  <si>
    <t>BI_Total</t>
  </si>
  <si>
    <t>BERecyc_France</t>
  </si>
  <si>
    <t>BERecyc_Import</t>
  </si>
  <si>
    <t>BERecyc_Total</t>
  </si>
  <si>
    <t>Importation</t>
  </si>
  <si>
    <t>Exportation</t>
  </si>
  <si>
    <t>Consommation finale</t>
  </si>
  <si>
    <t>Euros France</t>
  </si>
  <si>
    <t>Euros import</t>
  </si>
  <si>
    <t>Euros total</t>
  </si>
  <si>
    <t>BDD</t>
  </si>
  <si>
    <t>07 - Textiles à base de bois</t>
  </si>
  <si>
    <t>Valeur (k€)</t>
  </si>
  <si>
    <t>Production</t>
  </si>
  <si>
    <t>Productivité apparente du travail (VA/ETP)</t>
  </si>
  <si>
    <t>Taux de couverture (Export/Import)</t>
  </si>
  <si>
    <t xml:space="preserve">Taux de couverture de l'offre nationale </t>
  </si>
  <si>
    <t>Consommations intermédiaires bois</t>
  </si>
  <si>
    <t>Taux export (Export/production)</t>
  </si>
  <si>
    <t>Consommation Intermédiaire non bois</t>
  </si>
  <si>
    <t>Taux Import (Import/Consommation apparente)</t>
  </si>
  <si>
    <t>Valeur ajoutée (VA)</t>
  </si>
  <si>
    <t>CI bois/Production</t>
  </si>
  <si>
    <t>CI non Bois/Production</t>
  </si>
  <si>
    <t>Emploi (en ETP)</t>
  </si>
  <si>
    <t>VA/Production</t>
  </si>
  <si>
    <t>Branche</t>
  </si>
  <si>
    <t>Origine</t>
  </si>
  <si>
    <t>Destination</t>
  </si>
  <si>
    <t>Consommation intermédiaire (CI)</t>
  </si>
  <si>
    <t>CI importées</t>
  </si>
  <si>
    <t>k€</t>
  </si>
  <si>
    <t>01 - Plants de pépinière</t>
  </si>
  <si>
    <t>05 - Travaux d'exploitation de bois et de sylviculture</t>
  </si>
  <si>
    <t>10 - Sciages bruts d'autres feuillus tempérés</t>
  </si>
  <si>
    <t>14 - Sciages bruts d'autres résineux</t>
  </si>
  <si>
    <t>17 - Autres types de sciages</t>
  </si>
  <si>
    <t>29 - Produits imprégnés (bruts, sciés ou rabotés)</t>
  </si>
  <si>
    <t>30 - Combustibles industriels à base de bois</t>
  </si>
  <si>
    <t>31 - Placages et panneaux à base de bois</t>
  </si>
  <si>
    <t xml:space="preserve">32 - Produits finis à base de panneaux (plinthes, profilés de menuiserie…) </t>
  </si>
  <si>
    <t>33 - Parquets contrecollés</t>
  </si>
  <si>
    <t>34 - Charpentes</t>
  </si>
  <si>
    <t>37 - Emballages en bois (palette, ...)</t>
  </si>
  <si>
    <t>40 - Produits en bois pour aménagement extérieur</t>
  </si>
  <si>
    <t>41 - Objets divers en bois</t>
  </si>
  <si>
    <t>42 - Objets en liège</t>
  </si>
  <si>
    <t>43 - Pâte à papier</t>
  </si>
  <si>
    <t>44 - Papier et de carton</t>
  </si>
  <si>
    <t>45 - Articles en papier ou en carton</t>
  </si>
  <si>
    <t>46 - Produits de la chimie du bois</t>
  </si>
  <si>
    <t>47 - Meubles à base de bois</t>
  </si>
  <si>
    <t>48 - Autres produits manufacturiés (instruments de musique, jeux et jouets…)</t>
  </si>
  <si>
    <t>49 - Electricité et chaleur issues de la combustion de bois</t>
  </si>
  <si>
    <t>50 - Bois recyclés</t>
  </si>
  <si>
    <t>51 - Promotion immobilière de bâtiments et ouvrages en bois</t>
  </si>
  <si>
    <t>61 - Commerce de gros de produits bois</t>
  </si>
  <si>
    <t>62 - Commerce de détail de produits bois</t>
  </si>
  <si>
    <t>63 - Transports de bois à partir de la forêt</t>
  </si>
  <si>
    <t>64 - Divers services de support à la filière</t>
  </si>
  <si>
    <t>Activité</t>
  </si>
  <si>
    <t>Indicateurs macro-économiques</t>
  </si>
  <si>
    <t>Valeur ajoutée</t>
  </si>
  <si>
    <t>Valeur ajoutée créée (k€)</t>
  </si>
  <si>
    <t>Commerces et services</t>
  </si>
  <si>
    <t>Emploi</t>
  </si>
  <si>
    <t>Nombre d'équivalent temps plein</t>
  </si>
  <si>
    <t>Productivité apparente du travail</t>
  </si>
  <si>
    <t xml:space="preserve">Indicateurs de structure et de commerce extérieur </t>
  </si>
  <si>
    <t>Taux de couverture du commerce extérieur</t>
  </si>
  <si>
    <t>Taux de couverture de la demande par l'offre nationale</t>
  </si>
  <si>
    <t>Taux de couverture de la demande de la branche</t>
  </si>
  <si>
    <t>Taux d’exportation</t>
  </si>
  <si>
    <t>Ecosystème dans la filière bois</t>
  </si>
  <si>
    <t>Consommation intermédiaire</t>
  </si>
  <si>
    <t>origine</t>
  </si>
  <si>
    <t>destination</t>
  </si>
  <si>
    <t>Production et transformation de produits bois</t>
  </si>
  <si>
    <t>Mise en oeuvre de produits bois</t>
  </si>
  <si>
    <t>Segment</t>
  </si>
  <si>
    <t>Monétaire</t>
  </si>
  <si>
    <t>Physique</t>
  </si>
  <si>
    <t>Indicateurs*</t>
  </si>
  <si>
    <t>Cette branche appartient à l'activité</t>
  </si>
  <si>
    <t>Choisissez l'année :</t>
  </si>
  <si>
    <t>* Pour la définition des termes voir le glossaire dans le guide méthodologique.</t>
  </si>
  <si>
    <t>Note: Les consommations intermédiaires provenant des branches de commerces 61 et 62 représentent la seule valeur ajoutée du commerce. Les flux monétaires concernant les produits achetés dans ces commerces sont indiqués dans les branches des produits concernés. 
Par exemple, une branche de mise en oeuvre consomme des produits rabotés (branche 20) qu'elle achète, pour tout ou partie, dans le commerce, alors la valeur des produits est dans la branches 20 et la valeur ajoutée créée par ses achats via le commerce est inscrite dans les branches Commerce.</t>
  </si>
  <si>
    <t>Attention : l'approche branche ci-dessous est différente de l'approche secteur. Un secteur est souvent composé de plusieurs branches en tout ou partie. Pour plus d'information voir le guide méthodologique de la VEM.</t>
  </si>
  <si>
    <t>Forêt</t>
  </si>
  <si>
    <t>Bois recyclés</t>
  </si>
  <si>
    <t>Transformation</t>
  </si>
  <si>
    <t>Attention : une branche peut faire partie d'une ou plusieurs filière d'usage. A chaque filière d'usage correspond une unité de compte. Pour plus d'information voir le guide méthodologique de la VEM.</t>
  </si>
  <si>
    <t>Services transversaux à la filière</t>
  </si>
  <si>
    <t>Services</t>
  </si>
  <si>
    <t>Production intermédiaire</t>
  </si>
  <si>
    <t>Production finale</t>
  </si>
  <si>
    <t xml:space="preserve">Mise en œuvre </t>
  </si>
  <si>
    <t>Produits de base</t>
  </si>
  <si>
    <t>Activités</t>
  </si>
  <si>
    <t>Segments avec services intégrés</t>
  </si>
  <si>
    <t>Segments de la chaine de valeur</t>
  </si>
  <si>
    <t>table de correspondance</t>
  </si>
  <si>
    <t>Ressource</t>
  </si>
  <si>
    <t>De usage</t>
  </si>
  <si>
    <t>Vers usage</t>
  </si>
  <si>
    <t>Produits connexes du sciage</t>
  </si>
  <si>
    <t>N° branche</t>
  </si>
  <si>
    <t>Oui</t>
  </si>
  <si>
    <t>Non</t>
  </si>
  <si>
    <t>Filière d'usage bois d'œuvre</t>
  </si>
  <si>
    <t>Valeur de la production (k€)</t>
  </si>
  <si>
    <t>La méthode d'actualisation du TER d'une année sur l'autre rend constant la productivité apparente du travail des branches.</t>
  </si>
  <si>
    <t>Productivité de la branche (VA/ETP)</t>
  </si>
  <si>
    <t>Taux de couverture de la branche (Export/Import)</t>
  </si>
  <si>
    <t>Importation de la branche</t>
  </si>
  <si>
    <t>Exportation de la branche</t>
  </si>
  <si>
    <t xml:space="preserve">Le taux de couverture du commerce extérieur exprime l’état du solde commercial. Inférieur à 100%, le solde commercial est négatif (ce qui signifie que les exportations sont inférieures aux importations), supérieur à 100% le solde commercial est positif. </t>
  </si>
  <si>
    <t xml:space="preserve">Le taux de couverture de la demande par l'offre nationale indique la part du marché intérieur couverte par la production nationale. Par exemple, si le taux d’import est de 20% alors le taux de couverture de la demande par l’offre nationale est de 80%. </t>
  </si>
  <si>
    <t>Le taux d’export est le ratio export sur production. Il met en évidence la propension à exporter de la filière selon les branches ou segments.</t>
  </si>
  <si>
    <t>Taux d'export de la branche (Export/Production)</t>
  </si>
  <si>
    <t>Production française</t>
  </si>
  <si>
    <t>branche_old</t>
  </si>
  <si>
    <t>branche_new</t>
  </si>
  <si>
    <t>De branche_new</t>
  </si>
  <si>
    <t>Vers branche_new</t>
  </si>
  <si>
    <t>Unité de compte</t>
  </si>
  <si>
    <t>I</t>
  </si>
  <si>
    <t>U</t>
  </si>
  <si>
    <t>J</t>
  </si>
  <si>
    <t>K</t>
  </si>
  <si>
    <t>L</t>
  </si>
  <si>
    <t>M</t>
  </si>
  <si>
    <t>N</t>
  </si>
  <si>
    <t>O</t>
  </si>
  <si>
    <t>P</t>
  </si>
  <si>
    <t>Q</t>
  </si>
  <si>
    <t>V</t>
  </si>
  <si>
    <t>W</t>
  </si>
  <si>
    <t>X</t>
  </si>
  <si>
    <t>Y</t>
  </si>
  <si>
    <t>Z</t>
  </si>
  <si>
    <t>AA</t>
  </si>
  <si>
    <t>AB</t>
  </si>
  <si>
    <t>AC</t>
  </si>
  <si>
    <t>BI</t>
  </si>
  <si>
    <t>Milliers de tonnes d'équivalent bois (kt éq.bois)</t>
  </si>
  <si>
    <r>
      <t>Milliers d'équivalent bois ronds sur écorce (km</t>
    </r>
    <r>
      <rPr>
        <b/>
        <vertAlign val="superscript"/>
        <sz val="14"/>
        <rFont val="Arial"/>
        <family val="2"/>
      </rPr>
      <t>3</t>
    </r>
    <r>
      <rPr>
        <b/>
        <sz val="14"/>
        <rFont val="Arial"/>
        <family val="2"/>
      </rPr>
      <t xml:space="preserve"> éq.br)</t>
    </r>
  </si>
  <si>
    <r>
      <t>km</t>
    </r>
    <r>
      <rPr>
        <b/>
        <vertAlign val="superscript"/>
        <sz val="10"/>
        <rFont val="Arial"/>
        <family val="2"/>
      </rPr>
      <t>3</t>
    </r>
    <r>
      <rPr>
        <b/>
        <sz val="10"/>
        <rFont val="Arial"/>
        <family val="2"/>
      </rPr>
      <t xml:space="preserve"> éq.br</t>
    </r>
  </si>
  <si>
    <t>kt éq.bois</t>
  </si>
  <si>
    <t>Destination Recyclé</t>
  </si>
  <si>
    <t>BE</t>
  </si>
  <si>
    <t>Filière d'usage bois d'industrie</t>
  </si>
  <si>
    <t>Filière d'usage bois énergie</t>
  </si>
  <si>
    <t>La filière se compose de trois activités : "Production et transformation de produits bois", "Mise en oeuvre de produits bois" et "Commerces et services".</t>
  </si>
  <si>
    <r>
      <rPr>
        <sz val="18"/>
        <rFont val="Arial"/>
        <family val="2"/>
      </rPr>
      <t xml:space="preserve">Choisissez la branche dans le menu déroulant </t>
    </r>
    <r>
      <rPr>
        <sz val="14"/>
        <rFont val="Arial"/>
        <family val="2"/>
      </rPr>
      <t xml:space="preserve"> (en cliquant sur la cellule ci-dessous puis au niveau de la flèche verte) :</t>
    </r>
  </si>
  <si>
    <r>
      <rPr>
        <sz val="18"/>
        <rFont val="Arial"/>
        <family val="2"/>
      </rPr>
      <t>Choisissez l'année</t>
    </r>
    <r>
      <rPr>
        <sz val="14"/>
        <rFont val="Arial"/>
        <family val="2"/>
      </rPr>
      <t xml:space="preserve"> (cliquer sur le cellule ci-dessous) </t>
    </r>
  </si>
  <si>
    <t>Le tableau de bord de la branche choisie est dans l'onglet "Tableaux de bord"</t>
  </si>
  <si>
    <t>Groupe de branches</t>
  </si>
  <si>
    <t>Personnel</t>
  </si>
  <si>
    <t>Sciages et produits techniques</t>
  </si>
  <si>
    <t>Emballage</t>
  </si>
  <si>
    <t>Bois énergie</t>
  </si>
  <si>
    <t>Panneaux</t>
  </si>
  <si>
    <t xml:space="preserve">Meuble en base de bois </t>
  </si>
  <si>
    <t>Menuiserie et Agencement</t>
  </si>
  <si>
    <t>Charpentes et construction bois</t>
  </si>
  <si>
    <t>Commerces</t>
  </si>
  <si>
    <t>Branche incluse dans un TdB groupé</t>
  </si>
  <si>
    <t>Pate&amp;papier&amp;carton</t>
  </si>
  <si>
    <t>Groupe retenu</t>
  </si>
  <si>
    <t>Année</t>
  </si>
  <si>
    <t>Total emplois</t>
  </si>
  <si>
    <t>E=R</t>
  </si>
  <si>
    <t>valeur de la fiche TER</t>
  </si>
  <si>
    <t>Groupe</t>
  </si>
  <si>
    <t xml:space="preserve">Choisissez l'année </t>
  </si>
  <si>
    <r>
      <rPr>
        <sz val="18"/>
        <rFont val="Arial"/>
        <family val="2"/>
      </rPr>
      <t xml:space="preserve">Choisissez dans les menus déroulants </t>
    </r>
    <r>
      <rPr>
        <sz val="14"/>
        <rFont val="Arial"/>
        <family val="2"/>
      </rPr>
      <t xml:space="preserve"> (en cliquant sur les cellules ci-dessous au niveau des flèches bleues) :</t>
    </r>
  </si>
  <si>
    <t>Choisissez le "Groupe de branches"</t>
  </si>
  <si>
    <t>Part dans la filière (%)</t>
  </si>
  <si>
    <t>Importation totale du groupe (k€)</t>
  </si>
  <si>
    <t>Exportation totale du groupe (k€)</t>
  </si>
  <si>
    <t>Taux de couverture du groupe (Export/Import)</t>
  </si>
  <si>
    <t>Taux de couverture moyen de la filière</t>
  </si>
  <si>
    <t>Taux de couverture de la demande du groupe</t>
  </si>
  <si>
    <t>Taux d'export du groupe (Export/Production)</t>
  </si>
  <si>
    <t>Taux d'export moyen de la filière</t>
  </si>
  <si>
    <t>Productivité du groupe (VA/ETP)</t>
  </si>
  <si>
    <t>Nom des groupes</t>
  </si>
  <si>
    <t>Le taux de couverture de la demande par l'offre nationale indique la part du marché intérieur couverte par la production nationale. Par exemple, si le taux d’import est de 20% alors le taux de couverture de la demande par l’offre nationale est de 80%. 
Le taux de converture n'est pas pertinent pour les commerces qui sont considérés comme un intermédiaire.</t>
  </si>
  <si>
    <t>Le taux de couverture du commerce extérieur exprime l’état du solde commercial. Inférieur à 100%, le solde commercial est négatif (ce qui signifie que les exportations sont inférieures aux importations), supérieur à 100% le solde commercial est positif. 
Le taux de converture n'est pas pertinent pour les commerces qui sont considérés comme un intermédiaire.</t>
  </si>
  <si>
    <t>Le taux d’export est le ratio export sur production. Il met en évidence la propension à exporter du groupe.
Le taux d’export n'est pas pertinent pour les commerces qui sont considérés comme un intermédiaire.</t>
  </si>
  <si>
    <t>Nombre de branches sélectionnées</t>
  </si>
  <si>
    <t>Sélectionner ci-dessous les branches que vous souhaitez regrouper avec un 1. Un 0 exclu la branche du groupe.</t>
  </si>
  <si>
    <t>Groupement personnel</t>
  </si>
  <si>
    <t>Les cellules ci-dessous des branches du groupe sélectionné sont verdies.</t>
  </si>
  <si>
    <t>Flux entre branches</t>
  </si>
  <si>
    <r>
      <rPr>
        <vertAlign val="superscript"/>
        <sz val="10"/>
        <rFont val="Arial"/>
        <family val="2"/>
      </rPr>
      <t>1</t>
    </r>
    <r>
      <rPr>
        <sz val="10"/>
        <rFont val="Arial"/>
        <family val="2"/>
      </rPr>
      <t xml:space="preserve"> : Pourcentage à lire en colonne : part dans l'ensemble </t>
    </r>
    <r>
      <rPr>
        <b/>
        <sz val="10"/>
        <rFont val="Arial"/>
        <family val="2"/>
      </rPr>
      <t>des</t>
    </r>
    <r>
      <rPr>
        <sz val="10"/>
        <rFont val="Arial"/>
        <family val="2"/>
      </rPr>
      <t xml:space="preserve"> branches, totaux en E84 et i84</t>
    </r>
  </si>
  <si>
    <r>
      <t>%</t>
    </r>
    <r>
      <rPr>
        <vertAlign val="superscript"/>
        <sz val="10"/>
        <rFont val="Arial"/>
        <family val="2"/>
      </rPr>
      <t>1</t>
    </r>
  </si>
  <si>
    <r>
      <t>%</t>
    </r>
    <r>
      <rPr>
        <vertAlign val="superscript"/>
        <sz val="10"/>
        <rFont val="Arial"/>
        <family val="2"/>
      </rPr>
      <t>2</t>
    </r>
  </si>
  <si>
    <r>
      <rPr>
        <vertAlign val="superscript"/>
        <sz val="11"/>
        <color theme="1"/>
        <rFont val="Calibri"/>
        <family val="2"/>
        <scheme val="minor"/>
      </rPr>
      <t>2</t>
    </r>
    <r>
      <rPr>
        <sz val="11"/>
        <color theme="1"/>
        <rFont val="Calibri"/>
        <family val="2"/>
        <scheme val="minor"/>
      </rPr>
      <t xml:space="preserve"> : Pourcentage à lire en ligne : part de l'origine France dans</t>
    </r>
    <r>
      <rPr>
        <b/>
        <sz val="11"/>
        <color theme="1"/>
        <rFont val="Calibri"/>
        <family val="2"/>
        <scheme val="minor"/>
      </rPr>
      <t xml:space="preserve"> la</t>
    </r>
    <r>
      <rPr>
        <sz val="11"/>
        <color theme="1"/>
        <rFont val="Calibri"/>
        <family val="2"/>
        <scheme val="minor"/>
      </rPr>
      <t xml:space="preserve"> branche</t>
    </r>
  </si>
  <si>
    <t xml:space="preserve">Produit importé en CI </t>
  </si>
  <si>
    <r>
      <t xml:space="preserve">Consommation intermédiaire (CI) </t>
    </r>
    <r>
      <rPr>
        <sz val="8"/>
        <rFont val="Arial"/>
        <family val="2"/>
      </rPr>
      <t xml:space="preserve">(origine France + import) </t>
    </r>
  </si>
  <si>
    <r>
      <t xml:space="preserve">Consommation en CI par une autre branche </t>
    </r>
    <r>
      <rPr>
        <sz val="8"/>
        <rFont val="Arial"/>
        <family val="2"/>
      </rPr>
      <t>(origine France + import)</t>
    </r>
  </si>
  <si>
    <t>Le tableau de bord est dans l'onglet "Tableaux de bord Groupe"</t>
  </si>
  <si>
    <t>Attention : l'approche groupe de branches ci-dessous est différente de l'approche secteur. Si un secteur est souvent composé de plusieurs branches en tout ou partie, les regroupements de branches ci dessous sont spécifiques et correspondent à une approche processus de tranformation de la filière de l'amont à l'aval.</t>
  </si>
  <si>
    <t xml:space="preserve">Part des CI origine France </t>
  </si>
  <si>
    <r>
      <rPr>
        <b/>
        <sz val="14"/>
        <color theme="0"/>
        <rFont val="Arial"/>
        <family val="2"/>
      </rPr>
      <t>Attention</t>
    </r>
    <r>
      <rPr>
        <b/>
        <sz val="11"/>
        <color theme="0"/>
        <rFont val="Arial"/>
        <family val="2"/>
      </rPr>
      <t xml:space="preserve">
L'approche branche ci-dessous est différente de l'approche secteur. Un secteur est souvent composé de plusieurs branches en tout ou partie. Pour plus d'information voir le guide méthodologique de la VEM.
Les données documentaires utilisées pour élaborer le TER 2016 ne sont pas actualisées chaque année. Aussi, les variations d’une année sur l’autre ne peuvent être considérées comme les résultats d’une étude de conjoncture.</t>
    </r>
  </si>
  <si>
    <r>
      <rPr>
        <b/>
        <sz val="14"/>
        <color theme="0"/>
        <rFont val="Arial"/>
        <family val="2"/>
      </rPr>
      <t>Attention</t>
    </r>
    <r>
      <rPr>
        <b/>
        <sz val="11"/>
        <color theme="0"/>
        <rFont val="Arial"/>
        <family val="2"/>
      </rPr>
      <t xml:space="preserve">
L'approche groupe de branches ci-dessous est différente de l'approche secteur. La définition des groupes de branches de la VEM-FB ne correspond pas à celle des secteurs. 
Les données documentaires utilisées pour élaborer le TER 2016 ne sont pas actualisées chaque année. Aussi, les variations d’une année sur l’autre ne peuvent être considérées comme les résultats d’une étude de conjoncture.</t>
    </r>
  </si>
  <si>
    <r>
      <t xml:space="preserve">Consommation en CI par une autre branche 
</t>
    </r>
    <r>
      <rPr>
        <sz val="8"/>
        <rFont val="Arial"/>
        <family val="2"/>
      </rPr>
      <t>(origine France + import)</t>
    </r>
  </si>
  <si>
    <t>Regroupement de branches</t>
  </si>
  <si>
    <t>Conso inter utilisée par autre branche</t>
  </si>
  <si>
    <t>Production  de bois</t>
  </si>
  <si>
    <t>Sylviculture et exploitation forestière</t>
  </si>
  <si>
    <t>Production de bois</t>
  </si>
  <si>
    <t>VA</t>
  </si>
  <si>
    <t>MS</t>
  </si>
  <si>
    <t>Conso finale</t>
  </si>
  <si>
    <t>Approvisionnement</t>
  </si>
  <si>
    <t>FCBA</t>
  </si>
  <si>
    <t>Prix normé</t>
  </si>
  <si>
    <t>calcul intermédiaire</t>
  </si>
  <si>
    <t>Construction</t>
  </si>
  <si>
    <t>Meuble</t>
  </si>
  <si>
    <t>Pate &amp; papier &amp; carton</t>
  </si>
  <si>
    <t>Emballage bois et carton</t>
  </si>
  <si>
    <t>Energie</t>
  </si>
  <si>
    <t>Produits de consommation courante</t>
  </si>
  <si>
    <t>Destination des flux</t>
  </si>
  <si>
    <t>% de valeur ajoutée</t>
  </si>
  <si>
    <t/>
  </si>
  <si>
    <t>Marché de destination</t>
  </si>
  <si>
    <t>Groupe - Destination</t>
  </si>
  <si>
    <t>Poids du flux</t>
  </si>
  <si>
    <t>vA</t>
  </si>
  <si>
    <t>auto consommation</t>
  </si>
  <si>
    <t>Appartient au groupe</t>
  </si>
  <si>
    <t>Index</t>
  </si>
  <si>
    <t>Branches du groupe retenu</t>
  </si>
  <si>
    <t>Consommation finale française</t>
  </si>
  <si>
    <t>De usage 2</t>
  </si>
  <si>
    <t>Vers usage 2</t>
  </si>
  <si>
    <t>Part des imports dans la consommation finale</t>
  </si>
  <si>
    <t>Part de la transformation dans la consommation finale</t>
  </si>
  <si>
    <t>Part des bois français dans la transformation</t>
  </si>
  <si>
    <t>Part des bois d'importation dans la transformation</t>
  </si>
  <si>
    <t>Part des bois français dans la consommation finale</t>
  </si>
  <si>
    <t>Part des produits de la forêt dans la consommation finale</t>
  </si>
  <si>
    <t>Part des produits connexes du sciage dans la consommation finale</t>
  </si>
  <si>
    <t>Valeur (K€)</t>
  </si>
  <si>
    <t>Volumes km3 br</t>
  </si>
  <si>
    <t>Volumes k tonnes</t>
  </si>
  <si>
    <t>Coef ETP/VA</t>
  </si>
  <si>
    <t>Valeur vide</t>
  </si>
  <si>
    <t>Répartition de la production finale</t>
  </si>
  <si>
    <t>44 - Papier et carton</t>
  </si>
  <si>
    <t>baisse emploi étude covid (hyp optimiste, en ligne avec la baisse de la VA observée)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</si>
</sst>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k&quot;€&quot;"/>
    <numFmt numFmtId="165" formatCode="#,##0.0"/>
    <numFmt numFmtId="166" formatCode="0.0%"/>
    <numFmt numFmtId="167" formatCode="0.0"/>
    <numFmt numFmtId="172" formatCode="0.0000"/>
    <numFmt numFmtId="173" formatCode="#,##0&quot; &quot;"/>
  </numFmts>
  <fonts count="36" x14ac:knownFonts="1">
    <font>
      <sz val="11"/>
      <color theme="1"/>
      <name val="Calibri"/>
      <family val="2"/>
      <scheme val="minor"/>
    </font>
    <font>
      <sz val="11"/>
      <color theme="1"/>
      <name val="Calibri"/>
      <family val="2"/>
      <scheme val="minor"/>
    </font>
    <font>
      <sz val="10"/>
      <name val="Arial"/>
      <family val="2"/>
    </font>
    <font>
      <b/>
      <sz val="18"/>
      <name val="Arial"/>
      <family val="2"/>
    </font>
    <font>
      <sz val="8"/>
      <name val="Arial"/>
      <family val="2"/>
    </font>
    <font>
      <b/>
      <sz val="8"/>
      <name val="Arial"/>
      <family val="2"/>
    </font>
    <font>
      <b/>
      <sz val="16"/>
      <name val="Arial"/>
      <family val="2"/>
    </font>
    <font>
      <sz val="9"/>
      <color indexed="81"/>
      <name val="Tahoma"/>
      <family val="2"/>
    </font>
    <font>
      <b/>
      <sz val="16"/>
      <color theme="0"/>
      <name val="Arial"/>
      <family val="2"/>
    </font>
    <font>
      <b/>
      <sz val="14"/>
      <color theme="0"/>
      <name val="Arial"/>
      <family val="2"/>
    </font>
    <font>
      <sz val="10"/>
      <color rgb="FFFF0000"/>
      <name val="Arial"/>
      <family val="2"/>
    </font>
    <font>
      <b/>
      <sz val="10"/>
      <color theme="0" tint="-0.34998626667073579"/>
      <name val="Arial"/>
      <family val="2"/>
    </font>
    <font>
      <sz val="11"/>
      <name val="Arial"/>
      <family val="2"/>
    </font>
    <font>
      <b/>
      <sz val="12"/>
      <color theme="0"/>
      <name val="Arial"/>
      <family val="2"/>
    </font>
    <font>
      <sz val="14"/>
      <name val="Arial"/>
      <family val="2"/>
    </font>
    <font>
      <b/>
      <sz val="11"/>
      <color theme="1"/>
      <name val="Calibri"/>
      <family val="2"/>
      <scheme val="minor"/>
    </font>
    <font>
      <b/>
      <sz val="10"/>
      <name val="Arial"/>
      <family val="2"/>
    </font>
    <font>
      <b/>
      <sz val="11"/>
      <color theme="0"/>
      <name val="Arial"/>
      <family val="2"/>
    </font>
    <font>
      <b/>
      <sz val="14"/>
      <name val="Arial"/>
      <family val="2"/>
    </font>
    <font>
      <b/>
      <vertAlign val="superscript"/>
      <sz val="10"/>
      <name val="Arial"/>
      <family val="2"/>
    </font>
    <font>
      <b/>
      <vertAlign val="superscript"/>
      <sz val="14"/>
      <name val="Arial"/>
      <family val="2"/>
    </font>
    <font>
      <sz val="18"/>
      <name val="Arial"/>
      <family val="2"/>
    </font>
    <font>
      <sz val="14"/>
      <color theme="1"/>
      <name val="Calibri"/>
      <family val="2"/>
      <scheme val="minor"/>
    </font>
    <font>
      <vertAlign val="superscript"/>
      <sz val="10"/>
      <name val="Arial"/>
      <family val="2"/>
    </font>
    <font>
      <sz val="10"/>
      <color theme="1"/>
      <name val="Calibri"/>
      <family val="2"/>
      <scheme val="minor"/>
    </font>
    <font>
      <b/>
      <sz val="22"/>
      <name val="Arial"/>
      <family val="2"/>
    </font>
    <font>
      <b/>
      <sz val="10"/>
      <color theme="0"/>
      <name val="Arial"/>
      <family val="2"/>
    </font>
    <font>
      <sz val="9"/>
      <name val="Arial"/>
      <family val="2"/>
    </font>
    <font>
      <vertAlign val="superscript"/>
      <sz val="11"/>
      <color theme="1"/>
      <name val="Calibri"/>
      <family val="2"/>
      <scheme val="minor"/>
    </font>
    <font>
      <sz val="8"/>
      <name val="Calibri"/>
      <family val="2"/>
      <scheme val="minor"/>
    </font>
    <font>
      <sz val="10"/>
      <color theme="0"/>
      <name val="Arial"/>
      <family val="2"/>
    </font>
    <font>
      <sz val="11"/>
      <color theme="0"/>
      <name val="Calibri"/>
      <family val="2"/>
      <scheme val="minor"/>
    </font>
    <font>
      <b/>
      <sz val="9"/>
      <color theme="1"/>
      <name val="Calibri"/>
      <family val="2"/>
      <scheme val="minor"/>
    </font>
    <font>
      <sz val="10"/>
      <color theme="1"/>
      <name val="Arial"/>
      <family val="2"/>
    </font>
    <font>
      <b/>
      <sz val="16"/>
      <color theme="1"/>
      <name val="Calibri"/>
      <family val="2"/>
      <scheme val="minor"/>
    </font>
    <font>
      <sz val="12"/>
      <color theme="1"/>
      <name val="Calibri"/>
      <family val="2"/>
      <scheme val="minor"/>
    </font>
  </fonts>
  <fills count="28">
    <fill>
      <patternFill patternType="none"/>
    </fill>
    <fill>
      <patternFill patternType="gray125"/>
    </fill>
    <fill>
      <patternFill patternType="solid">
        <fgColor theme="9" tint="0.79998168889431442"/>
        <bgColor indexed="64"/>
      </patternFill>
    </fill>
    <fill>
      <patternFill patternType="solid">
        <fgColor rgb="FFFFCCFF"/>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002060"/>
        <bgColor indexed="64"/>
      </patternFill>
    </fill>
    <fill>
      <patternFill patternType="solid">
        <fgColor theme="0" tint="-0.499984740745262"/>
        <bgColor indexed="64"/>
      </patternFill>
    </fill>
    <fill>
      <patternFill patternType="solid">
        <fgColor rgb="FFFF0000"/>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8497B0"/>
        <bgColor indexed="64"/>
      </patternFill>
    </fill>
    <fill>
      <patternFill patternType="solid">
        <fgColor rgb="FF9999FF"/>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rgb="FF92D050"/>
        <bgColor indexed="64"/>
      </patternFill>
    </fill>
    <fill>
      <patternFill patternType="solid">
        <fgColor theme="9" tint="-0.249977111117893"/>
        <bgColor indexed="64"/>
      </patternFill>
    </fill>
    <fill>
      <patternFill patternType="solid">
        <fgColor theme="9" tint="0.39994506668294322"/>
        <bgColor indexed="64"/>
      </patternFill>
    </fill>
    <fill>
      <patternFill patternType="solid">
        <fgColor rgb="FFFFFFCC"/>
      </patternFill>
    </fill>
    <fill>
      <patternFill patternType="solid">
        <fgColor theme="0" tint="-0.14999847407452621"/>
        <bgColor indexed="64"/>
      </patternFill>
    </fill>
    <fill>
      <patternFill patternType="solid">
        <fgColor theme="7"/>
        <bgColor indexed="64"/>
      </patternFill>
    </fill>
    <fill>
      <patternFill patternType="solid">
        <fgColor theme="5" tint="0.59999389629810485"/>
        <bgColor indexed="64"/>
      </patternFill>
    </fill>
    <fill>
      <patternFill patternType="solid">
        <fgColor theme="9"/>
        <bgColor indexed="64"/>
      </patternFill>
    </fill>
    <fill>
      <patternFill patternType="solid">
        <fgColor rgb="FFC00000"/>
        <bgColor indexed="64"/>
      </patternFill>
    </fill>
    <fill>
      <patternFill patternType="solid">
        <fgColor theme="7" tint="0.79998168889431442"/>
        <bgColor indexed="64"/>
      </patternFill>
    </fill>
    <fill>
      <patternFill patternType="solid">
        <fgColor rgb="FF00B05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theme="1"/>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1"/>
      </left>
      <right style="thin">
        <color theme="1"/>
      </right>
      <top style="thin">
        <color theme="1"/>
      </top>
      <bottom/>
      <diagonal/>
    </border>
    <border>
      <left style="medium">
        <color indexed="64"/>
      </left>
      <right style="medium">
        <color indexed="64"/>
      </right>
      <top style="thin">
        <color indexed="64"/>
      </top>
      <bottom/>
      <diagonal/>
    </border>
    <border>
      <left style="thin">
        <color theme="1"/>
      </left>
      <right style="thin">
        <color indexed="64"/>
      </right>
      <top style="thin">
        <color indexed="64"/>
      </top>
      <bottom/>
      <diagonal/>
    </border>
    <border>
      <left style="thin">
        <color indexed="64"/>
      </left>
      <right style="medium">
        <color indexed="64"/>
      </right>
      <top style="thin">
        <color indexed="64"/>
      </top>
      <bottom/>
      <diagonal/>
    </border>
    <border>
      <left style="thin">
        <color theme="1"/>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9">
    <xf numFmtId="0" fontId="0" fillId="0" borderId="0"/>
    <xf numFmtId="9" fontId="1" fillId="0" borderId="0" applyFont="0" applyFill="0" applyBorder="0" applyAlignment="0" applyProtection="0"/>
    <xf numFmtId="0" fontId="2" fillId="0" borderId="0"/>
    <xf numFmtId="9" fontId="2" fillId="0" borderId="0" applyFont="0" applyFill="0" applyBorder="0" applyAlignment="0" applyProtection="0"/>
    <xf numFmtId="0" fontId="1" fillId="20" borderId="45" applyNumberFormat="0" applyFont="0" applyAlignment="0" applyProtection="0"/>
    <xf numFmtId="0" fontId="33" fillId="0" borderId="0"/>
    <xf numFmtId="0" fontId="35" fillId="0" borderId="0"/>
    <xf numFmtId="9" fontId="33" fillId="0" borderId="0" applyFont="0" applyFill="0" applyBorder="0" applyAlignment="0" applyProtection="0"/>
    <xf numFmtId="0" fontId="2" fillId="0" borderId="0"/>
  </cellStyleXfs>
  <cellXfs count="309">
    <xf numFmtId="0" fontId="0" fillId="0" borderId="0" xfId="0"/>
    <xf numFmtId="1" fontId="0" fillId="2" borderId="0" xfId="0" applyNumberFormat="1" applyFill="1"/>
    <xf numFmtId="3" fontId="0" fillId="0" borderId="0" xfId="0" applyNumberFormat="1"/>
    <xf numFmtId="1" fontId="0" fillId="4" borderId="0" xfId="0" applyNumberFormat="1" applyFill="1"/>
    <xf numFmtId="0" fontId="2" fillId="0" borderId="0" xfId="2"/>
    <xf numFmtId="0" fontId="2" fillId="0" borderId="0" xfId="2" applyFill="1" applyAlignment="1">
      <alignment horizontal="left" vertical="center"/>
    </xf>
    <xf numFmtId="0" fontId="2" fillId="0" borderId="0" xfId="2" applyAlignment="1">
      <alignment horizontal="left" vertical="center"/>
    </xf>
    <xf numFmtId="0" fontId="4" fillId="0" borderId="0" xfId="2" quotePrefix="1" applyFont="1" applyAlignment="1">
      <alignment horizontal="left" vertical="center" wrapText="1"/>
    </xf>
    <xf numFmtId="0" fontId="2" fillId="0" borderId="1" xfId="2" applyFont="1" applyBorder="1"/>
    <xf numFmtId="0" fontId="2" fillId="0" borderId="1" xfId="2" quotePrefix="1" applyFont="1" applyBorder="1" applyAlignment="1">
      <alignment horizontal="center" vertical="center" wrapText="1"/>
    </xf>
    <xf numFmtId="0" fontId="2" fillId="0" borderId="0" xfId="2" quotePrefix="1" applyFont="1" applyBorder="1" applyAlignment="1">
      <alignment horizontal="center" vertical="center" wrapText="1"/>
    </xf>
    <xf numFmtId="0" fontId="2" fillId="0" borderId="1" xfId="2" quotePrefix="1" applyFont="1" applyBorder="1" applyAlignment="1">
      <alignment horizontal="right" vertical="center" wrapText="1"/>
    </xf>
    <xf numFmtId="3" fontId="2" fillId="0" borderId="1" xfId="2" applyNumberFormat="1" applyFont="1" applyBorder="1" applyAlignment="1">
      <alignment vertical="center"/>
    </xf>
    <xf numFmtId="0" fontId="2" fillId="0" borderId="1" xfId="2" applyFont="1" applyBorder="1" applyAlignment="1">
      <alignment horizontal="right"/>
    </xf>
    <xf numFmtId="0" fontId="2" fillId="0" borderId="0" xfId="2" applyAlignment="1">
      <alignment horizontal="right"/>
    </xf>
    <xf numFmtId="165" fontId="2" fillId="0" borderId="1" xfId="2" applyNumberFormat="1" applyFont="1" applyBorder="1" applyAlignment="1">
      <alignment horizontal="right" vertical="center"/>
    </xf>
    <xf numFmtId="0" fontId="2" fillId="0" borderId="1" xfId="2" applyBorder="1" applyAlignment="1">
      <alignment horizontal="right"/>
    </xf>
    <xf numFmtId="3" fontId="2" fillId="0" borderId="0" xfId="2" applyNumberFormat="1"/>
    <xf numFmtId="0" fontId="2" fillId="0" borderId="0" xfId="2" applyBorder="1" applyAlignment="1">
      <alignment horizontal="left" vertical="center"/>
    </xf>
    <xf numFmtId="0" fontId="5" fillId="0" borderId="0" xfId="2" applyFont="1" applyAlignment="1">
      <alignment horizontal="center" vertical="center"/>
    </xf>
    <xf numFmtId="0" fontId="2" fillId="0" borderId="9" xfId="2" quotePrefix="1" applyFont="1" applyBorder="1" applyAlignment="1">
      <alignment horizontal="center" vertical="center" wrapText="1"/>
    </xf>
    <xf numFmtId="0" fontId="2" fillId="0" borderId="9" xfId="2" applyFont="1" applyFill="1" applyBorder="1" applyAlignment="1">
      <alignment horizontal="center" vertical="center" wrapText="1"/>
    </xf>
    <xf numFmtId="0" fontId="2" fillId="0" borderId="10" xfId="2" quotePrefix="1" applyFont="1" applyBorder="1" applyAlignment="1">
      <alignment horizontal="center" vertical="center" wrapText="1"/>
    </xf>
    <xf numFmtId="0" fontId="2" fillId="0" borderId="11" xfId="2" quotePrefix="1" applyFont="1" applyBorder="1" applyAlignment="1">
      <alignment horizontal="center" vertical="center" wrapText="1"/>
    </xf>
    <xf numFmtId="0" fontId="2" fillId="0" borderId="13" xfId="2" applyBorder="1"/>
    <xf numFmtId="3" fontId="2" fillId="0" borderId="14" xfId="2" applyNumberFormat="1" applyBorder="1"/>
    <xf numFmtId="9" fontId="2" fillId="5" borderId="15" xfId="2" applyNumberFormat="1" applyFill="1" applyBorder="1"/>
    <xf numFmtId="3" fontId="2" fillId="0" borderId="17" xfId="2" quotePrefix="1" applyNumberFormat="1" applyBorder="1" applyAlignment="1">
      <alignment vertical="center"/>
    </xf>
    <xf numFmtId="9" fontId="0" fillId="5" borderId="15" xfId="3" applyFont="1" applyFill="1" applyBorder="1"/>
    <xf numFmtId="0" fontId="2" fillId="0" borderId="18" xfId="2" applyBorder="1"/>
    <xf numFmtId="9" fontId="0" fillId="5" borderId="19" xfId="3" applyNumberFormat="1" applyFont="1" applyFill="1" applyBorder="1"/>
    <xf numFmtId="3" fontId="0" fillId="0" borderId="20" xfId="3" applyNumberFormat="1" applyFont="1" applyBorder="1"/>
    <xf numFmtId="9" fontId="0" fillId="5" borderId="19" xfId="3" applyFont="1" applyFill="1" applyBorder="1"/>
    <xf numFmtId="9" fontId="2" fillId="5" borderId="19" xfId="2" applyNumberFormat="1" applyFill="1" applyBorder="1"/>
    <xf numFmtId="3" fontId="2" fillId="0" borderId="20" xfId="2" applyNumberFormat="1" applyBorder="1"/>
    <xf numFmtId="9" fontId="0" fillId="5" borderId="22" xfId="3" applyFont="1" applyFill="1" applyBorder="1"/>
    <xf numFmtId="9" fontId="0" fillId="0" borderId="0" xfId="3" applyFont="1"/>
    <xf numFmtId="0" fontId="2" fillId="0" borderId="0" xfId="2" applyAlignment="1">
      <alignment vertical="center"/>
    </xf>
    <xf numFmtId="0" fontId="10" fillId="0" borderId="0" xfId="2" applyFont="1"/>
    <xf numFmtId="0" fontId="2" fillId="0" borderId="0" xfId="2" applyAlignment="1">
      <alignment horizontal="center" vertical="center"/>
    </xf>
    <xf numFmtId="0" fontId="2" fillId="0" borderId="0" xfId="2" applyFont="1"/>
    <xf numFmtId="0" fontId="11" fillId="0" borderId="0" xfId="2" applyFont="1"/>
    <xf numFmtId="3" fontId="2" fillId="0" borderId="1" xfId="2" applyNumberFormat="1" applyBorder="1" applyAlignment="1">
      <alignment horizontal="right" vertical="center"/>
    </xf>
    <xf numFmtId="3" fontId="4" fillId="0" borderId="0" xfId="2" applyNumberFormat="1" applyFont="1" applyBorder="1" applyAlignment="1">
      <alignment vertical="center"/>
    </xf>
    <xf numFmtId="165" fontId="4" fillId="0" borderId="0" xfId="2" applyNumberFormat="1" applyFont="1" applyBorder="1" applyAlignment="1">
      <alignment horizontal="right" vertical="center"/>
    </xf>
    <xf numFmtId="3" fontId="4" fillId="0" borderId="0" xfId="2" applyNumberFormat="1" applyFont="1" applyBorder="1" applyAlignment="1">
      <alignment horizontal="right" vertical="center"/>
    </xf>
    <xf numFmtId="3" fontId="2" fillId="0" borderId="0" xfId="2" applyNumberFormat="1" applyAlignment="1">
      <alignment horizontal="left" vertical="center"/>
    </xf>
    <xf numFmtId="0" fontId="2" fillId="10" borderId="18" xfId="2" applyFill="1" applyBorder="1"/>
    <xf numFmtId="0" fontId="2" fillId="0" borderId="0" xfId="2" applyAlignment="1">
      <alignment horizontal="right" vertical="center"/>
    </xf>
    <xf numFmtId="0" fontId="2" fillId="0" borderId="1" xfId="2" applyFont="1" applyBorder="1" applyAlignment="1">
      <alignment horizontal="right" vertical="center"/>
    </xf>
    <xf numFmtId="3" fontId="11" fillId="0" borderId="0" xfId="2" applyNumberFormat="1" applyFont="1"/>
    <xf numFmtId="3" fontId="0" fillId="3" borderId="0" xfId="0" applyNumberFormat="1" applyFill="1"/>
    <xf numFmtId="0" fontId="12" fillId="0" borderId="0" xfId="2" applyFont="1"/>
    <xf numFmtId="0" fontId="3" fillId="12" borderId="0" xfId="2" applyFont="1" applyFill="1" applyAlignment="1">
      <alignment horizontal="center" vertical="center"/>
    </xf>
    <xf numFmtId="0" fontId="2" fillId="7" borderId="0" xfId="2" applyFill="1"/>
    <xf numFmtId="0" fontId="9" fillId="11" borderId="0" xfId="2" applyFont="1" applyFill="1" applyAlignment="1">
      <alignment textRotation="90"/>
    </xf>
    <xf numFmtId="0" fontId="2" fillId="0" borderId="0" xfId="2" applyBorder="1" applyAlignment="1">
      <alignment vertical="center" wrapText="1"/>
    </xf>
    <xf numFmtId="0" fontId="2" fillId="0" borderId="0" xfId="2" applyBorder="1"/>
    <xf numFmtId="3" fontId="0" fillId="2" borderId="0" xfId="0" applyNumberFormat="1" applyFill="1"/>
    <xf numFmtId="0" fontId="9" fillId="7" borderId="0" xfId="2" applyFont="1" applyFill="1" applyAlignment="1">
      <alignment vertical="center"/>
    </xf>
    <xf numFmtId="0" fontId="17" fillId="7" borderId="0" xfId="2" applyFont="1" applyFill="1" applyAlignment="1">
      <alignment horizontal="right" vertical="center"/>
    </xf>
    <xf numFmtId="0" fontId="9" fillId="11" borderId="0" xfId="2" applyFont="1" applyFill="1" applyAlignment="1">
      <alignment vertical="center"/>
    </xf>
    <xf numFmtId="0" fontId="17" fillId="11" borderId="0" xfId="2" applyFont="1" applyFill="1" applyAlignment="1">
      <alignment horizontal="right" vertical="center"/>
    </xf>
    <xf numFmtId="0" fontId="2" fillId="13" borderId="0" xfId="2" applyFill="1"/>
    <xf numFmtId="0" fontId="8" fillId="14" borderId="0" xfId="2" applyFont="1" applyFill="1" applyAlignment="1">
      <alignment vertical="center"/>
    </xf>
    <xf numFmtId="0" fontId="17" fillId="14" borderId="0" xfId="2" applyFont="1" applyFill="1" applyAlignment="1">
      <alignment horizontal="right" vertical="center"/>
    </xf>
    <xf numFmtId="0" fontId="0" fillId="0" borderId="0" xfId="0" applyFill="1"/>
    <xf numFmtId="1" fontId="0" fillId="0" borderId="0" xfId="0" applyNumberFormat="1" applyFill="1"/>
    <xf numFmtId="3" fontId="0" fillId="9" borderId="0" xfId="0" applyNumberFormat="1" applyFill="1"/>
    <xf numFmtId="0" fontId="2" fillId="14" borderId="0" xfId="2" applyFill="1"/>
    <xf numFmtId="0" fontId="18" fillId="12" borderId="0" xfId="2" applyFont="1" applyFill="1" applyAlignment="1">
      <alignment vertical="center"/>
    </xf>
    <xf numFmtId="0" fontId="14" fillId="0" borderId="0" xfId="2" applyFont="1" applyAlignment="1">
      <alignment vertical="center"/>
    </xf>
    <xf numFmtId="0" fontId="15" fillId="0" borderId="1" xfId="0" applyFont="1" applyBorder="1" applyAlignment="1">
      <alignment horizontal="right" vertical="center"/>
    </xf>
    <xf numFmtId="0" fontId="16" fillId="0" borderId="1" xfId="2" applyFont="1" applyBorder="1" applyAlignment="1">
      <alignment horizontal="center" vertical="center"/>
    </xf>
    <xf numFmtId="0" fontId="16" fillId="0" borderId="1" xfId="2" applyFont="1" applyBorder="1" applyAlignment="1">
      <alignment horizontal="left" vertical="center"/>
    </xf>
    <xf numFmtId="0" fontId="2" fillId="0" borderId="1" xfId="2" applyBorder="1" applyAlignment="1">
      <alignment horizontal="right" vertical="center"/>
    </xf>
    <xf numFmtId="3" fontId="2" fillId="0" borderId="1" xfId="2" applyNumberFormat="1" applyFill="1" applyBorder="1" applyAlignment="1">
      <alignment horizontal="right" vertical="center"/>
    </xf>
    <xf numFmtId="0" fontId="2" fillId="0" borderId="1" xfId="2" applyBorder="1" applyAlignment="1">
      <alignment horizontal="left" vertical="center"/>
    </xf>
    <xf numFmtId="0" fontId="0" fillId="0" borderId="1" xfId="0" applyBorder="1" applyAlignment="1">
      <alignment horizontal="right" vertical="center"/>
    </xf>
    <xf numFmtId="0" fontId="0" fillId="0" borderId="1" xfId="0" applyBorder="1"/>
    <xf numFmtId="3" fontId="16" fillId="0" borderId="1" xfId="2" applyNumberFormat="1" applyFont="1" applyFill="1" applyBorder="1" applyAlignment="1">
      <alignment horizontal="right" vertical="center"/>
    </xf>
    <xf numFmtId="0" fontId="2" fillId="0" borderId="1" xfId="2" applyBorder="1"/>
    <xf numFmtId="0" fontId="2" fillId="0" borderId="1" xfId="2" applyFont="1" applyBorder="1" applyAlignment="1">
      <alignment horizontal="center" vertical="center" wrapText="1"/>
    </xf>
    <xf numFmtId="3" fontId="2" fillId="0" borderId="1" xfId="2" applyNumberFormat="1" applyBorder="1"/>
    <xf numFmtId="166" fontId="2" fillId="0" borderId="1" xfId="1" applyNumberFormat="1" applyFont="1" applyBorder="1"/>
    <xf numFmtId="0" fontId="2" fillId="0" borderId="1" xfId="2" applyBorder="1" applyAlignment="1">
      <alignment horizontal="center" vertical="center" wrapText="1"/>
    </xf>
    <xf numFmtId="9" fontId="2" fillId="0" borderId="1" xfId="1" applyFont="1" applyBorder="1"/>
    <xf numFmtId="9" fontId="2" fillId="0" borderId="1" xfId="1" applyNumberFormat="1" applyFont="1" applyBorder="1"/>
    <xf numFmtId="9" fontId="0" fillId="6" borderId="16" xfId="3" applyNumberFormat="1" applyFont="1" applyFill="1" applyBorder="1"/>
    <xf numFmtId="9" fontId="0" fillId="6" borderId="21" xfId="3" applyNumberFormat="1" applyFont="1" applyFill="1" applyBorder="1"/>
    <xf numFmtId="9" fontId="0" fillId="6" borderId="23" xfId="3" applyNumberFormat="1" applyFont="1" applyFill="1" applyBorder="1"/>
    <xf numFmtId="164" fontId="2" fillId="0" borderId="1" xfId="2" applyNumberFormat="1" applyFont="1" applyBorder="1" applyAlignment="1">
      <alignment vertical="center"/>
    </xf>
    <xf numFmtId="9" fontId="0" fillId="0" borderId="1" xfId="3" applyFont="1" applyBorder="1"/>
    <xf numFmtId="9" fontId="0" fillId="0" borderId="1" xfId="3" applyNumberFormat="1" applyFont="1" applyBorder="1"/>
    <xf numFmtId="9" fontId="0" fillId="0" borderId="1" xfId="3" applyFont="1" applyBorder="1" applyAlignment="1">
      <alignment vertical="center"/>
    </xf>
    <xf numFmtId="9" fontId="2" fillId="0" borderId="1" xfId="2" applyNumberFormat="1" applyBorder="1" applyAlignment="1">
      <alignment vertical="center"/>
    </xf>
    <xf numFmtId="0" fontId="2" fillId="0" borderId="30" xfId="2" applyBorder="1"/>
    <xf numFmtId="9" fontId="2" fillId="5" borderId="25" xfId="2" applyNumberFormat="1" applyFill="1" applyBorder="1"/>
    <xf numFmtId="3" fontId="2" fillId="0" borderId="31" xfId="2" applyNumberFormat="1" applyBorder="1"/>
    <xf numFmtId="9" fontId="0" fillId="6" borderId="32" xfId="3" applyNumberFormat="1" applyFont="1" applyFill="1" applyBorder="1"/>
    <xf numFmtId="3" fontId="2" fillId="0" borderId="0" xfId="2" applyNumberFormat="1" applyAlignment="1">
      <alignment vertical="center"/>
    </xf>
    <xf numFmtId="0" fontId="2" fillId="0" borderId="33" xfId="2" applyFont="1" applyFill="1" applyBorder="1" applyAlignment="1">
      <alignment horizontal="center" vertical="center" wrapText="1"/>
    </xf>
    <xf numFmtId="0" fontId="2" fillId="0" borderId="7" xfId="2" applyFont="1" applyFill="1" applyBorder="1" applyAlignment="1">
      <alignment horizontal="center" vertical="center" wrapText="1"/>
    </xf>
    <xf numFmtId="0" fontId="2" fillId="0" borderId="0" xfId="2" applyFill="1"/>
    <xf numFmtId="0" fontId="2" fillId="0" borderId="3" xfId="2" applyFont="1" applyFill="1" applyBorder="1" applyAlignment="1">
      <alignment horizontal="center" vertical="center" wrapText="1"/>
    </xf>
    <xf numFmtId="0" fontId="2" fillId="15" borderId="1" xfId="2" applyFont="1" applyFill="1" applyBorder="1" applyAlignment="1">
      <alignment horizontal="center" vertical="center" wrapText="1"/>
    </xf>
    <xf numFmtId="0" fontId="2" fillId="15" borderId="1" xfId="2" applyFill="1" applyBorder="1"/>
    <xf numFmtId="0" fontId="0" fillId="16" borderId="0" xfId="0" applyFill="1" applyAlignment="1">
      <alignment horizontal="center" vertical="center"/>
    </xf>
    <xf numFmtId="3" fontId="0" fillId="2" borderId="0" xfId="0" applyNumberFormat="1" applyFill="1" applyAlignment="1">
      <alignment horizontal="center"/>
    </xf>
    <xf numFmtId="0" fontId="2" fillId="0" borderId="1" xfId="2" applyBorder="1" applyAlignment="1">
      <alignment horizontal="center" vertical="center"/>
    </xf>
    <xf numFmtId="0" fontId="16" fillId="0" borderId="0" xfId="2" applyFont="1" applyAlignment="1">
      <alignment horizontal="center" vertical="center"/>
    </xf>
    <xf numFmtId="0" fontId="2" fillId="0" borderId="0" xfId="2" applyFont="1" applyFill="1" applyBorder="1" applyAlignment="1">
      <alignment horizontal="center" vertical="center" wrapText="1"/>
    </xf>
    <xf numFmtId="9" fontId="2" fillId="5" borderId="34" xfId="2" applyNumberFormat="1" applyFill="1" applyBorder="1"/>
    <xf numFmtId="3" fontId="2" fillId="0" borderId="35" xfId="2" applyNumberFormat="1" applyBorder="1"/>
    <xf numFmtId="3" fontId="2" fillId="0" borderId="34" xfId="2" applyNumberFormat="1" applyBorder="1"/>
    <xf numFmtId="0" fontId="0" fillId="0" borderId="0" xfId="0" applyAlignment="1">
      <alignment vertical="center"/>
    </xf>
    <xf numFmtId="3" fontId="0" fillId="2" borderId="0" xfId="0" applyNumberFormat="1" applyFill="1" applyAlignment="1">
      <alignment horizontal="center" vertical="center" wrapText="1"/>
    </xf>
    <xf numFmtId="9" fontId="0" fillId="0" borderId="0" xfId="1" applyFont="1"/>
    <xf numFmtId="0" fontId="0" fillId="0" borderId="0" xfId="0" applyAlignment="1">
      <alignment horizontal="center" vertical="center" wrapText="1"/>
    </xf>
    <xf numFmtId="3" fontId="0" fillId="2" borderId="0" xfId="0" applyNumberFormat="1" applyFill="1" applyAlignment="1"/>
    <xf numFmtId="0" fontId="24" fillId="4" borderId="0" xfId="0" applyFont="1" applyFill="1" applyAlignment="1">
      <alignment vertical="center" wrapText="1"/>
    </xf>
    <xf numFmtId="0" fontId="3" fillId="0" borderId="0" xfId="2" applyFont="1" applyFill="1" applyAlignment="1">
      <alignment vertical="center"/>
    </xf>
    <xf numFmtId="0" fontId="12" fillId="0" borderId="0" xfId="2" applyFont="1" applyAlignment="1">
      <alignment horizontal="left" vertical="center"/>
    </xf>
    <xf numFmtId="0" fontId="3" fillId="12" borderId="36" xfId="2" applyFont="1" applyFill="1" applyBorder="1" applyAlignment="1">
      <alignment horizontal="center" vertical="center"/>
    </xf>
    <xf numFmtId="3" fontId="2" fillId="0" borderId="1" xfId="2" applyNumberFormat="1" applyFont="1" applyFill="1" applyBorder="1" applyAlignment="1">
      <alignment vertical="center"/>
    </xf>
    <xf numFmtId="165" fontId="2" fillId="0" borderId="1" xfId="2" applyNumberFormat="1" applyFont="1" applyFill="1" applyBorder="1" applyAlignment="1">
      <alignment horizontal="right" vertical="center"/>
    </xf>
    <xf numFmtId="0" fontId="15" fillId="0" borderId="0" xfId="0" applyFont="1"/>
    <xf numFmtId="3" fontId="2" fillId="0" borderId="14" xfId="2" applyNumberFormat="1" applyFill="1" applyBorder="1"/>
    <xf numFmtId="9" fontId="2" fillId="0" borderId="1" xfId="1" applyFont="1" applyFill="1" applyBorder="1"/>
    <xf numFmtId="0" fontId="2" fillId="0" borderId="0" xfId="2" applyAlignment="1">
      <alignment horizontal="center" vertical="center" wrapText="1"/>
    </xf>
    <xf numFmtId="0" fontId="2" fillId="0" borderId="1" xfId="2" applyBorder="1" applyAlignment="1">
      <alignment horizontal="center"/>
    </xf>
    <xf numFmtId="166" fontId="2" fillId="0" borderId="1" xfId="1" applyNumberFormat="1" applyFont="1" applyFill="1" applyBorder="1"/>
    <xf numFmtId="166" fontId="2" fillId="0" borderId="0" xfId="2" applyNumberFormat="1"/>
    <xf numFmtId="3" fontId="2" fillId="0" borderId="1" xfId="2" applyNumberFormat="1" applyFill="1" applyBorder="1"/>
    <xf numFmtId="0" fontId="2" fillId="0" borderId="1" xfId="2" applyFill="1" applyBorder="1"/>
    <xf numFmtId="0" fontId="2" fillId="17" borderId="0" xfId="2" applyFill="1"/>
    <xf numFmtId="0" fontId="2" fillId="0" borderId="1" xfId="2" applyFont="1" applyFill="1" applyBorder="1" applyAlignment="1">
      <alignment horizontal="center" vertical="center" wrapText="1"/>
    </xf>
    <xf numFmtId="0" fontId="2" fillId="0" borderId="0" xfId="2" applyFill="1" applyAlignment="1">
      <alignment vertical="center"/>
    </xf>
    <xf numFmtId="0" fontId="26" fillId="18" borderId="0" xfId="2" applyFont="1" applyFill="1" applyAlignment="1">
      <alignment horizontal="center" vertical="center"/>
    </xf>
    <xf numFmtId="0" fontId="4" fillId="0" borderId="7" xfId="2" applyFont="1" applyFill="1" applyBorder="1" applyAlignment="1">
      <alignment horizontal="center" vertical="center" wrapText="1"/>
    </xf>
    <xf numFmtId="0" fontId="2" fillId="0" borderId="34" xfId="2" applyBorder="1" applyAlignment="1">
      <alignment horizontal="center" vertical="center"/>
    </xf>
    <xf numFmtId="0" fontId="16" fillId="0" borderId="39" xfId="2" applyFont="1" applyBorder="1" applyAlignment="1">
      <alignment horizontal="center" vertical="center"/>
    </xf>
    <xf numFmtId="0" fontId="2" fillId="0" borderId="8" xfId="2" quotePrefix="1" applyFont="1" applyBorder="1" applyAlignment="1">
      <alignment horizontal="center" vertical="center" wrapText="1"/>
    </xf>
    <xf numFmtId="3" fontId="2" fillId="0" borderId="4" xfId="2" applyNumberFormat="1" applyFill="1" applyBorder="1" applyAlignment="1"/>
    <xf numFmtId="0" fontId="2" fillId="0" borderId="4" xfId="2" applyFill="1" applyBorder="1" applyAlignment="1"/>
    <xf numFmtId="3" fontId="16" fillId="0" borderId="5" xfId="2" applyNumberFormat="1" applyFont="1" applyBorder="1"/>
    <xf numFmtId="3" fontId="16" fillId="0" borderId="11" xfId="2" quotePrefix="1" applyNumberFormat="1" applyFont="1" applyBorder="1" applyAlignment="1">
      <alignment vertical="center"/>
    </xf>
    <xf numFmtId="3" fontId="2" fillId="0" borderId="40" xfId="2" applyNumberFormat="1" applyBorder="1"/>
    <xf numFmtId="9" fontId="2" fillId="5" borderId="8" xfId="2" applyNumberFormat="1" applyFill="1" applyBorder="1"/>
    <xf numFmtId="3" fontId="2" fillId="0" borderId="41" xfId="2" applyNumberFormat="1" applyBorder="1"/>
    <xf numFmtId="9" fontId="0" fillId="6" borderId="42" xfId="3" applyNumberFormat="1" applyFont="1" applyFill="1" applyBorder="1"/>
    <xf numFmtId="3" fontId="16" fillId="0" borderId="11" xfId="2" applyNumberFormat="1" applyFont="1" applyFill="1" applyBorder="1" applyAlignment="1"/>
    <xf numFmtId="0" fontId="2" fillId="0" borderId="39" xfId="2" applyBorder="1"/>
    <xf numFmtId="3" fontId="2" fillId="0" borderId="11" xfId="2" quotePrefix="1" applyNumberFormat="1" applyFill="1" applyBorder="1" applyAlignment="1">
      <alignment vertical="center"/>
    </xf>
    <xf numFmtId="9" fontId="0" fillId="6" borderId="10" xfId="3" applyNumberFormat="1" applyFont="1" applyFill="1" applyBorder="1"/>
    <xf numFmtId="0" fontId="2" fillId="0" borderId="8" xfId="2" applyFill="1" applyBorder="1"/>
    <xf numFmtId="3" fontId="2" fillId="0" borderId="11" xfId="2" applyNumberFormat="1" applyFill="1" applyBorder="1"/>
    <xf numFmtId="0" fontId="16" fillId="0" borderId="39" xfId="2" applyFont="1" applyBorder="1"/>
    <xf numFmtId="9" fontId="2" fillId="5" borderId="1" xfId="2" applyNumberFormat="1" applyFill="1" applyBorder="1" applyAlignment="1">
      <alignment vertical="center"/>
    </xf>
    <xf numFmtId="9" fontId="0" fillId="6" borderId="21" xfId="3" applyNumberFormat="1" applyFont="1" applyFill="1" applyBorder="1" applyAlignment="1">
      <alignment vertical="center"/>
    </xf>
    <xf numFmtId="0" fontId="2" fillId="6" borderId="10" xfId="2" applyFont="1" applyFill="1" applyBorder="1" applyAlignment="1">
      <alignment horizontal="center" vertical="center" wrapText="1"/>
    </xf>
    <xf numFmtId="0" fontId="2" fillId="0" borderId="8" xfId="2" quotePrefix="1" applyFont="1" applyBorder="1" applyAlignment="1">
      <alignment horizontal="center" vertical="center" wrapText="1"/>
    </xf>
    <xf numFmtId="3" fontId="2" fillId="0" borderId="17" xfId="2" quotePrefix="1" applyNumberFormat="1" applyFill="1" applyBorder="1" applyAlignment="1">
      <alignment vertical="center"/>
    </xf>
    <xf numFmtId="0" fontId="0" fillId="10" borderId="0" xfId="0" applyFill="1"/>
    <xf numFmtId="3" fontId="0" fillId="10" borderId="0" xfId="0" applyNumberFormat="1" applyFill="1"/>
    <xf numFmtId="3" fontId="0" fillId="12" borderId="0" xfId="0" applyNumberFormat="1" applyFill="1"/>
    <xf numFmtId="1" fontId="0" fillId="0" borderId="0" xfId="0" applyNumberFormat="1" applyFill="1" applyAlignment="1">
      <alignment horizontal="center" vertical="center" wrapText="1"/>
    </xf>
    <xf numFmtId="166" fontId="0" fillId="0" borderId="0" xfId="1" applyNumberFormat="1" applyFont="1"/>
    <xf numFmtId="166" fontId="0" fillId="2" borderId="0" xfId="1" applyNumberFormat="1" applyFont="1" applyFill="1" applyAlignment="1"/>
    <xf numFmtId="166" fontId="0" fillId="2" borderId="0" xfId="1" applyNumberFormat="1" applyFont="1" applyFill="1" applyAlignment="1">
      <alignment horizontal="center" vertical="center" wrapText="1"/>
    </xf>
    <xf numFmtId="166" fontId="0" fillId="2" borderId="0" xfId="1" applyNumberFormat="1" applyFont="1" applyFill="1"/>
    <xf numFmtId="166" fontId="0" fillId="3" borderId="0" xfId="1" applyNumberFormat="1" applyFont="1" applyFill="1"/>
    <xf numFmtId="166" fontId="0" fillId="10" borderId="0" xfId="1" applyNumberFormat="1" applyFont="1" applyFill="1"/>
    <xf numFmtId="166" fontId="0" fillId="12" borderId="0" xfId="1" applyNumberFormat="1" applyFont="1" applyFill="1"/>
    <xf numFmtId="0" fontId="9" fillId="9" borderId="0" xfId="2" applyFont="1" applyFill="1" applyAlignment="1">
      <alignment horizontal="center" vertical="center" wrapText="1"/>
    </xf>
    <xf numFmtId="0" fontId="31" fillId="0" borderId="0" xfId="0" applyFont="1"/>
    <xf numFmtId="0" fontId="30" fillId="0" borderId="0" xfId="2" applyFont="1"/>
    <xf numFmtId="3" fontId="30" fillId="0" borderId="0" xfId="2" applyNumberFormat="1" applyFont="1"/>
    <xf numFmtId="2" fontId="0" fillId="0" borderId="0" xfId="0" applyNumberFormat="1"/>
    <xf numFmtId="0" fontId="15" fillId="0" borderId="0" xfId="0" applyFont="1" applyAlignment="1">
      <alignment horizontal="center" vertical="center"/>
    </xf>
    <xf numFmtId="0" fontId="15" fillId="0" borderId="0" xfId="0" applyFont="1" applyAlignment="1">
      <alignment vertical="center"/>
    </xf>
    <xf numFmtId="0" fontId="0" fillId="0" borderId="1" xfId="0" applyBorder="1" applyAlignment="1">
      <alignment vertical="center"/>
    </xf>
    <xf numFmtId="167" fontId="0" fillId="0" borderId="0" xfId="0" applyNumberFormat="1"/>
    <xf numFmtId="3" fontId="0" fillId="0" borderId="1" xfId="0" applyNumberFormat="1" applyBorder="1"/>
    <xf numFmtId="9" fontId="0" fillId="0" borderId="1" xfId="1" applyFont="1" applyBorder="1"/>
    <xf numFmtId="0" fontId="15" fillId="0" borderId="0" xfId="0" applyFont="1" applyAlignment="1">
      <alignment horizontal="center" vertical="center" wrapText="1"/>
    </xf>
    <xf numFmtId="2" fontId="15" fillId="0" borderId="0" xfId="0" applyNumberFormat="1" applyFont="1" applyAlignment="1">
      <alignment horizontal="center" vertical="center" wrapText="1"/>
    </xf>
    <xf numFmtId="166" fontId="15" fillId="0" borderId="0" xfId="1" applyNumberFormat="1" applyFont="1" applyAlignment="1">
      <alignment horizontal="center" vertical="center" wrapText="1"/>
    </xf>
    <xf numFmtId="0" fontId="32" fillId="21" borderId="0" xfId="0" applyFont="1" applyFill="1" applyAlignment="1">
      <alignment horizontal="center" vertical="center" wrapText="1"/>
    </xf>
    <xf numFmtId="166" fontId="0" fillId="0" borderId="0" xfId="0" applyNumberFormat="1"/>
    <xf numFmtId="2" fontId="0" fillId="4" borderId="0" xfId="0" applyNumberFormat="1" applyFill="1"/>
    <xf numFmtId="3" fontId="0" fillId="0" borderId="0" xfId="0" applyNumberFormat="1" applyFill="1"/>
    <xf numFmtId="0" fontId="0" fillId="23" borderId="0" xfId="0" applyFill="1"/>
    <xf numFmtId="1" fontId="0" fillId="23" borderId="0" xfId="0" applyNumberFormat="1" applyFill="1"/>
    <xf numFmtId="166" fontId="0" fillId="23" borderId="0" xfId="1" applyNumberFormat="1" applyFont="1" applyFill="1"/>
    <xf numFmtId="2" fontId="0" fillId="23" borderId="0" xfId="0" applyNumberFormat="1" applyFill="1"/>
    <xf numFmtId="166" fontId="0" fillId="23" borderId="0" xfId="0" applyNumberFormat="1" applyFill="1"/>
    <xf numFmtId="3" fontId="0" fillId="23" borderId="0" xfId="0" applyNumberFormat="1" applyFill="1"/>
    <xf numFmtId="3" fontId="0" fillId="24" borderId="0" xfId="0" applyNumberFormat="1" applyFill="1"/>
    <xf numFmtId="0" fontId="15" fillId="16" borderId="0" xfId="0" applyFont="1" applyFill="1" applyAlignment="1">
      <alignment horizontal="center" vertical="center"/>
    </xf>
    <xf numFmtId="3" fontId="15" fillId="2" borderId="0" xfId="0" applyNumberFormat="1" applyFont="1" applyFill="1" applyAlignment="1">
      <alignment horizontal="center" vertical="center"/>
    </xf>
    <xf numFmtId="0" fontId="15" fillId="2" borderId="0" xfId="0" applyFont="1" applyFill="1" applyAlignment="1">
      <alignment horizontal="center" vertical="center"/>
    </xf>
    <xf numFmtId="0" fontId="32" fillId="16" borderId="0" xfId="0" applyFont="1" applyFill="1" applyAlignment="1">
      <alignment horizontal="center" vertical="center" wrapText="1"/>
    </xf>
    <xf numFmtId="1" fontId="0" fillId="9" borderId="0" xfId="0" applyNumberFormat="1" applyFill="1"/>
    <xf numFmtId="0" fontId="0" fillId="25" borderId="0" xfId="0" applyFill="1"/>
    <xf numFmtId="3" fontId="0" fillId="21" borderId="0" xfId="0" applyNumberFormat="1" applyFill="1"/>
    <xf numFmtId="9" fontId="0" fillId="0" borderId="0" xfId="0" applyNumberFormat="1"/>
    <xf numFmtId="0" fontId="0" fillId="0" borderId="1" xfId="0" applyBorder="1" applyAlignment="1">
      <alignment horizontal="right"/>
    </xf>
    <xf numFmtId="9" fontId="0" fillId="0" borderId="0" xfId="1" applyFont="1" applyAlignment="1">
      <alignment horizontal="center" vertical="center"/>
    </xf>
    <xf numFmtId="9" fontId="0" fillId="0" borderId="1" xfId="1" applyFont="1" applyBorder="1" applyAlignment="1">
      <alignment horizontal="center" vertical="center"/>
    </xf>
    <xf numFmtId="0" fontId="15" fillId="22" borderId="1" xfId="0" applyFont="1" applyFill="1" applyBorder="1" applyAlignment="1">
      <alignment horizontal="right" vertical="center"/>
    </xf>
    <xf numFmtId="9" fontId="15" fillId="22" borderId="1" xfId="1" applyFont="1" applyFill="1" applyBorder="1" applyAlignment="1">
      <alignment horizontal="center" vertical="center"/>
    </xf>
    <xf numFmtId="0" fontId="0" fillId="26" borderId="0" xfId="0" applyFill="1"/>
    <xf numFmtId="1" fontId="0" fillId="26" borderId="0" xfId="0" applyNumberFormat="1" applyFill="1"/>
    <xf numFmtId="2" fontId="0" fillId="26" borderId="0" xfId="0" applyNumberFormat="1" applyFill="1"/>
    <xf numFmtId="1" fontId="0" fillId="26" borderId="0" xfId="1" applyNumberFormat="1" applyFont="1" applyFill="1"/>
    <xf numFmtId="3" fontId="0" fillId="0" borderId="0" xfId="0" applyNumberFormat="1" applyAlignment="1">
      <alignment horizontal="center" vertical="center" wrapText="1"/>
    </xf>
    <xf numFmtId="3" fontId="0" fillId="19" borderId="0" xfId="0" applyNumberFormat="1" applyFill="1"/>
    <xf numFmtId="0" fontId="0" fillId="21" borderId="0" xfId="0" applyFill="1"/>
    <xf numFmtId="2" fontId="0" fillId="21" borderId="0" xfId="0" applyNumberFormat="1" applyFill="1"/>
    <xf numFmtId="3" fontId="15" fillId="0" borderId="0" xfId="0" applyNumberFormat="1" applyFont="1" applyAlignment="1">
      <alignment horizontal="center" vertical="center" wrapText="1"/>
    </xf>
    <xf numFmtId="3" fontId="32" fillId="21" borderId="0" xfId="0" applyNumberFormat="1" applyFont="1" applyFill="1" applyAlignment="1">
      <alignment horizontal="center" vertical="center" wrapText="1"/>
    </xf>
    <xf numFmtId="3" fontId="0" fillId="26" borderId="0" xfId="0" applyNumberFormat="1" applyFill="1"/>
    <xf numFmtId="3" fontId="0" fillId="4" borderId="0" xfId="0" applyNumberFormat="1" applyFill="1"/>
    <xf numFmtId="3" fontId="0" fillId="26" borderId="0" xfId="1" applyNumberFormat="1" applyFont="1" applyFill="1"/>
    <xf numFmtId="166" fontId="0" fillId="26" borderId="0" xfId="0" applyNumberFormat="1" applyFill="1"/>
    <xf numFmtId="166" fontId="0" fillId="21" borderId="0" xfId="0" applyNumberFormat="1" applyFill="1"/>
    <xf numFmtId="4" fontId="0" fillId="0" borderId="0" xfId="0" applyNumberFormat="1"/>
    <xf numFmtId="9" fontId="0" fillId="26" borderId="0" xfId="1" applyFont="1" applyFill="1"/>
    <xf numFmtId="3" fontId="0" fillId="16" borderId="0" xfId="0" applyNumberFormat="1" applyFill="1"/>
    <xf numFmtId="0" fontId="0" fillId="16" borderId="0" xfId="0" applyFill="1"/>
    <xf numFmtId="0" fontId="0" fillId="27" borderId="0" xfId="0" applyFill="1"/>
    <xf numFmtId="2" fontId="0" fillId="25" borderId="0" xfId="0" applyNumberFormat="1" applyFill="1"/>
    <xf numFmtId="166" fontId="0" fillId="25" borderId="0" xfId="1" applyNumberFormat="1" applyFont="1" applyFill="1"/>
    <xf numFmtId="166" fontId="0" fillId="25" borderId="0" xfId="0" applyNumberFormat="1" applyFill="1"/>
    <xf numFmtId="9" fontId="2" fillId="0" borderId="0" xfId="1" applyFont="1"/>
    <xf numFmtId="1" fontId="0" fillId="0" borderId="0" xfId="0" applyNumberFormat="1"/>
    <xf numFmtId="0" fontId="0" fillId="0" borderId="0" xfId="1" applyNumberFormat="1" applyFont="1"/>
    <xf numFmtId="1" fontId="0" fillId="21" borderId="0" xfId="0" applyNumberFormat="1" applyFill="1"/>
    <xf numFmtId="10" fontId="0" fillId="21" borderId="0" xfId="1" applyNumberFormat="1" applyFont="1" applyFill="1"/>
    <xf numFmtId="9" fontId="0" fillId="21" borderId="0" xfId="1" applyFont="1" applyFill="1"/>
    <xf numFmtId="9" fontId="2" fillId="0" borderId="0" xfId="2" applyNumberFormat="1"/>
    <xf numFmtId="173" fontId="0" fillId="0" borderId="0" xfId="0" applyNumberFormat="1"/>
    <xf numFmtId="172" fontId="0" fillId="0" borderId="0" xfId="0" applyNumberFormat="1"/>
    <xf numFmtId="173" fontId="2" fillId="0" borderId="0" xfId="2" applyNumberFormat="1"/>
    <xf numFmtId="0" fontId="9" fillId="9" borderId="0" xfId="2" applyFont="1" applyFill="1" applyAlignment="1">
      <alignment horizontal="center" vertical="center" wrapText="1"/>
    </xf>
    <xf numFmtId="0" fontId="3" fillId="12" borderId="0" xfId="2" applyFont="1" applyFill="1" applyAlignment="1">
      <alignment horizontal="left" vertical="center"/>
    </xf>
    <xf numFmtId="0" fontId="3" fillId="0" borderId="2" xfId="2" quotePrefix="1" applyFont="1" applyBorder="1" applyAlignment="1">
      <alignment horizontal="center" vertical="center" wrapText="1"/>
    </xf>
    <xf numFmtId="0" fontId="3" fillId="0" borderId="6" xfId="2" quotePrefix="1" applyFont="1" applyBorder="1" applyAlignment="1">
      <alignment horizontal="center" vertical="center" wrapText="1"/>
    </xf>
    <xf numFmtId="0" fontId="3" fillId="0" borderId="12" xfId="2" quotePrefix="1" applyFont="1" applyBorder="1" applyAlignment="1">
      <alignment horizontal="center" vertical="center" wrapText="1"/>
    </xf>
    <xf numFmtId="0" fontId="6" fillId="0" borderId="3" xfId="2" quotePrefix="1" applyFont="1" applyBorder="1" applyAlignment="1">
      <alignment horizontal="center" vertical="center" wrapText="1"/>
    </xf>
    <xf numFmtId="0" fontId="6" fillId="0" borderId="4" xfId="2" quotePrefix="1" applyFont="1" applyBorder="1" applyAlignment="1">
      <alignment horizontal="center" vertical="center" wrapText="1"/>
    </xf>
    <xf numFmtId="0" fontId="6" fillId="0" borderId="5" xfId="2" quotePrefix="1" applyFont="1" applyBorder="1" applyAlignment="1">
      <alignment horizontal="center" vertical="center" wrapText="1"/>
    </xf>
    <xf numFmtId="0" fontId="2" fillId="0" borderId="7" xfId="2" quotePrefix="1" applyFont="1" applyBorder="1" applyAlignment="1">
      <alignment horizontal="center" vertical="center" wrapText="1"/>
    </xf>
    <xf numFmtId="0" fontId="2" fillId="0" borderId="8" xfId="2" quotePrefix="1" applyFont="1" applyBorder="1" applyAlignment="1">
      <alignment horizontal="center" vertical="center" wrapText="1"/>
    </xf>
    <xf numFmtId="0" fontId="2" fillId="0" borderId="11" xfId="2" quotePrefix="1" applyFont="1" applyFill="1" applyBorder="1" applyAlignment="1">
      <alignment horizontal="center" vertical="center" wrapText="1"/>
    </xf>
    <xf numFmtId="0" fontId="2" fillId="0" borderId="8" xfId="2" quotePrefix="1" applyFont="1" applyFill="1" applyBorder="1" applyAlignment="1">
      <alignment horizontal="center" vertical="center" wrapText="1"/>
    </xf>
    <xf numFmtId="0" fontId="2" fillId="0" borderId="29" xfId="2" applyBorder="1" applyAlignment="1">
      <alignment horizontal="center" vertical="center"/>
    </xf>
    <xf numFmtId="0" fontId="14" fillId="0" borderId="0" xfId="2" applyFont="1" applyAlignment="1">
      <alignment horizontal="left" vertical="center"/>
    </xf>
    <xf numFmtId="0" fontId="2" fillId="0" borderId="1" xfId="2" applyBorder="1" applyAlignment="1">
      <alignment horizontal="left" vertical="center"/>
    </xf>
    <xf numFmtId="0" fontId="22" fillId="0" borderId="19" xfId="0" applyFont="1" applyBorder="1" applyAlignment="1">
      <alignment horizontal="center" vertical="center"/>
    </xf>
    <xf numFmtId="0" fontId="22" fillId="0" borderId="47" xfId="0" applyFont="1" applyBorder="1" applyAlignment="1">
      <alignment horizontal="center" vertical="center"/>
    </xf>
    <xf numFmtId="0" fontId="22" fillId="0" borderId="46" xfId="0" applyFont="1" applyBorder="1" applyAlignment="1">
      <alignment horizontal="center" vertical="center"/>
    </xf>
    <xf numFmtId="0" fontId="2" fillId="10" borderId="0" xfId="2" applyFill="1" applyAlignment="1">
      <alignment horizontal="left" vertical="top" wrapText="1"/>
    </xf>
    <xf numFmtId="0" fontId="16" fillId="0" borderId="5" xfId="2" applyFont="1" applyFill="1" applyBorder="1" applyAlignment="1">
      <alignment horizontal="right"/>
    </xf>
    <xf numFmtId="0" fontId="16" fillId="0" borderId="3" xfId="2" applyFont="1" applyFill="1" applyBorder="1" applyAlignment="1">
      <alignment horizontal="right"/>
    </xf>
    <xf numFmtId="0" fontId="16" fillId="0" borderId="4" xfId="2" applyFont="1" applyFill="1" applyBorder="1" applyAlignment="1">
      <alignment horizontal="right"/>
    </xf>
    <xf numFmtId="0" fontId="3" fillId="0" borderId="5" xfId="2" applyFont="1" applyBorder="1" applyAlignment="1">
      <alignment horizontal="center" vertical="center"/>
    </xf>
    <xf numFmtId="0" fontId="3" fillId="0" borderId="3" xfId="2" applyFont="1" applyBorder="1" applyAlignment="1">
      <alignment horizontal="center" vertical="center"/>
    </xf>
    <xf numFmtId="0" fontId="3" fillId="0" borderId="4" xfId="2" applyFont="1" applyBorder="1" applyAlignment="1">
      <alignment horizontal="center" vertical="center"/>
    </xf>
    <xf numFmtId="0" fontId="30" fillId="0" borderId="0" xfId="2" applyFont="1" applyAlignment="1">
      <alignment horizontal="center"/>
    </xf>
    <xf numFmtId="0" fontId="2" fillId="0" borderId="0" xfId="2" applyBorder="1" applyAlignment="1">
      <alignment horizontal="center" vertical="center" wrapText="1"/>
    </xf>
    <xf numFmtId="0" fontId="8" fillId="7" borderId="0" xfId="2" applyFont="1" applyFill="1" applyAlignment="1">
      <alignment horizontal="center" vertical="center"/>
    </xf>
    <xf numFmtId="0" fontId="8" fillId="13" borderId="0" xfId="2" applyFont="1" applyFill="1" applyAlignment="1">
      <alignment horizontal="center" vertical="center"/>
    </xf>
    <xf numFmtId="0" fontId="2" fillId="0" borderId="25" xfId="2" applyBorder="1" applyAlignment="1">
      <alignment horizontal="center" vertical="center" wrapText="1"/>
    </xf>
    <xf numFmtId="0" fontId="2" fillId="0" borderId="26" xfId="2" applyBorder="1" applyAlignment="1">
      <alignment horizontal="center" vertical="center" wrapText="1"/>
    </xf>
    <xf numFmtId="0" fontId="2" fillId="0" borderId="27" xfId="2" applyBorder="1" applyAlignment="1">
      <alignment horizontal="center" vertical="center" wrapText="1"/>
    </xf>
    <xf numFmtId="0" fontId="2" fillId="0" borderId="28" xfId="2" applyBorder="1" applyAlignment="1">
      <alignment horizontal="center" vertical="center" wrapText="1"/>
    </xf>
    <xf numFmtId="0" fontId="2" fillId="0" borderId="15" xfId="2" applyBorder="1" applyAlignment="1">
      <alignment horizontal="center" vertical="center" wrapText="1"/>
    </xf>
    <xf numFmtId="0" fontId="2" fillId="0" borderId="14" xfId="2" applyBorder="1" applyAlignment="1">
      <alignment horizontal="center" vertical="center" wrapText="1"/>
    </xf>
    <xf numFmtId="0" fontId="30" fillId="0" borderId="0" xfId="2" applyFont="1" applyAlignment="1">
      <alignment horizontal="center" vertical="center" wrapText="1"/>
    </xf>
    <xf numFmtId="0" fontId="17" fillId="9" borderId="0" xfId="2" applyFont="1" applyFill="1" applyAlignment="1">
      <alignment horizontal="center" vertical="center" wrapText="1"/>
    </xf>
    <xf numFmtId="0" fontId="8" fillId="8" borderId="0" xfId="2" applyFont="1" applyFill="1" applyAlignment="1">
      <alignment horizontal="left" vertical="center"/>
    </xf>
    <xf numFmtId="0" fontId="13" fillId="8" borderId="0" xfId="2" applyFont="1" applyFill="1" applyAlignment="1">
      <alignment horizontal="left" vertical="center"/>
    </xf>
    <xf numFmtId="0" fontId="2" fillId="0" borderId="0" xfId="2" applyAlignment="1">
      <alignment horizontal="left"/>
    </xf>
    <xf numFmtId="0" fontId="2" fillId="0" borderId="13" xfId="2" applyFont="1" applyFill="1" applyBorder="1" applyAlignment="1">
      <alignment horizontal="center" vertical="center" wrapText="1"/>
    </xf>
    <xf numFmtId="0" fontId="2" fillId="0" borderId="24" xfId="2" applyFont="1" applyFill="1" applyBorder="1" applyAlignment="1">
      <alignment horizontal="center" vertical="center" wrapText="1"/>
    </xf>
    <xf numFmtId="0" fontId="2" fillId="10" borderId="0" xfId="2" applyFill="1" applyAlignment="1">
      <alignment horizontal="left" vertical="center" wrapText="1"/>
    </xf>
    <xf numFmtId="3" fontId="27" fillId="0" borderId="2" xfId="2" applyNumberFormat="1" applyFont="1" applyBorder="1" applyAlignment="1">
      <alignment horizontal="center" vertical="center" wrapText="1"/>
    </xf>
    <xf numFmtId="3" fontId="27" fillId="0" borderId="6" xfId="2" applyNumberFormat="1" applyFont="1" applyBorder="1" applyAlignment="1">
      <alignment horizontal="center" vertical="center" wrapText="1"/>
    </xf>
    <xf numFmtId="3" fontId="27" fillId="0" borderId="12" xfId="2" applyNumberFormat="1" applyFont="1" applyBorder="1" applyAlignment="1">
      <alignment horizontal="center" vertical="center" wrapText="1"/>
    </xf>
    <xf numFmtId="0" fontId="22" fillId="0" borderId="1" xfId="0" applyFont="1" applyBorder="1" applyAlignment="1">
      <alignment horizontal="center" vertical="center"/>
    </xf>
    <xf numFmtId="0" fontId="25" fillId="12" borderId="37" xfId="2" applyFont="1" applyFill="1" applyBorder="1" applyAlignment="1">
      <alignment horizontal="left" vertical="center"/>
    </xf>
    <xf numFmtId="0" fontId="25" fillId="12" borderId="38" xfId="2" applyFont="1" applyFill="1" applyBorder="1" applyAlignment="1">
      <alignment horizontal="left" vertical="center"/>
    </xf>
    <xf numFmtId="0" fontId="2" fillId="0" borderId="1" xfId="2" applyBorder="1" applyAlignment="1">
      <alignment horizontal="center"/>
    </xf>
    <xf numFmtId="0" fontId="27" fillId="0" borderId="0" xfId="2" applyFont="1" applyFill="1" applyAlignment="1">
      <alignment horizontal="left" vertical="center" wrapText="1"/>
    </xf>
    <xf numFmtId="0" fontId="10" fillId="0" borderId="0" xfId="2" applyFont="1" applyBorder="1" applyAlignment="1">
      <alignment horizontal="center" vertical="center" wrapText="1"/>
    </xf>
    <xf numFmtId="0" fontId="26" fillId="0" borderId="0" xfId="2" applyFont="1" applyBorder="1" applyAlignment="1">
      <alignment horizontal="center" vertical="center" wrapText="1"/>
    </xf>
    <xf numFmtId="0" fontId="2" fillId="0" borderId="43" xfId="2" applyBorder="1" applyAlignment="1">
      <alignment horizontal="center" vertical="center" wrapText="1"/>
    </xf>
    <xf numFmtId="0" fontId="2" fillId="0" borderId="44" xfId="2" applyBorder="1" applyAlignment="1">
      <alignment horizontal="center" vertical="center" wrapText="1"/>
    </xf>
    <xf numFmtId="3" fontId="34" fillId="0" borderId="5" xfId="0" applyNumberFormat="1" applyFont="1" applyBorder="1" applyAlignment="1">
      <alignment horizontal="center" vertical="center"/>
    </xf>
    <xf numFmtId="3" fontId="34" fillId="0" borderId="3" xfId="0" applyNumberFormat="1" applyFont="1" applyBorder="1" applyAlignment="1">
      <alignment horizontal="center" vertical="center"/>
    </xf>
    <xf numFmtId="3" fontId="34" fillId="0" borderId="4" xfId="0" applyNumberFormat="1" applyFont="1" applyBorder="1" applyAlignment="1">
      <alignment horizontal="center" vertical="center"/>
    </xf>
    <xf numFmtId="0" fontId="34" fillId="0" borderId="5" xfId="0" applyFont="1" applyBorder="1" applyAlignment="1">
      <alignment horizontal="center" vertical="center"/>
    </xf>
    <xf numFmtId="0" fontId="34" fillId="0" borderId="3" xfId="0" applyFont="1" applyBorder="1" applyAlignment="1">
      <alignment horizontal="center" vertical="center"/>
    </xf>
    <xf numFmtId="0" fontId="34" fillId="0" borderId="4" xfId="0" applyFont="1" applyBorder="1" applyAlignment="1">
      <alignment horizontal="center" vertical="center"/>
    </xf>
    <xf numFmtId="0" fontId="15" fillId="0" borderId="1" xfId="0" applyFont="1" applyBorder="1" applyAlignment="1">
      <alignment horizontal="center" vertical="center"/>
    </xf>
    <xf numFmtId="0" fontId="0" fillId="0" borderId="0" xfId="0" applyAlignment="1">
      <alignment horizontal="center"/>
    </xf>
    <xf numFmtId="3" fontId="0" fillId="21" borderId="0" xfId="0" applyNumberFormat="1" applyFont="1" applyFill="1"/>
  </cellXfs>
  <cellStyles count="9">
    <cellStyle name="Commentaire" xfId="4" xr:uid="{E74242CF-2736-4CB3-9F03-AFEB280E87FC}"/>
    <cellStyle name="Normal" xfId="0" builtinId="0"/>
    <cellStyle name="Normal 2" xfId="2" xr:uid="{00000000-0005-0000-0000-000001000000}"/>
    <cellStyle name="Normal 2 2" xfId="5" xr:uid="{A8ED88EC-F4E2-4614-B635-BF56D38F2B56}"/>
    <cellStyle name="Normal 2 2 2" xfId="8" xr:uid="{04510433-3D95-47C3-8D12-068F2F8A66FD}"/>
    <cellStyle name="Normal 3" xfId="6" xr:uid="{C8416342-D7A7-4B8A-9F89-45B61E9163CA}"/>
    <cellStyle name="Pourcentage" xfId="1" builtinId="5"/>
    <cellStyle name="Pourcentage 2" xfId="3" xr:uid="{00000000-0005-0000-0000-000003000000}"/>
    <cellStyle name="Pourcentage 2 2" xfId="7" xr:uid="{8C037CBB-7B50-4CF2-B109-C7580C655413}"/>
  </cellStyles>
  <dxfs count="23">
    <dxf>
      <font>
        <color rgb="FF006100"/>
      </font>
      <fill>
        <patternFill>
          <bgColor rgb="FFC6EFCE"/>
        </patternFill>
      </fill>
    </dxf>
    <dxf>
      <font>
        <color rgb="FF006100"/>
      </font>
      <fill>
        <patternFill>
          <bgColor rgb="FFC6EFCE"/>
        </patternFill>
      </fill>
    </dxf>
    <dxf>
      <font>
        <b/>
        <i val="0"/>
        <color theme="0"/>
      </font>
      <fill>
        <patternFill>
          <bgColor theme="3" tint="0.39994506668294322"/>
        </patternFill>
      </fill>
    </dxf>
    <dxf>
      <font>
        <b/>
        <i val="0"/>
        <color theme="0"/>
      </font>
      <fill>
        <patternFill>
          <bgColor theme="3"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9" tint="-0.24994659260841701"/>
        </patternFill>
      </fill>
    </dxf>
    <dxf>
      <fill>
        <patternFill>
          <bgColor theme="7" tint="0.79998168889431442"/>
        </patternFill>
      </fill>
    </dxf>
    <dxf>
      <font>
        <color theme="0"/>
      </font>
    </dxf>
    <dxf>
      <font>
        <color theme="0"/>
      </font>
    </dxf>
    <dxf>
      <font>
        <b/>
        <i val="0"/>
        <color theme="0"/>
      </font>
      <fill>
        <patternFill>
          <bgColor theme="3"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8497B0"/>
      <color rgb="FF002060"/>
      <color rgb="FF5B9BD5"/>
      <color rgb="FFED7D31"/>
      <color rgb="FF9999FF"/>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Valeur ajoutée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'Tableaux de bord'!$G$12</c:f>
              <c:strCache>
                <c:ptCount val="1"/>
                <c:pt idx="0">
                  <c:v>Valeur ajoutée créée (k€)</c:v>
                </c:pt>
              </c:strCache>
            </c:strRef>
          </c:tx>
          <c:spPr>
            <a:solidFill>
              <a:srgbClr val="002060"/>
            </a:solidFill>
            <a:ln>
              <a:noFill/>
            </a:ln>
            <a:effectLst/>
          </c:spPr>
          <c:invertIfNegative val="0"/>
          <c:cat>
            <c:numRef>
              <c:f>'Tableaux de bord'!$F$13:$F$17</c:f>
              <c:numCache>
                <c:formatCode>General</c:formatCode>
                <c:ptCount val="5"/>
                <c:pt idx="0">
                  <c:v>2016</c:v>
                </c:pt>
                <c:pt idx="1">
                  <c:v>2017</c:v>
                </c:pt>
                <c:pt idx="2">
                  <c:v>2018</c:v>
                </c:pt>
                <c:pt idx="3">
                  <c:v>2019</c:v>
                </c:pt>
                <c:pt idx="4">
                  <c:v>2020</c:v>
                </c:pt>
              </c:numCache>
            </c:numRef>
          </c:cat>
          <c:val>
            <c:numRef>
              <c:f>'Tableaux de bord'!$G$13:$G$17</c:f>
              <c:numCache>
                <c:formatCode>#,##0</c:formatCode>
                <c:ptCount val="5"/>
                <c:pt idx="0">
                  <c:v>1053600.1619200001</c:v>
                </c:pt>
                <c:pt idx="1">
                  <c:v>1092897.230465204</c:v>
                </c:pt>
                <c:pt idx="2">
                  <c:v>1042629.4789715286</c:v>
                </c:pt>
                <c:pt idx="3">
                  <c:v>1060186.7465818564</c:v>
                </c:pt>
                <c:pt idx="4">
                  <c:v>935186.01744964533</c:v>
                </c:pt>
              </c:numCache>
            </c:numRef>
          </c:val>
          <c:extLst>
            <c:ext xmlns:c16="http://schemas.microsoft.com/office/drawing/2014/chart" uri="{C3380CC4-5D6E-409C-BE32-E72D297353CC}">
              <c16:uniqueId val="{00000000-1538-4412-8251-158A13C611B8}"/>
            </c:ext>
          </c:extLst>
        </c:ser>
        <c:dLbls>
          <c:showLegendKey val="0"/>
          <c:showVal val="0"/>
          <c:showCatName val="0"/>
          <c:showSerName val="0"/>
          <c:showPercent val="0"/>
          <c:showBubbleSize val="0"/>
        </c:dLbls>
        <c:gapWidth val="219"/>
        <c:overlap val="-27"/>
        <c:axId val="385239176"/>
        <c:axId val="385244272"/>
      </c:barChart>
      <c:lineChart>
        <c:grouping val="standard"/>
        <c:varyColors val="0"/>
        <c:ser>
          <c:idx val="1"/>
          <c:order val="1"/>
          <c:tx>
            <c:strRef>
              <c:f>'Tableaux de bord'!$H$12</c:f>
              <c:strCache>
                <c:ptCount val="1"/>
                <c:pt idx="0">
                  <c:v>Part dans l'activité de Production et transformation de produits bois (%)</c:v>
                </c:pt>
              </c:strCache>
            </c:strRef>
          </c:tx>
          <c:spPr>
            <a:ln w="28575" cap="rnd">
              <a:solidFill>
                <a:schemeClr val="accent2"/>
              </a:solidFill>
              <a:round/>
            </a:ln>
            <a:effectLst/>
          </c:spPr>
          <c:marker>
            <c:symbol val="none"/>
          </c:marker>
          <c:cat>
            <c:numRef>
              <c:f>'Tableaux de bord'!$F$13:$F$17</c:f>
              <c:numCache>
                <c:formatCode>General</c:formatCode>
                <c:ptCount val="5"/>
                <c:pt idx="0">
                  <c:v>2016</c:v>
                </c:pt>
                <c:pt idx="1">
                  <c:v>2017</c:v>
                </c:pt>
                <c:pt idx="2">
                  <c:v>2018</c:v>
                </c:pt>
                <c:pt idx="3">
                  <c:v>2019</c:v>
                </c:pt>
                <c:pt idx="4">
                  <c:v>2020</c:v>
                </c:pt>
              </c:numCache>
            </c:numRef>
          </c:cat>
          <c:val>
            <c:numRef>
              <c:f>'Tableaux de bord'!$H$13:$H$17</c:f>
              <c:numCache>
                <c:formatCode>0.0%</c:formatCode>
                <c:ptCount val="5"/>
                <c:pt idx="0">
                  <c:v>9.3808833507595113E-2</c:v>
                </c:pt>
                <c:pt idx="1">
                  <c:v>9.4186458199944437E-2</c:v>
                </c:pt>
                <c:pt idx="2">
                  <c:v>8.8761828215359009E-2</c:v>
                </c:pt>
                <c:pt idx="3">
                  <c:v>8.9870561389141762E-2</c:v>
                </c:pt>
                <c:pt idx="4">
                  <c:v>8.4338074350100309E-2</c:v>
                </c:pt>
              </c:numCache>
            </c:numRef>
          </c:val>
          <c:smooth val="0"/>
          <c:extLst>
            <c:ext xmlns:c16="http://schemas.microsoft.com/office/drawing/2014/chart" uri="{C3380CC4-5D6E-409C-BE32-E72D297353CC}">
              <c16:uniqueId val="{00000001-1538-4412-8251-158A13C611B8}"/>
            </c:ext>
          </c:extLst>
        </c:ser>
        <c:dLbls>
          <c:showLegendKey val="0"/>
          <c:showVal val="0"/>
          <c:showCatName val="0"/>
          <c:showSerName val="0"/>
          <c:showPercent val="0"/>
          <c:showBubbleSize val="0"/>
        </c:dLbls>
        <c:marker val="1"/>
        <c:smooth val="0"/>
        <c:axId val="385245840"/>
        <c:axId val="385244664"/>
      </c:lineChart>
      <c:catAx>
        <c:axId val="385239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44272"/>
        <c:crosses val="autoZero"/>
        <c:auto val="1"/>
        <c:lblAlgn val="ctr"/>
        <c:lblOffset val="100"/>
        <c:noMultiLvlLbl val="0"/>
      </c:catAx>
      <c:valAx>
        <c:axId val="3852442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lumMod val="50000"/>
                  </a:schemeClr>
                </a:solidFill>
                <a:latin typeface="+mn-lt"/>
                <a:ea typeface="+mn-ea"/>
                <a:cs typeface="+mn-cs"/>
              </a:defRPr>
            </a:pPr>
            <a:endParaRPr lang="fr-FR"/>
          </a:p>
        </c:txPr>
        <c:crossAx val="385239176"/>
        <c:crosses val="autoZero"/>
        <c:crossBetween val="between"/>
      </c:valAx>
      <c:valAx>
        <c:axId val="385244664"/>
        <c:scaling>
          <c:orientation val="minMax"/>
          <c:min val="0"/>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2"/>
                </a:solidFill>
                <a:latin typeface="+mn-lt"/>
                <a:ea typeface="+mn-ea"/>
                <a:cs typeface="+mn-cs"/>
              </a:defRPr>
            </a:pPr>
            <a:endParaRPr lang="fr-FR"/>
          </a:p>
        </c:txPr>
        <c:crossAx val="385245840"/>
        <c:crosses val="max"/>
        <c:crossBetween val="between"/>
      </c:valAx>
      <c:catAx>
        <c:axId val="385245840"/>
        <c:scaling>
          <c:orientation val="minMax"/>
        </c:scaling>
        <c:delete val="1"/>
        <c:axPos val="b"/>
        <c:numFmt formatCode="General" sourceLinked="1"/>
        <c:majorTickMark val="none"/>
        <c:minorTickMark val="none"/>
        <c:tickLblPos val="nextTo"/>
        <c:crossAx val="3852446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u="none" strike="noStrike" baseline="0">
                <a:effectLst/>
              </a:rPr>
              <a:t>Destinations de la production </a:t>
            </a:r>
            <a:endParaRPr lang="fr-FR"/>
          </a:p>
        </c:rich>
      </c:tx>
      <c:overlay val="0"/>
      <c:spPr>
        <a:noFill/>
        <a:ln>
          <a:solidFill>
            <a:schemeClr val="accent1">
              <a:shade val="50000"/>
            </a:schemeClr>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'Tableaux de bord'!$R$130</c:f>
              <c:strCache>
                <c:ptCount val="1"/>
                <c:pt idx="0">
                  <c:v>Production française</c:v>
                </c:pt>
              </c:strCache>
            </c:strRef>
          </c:tx>
          <c:spPr>
            <a:solidFill>
              <a:schemeClr val="accent1"/>
            </a:solidFill>
            <a:ln>
              <a:noFill/>
            </a:ln>
            <a:effectLst/>
          </c:spPr>
          <c:invertIfNegative val="0"/>
          <c:cat>
            <c:strRef>
              <c:f>'Tableaux de bord'!$M$131:$M$189</c:f>
              <c:strCache>
                <c:ptCount val="59"/>
                <c:pt idx="0">
                  <c:v>Consommation finale</c:v>
                </c:pt>
                <c:pt idx="1">
                  <c:v>Exportation</c:v>
                </c:pt>
                <c:pt idx="2">
                  <c:v>01 - Plants de pépinière</c:v>
                </c:pt>
                <c:pt idx="3">
                  <c:v>02 - Grumes et billons destinés au sciage, placage ou déroulage</c:v>
                </c:pt>
                <c:pt idx="4">
                  <c:v>03 - Bois destinés à l'industrie</c:v>
                </c:pt>
                <c:pt idx="5">
                  <c:v>04 - Bois destinés à l’énergie</c:v>
                </c:pt>
                <c:pt idx="6">
                  <c:v>05 - Travaux d'exploitation de bois et de sylviculture</c:v>
                </c:pt>
                <c:pt idx="7">
                  <c:v>06 - Services des coopératives forestières</c:v>
                </c:pt>
                <c:pt idx="8">
                  <c:v>07 - Textiles à base de bois</c:v>
                </c:pt>
                <c:pt idx="9">
                  <c:v>08 - Sciages bruts de Chêne</c:v>
                </c:pt>
                <c:pt idx="10">
                  <c:v>09 - Sciages bruts de Hêtre</c:v>
                </c:pt>
                <c:pt idx="11">
                  <c:v>10 - Sciages bruts d'autres feuillus tempérés</c:v>
                </c:pt>
                <c:pt idx="12">
                  <c:v>11 - Sciages de feuillus tropicaux</c:v>
                </c:pt>
                <c:pt idx="13">
                  <c:v>12 - Sciages bruts de sapin-épicéa</c:v>
                </c:pt>
                <c:pt idx="14">
                  <c:v>13 - Sciages bruts de Douglas</c:v>
                </c:pt>
                <c:pt idx="15">
                  <c:v>14 - Sciages bruts d'autres résineux</c:v>
                </c:pt>
                <c:pt idx="16">
                  <c:v>15 - Sciages bruts de Pin maritime</c:v>
                </c:pt>
                <c:pt idx="17">
                  <c:v>16 - Merrains</c:v>
                </c:pt>
                <c:pt idx="18">
                  <c:v>17 - Autres types de sciages</c:v>
                </c:pt>
                <c:pt idx="19">
                  <c:v>18 - Produits connexes du sciage destinés à la trituration</c:v>
                </c:pt>
                <c:pt idx="20">
                  <c:v>19 - Produits connexes du sciage non destinés à la trituration</c:v>
                </c:pt>
                <c:pt idx="21">
                  <c:v>20 - Produits rabotés</c:v>
                </c:pt>
                <c:pt idx="22">
                  <c:v>20b - Produits collés</c:v>
                </c:pt>
                <c:pt idx="23">
                  <c:v>29 - Produits imprégnés (bruts, sciés ou rabotés)</c:v>
                </c:pt>
                <c:pt idx="24">
                  <c:v>30 - Combustibles industriels à base de bois</c:v>
                </c:pt>
                <c:pt idx="25">
                  <c:v>31 - Placages et panneaux à base de bois</c:v>
                </c:pt>
                <c:pt idx="26">
                  <c:v>32 - Produits finis à base de panneaux (plinthes, profilés de menuiserie…) </c:v>
                </c:pt>
                <c:pt idx="27">
                  <c:v>33 - Parquets contrecollés</c:v>
                </c:pt>
                <c:pt idx="28">
                  <c:v>34 - Charpentes</c:v>
                </c:pt>
                <c:pt idx="29">
                  <c:v>35 - Menuiseries extérieures</c:v>
                </c:pt>
                <c:pt idx="30">
                  <c:v>36 - Menuiseries intérieures</c:v>
                </c:pt>
                <c:pt idx="31">
                  <c:v>37 - Emballages en bois (palette, ...)</c:v>
                </c:pt>
                <c:pt idx="32">
                  <c:v>38 - Futailles</c:v>
                </c:pt>
                <c:pt idx="33">
                  <c:v>39 - Coffrages pour le bétonnage, bardeaux en bois</c:v>
                </c:pt>
                <c:pt idx="34">
                  <c:v>40 - Produits en bois pour aménagement extérieur</c:v>
                </c:pt>
                <c:pt idx="35">
                  <c:v>41 - Objets divers en bois</c:v>
                </c:pt>
                <c:pt idx="36">
                  <c:v>42 - Objets en liège</c:v>
                </c:pt>
                <c:pt idx="37">
                  <c:v>43 - Pâte à papier</c:v>
                </c:pt>
                <c:pt idx="38">
                  <c:v>44 - Papier et carton</c:v>
                </c:pt>
                <c:pt idx="39">
                  <c:v>45 - Articles en papier ou en carton</c:v>
                </c:pt>
                <c:pt idx="40">
                  <c:v>46 - Produits de la chimie du bois</c:v>
                </c:pt>
                <c:pt idx="41">
                  <c:v>47 - Meubles à base de bois</c:v>
                </c:pt>
                <c:pt idx="42">
                  <c:v>48 - Autres produits manufacturiés (instruments de musique, jeux et jouets…)</c:v>
                </c:pt>
                <c:pt idx="43">
                  <c:v>49 - Electricité et chaleur issues de la combustion de bois</c:v>
                </c:pt>
                <c:pt idx="44">
                  <c:v>50 - Bois recyclés</c:v>
                </c:pt>
                <c:pt idx="45">
                  <c:v>51 - Promotion immobilière de bâtiments et ouvrages en bois</c:v>
                </c:pt>
                <c:pt idx="46">
                  <c:v>52 - Génie civil</c:v>
                </c:pt>
                <c:pt idx="47">
                  <c:v>53 - Travaux d'isolation</c:v>
                </c:pt>
                <c:pt idx="48">
                  <c:v>54 - Travaux de menuiserie bois</c:v>
                </c:pt>
                <c:pt idx="49">
                  <c:v>55 - Agencement de lieux de vente</c:v>
                </c:pt>
                <c:pt idx="50">
                  <c:v>56 - Travaux de revêtement des sols et des murs</c:v>
                </c:pt>
                <c:pt idx="51">
                  <c:v>57 - Travaux de charpente</c:v>
                </c:pt>
                <c:pt idx="52">
                  <c:v>58 - Travaux de couverture par éléments</c:v>
                </c:pt>
                <c:pt idx="53">
                  <c:v>59 - Travaux de maçonnerie générale et gros œuvre de bâtiment</c:v>
                </c:pt>
                <c:pt idx="54">
                  <c:v>60 - Travaux d'installation de chauffage au bois</c:v>
                </c:pt>
                <c:pt idx="55">
                  <c:v>61 - Commerce de gros de produits bois</c:v>
                </c:pt>
                <c:pt idx="56">
                  <c:v>62 - Commerce de détail de produits bois</c:v>
                </c:pt>
                <c:pt idx="57">
                  <c:v>63 - Transports de bois à partir de la forêt</c:v>
                </c:pt>
                <c:pt idx="58">
                  <c:v>64 - Divers services de support à la filière</c:v>
                </c:pt>
              </c:strCache>
            </c:strRef>
          </c:cat>
          <c:val>
            <c:numRef>
              <c:f>'Tableaux de bord'!$R$131:$R$189</c:f>
              <c:numCache>
                <c:formatCode>#,##0</c:formatCode>
                <c:ptCount val="59"/>
                <c:pt idx="0">
                  <c:v>1756646.9673718275</c:v>
                </c:pt>
                <c:pt idx="1">
                  <c:v>745389.98527900188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1677.0426994691898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11007.099159275604</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7EE-42D7-A87E-AB3DDAEDAB17}"/>
            </c:ext>
          </c:extLst>
        </c:ser>
        <c:ser>
          <c:idx val="1"/>
          <c:order val="1"/>
          <c:tx>
            <c:strRef>
              <c:f>'Tableaux de bord'!$S$130</c:f>
              <c:strCache>
                <c:ptCount val="1"/>
                <c:pt idx="0">
                  <c:v>Importation</c:v>
                </c:pt>
              </c:strCache>
            </c:strRef>
          </c:tx>
          <c:spPr>
            <a:solidFill>
              <a:schemeClr val="accent2"/>
            </a:solidFill>
            <a:ln>
              <a:noFill/>
            </a:ln>
            <a:effectLst/>
          </c:spPr>
          <c:invertIfNegative val="0"/>
          <c:cat>
            <c:strRef>
              <c:f>'Tableaux de bord'!$M$131:$M$189</c:f>
              <c:strCache>
                <c:ptCount val="59"/>
                <c:pt idx="0">
                  <c:v>Consommation finale</c:v>
                </c:pt>
                <c:pt idx="1">
                  <c:v>Exportation</c:v>
                </c:pt>
                <c:pt idx="2">
                  <c:v>01 - Plants de pépinière</c:v>
                </c:pt>
                <c:pt idx="3">
                  <c:v>02 - Grumes et billons destinés au sciage, placage ou déroulage</c:v>
                </c:pt>
                <c:pt idx="4">
                  <c:v>03 - Bois destinés à l'industrie</c:v>
                </c:pt>
                <c:pt idx="5">
                  <c:v>04 - Bois destinés à l’énergie</c:v>
                </c:pt>
                <c:pt idx="6">
                  <c:v>05 - Travaux d'exploitation de bois et de sylviculture</c:v>
                </c:pt>
                <c:pt idx="7">
                  <c:v>06 - Services des coopératives forestières</c:v>
                </c:pt>
                <c:pt idx="8">
                  <c:v>07 - Textiles à base de bois</c:v>
                </c:pt>
                <c:pt idx="9">
                  <c:v>08 - Sciages bruts de Chêne</c:v>
                </c:pt>
                <c:pt idx="10">
                  <c:v>09 - Sciages bruts de Hêtre</c:v>
                </c:pt>
                <c:pt idx="11">
                  <c:v>10 - Sciages bruts d'autres feuillus tempérés</c:v>
                </c:pt>
                <c:pt idx="12">
                  <c:v>11 - Sciages de feuillus tropicaux</c:v>
                </c:pt>
                <c:pt idx="13">
                  <c:v>12 - Sciages bruts de sapin-épicéa</c:v>
                </c:pt>
                <c:pt idx="14">
                  <c:v>13 - Sciages bruts de Douglas</c:v>
                </c:pt>
                <c:pt idx="15">
                  <c:v>14 - Sciages bruts d'autres résineux</c:v>
                </c:pt>
                <c:pt idx="16">
                  <c:v>15 - Sciages bruts de Pin maritime</c:v>
                </c:pt>
                <c:pt idx="17">
                  <c:v>16 - Merrains</c:v>
                </c:pt>
                <c:pt idx="18">
                  <c:v>17 - Autres types de sciages</c:v>
                </c:pt>
                <c:pt idx="19">
                  <c:v>18 - Produits connexes du sciage destinés à la trituration</c:v>
                </c:pt>
                <c:pt idx="20">
                  <c:v>19 - Produits connexes du sciage non destinés à la trituration</c:v>
                </c:pt>
                <c:pt idx="21">
                  <c:v>20 - Produits rabotés</c:v>
                </c:pt>
                <c:pt idx="22">
                  <c:v>20b - Produits collés</c:v>
                </c:pt>
                <c:pt idx="23">
                  <c:v>29 - Produits imprégnés (bruts, sciés ou rabotés)</c:v>
                </c:pt>
                <c:pt idx="24">
                  <c:v>30 - Combustibles industriels à base de bois</c:v>
                </c:pt>
                <c:pt idx="25">
                  <c:v>31 - Placages et panneaux à base de bois</c:v>
                </c:pt>
                <c:pt idx="26">
                  <c:v>32 - Produits finis à base de panneaux (plinthes, profilés de menuiserie…) </c:v>
                </c:pt>
                <c:pt idx="27">
                  <c:v>33 - Parquets contrecollés</c:v>
                </c:pt>
                <c:pt idx="28">
                  <c:v>34 - Charpentes</c:v>
                </c:pt>
                <c:pt idx="29">
                  <c:v>35 - Menuiseries extérieures</c:v>
                </c:pt>
                <c:pt idx="30">
                  <c:v>36 - Menuiseries intérieures</c:v>
                </c:pt>
                <c:pt idx="31">
                  <c:v>37 - Emballages en bois (palette, ...)</c:v>
                </c:pt>
                <c:pt idx="32">
                  <c:v>38 - Futailles</c:v>
                </c:pt>
                <c:pt idx="33">
                  <c:v>39 - Coffrages pour le bétonnage, bardeaux en bois</c:v>
                </c:pt>
                <c:pt idx="34">
                  <c:v>40 - Produits en bois pour aménagement extérieur</c:v>
                </c:pt>
                <c:pt idx="35">
                  <c:v>41 - Objets divers en bois</c:v>
                </c:pt>
                <c:pt idx="36">
                  <c:v>42 - Objets en liège</c:v>
                </c:pt>
                <c:pt idx="37">
                  <c:v>43 - Pâte à papier</c:v>
                </c:pt>
                <c:pt idx="38">
                  <c:v>44 - Papier et carton</c:v>
                </c:pt>
                <c:pt idx="39">
                  <c:v>45 - Articles en papier ou en carton</c:v>
                </c:pt>
                <c:pt idx="40">
                  <c:v>46 - Produits de la chimie du bois</c:v>
                </c:pt>
                <c:pt idx="41">
                  <c:v>47 - Meubles à base de bois</c:v>
                </c:pt>
                <c:pt idx="42">
                  <c:v>48 - Autres produits manufacturiés (instruments de musique, jeux et jouets…)</c:v>
                </c:pt>
                <c:pt idx="43">
                  <c:v>49 - Electricité et chaleur issues de la combustion de bois</c:v>
                </c:pt>
                <c:pt idx="44">
                  <c:v>50 - Bois recyclés</c:v>
                </c:pt>
                <c:pt idx="45">
                  <c:v>51 - Promotion immobilière de bâtiments et ouvrages en bois</c:v>
                </c:pt>
                <c:pt idx="46">
                  <c:v>52 - Génie civil</c:v>
                </c:pt>
                <c:pt idx="47">
                  <c:v>53 - Travaux d'isolation</c:v>
                </c:pt>
                <c:pt idx="48">
                  <c:v>54 - Travaux de menuiserie bois</c:v>
                </c:pt>
                <c:pt idx="49">
                  <c:v>55 - Agencement de lieux de vente</c:v>
                </c:pt>
                <c:pt idx="50">
                  <c:v>56 - Travaux de revêtement des sols et des murs</c:v>
                </c:pt>
                <c:pt idx="51">
                  <c:v>57 - Travaux de charpente</c:v>
                </c:pt>
                <c:pt idx="52">
                  <c:v>58 - Travaux de couverture par éléments</c:v>
                </c:pt>
                <c:pt idx="53">
                  <c:v>59 - Travaux de maçonnerie générale et gros œuvre de bâtiment</c:v>
                </c:pt>
                <c:pt idx="54">
                  <c:v>60 - Travaux d'installation de chauffage au bois</c:v>
                </c:pt>
                <c:pt idx="55">
                  <c:v>61 - Commerce de gros de produits bois</c:v>
                </c:pt>
                <c:pt idx="56">
                  <c:v>62 - Commerce de détail de produits bois</c:v>
                </c:pt>
                <c:pt idx="57">
                  <c:v>63 - Transports de bois à partir de la forêt</c:v>
                </c:pt>
                <c:pt idx="58">
                  <c:v>64 - Divers services de support à la filière</c:v>
                </c:pt>
              </c:strCache>
            </c:strRef>
          </c:cat>
          <c:val>
            <c:numRef>
              <c:f>'Tableaux de bord'!$S$131:$S$189</c:f>
              <c:numCache>
                <c:formatCode>General</c:formatCode>
                <c:ptCount val="59"/>
                <c:pt idx="0" formatCode="#,##0">
                  <c:v>3950023.6547021815</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3473.1897307722002</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formatCode="#,##0">
                  <c:v>0</c:v>
                </c:pt>
                <c:pt idx="43" formatCode="#,##0">
                  <c:v>0</c:v>
                </c:pt>
                <c:pt idx="44" formatCode="#,##0">
                  <c:v>0</c:v>
                </c:pt>
                <c:pt idx="45" formatCode="#,##0">
                  <c:v>0</c:v>
                </c:pt>
                <c:pt idx="46" formatCode="#,##0">
                  <c:v>0</c:v>
                </c:pt>
                <c:pt idx="47" formatCode="#,##0">
                  <c:v>0</c:v>
                </c:pt>
                <c:pt idx="48" formatCode="#,##0">
                  <c:v>0</c:v>
                </c:pt>
                <c:pt idx="49" formatCode="#,##0">
                  <c:v>34829.173057476197</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numCache>
            </c:numRef>
          </c:val>
          <c:extLst>
            <c:ext xmlns:c16="http://schemas.microsoft.com/office/drawing/2014/chart" uri="{C3380CC4-5D6E-409C-BE32-E72D297353CC}">
              <c16:uniqueId val="{00000001-07EE-42D7-A87E-AB3DDAEDAB17}"/>
            </c:ext>
          </c:extLst>
        </c:ser>
        <c:dLbls>
          <c:showLegendKey val="0"/>
          <c:showVal val="0"/>
          <c:showCatName val="0"/>
          <c:showSerName val="0"/>
          <c:showPercent val="0"/>
          <c:showBubbleSize val="0"/>
        </c:dLbls>
        <c:gapWidth val="150"/>
        <c:overlap val="100"/>
        <c:axId val="495723912"/>
        <c:axId val="495729008"/>
      </c:barChart>
      <c:catAx>
        <c:axId val="495723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5729008"/>
        <c:crosses val="autoZero"/>
        <c:auto val="1"/>
        <c:lblAlgn val="ctr"/>
        <c:lblOffset val="100"/>
        <c:noMultiLvlLbl val="0"/>
      </c:catAx>
      <c:valAx>
        <c:axId val="49572900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57239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Valeur ajoutée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'Tableaux de bord Groupe'!$G$12</c:f>
              <c:strCache>
                <c:ptCount val="1"/>
                <c:pt idx="0">
                  <c:v>Valeur ajoutée créée (k€)</c:v>
                </c:pt>
              </c:strCache>
            </c:strRef>
          </c:tx>
          <c:spPr>
            <a:solidFill>
              <a:srgbClr val="002060"/>
            </a:solidFill>
            <a:ln>
              <a:noFill/>
            </a:ln>
            <a:effectLst/>
          </c:spPr>
          <c:invertIfNegative val="0"/>
          <c:cat>
            <c:numRef>
              <c:f>'Tableaux de bord Groupe'!$F$13:$F$17</c:f>
              <c:numCache>
                <c:formatCode>General</c:formatCode>
                <c:ptCount val="5"/>
                <c:pt idx="0">
                  <c:v>2016</c:v>
                </c:pt>
                <c:pt idx="1">
                  <c:v>2017</c:v>
                </c:pt>
                <c:pt idx="2">
                  <c:v>2018</c:v>
                </c:pt>
                <c:pt idx="3">
                  <c:v>2019</c:v>
                </c:pt>
                <c:pt idx="4">
                  <c:v>2020</c:v>
                </c:pt>
              </c:numCache>
            </c:numRef>
          </c:cat>
          <c:val>
            <c:numRef>
              <c:f>'Tableaux de bord Groupe'!$G$13:$G$17</c:f>
              <c:numCache>
                <c:formatCode>#,##0</c:formatCode>
                <c:ptCount val="5"/>
                <c:pt idx="0">
                  <c:v>1151103.3565436429</c:v>
                </c:pt>
                <c:pt idx="1">
                  <c:v>1187432.2740232476</c:v>
                </c:pt>
                <c:pt idx="2">
                  <c:v>1379453.6784614124</c:v>
                </c:pt>
                <c:pt idx="3">
                  <c:v>1443020.6762162666</c:v>
                </c:pt>
                <c:pt idx="4">
                  <c:v>1443140.709131991</c:v>
                </c:pt>
              </c:numCache>
            </c:numRef>
          </c:val>
          <c:extLst>
            <c:ext xmlns:c16="http://schemas.microsoft.com/office/drawing/2014/chart" uri="{C3380CC4-5D6E-409C-BE32-E72D297353CC}">
              <c16:uniqueId val="{00000000-540A-4E81-992E-445978291953}"/>
            </c:ext>
          </c:extLst>
        </c:ser>
        <c:dLbls>
          <c:showLegendKey val="0"/>
          <c:showVal val="0"/>
          <c:showCatName val="0"/>
          <c:showSerName val="0"/>
          <c:showPercent val="0"/>
          <c:showBubbleSize val="0"/>
        </c:dLbls>
        <c:gapWidth val="219"/>
        <c:overlap val="-27"/>
        <c:axId val="495330056"/>
        <c:axId val="495334368"/>
      </c:barChart>
      <c:lineChart>
        <c:grouping val="standard"/>
        <c:varyColors val="0"/>
        <c:ser>
          <c:idx val="1"/>
          <c:order val="1"/>
          <c:tx>
            <c:strRef>
              <c:f>'Tableaux de bord Groupe'!$H$12</c:f>
              <c:strCache>
                <c:ptCount val="1"/>
                <c:pt idx="0">
                  <c:v>Part dans la filière  (%)</c:v>
                </c:pt>
              </c:strCache>
            </c:strRef>
          </c:tx>
          <c:spPr>
            <a:ln w="28575" cap="rnd">
              <a:solidFill>
                <a:schemeClr val="accent2"/>
              </a:solidFill>
              <a:round/>
            </a:ln>
            <a:effectLst/>
          </c:spPr>
          <c:marker>
            <c:symbol val="none"/>
          </c:marker>
          <c:cat>
            <c:numRef>
              <c:f>'Tableaux de bord Groupe'!$F$13:$F$17</c:f>
              <c:numCache>
                <c:formatCode>General</c:formatCode>
                <c:ptCount val="5"/>
                <c:pt idx="0">
                  <c:v>2016</c:v>
                </c:pt>
                <c:pt idx="1">
                  <c:v>2017</c:v>
                </c:pt>
                <c:pt idx="2">
                  <c:v>2018</c:v>
                </c:pt>
                <c:pt idx="3">
                  <c:v>2019</c:v>
                </c:pt>
                <c:pt idx="4">
                  <c:v>2020</c:v>
                </c:pt>
              </c:numCache>
            </c:numRef>
          </c:cat>
          <c:val>
            <c:numRef>
              <c:f>'Tableaux de bord Groupe'!$H$13:$H$17</c:f>
              <c:numCache>
                <c:formatCode>0.0%</c:formatCode>
                <c:ptCount val="5"/>
                <c:pt idx="0">
                  <c:v>4.6844178706325797E-2</c:v>
                </c:pt>
                <c:pt idx="1">
                  <c:v>4.7460919757740513E-2</c:v>
                </c:pt>
                <c:pt idx="2">
                  <c:v>5.3071106434728475E-2</c:v>
                </c:pt>
                <c:pt idx="3">
                  <c:v>5.5312508582259799E-2</c:v>
                </c:pt>
                <c:pt idx="4">
                  <c:v>5.7565991416677238E-2</c:v>
                </c:pt>
              </c:numCache>
            </c:numRef>
          </c:val>
          <c:smooth val="0"/>
          <c:extLst>
            <c:ext xmlns:c16="http://schemas.microsoft.com/office/drawing/2014/chart" uri="{C3380CC4-5D6E-409C-BE32-E72D297353CC}">
              <c16:uniqueId val="{00000001-540A-4E81-992E-445978291953}"/>
            </c:ext>
          </c:extLst>
        </c:ser>
        <c:dLbls>
          <c:showLegendKey val="0"/>
          <c:showVal val="0"/>
          <c:showCatName val="0"/>
          <c:showSerName val="0"/>
          <c:showPercent val="0"/>
          <c:showBubbleSize val="0"/>
        </c:dLbls>
        <c:marker val="1"/>
        <c:smooth val="0"/>
        <c:axId val="495333192"/>
        <c:axId val="495330840"/>
      </c:lineChart>
      <c:catAx>
        <c:axId val="495330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5334368"/>
        <c:crosses val="autoZero"/>
        <c:auto val="1"/>
        <c:lblAlgn val="ctr"/>
        <c:lblOffset val="100"/>
        <c:noMultiLvlLbl val="0"/>
      </c:catAx>
      <c:valAx>
        <c:axId val="4953343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lumMod val="50000"/>
                  </a:schemeClr>
                </a:solidFill>
                <a:latin typeface="+mn-lt"/>
                <a:ea typeface="+mn-ea"/>
                <a:cs typeface="+mn-cs"/>
              </a:defRPr>
            </a:pPr>
            <a:endParaRPr lang="fr-FR"/>
          </a:p>
        </c:txPr>
        <c:crossAx val="495330056"/>
        <c:crosses val="autoZero"/>
        <c:crossBetween val="between"/>
      </c:valAx>
      <c:valAx>
        <c:axId val="495330840"/>
        <c:scaling>
          <c:orientation val="minMax"/>
          <c:min val="0"/>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2"/>
                </a:solidFill>
                <a:latin typeface="+mn-lt"/>
                <a:ea typeface="+mn-ea"/>
                <a:cs typeface="+mn-cs"/>
              </a:defRPr>
            </a:pPr>
            <a:endParaRPr lang="fr-FR"/>
          </a:p>
        </c:txPr>
        <c:crossAx val="495333192"/>
        <c:crosses val="max"/>
        <c:crossBetween val="between"/>
      </c:valAx>
      <c:catAx>
        <c:axId val="495333192"/>
        <c:scaling>
          <c:orientation val="minMax"/>
        </c:scaling>
        <c:delete val="1"/>
        <c:axPos val="b"/>
        <c:numFmt formatCode="General" sourceLinked="1"/>
        <c:majorTickMark val="none"/>
        <c:minorTickMark val="none"/>
        <c:tickLblPos val="nextTo"/>
        <c:crossAx val="4953308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Nombre d'équivalent temps plein (ETP)</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'Tableaux de bord Groupe'!$G$26</c:f>
              <c:strCache>
                <c:ptCount val="1"/>
                <c:pt idx="0">
                  <c:v>Nombre d'équivalent temps plein</c:v>
                </c:pt>
              </c:strCache>
            </c:strRef>
          </c:tx>
          <c:spPr>
            <a:solidFill>
              <a:srgbClr val="002060"/>
            </a:solidFill>
            <a:ln>
              <a:noFill/>
            </a:ln>
            <a:effectLst/>
          </c:spPr>
          <c:invertIfNegative val="0"/>
          <c:cat>
            <c:numRef>
              <c:f>'Tableaux de bord Groupe'!$F$27:$F$31</c:f>
              <c:numCache>
                <c:formatCode>General</c:formatCode>
                <c:ptCount val="5"/>
                <c:pt idx="0">
                  <c:v>2016</c:v>
                </c:pt>
                <c:pt idx="1">
                  <c:v>2017</c:v>
                </c:pt>
                <c:pt idx="2">
                  <c:v>2018</c:v>
                </c:pt>
                <c:pt idx="3">
                  <c:v>2019</c:v>
                </c:pt>
                <c:pt idx="4">
                  <c:v>2020</c:v>
                </c:pt>
              </c:numCache>
            </c:numRef>
          </c:cat>
          <c:val>
            <c:numRef>
              <c:f>'Tableaux de bord Groupe'!$G$27:$G$31</c:f>
              <c:numCache>
                <c:formatCode>#,##0</c:formatCode>
                <c:ptCount val="5"/>
                <c:pt idx="0">
                  <c:v>12538.808077014119</c:v>
                </c:pt>
                <c:pt idx="1">
                  <c:v>12933.600015945598</c:v>
                </c:pt>
                <c:pt idx="2">
                  <c:v>15347.876274406804</c:v>
                </c:pt>
                <c:pt idx="3">
                  <c:v>16427.0429507587</c:v>
                </c:pt>
                <c:pt idx="4">
                  <c:v>17152.443334831038</c:v>
                </c:pt>
              </c:numCache>
            </c:numRef>
          </c:val>
          <c:extLst>
            <c:ext xmlns:c16="http://schemas.microsoft.com/office/drawing/2014/chart" uri="{C3380CC4-5D6E-409C-BE32-E72D297353CC}">
              <c16:uniqueId val="{00000000-9C13-4D1D-8C3E-9B78CBE65A74}"/>
            </c:ext>
          </c:extLst>
        </c:ser>
        <c:dLbls>
          <c:showLegendKey val="0"/>
          <c:showVal val="0"/>
          <c:showCatName val="0"/>
          <c:showSerName val="0"/>
          <c:showPercent val="0"/>
          <c:showBubbleSize val="0"/>
        </c:dLbls>
        <c:gapWidth val="219"/>
        <c:overlap val="-27"/>
        <c:axId val="496793336"/>
        <c:axId val="496788240"/>
      </c:barChart>
      <c:lineChart>
        <c:grouping val="standard"/>
        <c:varyColors val="0"/>
        <c:ser>
          <c:idx val="1"/>
          <c:order val="1"/>
          <c:tx>
            <c:strRef>
              <c:f>'Tableaux de bord Groupe'!$H$26</c:f>
              <c:strCache>
                <c:ptCount val="1"/>
                <c:pt idx="0">
                  <c:v>Part dans la filière  (%)</c:v>
                </c:pt>
              </c:strCache>
            </c:strRef>
          </c:tx>
          <c:spPr>
            <a:ln w="28575" cap="rnd">
              <a:solidFill>
                <a:schemeClr val="accent2"/>
              </a:solidFill>
              <a:round/>
            </a:ln>
            <a:effectLst/>
          </c:spPr>
          <c:marker>
            <c:symbol val="none"/>
          </c:marker>
          <c:cat>
            <c:numRef>
              <c:f>'Tableaux de bord Groupe'!$F$27:$F$31</c:f>
              <c:numCache>
                <c:formatCode>General</c:formatCode>
                <c:ptCount val="5"/>
                <c:pt idx="0">
                  <c:v>2016</c:v>
                </c:pt>
                <c:pt idx="1">
                  <c:v>2017</c:v>
                </c:pt>
                <c:pt idx="2">
                  <c:v>2018</c:v>
                </c:pt>
                <c:pt idx="3">
                  <c:v>2019</c:v>
                </c:pt>
                <c:pt idx="4">
                  <c:v>2020</c:v>
                </c:pt>
              </c:numCache>
            </c:numRef>
          </c:cat>
          <c:val>
            <c:numRef>
              <c:f>'Tableaux de bord Groupe'!$H$27:$H$31</c:f>
              <c:numCache>
                <c:formatCode>0.0%</c:formatCode>
                <c:ptCount val="5"/>
                <c:pt idx="0">
                  <c:v>3.3663071771396644E-2</c:v>
                </c:pt>
                <c:pt idx="1">
                  <c:v>3.4112936709424502E-2</c:v>
                </c:pt>
                <c:pt idx="2">
                  <c:v>3.9082749680826832E-2</c:v>
                </c:pt>
                <c:pt idx="3">
                  <c:v>4.1590907874784193E-2</c:v>
                </c:pt>
                <c:pt idx="4">
                  <c:v>4.354608492360252E-2</c:v>
                </c:pt>
              </c:numCache>
            </c:numRef>
          </c:val>
          <c:smooth val="0"/>
          <c:extLst>
            <c:ext xmlns:c16="http://schemas.microsoft.com/office/drawing/2014/chart" uri="{C3380CC4-5D6E-409C-BE32-E72D297353CC}">
              <c16:uniqueId val="{00000001-9C13-4D1D-8C3E-9B78CBE65A74}"/>
            </c:ext>
          </c:extLst>
        </c:ser>
        <c:dLbls>
          <c:showLegendKey val="0"/>
          <c:showVal val="0"/>
          <c:showCatName val="0"/>
          <c:showSerName val="0"/>
          <c:showPercent val="0"/>
          <c:showBubbleSize val="0"/>
        </c:dLbls>
        <c:marker val="1"/>
        <c:smooth val="0"/>
        <c:axId val="496792552"/>
        <c:axId val="496793728"/>
      </c:lineChart>
      <c:catAx>
        <c:axId val="49679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6788240"/>
        <c:crosses val="autoZero"/>
        <c:auto val="1"/>
        <c:lblAlgn val="ctr"/>
        <c:lblOffset val="100"/>
        <c:noMultiLvlLbl val="0"/>
      </c:catAx>
      <c:valAx>
        <c:axId val="4967882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lumMod val="50000"/>
                  </a:schemeClr>
                </a:solidFill>
                <a:latin typeface="+mn-lt"/>
                <a:ea typeface="+mn-ea"/>
                <a:cs typeface="+mn-cs"/>
              </a:defRPr>
            </a:pPr>
            <a:endParaRPr lang="fr-FR"/>
          </a:p>
        </c:txPr>
        <c:crossAx val="496793336"/>
        <c:crosses val="autoZero"/>
        <c:crossBetween val="between"/>
      </c:valAx>
      <c:valAx>
        <c:axId val="496793728"/>
        <c:scaling>
          <c:orientation val="minMax"/>
          <c:min val="0"/>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2"/>
                </a:solidFill>
                <a:latin typeface="+mn-lt"/>
                <a:ea typeface="+mn-ea"/>
                <a:cs typeface="+mn-cs"/>
              </a:defRPr>
            </a:pPr>
            <a:endParaRPr lang="fr-FR"/>
          </a:p>
        </c:txPr>
        <c:crossAx val="496792552"/>
        <c:crosses val="max"/>
        <c:crossBetween val="between"/>
      </c:valAx>
      <c:catAx>
        <c:axId val="496792552"/>
        <c:scaling>
          <c:orientation val="minMax"/>
        </c:scaling>
        <c:delete val="1"/>
        <c:axPos val="b"/>
        <c:numFmt formatCode="General" sourceLinked="1"/>
        <c:majorTickMark val="none"/>
        <c:minorTickMark val="none"/>
        <c:tickLblPos val="nextTo"/>
        <c:crossAx val="49679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Valeur de la production</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'Tableaux de bord Groupe'!$G$40</c:f>
              <c:strCache>
                <c:ptCount val="1"/>
                <c:pt idx="0">
                  <c:v>Valeur de la production (k€)</c:v>
                </c:pt>
              </c:strCache>
            </c:strRef>
          </c:tx>
          <c:spPr>
            <a:solidFill>
              <a:srgbClr val="002060"/>
            </a:solidFill>
            <a:ln>
              <a:noFill/>
            </a:ln>
            <a:effectLst/>
          </c:spPr>
          <c:invertIfNegative val="0"/>
          <c:cat>
            <c:numRef>
              <c:f>'Tableaux de bord Groupe'!$F$41:$F$45</c:f>
              <c:numCache>
                <c:formatCode>General</c:formatCode>
                <c:ptCount val="5"/>
                <c:pt idx="0">
                  <c:v>2016</c:v>
                </c:pt>
                <c:pt idx="1">
                  <c:v>2017</c:v>
                </c:pt>
                <c:pt idx="2">
                  <c:v>2018</c:v>
                </c:pt>
                <c:pt idx="3">
                  <c:v>2019</c:v>
                </c:pt>
                <c:pt idx="4">
                  <c:v>2020</c:v>
                </c:pt>
              </c:numCache>
            </c:numRef>
          </c:cat>
          <c:val>
            <c:numRef>
              <c:f>'Tableaux de bord Groupe'!$G$41:$G$45</c:f>
              <c:numCache>
                <c:formatCode>#,##0</c:formatCode>
                <c:ptCount val="5"/>
                <c:pt idx="0">
                  <c:v>3787952.9514066251</c:v>
                </c:pt>
                <c:pt idx="1">
                  <c:v>3936413.0833496139</c:v>
                </c:pt>
                <c:pt idx="2">
                  <c:v>4466771.3060131297</c:v>
                </c:pt>
                <c:pt idx="3">
                  <c:v>4623782.1500817118</c:v>
                </c:pt>
                <c:pt idx="4">
                  <c:v>4605234.697180273</c:v>
                </c:pt>
              </c:numCache>
            </c:numRef>
          </c:val>
          <c:extLst>
            <c:ext xmlns:c16="http://schemas.microsoft.com/office/drawing/2014/chart" uri="{C3380CC4-5D6E-409C-BE32-E72D297353CC}">
              <c16:uniqueId val="{00000000-B3D6-4C2C-A237-00E0944EA73C}"/>
            </c:ext>
          </c:extLst>
        </c:ser>
        <c:dLbls>
          <c:showLegendKey val="0"/>
          <c:showVal val="0"/>
          <c:showCatName val="0"/>
          <c:showSerName val="0"/>
          <c:showPercent val="0"/>
          <c:showBubbleSize val="0"/>
        </c:dLbls>
        <c:gapWidth val="219"/>
        <c:overlap val="-27"/>
        <c:axId val="496795296"/>
        <c:axId val="496789416"/>
      </c:barChart>
      <c:lineChart>
        <c:grouping val="standard"/>
        <c:varyColors val="0"/>
        <c:ser>
          <c:idx val="1"/>
          <c:order val="1"/>
          <c:tx>
            <c:strRef>
              <c:f>'Tableaux de bord Groupe'!$H$40</c:f>
              <c:strCache>
                <c:ptCount val="1"/>
                <c:pt idx="0">
                  <c:v>Part dans la filière  (%)</c:v>
                </c:pt>
              </c:strCache>
            </c:strRef>
          </c:tx>
          <c:spPr>
            <a:ln w="28575" cap="rnd">
              <a:solidFill>
                <a:schemeClr val="accent2"/>
              </a:solidFill>
              <a:round/>
            </a:ln>
            <a:effectLst/>
          </c:spPr>
          <c:marker>
            <c:symbol val="none"/>
          </c:marker>
          <c:cat>
            <c:numRef>
              <c:f>'Tableaux de bord Groupe'!$F$58:$F$62</c:f>
              <c:numCache>
                <c:formatCode>General</c:formatCode>
                <c:ptCount val="5"/>
                <c:pt idx="0">
                  <c:v>2016</c:v>
                </c:pt>
                <c:pt idx="1">
                  <c:v>2017</c:v>
                </c:pt>
                <c:pt idx="2">
                  <c:v>2018</c:v>
                </c:pt>
                <c:pt idx="3">
                  <c:v>2019</c:v>
                </c:pt>
                <c:pt idx="4">
                  <c:v>2020</c:v>
                </c:pt>
              </c:numCache>
            </c:numRef>
          </c:cat>
          <c:val>
            <c:numRef>
              <c:f>'Tableaux de bord Groupe'!$H$41:$H$45</c:f>
              <c:numCache>
                <c:formatCode>0.0%</c:formatCode>
                <c:ptCount val="5"/>
                <c:pt idx="0">
                  <c:v>5.7785319124954833E-2</c:v>
                </c:pt>
                <c:pt idx="1">
                  <c:v>5.8734985167124658E-2</c:v>
                </c:pt>
                <c:pt idx="2">
                  <c:v>6.3946998278697861E-2</c:v>
                </c:pt>
                <c:pt idx="3">
                  <c:v>6.6182313923257727E-2</c:v>
                </c:pt>
                <c:pt idx="4">
                  <c:v>6.9485052462127939E-2</c:v>
                </c:pt>
              </c:numCache>
            </c:numRef>
          </c:val>
          <c:smooth val="0"/>
          <c:extLst>
            <c:ext xmlns:c16="http://schemas.microsoft.com/office/drawing/2014/chart" uri="{C3380CC4-5D6E-409C-BE32-E72D297353CC}">
              <c16:uniqueId val="{00000001-B3D6-4C2C-A237-00E0944EA73C}"/>
            </c:ext>
          </c:extLst>
        </c:ser>
        <c:dLbls>
          <c:showLegendKey val="0"/>
          <c:showVal val="0"/>
          <c:showCatName val="0"/>
          <c:showSerName val="0"/>
          <c:showPercent val="0"/>
          <c:showBubbleSize val="0"/>
        </c:dLbls>
        <c:marker val="1"/>
        <c:smooth val="0"/>
        <c:axId val="496794120"/>
        <c:axId val="496791768"/>
      </c:lineChart>
      <c:catAx>
        <c:axId val="49679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6789416"/>
        <c:crosses val="autoZero"/>
        <c:auto val="1"/>
        <c:lblAlgn val="ctr"/>
        <c:lblOffset val="100"/>
        <c:noMultiLvlLbl val="0"/>
      </c:catAx>
      <c:valAx>
        <c:axId val="496789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lumMod val="50000"/>
                  </a:schemeClr>
                </a:solidFill>
                <a:latin typeface="+mn-lt"/>
                <a:ea typeface="+mn-ea"/>
                <a:cs typeface="+mn-cs"/>
              </a:defRPr>
            </a:pPr>
            <a:endParaRPr lang="fr-FR"/>
          </a:p>
        </c:txPr>
        <c:crossAx val="496795296"/>
        <c:crosses val="autoZero"/>
        <c:crossBetween val="between"/>
      </c:valAx>
      <c:valAx>
        <c:axId val="496791768"/>
        <c:scaling>
          <c:orientation val="minMax"/>
          <c:min val="0"/>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2"/>
                </a:solidFill>
                <a:latin typeface="+mn-lt"/>
                <a:ea typeface="+mn-ea"/>
                <a:cs typeface="+mn-cs"/>
              </a:defRPr>
            </a:pPr>
            <a:endParaRPr lang="fr-FR"/>
          </a:p>
        </c:txPr>
        <c:crossAx val="496794120"/>
        <c:crosses val="max"/>
        <c:crossBetween val="between"/>
      </c:valAx>
      <c:catAx>
        <c:axId val="496794120"/>
        <c:scaling>
          <c:orientation val="minMax"/>
        </c:scaling>
        <c:delete val="1"/>
        <c:axPos val="b"/>
        <c:numFmt formatCode="General" sourceLinked="1"/>
        <c:majorTickMark val="none"/>
        <c:minorTickMark val="none"/>
        <c:tickLblPos val="nextTo"/>
        <c:crossAx val="4967917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080" b="1" i="0" u="none" strike="noStrike" kern="1200" spc="0" baseline="0">
                <a:solidFill>
                  <a:srgbClr val="8497B0"/>
                </a:solidFill>
                <a:latin typeface="+mn-lt"/>
                <a:ea typeface="+mn-ea"/>
                <a:cs typeface="+mn-cs"/>
              </a:defRPr>
            </a:pPr>
            <a:r>
              <a:rPr lang="fr-FR"/>
              <a:t>Productivité apparente du travail</a:t>
            </a:r>
          </a:p>
        </c:rich>
      </c:tx>
      <c:overlay val="0"/>
      <c:spPr>
        <a:noFill/>
        <a:ln>
          <a:noFill/>
        </a:ln>
        <a:effectLst/>
      </c:spPr>
      <c:txPr>
        <a:bodyPr rot="0" spcFirstLastPara="1" vertOverflow="ellipsis" vert="horz" wrap="square" anchor="ctr" anchorCtr="1"/>
        <a:lstStyle/>
        <a:p>
          <a:pPr>
            <a:defRPr lang="fr-FR" sz="1080" b="1" i="0" u="none" strike="noStrike" kern="1200" spc="0" baseline="0">
              <a:solidFill>
                <a:srgbClr val="8497B0"/>
              </a:solidFill>
              <a:latin typeface="+mn-lt"/>
              <a:ea typeface="+mn-ea"/>
              <a:cs typeface="+mn-cs"/>
            </a:defRPr>
          </a:pPr>
          <a:endParaRPr lang="fr-FR"/>
        </a:p>
      </c:txPr>
    </c:title>
    <c:autoTitleDeleted val="0"/>
    <c:plotArea>
      <c:layout>
        <c:manualLayout>
          <c:layoutTarget val="inner"/>
          <c:xMode val="edge"/>
          <c:yMode val="edge"/>
          <c:x val="0.13220092592592592"/>
          <c:y val="0.1660237776344726"/>
          <c:w val="0.73499537037037033"/>
          <c:h val="0.57589596044777358"/>
        </c:manualLayout>
      </c:layout>
      <c:barChart>
        <c:barDir val="col"/>
        <c:grouping val="clustered"/>
        <c:varyColors val="0"/>
        <c:ser>
          <c:idx val="0"/>
          <c:order val="0"/>
          <c:tx>
            <c:strRef>
              <c:f>'Tableaux de bord Groupe'!$G$57</c:f>
              <c:strCache>
                <c:ptCount val="1"/>
                <c:pt idx="0">
                  <c:v>Productivité du groupe (VA/ETP)</c:v>
                </c:pt>
              </c:strCache>
            </c:strRef>
          </c:tx>
          <c:spPr>
            <a:solidFill>
              <a:srgbClr val="8497B0"/>
            </a:solidFill>
            <a:ln>
              <a:solidFill>
                <a:schemeClr val="accent1"/>
              </a:solidFill>
            </a:ln>
            <a:effectLst/>
          </c:spPr>
          <c:invertIfNegative val="0"/>
          <c:cat>
            <c:numRef>
              <c:f>'Tableaux de bord Groupe'!$F$58:$F$62</c:f>
              <c:numCache>
                <c:formatCode>General</c:formatCode>
                <c:ptCount val="5"/>
                <c:pt idx="0">
                  <c:v>2016</c:v>
                </c:pt>
                <c:pt idx="1">
                  <c:v>2017</c:v>
                </c:pt>
                <c:pt idx="2">
                  <c:v>2018</c:v>
                </c:pt>
                <c:pt idx="3">
                  <c:v>2019</c:v>
                </c:pt>
                <c:pt idx="4">
                  <c:v>2020</c:v>
                </c:pt>
              </c:numCache>
            </c:numRef>
          </c:cat>
          <c:val>
            <c:numRef>
              <c:f>'Tableaux de bord Groupe'!$G$58:$G$62</c:f>
              <c:numCache>
                <c:formatCode>#,##0</c:formatCode>
                <c:ptCount val="5"/>
                <c:pt idx="0">
                  <c:v>91.803251909870255</c:v>
                </c:pt>
                <c:pt idx="1">
                  <c:v>91.809880664260859</c:v>
                </c:pt>
                <c:pt idx="2">
                  <c:v>89.879124238296498</c:v>
                </c:pt>
                <c:pt idx="3">
                  <c:v>87.844213991637446</c:v>
                </c:pt>
                <c:pt idx="4">
                  <c:v>84.136159552350264</c:v>
                </c:pt>
              </c:numCache>
            </c:numRef>
          </c:val>
          <c:extLst>
            <c:ext xmlns:c16="http://schemas.microsoft.com/office/drawing/2014/chart" uri="{C3380CC4-5D6E-409C-BE32-E72D297353CC}">
              <c16:uniqueId val="{00000000-3162-4E0C-82AD-0C57B05D47CB}"/>
            </c:ext>
          </c:extLst>
        </c:ser>
        <c:dLbls>
          <c:showLegendKey val="0"/>
          <c:showVal val="0"/>
          <c:showCatName val="0"/>
          <c:showSerName val="0"/>
          <c:showPercent val="0"/>
          <c:showBubbleSize val="0"/>
        </c:dLbls>
        <c:gapWidth val="219"/>
        <c:overlap val="-32"/>
        <c:axId val="496790200"/>
        <c:axId val="496792944"/>
      </c:barChart>
      <c:lineChart>
        <c:grouping val="standard"/>
        <c:varyColors val="0"/>
        <c:ser>
          <c:idx val="1"/>
          <c:order val="1"/>
          <c:tx>
            <c:strRef>
              <c:f>'Tableaux de bord Groupe'!$H$57</c:f>
              <c:strCache>
                <c:ptCount val="1"/>
                <c:pt idx="0">
                  <c:v>Productivité moyenne dans la filière</c:v>
                </c:pt>
              </c:strCache>
            </c:strRef>
          </c:tx>
          <c:spPr>
            <a:ln w="28575" cap="rnd">
              <a:solidFill>
                <a:schemeClr val="accent2"/>
              </a:solidFill>
              <a:round/>
            </a:ln>
            <a:effectLst/>
          </c:spPr>
          <c:marker>
            <c:symbol val="none"/>
          </c:marker>
          <c:cat>
            <c:numRef>
              <c:f>'Tableaux de bord Groupe'!$F$58:$F$62</c:f>
              <c:numCache>
                <c:formatCode>General</c:formatCode>
                <c:ptCount val="5"/>
                <c:pt idx="0">
                  <c:v>2016</c:v>
                </c:pt>
                <c:pt idx="1">
                  <c:v>2017</c:v>
                </c:pt>
                <c:pt idx="2">
                  <c:v>2018</c:v>
                </c:pt>
                <c:pt idx="3">
                  <c:v>2019</c:v>
                </c:pt>
                <c:pt idx="4">
                  <c:v>2020</c:v>
                </c:pt>
              </c:numCache>
            </c:numRef>
          </c:cat>
          <c:val>
            <c:numRef>
              <c:f>'Tableaux de bord Groupe'!$H$58:$H$62</c:f>
              <c:numCache>
                <c:formatCode>#,##0</c:formatCode>
                <c:ptCount val="5"/>
                <c:pt idx="0">
                  <c:v>65.971472725857524</c:v>
                </c:pt>
                <c:pt idx="1">
                  <c:v>65.989126725445672</c:v>
                </c:pt>
                <c:pt idx="2">
                  <c:v>66.188997179803181</c:v>
                </c:pt>
                <c:pt idx="3">
                  <c:v>66.052339789029261</c:v>
                </c:pt>
                <c:pt idx="4">
                  <c:v>63.645222792966436</c:v>
                </c:pt>
              </c:numCache>
            </c:numRef>
          </c:val>
          <c:smooth val="0"/>
          <c:extLst>
            <c:ext xmlns:c16="http://schemas.microsoft.com/office/drawing/2014/chart" uri="{C3380CC4-5D6E-409C-BE32-E72D297353CC}">
              <c16:uniqueId val="{00000001-3162-4E0C-82AD-0C57B05D47CB}"/>
            </c:ext>
          </c:extLst>
        </c:ser>
        <c:dLbls>
          <c:showLegendKey val="0"/>
          <c:showVal val="0"/>
          <c:showCatName val="0"/>
          <c:showSerName val="0"/>
          <c:showPercent val="0"/>
          <c:showBubbleSize val="0"/>
        </c:dLbls>
        <c:marker val="1"/>
        <c:smooth val="0"/>
        <c:axId val="496789808"/>
        <c:axId val="496795688"/>
      </c:lineChart>
      <c:valAx>
        <c:axId val="496795688"/>
        <c:scaling>
          <c:orientation val="minMax"/>
          <c:min val="0"/>
        </c:scaling>
        <c:delete val="0"/>
        <c:axPos val="r"/>
        <c:title>
          <c:tx>
            <c:rich>
              <a:bodyPr rot="-5400000" spcFirstLastPara="1" vertOverflow="ellipsis" vert="horz" wrap="square" anchor="ctr" anchorCtr="1"/>
              <a:lstStyle/>
              <a:p>
                <a:pPr>
                  <a:defRPr lang="fr-FR" sz="900" b="1" i="0" u="none" strike="noStrike" kern="1200" baseline="0">
                    <a:solidFill>
                      <a:srgbClr val="8497B0"/>
                    </a:solidFill>
                    <a:latin typeface="+mn-lt"/>
                    <a:ea typeface="+mn-ea"/>
                    <a:cs typeface="+mn-cs"/>
                  </a:defRPr>
                </a:pPr>
                <a:r>
                  <a:rPr lang="fr-FR"/>
                  <a:t>k€/ETP</a:t>
                </a:r>
              </a:p>
            </c:rich>
          </c:tx>
          <c:overlay val="0"/>
          <c:spPr>
            <a:noFill/>
            <a:ln>
              <a:noFill/>
            </a:ln>
            <a:effectLst/>
          </c:spPr>
          <c:txPr>
            <a:bodyPr rot="-5400000" spcFirstLastPara="1" vertOverflow="ellipsis" vert="horz" wrap="square" anchor="ctr" anchorCtr="1"/>
            <a:lstStyle/>
            <a:p>
              <a:pPr>
                <a:defRPr lang="fr-FR" sz="900" b="1" i="0" u="none" strike="noStrike" kern="1200" baseline="0">
                  <a:solidFill>
                    <a:srgbClr val="8497B0"/>
                  </a:solidFill>
                  <a:latin typeface="+mn-lt"/>
                  <a:ea typeface="+mn-ea"/>
                  <a:cs typeface="+mn-cs"/>
                </a:defRPr>
              </a:pPr>
              <a:endParaRPr lang="fr-FR"/>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fr-FR" sz="900" b="1" i="0" u="none" strike="noStrike" kern="1200" baseline="0">
                <a:solidFill>
                  <a:srgbClr val="8497B0"/>
                </a:solidFill>
                <a:latin typeface="+mn-lt"/>
                <a:ea typeface="+mn-ea"/>
                <a:cs typeface="+mn-cs"/>
              </a:defRPr>
            </a:pPr>
            <a:endParaRPr lang="fr-FR"/>
          </a:p>
        </c:txPr>
        <c:crossAx val="496789808"/>
        <c:crosses val="max"/>
        <c:crossBetween val="between"/>
      </c:valAx>
      <c:catAx>
        <c:axId val="496789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fr-FR" sz="900" b="1" i="0" u="none" strike="noStrike" kern="1200" baseline="0">
                <a:solidFill>
                  <a:srgbClr val="8497B0"/>
                </a:solidFill>
                <a:latin typeface="+mn-lt"/>
                <a:ea typeface="+mn-ea"/>
                <a:cs typeface="+mn-cs"/>
              </a:defRPr>
            </a:pPr>
            <a:endParaRPr lang="fr-FR"/>
          </a:p>
        </c:txPr>
        <c:crossAx val="496795688"/>
        <c:crosses val="autoZero"/>
        <c:auto val="1"/>
        <c:lblAlgn val="ctr"/>
        <c:lblOffset val="100"/>
        <c:noMultiLvlLbl val="0"/>
      </c:catAx>
      <c:valAx>
        <c:axId val="496792944"/>
        <c:scaling>
          <c:orientation val="minMax"/>
          <c:min val="0"/>
        </c:scaling>
        <c:delete val="0"/>
        <c:axPos val="l"/>
        <c:title>
          <c:tx>
            <c:rich>
              <a:bodyPr rot="-5400000" spcFirstLastPara="1" vertOverflow="ellipsis" vert="horz" wrap="square" anchor="ctr" anchorCtr="1"/>
              <a:lstStyle/>
              <a:p>
                <a:pPr>
                  <a:defRPr lang="fr-FR" sz="900" b="1" i="0" u="none" strike="noStrike" kern="1200" baseline="0">
                    <a:solidFill>
                      <a:srgbClr val="8497B0"/>
                    </a:solidFill>
                    <a:latin typeface="+mn-lt"/>
                    <a:ea typeface="+mn-ea"/>
                    <a:cs typeface="+mn-cs"/>
                  </a:defRPr>
                </a:pPr>
                <a:r>
                  <a:rPr lang="fr-FR"/>
                  <a:t>k€/ETP</a:t>
                </a:r>
              </a:p>
            </c:rich>
          </c:tx>
          <c:overlay val="0"/>
          <c:spPr>
            <a:noFill/>
            <a:ln>
              <a:noFill/>
            </a:ln>
            <a:effectLst/>
          </c:spPr>
          <c:txPr>
            <a:bodyPr rot="-5400000" spcFirstLastPara="1" vertOverflow="ellipsis" vert="horz" wrap="square" anchor="ctr" anchorCtr="1"/>
            <a:lstStyle/>
            <a:p>
              <a:pPr>
                <a:defRPr lang="fr-FR" sz="900" b="1" i="0" u="none" strike="noStrike" kern="1200" baseline="0">
                  <a:solidFill>
                    <a:srgbClr val="8497B0"/>
                  </a:solidFill>
                  <a:latin typeface="+mn-lt"/>
                  <a:ea typeface="+mn-ea"/>
                  <a:cs typeface="+mn-cs"/>
                </a:defRPr>
              </a:pPr>
              <a:endParaRPr lang="fr-FR"/>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fr-FR" sz="900" b="1" i="0" u="none" strike="noStrike" kern="1200" baseline="0">
                <a:solidFill>
                  <a:srgbClr val="8497B0"/>
                </a:solidFill>
                <a:latin typeface="+mn-lt"/>
                <a:ea typeface="+mn-ea"/>
                <a:cs typeface="+mn-cs"/>
              </a:defRPr>
            </a:pPr>
            <a:endParaRPr lang="fr-FR"/>
          </a:p>
        </c:txPr>
        <c:crossAx val="496790200"/>
        <c:crosses val="autoZero"/>
        <c:crossBetween val="between"/>
      </c:valAx>
      <c:catAx>
        <c:axId val="496790200"/>
        <c:scaling>
          <c:orientation val="minMax"/>
        </c:scaling>
        <c:delete val="1"/>
        <c:axPos val="b"/>
        <c:numFmt formatCode="General" sourceLinked="1"/>
        <c:majorTickMark val="out"/>
        <c:minorTickMark val="none"/>
        <c:tickLblPos val="nextTo"/>
        <c:crossAx val="496792944"/>
        <c:crosses val="autoZero"/>
        <c:auto val="1"/>
        <c:lblAlgn val="ctr"/>
        <c:lblOffset val="100"/>
        <c:noMultiLvlLbl val="0"/>
      </c:catAx>
      <c:spPr>
        <a:noFill/>
        <a:ln>
          <a:noFill/>
        </a:ln>
        <a:effectLst/>
      </c:spPr>
    </c:plotArea>
    <c:legend>
      <c:legendPos val="b"/>
      <c:layout>
        <c:manualLayout>
          <c:xMode val="edge"/>
          <c:yMode val="edge"/>
          <c:x val="5.552199074074074E-2"/>
          <c:y val="0.81467599252608425"/>
          <c:w val="0.88895601851851846"/>
          <c:h val="0.17272417613307539"/>
        </c:manualLayout>
      </c:layout>
      <c:overlay val="0"/>
      <c:spPr>
        <a:noFill/>
        <a:ln>
          <a:noFill/>
        </a:ln>
        <a:effectLst/>
      </c:spPr>
      <c:txPr>
        <a:bodyPr rot="0" spcFirstLastPara="1" vertOverflow="ellipsis" vert="horz" wrap="square" anchor="ctr" anchorCtr="1"/>
        <a:lstStyle/>
        <a:p>
          <a:pPr>
            <a:defRPr lang="fr-FR" sz="900" b="1" i="0" u="none" strike="noStrike" kern="1200" baseline="0">
              <a:solidFill>
                <a:srgbClr val="8497B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lgn="ctr">
        <a:defRPr lang="fr-FR" sz="900" b="1" i="0" u="none" strike="noStrike" kern="1200" baseline="0">
          <a:solidFill>
            <a:srgbClr val="8497B0"/>
          </a:solidFill>
          <a:latin typeface="+mn-lt"/>
          <a:ea typeface="+mn-ea"/>
          <a:cs typeface="+mn-cs"/>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Import - Export</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'Tableaux de bord Groupe'!$F$72</c:f>
              <c:strCache>
                <c:ptCount val="1"/>
                <c:pt idx="0">
                  <c:v>2016</c:v>
                </c:pt>
              </c:strCache>
            </c:strRef>
          </c:tx>
          <c:spPr>
            <a:solidFill>
              <a:schemeClr val="accent6">
                <a:lumMod val="50000"/>
              </a:schemeClr>
            </a:solidFill>
            <a:ln>
              <a:solidFill>
                <a:schemeClr val="accent1"/>
              </a:solidFill>
            </a:ln>
            <a:effectLst/>
          </c:spPr>
          <c:invertIfNegative val="0"/>
          <c:dPt>
            <c:idx val="1"/>
            <c:invertIfNegative val="0"/>
            <c:bubble3D val="0"/>
            <c:spPr>
              <a:solidFill>
                <a:schemeClr val="accent6">
                  <a:lumMod val="50000"/>
                </a:schemeClr>
              </a:solidFill>
              <a:ln>
                <a:noFill/>
              </a:ln>
              <a:effectLst/>
            </c:spPr>
            <c:extLst>
              <c:ext xmlns:c16="http://schemas.microsoft.com/office/drawing/2014/chart" uri="{C3380CC4-5D6E-409C-BE32-E72D297353CC}">
                <c16:uniqueId val="{00000001-1E08-49AB-8DBF-3DD4149BE720}"/>
              </c:ext>
            </c:extLst>
          </c:dPt>
          <c:cat>
            <c:strRef>
              <c:f>'Tableaux de bord Groupe'!$G$71:$H$71</c:f>
              <c:strCache>
                <c:ptCount val="2"/>
                <c:pt idx="0">
                  <c:v>Importation totale du groupe (k€)</c:v>
                </c:pt>
                <c:pt idx="1">
                  <c:v>Exportation totale du groupe (k€)</c:v>
                </c:pt>
              </c:strCache>
            </c:strRef>
          </c:cat>
          <c:val>
            <c:numRef>
              <c:f>'Tableaux de bord Groupe'!$G$72:$H$72</c:f>
              <c:numCache>
                <c:formatCode>#,##0</c:formatCode>
                <c:ptCount val="2"/>
                <c:pt idx="0">
                  <c:v>97117.467000000004</c:v>
                </c:pt>
                <c:pt idx="1">
                  <c:v>46087</c:v>
                </c:pt>
              </c:numCache>
            </c:numRef>
          </c:val>
          <c:extLst>
            <c:ext xmlns:c16="http://schemas.microsoft.com/office/drawing/2014/chart" uri="{C3380CC4-5D6E-409C-BE32-E72D297353CC}">
              <c16:uniqueId val="{00000002-1E08-49AB-8DBF-3DD4149BE720}"/>
            </c:ext>
          </c:extLst>
        </c:ser>
        <c:ser>
          <c:idx val="1"/>
          <c:order val="1"/>
          <c:tx>
            <c:strRef>
              <c:f>'Tableaux de bord Groupe'!$F$73</c:f>
              <c:strCache>
                <c:ptCount val="1"/>
                <c:pt idx="0">
                  <c:v>2017</c:v>
                </c:pt>
              </c:strCache>
            </c:strRef>
          </c:tx>
          <c:spPr>
            <a:solidFill>
              <a:schemeClr val="accent6"/>
            </a:solidFill>
            <a:ln>
              <a:noFill/>
            </a:ln>
            <a:effectLst/>
          </c:spPr>
          <c:invertIfNegative val="0"/>
          <c:cat>
            <c:strRef>
              <c:f>'Tableaux de bord Groupe'!$G$71:$H$71</c:f>
              <c:strCache>
                <c:ptCount val="2"/>
                <c:pt idx="0">
                  <c:v>Importation totale du groupe (k€)</c:v>
                </c:pt>
                <c:pt idx="1">
                  <c:v>Exportation totale du groupe (k€)</c:v>
                </c:pt>
              </c:strCache>
            </c:strRef>
          </c:cat>
          <c:val>
            <c:numRef>
              <c:f>'Tableaux de bord Groupe'!$G$73:$H$73</c:f>
              <c:numCache>
                <c:formatCode>#,##0</c:formatCode>
                <c:ptCount val="2"/>
                <c:pt idx="0">
                  <c:v>98093.299999999988</c:v>
                </c:pt>
                <c:pt idx="1">
                  <c:v>46117.487000000001</c:v>
                </c:pt>
              </c:numCache>
            </c:numRef>
          </c:val>
          <c:extLst>
            <c:ext xmlns:c16="http://schemas.microsoft.com/office/drawing/2014/chart" uri="{C3380CC4-5D6E-409C-BE32-E72D297353CC}">
              <c16:uniqueId val="{00000003-1E08-49AB-8DBF-3DD4149BE720}"/>
            </c:ext>
          </c:extLst>
        </c:ser>
        <c:ser>
          <c:idx val="2"/>
          <c:order val="2"/>
          <c:tx>
            <c:strRef>
              <c:f>'Tableaux de bord Groupe'!$F$74</c:f>
              <c:strCache>
                <c:ptCount val="1"/>
                <c:pt idx="0">
                  <c:v>2018</c:v>
                </c:pt>
              </c:strCache>
            </c:strRef>
          </c:tx>
          <c:spPr>
            <a:solidFill>
              <a:schemeClr val="accent6">
                <a:lumMod val="60000"/>
                <a:lumOff val="40000"/>
              </a:schemeClr>
            </a:solidFill>
            <a:ln>
              <a:noFill/>
            </a:ln>
            <a:effectLst/>
          </c:spPr>
          <c:invertIfNegative val="0"/>
          <c:cat>
            <c:strRef>
              <c:f>'Tableaux de bord Groupe'!$G$71:$H$71</c:f>
              <c:strCache>
                <c:ptCount val="2"/>
                <c:pt idx="0">
                  <c:v>Importation totale du groupe (k€)</c:v>
                </c:pt>
                <c:pt idx="1">
                  <c:v>Exportation totale du groupe (k€)</c:v>
                </c:pt>
              </c:strCache>
            </c:strRef>
          </c:cat>
          <c:val>
            <c:numRef>
              <c:f>'Tableaux de bord Groupe'!$G$74:$H$74</c:f>
              <c:numCache>
                <c:formatCode>#,##0</c:formatCode>
                <c:ptCount val="2"/>
                <c:pt idx="0">
                  <c:v>115488.07300000002</c:v>
                </c:pt>
                <c:pt idx="1">
                  <c:v>50164.84199999999</c:v>
                </c:pt>
              </c:numCache>
            </c:numRef>
          </c:val>
          <c:extLst>
            <c:ext xmlns:c16="http://schemas.microsoft.com/office/drawing/2014/chart" uri="{C3380CC4-5D6E-409C-BE32-E72D297353CC}">
              <c16:uniqueId val="{00000002-B1F9-4F4B-8EE0-B220B883DA0D}"/>
            </c:ext>
          </c:extLst>
        </c:ser>
        <c:ser>
          <c:idx val="3"/>
          <c:order val="3"/>
          <c:tx>
            <c:strRef>
              <c:f>'Tableaux de bord Groupe'!$F$75</c:f>
              <c:strCache>
                <c:ptCount val="1"/>
                <c:pt idx="0">
                  <c:v>2019</c:v>
                </c:pt>
              </c:strCache>
            </c:strRef>
          </c:tx>
          <c:spPr>
            <a:solidFill>
              <a:schemeClr val="accent6">
                <a:lumMod val="40000"/>
                <a:lumOff val="60000"/>
              </a:schemeClr>
            </a:solidFill>
            <a:ln>
              <a:noFill/>
            </a:ln>
            <a:effectLst/>
          </c:spPr>
          <c:invertIfNegative val="0"/>
          <c:cat>
            <c:strRef>
              <c:f>'Tableaux de bord Groupe'!$G$71:$H$71</c:f>
              <c:strCache>
                <c:ptCount val="2"/>
                <c:pt idx="0">
                  <c:v>Importation totale du groupe (k€)</c:v>
                </c:pt>
                <c:pt idx="1">
                  <c:v>Exportation totale du groupe (k€)</c:v>
                </c:pt>
              </c:strCache>
            </c:strRef>
          </c:cat>
          <c:val>
            <c:numRef>
              <c:f>'Tableaux de bord Groupe'!$G$75:$H$75</c:f>
              <c:numCache>
                <c:formatCode>#,##0</c:formatCode>
                <c:ptCount val="2"/>
                <c:pt idx="0">
                  <c:v>148790.32499999981</c:v>
                </c:pt>
                <c:pt idx="1">
                  <c:v>36039.286000000015</c:v>
                </c:pt>
              </c:numCache>
            </c:numRef>
          </c:val>
          <c:extLst>
            <c:ext xmlns:c16="http://schemas.microsoft.com/office/drawing/2014/chart" uri="{C3380CC4-5D6E-409C-BE32-E72D297353CC}">
              <c16:uniqueId val="{00000003-A419-4E99-8326-07993D9EF789}"/>
            </c:ext>
          </c:extLst>
        </c:ser>
        <c:ser>
          <c:idx val="4"/>
          <c:order val="4"/>
          <c:tx>
            <c:strRef>
              <c:f>'Tableaux de bord Groupe'!$F$76</c:f>
              <c:strCache>
                <c:ptCount val="1"/>
                <c:pt idx="0">
                  <c:v>2020</c:v>
                </c:pt>
              </c:strCache>
            </c:strRef>
          </c:tx>
          <c:spPr>
            <a:solidFill>
              <a:schemeClr val="accent5"/>
            </a:solidFill>
            <a:ln>
              <a:noFill/>
            </a:ln>
            <a:effectLst/>
          </c:spPr>
          <c:invertIfNegative val="0"/>
          <c:cat>
            <c:strRef>
              <c:f>'Tableaux de bord Groupe'!$G$71:$H$71</c:f>
              <c:strCache>
                <c:ptCount val="2"/>
                <c:pt idx="0">
                  <c:v>Importation totale du groupe (k€)</c:v>
                </c:pt>
                <c:pt idx="1">
                  <c:v>Exportation totale du groupe (k€)</c:v>
                </c:pt>
              </c:strCache>
            </c:strRef>
          </c:cat>
          <c:val>
            <c:numRef>
              <c:f>'Tableaux de bord Groupe'!$G$76:$H$76</c:f>
              <c:numCache>
                <c:formatCode>#,##0</c:formatCode>
                <c:ptCount val="2"/>
                <c:pt idx="0">
                  <c:v>147758.59100000007</c:v>
                </c:pt>
                <c:pt idx="1">
                  <c:v>26463.573904000012</c:v>
                </c:pt>
              </c:numCache>
            </c:numRef>
          </c:val>
          <c:extLst>
            <c:ext xmlns:c16="http://schemas.microsoft.com/office/drawing/2014/chart" uri="{C3380CC4-5D6E-409C-BE32-E72D297353CC}">
              <c16:uniqueId val="{00000003-4E4D-45C2-B990-CE58D5AA4E9A}"/>
            </c:ext>
          </c:extLst>
        </c:ser>
        <c:dLbls>
          <c:showLegendKey val="0"/>
          <c:showVal val="0"/>
          <c:showCatName val="0"/>
          <c:showSerName val="0"/>
          <c:showPercent val="0"/>
          <c:showBubbleSize val="0"/>
        </c:dLbls>
        <c:gapWidth val="219"/>
        <c:axId val="496794904"/>
        <c:axId val="496790984"/>
      </c:barChart>
      <c:catAx>
        <c:axId val="49679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6790984"/>
        <c:crosses val="autoZero"/>
        <c:auto val="1"/>
        <c:lblAlgn val="ctr"/>
        <c:lblOffset val="100"/>
        <c:noMultiLvlLbl val="0"/>
      </c:catAx>
      <c:valAx>
        <c:axId val="496790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r-FR">
                    <a:solidFill>
                      <a:sysClr val="windowText" lastClr="000000"/>
                    </a:solidFill>
                  </a:rPr>
                  <a:t>k€</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lumMod val="50000"/>
                  </a:schemeClr>
                </a:solidFill>
                <a:latin typeface="+mn-lt"/>
                <a:ea typeface="+mn-ea"/>
                <a:cs typeface="+mn-cs"/>
              </a:defRPr>
            </a:pPr>
            <a:endParaRPr lang="fr-FR"/>
          </a:p>
        </c:txPr>
        <c:crossAx val="496794904"/>
        <c:crosses val="autoZero"/>
        <c:crossBetween val="between"/>
      </c:valAx>
      <c:spPr>
        <a:noFill/>
        <a:ln>
          <a:noFill/>
        </a:ln>
        <a:effectLst/>
      </c:spPr>
    </c:plotArea>
    <c:legend>
      <c:legendPos val="b"/>
      <c:layout>
        <c:manualLayout>
          <c:xMode val="edge"/>
          <c:yMode val="edge"/>
          <c:x val="5.552199074074074E-2"/>
          <c:y val="0.86507531788944558"/>
          <c:w val="0.49670066237044774"/>
          <c:h val="8.51020065369002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Taux de couverture du commerce extérieur</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'Tableaux de bord Groupe'!$G$97</c:f>
              <c:strCache>
                <c:ptCount val="1"/>
                <c:pt idx="0">
                  <c:v>Taux de couverture du groupe (Export/Import)</c:v>
                </c:pt>
              </c:strCache>
            </c:strRef>
          </c:tx>
          <c:spPr>
            <a:solidFill>
              <a:srgbClr val="8497B0"/>
            </a:solidFill>
            <a:ln>
              <a:solidFill>
                <a:schemeClr val="accent1"/>
              </a:solidFill>
            </a:ln>
            <a:effectLst/>
          </c:spPr>
          <c:invertIfNegative val="0"/>
          <c:cat>
            <c:numRef>
              <c:f>'Tableaux de bord Groupe'!$F$98:$F$102</c:f>
              <c:numCache>
                <c:formatCode>General</c:formatCode>
                <c:ptCount val="5"/>
                <c:pt idx="0">
                  <c:v>2016</c:v>
                </c:pt>
                <c:pt idx="1">
                  <c:v>2017</c:v>
                </c:pt>
                <c:pt idx="2">
                  <c:v>2018</c:v>
                </c:pt>
                <c:pt idx="3">
                  <c:v>2019</c:v>
                </c:pt>
                <c:pt idx="4">
                  <c:v>2020</c:v>
                </c:pt>
              </c:numCache>
            </c:numRef>
          </c:cat>
          <c:val>
            <c:numRef>
              <c:f>'Tableaux de bord Groupe'!$G$98:$G$102</c:f>
              <c:numCache>
                <c:formatCode>0.0%</c:formatCode>
                <c:ptCount val="5"/>
                <c:pt idx="0">
                  <c:v>0.47454903246189484</c:v>
                </c:pt>
                <c:pt idx="1">
                  <c:v>0.47013901051346019</c:v>
                </c:pt>
                <c:pt idx="2">
                  <c:v>0.4343724914346781</c:v>
                </c:pt>
                <c:pt idx="3">
                  <c:v>0.24221525156289606</c:v>
                </c:pt>
                <c:pt idx="4">
                  <c:v>0.17910006940983891</c:v>
                </c:pt>
              </c:numCache>
            </c:numRef>
          </c:val>
          <c:extLst>
            <c:ext xmlns:c16="http://schemas.microsoft.com/office/drawing/2014/chart" uri="{C3380CC4-5D6E-409C-BE32-E72D297353CC}">
              <c16:uniqueId val="{00000000-8AF0-4F41-824F-CBAD8B8AA46A}"/>
            </c:ext>
          </c:extLst>
        </c:ser>
        <c:dLbls>
          <c:showLegendKey val="0"/>
          <c:showVal val="0"/>
          <c:showCatName val="0"/>
          <c:showSerName val="0"/>
          <c:showPercent val="0"/>
          <c:showBubbleSize val="0"/>
        </c:dLbls>
        <c:gapWidth val="219"/>
        <c:overlap val="-27"/>
        <c:axId val="496791376"/>
        <c:axId val="496792160"/>
      </c:barChart>
      <c:lineChart>
        <c:grouping val="standard"/>
        <c:varyColors val="0"/>
        <c:ser>
          <c:idx val="1"/>
          <c:order val="1"/>
          <c:tx>
            <c:strRef>
              <c:f>'Tableaux de bord Groupe'!$H$97</c:f>
              <c:strCache>
                <c:ptCount val="1"/>
                <c:pt idx="0">
                  <c:v>Taux de couverture moyen de la filière</c:v>
                </c:pt>
              </c:strCache>
            </c:strRef>
          </c:tx>
          <c:spPr>
            <a:ln w="28575" cap="rnd">
              <a:solidFill>
                <a:schemeClr val="accent2"/>
              </a:solidFill>
              <a:round/>
            </a:ln>
            <a:effectLst/>
          </c:spPr>
          <c:marker>
            <c:symbol val="none"/>
          </c:marker>
          <c:cat>
            <c:numRef>
              <c:f>'Tableaux de bord Groupe'!$F$98:$F$102</c:f>
              <c:numCache>
                <c:formatCode>General</c:formatCode>
                <c:ptCount val="5"/>
                <c:pt idx="0">
                  <c:v>2016</c:v>
                </c:pt>
                <c:pt idx="1">
                  <c:v>2017</c:v>
                </c:pt>
                <c:pt idx="2">
                  <c:v>2018</c:v>
                </c:pt>
                <c:pt idx="3">
                  <c:v>2019</c:v>
                </c:pt>
                <c:pt idx="4">
                  <c:v>2020</c:v>
                </c:pt>
              </c:numCache>
            </c:numRef>
          </c:cat>
          <c:val>
            <c:numRef>
              <c:f>'Tableaux de bord Groupe'!$H$98:$H$102</c:f>
              <c:numCache>
                <c:formatCode>0.0%</c:formatCode>
                <c:ptCount val="5"/>
                <c:pt idx="0">
                  <c:v>0.58755407217616051</c:v>
                </c:pt>
                <c:pt idx="1">
                  <c:v>0.58051801906995237</c:v>
                </c:pt>
                <c:pt idx="2">
                  <c:v>0.56982615539425263</c:v>
                </c:pt>
                <c:pt idx="3">
                  <c:v>0.55350935072089091</c:v>
                </c:pt>
                <c:pt idx="4">
                  <c:v>0.49358152746447392</c:v>
                </c:pt>
              </c:numCache>
            </c:numRef>
          </c:val>
          <c:smooth val="0"/>
          <c:extLst>
            <c:ext xmlns:c16="http://schemas.microsoft.com/office/drawing/2014/chart" uri="{C3380CC4-5D6E-409C-BE32-E72D297353CC}">
              <c16:uniqueId val="{00000001-8AF0-4F41-824F-CBAD8B8AA46A}"/>
            </c:ext>
          </c:extLst>
        </c:ser>
        <c:dLbls>
          <c:showLegendKey val="0"/>
          <c:showVal val="0"/>
          <c:showCatName val="0"/>
          <c:showSerName val="0"/>
          <c:showPercent val="0"/>
          <c:showBubbleSize val="0"/>
        </c:dLbls>
        <c:marker val="1"/>
        <c:smooth val="0"/>
        <c:axId val="497793736"/>
        <c:axId val="497805104"/>
      </c:lineChart>
      <c:catAx>
        <c:axId val="49679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6792160"/>
        <c:crosses val="autoZero"/>
        <c:auto val="1"/>
        <c:lblAlgn val="ctr"/>
        <c:lblOffset val="100"/>
        <c:noMultiLvlLbl val="0"/>
      </c:catAx>
      <c:valAx>
        <c:axId val="4967921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8497B0"/>
                </a:solidFill>
                <a:latin typeface="+mn-lt"/>
                <a:ea typeface="+mn-ea"/>
                <a:cs typeface="+mn-cs"/>
              </a:defRPr>
            </a:pPr>
            <a:endParaRPr lang="fr-FR"/>
          </a:p>
        </c:txPr>
        <c:crossAx val="496791376"/>
        <c:crosses val="autoZero"/>
        <c:crossBetween val="between"/>
      </c:valAx>
      <c:valAx>
        <c:axId val="497805104"/>
        <c:scaling>
          <c:orientation val="minMax"/>
          <c:min val="0"/>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2"/>
                </a:solidFill>
                <a:latin typeface="+mn-lt"/>
                <a:ea typeface="+mn-ea"/>
                <a:cs typeface="+mn-cs"/>
              </a:defRPr>
            </a:pPr>
            <a:endParaRPr lang="fr-FR"/>
          </a:p>
        </c:txPr>
        <c:crossAx val="497793736"/>
        <c:crosses val="max"/>
        <c:crossBetween val="between"/>
      </c:valAx>
      <c:catAx>
        <c:axId val="497793736"/>
        <c:scaling>
          <c:orientation val="minMax"/>
        </c:scaling>
        <c:delete val="1"/>
        <c:axPos val="b"/>
        <c:numFmt formatCode="General" sourceLinked="1"/>
        <c:majorTickMark val="none"/>
        <c:minorTickMark val="none"/>
        <c:tickLblPos val="nextTo"/>
        <c:crossAx val="497805104"/>
        <c:crosses val="autoZero"/>
        <c:auto val="1"/>
        <c:lblAlgn val="ctr"/>
        <c:lblOffset val="100"/>
        <c:noMultiLvlLbl val="0"/>
      </c:catAx>
      <c:spPr>
        <a:noFill/>
        <a:ln>
          <a:noFill/>
        </a:ln>
        <a:effectLst/>
      </c:spPr>
    </c:plotArea>
    <c:legend>
      <c:legendPos val="b"/>
      <c:layout>
        <c:manualLayout>
          <c:xMode val="edge"/>
          <c:yMode val="edge"/>
          <c:x val="5.8327314814814818E-2"/>
          <c:y val="0.81047604874580415"/>
          <c:w val="0.88334513888888888"/>
          <c:h val="0.164324288572515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Taux de couverture de la demande par l'offre nationale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'Tableaux de bord Groupe'!$G$111</c:f>
              <c:strCache>
                <c:ptCount val="1"/>
                <c:pt idx="0">
                  <c:v>Taux de couverture de la demande du groupe</c:v>
                </c:pt>
              </c:strCache>
            </c:strRef>
          </c:tx>
          <c:spPr>
            <a:solidFill>
              <a:srgbClr val="8497B0"/>
            </a:solidFill>
            <a:ln>
              <a:solidFill>
                <a:schemeClr val="accent1"/>
              </a:solidFill>
            </a:ln>
            <a:effectLst/>
          </c:spPr>
          <c:invertIfNegative val="0"/>
          <c:cat>
            <c:numRef>
              <c:f>'Tableaux de bord Groupe'!$F$112:$F$116</c:f>
              <c:numCache>
                <c:formatCode>General</c:formatCode>
                <c:ptCount val="5"/>
                <c:pt idx="0">
                  <c:v>2016</c:v>
                </c:pt>
                <c:pt idx="1">
                  <c:v>2017</c:v>
                </c:pt>
                <c:pt idx="2">
                  <c:v>2018</c:v>
                </c:pt>
                <c:pt idx="3">
                  <c:v>2019</c:v>
                </c:pt>
                <c:pt idx="4">
                  <c:v>2020</c:v>
                </c:pt>
              </c:numCache>
            </c:numRef>
          </c:cat>
          <c:val>
            <c:numRef>
              <c:f>'Tableaux de bord Groupe'!$G$112:$G$116</c:f>
              <c:numCache>
                <c:formatCode>0.0%</c:formatCode>
                <c:ptCount val="5"/>
                <c:pt idx="0">
                  <c:v>0.97470229578633893</c:v>
                </c:pt>
                <c:pt idx="1">
                  <c:v>0.97540528204514354</c:v>
                </c:pt>
                <c:pt idx="2">
                  <c:v>0.97451772639409417</c:v>
                </c:pt>
                <c:pt idx="3">
                  <c:v>0.96858666052568154</c:v>
                </c:pt>
                <c:pt idx="4">
                  <c:v>0.96873846142261588</c:v>
                </c:pt>
              </c:numCache>
            </c:numRef>
          </c:val>
          <c:extLst>
            <c:ext xmlns:c16="http://schemas.microsoft.com/office/drawing/2014/chart" uri="{C3380CC4-5D6E-409C-BE32-E72D297353CC}">
              <c16:uniqueId val="{00000000-D48A-47A8-946E-B5DC10AA42FC}"/>
            </c:ext>
          </c:extLst>
        </c:ser>
        <c:dLbls>
          <c:showLegendKey val="0"/>
          <c:showVal val="0"/>
          <c:showCatName val="0"/>
          <c:showSerName val="0"/>
          <c:showPercent val="0"/>
          <c:showBubbleSize val="0"/>
        </c:dLbls>
        <c:gapWidth val="219"/>
        <c:overlap val="-27"/>
        <c:axId val="497803144"/>
        <c:axId val="497793344"/>
      </c:barChart>
      <c:lineChart>
        <c:grouping val="standard"/>
        <c:varyColors val="0"/>
        <c:ser>
          <c:idx val="1"/>
          <c:order val="1"/>
          <c:tx>
            <c:strRef>
              <c:f>'Tableaux de bord Groupe'!$H$111</c:f>
              <c:strCache>
                <c:ptCount val="1"/>
                <c:pt idx="0">
                  <c:v>Taux de couverture moyen de la filière</c:v>
                </c:pt>
              </c:strCache>
            </c:strRef>
          </c:tx>
          <c:spPr>
            <a:ln w="28575" cap="rnd">
              <a:solidFill>
                <a:schemeClr val="accent2"/>
              </a:solidFill>
              <a:round/>
            </a:ln>
            <a:effectLst/>
          </c:spPr>
          <c:marker>
            <c:symbol val="none"/>
          </c:marker>
          <c:cat>
            <c:numRef>
              <c:f>'Tableaux de bord Groupe'!$F$112:$F$116</c:f>
              <c:numCache>
                <c:formatCode>General</c:formatCode>
                <c:ptCount val="5"/>
                <c:pt idx="0">
                  <c:v>2016</c:v>
                </c:pt>
                <c:pt idx="1">
                  <c:v>2017</c:v>
                </c:pt>
                <c:pt idx="2">
                  <c:v>2018</c:v>
                </c:pt>
                <c:pt idx="3">
                  <c:v>2019</c:v>
                </c:pt>
                <c:pt idx="4">
                  <c:v>2020</c:v>
                </c:pt>
              </c:numCache>
            </c:numRef>
          </c:cat>
          <c:val>
            <c:numRef>
              <c:f>'Tableaux de bord Groupe'!$H$112:$H$116</c:f>
              <c:numCache>
                <c:formatCode>0.0%</c:formatCode>
                <c:ptCount val="5"/>
                <c:pt idx="0">
                  <c:v>0.77267734025349721</c:v>
                </c:pt>
                <c:pt idx="1">
                  <c:v>0.77212487717481737</c:v>
                </c:pt>
                <c:pt idx="2">
                  <c:v>0.76997607611905394</c:v>
                </c:pt>
                <c:pt idx="3">
                  <c:v>0.77091407201445139</c:v>
                </c:pt>
                <c:pt idx="4">
                  <c:v>0.78028868545844576</c:v>
                </c:pt>
              </c:numCache>
            </c:numRef>
          </c:val>
          <c:smooth val="0"/>
          <c:extLst>
            <c:ext xmlns:c16="http://schemas.microsoft.com/office/drawing/2014/chart" uri="{C3380CC4-5D6E-409C-BE32-E72D297353CC}">
              <c16:uniqueId val="{00000001-D48A-47A8-946E-B5DC10AA42FC}"/>
            </c:ext>
          </c:extLst>
        </c:ser>
        <c:dLbls>
          <c:showLegendKey val="0"/>
          <c:showVal val="0"/>
          <c:showCatName val="0"/>
          <c:showSerName val="0"/>
          <c:showPercent val="0"/>
          <c:showBubbleSize val="0"/>
        </c:dLbls>
        <c:marker val="1"/>
        <c:smooth val="0"/>
        <c:axId val="497797656"/>
        <c:axId val="497796872"/>
      </c:lineChart>
      <c:catAx>
        <c:axId val="49780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793344"/>
        <c:crosses val="autoZero"/>
        <c:auto val="1"/>
        <c:lblAlgn val="ctr"/>
        <c:lblOffset val="100"/>
        <c:noMultiLvlLbl val="0"/>
      </c:catAx>
      <c:valAx>
        <c:axId val="4977933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8497B0"/>
                </a:solidFill>
                <a:latin typeface="+mn-lt"/>
                <a:ea typeface="+mn-ea"/>
                <a:cs typeface="+mn-cs"/>
              </a:defRPr>
            </a:pPr>
            <a:endParaRPr lang="fr-FR"/>
          </a:p>
        </c:txPr>
        <c:crossAx val="497803144"/>
        <c:crosses val="autoZero"/>
        <c:crossBetween val="between"/>
      </c:valAx>
      <c:valAx>
        <c:axId val="497796872"/>
        <c:scaling>
          <c:orientation val="minMax"/>
          <c:min val="0"/>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2"/>
                </a:solidFill>
                <a:latin typeface="+mn-lt"/>
                <a:ea typeface="+mn-ea"/>
                <a:cs typeface="+mn-cs"/>
              </a:defRPr>
            </a:pPr>
            <a:endParaRPr lang="fr-FR"/>
          </a:p>
        </c:txPr>
        <c:crossAx val="497797656"/>
        <c:crosses val="max"/>
        <c:crossBetween val="between"/>
      </c:valAx>
      <c:catAx>
        <c:axId val="497797656"/>
        <c:scaling>
          <c:orientation val="minMax"/>
        </c:scaling>
        <c:delete val="1"/>
        <c:axPos val="b"/>
        <c:numFmt formatCode="General" sourceLinked="1"/>
        <c:majorTickMark val="none"/>
        <c:minorTickMark val="none"/>
        <c:tickLblPos val="nextTo"/>
        <c:crossAx val="497796872"/>
        <c:crosses val="autoZero"/>
        <c:auto val="1"/>
        <c:lblAlgn val="ctr"/>
        <c:lblOffset val="100"/>
        <c:noMultiLvlLbl val="0"/>
      </c:catAx>
      <c:spPr>
        <a:noFill/>
        <a:ln>
          <a:noFill/>
        </a:ln>
        <a:effectLst/>
      </c:spPr>
    </c:plotArea>
    <c:legend>
      <c:legendPos val="b"/>
      <c:layout>
        <c:manualLayout>
          <c:xMode val="edge"/>
          <c:yMode val="edge"/>
          <c:x val="5.8327314814814818E-2"/>
          <c:y val="0.81047604874580415"/>
          <c:w val="0.88334513888888888"/>
          <c:h val="0.164324288572515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Taux d'export</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'Tableaux de bord Groupe'!$G$125</c:f>
              <c:strCache>
                <c:ptCount val="1"/>
                <c:pt idx="0">
                  <c:v>Taux d'export du groupe (Export/Production)</c:v>
                </c:pt>
              </c:strCache>
            </c:strRef>
          </c:tx>
          <c:spPr>
            <a:solidFill>
              <a:srgbClr val="8497B0"/>
            </a:solidFill>
            <a:ln>
              <a:solidFill>
                <a:schemeClr val="accent1"/>
              </a:solidFill>
            </a:ln>
            <a:effectLst/>
          </c:spPr>
          <c:invertIfNegative val="0"/>
          <c:cat>
            <c:numRef>
              <c:f>'Tableaux de bord Groupe'!$F$126:$F$130</c:f>
              <c:numCache>
                <c:formatCode>General</c:formatCode>
                <c:ptCount val="5"/>
                <c:pt idx="0">
                  <c:v>2016</c:v>
                </c:pt>
                <c:pt idx="1">
                  <c:v>2017</c:v>
                </c:pt>
                <c:pt idx="2">
                  <c:v>2018</c:v>
                </c:pt>
                <c:pt idx="3">
                  <c:v>2019</c:v>
                </c:pt>
                <c:pt idx="4">
                  <c:v>2020</c:v>
                </c:pt>
              </c:numCache>
            </c:numRef>
          </c:cat>
          <c:val>
            <c:numRef>
              <c:f>'Tableaux de bord Groupe'!$G$126:$G$130</c:f>
              <c:numCache>
                <c:formatCode>0.0%</c:formatCode>
                <c:ptCount val="5"/>
                <c:pt idx="0">
                  <c:v>1.2166729785512772E-2</c:v>
                </c:pt>
                <c:pt idx="1">
                  <c:v>1.1715611655461023E-2</c:v>
                </c:pt>
                <c:pt idx="2">
                  <c:v>1.1230671678325798E-2</c:v>
                </c:pt>
                <c:pt idx="3">
                  <c:v>7.7943304485837694E-3</c:v>
                </c:pt>
                <c:pt idx="4">
                  <c:v>5.7464115607839322E-3</c:v>
                </c:pt>
              </c:numCache>
            </c:numRef>
          </c:val>
          <c:extLst>
            <c:ext xmlns:c16="http://schemas.microsoft.com/office/drawing/2014/chart" uri="{C3380CC4-5D6E-409C-BE32-E72D297353CC}">
              <c16:uniqueId val="{00000000-18C1-4989-A7E2-881C5EEAB1FF}"/>
            </c:ext>
          </c:extLst>
        </c:ser>
        <c:dLbls>
          <c:showLegendKey val="0"/>
          <c:showVal val="0"/>
          <c:showCatName val="0"/>
          <c:showSerName val="0"/>
          <c:showPercent val="0"/>
          <c:showBubbleSize val="0"/>
        </c:dLbls>
        <c:gapWidth val="219"/>
        <c:overlap val="-27"/>
        <c:axId val="497801576"/>
        <c:axId val="497803536"/>
      </c:barChart>
      <c:lineChart>
        <c:grouping val="standard"/>
        <c:varyColors val="0"/>
        <c:ser>
          <c:idx val="1"/>
          <c:order val="1"/>
          <c:tx>
            <c:strRef>
              <c:f>'Tableaux de bord Groupe'!$H$125</c:f>
              <c:strCache>
                <c:ptCount val="1"/>
                <c:pt idx="0">
                  <c:v>Taux d'export moyen de la filière</c:v>
                </c:pt>
              </c:strCache>
            </c:strRef>
          </c:tx>
          <c:spPr>
            <a:ln w="28575" cap="rnd">
              <a:solidFill>
                <a:schemeClr val="accent2"/>
              </a:solidFill>
              <a:round/>
            </a:ln>
            <a:effectLst/>
          </c:spPr>
          <c:marker>
            <c:symbol val="none"/>
          </c:marker>
          <c:cat>
            <c:numRef>
              <c:f>'Tableaux de bord Groupe'!$F$126:$F$130</c:f>
              <c:numCache>
                <c:formatCode>General</c:formatCode>
                <c:ptCount val="5"/>
                <c:pt idx="0">
                  <c:v>2016</c:v>
                </c:pt>
                <c:pt idx="1">
                  <c:v>2017</c:v>
                </c:pt>
                <c:pt idx="2">
                  <c:v>2018</c:v>
                </c:pt>
                <c:pt idx="3">
                  <c:v>2019</c:v>
                </c:pt>
                <c:pt idx="4">
                  <c:v>2020</c:v>
                </c:pt>
              </c:numCache>
            </c:numRef>
          </c:cat>
          <c:val>
            <c:numRef>
              <c:f>'Tableaux de bord Groupe'!$H$126:$H$130</c:f>
              <c:numCache>
                <c:formatCode>0.0%</c:formatCode>
                <c:ptCount val="5"/>
                <c:pt idx="0">
                  <c:v>0.1473827073012014</c:v>
                </c:pt>
                <c:pt idx="1">
                  <c:v>0.14626722716876214</c:v>
                </c:pt>
                <c:pt idx="2">
                  <c:v>0.14546771910256137</c:v>
                </c:pt>
                <c:pt idx="3">
                  <c:v>0.1412487976435616</c:v>
                </c:pt>
                <c:pt idx="4">
                  <c:v>0.12202237133201636</c:v>
                </c:pt>
              </c:numCache>
            </c:numRef>
          </c:val>
          <c:smooth val="0"/>
          <c:extLst>
            <c:ext xmlns:c16="http://schemas.microsoft.com/office/drawing/2014/chart" uri="{C3380CC4-5D6E-409C-BE32-E72D297353CC}">
              <c16:uniqueId val="{00000001-18C1-4989-A7E2-881C5EEAB1FF}"/>
            </c:ext>
          </c:extLst>
        </c:ser>
        <c:dLbls>
          <c:showLegendKey val="0"/>
          <c:showVal val="0"/>
          <c:showCatName val="0"/>
          <c:showSerName val="0"/>
          <c:showPercent val="0"/>
          <c:showBubbleSize val="0"/>
        </c:dLbls>
        <c:marker val="1"/>
        <c:smooth val="0"/>
        <c:axId val="497792952"/>
        <c:axId val="497794520"/>
      </c:lineChart>
      <c:catAx>
        <c:axId val="497801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803536"/>
        <c:crosses val="autoZero"/>
        <c:auto val="1"/>
        <c:lblAlgn val="ctr"/>
        <c:lblOffset val="100"/>
        <c:noMultiLvlLbl val="0"/>
      </c:catAx>
      <c:valAx>
        <c:axId val="4978035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8497B0"/>
                </a:solidFill>
                <a:latin typeface="+mn-lt"/>
                <a:ea typeface="+mn-ea"/>
                <a:cs typeface="+mn-cs"/>
              </a:defRPr>
            </a:pPr>
            <a:endParaRPr lang="fr-FR"/>
          </a:p>
        </c:txPr>
        <c:crossAx val="497801576"/>
        <c:crosses val="autoZero"/>
        <c:crossBetween val="between"/>
      </c:valAx>
      <c:valAx>
        <c:axId val="497794520"/>
        <c:scaling>
          <c:orientation val="minMax"/>
          <c:min val="0"/>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2"/>
                </a:solidFill>
                <a:latin typeface="+mn-lt"/>
                <a:ea typeface="+mn-ea"/>
                <a:cs typeface="+mn-cs"/>
              </a:defRPr>
            </a:pPr>
            <a:endParaRPr lang="fr-FR"/>
          </a:p>
        </c:txPr>
        <c:crossAx val="497792952"/>
        <c:crosses val="max"/>
        <c:crossBetween val="between"/>
      </c:valAx>
      <c:catAx>
        <c:axId val="497792952"/>
        <c:scaling>
          <c:orientation val="minMax"/>
        </c:scaling>
        <c:delete val="1"/>
        <c:axPos val="b"/>
        <c:numFmt formatCode="General" sourceLinked="1"/>
        <c:majorTickMark val="none"/>
        <c:minorTickMark val="none"/>
        <c:tickLblPos val="nextTo"/>
        <c:crossAx val="497794520"/>
        <c:crosses val="autoZero"/>
        <c:auto val="1"/>
        <c:lblAlgn val="ctr"/>
        <c:lblOffset val="100"/>
        <c:noMultiLvlLbl val="0"/>
      </c:catAx>
      <c:spPr>
        <a:noFill/>
        <a:ln>
          <a:noFill/>
        </a:ln>
        <a:effectLst/>
      </c:spPr>
    </c:plotArea>
    <c:legend>
      <c:legendPos val="b"/>
      <c:layout>
        <c:manualLayout>
          <c:xMode val="edge"/>
          <c:yMode val="edge"/>
          <c:x val="5.8327314814814818E-2"/>
          <c:y val="0.81047604874580415"/>
          <c:w val="0.88334513888888888"/>
          <c:h val="0.164324288572515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Origine des consommations intermédiaires</a:t>
            </a:r>
          </a:p>
        </c:rich>
      </c:tx>
      <c:overlay val="0"/>
      <c:spPr>
        <a:noFill/>
        <a:ln>
          <a:solidFill>
            <a:schemeClr val="accent1">
              <a:shade val="50000"/>
            </a:schemeClr>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'Tableaux de bord Groupe'!$O$141</c:f>
              <c:strCache>
                <c:ptCount val="1"/>
                <c:pt idx="0">
                  <c:v>Production française</c:v>
                </c:pt>
              </c:strCache>
            </c:strRef>
          </c:tx>
          <c:spPr>
            <a:solidFill>
              <a:schemeClr val="accent1"/>
            </a:solidFill>
            <a:ln>
              <a:noFill/>
            </a:ln>
            <a:effectLst/>
          </c:spPr>
          <c:invertIfNegative val="0"/>
          <c:dPt>
            <c:idx val="1"/>
            <c:invertIfNegative val="0"/>
            <c:bubble3D val="0"/>
            <c:spPr>
              <a:solidFill>
                <a:srgbClr val="5B9BD5"/>
              </a:solidFill>
              <a:ln>
                <a:noFill/>
              </a:ln>
              <a:effectLst/>
            </c:spPr>
            <c:extLst>
              <c:ext xmlns:c16="http://schemas.microsoft.com/office/drawing/2014/chart" uri="{C3380CC4-5D6E-409C-BE32-E72D297353CC}">
                <c16:uniqueId val="{00000001-0F31-478F-95F4-BC9D0EA50366}"/>
              </c:ext>
            </c:extLst>
          </c:dPt>
          <c:cat>
            <c:strRef>
              <c:f>'Tableaux de bord Groupe'!$M$144:$M$200</c:f>
              <c:strCache>
                <c:ptCount val="57"/>
                <c:pt idx="0">
                  <c:v>01 - Plants de pépinière</c:v>
                </c:pt>
                <c:pt idx="1">
                  <c:v>02 - Grumes et billons destinés au sciage, placage ou déroulage</c:v>
                </c:pt>
                <c:pt idx="2">
                  <c:v>03 - Bois destinés à l'industrie</c:v>
                </c:pt>
                <c:pt idx="3">
                  <c:v>04 - Bois destinés à l’énergie</c:v>
                </c:pt>
                <c:pt idx="4">
                  <c:v>05 - Travaux d'exploitation de bois et de sylviculture</c:v>
                </c:pt>
                <c:pt idx="5">
                  <c:v>06 - Services des coopératives forestières</c:v>
                </c:pt>
                <c:pt idx="6">
                  <c:v>07 - Textiles à base de bois</c:v>
                </c:pt>
                <c:pt idx="7">
                  <c:v>08 - Sciages bruts de Chêne</c:v>
                </c:pt>
                <c:pt idx="8">
                  <c:v>09 - Sciages bruts de Hêtre</c:v>
                </c:pt>
                <c:pt idx="9">
                  <c:v>10 - Sciages bruts d'autres feuillus tempérés</c:v>
                </c:pt>
                <c:pt idx="10">
                  <c:v>11 - Sciages de feuillus tropicaux</c:v>
                </c:pt>
                <c:pt idx="11">
                  <c:v>12 - Sciages bruts de sapin-épicéa</c:v>
                </c:pt>
                <c:pt idx="12">
                  <c:v>13 - Sciages bruts de Douglas</c:v>
                </c:pt>
                <c:pt idx="13">
                  <c:v>14 - Sciages bruts d'autres résineux</c:v>
                </c:pt>
                <c:pt idx="14">
                  <c:v>15 - Sciages bruts de Pin maritime</c:v>
                </c:pt>
                <c:pt idx="15">
                  <c:v>16 - Merrains</c:v>
                </c:pt>
                <c:pt idx="16">
                  <c:v>17 - Autres types de sciages</c:v>
                </c:pt>
                <c:pt idx="17">
                  <c:v>18 - Produits connexes du sciage destinés à la trituration</c:v>
                </c:pt>
                <c:pt idx="18">
                  <c:v>19 - Produits connexes du sciage non destinés à la trituration</c:v>
                </c:pt>
                <c:pt idx="19">
                  <c:v>20 - Produits rabotés</c:v>
                </c:pt>
                <c:pt idx="20">
                  <c:v>20b - Produits collés</c:v>
                </c:pt>
                <c:pt idx="21">
                  <c:v>29 - Produits imprégnés (bruts, sciés ou rabotés)</c:v>
                </c:pt>
                <c:pt idx="22">
                  <c:v>30 - Combustibles industriels à base de bois</c:v>
                </c:pt>
                <c:pt idx="23">
                  <c:v>31 - Placages et panneaux à base de bois</c:v>
                </c:pt>
                <c:pt idx="24">
                  <c:v>32 - Produits finis à base de panneaux (plinthes, profilés de menuiserie…) </c:v>
                </c:pt>
                <c:pt idx="25">
                  <c:v>33 - Parquets contrecollés</c:v>
                </c:pt>
                <c:pt idx="26">
                  <c:v>34 - Charpentes</c:v>
                </c:pt>
                <c:pt idx="27">
                  <c:v>35 - Menuiseries extérieures</c:v>
                </c:pt>
                <c:pt idx="28">
                  <c:v>36 - Menuiseries intérieures</c:v>
                </c:pt>
                <c:pt idx="29">
                  <c:v>37 - Emballages en bois (palette, ...)</c:v>
                </c:pt>
                <c:pt idx="30">
                  <c:v>38 - Futailles</c:v>
                </c:pt>
                <c:pt idx="31">
                  <c:v>39 - Coffrages pour le bétonnage, bardeaux en bois</c:v>
                </c:pt>
                <c:pt idx="32">
                  <c:v>40 - Produits en bois pour aménagement extérieur</c:v>
                </c:pt>
                <c:pt idx="33">
                  <c:v>41 - Objets divers en bois</c:v>
                </c:pt>
                <c:pt idx="34">
                  <c:v>42 - Objets en liège</c:v>
                </c:pt>
                <c:pt idx="35">
                  <c:v>43 - Pâte à papier</c:v>
                </c:pt>
                <c:pt idx="36">
                  <c:v>44 - Papier et carton</c:v>
                </c:pt>
                <c:pt idx="37">
                  <c:v>45 - Articles en papier ou en carton</c:v>
                </c:pt>
                <c:pt idx="38">
                  <c:v>46 - Produits de la chimie du bois</c:v>
                </c:pt>
                <c:pt idx="39">
                  <c:v>47 - Meubles à base de bois</c:v>
                </c:pt>
                <c:pt idx="40">
                  <c:v>48 - Autres produits manufacturiés (instruments de musique, jeux et jouets…)</c:v>
                </c:pt>
                <c:pt idx="41">
                  <c:v>49 - Electricité et chaleur issues de la combustion de bois</c:v>
                </c:pt>
                <c:pt idx="42">
                  <c:v>50 - Bois recyclés</c:v>
                </c:pt>
                <c:pt idx="43">
                  <c:v>51 - Promotion immobilière de bâtiments et ouvrages en bois</c:v>
                </c:pt>
                <c:pt idx="44">
                  <c:v>52 - Génie civil</c:v>
                </c:pt>
                <c:pt idx="45">
                  <c:v>53 - Travaux d'isolation</c:v>
                </c:pt>
                <c:pt idx="46">
                  <c:v>54 - Travaux de menuiserie bois</c:v>
                </c:pt>
                <c:pt idx="47">
                  <c:v>55 - Agencement de lieux de vente</c:v>
                </c:pt>
                <c:pt idx="48">
                  <c:v>56 - Travaux de revêtement des sols et des murs</c:v>
                </c:pt>
                <c:pt idx="49">
                  <c:v>57 - Travaux de charpente</c:v>
                </c:pt>
                <c:pt idx="50">
                  <c:v>58 - Travaux de couverture par éléments</c:v>
                </c:pt>
                <c:pt idx="51">
                  <c:v>59 - Travaux de maçonnerie générale et gros œuvre de bâtiment</c:v>
                </c:pt>
                <c:pt idx="52">
                  <c:v>60 - Travaux d'installation de chauffage au bois</c:v>
                </c:pt>
                <c:pt idx="53">
                  <c:v>61 - Commerce de gros de produits bois</c:v>
                </c:pt>
                <c:pt idx="54">
                  <c:v>62 - Commerce de détail de produits bois</c:v>
                </c:pt>
                <c:pt idx="55">
                  <c:v>63 - Transports de bois à partir de la forêt</c:v>
                </c:pt>
                <c:pt idx="56">
                  <c:v>64 - Divers services de support à la filière</c:v>
                </c:pt>
              </c:strCache>
            </c:strRef>
          </c:cat>
          <c:val>
            <c:numRef>
              <c:f>'Tableaux de bord Groupe'!$O$144:$O$200</c:f>
              <c:numCache>
                <c:formatCode>#,##0</c:formatCode>
                <c:ptCount val="57"/>
                <c:pt idx="0">
                  <c:v>0</c:v>
                </c:pt>
                <c:pt idx="1">
                  <c:v>0</c:v>
                </c:pt>
                <c:pt idx="2">
                  <c:v>0</c:v>
                </c:pt>
                <c:pt idx="3">
                  <c:v>71482.386626321997</c:v>
                </c:pt>
                <c:pt idx="4">
                  <c:v>87745.592970177706</c:v>
                </c:pt>
                <c:pt idx="5">
                  <c:v>20413.699929766401</c:v>
                </c:pt>
                <c:pt idx="6">
                  <c:v>0</c:v>
                </c:pt>
                <c:pt idx="7">
                  <c:v>0</c:v>
                </c:pt>
                <c:pt idx="8">
                  <c:v>0</c:v>
                </c:pt>
                <c:pt idx="9">
                  <c:v>0</c:v>
                </c:pt>
                <c:pt idx="10">
                  <c:v>0</c:v>
                </c:pt>
                <c:pt idx="11">
                  <c:v>0</c:v>
                </c:pt>
                <c:pt idx="12">
                  <c:v>0</c:v>
                </c:pt>
                <c:pt idx="13">
                  <c:v>0</c:v>
                </c:pt>
                <c:pt idx="14">
                  <c:v>0</c:v>
                </c:pt>
                <c:pt idx="15">
                  <c:v>0</c:v>
                </c:pt>
                <c:pt idx="16">
                  <c:v>0</c:v>
                </c:pt>
                <c:pt idx="17">
                  <c:v>0</c:v>
                </c:pt>
                <c:pt idx="18">
                  <c:v>125073.4385961637</c:v>
                </c:pt>
                <c:pt idx="19">
                  <c:v>0</c:v>
                </c:pt>
                <c:pt idx="20">
                  <c:v>0</c:v>
                </c:pt>
                <c:pt idx="21">
                  <c:v>0</c:v>
                </c:pt>
                <c:pt idx="22">
                  <c:v>177658.7684575193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59317.864031925201</c:v>
                </c:pt>
                <c:pt idx="43">
                  <c:v>0</c:v>
                </c:pt>
                <c:pt idx="44">
                  <c:v>0</c:v>
                </c:pt>
                <c:pt idx="45">
                  <c:v>0</c:v>
                </c:pt>
                <c:pt idx="46">
                  <c:v>0</c:v>
                </c:pt>
                <c:pt idx="47">
                  <c:v>0</c:v>
                </c:pt>
                <c:pt idx="48">
                  <c:v>0</c:v>
                </c:pt>
                <c:pt idx="49">
                  <c:v>0</c:v>
                </c:pt>
                <c:pt idx="50">
                  <c:v>0</c:v>
                </c:pt>
                <c:pt idx="51">
                  <c:v>0</c:v>
                </c:pt>
                <c:pt idx="52">
                  <c:v>0</c:v>
                </c:pt>
                <c:pt idx="53">
                  <c:v>0</c:v>
                </c:pt>
                <c:pt idx="54">
                  <c:v>0</c:v>
                </c:pt>
                <c:pt idx="55">
                  <c:v>30778.989669797498</c:v>
                </c:pt>
                <c:pt idx="56">
                  <c:v>0</c:v>
                </c:pt>
              </c:numCache>
            </c:numRef>
          </c:val>
          <c:extLst>
            <c:ext xmlns:c16="http://schemas.microsoft.com/office/drawing/2014/chart" uri="{C3380CC4-5D6E-409C-BE32-E72D297353CC}">
              <c16:uniqueId val="{00000002-0F31-478F-95F4-BC9D0EA50366}"/>
            </c:ext>
          </c:extLst>
        </c:ser>
        <c:ser>
          <c:idx val="1"/>
          <c:order val="1"/>
          <c:tx>
            <c:strRef>
              <c:f>'Tableaux de bord Groupe'!$P$141</c:f>
              <c:strCache>
                <c:ptCount val="1"/>
                <c:pt idx="0">
                  <c:v>Importation</c:v>
                </c:pt>
              </c:strCache>
            </c:strRef>
          </c:tx>
          <c:spPr>
            <a:solidFill>
              <a:schemeClr val="accent2"/>
            </a:solidFill>
            <a:ln>
              <a:noFill/>
            </a:ln>
            <a:effectLst/>
          </c:spPr>
          <c:invertIfNegative val="0"/>
          <c:dPt>
            <c:idx val="1"/>
            <c:invertIfNegative val="0"/>
            <c:bubble3D val="0"/>
            <c:spPr>
              <a:solidFill>
                <a:srgbClr val="ED7D31"/>
              </a:solidFill>
              <a:ln>
                <a:noFill/>
              </a:ln>
              <a:effectLst/>
            </c:spPr>
            <c:extLst>
              <c:ext xmlns:c16="http://schemas.microsoft.com/office/drawing/2014/chart" uri="{C3380CC4-5D6E-409C-BE32-E72D297353CC}">
                <c16:uniqueId val="{00000004-0F31-478F-95F4-BC9D0EA50366}"/>
              </c:ext>
            </c:extLst>
          </c:dPt>
          <c:cat>
            <c:strRef>
              <c:f>'Tableaux de bord Groupe'!$M$144:$M$200</c:f>
              <c:strCache>
                <c:ptCount val="57"/>
                <c:pt idx="0">
                  <c:v>01 - Plants de pépinière</c:v>
                </c:pt>
                <c:pt idx="1">
                  <c:v>02 - Grumes et billons destinés au sciage, placage ou déroulage</c:v>
                </c:pt>
                <c:pt idx="2">
                  <c:v>03 - Bois destinés à l'industrie</c:v>
                </c:pt>
                <c:pt idx="3">
                  <c:v>04 - Bois destinés à l’énergie</c:v>
                </c:pt>
                <c:pt idx="4">
                  <c:v>05 - Travaux d'exploitation de bois et de sylviculture</c:v>
                </c:pt>
                <c:pt idx="5">
                  <c:v>06 - Services des coopératives forestières</c:v>
                </c:pt>
                <c:pt idx="6">
                  <c:v>07 - Textiles à base de bois</c:v>
                </c:pt>
                <c:pt idx="7">
                  <c:v>08 - Sciages bruts de Chêne</c:v>
                </c:pt>
                <c:pt idx="8">
                  <c:v>09 - Sciages bruts de Hêtre</c:v>
                </c:pt>
                <c:pt idx="9">
                  <c:v>10 - Sciages bruts d'autres feuillus tempérés</c:v>
                </c:pt>
                <c:pt idx="10">
                  <c:v>11 - Sciages de feuillus tropicaux</c:v>
                </c:pt>
                <c:pt idx="11">
                  <c:v>12 - Sciages bruts de sapin-épicéa</c:v>
                </c:pt>
                <c:pt idx="12">
                  <c:v>13 - Sciages bruts de Douglas</c:v>
                </c:pt>
                <c:pt idx="13">
                  <c:v>14 - Sciages bruts d'autres résineux</c:v>
                </c:pt>
                <c:pt idx="14">
                  <c:v>15 - Sciages bruts de Pin maritime</c:v>
                </c:pt>
                <c:pt idx="15">
                  <c:v>16 - Merrains</c:v>
                </c:pt>
                <c:pt idx="16">
                  <c:v>17 - Autres types de sciages</c:v>
                </c:pt>
                <c:pt idx="17">
                  <c:v>18 - Produits connexes du sciage destinés à la trituration</c:v>
                </c:pt>
                <c:pt idx="18">
                  <c:v>19 - Produits connexes du sciage non destinés à la trituration</c:v>
                </c:pt>
                <c:pt idx="19">
                  <c:v>20 - Produits rabotés</c:v>
                </c:pt>
                <c:pt idx="20">
                  <c:v>20b - Produits collés</c:v>
                </c:pt>
                <c:pt idx="21">
                  <c:v>29 - Produits imprégnés (bruts, sciés ou rabotés)</c:v>
                </c:pt>
                <c:pt idx="22">
                  <c:v>30 - Combustibles industriels à base de bois</c:v>
                </c:pt>
                <c:pt idx="23">
                  <c:v>31 - Placages et panneaux à base de bois</c:v>
                </c:pt>
                <c:pt idx="24">
                  <c:v>32 - Produits finis à base de panneaux (plinthes, profilés de menuiserie…) </c:v>
                </c:pt>
                <c:pt idx="25">
                  <c:v>33 - Parquets contrecollés</c:v>
                </c:pt>
                <c:pt idx="26">
                  <c:v>34 - Charpentes</c:v>
                </c:pt>
                <c:pt idx="27">
                  <c:v>35 - Menuiseries extérieures</c:v>
                </c:pt>
                <c:pt idx="28">
                  <c:v>36 - Menuiseries intérieures</c:v>
                </c:pt>
                <c:pt idx="29">
                  <c:v>37 - Emballages en bois (palette, ...)</c:v>
                </c:pt>
                <c:pt idx="30">
                  <c:v>38 - Futailles</c:v>
                </c:pt>
                <c:pt idx="31">
                  <c:v>39 - Coffrages pour le bétonnage, bardeaux en bois</c:v>
                </c:pt>
                <c:pt idx="32">
                  <c:v>40 - Produits en bois pour aménagement extérieur</c:v>
                </c:pt>
                <c:pt idx="33">
                  <c:v>41 - Objets divers en bois</c:v>
                </c:pt>
                <c:pt idx="34">
                  <c:v>42 - Objets en liège</c:v>
                </c:pt>
                <c:pt idx="35">
                  <c:v>43 - Pâte à papier</c:v>
                </c:pt>
                <c:pt idx="36">
                  <c:v>44 - Papier et carton</c:v>
                </c:pt>
                <c:pt idx="37">
                  <c:v>45 - Articles en papier ou en carton</c:v>
                </c:pt>
                <c:pt idx="38">
                  <c:v>46 - Produits de la chimie du bois</c:v>
                </c:pt>
                <c:pt idx="39">
                  <c:v>47 - Meubles à base de bois</c:v>
                </c:pt>
                <c:pt idx="40">
                  <c:v>48 - Autres produits manufacturiés (instruments de musique, jeux et jouets…)</c:v>
                </c:pt>
                <c:pt idx="41">
                  <c:v>49 - Electricité et chaleur issues de la combustion de bois</c:v>
                </c:pt>
                <c:pt idx="42">
                  <c:v>50 - Bois recyclés</c:v>
                </c:pt>
                <c:pt idx="43">
                  <c:v>51 - Promotion immobilière de bâtiments et ouvrages en bois</c:v>
                </c:pt>
                <c:pt idx="44">
                  <c:v>52 - Génie civil</c:v>
                </c:pt>
                <c:pt idx="45">
                  <c:v>53 - Travaux d'isolation</c:v>
                </c:pt>
                <c:pt idx="46">
                  <c:v>54 - Travaux de menuiserie bois</c:v>
                </c:pt>
                <c:pt idx="47">
                  <c:v>55 - Agencement de lieux de vente</c:v>
                </c:pt>
                <c:pt idx="48">
                  <c:v>56 - Travaux de revêtement des sols et des murs</c:v>
                </c:pt>
                <c:pt idx="49">
                  <c:v>57 - Travaux de charpente</c:v>
                </c:pt>
                <c:pt idx="50">
                  <c:v>58 - Travaux de couverture par éléments</c:v>
                </c:pt>
                <c:pt idx="51">
                  <c:v>59 - Travaux de maçonnerie générale et gros œuvre de bâtiment</c:v>
                </c:pt>
                <c:pt idx="52">
                  <c:v>60 - Travaux d'installation de chauffage au bois</c:v>
                </c:pt>
                <c:pt idx="53">
                  <c:v>61 - Commerce de gros de produits bois</c:v>
                </c:pt>
                <c:pt idx="54">
                  <c:v>62 - Commerce de détail de produits bois</c:v>
                </c:pt>
                <c:pt idx="55">
                  <c:v>63 - Transports de bois à partir de la forêt</c:v>
                </c:pt>
                <c:pt idx="56">
                  <c:v>64 - Divers services de support à la filière</c:v>
                </c:pt>
              </c:strCache>
            </c:strRef>
          </c:cat>
          <c:val>
            <c:numRef>
              <c:f>'Tableaux de bord Groupe'!$P$144:$P$200</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42385.132580993784</c:v>
                </c:pt>
                <c:pt idx="19">
                  <c:v>0</c:v>
                </c:pt>
                <c:pt idx="20">
                  <c:v>0</c:v>
                </c:pt>
                <c:pt idx="21">
                  <c:v>0</c:v>
                </c:pt>
                <c:pt idx="22">
                  <c:v>37179.1650284157</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extLst>
            <c:ext xmlns:c16="http://schemas.microsoft.com/office/drawing/2014/chart" uri="{C3380CC4-5D6E-409C-BE32-E72D297353CC}">
              <c16:uniqueId val="{00000005-0F31-478F-95F4-BC9D0EA50366}"/>
            </c:ext>
          </c:extLst>
        </c:ser>
        <c:dLbls>
          <c:showLegendKey val="0"/>
          <c:showVal val="0"/>
          <c:showCatName val="0"/>
          <c:showSerName val="0"/>
          <c:showPercent val="0"/>
          <c:showBubbleSize val="0"/>
        </c:dLbls>
        <c:gapWidth val="150"/>
        <c:overlap val="100"/>
        <c:axId val="497801968"/>
        <c:axId val="497803928"/>
      </c:barChart>
      <c:catAx>
        <c:axId val="4978019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803928"/>
        <c:crosses val="autoZero"/>
        <c:auto val="1"/>
        <c:lblAlgn val="ctr"/>
        <c:lblOffset val="100"/>
        <c:noMultiLvlLbl val="0"/>
      </c:catAx>
      <c:valAx>
        <c:axId val="49780392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8019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Nombre d'équivalent temps plein (ETP)</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'Tableaux de bord'!$G$26</c:f>
              <c:strCache>
                <c:ptCount val="1"/>
                <c:pt idx="0">
                  <c:v>Nombre d'équivalent temps plein</c:v>
                </c:pt>
              </c:strCache>
            </c:strRef>
          </c:tx>
          <c:spPr>
            <a:solidFill>
              <a:srgbClr val="002060"/>
            </a:solidFill>
            <a:ln>
              <a:noFill/>
            </a:ln>
            <a:effectLst/>
          </c:spPr>
          <c:invertIfNegative val="0"/>
          <c:cat>
            <c:numRef>
              <c:f>'Tableaux de bord'!$F$27:$F$31</c:f>
              <c:numCache>
                <c:formatCode>General</c:formatCode>
                <c:ptCount val="5"/>
                <c:pt idx="0">
                  <c:v>2016</c:v>
                </c:pt>
                <c:pt idx="1">
                  <c:v>2017</c:v>
                </c:pt>
                <c:pt idx="2">
                  <c:v>2018</c:v>
                </c:pt>
                <c:pt idx="3">
                  <c:v>2019</c:v>
                </c:pt>
                <c:pt idx="4">
                  <c:v>2020</c:v>
                </c:pt>
              </c:numCache>
            </c:numRef>
          </c:cat>
          <c:val>
            <c:numRef>
              <c:f>'Tableaux de bord'!$G$27:$G$31</c:f>
              <c:numCache>
                <c:formatCode>#,##0</c:formatCode>
                <c:ptCount val="5"/>
                <c:pt idx="0">
                  <c:v>21018.852118101357</c:v>
                </c:pt>
                <c:pt idx="1">
                  <c:v>21802.811064084559</c:v>
                </c:pt>
                <c:pt idx="2">
                  <c:v>20799.991898767024</c:v>
                </c:pt>
                <c:pt idx="3">
                  <c:v>21150.251536946002</c:v>
                </c:pt>
                <c:pt idx="4">
                  <c:v>20896.44851850265</c:v>
                </c:pt>
              </c:numCache>
            </c:numRef>
          </c:val>
          <c:extLst>
            <c:ext xmlns:c16="http://schemas.microsoft.com/office/drawing/2014/chart" uri="{C3380CC4-5D6E-409C-BE32-E72D297353CC}">
              <c16:uniqueId val="{00000000-606B-497F-AE6F-E1AB25244426}"/>
            </c:ext>
          </c:extLst>
        </c:ser>
        <c:dLbls>
          <c:showLegendKey val="0"/>
          <c:showVal val="0"/>
          <c:showCatName val="0"/>
          <c:showSerName val="0"/>
          <c:showPercent val="0"/>
          <c:showBubbleSize val="0"/>
        </c:dLbls>
        <c:gapWidth val="219"/>
        <c:overlap val="-27"/>
        <c:axId val="385239568"/>
        <c:axId val="385239960"/>
      </c:barChart>
      <c:lineChart>
        <c:grouping val="standard"/>
        <c:varyColors val="0"/>
        <c:ser>
          <c:idx val="1"/>
          <c:order val="1"/>
          <c:tx>
            <c:strRef>
              <c:f>'Tableaux de bord'!$H$26</c:f>
              <c:strCache>
                <c:ptCount val="1"/>
                <c:pt idx="0">
                  <c:v>Part dans l'activité de Production et transformation de produits bois (%)</c:v>
                </c:pt>
              </c:strCache>
            </c:strRef>
          </c:tx>
          <c:spPr>
            <a:ln w="28575" cap="rnd">
              <a:solidFill>
                <a:schemeClr val="accent2"/>
              </a:solidFill>
              <a:round/>
            </a:ln>
            <a:effectLst/>
          </c:spPr>
          <c:marker>
            <c:symbol val="none"/>
          </c:marker>
          <c:cat>
            <c:numRef>
              <c:f>'Tableaux de bord'!$F$27:$F$31</c:f>
              <c:numCache>
                <c:formatCode>General</c:formatCode>
                <c:ptCount val="5"/>
                <c:pt idx="0">
                  <c:v>2016</c:v>
                </c:pt>
                <c:pt idx="1">
                  <c:v>2017</c:v>
                </c:pt>
                <c:pt idx="2">
                  <c:v>2018</c:v>
                </c:pt>
                <c:pt idx="3">
                  <c:v>2019</c:v>
                </c:pt>
                <c:pt idx="4">
                  <c:v>2020</c:v>
                </c:pt>
              </c:numCache>
            </c:numRef>
          </c:cat>
          <c:val>
            <c:numRef>
              <c:f>'Tableaux de bord'!$H$27:$H$31</c:f>
              <c:numCache>
                <c:formatCode>0.0%</c:formatCode>
                <c:ptCount val="5"/>
                <c:pt idx="0">
                  <c:v>0.12309449335160833</c:v>
                </c:pt>
                <c:pt idx="1">
                  <c:v>0.1236837849386013</c:v>
                </c:pt>
                <c:pt idx="2">
                  <c:v>0.11716173214274582</c:v>
                </c:pt>
                <c:pt idx="3">
                  <c:v>0.11800649074053006</c:v>
                </c:pt>
                <c:pt idx="4">
                  <c:v>0.11649904299654178</c:v>
                </c:pt>
              </c:numCache>
            </c:numRef>
          </c:val>
          <c:smooth val="0"/>
          <c:extLst>
            <c:ext xmlns:c16="http://schemas.microsoft.com/office/drawing/2014/chart" uri="{C3380CC4-5D6E-409C-BE32-E72D297353CC}">
              <c16:uniqueId val="{00000001-606B-497F-AE6F-E1AB25244426}"/>
            </c:ext>
          </c:extLst>
        </c:ser>
        <c:dLbls>
          <c:showLegendKey val="0"/>
          <c:showVal val="0"/>
          <c:showCatName val="0"/>
          <c:showSerName val="0"/>
          <c:showPercent val="0"/>
          <c:showBubbleSize val="0"/>
        </c:dLbls>
        <c:marker val="1"/>
        <c:smooth val="0"/>
        <c:axId val="385241136"/>
        <c:axId val="385240744"/>
      </c:lineChart>
      <c:catAx>
        <c:axId val="385239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39960"/>
        <c:crosses val="autoZero"/>
        <c:auto val="1"/>
        <c:lblAlgn val="ctr"/>
        <c:lblOffset val="100"/>
        <c:noMultiLvlLbl val="0"/>
      </c:catAx>
      <c:valAx>
        <c:axId val="3852399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lumMod val="50000"/>
                  </a:schemeClr>
                </a:solidFill>
                <a:latin typeface="+mn-lt"/>
                <a:ea typeface="+mn-ea"/>
                <a:cs typeface="+mn-cs"/>
              </a:defRPr>
            </a:pPr>
            <a:endParaRPr lang="fr-FR"/>
          </a:p>
        </c:txPr>
        <c:crossAx val="385239568"/>
        <c:crosses val="autoZero"/>
        <c:crossBetween val="between"/>
      </c:valAx>
      <c:valAx>
        <c:axId val="385240744"/>
        <c:scaling>
          <c:orientation val="minMax"/>
          <c:min val="0"/>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2"/>
                </a:solidFill>
                <a:latin typeface="+mn-lt"/>
                <a:ea typeface="+mn-ea"/>
                <a:cs typeface="+mn-cs"/>
              </a:defRPr>
            </a:pPr>
            <a:endParaRPr lang="fr-FR"/>
          </a:p>
        </c:txPr>
        <c:crossAx val="385241136"/>
        <c:crosses val="max"/>
        <c:crossBetween val="between"/>
      </c:valAx>
      <c:catAx>
        <c:axId val="385241136"/>
        <c:scaling>
          <c:orientation val="minMax"/>
        </c:scaling>
        <c:delete val="1"/>
        <c:axPos val="b"/>
        <c:numFmt formatCode="General" sourceLinked="1"/>
        <c:majorTickMark val="none"/>
        <c:minorTickMark val="none"/>
        <c:tickLblPos val="nextTo"/>
        <c:crossAx val="3852407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u="none" strike="noStrike" baseline="0">
                <a:effectLst/>
              </a:rPr>
              <a:t>Destinations de la production </a:t>
            </a:r>
            <a:endParaRPr lang="fr-FR"/>
          </a:p>
        </c:rich>
      </c:tx>
      <c:overlay val="0"/>
      <c:spPr>
        <a:noFill/>
        <a:ln>
          <a:solidFill>
            <a:schemeClr val="accent1">
              <a:shade val="50000"/>
            </a:schemeClr>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'Tableaux de bord Groupe'!$R$141</c:f>
              <c:strCache>
                <c:ptCount val="1"/>
                <c:pt idx="0">
                  <c:v>Production française</c:v>
                </c:pt>
              </c:strCache>
            </c:strRef>
          </c:tx>
          <c:spPr>
            <a:solidFill>
              <a:schemeClr val="accent1"/>
            </a:solidFill>
            <a:ln>
              <a:noFill/>
            </a:ln>
            <a:effectLst/>
          </c:spPr>
          <c:invertIfNegative val="0"/>
          <c:cat>
            <c:strRef>
              <c:f>'Tableaux de bord Groupe'!$M$142:$M$200</c:f>
              <c:strCache>
                <c:ptCount val="59"/>
                <c:pt idx="0">
                  <c:v>Consommation finale</c:v>
                </c:pt>
                <c:pt idx="1">
                  <c:v>Exportation</c:v>
                </c:pt>
                <c:pt idx="2">
                  <c:v>01 - Plants de pépinière</c:v>
                </c:pt>
                <c:pt idx="3">
                  <c:v>02 - Grumes et billons destinés au sciage, placage ou déroulage</c:v>
                </c:pt>
                <c:pt idx="4">
                  <c:v>03 - Bois destinés à l'industrie</c:v>
                </c:pt>
                <c:pt idx="5">
                  <c:v>04 - Bois destinés à l’énergie</c:v>
                </c:pt>
                <c:pt idx="6">
                  <c:v>05 - Travaux d'exploitation de bois et de sylviculture</c:v>
                </c:pt>
                <c:pt idx="7">
                  <c:v>06 - Services des coopératives forestières</c:v>
                </c:pt>
                <c:pt idx="8">
                  <c:v>07 - Textiles à base de bois</c:v>
                </c:pt>
                <c:pt idx="9">
                  <c:v>08 - Sciages bruts de Chêne</c:v>
                </c:pt>
                <c:pt idx="10">
                  <c:v>09 - Sciages bruts de Hêtre</c:v>
                </c:pt>
                <c:pt idx="11">
                  <c:v>10 - Sciages bruts d'autres feuillus tempérés</c:v>
                </c:pt>
                <c:pt idx="12">
                  <c:v>11 - Sciages de feuillus tropicaux</c:v>
                </c:pt>
                <c:pt idx="13">
                  <c:v>12 - Sciages bruts de sapin-épicéa</c:v>
                </c:pt>
                <c:pt idx="14">
                  <c:v>13 - Sciages bruts de Douglas</c:v>
                </c:pt>
                <c:pt idx="15">
                  <c:v>14 - Sciages bruts d'autres résineux</c:v>
                </c:pt>
                <c:pt idx="16">
                  <c:v>15 - Sciages bruts de Pin maritime</c:v>
                </c:pt>
                <c:pt idx="17">
                  <c:v>16 - Merrains</c:v>
                </c:pt>
                <c:pt idx="18">
                  <c:v>17 - Autres types de sciages</c:v>
                </c:pt>
                <c:pt idx="19">
                  <c:v>18 - Produits connexes du sciage destinés à la trituration</c:v>
                </c:pt>
                <c:pt idx="20">
                  <c:v>19 - Produits connexes du sciage non destinés à la trituration</c:v>
                </c:pt>
                <c:pt idx="21">
                  <c:v>20 - Produits rabotés</c:v>
                </c:pt>
                <c:pt idx="22">
                  <c:v>20b - Produits collés</c:v>
                </c:pt>
                <c:pt idx="23">
                  <c:v>29 - Produits imprégnés (bruts, sciés ou rabotés)</c:v>
                </c:pt>
                <c:pt idx="24">
                  <c:v>30 - Combustibles industriels à base de bois</c:v>
                </c:pt>
                <c:pt idx="25">
                  <c:v>31 - Placages et panneaux à base de bois</c:v>
                </c:pt>
                <c:pt idx="26">
                  <c:v>32 - Produits finis à base de panneaux (plinthes, profilés de menuiserie…) </c:v>
                </c:pt>
                <c:pt idx="27">
                  <c:v>33 - Parquets contrecollés</c:v>
                </c:pt>
                <c:pt idx="28">
                  <c:v>34 - Charpentes</c:v>
                </c:pt>
                <c:pt idx="29">
                  <c:v>35 - Menuiseries extérieures</c:v>
                </c:pt>
                <c:pt idx="30">
                  <c:v>36 - Menuiseries intérieures</c:v>
                </c:pt>
                <c:pt idx="31">
                  <c:v>37 - Emballages en bois (palette, ...)</c:v>
                </c:pt>
                <c:pt idx="32">
                  <c:v>38 - Futailles</c:v>
                </c:pt>
                <c:pt idx="33">
                  <c:v>39 - Coffrages pour le bétonnage, bardeaux en bois</c:v>
                </c:pt>
                <c:pt idx="34">
                  <c:v>40 - Produits en bois pour aménagement extérieur</c:v>
                </c:pt>
                <c:pt idx="35">
                  <c:v>41 - Objets divers en bois</c:v>
                </c:pt>
                <c:pt idx="36">
                  <c:v>42 - Objets en liège</c:v>
                </c:pt>
                <c:pt idx="37">
                  <c:v>43 - Pâte à papier</c:v>
                </c:pt>
                <c:pt idx="38">
                  <c:v>44 - Papier et carton</c:v>
                </c:pt>
                <c:pt idx="39">
                  <c:v>45 - Articles en papier ou en carton</c:v>
                </c:pt>
                <c:pt idx="40">
                  <c:v>46 - Produits de la chimie du bois</c:v>
                </c:pt>
                <c:pt idx="41">
                  <c:v>47 - Meubles à base de bois</c:v>
                </c:pt>
                <c:pt idx="42">
                  <c:v>48 - Autres produits manufacturiés (instruments de musique, jeux et jouets…)</c:v>
                </c:pt>
                <c:pt idx="43">
                  <c:v>49 - Electricité et chaleur issues de la combustion de bois</c:v>
                </c:pt>
                <c:pt idx="44">
                  <c:v>50 - Bois recyclés</c:v>
                </c:pt>
                <c:pt idx="45">
                  <c:v>51 - Promotion immobilière de bâtiments et ouvrages en bois</c:v>
                </c:pt>
                <c:pt idx="46">
                  <c:v>52 - Génie civil</c:v>
                </c:pt>
                <c:pt idx="47">
                  <c:v>53 - Travaux d'isolation</c:v>
                </c:pt>
                <c:pt idx="48">
                  <c:v>54 - Travaux de menuiserie bois</c:v>
                </c:pt>
                <c:pt idx="49">
                  <c:v>55 - Agencement de lieux de vente</c:v>
                </c:pt>
                <c:pt idx="50">
                  <c:v>56 - Travaux de revêtement des sols et des murs</c:v>
                </c:pt>
                <c:pt idx="51">
                  <c:v>57 - Travaux de charpente</c:v>
                </c:pt>
                <c:pt idx="52">
                  <c:v>58 - Travaux de couverture par éléments</c:v>
                </c:pt>
                <c:pt idx="53">
                  <c:v>59 - Travaux de maçonnerie générale et gros œuvre de bâtiment</c:v>
                </c:pt>
                <c:pt idx="54">
                  <c:v>60 - Travaux d'installation de chauffage au bois</c:v>
                </c:pt>
                <c:pt idx="55">
                  <c:v>61 - Commerce de gros de produits bois</c:v>
                </c:pt>
                <c:pt idx="56">
                  <c:v>62 - Commerce de détail de produits bois</c:v>
                </c:pt>
                <c:pt idx="57">
                  <c:v>63 - Transports de bois à partir de la forêt</c:v>
                </c:pt>
                <c:pt idx="58">
                  <c:v>64 - Divers services de support à la filière</c:v>
                </c:pt>
              </c:strCache>
            </c:strRef>
          </c:cat>
          <c:val>
            <c:numRef>
              <c:f>'Tableaux de bord Groupe'!$R$142:$R$200</c:f>
              <c:numCache>
                <c:formatCode>#,##0</c:formatCode>
                <c:ptCount val="59"/>
                <c:pt idx="0">
                  <c:v>4354967.5986428587</c:v>
                </c:pt>
                <c:pt idx="1">
                  <c:v>26463.573904000012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177658.7684575193</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C91-45EE-BBDE-BE40045AEFEB}"/>
            </c:ext>
          </c:extLst>
        </c:ser>
        <c:ser>
          <c:idx val="1"/>
          <c:order val="1"/>
          <c:tx>
            <c:strRef>
              <c:f>'Tableaux de bord Groupe'!$S$141</c:f>
              <c:strCache>
                <c:ptCount val="1"/>
                <c:pt idx="0">
                  <c:v>Importation</c:v>
                </c:pt>
              </c:strCache>
            </c:strRef>
          </c:tx>
          <c:spPr>
            <a:solidFill>
              <a:schemeClr val="accent2"/>
            </a:solidFill>
            <a:ln>
              <a:noFill/>
            </a:ln>
            <a:effectLst/>
          </c:spPr>
          <c:invertIfNegative val="0"/>
          <c:cat>
            <c:strRef>
              <c:f>'Tableaux de bord Groupe'!$M$142:$M$200</c:f>
              <c:strCache>
                <c:ptCount val="59"/>
                <c:pt idx="0">
                  <c:v>Consommation finale</c:v>
                </c:pt>
                <c:pt idx="1">
                  <c:v>Exportation</c:v>
                </c:pt>
                <c:pt idx="2">
                  <c:v>01 - Plants de pépinière</c:v>
                </c:pt>
                <c:pt idx="3">
                  <c:v>02 - Grumes et billons destinés au sciage, placage ou déroulage</c:v>
                </c:pt>
                <c:pt idx="4">
                  <c:v>03 - Bois destinés à l'industrie</c:v>
                </c:pt>
                <c:pt idx="5">
                  <c:v>04 - Bois destinés à l’énergie</c:v>
                </c:pt>
                <c:pt idx="6">
                  <c:v>05 - Travaux d'exploitation de bois et de sylviculture</c:v>
                </c:pt>
                <c:pt idx="7">
                  <c:v>06 - Services des coopératives forestières</c:v>
                </c:pt>
                <c:pt idx="8">
                  <c:v>07 - Textiles à base de bois</c:v>
                </c:pt>
                <c:pt idx="9">
                  <c:v>08 - Sciages bruts de Chêne</c:v>
                </c:pt>
                <c:pt idx="10">
                  <c:v>09 - Sciages bruts de Hêtre</c:v>
                </c:pt>
                <c:pt idx="11">
                  <c:v>10 - Sciages bruts d'autres feuillus tempérés</c:v>
                </c:pt>
                <c:pt idx="12">
                  <c:v>11 - Sciages de feuillus tropicaux</c:v>
                </c:pt>
                <c:pt idx="13">
                  <c:v>12 - Sciages bruts de sapin-épicéa</c:v>
                </c:pt>
                <c:pt idx="14">
                  <c:v>13 - Sciages bruts de Douglas</c:v>
                </c:pt>
                <c:pt idx="15">
                  <c:v>14 - Sciages bruts d'autres résineux</c:v>
                </c:pt>
                <c:pt idx="16">
                  <c:v>15 - Sciages bruts de Pin maritime</c:v>
                </c:pt>
                <c:pt idx="17">
                  <c:v>16 - Merrains</c:v>
                </c:pt>
                <c:pt idx="18">
                  <c:v>17 - Autres types de sciages</c:v>
                </c:pt>
                <c:pt idx="19">
                  <c:v>18 - Produits connexes du sciage destinés à la trituration</c:v>
                </c:pt>
                <c:pt idx="20">
                  <c:v>19 - Produits connexes du sciage non destinés à la trituration</c:v>
                </c:pt>
                <c:pt idx="21">
                  <c:v>20 - Produits rabotés</c:v>
                </c:pt>
                <c:pt idx="22">
                  <c:v>20b - Produits collés</c:v>
                </c:pt>
                <c:pt idx="23">
                  <c:v>29 - Produits imprégnés (bruts, sciés ou rabotés)</c:v>
                </c:pt>
                <c:pt idx="24">
                  <c:v>30 - Combustibles industriels à base de bois</c:v>
                </c:pt>
                <c:pt idx="25">
                  <c:v>31 - Placages et panneaux à base de bois</c:v>
                </c:pt>
                <c:pt idx="26">
                  <c:v>32 - Produits finis à base de panneaux (plinthes, profilés de menuiserie…) </c:v>
                </c:pt>
                <c:pt idx="27">
                  <c:v>33 - Parquets contrecollés</c:v>
                </c:pt>
                <c:pt idx="28">
                  <c:v>34 - Charpentes</c:v>
                </c:pt>
                <c:pt idx="29">
                  <c:v>35 - Menuiseries extérieures</c:v>
                </c:pt>
                <c:pt idx="30">
                  <c:v>36 - Menuiseries intérieures</c:v>
                </c:pt>
                <c:pt idx="31">
                  <c:v>37 - Emballages en bois (palette, ...)</c:v>
                </c:pt>
                <c:pt idx="32">
                  <c:v>38 - Futailles</c:v>
                </c:pt>
                <c:pt idx="33">
                  <c:v>39 - Coffrages pour le bétonnage, bardeaux en bois</c:v>
                </c:pt>
                <c:pt idx="34">
                  <c:v>40 - Produits en bois pour aménagement extérieur</c:v>
                </c:pt>
                <c:pt idx="35">
                  <c:v>41 - Objets divers en bois</c:v>
                </c:pt>
                <c:pt idx="36">
                  <c:v>42 - Objets en liège</c:v>
                </c:pt>
                <c:pt idx="37">
                  <c:v>43 - Pâte à papier</c:v>
                </c:pt>
                <c:pt idx="38">
                  <c:v>44 - Papier et carton</c:v>
                </c:pt>
                <c:pt idx="39">
                  <c:v>45 - Articles en papier ou en carton</c:v>
                </c:pt>
                <c:pt idx="40">
                  <c:v>46 - Produits de la chimie du bois</c:v>
                </c:pt>
                <c:pt idx="41">
                  <c:v>47 - Meubles à base de bois</c:v>
                </c:pt>
                <c:pt idx="42">
                  <c:v>48 - Autres produits manufacturiés (instruments de musique, jeux et jouets…)</c:v>
                </c:pt>
                <c:pt idx="43">
                  <c:v>49 - Electricité et chaleur issues de la combustion de bois</c:v>
                </c:pt>
                <c:pt idx="44">
                  <c:v>50 - Bois recyclés</c:v>
                </c:pt>
                <c:pt idx="45">
                  <c:v>51 - Promotion immobilière de bâtiments et ouvrages en bois</c:v>
                </c:pt>
                <c:pt idx="46">
                  <c:v>52 - Génie civil</c:v>
                </c:pt>
                <c:pt idx="47">
                  <c:v>53 - Travaux d'isolation</c:v>
                </c:pt>
                <c:pt idx="48">
                  <c:v>54 - Travaux de menuiserie bois</c:v>
                </c:pt>
                <c:pt idx="49">
                  <c:v>55 - Agencement de lieux de vente</c:v>
                </c:pt>
                <c:pt idx="50">
                  <c:v>56 - Travaux de revêtement des sols et des murs</c:v>
                </c:pt>
                <c:pt idx="51">
                  <c:v>57 - Travaux de charpente</c:v>
                </c:pt>
                <c:pt idx="52">
                  <c:v>58 - Travaux de couverture par éléments</c:v>
                </c:pt>
                <c:pt idx="53">
                  <c:v>59 - Travaux de maçonnerie générale et gros œuvre de bâtiment</c:v>
                </c:pt>
                <c:pt idx="54">
                  <c:v>60 - Travaux d'installation de chauffage au bois</c:v>
                </c:pt>
                <c:pt idx="55">
                  <c:v>61 - Commerce de gros de produits bois</c:v>
                </c:pt>
                <c:pt idx="56">
                  <c:v>62 - Commerce de détail de produits bois</c:v>
                </c:pt>
                <c:pt idx="57">
                  <c:v>63 - Transports de bois à partir de la forêt</c:v>
                </c:pt>
                <c:pt idx="58">
                  <c:v>64 - Divers services de support à la filière</c:v>
                </c:pt>
              </c:strCache>
            </c:strRef>
          </c:cat>
          <c:val>
            <c:numRef>
              <c:f>'Tableaux de bord Groupe'!$S$142:$S$200</c:f>
              <c:numCache>
                <c:formatCode>General</c:formatCode>
                <c:ptCount val="59"/>
                <c:pt idx="0" formatCode="#,##0">
                  <c:v>156724.18214747982</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formatCode="#,##0">
                  <c:v>0</c:v>
                </c:pt>
                <c:pt idx="43" formatCode="#,##0">
                  <c:v>37179.1650284157</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numCache>
            </c:numRef>
          </c:val>
          <c:extLst>
            <c:ext xmlns:c16="http://schemas.microsoft.com/office/drawing/2014/chart" uri="{C3380CC4-5D6E-409C-BE32-E72D297353CC}">
              <c16:uniqueId val="{00000001-2C91-45EE-BBDE-BE40045AEFEB}"/>
            </c:ext>
          </c:extLst>
        </c:ser>
        <c:dLbls>
          <c:showLegendKey val="0"/>
          <c:showVal val="0"/>
          <c:showCatName val="0"/>
          <c:showSerName val="0"/>
          <c:showPercent val="0"/>
          <c:showBubbleSize val="0"/>
        </c:dLbls>
        <c:gapWidth val="150"/>
        <c:overlap val="100"/>
        <c:axId val="497798440"/>
        <c:axId val="497800400"/>
      </c:barChart>
      <c:catAx>
        <c:axId val="4977984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800400"/>
        <c:crosses val="autoZero"/>
        <c:auto val="1"/>
        <c:lblAlgn val="ctr"/>
        <c:lblOffset val="100"/>
        <c:noMultiLvlLbl val="0"/>
      </c:catAx>
      <c:valAx>
        <c:axId val="4978004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7984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Part dans</a:t>
            </a:r>
            <a:r>
              <a:rPr lang="fr-FR" sz="1600" b="1" baseline="0"/>
              <a:t> la filière</a:t>
            </a:r>
            <a:endParaRPr lang="fr-FR"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'Tableaux de bord Groupe'!$F$86</c:f>
              <c:strCache>
                <c:ptCount val="1"/>
                <c:pt idx="0">
                  <c:v>2016</c:v>
                </c:pt>
              </c:strCache>
            </c:strRef>
          </c:tx>
          <c:spPr>
            <a:pattFill prst="pct80">
              <a:fgClr>
                <a:schemeClr val="accent6">
                  <a:lumMod val="50000"/>
                </a:schemeClr>
              </a:fgClr>
              <a:bgClr>
                <a:schemeClr val="bg1"/>
              </a:bgClr>
            </a:pattFill>
            <a:ln>
              <a:noFill/>
            </a:ln>
            <a:effectLst/>
          </c:spPr>
          <c:invertIfNegative val="0"/>
          <c:cat>
            <c:strRef>
              <c:f>'Tableaux de bord Groupe'!$G$85:$H$85</c:f>
              <c:strCache>
                <c:ptCount val="2"/>
                <c:pt idx="0">
                  <c:v>Importation</c:v>
                </c:pt>
                <c:pt idx="1">
                  <c:v>Exportation</c:v>
                </c:pt>
              </c:strCache>
            </c:strRef>
          </c:cat>
          <c:val>
            <c:numRef>
              <c:f>'Tableaux de bord Groupe'!$G$86:$H$86</c:f>
              <c:numCache>
                <c:formatCode>0.0%</c:formatCode>
                <c:ptCount val="2"/>
                <c:pt idx="0">
                  <c:v>5.9062468912203427E-3</c:v>
                </c:pt>
                <c:pt idx="1">
                  <c:v>4.7702907365253545E-3</c:v>
                </c:pt>
              </c:numCache>
            </c:numRef>
          </c:val>
          <c:extLst>
            <c:ext xmlns:c16="http://schemas.microsoft.com/office/drawing/2014/chart" uri="{C3380CC4-5D6E-409C-BE32-E72D297353CC}">
              <c16:uniqueId val="{00000000-B2C0-42B3-842B-BFCC176D1616}"/>
            </c:ext>
          </c:extLst>
        </c:ser>
        <c:ser>
          <c:idx val="1"/>
          <c:order val="1"/>
          <c:tx>
            <c:strRef>
              <c:f>'Tableaux de bord Groupe'!$F$87</c:f>
              <c:strCache>
                <c:ptCount val="1"/>
                <c:pt idx="0">
                  <c:v>2017</c:v>
                </c:pt>
              </c:strCache>
            </c:strRef>
          </c:tx>
          <c:spPr>
            <a:pattFill prst="pct80">
              <a:fgClr>
                <a:schemeClr val="accent6"/>
              </a:fgClr>
              <a:bgClr>
                <a:schemeClr val="bg1"/>
              </a:bgClr>
            </a:pattFill>
            <a:ln>
              <a:noFill/>
            </a:ln>
            <a:effectLst/>
          </c:spPr>
          <c:invertIfNegative val="0"/>
          <c:cat>
            <c:strRef>
              <c:f>'Tableaux de bord Groupe'!$G$85:$H$85</c:f>
              <c:strCache>
                <c:ptCount val="2"/>
                <c:pt idx="0">
                  <c:v>Importation</c:v>
                </c:pt>
                <c:pt idx="1">
                  <c:v>Exportation</c:v>
                </c:pt>
              </c:strCache>
            </c:strRef>
          </c:cat>
          <c:val>
            <c:numRef>
              <c:f>'Tableaux de bord Groupe'!$G$87:$H$87</c:f>
              <c:numCache>
                <c:formatCode>0.0%</c:formatCode>
                <c:ptCount val="2"/>
                <c:pt idx="0">
                  <c:v>5.809038008898244E-3</c:v>
                </c:pt>
                <c:pt idx="1">
                  <c:v>4.7045144023503769E-3</c:v>
                </c:pt>
              </c:numCache>
            </c:numRef>
          </c:val>
          <c:extLst>
            <c:ext xmlns:c16="http://schemas.microsoft.com/office/drawing/2014/chart" uri="{C3380CC4-5D6E-409C-BE32-E72D297353CC}">
              <c16:uniqueId val="{00000001-B2C0-42B3-842B-BFCC176D1616}"/>
            </c:ext>
          </c:extLst>
        </c:ser>
        <c:ser>
          <c:idx val="2"/>
          <c:order val="2"/>
          <c:tx>
            <c:strRef>
              <c:f>'Tableaux de bord Groupe'!$F$88</c:f>
              <c:strCache>
                <c:ptCount val="1"/>
                <c:pt idx="0">
                  <c:v>2018</c:v>
                </c:pt>
              </c:strCache>
            </c:strRef>
          </c:tx>
          <c:spPr>
            <a:pattFill prst="pct60">
              <a:fgClr>
                <a:schemeClr val="accent6">
                  <a:lumMod val="60000"/>
                  <a:lumOff val="40000"/>
                </a:schemeClr>
              </a:fgClr>
              <a:bgClr>
                <a:schemeClr val="bg1"/>
              </a:bgClr>
            </a:pattFill>
            <a:ln>
              <a:noFill/>
            </a:ln>
            <a:effectLst/>
          </c:spPr>
          <c:invertIfNegative val="0"/>
          <c:cat>
            <c:strRef>
              <c:f>'Tableaux de bord Groupe'!$G$85:$H$85</c:f>
              <c:strCache>
                <c:ptCount val="2"/>
                <c:pt idx="0">
                  <c:v>Importation</c:v>
                </c:pt>
                <c:pt idx="1">
                  <c:v>Exportation</c:v>
                </c:pt>
              </c:strCache>
            </c:strRef>
          </c:cat>
          <c:val>
            <c:numRef>
              <c:f>'Tableaux de bord Groupe'!$G$88:$H$88</c:f>
              <c:numCache>
                <c:formatCode>0.0%</c:formatCode>
                <c:ptCount val="2"/>
                <c:pt idx="0">
                  <c:v>6.4764845071177682E-3</c:v>
                </c:pt>
                <c:pt idx="1">
                  <c:v>4.9369560952294824E-3</c:v>
                </c:pt>
              </c:numCache>
            </c:numRef>
          </c:val>
          <c:extLst>
            <c:ext xmlns:c16="http://schemas.microsoft.com/office/drawing/2014/chart" uri="{C3380CC4-5D6E-409C-BE32-E72D297353CC}">
              <c16:uniqueId val="{00000000-0A00-4E95-A498-88062CA1F8C7}"/>
            </c:ext>
          </c:extLst>
        </c:ser>
        <c:ser>
          <c:idx val="3"/>
          <c:order val="3"/>
          <c:tx>
            <c:strRef>
              <c:f>'Tableaux de bord Groupe'!$F$89</c:f>
              <c:strCache>
                <c:ptCount val="1"/>
                <c:pt idx="0">
                  <c:v>2019</c:v>
                </c:pt>
              </c:strCache>
            </c:strRef>
          </c:tx>
          <c:spPr>
            <a:pattFill prst="divot">
              <a:fgClr>
                <a:schemeClr val="bg1"/>
              </a:fgClr>
              <a:bgClr>
                <a:schemeClr val="accent6">
                  <a:lumMod val="40000"/>
                  <a:lumOff val="60000"/>
                </a:schemeClr>
              </a:bgClr>
            </a:pattFill>
            <a:ln>
              <a:noFill/>
            </a:ln>
            <a:effectLst/>
          </c:spPr>
          <c:invertIfNegative val="0"/>
          <c:cat>
            <c:strRef>
              <c:f>'Tableaux de bord Groupe'!$G$85:$H$85</c:f>
              <c:strCache>
                <c:ptCount val="2"/>
                <c:pt idx="0">
                  <c:v>Importation</c:v>
                </c:pt>
                <c:pt idx="1">
                  <c:v>Exportation</c:v>
                </c:pt>
              </c:strCache>
            </c:strRef>
          </c:cat>
          <c:val>
            <c:numRef>
              <c:f>'Tableaux de bord Groupe'!$G$89:$H$89</c:f>
              <c:numCache>
                <c:formatCode>0.0%</c:formatCode>
                <c:ptCount val="2"/>
                <c:pt idx="0">
                  <c:v>8.345636753520843E-3</c:v>
                </c:pt>
                <c:pt idx="1">
                  <c:v>3.6520440044488442E-3</c:v>
                </c:pt>
              </c:numCache>
            </c:numRef>
          </c:val>
          <c:extLst>
            <c:ext xmlns:c16="http://schemas.microsoft.com/office/drawing/2014/chart" uri="{C3380CC4-5D6E-409C-BE32-E72D297353CC}">
              <c16:uniqueId val="{00000001-44C7-4DAA-B537-FBF783DFA5A1}"/>
            </c:ext>
          </c:extLst>
        </c:ser>
        <c:ser>
          <c:idx val="4"/>
          <c:order val="4"/>
          <c:tx>
            <c:strRef>
              <c:f>'Tableaux de bord Groupe'!$F$90</c:f>
              <c:strCache>
                <c:ptCount val="1"/>
                <c:pt idx="0">
                  <c:v>2020</c:v>
                </c:pt>
              </c:strCache>
            </c:strRef>
          </c:tx>
          <c:spPr>
            <a:solidFill>
              <a:schemeClr val="accent5"/>
            </a:solidFill>
            <a:ln>
              <a:noFill/>
            </a:ln>
            <a:effectLst/>
          </c:spPr>
          <c:invertIfNegative val="0"/>
          <c:cat>
            <c:strRef>
              <c:f>'Tableaux de bord Groupe'!$G$85:$H$85</c:f>
              <c:strCache>
                <c:ptCount val="2"/>
                <c:pt idx="0">
                  <c:v>Importation</c:v>
                </c:pt>
                <c:pt idx="1">
                  <c:v>Exportation</c:v>
                </c:pt>
              </c:strCache>
            </c:strRef>
          </c:cat>
          <c:val>
            <c:numRef>
              <c:f>'Tableaux de bord Groupe'!$G$90:$H$90</c:f>
              <c:numCache>
                <c:formatCode>0.0%</c:formatCode>
                <c:ptCount val="2"/>
                <c:pt idx="0">
                  <c:v>9.0180325752424878E-3</c:v>
                </c:pt>
                <c:pt idx="1">
                  <c:v>3.2722664246837493E-3</c:v>
                </c:pt>
              </c:numCache>
            </c:numRef>
          </c:val>
          <c:extLst>
            <c:ext xmlns:c16="http://schemas.microsoft.com/office/drawing/2014/chart" uri="{C3380CC4-5D6E-409C-BE32-E72D297353CC}">
              <c16:uniqueId val="{00000001-9550-4663-A1E6-D19CA93C6BC7}"/>
            </c:ext>
          </c:extLst>
        </c:ser>
        <c:dLbls>
          <c:showLegendKey val="0"/>
          <c:showVal val="0"/>
          <c:showCatName val="0"/>
          <c:showSerName val="0"/>
          <c:showPercent val="0"/>
          <c:showBubbleSize val="0"/>
        </c:dLbls>
        <c:gapWidth val="219"/>
        <c:axId val="497804320"/>
        <c:axId val="497804712"/>
      </c:barChart>
      <c:catAx>
        <c:axId val="49780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804712"/>
        <c:crosses val="autoZero"/>
        <c:auto val="1"/>
        <c:lblAlgn val="ctr"/>
        <c:lblOffset val="100"/>
        <c:noMultiLvlLbl val="0"/>
      </c:catAx>
      <c:valAx>
        <c:axId val="497804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r-FR">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lumMod val="50000"/>
                  </a:schemeClr>
                </a:solidFill>
                <a:latin typeface="+mn-lt"/>
                <a:ea typeface="+mn-ea"/>
                <a:cs typeface="+mn-cs"/>
              </a:defRPr>
            </a:pPr>
            <a:endParaRPr lang="fr-FR"/>
          </a:p>
        </c:txPr>
        <c:crossAx val="497804320"/>
        <c:crosses val="autoZero"/>
        <c:crossBetween val="between"/>
      </c:valAx>
      <c:spPr>
        <a:noFill/>
        <a:ln>
          <a:noFill/>
        </a:ln>
        <a:effectLst/>
      </c:spPr>
    </c:plotArea>
    <c:legend>
      <c:legendPos val="b"/>
      <c:layout>
        <c:manualLayout>
          <c:xMode val="edge"/>
          <c:yMode val="edge"/>
          <c:x val="5.552199074074074E-2"/>
          <c:y val="0.86507531788944558"/>
          <c:w val="0.49670066237044774"/>
          <c:h val="8.504523809523810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Valeur de la production</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'Tableaux de bord'!$G$40</c:f>
              <c:strCache>
                <c:ptCount val="1"/>
                <c:pt idx="0">
                  <c:v>Valeur de la production (k€)</c:v>
                </c:pt>
              </c:strCache>
            </c:strRef>
          </c:tx>
          <c:spPr>
            <a:solidFill>
              <a:srgbClr val="002060"/>
            </a:solidFill>
            <a:ln>
              <a:noFill/>
            </a:ln>
            <a:effectLst/>
          </c:spPr>
          <c:invertIfNegative val="0"/>
          <c:cat>
            <c:numRef>
              <c:f>'Tableaux de bord'!$F$41:$F$45</c:f>
              <c:numCache>
                <c:formatCode>General</c:formatCode>
                <c:ptCount val="5"/>
                <c:pt idx="0">
                  <c:v>2016</c:v>
                </c:pt>
                <c:pt idx="1">
                  <c:v>2017</c:v>
                </c:pt>
                <c:pt idx="2">
                  <c:v>2018</c:v>
                </c:pt>
                <c:pt idx="3">
                  <c:v>2019</c:v>
                </c:pt>
                <c:pt idx="4">
                  <c:v>2020</c:v>
                </c:pt>
              </c:numCache>
            </c:numRef>
          </c:cat>
          <c:val>
            <c:numRef>
              <c:f>'Tableaux de bord'!$G$41:$G$45</c:f>
              <c:numCache>
                <c:formatCode>#,##0</c:formatCode>
                <c:ptCount val="5"/>
                <c:pt idx="0">
                  <c:v>3292500.5060000005</c:v>
                </c:pt>
                <c:pt idx="1">
                  <c:v>3440200.9974167068</c:v>
                </c:pt>
                <c:pt idx="2">
                  <c:v>3280638.9996290319</c:v>
                </c:pt>
                <c:pt idx="3">
                  <c:v>3338513.9992542071</c:v>
                </c:pt>
                <c:pt idx="4">
                  <c:v>2972742</c:v>
                </c:pt>
              </c:numCache>
            </c:numRef>
          </c:val>
          <c:extLst>
            <c:ext xmlns:c16="http://schemas.microsoft.com/office/drawing/2014/chart" uri="{C3380CC4-5D6E-409C-BE32-E72D297353CC}">
              <c16:uniqueId val="{00000000-2DE5-4CE7-8876-4751E2B7D148}"/>
            </c:ext>
          </c:extLst>
        </c:ser>
        <c:dLbls>
          <c:showLegendKey val="0"/>
          <c:showVal val="0"/>
          <c:showCatName val="0"/>
          <c:showSerName val="0"/>
          <c:showPercent val="0"/>
          <c:showBubbleSize val="0"/>
        </c:dLbls>
        <c:gapWidth val="219"/>
        <c:overlap val="-27"/>
        <c:axId val="329892288"/>
        <c:axId val="495329664"/>
      </c:barChart>
      <c:lineChart>
        <c:grouping val="standard"/>
        <c:varyColors val="0"/>
        <c:ser>
          <c:idx val="1"/>
          <c:order val="1"/>
          <c:tx>
            <c:strRef>
              <c:f>'Tableaux de bord'!$H$40</c:f>
              <c:strCache>
                <c:ptCount val="1"/>
                <c:pt idx="0">
                  <c:v>Part dans l'activité de Production et transformation de produits bois (%)</c:v>
                </c:pt>
              </c:strCache>
            </c:strRef>
          </c:tx>
          <c:spPr>
            <a:ln w="28575" cap="rnd">
              <a:solidFill>
                <a:schemeClr val="accent2"/>
              </a:solidFill>
              <a:round/>
            </a:ln>
            <a:effectLst/>
          </c:spPr>
          <c:marker>
            <c:symbol val="none"/>
          </c:marker>
          <c:cat>
            <c:numRef>
              <c:f>'Tableaux de bord'!$F$58:$F$62</c:f>
              <c:numCache>
                <c:formatCode>General</c:formatCode>
                <c:ptCount val="5"/>
                <c:pt idx="0">
                  <c:v>2016</c:v>
                </c:pt>
                <c:pt idx="1">
                  <c:v>2017</c:v>
                </c:pt>
                <c:pt idx="2">
                  <c:v>2018</c:v>
                </c:pt>
                <c:pt idx="3">
                  <c:v>2019</c:v>
                </c:pt>
                <c:pt idx="4">
                  <c:v>2020</c:v>
                </c:pt>
              </c:numCache>
            </c:numRef>
          </c:cat>
          <c:val>
            <c:numRef>
              <c:f>'Tableaux de bord'!$H$41:$H$45</c:f>
              <c:numCache>
                <c:formatCode>0.0%</c:formatCode>
                <c:ptCount val="5"/>
                <c:pt idx="0">
                  <c:v>9.3569337690606103E-2</c:v>
                </c:pt>
                <c:pt idx="1">
                  <c:v>9.4728773780282438E-2</c:v>
                </c:pt>
                <c:pt idx="2">
                  <c:v>8.9232454189667729E-2</c:v>
                </c:pt>
                <c:pt idx="3">
                  <c:v>9.109978488026281E-2</c:v>
                </c:pt>
                <c:pt idx="4">
                  <c:v>8.7065957172535041E-2</c:v>
                </c:pt>
              </c:numCache>
            </c:numRef>
          </c:val>
          <c:smooth val="0"/>
          <c:extLst>
            <c:ext xmlns:c16="http://schemas.microsoft.com/office/drawing/2014/chart" uri="{C3380CC4-5D6E-409C-BE32-E72D297353CC}">
              <c16:uniqueId val="{00000001-2DE5-4CE7-8876-4751E2B7D148}"/>
            </c:ext>
          </c:extLst>
        </c:ser>
        <c:dLbls>
          <c:showLegendKey val="0"/>
          <c:showVal val="0"/>
          <c:showCatName val="0"/>
          <c:showSerName val="0"/>
          <c:showPercent val="0"/>
          <c:showBubbleSize val="0"/>
        </c:dLbls>
        <c:marker val="1"/>
        <c:smooth val="0"/>
        <c:axId val="495332408"/>
        <c:axId val="495330448"/>
      </c:lineChart>
      <c:catAx>
        <c:axId val="32989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5329664"/>
        <c:crosses val="autoZero"/>
        <c:auto val="1"/>
        <c:lblAlgn val="ctr"/>
        <c:lblOffset val="100"/>
        <c:noMultiLvlLbl val="0"/>
      </c:catAx>
      <c:valAx>
        <c:axId val="495329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lumMod val="50000"/>
                  </a:schemeClr>
                </a:solidFill>
                <a:latin typeface="+mn-lt"/>
                <a:ea typeface="+mn-ea"/>
                <a:cs typeface="+mn-cs"/>
              </a:defRPr>
            </a:pPr>
            <a:endParaRPr lang="fr-FR"/>
          </a:p>
        </c:txPr>
        <c:crossAx val="329892288"/>
        <c:crosses val="autoZero"/>
        <c:crossBetween val="between"/>
      </c:valAx>
      <c:valAx>
        <c:axId val="495330448"/>
        <c:scaling>
          <c:orientation val="minMax"/>
          <c:min val="0"/>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2"/>
                </a:solidFill>
                <a:latin typeface="+mn-lt"/>
                <a:ea typeface="+mn-ea"/>
                <a:cs typeface="+mn-cs"/>
              </a:defRPr>
            </a:pPr>
            <a:endParaRPr lang="fr-FR"/>
          </a:p>
        </c:txPr>
        <c:crossAx val="495332408"/>
        <c:crosses val="max"/>
        <c:crossBetween val="between"/>
      </c:valAx>
      <c:catAx>
        <c:axId val="495332408"/>
        <c:scaling>
          <c:orientation val="minMax"/>
        </c:scaling>
        <c:delete val="1"/>
        <c:axPos val="b"/>
        <c:numFmt formatCode="General" sourceLinked="1"/>
        <c:majorTickMark val="none"/>
        <c:minorTickMark val="none"/>
        <c:tickLblPos val="nextTo"/>
        <c:crossAx val="4953304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080" b="1" i="0" u="none" strike="noStrike" kern="1200" spc="0" baseline="0">
                <a:solidFill>
                  <a:srgbClr val="8497B0"/>
                </a:solidFill>
                <a:latin typeface="+mn-lt"/>
                <a:ea typeface="+mn-ea"/>
                <a:cs typeface="+mn-cs"/>
              </a:defRPr>
            </a:pPr>
            <a:r>
              <a:rPr lang="fr-FR"/>
              <a:t>Productivité apparente du travail</a:t>
            </a:r>
          </a:p>
        </c:rich>
      </c:tx>
      <c:overlay val="0"/>
      <c:spPr>
        <a:noFill/>
        <a:ln>
          <a:noFill/>
        </a:ln>
        <a:effectLst/>
      </c:spPr>
      <c:txPr>
        <a:bodyPr rot="0" spcFirstLastPara="1" vertOverflow="ellipsis" vert="horz" wrap="square" anchor="ctr" anchorCtr="1"/>
        <a:lstStyle/>
        <a:p>
          <a:pPr>
            <a:defRPr lang="fr-FR" sz="1080" b="1" i="0" u="none" strike="noStrike" kern="1200" spc="0" baseline="0">
              <a:solidFill>
                <a:srgbClr val="8497B0"/>
              </a:solidFill>
              <a:latin typeface="+mn-lt"/>
              <a:ea typeface="+mn-ea"/>
              <a:cs typeface="+mn-cs"/>
            </a:defRPr>
          </a:pPr>
          <a:endParaRPr lang="fr-FR"/>
        </a:p>
      </c:txPr>
    </c:title>
    <c:autoTitleDeleted val="0"/>
    <c:plotArea>
      <c:layout>
        <c:manualLayout>
          <c:layoutTarget val="inner"/>
          <c:xMode val="edge"/>
          <c:yMode val="edge"/>
          <c:x val="0.13220092592592592"/>
          <c:y val="0.1660237776344726"/>
          <c:w val="0.73499537037037033"/>
          <c:h val="0.57589596044777358"/>
        </c:manualLayout>
      </c:layout>
      <c:barChart>
        <c:barDir val="col"/>
        <c:grouping val="clustered"/>
        <c:varyColors val="0"/>
        <c:ser>
          <c:idx val="0"/>
          <c:order val="0"/>
          <c:tx>
            <c:strRef>
              <c:f>'Tableaux de bord'!$G$57</c:f>
              <c:strCache>
                <c:ptCount val="1"/>
                <c:pt idx="0">
                  <c:v>Productivité de la branche (VA/ETP)</c:v>
                </c:pt>
              </c:strCache>
            </c:strRef>
          </c:tx>
          <c:spPr>
            <a:solidFill>
              <a:srgbClr val="8497B0"/>
            </a:solidFill>
            <a:ln>
              <a:solidFill>
                <a:schemeClr val="accent1"/>
              </a:solidFill>
            </a:ln>
            <a:effectLst/>
          </c:spPr>
          <c:invertIfNegative val="0"/>
          <c:cat>
            <c:numRef>
              <c:f>'Tableaux de bord'!$F$58:$F$62</c:f>
              <c:numCache>
                <c:formatCode>General</c:formatCode>
                <c:ptCount val="5"/>
                <c:pt idx="0">
                  <c:v>2016</c:v>
                </c:pt>
                <c:pt idx="1">
                  <c:v>2017</c:v>
                </c:pt>
                <c:pt idx="2">
                  <c:v>2018</c:v>
                </c:pt>
                <c:pt idx="3">
                  <c:v>2019</c:v>
                </c:pt>
                <c:pt idx="4">
                  <c:v>2020</c:v>
                </c:pt>
              </c:numCache>
            </c:numRef>
          </c:cat>
          <c:val>
            <c:numRef>
              <c:f>'Tableaux de bord'!$G$58:$G$62</c:f>
              <c:numCache>
                <c:formatCode>#,##0</c:formatCode>
                <c:ptCount val="5"/>
                <c:pt idx="0">
                  <c:v>50.126436781609193</c:v>
                </c:pt>
                <c:pt idx="1">
                  <c:v>50.126436781609186</c:v>
                </c:pt>
                <c:pt idx="2">
                  <c:v>50.126436781609193</c:v>
                </c:pt>
                <c:pt idx="3">
                  <c:v>50.126436781609193</c:v>
                </c:pt>
                <c:pt idx="4">
                  <c:v>44.753347279160373</c:v>
                </c:pt>
              </c:numCache>
            </c:numRef>
          </c:val>
          <c:extLst>
            <c:ext xmlns:c16="http://schemas.microsoft.com/office/drawing/2014/chart" uri="{C3380CC4-5D6E-409C-BE32-E72D297353CC}">
              <c16:uniqueId val="{00000000-F452-4B16-84B5-BAFA569F9B74}"/>
            </c:ext>
          </c:extLst>
        </c:ser>
        <c:dLbls>
          <c:showLegendKey val="0"/>
          <c:showVal val="0"/>
          <c:showCatName val="0"/>
          <c:showSerName val="0"/>
          <c:showPercent val="0"/>
          <c:showBubbleSize val="0"/>
        </c:dLbls>
        <c:gapWidth val="219"/>
        <c:overlap val="-32"/>
        <c:axId val="495333976"/>
        <c:axId val="495331232"/>
      </c:barChart>
      <c:lineChart>
        <c:grouping val="standard"/>
        <c:varyColors val="0"/>
        <c:ser>
          <c:idx val="1"/>
          <c:order val="1"/>
          <c:tx>
            <c:strRef>
              <c:f>'Tableaux de bord'!$H$57</c:f>
              <c:strCache>
                <c:ptCount val="1"/>
                <c:pt idx="0">
                  <c:v>Productivité dans l'activité de Production et transformation de produits bois (VA/ETP)</c:v>
                </c:pt>
              </c:strCache>
            </c:strRef>
          </c:tx>
          <c:spPr>
            <a:ln w="28575" cap="rnd">
              <a:solidFill>
                <a:schemeClr val="accent2"/>
              </a:solidFill>
              <a:round/>
            </a:ln>
            <a:effectLst/>
          </c:spPr>
          <c:marker>
            <c:symbol val="none"/>
          </c:marker>
          <c:cat>
            <c:numRef>
              <c:f>'Tableaux de bord'!$F$58:$F$62</c:f>
              <c:numCache>
                <c:formatCode>General</c:formatCode>
                <c:ptCount val="5"/>
                <c:pt idx="0">
                  <c:v>2016</c:v>
                </c:pt>
                <c:pt idx="1">
                  <c:v>2017</c:v>
                </c:pt>
                <c:pt idx="2">
                  <c:v>2018</c:v>
                </c:pt>
                <c:pt idx="3">
                  <c:v>2019</c:v>
                </c:pt>
                <c:pt idx="4">
                  <c:v>2020</c:v>
                </c:pt>
              </c:numCache>
            </c:numRef>
          </c:cat>
          <c:val>
            <c:numRef>
              <c:f>'Tableaux de bord'!$H$58:$H$62</c:f>
              <c:numCache>
                <c:formatCode>#,##0</c:formatCode>
                <c:ptCount val="5"/>
                <c:pt idx="0">
                  <c:v>65.775131279657558</c:v>
                </c:pt>
                <c:pt idx="1">
                  <c:v>65.825040511382156</c:v>
                </c:pt>
                <c:pt idx="2">
                  <c:v>66.164704778590334</c:v>
                </c:pt>
                <c:pt idx="3">
                  <c:v>65.81960551366285</c:v>
                </c:pt>
                <c:pt idx="4">
                  <c:v>61.819316709450916</c:v>
                </c:pt>
              </c:numCache>
            </c:numRef>
          </c:val>
          <c:smooth val="0"/>
          <c:extLst>
            <c:ext xmlns:c16="http://schemas.microsoft.com/office/drawing/2014/chart" uri="{C3380CC4-5D6E-409C-BE32-E72D297353CC}">
              <c16:uniqueId val="{00000001-F452-4B16-84B5-BAFA569F9B74}"/>
            </c:ext>
          </c:extLst>
        </c:ser>
        <c:dLbls>
          <c:showLegendKey val="0"/>
          <c:showVal val="0"/>
          <c:showCatName val="0"/>
          <c:showSerName val="0"/>
          <c:showPercent val="0"/>
          <c:showBubbleSize val="0"/>
        </c:dLbls>
        <c:marker val="1"/>
        <c:smooth val="0"/>
        <c:axId val="495333584"/>
        <c:axId val="495335936"/>
      </c:lineChart>
      <c:valAx>
        <c:axId val="495335936"/>
        <c:scaling>
          <c:orientation val="minMax"/>
          <c:min val="0"/>
        </c:scaling>
        <c:delete val="0"/>
        <c:axPos val="r"/>
        <c:title>
          <c:tx>
            <c:rich>
              <a:bodyPr rot="-5400000" spcFirstLastPara="1" vertOverflow="ellipsis" vert="horz" wrap="square" anchor="ctr" anchorCtr="1"/>
              <a:lstStyle/>
              <a:p>
                <a:pPr>
                  <a:defRPr lang="fr-FR" sz="900" b="1" i="0" u="none" strike="noStrike" kern="1200" baseline="0">
                    <a:solidFill>
                      <a:srgbClr val="8497B0"/>
                    </a:solidFill>
                    <a:latin typeface="+mn-lt"/>
                    <a:ea typeface="+mn-ea"/>
                    <a:cs typeface="+mn-cs"/>
                  </a:defRPr>
                </a:pPr>
                <a:r>
                  <a:rPr lang="fr-FR"/>
                  <a:t>k€/ETP</a:t>
                </a:r>
              </a:p>
            </c:rich>
          </c:tx>
          <c:overlay val="0"/>
          <c:spPr>
            <a:noFill/>
            <a:ln>
              <a:noFill/>
            </a:ln>
            <a:effectLst/>
          </c:spPr>
          <c:txPr>
            <a:bodyPr rot="-5400000" spcFirstLastPara="1" vertOverflow="ellipsis" vert="horz" wrap="square" anchor="ctr" anchorCtr="1"/>
            <a:lstStyle/>
            <a:p>
              <a:pPr>
                <a:defRPr lang="fr-FR" sz="900" b="1" i="0" u="none" strike="noStrike" kern="1200" baseline="0">
                  <a:solidFill>
                    <a:srgbClr val="8497B0"/>
                  </a:solidFill>
                  <a:latin typeface="+mn-lt"/>
                  <a:ea typeface="+mn-ea"/>
                  <a:cs typeface="+mn-cs"/>
                </a:defRPr>
              </a:pPr>
              <a:endParaRPr lang="fr-FR"/>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fr-FR" sz="900" b="1" i="0" u="none" strike="noStrike" kern="1200" baseline="0">
                <a:solidFill>
                  <a:srgbClr val="8497B0"/>
                </a:solidFill>
                <a:latin typeface="+mn-lt"/>
                <a:ea typeface="+mn-ea"/>
                <a:cs typeface="+mn-cs"/>
              </a:defRPr>
            </a:pPr>
            <a:endParaRPr lang="fr-FR"/>
          </a:p>
        </c:txPr>
        <c:crossAx val="495333584"/>
        <c:crosses val="max"/>
        <c:crossBetween val="between"/>
      </c:valAx>
      <c:catAx>
        <c:axId val="4953335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fr-FR" sz="900" b="1" i="0" u="none" strike="noStrike" kern="1200" baseline="0">
                <a:solidFill>
                  <a:srgbClr val="8497B0"/>
                </a:solidFill>
                <a:latin typeface="+mn-lt"/>
                <a:ea typeface="+mn-ea"/>
                <a:cs typeface="+mn-cs"/>
              </a:defRPr>
            </a:pPr>
            <a:endParaRPr lang="fr-FR"/>
          </a:p>
        </c:txPr>
        <c:crossAx val="495335936"/>
        <c:crosses val="autoZero"/>
        <c:auto val="1"/>
        <c:lblAlgn val="ctr"/>
        <c:lblOffset val="100"/>
        <c:noMultiLvlLbl val="0"/>
      </c:catAx>
      <c:valAx>
        <c:axId val="495331232"/>
        <c:scaling>
          <c:orientation val="minMax"/>
          <c:min val="0"/>
        </c:scaling>
        <c:delete val="0"/>
        <c:axPos val="l"/>
        <c:title>
          <c:tx>
            <c:rich>
              <a:bodyPr rot="-5400000" spcFirstLastPara="1" vertOverflow="ellipsis" vert="horz" wrap="square" anchor="ctr" anchorCtr="1"/>
              <a:lstStyle/>
              <a:p>
                <a:pPr>
                  <a:defRPr lang="fr-FR" sz="900" b="1" i="0" u="none" strike="noStrike" kern="1200" baseline="0">
                    <a:solidFill>
                      <a:srgbClr val="8497B0"/>
                    </a:solidFill>
                    <a:latin typeface="+mn-lt"/>
                    <a:ea typeface="+mn-ea"/>
                    <a:cs typeface="+mn-cs"/>
                  </a:defRPr>
                </a:pPr>
                <a:r>
                  <a:rPr lang="fr-FR"/>
                  <a:t>k€/ETP</a:t>
                </a:r>
              </a:p>
            </c:rich>
          </c:tx>
          <c:overlay val="0"/>
          <c:spPr>
            <a:noFill/>
            <a:ln>
              <a:noFill/>
            </a:ln>
            <a:effectLst/>
          </c:spPr>
          <c:txPr>
            <a:bodyPr rot="-5400000" spcFirstLastPara="1" vertOverflow="ellipsis" vert="horz" wrap="square" anchor="ctr" anchorCtr="1"/>
            <a:lstStyle/>
            <a:p>
              <a:pPr>
                <a:defRPr lang="fr-FR" sz="900" b="1" i="0" u="none" strike="noStrike" kern="1200" baseline="0">
                  <a:solidFill>
                    <a:srgbClr val="8497B0"/>
                  </a:solidFill>
                  <a:latin typeface="+mn-lt"/>
                  <a:ea typeface="+mn-ea"/>
                  <a:cs typeface="+mn-cs"/>
                </a:defRPr>
              </a:pPr>
              <a:endParaRPr lang="fr-FR"/>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fr-FR" sz="900" b="1" i="0" u="none" strike="noStrike" kern="1200" baseline="0">
                <a:solidFill>
                  <a:srgbClr val="8497B0"/>
                </a:solidFill>
                <a:latin typeface="+mn-lt"/>
                <a:ea typeface="+mn-ea"/>
                <a:cs typeface="+mn-cs"/>
              </a:defRPr>
            </a:pPr>
            <a:endParaRPr lang="fr-FR"/>
          </a:p>
        </c:txPr>
        <c:crossAx val="495333976"/>
        <c:crosses val="autoZero"/>
        <c:crossBetween val="between"/>
      </c:valAx>
      <c:catAx>
        <c:axId val="495333976"/>
        <c:scaling>
          <c:orientation val="minMax"/>
        </c:scaling>
        <c:delete val="1"/>
        <c:axPos val="b"/>
        <c:numFmt formatCode="General" sourceLinked="1"/>
        <c:majorTickMark val="out"/>
        <c:minorTickMark val="none"/>
        <c:tickLblPos val="nextTo"/>
        <c:crossAx val="495331232"/>
        <c:crosses val="autoZero"/>
        <c:auto val="1"/>
        <c:lblAlgn val="ctr"/>
        <c:lblOffset val="100"/>
        <c:noMultiLvlLbl val="0"/>
      </c:catAx>
      <c:spPr>
        <a:noFill/>
        <a:ln>
          <a:noFill/>
        </a:ln>
        <a:effectLst/>
      </c:spPr>
    </c:plotArea>
    <c:legend>
      <c:legendPos val="b"/>
      <c:layout>
        <c:manualLayout>
          <c:xMode val="edge"/>
          <c:yMode val="edge"/>
          <c:x val="5.552199074074074E-2"/>
          <c:y val="0.81467599252608425"/>
          <c:w val="0.88895601851851846"/>
          <c:h val="0.17272417613307539"/>
        </c:manualLayout>
      </c:layout>
      <c:overlay val="0"/>
      <c:spPr>
        <a:noFill/>
        <a:ln>
          <a:noFill/>
        </a:ln>
        <a:effectLst/>
      </c:spPr>
      <c:txPr>
        <a:bodyPr rot="0" spcFirstLastPara="1" vertOverflow="ellipsis" vert="horz" wrap="square" anchor="ctr" anchorCtr="1"/>
        <a:lstStyle/>
        <a:p>
          <a:pPr>
            <a:defRPr lang="fr-FR" sz="900" b="1" i="0" u="none" strike="noStrike" kern="1200" baseline="0">
              <a:solidFill>
                <a:srgbClr val="8497B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lgn="ctr">
        <a:defRPr lang="fr-FR" sz="900" b="1" i="0" u="none" strike="noStrike" kern="1200" baseline="0">
          <a:solidFill>
            <a:srgbClr val="8497B0"/>
          </a:solidFill>
          <a:latin typeface="+mn-lt"/>
          <a:ea typeface="+mn-ea"/>
          <a:cs typeface="+mn-cs"/>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Import - Export</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'Tableaux de bord'!$F$72</c:f>
              <c:strCache>
                <c:ptCount val="1"/>
                <c:pt idx="0">
                  <c:v>2016</c:v>
                </c:pt>
              </c:strCache>
            </c:strRef>
          </c:tx>
          <c:spPr>
            <a:solidFill>
              <a:schemeClr val="accent6">
                <a:lumMod val="50000"/>
              </a:schemeClr>
            </a:solidFill>
            <a:ln>
              <a:solidFill>
                <a:schemeClr val="accent1"/>
              </a:solidFill>
            </a:ln>
            <a:effectLst/>
          </c:spPr>
          <c:invertIfNegative val="0"/>
          <c:dPt>
            <c:idx val="1"/>
            <c:invertIfNegative val="0"/>
            <c:bubble3D val="0"/>
            <c:spPr>
              <a:solidFill>
                <a:schemeClr val="accent6">
                  <a:lumMod val="50000"/>
                </a:schemeClr>
              </a:solidFill>
              <a:ln>
                <a:noFill/>
              </a:ln>
              <a:effectLst/>
            </c:spPr>
            <c:extLst>
              <c:ext xmlns:c16="http://schemas.microsoft.com/office/drawing/2014/chart" uri="{C3380CC4-5D6E-409C-BE32-E72D297353CC}">
                <c16:uniqueId val="{00000001-6A79-4E9D-A976-7A31BD1E731F}"/>
              </c:ext>
            </c:extLst>
          </c:dPt>
          <c:cat>
            <c:strRef>
              <c:f>'Tableaux de bord'!$G$71:$H$71</c:f>
              <c:strCache>
                <c:ptCount val="2"/>
                <c:pt idx="0">
                  <c:v>Importation de la branche</c:v>
                </c:pt>
                <c:pt idx="1">
                  <c:v>Exportation de la branche</c:v>
                </c:pt>
              </c:strCache>
            </c:strRef>
          </c:cat>
          <c:val>
            <c:numRef>
              <c:f>'Tableaux de bord'!$G$72:$H$72</c:f>
              <c:numCache>
                <c:formatCode>#,##0</c:formatCode>
                <c:ptCount val="2"/>
                <c:pt idx="0">
                  <c:v>3379168.8160000001</c:v>
                </c:pt>
                <c:pt idx="1">
                  <c:v>965684</c:v>
                </c:pt>
              </c:numCache>
            </c:numRef>
          </c:val>
          <c:extLst>
            <c:ext xmlns:c16="http://schemas.microsoft.com/office/drawing/2014/chart" uri="{C3380CC4-5D6E-409C-BE32-E72D297353CC}">
              <c16:uniqueId val="{00000002-6A79-4E9D-A976-7A31BD1E731F}"/>
            </c:ext>
          </c:extLst>
        </c:ser>
        <c:ser>
          <c:idx val="1"/>
          <c:order val="1"/>
          <c:tx>
            <c:strRef>
              <c:f>'Tableaux de bord'!$F$73</c:f>
              <c:strCache>
                <c:ptCount val="1"/>
                <c:pt idx="0">
                  <c:v>2017</c:v>
                </c:pt>
              </c:strCache>
            </c:strRef>
          </c:tx>
          <c:spPr>
            <a:solidFill>
              <a:schemeClr val="accent6"/>
            </a:solidFill>
            <a:ln>
              <a:noFill/>
            </a:ln>
            <a:effectLst/>
          </c:spPr>
          <c:invertIfNegative val="0"/>
          <c:cat>
            <c:strRef>
              <c:f>'Tableaux de bord'!$G$71:$H$71</c:f>
              <c:strCache>
                <c:ptCount val="2"/>
                <c:pt idx="0">
                  <c:v>Importation de la branche</c:v>
                </c:pt>
                <c:pt idx="1">
                  <c:v>Exportation de la branche</c:v>
                </c:pt>
              </c:strCache>
            </c:strRef>
          </c:cat>
          <c:val>
            <c:numRef>
              <c:f>'Tableaux de bord'!$G$73:$H$73</c:f>
              <c:numCache>
                <c:formatCode>#,##0</c:formatCode>
                <c:ptCount val="2"/>
                <c:pt idx="0">
                  <c:v>3360007.767</c:v>
                </c:pt>
                <c:pt idx="1">
                  <c:v>860716.21099999989</c:v>
                </c:pt>
              </c:numCache>
            </c:numRef>
          </c:val>
          <c:extLst>
            <c:ext xmlns:c16="http://schemas.microsoft.com/office/drawing/2014/chart" uri="{C3380CC4-5D6E-409C-BE32-E72D297353CC}">
              <c16:uniqueId val="{00000003-6A79-4E9D-A976-7A31BD1E731F}"/>
            </c:ext>
          </c:extLst>
        </c:ser>
        <c:ser>
          <c:idx val="2"/>
          <c:order val="2"/>
          <c:tx>
            <c:strRef>
              <c:f>'Tableaux de bord'!$F$74</c:f>
              <c:strCache>
                <c:ptCount val="1"/>
                <c:pt idx="0">
                  <c:v>2018</c:v>
                </c:pt>
              </c:strCache>
            </c:strRef>
          </c:tx>
          <c:spPr>
            <a:solidFill>
              <a:schemeClr val="accent6">
                <a:lumMod val="60000"/>
                <a:lumOff val="40000"/>
              </a:schemeClr>
            </a:solidFill>
            <a:ln>
              <a:noFill/>
            </a:ln>
            <a:effectLst/>
          </c:spPr>
          <c:invertIfNegative val="0"/>
          <c:cat>
            <c:strRef>
              <c:f>'Tableaux de bord'!$G$71:$H$71</c:f>
              <c:strCache>
                <c:ptCount val="2"/>
                <c:pt idx="0">
                  <c:v>Importation de la branche</c:v>
                </c:pt>
                <c:pt idx="1">
                  <c:v>Exportation de la branche</c:v>
                </c:pt>
              </c:strCache>
            </c:strRef>
          </c:cat>
          <c:val>
            <c:numRef>
              <c:f>'Tableaux de bord'!$G$74:$H$74</c:f>
              <c:numCache>
                <c:formatCode>#,##0</c:formatCode>
                <c:ptCount val="2"/>
                <c:pt idx="0">
                  <c:v>3530516.7140000039</c:v>
                </c:pt>
                <c:pt idx="1">
                  <c:v>879152.4600000002</c:v>
                </c:pt>
              </c:numCache>
            </c:numRef>
          </c:val>
          <c:extLst>
            <c:ext xmlns:c16="http://schemas.microsoft.com/office/drawing/2014/chart" uri="{C3380CC4-5D6E-409C-BE32-E72D297353CC}">
              <c16:uniqueId val="{00000002-C3E2-49E2-9B1B-EBC82E040637}"/>
            </c:ext>
          </c:extLst>
        </c:ser>
        <c:ser>
          <c:idx val="3"/>
          <c:order val="3"/>
          <c:tx>
            <c:strRef>
              <c:f>'Tableaux de bord'!$F$75</c:f>
              <c:strCache>
                <c:ptCount val="1"/>
                <c:pt idx="0">
                  <c:v>2019</c:v>
                </c:pt>
              </c:strCache>
            </c:strRef>
          </c:tx>
          <c:spPr>
            <a:solidFill>
              <a:schemeClr val="accent6">
                <a:lumMod val="40000"/>
                <a:lumOff val="60000"/>
              </a:schemeClr>
            </a:solidFill>
            <a:ln>
              <a:noFill/>
            </a:ln>
            <a:effectLst/>
          </c:spPr>
          <c:invertIfNegative val="0"/>
          <c:cat>
            <c:strRef>
              <c:f>'Tableaux de bord'!$G$71:$H$71</c:f>
              <c:strCache>
                <c:ptCount val="2"/>
                <c:pt idx="0">
                  <c:v>Importation de la branche</c:v>
                </c:pt>
                <c:pt idx="1">
                  <c:v>Exportation de la branche</c:v>
                </c:pt>
              </c:strCache>
            </c:strRef>
          </c:cat>
          <c:val>
            <c:numRef>
              <c:f>'Tableaux de bord'!$G$75:$H$75</c:f>
              <c:numCache>
                <c:formatCode>#,##0</c:formatCode>
                <c:ptCount val="2"/>
                <c:pt idx="0">
                  <c:v>3751407.2050000043</c:v>
                </c:pt>
                <c:pt idx="1">
                  <c:v>895271.15400000615</c:v>
                </c:pt>
              </c:numCache>
            </c:numRef>
          </c:val>
          <c:extLst>
            <c:ext xmlns:c16="http://schemas.microsoft.com/office/drawing/2014/chart" uri="{C3380CC4-5D6E-409C-BE32-E72D297353CC}">
              <c16:uniqueId val="{00000003-0D56-4978-91C8-F7EE4C2FC927}"/>
            </c:ext>
          </c:extLst>
        </c:ser>
        <c:ser>
          <c:idx val="4"/>
          <c:order val="4"/>
          <c:tx>
            <c:strRef>
              <c:f>'Tableaux de bord'!$F$76</c:f>
              <c:strCache>
                <c:ptCount val="1"/>
                <c:pt idx="0">
                  <c:v>2020</c:v>
                </c:pt>
              </c:strCache>
            </c:strRef>
          </c:tx>
          <c:spPr>
            <a:solidFill>
              <a:schemeClr val="accent5"/>
            </a:solidFill>
            <a:ln>
              <a:noFill/>
            </a:ln>
            <a:effectLst/>
          </c:spPr>
          <c:invertIfNegative val="0"/>
          <c:cat>
            <c:strRef>
              <c:f>'Tableaux de bord'!$G$71:$H$71</c:f>
              <c:strCache>
                <c:ptCount val="2"/>
                <c:pt idx="0">
                  <c:v>Importation de la branche</c:v>
                </c:pt>
                <c:pt idx="1">
                  <c:v>Exportation de la branche</c:v>
                </c:pt>
              </c:strCache>
            </c:strRef>
          </c:cat>
          <c:val>
            <c:numRef>
              <c:f>'Tableaux de bord'!$G$76:$H$76</c:f>
              <c:numCache>
                <c:formatCode>#,##0</c:formatCode>
                <c:ptCount val="2"/>
                <c:pt idx="0">
                  <c:v>3530305.1120000039</c:v>
                </c:pt>
                <c:pt idx="1">
                  <c:v>745389.98527900188</c:v>
                </c:pt>
              </c:numCache>
            </c:numRef>
          </c:val>
          <c:extLst>
            <c:ext xmlns:c16="http://schemas.microsoft.com/office/drawing/2014/chart" uri="{C3380CC4-5D6E-409C-BE32-E72D297353CC}">
              <c16:uniqueId val="{00000003-CDB8-4E34-930E-395CFB35D164}"/>
            </c:ext>
          </c:extLst>
        </c:ser>
        <c:dLbls>
          <c:showLegendKey val="0"/>
          <c:showVal val="0"/>
          <c:showCatName val="0"/>
          <c:showSerName val="0"/>
          <c:showPercent val="0"/>
          <c:showBubbleSize val="0"/>
        </c:dLbls>
        <c:gapWidth val="219"/>
        <c:axId val="495331624"/>
        <c:axId val="495332016"/>
      </c:barChart>
      <c:catAx>
        <c:axId val="495331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5332016"/>
        <c:crosses val="autoZero"/>
        <c:auto val="1"/>
        <c:lblAlgn val="ctr"/>
        <c:lblOffset val="100"/>
        <c:noMultiLvlLbl val="0"/>
      </c:catAx>
      <c:valAx>
        <c:axId val="49533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r-FR">
                    <a:solidFill>
                      <a:sysClr val="windowText" lastClr="000000"/>
                    </a:solidFill>
                  </a:rPr>
                  <a:t>k€</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lumMod val="50000"/>
                  </a:schemeClr>
                </a:solidFill>
                <a:latin typeface="+mn-lt"/>
                <a:ea typeface="+mn-ea"/>
                <a:cs typeface="+mn-cs"/>
              </a:defRPr>
            </a:pPr>
            <a:endParaRPr lang="fr-FR"/>
          </a:p>
        </c:txPr>
        <c:crossAx val="495331624"/>
        <c:crosses val="autoZero"/>
        <c:crossBetween val="between"/>
      </c:valAx>
      <c:spPr>
        <a:noFill/>
        <a:ln>
          <a:noFill/>
        </a:ln>
        <a:effectLst/>
      </c:spPr>
    </c:plotArea>
    <c:legend>
      <c:legendPos val="b"/>
      <c:layout>
        <c:manualLayout>
          <c:xMode val="edge"/>
          <c:yMode val="edge"/>
          <c:x val="5.552199074074074E-2"/>
          <c:y val="0.86507531788944558"/>
          <c:w val="0.49670066237044774"/>
          <c:h val="7.07184398742792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Taux de couverture du commerce extérieur</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'Tableaux de bord'!$G$85</c:f>
              <c:strCache>
                <c:ptCount val="1"/>
                <c:pt idx="0">
                  <c:v>Taux de couverture de la branche (Export/Import)</c:v>
                </c:pt>
              </c:strCache>
            </c:strRef>
          </c:tx>
          <c:spPr>
            <a:solidFill>
              <a:srgbClr val="8497B0"/>
            </a:solidFill>
            <a:ln>
              <a:solidFill>
                <a:schemeClr val="accent1"/>
              </a:solidFill>
            </a:ln>
            <a:effectLst/>
          </c:spPr>
          <c:invertIfNegative val="0"/>
          <c:cat>
            <c:numRef>
              <c:f>'Tableaux de bord'!$F$86:$F$90</c:f>
              <c:numCache>
                <c:formatCode>General</c:formatCode>
                <c:ptCount val="5"/>
                <c:pt idx="0">
                  <c:v>2016</c:v>
                </c:pt>
                <c:pt idx="1">
                  <c:v>2017</c:v>
                </c:pt>
                <c:pt idx="2">
                  <c:v>2018</c:v>
                </c:pt>
                <c:pt idx="3">
                  <c:v>2019</c:v>
                </c:pt>
                <c:pt idx="4">
                  <c:v>2020</c:v>
                </c:pt>
              </c:numCache>
            </c:numRef>
          </c:cat>
          <c:val>
            <c:numRef>
              <c:f>'Tableaux de bord'!$G$86:$G$90</c:f>
              <c:numCache>
                <c:formatCode>0%</c:formatCode>
                <c:ptCount val="5"/>
                <c:pt idx="0">
                  <c:v>0.28577560121518353</c:v>
                </c:pt>
                <c:pt idx="1">
                  <c:v>0.28577560121518353</c:v>
                </c:pt>
                <c:pt idx="2">
                  <c:v>0.28577560121518353</c:v>
                </c:pt>
                <c:pt idx="3">
                  <c:v>0.28577560121518353</c:v>
                </c:pt>
                <c:pt idx="4">
                  <c:v>0.28577560121518353</c:v>
                </c:pt>
              </c:numCache>
            </c:numRef>
          </c:val>
          <c:extLst>
            <c:ext xmlns:c16="http://schemas.microsoft.com/office/drawing/2014/chart" uri="{C3380CC4-5D6E-409C-BE32-E72D297353CC}">
              <c16:uniqueId val="{00000000-E716-4237-A7A3-FE43B98A38BC}"/>
            </c:ext>
          </c:extLst>
        </c:ser>
        <c:dLbls>
          <c:showLegendKey val="0"/>
          <c:showVal val="0"/>
          <c:showCatName val="0"/>
          <c:showSerName val="0"/>
          <c:showPercent val="0"/>
          <c:showBubbleSize val="0"/>
        </c:dLbls>
        <c:gapWidth val="219"/>
        <c:overlap val="-27"/>
        <c:axId val="495329272"/>
        <c:axId val="495334760"/>
      </c:barChart>
      <c:lineChart>
        <c:grouping val="standard"/>
        <c:varyColors val="0"/>
        <c:ser>
          <c:idx val="1"/>
          <c:order val="1"/>
          <c:tx>
            <c:strRef>
              <c:f>'Tableaux de bord'!$H$85</c:f>
              <c:strCache>
                <c:ptCount val="1"/>
                <c:pt idx="0">
                  <c:v>Taux de couverture dans l'activité Production et transformation de produits bois</c:v>
                </c:pt>
              </c:strCache>
            </c:strRef>
          </c:tx>
          <c:spPr>
            <a:ln w="28575" cap="rnd">
              <a:solidFill>
                <a:schemeClr val="accent2"/>
              </a:solidFill>
              <a:round/>
            </a:ln>
            <a:effectLst/>
          </c:spPr>
          <c:marker>
            <c:symbol val="none"/>
          </c:marker>
          <c:cat>
            <c:numRef>
              <c:f>'Tableaux de bord'!$F$86:$F$90</c:f>
              <c:numCache>
                <c:formatCode>General</c:formatCode>
                <c:ptCount val="5"/>
                <c:pt idx="0">
                  <c:v>2016</c:v>
                </c:pt>
                <c:pt idx="1">
                  <c:v>2017</c:v>
                </c:pt>
                <c:pt idx="2">
                  <c:v>2018</c:v>
                </c:pt>
                <c:pt idx="3">
                  <c:v>2019</c:v>
                </c:pt>
                <c:pt idx="4">
                  <c:v>2020</c:v>
                </c:pt>
              </c:numCache>
            </c:numRef>
          </c:cat>
          <c:val>
            <c:numRef>
              <c:f>'Tableaux de bord'!$H$86:$H$90</c:f>
              <c:numCache>
                <c:formatCode>0.0%</c:formatCode>
                <c:ptCount val="5"/>
                <c:pt idx="0">
                  <c:v>0.58755407217616051</c:v>
                </c:pt>
                <c:pt idx="1">
                  <c:v>0.58051801906995237</c:v>
                </c:pt>
                <c:pt idx="2">
                  <c:v>0.58051801906995237</c:v>
                </c:pt>
                <c:pt idx="3">
                  <c:v>0.58051801906995237</c:v>
                </c:pt>
                <c:pt idx="4">
                  <c:v>0.58051801906995237</c:v>
                </c:pt>
              </c:numCache>
            </c:numRef>
          </c:val>
          <c:smooth val="0"/>
          <c:extLst>
            <c:ext xmlns:c16="http://schemas.microsoft.com/office/drawing/2014/chart" uri="{C3380CC4-5D6E-409C-BE32-E72D297353CC}">
              <c16:uniqueId val="{00000001-E716-4237-A7A3-FE43B98A38BC}"/>
            </c:ext>
          </c:extLst>
        </c:ser>
        <c:dLbls>
          <c:showLegendKey val="0"/>
          <c:showVal val="0"/>
          <c:showCatName val="0"/>
          <c:showSerName val="0"/>
          <c:showPercent val="0"/>
          <c:showBubbleSize val="0"/>
        </c:dLbls>
        <c:marker val="1"/>
        <c:smooth val="0"/>
        <c:axId val="495724304"/>
        <c:axId val="495335544"/>
      </c:lineChart>
      <c:catAx>
        <c:axId val="495329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5334760"/>
        <c:crosses val="autoZero"/>
        <c:auto val="1"/>
        <c:lblAlgn val="ctr"/>
        <c:lblOffset val="100"/>
        <c:noMultiLvlLbl val="0"/>
      </c:catAx>
      <c:valAx>
        <c:axId val="4953347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8497B0"/>
                </a:solidFill>
                <a:latin typeface="+mn-lt"/>
                <a:ea typeface="+mn-ea"/>
                <a:cs typeface="+mn-cs"/>
              </a:defRPr>
            </a:pPr>
            <a:endParaRPr lang="fr-FR"/>
          </a:p>
        </c:txPr>
        <c:crossAx val="495329272"/>
        <c:crosses val="autoZero"/>
        <c:crossBetween val="between"/>
      </c:valAx>
      <c:valAx>
        <c:axId val="495335544"/>
        <c:scaling>
          <c:orientation val="minMax"/>
          <c:min val="0"/>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2"/>
                </a:solidFill>
                <a:latin typeface="+mn-lt"/>
                <a:ea typeface="+mn-ea"/>
                <a:cs typeface="+mn-cs"/>
              </a:defRPr>
            </a:pPr>
            <a:endParaRPr lang="fr-FR"/>
          </a:p>
        </c:txPr>
        <c:crossAx val="495724304"/>
        <c:crosses val="max"/>
        <c:crossBetween val="between"/>
      </c:valAx>
      <c:catAx>
        <c:axId val="495724304"/>
        <c:scaling>
          <c:orientation val="minMax"/>
        </c:scaling>
        <c:delete val="1"/>
        <c:axPos val="b"/>
        <c:numFmt formatCode="General" sourceLinked="1"/>
        <c:majorTickMark val="none"/>
        <c:minorTickMark val="none"/>
        <c:tickLblPos val="nextTo"/>
        <c:crossAx val="495335544"/>
        <c:crosses val="autoZero"/>
        <c:auto val="1"/>
        <c:lblAlgn val="ctr"/>
        <c:lblOffset val="100"/>
        <c:noMultiLvlLbl val="0"/>
      </c:catAx>
      <c:spPr>
        <a:noFill/>
        <a:ln>
          <a:noFill/>
        </a:ln>
        <a:effectLst/>
      </c:spPr>
    </c:plotArea>
    <c:legend>
      <c:legendPos val="b"/>
      <c:layout>
        <c:manualLayout>
          <c:xMode val="edge"/>
          <c:yMode val="edge"/>
          <c:x val="5.8327314814814818E-2"/>
          <c:y val="0.81047604874580415"/>
          <c:w val="0.88334513888888888"/>
          <c:h val="0.164324288572515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Taux de couverture de la demande par l'offre nationale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'Tableaux de bord'!$G$100</c:f>
              <c:strCache>
                <c:ptCount val="1"/>
                <c:pt idx="0">
                  <c:v>Taux de couverture de la demande de la branche</c:v>
                </c:pt>
              </c:strCache>
            </c:strRef>
          </c:tx>
          <c:spPr>
            <a:solidFill>
              <a:srgbClr val="8497B0"/>
            </a:solidFill>
            <a:ln>
              <a:solidFill>
                <a:schemeClr val="accent1"/>
              </a:solidFill>
            </a:ln>
            <a:effectLst/>
          </c:spPr>
          <c:invertIfNegative val="0"/>
          <c:cat>
            <c:numRef>
              <c:f>'Tableaux de bord'!$F$101:$F$105</c:f>
              <c:numCache>
                <c:formatCode>General</c:formatCode>
                <c:ptCount val="5"/>
                <c:pt idx="0">
                  <c:v>2016</c:v>
                </c:pt>
                <c:pt idx="1">
                  <c:v>2017</c:v>
                </c:pt>
                <c:pt idx="2">
                  <c:v>2018</c:v>
                </c:pt>
                <c:pt idx="3">
                  <c:v>2019</c:v>
                </c:pt>
                <c:pt idx="4">
                  <c:v>2020</c:v>
                </c:pt>
              </c:numCache>
            </c:numRef>
          </c:cat>
          <c:val>
            <c:numRef>
              <c:f>'Tableaux de bord'!$G$101:$G$105</c:f>
              <c:numCache>
                <c:formatCode>0%</c:formatCode>
                <c:ptCount val="5"/>
                <c:pt idx="0">
                  <c:v>0.40778522458316274</c:v>
                </c:pt>
                <c:pt idx="1">
                  <c:v>0.43429379921233374</c:v>
                </c:pt>
                <c:pt idx="2">
                  <c:v>0.4048356747208236</c:v>
                </c:pt>
                <c:pt idx="3">
                  <c:v>0.39441176263926958</c:v>
                </c:pt>
                <c:pt idx="4">
                  <c:v>0.38685040906377832</c:v>
                </c:pt>
              </c:numCache>
            </c:numRef>
          </c:val>
          <c:extLst>
            <c:ext xmlns:c16="http://schemas.microsoft.com/office/drawing/2014/chart" uri="{C3380CC4-5D6E-409C-BE32-E72D297353CC}">
              <c16:uniqueId val="{00000000-722D-4B2B-8AE0-B3D100DC36E2}"/>
            </c:ext>
          </c:extLst>
        </c:ser>
        <c:dLbls>
          <c:showLegendKey val="0"/>
          <c:showVal val="0"/>
          <c:showCatName val="0"/>
          <c:showSerName val="0"/>
          <c:showPercent val="0"/>
          <c:showBubbleSize val="0"/>
        </c:dLbls>
        <c:gapWidth val="219"/>
        <c:overlap val="-27"/>
        <c:axId val="495724696"/>
        <c:axId val="495726656"/>
      </c:barChart>
      <c:lineChart>
        <c:grouping val="standard"/>
        <c:varyColors val="0"/>
        <c:ser>
          <c:idx val="1"/>
          <c:order val="1"/>
          <c:tx>
            <c:strRef>
              <c:f>'Tableaux de bord'!$H$100</c:f>
              <c:strCache>
                <c:ptCount val="1"/>
                <c:pt idx="0">
                  <c:v>Taux de couverture de la demande dans l'activité Production et transformation de produits bois</c:v>
                </c:pt>
              </c:strCache>
            </c:strRef>
          </c:tx>
          <c:spPr>
            <a:ln w="28575" cap="rnd">
              <a:solidFill>
                <a:schemeClr val="accent2"/>
              </a:solidFill>
              <a:round/>
            </a:ln>
            <a:effectLst/>
          </c:spPr>
          <c:marker>
            <c:symbol val="none"/>
          </c:marker>
          <c:cat>
            <c:numRef>
              <c:f>'Tableaux de bord'!$F$101:$F$105</c:f>
              <c:numCache>
                <c:formatCode>General</c:formatCode>
                <c:ptCount val="5"/>
                <c:pt idx="0">
                  <c:v>2016</c:v>
                </c:pt>
                <c:pt idx="1">
                  <c:v>2017</c:v>
                </c:pt>
                <c:pt idx="2">
                  <c:v>2018</c:v>
                </c:pt>
                <c:pt idx="3">
                  <c:v>2019</c:v>
                </c:pt>
                <c:pt idx="4">
                  <c:v>2020</c:v>
                </c:pt>
              </c:numCache>
            </c:numRef>
          </c:cat>
          <c:val>
            <c:numRef>
              <c:f>'Tableaux de bord'!$H$101:$H$105</c:f>
              <c:numCache>
                <c:formatCode>0%</c:formatCode>
                <c:ptCount val="5"/>
                <c:pt idx="0">
                  <c:v>0.60821346199352189</c:v>
                </c:pt>
                <c:pt idx="1">
                  <c:v>0.61091270117450702</c:v>
                </c:pt>
                <c:pt idx="2">
                  <c:v>0.59870500224273715</c:v>
                </c:pt>
                <c:pt idx="3">
                  <c:v>0.60032063564738369</c:v>
                </c:pt>
                <c:pt idx="4">
                  <c:v>0.61394066493903532</c:v>
                </c:pt>
              </c:numCache>
            </c:numRef>
          </c:val>
          <c:smooth val="0"/>
          <c:extLst>
            <c:ext xmlns:c16="http://schemas.microsoft.com/office/drawing/2014/chart" uri="{C3380CC4-5D6E-409C-BE32-E72D297353CC}">
              <c16:uniqueId val="{00000001-722D-4B2B-8AE0-B3D100DC36E2}"/>
            </c:ext>
          </c:extLst>
        </c:ser>
        <c:dLbls>
          <c:showLegendKey val="0"/>
          <c:showVal val="0"/>
          <c:showCatName val="0"/>
          <c:showSerName val="0"/>
          <c:showPercent val="0"/>
          <c:showBubbleSize val="0"/>
        </c:dLbls>
        <c:marker val="1"/>
        <c:smooth val="0"/>
        <c:axId val="495725872"/>
        <c:axId val="495729792"/>
      </c:lineChart>
      <c:catAx>
        <c:axId val="495724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5726656"/>
        <c:crosses val="autoZero"/>
        <c:auto val="1"/>
        <c:lblAlgn val="ctr"/>
        <c:lblOffset val="100"/>
        <c:noMultiLvlLbl val="0"/>
      </c:catAx>
      <c:valAx>
        <c:axId val="49572665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8497B0"/>
                </a:solidFill>
                <a:latin typeface="+mn-lt"/>
                <a:ea typeface="+mn-ea"/>
                <a:cs typeface="+mn-cs"/>
              </a:defRPr>
            </a:pPr>
            <a:endParaRPr lang="fr-FR"/>
          </a:p>
        </c:txPr>
        <c:crossAx val="495724696"/>
        <c:crosses val="autoZero"/>
        <c:crossBetween val="between"/>
      </c:valAx>
      <c:valAx>
        <c:axId val="495729792"/>
        <c:scaling>
          <c:orientation val="minMax"/>
          <c:max val="1"/>
          <c:min val="0"/>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2"/>
                </a:solidFill>
                <a:latin typeface="+mn-lt"/>
                <a:ea typeface="+mn-ea"/>
                <a:cs typeface="+mn-cs"/>
              </a:defRPr>
            </a:pPr>
            <a:endParaRPr lang="fr-FR"/>
          </a:p>
        </c:txPr>
        <c:crossAx val="495725872"/>
        <c:crosses val="max"/>
        <c:crossBetween val="between"/>
      </c:valAx>
      <c:catAx>
        <c:axId val="495725872"/>
        <c:scaling>
          <c:orientation val="minMax"/>
        </c:scaling>
        <c:delete val="1"/>
        <c:axPos val="b"/>
        <c:numFmt formatCode="General" sourceLinked="1"/>
        <c:majorTickMark val="none"/>
        <c:minorTickMark val="none"/>
        <c:tickLblPos val="nextTo"/>
        <c:crossAx val="495729792"/>
        <c:crosses val="autoZero"/>
        <c:auto val="1"/>
        <c:lblAlgn val="ctr"/>
        <c:lblOffset val="100"/>
        <c:noMultiLvlLbl val="0"/>
      </c:catAx>
      <c:spPr>
        <a:noFill/>
        <a:ln>
          <a:noFill/>
        </a:ln>
        <a:effectLst/>
      </c:spPr>
    </c:plotArea>
    <c:legend>
      <c:legendPos val="b"/>
      <c:layout>
        <c:manualLayout>
          <c:xMode val="edge"/>
          <c:yMode val="edge"/>
          <c:x val="5.8327314814814818E-2"/>
          <c:y val="0.81047604874580415"/>
          <c:w val="0.88334513888888888"/>
          <c:h val="0.164324288572515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Taux d'export</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'Tableaux de bord'!$G$114</c:f>
              <c:strCache>
                <c:ptCount val="1"/>
                <c:pt idx="0">
                  <c:v>Taux d'export de la branche (Export/Production)</c:v>
                </c:pt>
              </c:strCache>
            </c:strRef>
          </c:tx>
          <c:spPr>
            <a:solidFill>
              <a:srgbClr val="8497B0"/>
            </a:solidFill>
            <a:ln>
              <a:solidFill>
                <a:schemeClr val="accent1"/>
              </a:solidFill>
            </a:ln>
            <a:effectLst/>
          </c:spPr>
          <c:invertIfNegative val="0"/>
          <c:cat>
            <c:numRef>
              <c:f>'Tableaux de bord'!$F$115:$F$119</c:f>
              <c:numCache>
                <c:formatCode>General</c:formatCode>
                <c:ptCount val="5"/>
                <c:pt idx="0">
                  <c:v>2016</c:v>
                </c:pt>
                <c:pt idx="1">
                  <c:v>2017</c:v>
                </c:pt>
                <c:pt idx="2">
                  <c:v>2018</c:v>
                </c:pt>
                <c:pt idx="3">
                  <c:v>2019</c:v>
                </c:pt>
                <c:pt idx="4">
                  <c:v>2020</c:v>
                </c:pt>
              </c:numCache>
            </c:numRef>
          </c:cat>
          <c:val>
            <c:numRef>
              <c:f>'Tableaux de bord'!$G$115:$G$119</c:f>
              <c:numCache>
                <c:formatCode>0%</c:formatCode>
                <c:ptCount val="5"/>
                <c:pt idx="0">
                  <c:v>0.29329805667158182</c:v>
                </c:pt>
                <c:pt idx="1">
                  <c:v>0.25019358219078575</c:v>
                </c:pt>
                <c:pt idx="2">
                  <c:v>0.26798207913135613</c:v>
                </c:pt>
                <c:pt idx="3">
                  <c:v>0.26816456489324331</c:v>
                </c:pt>
                <c:pt idx="4">
                  <c:v>0.25074156629771499</c:v>
                </c:pt>
              </c:numCache>
            </c:numRef>
          </c:val>
          <c:extLst>
            <c:ext xmlns:c16="http://schemas.microsoft.com/office/drawing/2014/chart" uri="{C3380CC4-5D6E-409C-BE32-E72D297353CC}">
              <c16:uniqueId val="{00000000-A305-438A-A62E-68AF92256B0C}"/>
            </c:ext>
          </c:extLst>
        </c:ser>
        <c:dLbls>
          <c:showLegendKey val="0"/>
          <c:showVal val="0"/>
          <c:showCatName val="0"/>
          <c:showSerName val="0"/>
          <c:showPercent val="0"/>
          <c:showBubbleSize val="0"/>
        </c:dLbls>
        <c:gapWidth val="219"/>
        <c:overlap val="-27"/>
        <c:axId val="495722344"/>
        <c:axId val="495727048"/>
      </c:barChart>
      <c:lineChart>
        <c:grouping val="standard"/>
        <c:varyColors val="0"/>
        <c:ser>
          <c:idx val="1"/>
          <c:order val="1"/>
          <c:tx>
            <c:strRef>
              <c:f>'Tableaux de bord'!$H$114</c:f>
              <c:strCache>
                <c:ptCount val="1"/>
                <c:pt idx="0">
                  <c:v>Taux d'export dans l'activité Production et transformation de produits bois</c:v>
                </c:pt>
              </c:strCache>
            </c:strRef>
          </c:tx>
          <c:spPr>
            <a:ln w="28575" cap="rnd">
              <a:solidFill>
                <a:schemeClr val="accent2"/>
              </a:solidFill>
              <a:round/>
            </a:ln>
            <a:effectLst/>
          </c:spPr>
          <c:marker>
            <c:symbol val="none"/>
          </c:marker>
          <c:cat>
            <c:numRef>
              <c:f>'Tableaux de bord'!$F$115:$F$119</c:f>
              <c:numCache>
                <c:formatCode>General</c:formatCode>
                <c:ptCount val="5"/>
                <c:pt idx="0">
                  <c:v>2016</c:v>
                </c:pt>
                <c:pt idx="1">
                  <c:v>2017</c:v>
                </c:pt>
                <c:pt idx="2">
                  <c:v>2018</c:v>
                </c:pt>
                <c:pt idx="3">
                  <c:v>2019</c:v>
                </c:pt>
                <c:pt idx="4">
                  <c:v>2020</c:v>
                </c:pt>
              </c:numCache>
            </c:numRef>
          </c:cat>
          <c:val>
            <c:numRef>
              <c:f>'Tableaux de bord'!$H$115:$H$119</c:f>
              <c:numCache>
                <c:formatCode>0%</c:formatCode>
                <c:ptCount val="5"/>
                <c:pt idx="0">
                  <c:v>0.2745625470769158</c:v>
                </c:pt>
                <c:pt idx="1">
                  <c:v>0.26992861713029087</c:v>
                </c:pt>
                <c:pt idx="2">
                  <c:v>0.27637870527291675</c:v>
                </c:pt>
                <c:pt idx="3">
                  <c:v>0.26928014111103371</c:v>
                </c:pt>
                <c:pt idx="4">
                  <c:v>0.23685960397226735</c:v>
                </c:pt>
              </c:numCache>
            </c:numRef>
          </c:val>
          <c:smooth val="0"/>
          <c:extLst>
            <c:ext xmlns:c16="http://schemas.microsoft.com/office/drawing/2014/chart" uri="{C3380CC4-5D6E-409C-BE32-E72D297353CC}">
              <c16:uniqueId val="{00000001-A305-438A-A62E-68AF92256B0C}"/>
            </c:ext>
          </c:extLst>
        </c:ser>
        <c:dLbls>
          <c:showLegendKey val="0"/>
          <c:showVal val="0"/>
          <c:showCatName val="0"/>
          <c:showSerName val="0"/>
          <c:showPercent val="0"/>
          <c:showBubbleSize val="0"/>
        </c:dLbls>
        <c:marker val="1"/>
        <c:smooth val="0"/>
        <c:axId val="495727832"/>
        <c:axId val="495722736"/>
      </c:lineChart>
      <c:catAx>
        <c:axId val="495722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5727048"/>
        <c:crosses val="autoZero"/>
        <c:auto val="1"/>
        <c:lblAlgn val="ctr"/>
        <c:lblOffset val="100"/>
        <c:noMultiLvlLbl val="0"/>
      </c:catAx>
      <c:valAx>
        <c:axId val="4957270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8497B0"/>
                </a:solidFill>
                <a:latin typeface="+mn-lt"/>
                <a:ea typeface="+mn-ea"/>
                <a:cs typeface="+mn-cs"/>
              </a:defRPr>
            </a:pPr>
            <a:endParaRPr lang="fr-FR"/>
          </a:p>
        </c:txPr>
        <c:crossAx val="495722344"/>
        <c:crosses val="autoZero"/>
        <c:crossBetween val="between"/>
      </c:valAx>
      <c:valAx>
        <c:axId val="495722736"/>
        <c:scaling>
          <c:orientation val="minMax"/>
          <c:min val="0"/>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accent2"/>
                </a:solidFill>
                <a:latin typeface="+mn-lt"/>
                <a:ea typeface="+mn-ea"/>
                <a:cs typeface="+mn-cs"/>
              </a:defRPr>
            </a:pPr>
            <a:endParaRPr lang="fr-FR"/>
          </a:p>
        </c:txPr>
        <c:crossAx val="495727832"/>
        <c:crosses val="max"/>
        <c:crossBetween val="between"/>
      </c:valAx>
      <c:catAx>
        <c:axId val="495727832"/>
        <c:scaling>
          <c:orientation val="minMax"/>
        </c:scaling>
        <c:delete val="1"/>
        <c:axPos val="b"/>
        <c:numFmt formatCode="General" sourceLinked="1"/>
        <c:majorTickMark val="none"/>
        <c:minorTickMark val="none"/>
        <c:tickLblPos val="nextTo"/>
        <c:crossAx val="495722736"/>
        <c:crosses val="autoZero"/>
        <c:auto val="1"/>
        <c:lblAlgn val="ctr"/>
        <c:lblOffset val="100"/>
        <c:noMultiLvlLbl val="0"/>
      </c:catAx>
      <c:spPr>
        <a:noFill/>
        <a:ln>
          <a:noFill/>
        </a:ln>
        <a:effectLst/>
      </c:spPr>
    </c:plotArea>
    <c:legend>
      <c:legendPos val="b"/>
      <c:layout>
        <c:manualLayout>
          <c:xMode val="edge"/>
          <c:yMode val="edge"/>
          <c:x val="5.8327314814814818E-2"/>
          <c:y val="0.81047604874580415"/>
          <c:w val="0.88334513888888888"/>
          <c:h val="0.164324288572515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Origine des consommations intermédiaires</a:t>
            </a:r>
          </a:p>
        </c:rich>
      </c:tx>
      <c:overlay val="0"/>
      <c:spPr>
        <a:noFill/>
        <a:ln>
          <a:solidFill>
            <a:schemeClr val="accent1">
              <a:shade val="50000"/>
            </a:schemeClr>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'Tableaux de bord'!$O$130</c:f>
              <c:strCache>
                <c:ptCount val="1"/>
                <c:pt idx="0">
                  <c:v>Production française</c:v>
                </c:pt>
              </c:strCache>
            </c:strRef>
          </c:tx>
          <c:spPr>
            <a:solidFill>
              <a:schemeClr val="accent1"/>
            </a:solidFill>
            <a:ln>
              <a:noFill/>
            </a:ln>
            <a:effectLst/>
          </c:spPr>
          <c:invertIfNegative val="0"/>
          <c:dPt>
            <c:idx val="1"/>
            <c:invertIfNegative val="0"/>
            <c:bubble3D val="0"/>
            <c:spPr>
              <a:solidFill>
                <a:srgbClr val="5B9BD5"/>
              </a:solidFill>
              <a:ln>
                <a:noFill/>
              </a:ln>
              <a:effectLst/>
            </c:spPr>
            <c:extLst>
              <c:ext xmlns:c16="http://schemas.microsoft.com/office/drawing/2014/chart" uri="{C3380CC4-5D6E-409C-BE32-E72D297353CC}">
                <c16:uniqueId val="{00000001-5381-476D-9502-C655126BE80E}"/>
              </c:ext>
            </c:extLst>
          </c:dPt>
          <c:cat>
            <c:strRef>
              <c:f>'Tableaux de bord'!$M$133:$M$189</c:f>
              <c:strCache>
                <c:ptCount val="57"/>
                <c:pt idx="0">
                  <c:v>01 - Plants de pépinière</c:v>
                </c:pt>
                <c:pt idx="1">
                  <c:v>02 - Grumes et billons destinés au sciage, placage ou déroulage</c:v>
                </c:pt>
                <c:pt idx="2">
                  <c:v>03 - Bois destinés à l'industrie</c:v>
                </c:pt>
                <c:pt idx="3">
                  <c:v>04 - Bois destinés à l’énergie</c:v>
                </c:pt>
                <c:pt idx="4">
                  <c:v>05 - Travaux d'exploitation de bois et de sylviculture</c:v>
                </c:pt>
                <c:pt idx="5">
                  <c:v>06 - Services des coopératives forestières</c:v>
                </c:pt>
                <c:pt idx="6">
                  <c:v>07 - Textiles à base de bois</c:v>
                </c:pt>
                <c:pt idx="7">
                  <c:v>08 - Sciages bruts de Chêne</c:v>
                </c:pt>
                <c:pt idx="8">
                  <c:v>09 - Sciages bruts de Hêtre</c:v>
                </c:pt>
                <c:pt idx="9">
                  <c:v>10 - Sciages bruts d'autres feuillus tempérés</c:v>
                </c:pt>
                <c:pt idx="10">
                  <c:v>11 - Sciages de feuillus tropicaux</c:v>
                </c:pt>
                <c:pt idx="11">
                  <c:v>12 - Sciages bruts de sapin-épicéa</c:v>
                </c:pt>
                <c:pt idx="12">
                  <c:v>13 - Sciages bruts de Douglas</c:v>
                </c:pt>
                <c:pt idx="13">
                  <c:v>14 - Sciages bruts d'autres résineux</c:v>
                </c:pt>
                <c:pt idx="14">
                  <c:v>15 - Sciages bruts de Pin maritime</c:v>
                </c:pt>
                <c:pt idx="15">
                  <c:v>16 - Merrains</c:v>
                </c:pt>
                <c:pt idx="16">
                  <c:v>17 - Autres types de sciages</c:v>
                </c:pt>
                <c:pt idx="17">
                  <c:v>18 - Produits connexes du sciage destinés à la trituration</c:v>
                </c:pt>
                <c:pt idx="18">
                  <c:v>19 - Produits connexes du sciage non destinés à la trituration</c:v>
                </c:pt>
                <c:pt idx="19">
                  <c:v>20 - Produits rabotés</c:v>
                </c:pt>
                <c:pt idx="20">
                  <c:v>20b - Produits collés</c:v>
                </c:pt>
                <c:pt idx="21">
                  <c:v>29 - Produits imprégnés (bruts, sciés ou rabotés)</c:v>
                </c:pt>
                <c:pt idx="22">
                  <c:v>30 - Combustibles industriels à base de bois</c:v>
                </c:pt>
                <c:pt idx="23">
                  <c:v>31 - Placages et panneaux à base de bois</c:v>
                </c:pt>
                <c:pt idx="24">
                  <c:v>32 - Produits finis à base de panneaux (plinthes, profilés de menuiserie…) </c:v>
                </c:pt>
                <c:pt idx="25">
                  <c:v>33 - Parquets contrecollés</c:v>
                </c:pt>
                <c:pt idx="26">
                  <c:v>34 - Charpentes</c:v>
                </c:pt>
                <c:pt idx="27">
                  <c:v>35 - Menuiseries extérieures</c:v>
                </c:pt>
                <c:pt idx="28">
                  <c:v>36 - Menuiseries intérieures</c:v>
                </c:pt>
                <c:pt idx="29">
                  <c:v>37 - Emballages en bois (palette, ...)</c:v>
                </c:pt>
                <c:pt idx="30">
                  <c:v>38 - Futailles</c:v>
                </c:pt>
                <c:pt idx="31">
                  <c:v>39 - Coffrages pour le bétonnage, bardeaux en bois</c:v>
                </c:pt>
                <c:pt idx="32">
                  <c:v>40 - Produits en bois pour aménagement extérieur</c:v>
                </c:pt>
                <c:pt idx="33">
                  <c:v>41 - Objets divers en bois</c:v>
                </c:pt>
                <c:pt idx="34">
                  <c:v>42 - Objets en liège</c:v>
                </c:pt>
                <c:pt idx="35">
                  <c:v>43 - Pâte à papier</c:v>
                </c:pt>
                <c:pt idx="36">
                  <c:v>44 - Papier et carton</c:v>
                </c:pt>
                <c:pt idx="37">
                  <c:v>45 - Articles en papier ou en carton</c:v>
                </c:pt>
                <c:pt idx="38">
                  <c:v>46 - Produits de la chimie du bois</c:v>
                </c:pt>
                <c:pt idx="39">
                  <c:v>47 - Meubles à base de bois</c:v>
                </c:pt>
                <c:pt idx="40">
                  <c:v>48 - Autres produits manufacturiés (instruments de musique, jeux et jouets…)</c:v>
                </c:pt>
                <c:pt idx="41">
                  <c:v>49 - Electricité et chaleur issues de la combustion de bois</c:v>
                </c:pt>
                <c:pt idx="42">
                  <c:v>50 - Bois recyclés</c:v>
                </c:pt>
                <c:pt idx="43">
                  <c:v>51 - Promotion immobilière de bâtiments et ouvrages en bois</c:v>
                </c:pt>
                <c:pt idx="44">
                  <c:v>52 - Génie civil</c:v>
                </c:pt>
                <c:pt idx="45">
                  <c:v>53 - Travaux d'isolation</c:v>
                </c:pt>
                <c:pt idx="46">
                  <c:v>54 - Travaux de menuiserie bois</c:v>
                </c:pt>
                <c:pt idx="47">
                  <c:v>55 - Agencement de lieux de vente</c:v>
                </c:pt>
                <c:pt idx="48">
                  <c:v>56 - Travaux de revêtement des sols et des murs</c:v>
                </c:pt>
                <c:pt idx="49">
                  <c:v>57 - Travaux de charpente</c:v>
                </c:pt>
                <c:pt idx="50">
                  <c:v>58 - Travaux de couverture par éléments</c:v>
                </c:pt>
                <c:pt idx="51">
                  <c:v>59 - Travaux de maçonnerie générale et gros œuvre de bâtiment</c:v>
                </c:pt>
                <c:pt idx="52">
                  <c:v>60 - Travaux d'installation de chauffage au bois</c:v>
                </c:pt>
                <c:pt idx="53">
                  <c:v>61 - Commerce de gros de produits bois</c:v>
                </c:pt>
                <c:pt idx="54">
                  <c:v>62 - Commerce de détail de produits bois</c:v>
                </c:pt>
                <c:pt idx="55">
                  <c:v>63 - Transports de bois à partir de la forêt</c:v>
                </c:pt>
                <c:pt idx="56">
                  <c:v>64 - Divers services de support à la filière</c:v>
                </c:pt>
              </c:strCache>
            </c:strRef>
          </c:cat>
          <c:val>
            <c:numRef>
              <c:f>'Tableaux de bord'!$O$133:$O$189</c:f>
              <c:numCache>
                <c:formatCode>#,##0</c:formatCode>
                <c:ptCount val="57"/>
                <c:pt idx="0">
                  <c:v>0</c:v>
                </c:pt>
                <c:pt idx="1">
                  <c:v>0</c:v>
                </c:pt>
                <c:pt idx="2">
                  <c:v>0</c:v>
                </c:pt>
                <c:pt idx="3">
                  <c:v>0</c:v>
                </c:pt>
                <c:pt idx="4">
                  <c:v>0</c:v>
                </c:pt>
                <c:pt idx="5">
                  <c:v>0</c:v>
                </c:pt>
                <c:pt idx="6">
                  <c:v>0</c:v>
                </c:pt>
                <c:pt idx="7">
                  <c:v>86586.050628316705</c:v>
                </c:pt>
                <c:pt idx="8">
                  <c:v>0.20614694929008692</c:v>
                </c:pt>
                <c:pt idx="9">
                  <c:v>7461.1033123078396</c:v>
                </c:pt>
                <c:pt idx="10">
                  <c:v>43.164306685779593</c:v>
                </c:pt>
                <c:pt idx="11">
                  <c:v>11663.14622989147</c:v>
                </c:pt>
                <c:pt idx="12">
                  <c:v>0</c:v>
                </c:pt>
                <c:pt idx="13">
                  <c:v>267.70005804855998</c:v>
                </c:pt>
                <c:pt idx="14">
                  <c:v>0</c:v>
                </c:pt>
                <c:pt idx="15">
                  <c:v>0</c:v>
                </c:pt>
                <c:pt idx="16">
                  <c:v>0</c:v>
                </c:pt>
                <c:pt idx="17">
                  <c:v>0</c:v>
                </c:pt>
                <c:pt idx="18">
                  <c:v>0</c:v>
                </c:pt>
                <c:pt idx="19">
                  <c:v>0</c:v>
                </c:pt>
                <c:pt idx="20">
                  <c:v>0.74809581081990473</c:v>
                </c:pt>
                <c:pt idx="21">
                  <c:v>0</c:v>
                </c:pt>
                <c:pt idx="22">
                  <c:v>0</c:v>
                </c:pt>
                <c:pt idx="23">
                  <c:v>245722.487883177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extLst>
            <c:ext xmlns:c16="http://schemas.microsoft.com/office/drawing/2014/chart" uri="{C3380CC4-5D6E-409C-BE32-E72D297353CC}">
              <c16:uniqueId val="{00000002-5381-476D-9502-C655126BE80E}"/>
            </c:ext>
          </c:extLst>
        </c:ser>
        <c:ser>
          <c:idx val="1"/>
          <c:order val="1"/>
          <c:tx>
            <c:strRef>
              <c:f>'Tableaux de bord'!$P$130</c:f>
              <c:strCache>
                <c:ptCount val="1"/>
                <c:pt idx="0">
                  <c:v>Importation</c:v>
                </c:pt>
              </c:strCache>
            </c:strRef>
          </c:tx>
          <c:spPr>
            <a:solidFill>
              <a:schemeClr val="accent2"/>
            </a:solidFill>
            <a:ln>
              <a:noFill/>
            </a:ln>
            <a:effectLst/>
          </c:spPr>
          <c:invertIfNegative val="0"/>
          <c:dPt>
            <c:idx val="1"/>
            <c:invertIfNegative val="0"/>
            <c:bubble3D val="0"/>
            <c:spPr>
              <a:solidFill>
                <a:srgbClr val="ED7D31"/>
              </a:solidFill>
              <a:ln>
                <a:noFill/>
              </a:ln>
              <a:effectLst/>
            </c:spPr>
            <c:extLst>
              <c:ext xmlns:c16="http://schemas.microsoft.com/office/drawing/2014/chart" uri="{C3380CC4-5D6E-409C-BE32-E72D297353CC}">
                <c16:uniqueId val="{00000004-5381-476D-9502-C655126BE80E}"/>
              </c:ext>
            </c:extLst>
          </c:dPt>
          <c:cat>
            <c:strRef>
              <c:f>'Tableaux de bord'!$M$133:$M$189</c:f>
              <c:strCache>
                <c:ptCount val="57"/>
                <c:pt idx="0">
                  <c:v>01 - Plants de pépinière</c:v>
                </c:pt>
                <c:pt idx="1">
                  <c:v>02 - Grumes et billons destinés au sciage, placage ou déroulage</c:v>
                </c:pt>
                <c:pt idx="2">
                  <c:v>03 - Bois destinés à l'industrie</c:v>
                </c:pt>
                <c:pt idx="3">
                  <c:v>04 - Bois destinés à l’énergie</c:v>
                </c:pt>
                <c:pt idx="4">
                  <c:v>05 - Travaux d'exploitation de bois et de sylviculture</c:v>
                </c:pt>
                <c:pt idx="5">
                  <c:v>06 - Services des coopératives forestières</c:v>
                </c:pt>
                <c:pt idx="6">
                  <c:v>07 - Textiles à base de bois</c:v>
                </c:pt>
                <c:pt idx="7">
                  <c:v>08 - Sciages bruts de Chêne</c:v>
                </c:pt>
                <c:pt idx="8">
                  <c:v>09 - Sciages bruts de Hêtre</c:v>
                </c:pt>
                <c:pt idx="9">
                  <c:v>10 - Sciages bruts d'autres feuillus tempérés</c:v>
                </c:pt>
                <c:pt idx="10">
                  <c:v>11 - Sciages de feuillus tropicaux</c:v>
                </c:pt>
                <c:pt idx="11">
                  <c:v>12 - Sciages bruts de sapin-épicéa</c:v>
                </c:pt>
                <c:pt idx="12">
                  <c:v>13 - Sciages bruts de Douglas</c:v>
                </c:pt>
                <c:pt idx="13">
                  <c:v>14 - Sciages bruts d'autres résineux</c:v>
                </c:pt>
                <c:pt idx="14">
                  <c:v>15 - Sciages bruts de Pin maritime</c:v>
                </c:pt>
                <c:pt idx="15">
                  <c:v>16 - Merrains</c:v>
                </c:pt>
                <c:pt idx="16">
                  <c:v>17 - Autres types de sciages</c:v>
                </c:pt>
                <c:pt idx="17">
                  <c:v>18 - Produits connexes du sciage destinés à la trituration</c:v>
                </c:pt>
                <c:pt idx="18">
                  <c:v>19 - Produits connexes du sciage non destinés à la trituration</c:v>
                </c:pt>
                <c:pt idx="19">
                  <c:v>20 - Produits rabotés</c:v>
                </c:pt>
                <c:pt idx="20">
                  <c:v>20b - Produits collés</c:v>
                </c:pt>
                <c:pt idx="21">
                  <c:v>29 - Produits imprégnés (bruts, sciés ou rabotés)</c:v>
                </c:pt>
                <c:pt idx="22">
                  <c:v>30 - Combustibles industriels à base de bois</c:v>
                </c:pt>
                <c:pt idx="23">
                  <c:v>31 - Placages et panneaux à base de bois</c:v>
                </c:pt>
                <c:pt idx="24">
                  <c:v>32 - Produits finis à base de panneaux (plinthes, profilés de menuiserie…) </c:v>
                </c:pt>
                <c:pt idx="25">
                  <c:v>33 - Parquets contrecollés</c:v>
                </c:pt>
                <c:pt idx="26">
                  <c:v>34 - Charpentes</c:v>
                </c:pt>
                <c:pt idx="27">
                  <c:v>35 - Menuiseries extérieures</c:v>
                </c:pt>
                <c:pt idx="28">
                  <c:v>36 - Menuiseries intérieures</c:v>
                </c:pt>
                <c:pt idx="29">
                  <c:v>37 - Emballages en bois (palette, ...)</c:v>
                </c:pt>
                <c:pt idx="30">
                  <c:v>38 - Futailles</c:v>
                </c:pt>
                <c:pt idx="31">
                  <c:v>39 - Coffrages pour le bétonnage, bardeaux en bois</c:v>
                </c:pt>
                <c:pt idx="32">
                  <c:v>40 - Produits en bois pour aménagement extérieur</c:v>
                </c:pt>
                <c:pt idx="33">
                  <c:v>41 - Objets divers en bois</c:v>
                </c:pt>
                <c:pt idx="34">
                  <c:v>42 - Objets en liège</c:v>
                </c:pt>
                <c:pt idx="35">
                  <c:v>43 - Pâte à papier</c:v>
                </c:pt>
                <c:pt idx="36">
                  <c:v>44 - Papier et carton</c:v>
                </c:pt>
                <c:pt idx="37">
                  <c:v>45 - Articles en papier ou en carton</c:v>
                </c:pt>
                <c:pt idx="38">
                  <c:v>46 - Produits de la chimie du bois</c:v>
                </c:pt>
                <c:pt idx="39">
                  <c:v>47 - Meubles à base de bois</c:v>
                </c:pt>
                <c:pt idx="40">
                  <c:v>48 - Autres produits manufacturiés (instruments de musique, jeux et jouets…)</c:v>
                </c:pt>
                <c:pt idx="41">
                  <c:v>49 - Electricité et chaleur issues de la combustion de bois</c:v>
                </c:pt>
                <c:pt idx="42">
                  <c:v>50 - Bois recyclés</c:v>
                </c:pt>
                <c:pt idx="43">
                  <c:v>51 - Promotion immobilière de bâtiments et ouvrages en bois</c:v>
                </c:pt>
                <c:pt idx="44">
                  <c:v>52 - Génie civil</c:v>
                </c:pt>
                <c:pt idx="45">
                  <c:v>53 - Travaux d'isolation</c:v>
                </c:pt>
                <c:pt idx="46">
                  <c:v>54 - Travaux de menuiserie bois</c:v>
                </c:pt>
                <c:pt idx="47">
                  <c:v>55 - Agencement de lieux de vente</c:v>
                </c:pt>
                <c:pt idx="48">
                  <c:v>56 - Travaux de revêtement des sols et des murs</c:v>
                </c:pt>
                <c:pt idx="49">
                  <c:v>57 - Travaux de charpente</c:v>
                </c:pt>
                <c:pt idx="50">
                  <c:v>58 - Travaux de couverture par éléments</c:v>
                </c:pt>
                <c:pt idx="51">
                  <c:v>59 - Travaux de maçonnerie générale et gros œuvre de bâtiment</c:v>
                </c:pt>
                <c:pt idx="52">
                  <c:v>60 - Travaux d'installation de chauffage au bois</c:v>
                </c:pt>
                <c:pt idx="53">
                  <c:v>61 - Commerce de gros de produits bois</c:v>
                </c:pt>
                <c:pt idx="54">
                  <c:v>62 - Commerce de détail de produits bois</c:v>
                </c:pt>
                <c:pt idx="55">
                  <c:v>63 - Transports de bois à partir de la forêt</c:v>
                </c:pt>
                <c:pt idx="56">
                  <c:v>64 - Divers services de support à la filière</c:v>
                </c:pt>
              </c:strCache>
            </c:strRef>
          </c:cat>
          <c:val>
            <c:numRef>
              <c:f>'Tableaux de bord'!$P$133:$P$189</c:f>
              <c:numCache>
                <c:formatCode>#,##0</c:formatCode>
                <c:ptCount val="57"/>
                <c:pt idx="0">
                  <c:v>0</c:v>
                </c:pt>
                <c:pt idx="1">
                  <c:v>0</c:v>
                </c:pt>
                <c:pt idx="2">
                  <c:v>0</c:v>
                </c:pt>
                <c:pt idx="3">
                  <c:v>0</c:v>
                </c:pt>
                <c:pt idx="4">
                  <c:v>0</c:v>
                </c:pt>
                <c:pt idx="5">
                  <c:v>0</c:v>
                </c:pt>
                <c:pt idx="6">
                  <c:v>0</c:v>
                </c:pt>
                <c:pt idx="7">
                  <c:v>22737.112603120298</c:v>
                </c:pt>
                <c:pt idx="8">
                  <c:v>4538.1646130049503</c:v>
                </c:pt>
                <c:pt idx="9">
                  <c:v>8731.7393511118607</c:v>
                </c:pt>
                <c:pt idx="10">
                  <c:v>8453.7291545847802</c:v>
                </c:pt>
                <c:pt idx="11">
                  <c:v>6160.0310299150296</c:v>
                </c:pt>
                <c:pt idx="12">
                  <c:v>0</c:v>
                </c:pt>
                <c:pt idx="13">
                  <c:v>961.83415519578</c:v>
                </c:pt>
                <c:pt idx="14">
                  <c:v>0</c:v>
                </c:pt>
                <c:pt idx="15">
                  <c:v>0</c:v>
                </c:pt>
                <c:pt idx="16">
                  <c:v>0</c:v>
                </c:pt>
                <c:pt idx="17">
                  <c:v>0</c:v>
                </c:pt>
                <c:pt idx="18">
                  <c:v>0</c:v>
                </c:pt>
                <c:pt idx="19">
                  <c:v>0</c:v>
                </c:pt>
                <c:pt idx="20">
                  <c:v>5631.0480466529398</c:v>
                </c:pt>
                <c:pt idx="21">
                  <c:v>0</c:v>
                </c:pt>
                <c:pt idx="22">
                  <c:v>0</c:v>
                </c:pt>
                <c:pt idx="23">
                  <c:v>222369.05875714001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extLst>
            <c:ext xmlns:c16="http://schemas.microsoft.com/office/drawing/2014/chart" uri="{C3380CC4-5D6E-409C-BE32-E72D297353CC}">
              <c16:uniqueId val="{00000005-5381-476D-9502-C655126BE80E}"/>
            </c:ext>
          </c:extLst>
        </c:ser>
        <c:dLbls>
          <c:showLegendKey val="0"/>
          <c:showVal val="0"/>
          <c:showCatName val="0"/>
          <c:showSerName val="0"/>
          <c:showPercent val="0"/>
          <c:showBubbleSize val="0"/>
        </c:dLbls>
        <c:gapWidth val="150"/>
        <c:overlap val="100"/>
        <c:axId val="495727440"/>
        <c:axId val="495725480"/>
      </c:barChart>
      <c:catAx>
        <c:axId val="4957274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5725480"/>
        <c:crosses val="autoZero"/>
        <c:auto val="1"/>
        <c:lblAlgn val="ctr"/>
        <c:lblOffset val="100"/>
        <c:noMultiLvlLbl val="0"/>
      </c:catAx>
      <c:valAx>
        <c:axId val="4957254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57274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accent1">
          <a:shade val="50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11</xdr:col>
      <xdr:colOff>235562</xdr:colOff>
      <xdr:row>1</xdr:row>
      <xdr:rowOff>297014</xdr:rowOff>
    </xdr:from>
    <xdr:to>
      <xdr:col>12</xdr:col>
      <xdr:colOff>501855</xdr:colOff>
      <xdr:row>3</xdr:row>
      <xdr:rowOff>112661</xdr:rowOff>
    </xdr:to>
    <xdr:sp macro="" textlink="">
      <xdr:nvSpPr>
        <xdr:cNvPr id="2" name="Flèche droite 1">
          <a:extLst>
            <a:ext uri="{FF2B5EF4-FFF2-40B4-BE49-F238E27FC236}">
              <a16:creationId xmlns:a16="http://schemas.microsoft.com/office/drawing/2014/main" id="{00000000-0008-0000-0100-000002000000}"/>
            </a:ext>
          </a:extLst>
        </xdr:cNvPr>
        <xdr:cNvSpPr/>
      </xdr:nvSpPr>
      <xdr:spPr>
        <a:xfrm rot="10800000">
          <a:off x="10354594" y="911530"/>
          <a:ext cx="747664" cy="409679"/>
        </a:xfrm>
        <a:prstGeom prst="rightArrow">
          <a:avLst>
            <a:gd name="adj1" fmla="val 54081"/>
            <a:gd name="adj2" fmla="val 44778"/>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204837</xdr:colOff>
      <xdr:row>3</xdr:row>
      <xdr:rowOff>256046</xdr:rowOff>
    </xdr:from>
    <xdr:to>
      <xdr:col>4</xdr:col>
      <xdr:colOff>174114</xdr:colOff>
      <xdr:row>5</xdr:row>
      <xdr:rowOff>143386</xdr:rowOff>
    </xdr:to>
    <xdr:sp macro="" textlink="">
      <xdr:nvSpPr>
        <xdr:cNvPr id="3" name="Flèche droite 2">
          <a:extLst>
            <a:ext uri="{FF2B5EF4-FFF2-40B4-BE49-F238E27FC236}">
              <a16:creationId xmlns:a16="http://schemas.microsoft.com/office/drawing/2014/main" id="{00000000-0008-0000-0100-000003000000}"/>
            </a:ext>
          </a:extLst>
        </xdr:cNvPr>
        <xdr:cNvSpPr/>
      </xdr:nvSpPr>
      <xdr:spPr>
        <a:xfrm rot="10800000">
          <a:off x="5284837" y="1464594"/>
          <a:ext cx="747664" cy="481373"/>
        </a:xfrm>
        <a:prstGeom prst="rightArrow">
          <a:avLst>
            <a:gd name="adj1" fmla="val 54081"/>
            <a:gd name="adj2" fmla="val 44778"/>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1157909</xdr:colOff>
      <xdr:row>11</xdr:row>
      <xdr:rowOff>30852</xdr:rowOff>
    </xdr:from>
    <xdr:to>
      <xdr:col>4</xdr:col>
      <xdr:colOff>743984</xdr:colOff>
      <xdr:row>22</xdr:row>
      <xdr:rowOff>184315</xdr:rowOff>
    </xdr:to>
    <xdr:graphicFrame macro="">
      <xdr:nvGraphicFramePr>
        <xdr:cNvPr id="7" name="Graphique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1149626</xdr:colOff>
      <xdr:row>25</xdr:row>
      <xdr:rowOff>2899</xdr:rowOff>
    </xdr:from>
    <xdr:to>
      <xdr:col>4</xdr:col>
      <xdr:colOff>735701</xdr:colOff>
      <xdr:row>36</xdr:row>
      <xdr:rowOff>159675</xdr:rowOff>
    </xdr:to>
    <xdr:graphicFrame macro="">
      <xdr:nvGraphicFramePr>
        <xdr:cNvPr id="5" name="Graphique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1148384</xdr:colOff>
      <xdr:row>39</xdr:row>
      <xdr:rowOff>24433</xdr:rowOff>
    </xdr:from>
    <xdr:to>
      <xdr:col>4</xdr:col>
      <xdr:colOff>734459</xdr:colOff>
      <xdr:row>50</xdr:row>
      <xdr:rowOff>175046</xdr:rowOff>
    </xdr:to>
    <xdr:graphicFrame macro="">
      <xdr:nvGraphicFramePr>
        <xdr:cNvPr id="6" name="Graphique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1166192</xdr:colOff>
      <xdr:row>56</xdr:row>
      <xdr:rowOff>63362</xdr:rowOff>
    </xdr:from>
    <xdr:to>
      <xdr:col>5</xdr:col>
      <xdr:colOff>1473</xdr:colOff>
      <xdr:row>68</xdr:row>
      <xdr:rowOff>23474</xdr:rowOff>
    </xdr:to>
    <xdr:graphicFrame macro="">
      <xdr:nvGraphicFramePr>
        <xdr:cNvPr id="9" name="Graphique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1157909</xdr:colOff>
      <xdr:row>70</xdr:row>
      <xdr:rowOff>55079</xdr:rowOff>
    </xdr:from>
    <xdr:to>
      <xdr:col>4</xdr:col>
      <xdr:colOff>743984</xdr:colOff>
      <xdr:row>82</xdr:row>
      <xdr:rowOff>15192</xdr:rowOff>
    </xdr:to>
    <xdr:graphicFrame macro="">
      <xdr:nvGraphicFramePr>
        <xdr:cNvPr id="8" name="Graphique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1156666</xdr:colOff>
      <xdr:row>83</xdr:row>
      <xdr:rowOff>16980</xdr:rowOff>
    </xdr:from>
    <xdr:to>
      <xdr:col>4</xdr:col>
      <xdr:colOff>742741</xdr:colOff>
      <xdr:row>97</xdr:row>
      <xdr:rowOff>85838</xdr:rowOff>
    </xdr:to>
    <xdr:graphicFrame macro="">
      <xdr:nvGraphicFramePr>
        <xdr:cNvPr id="10" name="Graphique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1148384</xdr:colOff>
      <xdr:row>99</xdr:row>
      <xdr:rowOff>28989</xdr:rowOff>
    </xdr:from>
    <xdr:to>
      <xdr:col>4</xdr:col>
      <xdr:colOff>734459</xdr:colOff>
      <xdr:row>110</xdr:row>
      <xdr:rowOff>179602</xdr:rowOff>
    </xdr:to>
    <xdr:graphicFrame macro="">
      <xdr:nvGraphicFramePr>
        <xdr:cNvPr id="11" name="Graphique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1164949</xdr:colOff>
      <xdr:row>113</xdr:row>
      <xdr:rowOff>12424</xdr:rowOff>
    </xdr:from>
    <xdr:to>
      <xdr:col>5</xdr:col>
      <xdr:colOff>230</xdr:colOff>
      <xdr:row>124</xdr:row>
      <xdr:rowOff>163036</xdr:rowOff>
    </xdr:to>
    <xdr:graphicFrame macro="">
      <xdr:nvGraphicFramePr>
        <xdr:cNvPr id="12" name="Graphique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9525</xdr:colOff>
      <xdr:row>129</xdr:row>
      <xdr:rowOff>42861</xdr:rowOff>
    </xdr:from>
    <xdr:to>
      <xdr:col>3</xdr:col>
      <xdr:colOff>4149525</xdr:colOff>
      <xdr:row>183</xdr:row>
      <xdr:rowOff>19050</xdr:rowOff>
    </xdr:to>
    <xdr:graphicFrame macro="">
      <xdr:nvGraphicFramePr>
        <xdr:cNvPr id="16" name="Graphique 15">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4</xdr:col>
      <xdr:colOff>123825</xdr:colOff>
      <xdr:row>129</xdr:row>
      <xdr:rowOff>38100</xdr:rowOff>
    </xdr:from>
    <xdr:to>
      <xdr:col>7</xdr:col>
      <xdr:colOff>1368225</xdr:colOff>
      <xdr:row>183</xdr:row>
      <xdr:rowOff>14289</xdr:rowOff>
    </xdr:to>
    <xdr:graphicFrame macro="">
      <xdr:nvGraphicFramePr>
        <xdr:cNvPr id="17" name="Graphique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152256</xdr:colOff>
      <xdr:row>3</xdr:row>
      <xdr:rowOff>21856</xdr:rowOff>
    </xdr:from>
    <xdr:to>
      <xdr:col>5</xdr:col>
      <xdr:colOff>654111</xdr:colOff>
      <xdr:row>3</xdr:row>
      <xdr:rowOff>381856</xdr:rowOff>
    </xdr:to>
    <xdr:sp macro="" textlink="">
      <xdr:nvSpPr>
        <xdr:cNvPr id="7" name="Flèche gauche 6">
          <a:extLst>
            <a:ext uri="{FF2B5EF4-FFF2-40B4-BE49-F238E27FC236}">
              <a16:creationId xmlns:a16="http://schemas.microsoft.com/office/drawing/2014/main" id="{00000000-0008-0000-0600-000007000000}"/>
            </a:ext>
          </a:extLst>
        </xdr:cNvPr>
        <xdr:cNvSpPr/>
      </xdr:nvSpPr>
      <xdr:spPr>
        <a:xfrm>
          <a:off x="6494512" y="1404143"/>
          <a:ext cx="501855" cy="3600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FR" sz="1400" b="1"/>
            <a:t>1</a:t>
          </a:r>
        </a:p>
      </xdr:txBody>
    </xdr:sp>
    <xdr:clientData/>
  </xdr:twoCellAnchor>
  <xdr:twoCellAnchor>
    <xdr:from>
      <xdr:col>3</xdr:col>
      <xdr:colOff>176737</xdr:colOff>
      <xdr:row>4</xdr:row>
      <xdr:rowOff>7242</xdr:rowOff>
    </xdr:from>
    <xdr:to>
      <xdr:col>3</xdr:col>
      <xdr:colOff>685087</xdr:colOff>
      <xdr:row>4</xdr:row>
      <xdr:rowOff>371615</xdr:rowOff>
    </xdr:to>
    <xdr:sp macro="" textlink="">
      <xdr:nvSpPr>
        <xdr:cNvPr id="9" name="Flèche gauche 8">
          <a:extLst>
            <a:ext uri="{FF2B5EF4-FFF2-40B4-BE49-F238E27FC236}">
              <a16:creationId xmlns:a16="http://schemas.microsoft.com/office/drawing/2014/main" id="{00000000-0008-0000-0600-000009000000}"/>
            </a:ext>
          </a:extLst>
        </xdr:cNvPr>
        <xdr:cNvSpPr/>
      </xdr:nvSpPr>
      <xdr:spPr>
        <a:xfrm>
          <a:off x="5252865" y="1772852"/>
          <a:ext cx="508350" cy="36437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FR" sz="1400" b="1"/>
            <a:t>2</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3</xdr:col>
      <xdr:colOff>1157909</xdr:colOff>
      <xdr:row>11</xdr:row>
      <xdr:rowOff>11802</xdr:rowOff>
    </xdr:from>
    <xdr:to>
      <xdr:col>4</xdr:col>
      <xdr:colOff>743984</xdr:colOff>
      <xdr:row>23</xdr:row>
      <xdr:rowOff>112452</xdr:rowOff>
    </xdr:to>
    <xdr:graphicFrame macro="">
      <xdr:nvGraphicFramePr>
        <xdr:cNvPr id="2" name="Graphique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xdr:col>
      <xdr:colOff>1168676</xdr:colOff>
      <xdr:row>25</xdr:row>
      <xdr:rowOff>21949</xdr:rowOff>
    </xdr:from>
    <xdr:to>
      <xdr:col>5</xdr:col>
      <xdr:colOff>2276</xdr:colOff>
      <xdr:row>37</xdr:row>
      <xdr:rowOff>122599</xdr:rowOff>
    </xdr:to>
    <xdr:graphicFrame macro="">
      <xdr:nvGraphicFramePr>
        <xdr:cNvPr id="3" name="Graphique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xdr:col>
      <xdr:colOff>1167434</xdr:colOff>
      <xdr:row>39</xdr:row>
      <xdr:rowOff>340</xdr:rowOff>
    </xdr:from>
    <xdr:to>
      <xdr:col>5</xdr:col>
      <xdr:colOff>1034</xdr:colOff>
      <xdr:row>51</xdr:row>
      <xdr:rowOff>96508</xdr:rowOff>
    </xdr:to>
    <xdr:graphicFrame macro="">
      <xdr:nvGraphicFramePr>
        <xdr:cNvPr id="4" name="Graphique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3</xdr:col>
      <xdr:colOff>1156667</xdr:colOff>
      <xdr:row>56</xdr:row>
      <xdr:rowOff>15737</xdr:rowOff>
    </xdr:from>
    <xdr:to>
      <xdr:col>4</xdr:col>
      <xdr:colOff>742742</xdr:colOff>
      <xdr:row>68</xdr:row>
      <xdr:rowOff>116387</xdr:rowOff>
    </xdr:to>
    <xdr:graphicFrame macro="">
      <xdr:nvGraphicFramePr>
        <xdr:cNvPr id="5" name="Graphique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xdr:col>
      <xdr:colOff>1148384</xdr:colOff>
      <xdr:row>70</xdr:row>
      <xdr:rowOff>7454</xdr:rowOff>
    </xdr:from>
    <xdr:to>
      <xdr:col>4</xdr:col>
      <xdr:colOff>734459</xdr:colOff>
      <xdr:row>82</xdr:row>
      <xdr:rowOff>60479</xdr:rowOff>
    </xdr:to>
    <xdr:graphicFrame macro="">
      <xdr:nvGraphicFramePr>
        <xdr:cNvPr id="6" name="Graphique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3</xdr:col>
      <xdr:colOff>1137616</xdr:colOff>
      <xdr:row>95</xdr:row>
      <xdr:rowOff>169380</xdr:rowOff>
    </xdr:from>
    <xdr:to>
      <xdr:col>4</xdr:col>
      <xdr:colOff>723691</xdr:colOff>
      <xdr:row>108</xdr:row>
      <xdr:rowOff>22380</xdr:rowOff>
    </xdr:to>
    <xdr:graphicFrame macro="">
      <xdr:nvGraphicFramePr>
        <xdr:cNvPr id="7" name="Graphique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3</xdr:col>
      <xdr:colOff>1148384</xdr:colOff>
      <xdr:row>110</xdr:row>
      <xdr:rowOff>9939</xdr:rowOff>
    </xdr:from>
    <xdr:to>
      <xdr:col>4</xdr:col>
      <xdr:colOff>734459</xdr:colOff>
      <xdr:row>122</xdr:row>
      <xdr:rowOff>110589</xdr:rowOff>
    </xdr:to>
    <xdr:graphicFrame macro="">
      <xdr:nvGraphicFramePr>
        <xdr:cNvPr id="8" name="Graphique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3</xdr:col>
      <xdr:colOff>1145899</xdr:colOff>
      <xdr:row>124</xdr:row>
      <xdr:rowOff>21949</xdr:rowOff>
    </xdr:from>
    <xdr:to>
      <xdr:col>4</xdr:col>
      <xdr:colOff>731974</xdr:colOff>
      <xdr:row>135</xdr:row>
      <xdr:rowOff>151174</xdr:rowOff>
    </xdr:to>
    <xdr:graphicFrame macro="">
      <xdr:nvGraphicFramePr>
        <xdr:cNvPr id="9" name="Graphique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9525</xdr:colOff>
      <xdr:row>140</xdr:row>
      <xdr:rowOff>42861</xdr:rowOff>
    </xdr:from>
    <xdr:to>
      <xdr:col>3</xdr:col>
      <xdr:colOff>4149525</xdr:colOff>
      <xdr:row>194</xdr:row>
      <xdr:rowOff>19050</xdr:rowOff>
    </xdr:to>
    <xdr:graphicFrame macro="">
      <xdr:nvGraphicFramePr>
        <xdr:cNvPr id="10" name="Graphique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4</xdr:col>
      <xdr:colOff>123825</xdr:colOff>
      <xdr:row>140</xdr:row>
      <xdr:rowOff>38100</xdr:rowOff>
    </xdr:from>
    <xdr:to>
      <xdr:col>7</xdr:col>
      <xdr:colOff>1368225</xdr:colOff>
      <xdr:row>194</xdr:row>
      <xdr:rowOff>14289</xdr:rowOff>
    </xdr:to>
    <xdr:graphicFrame macro="">
      <xdr:nvGraphicFramePr>
        <xdr:cNvPr id="11" name="Graphique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3</xdr:col>
      <xdr:colOff>1138859</xdr:colOff>
      <xdr:row>82</xdr:row>
      <xdr:rowOff>93179</xdr:rowOff>
    </xdr:from>
    <xdr:to>
      <xdr:col>4</xdr:col>
      <xdr:colOff>724934</xdr:colOff>
      <xdr:row>95</xdr:row>
      <xdr:rowOff>136679</xdr:rowOff>
    </xdr:to>
    <xdr:graphicFrame macro="">
      <xdr:nvGraphicFramePr>
        <xdr:cNvPr id="13" name="Graphique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maine.priv\Prive\MesDocs-SU\bigotdemorogues\B01419%20-%20VEM\TER\VEM%20codes\NC8_VEM_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sp._NC8_VEM"/>
      <sheetName val="Nom_VEM_230317"/>
    </sheetNames>
    <sheetDataSet>
      <sheetData sheetId="0"/>
      <sheetData sheetId="1"/>
    </sheetDataSet>
  </externalBook>
</externalLink>
</file>

<file path=xl/persons/person.xml><?xml version="1.0" encoding="utf-8"?>
<personList xmlns="http://schemas.microsoft.com/office/spreadsheetml/2018/threadedcomments" xmlns:x="http://schemas.openxmlformats.org/spreadsheetml/2006/main">
  <person displayName="BIGOT DE MOROGUES Francis" id="{092DAA5D-D0AB-4AE0-BF2B-54A205F58B09}" userId="S::Francis.DE.MOROGUES@fcba.fr::1074a8fc-53b5-455a-b676-f1256d4bb76a"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100" dT="2020-11-05T09:56:26.27" personId="{092DAA5D-D0AB-4AE0-BF2B-54A205F58B09}" id="{B628B90D-01A6-4758-9E65-FC902AE04474}">
    <text>(Prod-Export)/(Prod-Export+Import)</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5"/>
  <dimension ref="A1:M93"/>
  <sheetViews>
    <sheetView topLeftCell="C1" zoomScale="85" zoomScaleNormal="85" workbookViewId="0">
      <selection activeCell="M14" sqref="M14"/>
    </sheetView>
  </sheetViews>
  <sheetFormatPr baseColWidth="10" defaultRowHeight="15" x14ac:dyDescent="0.25"/>
  <cols>
    <col min="1" max="2" width="11.42578125" style="4" hidden="1" customWidth="1"/>
    <col min="3" max="3" width="76.140625" style="4" bestFit="1" customWidth="1"/>
    <col min="4" max="4" width="11.7109375" style="6" customWidth="1"/>
    <col min="5" max="5" width="7.28515625" style="6" customWidth="1"/>
    <col min="6" max="6" width="11.7109375" style="6" customWidth="1"/>
    <col min="7" max="7" width="7.28515625" style="4" customWidth="1"/>
    <col min="8" max="8" width="11.7109375" style="4" customWidth="1"/>
    <col min="9" max="9" width="7.28515625" style="4" customWidth="1"/>
    <col min="10" max="10" width="11.7109375" style="4" customWidth="1"/>
    <col min="11" max="11" width="7.28515625" style="4" customWidth="1"/>
    <col min="12" max="12" width="7.28515625" customWidth="1"/>
    <col min="13" max="13" width="11.42578125" style="17"/>
    <col min="14" max="16384" width="11.42578125" style="4"/>
  </cols>
  <sheetData>
    <row r="1" spans="1:13" ht="48" customHeight="1" x14ac:dyDescent="0.25">
      <c r="A1" s="4">
        <v>2016</v>
      </c>
      <c r="C1" s="245" t="s">
        <v>135</v>
      </c>
      <c r="D1" s="245"/>
      <c r="E1" s="245"/>
      <c r="F1" s="245"/>
      <c r="G1" s="245"/>
      <c r="H1" s="245"/>
      <c r="I1" s="245"/>
      <c r="J1" s="245"/>
      <c r="K1" s="245"/>
    </row>
    <row r="2" spans="1:13" ht="23.25" x14ac:dyDescent="0.25">
      <c r="A2" s="4">
        <v>2017</v>
      </c>
      <c r="C2" s="258" t="s">
        <v>202</v>
      </c>
      <c r="D2" s="258"/>
      <c r="E2" s="258"/>
      <c r="F2" s="258"/>
      <c r="G2" s="258"/>
      <c r="H2" s="258"/>
      <c r="I2" s="258"/>
      <c r="J2" s="258"/>
      <c r="K2" s="258"/>
    </row>
    <row r="3" spans="1:13" ht="23.25" x14ac:dyDescent="0.25">
      <c r="A3" s="4">
        <v>2018</v>
      </c>
      <c r="C3" s="246" t="s">
        <v>99</v>
      </c>
      <c r="D3" s="246"/>
      <c r="E3" s="246"/>
      <c r="F3" s="246"/>
      <c r="G3" s="246"/>
      <c r="H3" s="246"/>
      <c r="I3" s="246"/>
      <c r="J3" s="246"/>
      <c r="K3" s="246"/>
    </row>
    <row r="4" spans="1:13" ht="23.25" x14ac:dyDescent="0.25">
      <c r="A4" s="4">
        <v>2019</v>
      </c>
      <c r="C4" s="258" t="s">
        <v>203</v>
      </c>
      <c r="D4" s="258"/>
      <c r="E4" s="4"/>
      <c r="F4" s="4"/>
    </row>
    <row r="5" spans="1:13" ht="23.25" x14ac:dyDescent="0.25">
      <c r="A5" s="4">
        <v>2020</v>
      </c>
      <c r="C5" s="53">
        <v>2020</v>
      </c>
      <c r="D5" s="5"/>
    </row>
    <row r="6" spans="1:13" x14ac:dyDescent="0.25">
      <c r="A6" s="4" t="s">
        <v>128</v>
      </c>
      <c r="E6" s="7"/>
    </row>
    <row r="7" spans="1:13" ht="18.75" x14ac:dyDescent="0.25">
      <c r="A7" s="4" t="s">
        <v>129</v>
      </c>
      <c r="C7" s="260" t="s">
        <v>204</v>
      </c>
      <c r="D7" s="261"/>
      <c r="E7" s="262"/>
    </row>
    <row r="8" spans="1:13" x14ac:dyDescent="0.25">
      <c r="A8" s="14" t="s">
        <v>65</v>
      </c>
      <c r="B8" s="4">
        <v>4</v>
      </c>
      <c r="E8" s="46"/>
    </row>
    <row r="9" spans="1:13" ht="30" customHeight="1" x14ac:dyDescent="0.25">
      <c r="A9" s="13" t="s">
        <v>67</v>
      </c>
      <c r="B9" s="4">
        <v>5</v>
      </c>
      <c r="C9" s="8"/>
      <c r="D9" s="9" t="s">
        <v>60</v>
      </c>
      <c r="E9" s="10"/>
      <c r="F9" s="257" t="s">
        <v>130</v>
      </c>
      <c r="G9" s="257"/>
      <c r="H9" s="257"/>
      <c r="I9" s="257"/>
      <c r="J9" s="257"/>
    </row>
    <row r="10" spans="1:13" x14ac:dyDescent="0.25">
      <c r="A10" s="4" t="s">
        <v>30</v>
      </c>
      <c r="B10" s="4">
        <v>6</v>
      </c>
      <c r="C10" s="11" t="s">
        <v>61</v>
      </c>
      <c r="D10" s="12">
        <f>SUMIFS('Comp2016-2017 (3)'!$I$5:$I$300,'Comp2016-2017 (3)'!$R$5:$R$300,$C$5,'Comp2016-2017 (3)'!$A$5:$A$300,$C$3)</f>
        <v>2972742</v>
      </c>
      <c r="E10" s="43"/>
      <c r="F10" s="259" t="s">
        <v>62</v>
      </c>
      <c r="G10" s="259"/>
      <c r="H10" s="259"/>
      <c r="I10" s="259"/>
      <c r="J10" s="259"/>
      <c r="K10" s="91">
        <f>IF(D17&lt;&gt;0,D15/D17,"")</f>
        <v>44.753347279160373</v>
      </c>
    </row>
    <row r="11" spans="1:13" x14ac:dyDescent="0.25">
      <c r="A11" s="4" t="s">
        <v>69</v>
      </c>
      <c r="B11" s="4">
        <v>7</v>
      </c>
      <c r="C11" s="11" t="s">
        <v>52</v>
      </c>
      <c r="D11" s="12">
        <f>SUMIFS('Comp2016-2017 (3)'!$J$5:$J$300,'Comp2016-2017 (3)'!$R$5:$R$300,$C$5,'Comp2016-2017 (3)'!$A$5:$A$300,$C$3)</f>
        <v>3530305.1120000039</v>
      </c>
      <c r="E11" s="43"/>
      <c r="F11" s="259" t="s">
        <v>63</v>
      </c>
      <c r="G11" s="259"/>
      <c r="H11" s="259"/>
      <c r="I11" s="259"/>
      <c r="J11" s="259"/>
      <c r="K11" s="92">
        <f>IF(D11&lt;&gt;0,D12/D11,"")</f>
        <v>0.21114038634941676</v>
      </c>
    </row>
    <row r="12" spans="1:13" x14ac:dyDescent="0.25">
      <c r="A12" s="4" t="s">
        <v>32</v>
      </c>
      <c r="B12" s="4">
        <v>8</v>
      </c>
      <c r="C12" s="13" t="s">
        <v>53</v>
      </c>
      <c r="D12" s="12">
        <f>SUMIFS('Comp2016-2017 (3)'!$M$5:$M$300,'Comp2016-2017 (3)'!$R$5:$R$300,$C$5,'Comp2016-2017 (3)'!$A$5:$A$300,$C$3)</f>
        <v>745389.98527900188</v>
      </c>
      <c r="E12" s="43"/>
      <c r="F12" s="259" t="s">
        <v>64</v>
      </c>
      <c r="G12" s="259"/>
      <c r="H12" s="259"/>
      <c r="I12" s="259"/>
      <c r="J12" s="259"/>
      <c r="K12" s="93">
        <f>IF((D10-D12+D11)&lt;&gt;0,(D10-D12)/(D10-D12+D11),"")</f>
        <v>0.38685040906377832</v>
      </c>
    </row>
    <row r="13" spans="1:13" s="37" customFormat="1" x14ac:dyDescent="0.25">
      <c r="A13" s="11" t="s">
        <v>61</v>
      </c>
      <c r="B13" s="37">
        <v>9</v>
      </c>
      <c r="C13" s="48" t="s">
        <v>65</v>
      </c>
      <c r="D13" s="12">
        <f>SUMIFS('Comp2016-2017 (3)'!$D$5:$D$300,'Comp2016-2017 (3)'!$R$5:$R$300,$C$5,'Comp2016-2017 (3)'!$A$5:$A$300,$C$3)</f>
        <v>631327.32437191345</v>
      </c>
      <c r="E13" s="43"/>
      <c r="F13" s="259" t="s">
        <v>66</v>
      </c>
      <c r="G13" s="259"/>
      <c r="H13" s="259"/>
      <c r="I13" s="259"/>
      <c r="J13" s="259"/>
      <c r="K13" s="94">
        <f>IF(D10&lt;&gt;0,D12/D10,"")</f>
        <v>0.25074156629771499</v>
      </c>
      <c r="L13"/>
      <c r="M13" s="100"/>
    </row>
    <row r="14" spans="1:13" s="37" customFormat="1" x14ac:dyDescent="0.25">
      <c r="A14" s="11" t="s">
        <v>52</v>
      </c>
      <c r="B14" s="37">
        <v>10</v>
      </c>
      <c r="C14" s="49" t="s">
        <v>67</v>
      </c>
      <c r="D14" s="12">
        <f>SUMIFS('Comp2016-2017 (3)'!$E$5:$E$300,'Comp2016-2017 (3)'!$R$5:$R$300,$C$5,'Comp2016-2017 (3)'!$A$5:$A$300,$C$3)</f>
        <v>1406228.6581784405</v>
      </c>
      <c r="E14" s="43"/>
      <c r="F14" s="259" t="s">
        <v>68</v>
      </c>
      <c r="G14" s="259"/>
      <c r="H14" s="259"/>
      <c r="I14" s="259"/>
      <c r="J14" s="259"/>
      <c r="K14" s="94">
        <f>IF((D10+D11-D12)&lt;&gt;0,D11/(D10+D11-D12),"")</f>
        <v>0.61314959093622179</v>
      </c>
      <c r="L14"/>
      <c r="M14" s="100"/>
    </row>
    <row r="15" spans="1:13" x14ac:dyDescent="0.25">
      <c r="A15" s="4" t="s">
        <v>35</v>
      </c>
      <c r="B15" s="4">
        <v>11</v>
      </c>
      <c r="C15" s="11" t="s">
        <v>69</v>
      </c>
      <c r="D15" s="12">
        <f>SUMIFS('Comp2016-2017 (3)'!$G$5:$G$300,'Comp2016-2017 (3)'!$R$5:$R$300,$C$5,'Comp2016-2017 (3)'!$A$5:$A$300,$C$3)</f>
        <v>935186.01744964533</v>
      </c>
      <c r="E15" s="43"/>
      <c r="F15" s="259" t="s">
        <v>70</v>
      </c>
      <c r="G15" s="259"/>
      <c r="H15" s="259"/>
      <c r="I15" s="259"/>
      <c r="J15" s="259"/>
      <c r="K15" s="95">
        <f>IF(D10&lt;&gt;0,D13/D10,"")</f>
        <v>0.21237205393939784</v>
      </c>
    </row>
    <row r="16" spans="1:13" x14ac:dyDescent="0.25">
      <c r="A16" s="13" t="s">
        <v>54</v>
      </c>
      <c r="B16" s="4">
        <v>12</v>
      </c>
      <c r="C16" s="11"/>
      <c r="D16" s="15"/>
      <c r="E16" s="43"/>
      <c r="F16" s="259" t="s">
        <v>71</v>
      </c>
      <c r="G16" s="259"/>
      <c r="H16" s="259"/>
      <c r="I16" s="259"/>
      <c r="J16" s="259"/>
      <c r="K16" s="95">
        <f>IF(D10&lt;&gt;0,D14/D10,"")</f>
        <v>0.47304093600401265</v>
      </c>
    </row>
    <row r="17" spans="1:11" x14ac:dyDescent="0.25">
      <c r="A17" s="13" t="s">
        <v>53</v>
      </c>
      <c r="B17" s="4">
        <v>13</v>
      </c>
      <c r="C17" s="16" t="s">
        <v>72</v>
      </c>
      <c r="D17" s="42">
        <f>SUMIFS('Comp2016-2017 (3)'!$O$5:$O$300,'Comp2016-2017 (3)'!$R$5:$R$300,$C$5,'Comp2016-2017 (3)'!$A$5:$A$300,$C$3)</f>
        <v>20896.44851850265</v>
      </c>
      <c r="E17" s="43"/>
      <c r="F17" s="259" t="s">
        <v>73</v>
      </c>
      <c r="G17" s="259"/>
      <c r="H17" s="259"/>
      <c r="I17" s="259"/>
      <c r="J17" s="259"/>
      <c r="K17" s="95">
        <f>IF(D10&lt;&gt;0,D15/D10,"")</f>
        <v>0.31458701005658929</v>
      </c>
    </row>
    <row r="18" spans="1:11" x14ac:dyDescent="0.25">
      <c r="A18" s="4" t="s">
        <v>38</v>
      </c>
      <c r="B18" s="4">
        <v>14</v>
      </c>
      <c r="C18" s="13"/>
      <c r="D18" s="12"/>
      <c r="E18" s="44"/>
      <c r="F18" s="4"/>
    </row>
    <row r="19" spans="1:11" x14ac:dyDescent="0.25">
      <c r="A19" s="16" t="s">
        <v>72</v>
      </c>
      <c r="B19" s="4">
        <v>15</v>
      </c>
      <c r="C19" s="13" t="s">
        <v>54</v>
      </c>
      <c r="D19" s="12">
        <f>SUMIFS('Comp2016-2017 (3)'!$L$5:$L$300,'Comp2016-2017 (3)'!$R$5:$R$300,$C$5,'Comp2016-2017 (3)'!$A$5:$A$300,$C$3)</f>
        <v>5706670.6220740089</v>
      </c>
      <c r="E19" s="43"/>
      <c r="H19" s="235"/>
    </row>
    <row r="20" spans="1:11" x14ac:dyDescent="0.25">
      <c r="C20" s="4" t="s">
        <v>133</v>
      </c>
      <c r="J20" s="17"/>
    </row>
    <row r="21" spans="1:11" x14ac:dyDescent="0.25">
      <c r="D21" s="18"/>
      <c r="H21" s="19"/>
      <c r="I21" s="19"/>
    </row>
    <row r="22" spans="1:11" ht="15.75" thickBot="1" x14ac:dyDescent="0.3">
      <c r="A22" s="40"/>
      <c r="D22" s="4"/>
      <c r="E22" s="4"/>
      <c r="F22" s="4"/>
    </row>
    <row r="23" spans="1:11" ht="24" thickBot="1" x14ac:dyDescent="0.3">
      <c r="D23" s="267" t="s">
        <v>243</v>
      </c>
      <c r="E23" s="268"/>
      <c r="F23" s="268"/>
      <c r="G23" s="268"/>
      <c r="H23" s="268"/>
      <c r="I23" s="268"/>
      <c r="J23" s="268"/>
      <c r="K23" s="269"/>
    </row>
    <row r="24" spans="1:11" ht="21" customHeight="1" thickBot="1" x14ac:dyDescent="0.3">
      <c r="C24" s="247" t="s">
        <v>74</v>
      </c>
      <c r="D24" s="250" t="s">
        <v>75</v>
      </c>
      <c r="E24" s="250"/>
      <c r="F24" s="250"/>
      <c r="G24" s="251"/>
      <c r="H24" s="252" t="s">
        <v>76</v>
      </c>
      <c r="I24" s="250"/>
      <c r="J24" s="250"/>
      <c r="K24" s="251"/>
    </row>
    <row r="25" spans="1:11" ht="63.75" customHeight="1" thickBot="1" x14ac:dyDescent="0.3">
      <c r="C25" s="248"/>
      <c r="D25" s="253" t="s">
        <v>249</v>
      </c>
      <c r="E25" s="254"/>
      <c r="F25" s="20" t="s">
        <v>78</v>
      </c>
      <c r="G25" s="160" t="s">
        <v>253</v>
      </c>
      <c r="H25" s="255" t="s">
        <v>256</v>
      </c>
      <c r="I25" s="256"/>
      <c r="J25" s="21" t="s">
        <v>248</v>
      </c>
      <c r="K25" s="160" t="s">
        <v>253</v>
      </c>
    </row>
    <row r="26" spans="1:11" ht="15.75" thickBot="1" x14ac:dyDescent="0.3">
      <c r="A26" s="4" t="s">
        <v>123</v>
      </c>
      <c r="B26" s="4" t="s">
        <v>124</v>
      </c>
      <c r="C26" s="249"/>
      <c r="D26" s="23" t="s">
        <v>79</v>
      </c>
      <c r="E26" s="161" t="s">
        <v>245</v>
      </c>
      <c r="F26" s="20" t="s">
        <v>79</v>
      </c>
      <c r="G26" s="22" t="s">
        <v>246</v>
      </c>
      <c r="H26" s="23" t="s">
        <v>79</v>
      </c>
      <c r="I26" s="161" t="s">
        <v>245</v>
      </c>
      <c r="J26" s="20" t="s">
        <v>79</v>
      </c>
      <c r="K26" s="22" t="s">
        <v>246</v>
      </c>
    </row>
    <row r="27" spans="1:11" x14ac:dyDescent="0.25">
      <c r="A27" s="4" t="str">
        <f t="shared" ref="A27:A58" si="0">LEFT(C27,3)&amp;" - "&amp;LEFT($C$3,3)</f>
        <v xml:space="preserve">01  - 47 </v>
      </c>
      <c r="B27" s="4" t="str">
        <f t="shared" ref="B27:B58" si="1">LEFT($C$3,3)&amp;" - "&amp;LEFT(C27,3)</f>
        <v xml:space="preserve">47  - 01 </v>
      </c>
      <c r="C27" s="24" t="s">
        <v>80</v>
      </c>
      <c r="D27" s="133">
        <f>SUMIFS('Val-Vol (2)'!$I$4:$I$2000,'Val-Vol (2)'!$V$4:$V$2000,$C$5,'Val-Vol (2)'!$A$4:$A$2000,C27,'Val-Vol (2)'!$D$4:$D$2000,'Branche - valeurs'!$C$3)</f>
        <v>0</v>
      </c>
      <c r="E27" s="26" t="str">
        <f>IF(AND(ISNUMBER(D27),D27&lt;&gt;0),D27/$D$13,"")</f>
        <v/>
      </c>
      <c r="F27" s="133">
        <f>SUMIFS('Val-Vol (2)'!$H$4:$H$2000,'Val-Vol (2)'!$V$4:$V$2000,$C$5,'Val-Vol (2)'!$A$4:$A$2000,C27,'Val-Vol (2)'!$D$4:$D$2000,'Branche - valeurs'!$C$3)</f>
        <v>0</v>
      </c>
      <c r="G27" s="88" t="str">
        <f t="shared" ref="G27:G83" si="2">IF((D27=0),"",IF(F27&lt;&gt;0,(D27-F27)/(D27),1))</f>
        <v/>
      </c>
      <c r="H27" s="162">
        <f>SUMIFS('Val-Vol (2)'!$I$4:$I$2000,'Val-Vol (2)'!$V$4:$V$2000,$C$5,'Val-Vol (2)'!$A$4:$A$2000,$C$3,'Val-Vol (2)'!$D$4:$D$2000,'Branche - valeurs'!C27)</f>
        <v>0</v>
      </c>
      <c r="I27" s="28" t="str">
        <f>IF(AND(ISNUMBER(H27),H27&lt;&gt;0),H27/SUM($H$27:$H$83),"")</f>
        <v/>
      </c>
      <c r="J27" s="162">
        <f>SUMIFS('Val-Vol (2)'!$H$4:$H$2000,'Val-Vol (2)'!$V$4:$V$2000,$C$5,'Val-Vol (2)'!$A$4:$A$2000,$C$3,'Val-Vol (2)'!$D$4:$D$2000,'Branche - valeurs'!C27)</f>
        <v>0</v>
      </c>
      <c r="K27" s="88" t="str">
        <f t="shared" ref="K27:K58" si="3">IF((H27=0),"",IF(J27&lt;&gt;0,(H27-J27)/(H27),1))</f>
        <v/>
      </c>
    </row>
    <row r="28" spans="1:11" x14ac:dyDescent="0.25">
      <c r="A28" s="4" t="str">
        <f t="shared" si="0"/>
        <v xml:space="preserve">02  - 47 </v>
      </c>
      <c r="B28" s="4" t="str">
        <f t="shared" si="1"/>
        <v xml:space="preserve">47  - 02 </v>
      </c>
      <c r="C28" s="29" t="s">
        <v>0</v>
      </c>
      <c r="D28" s="133">
        <f>SUMIFS('Val-Vol (2)'!$I$4:$I$2000,'Val-Vol (2)'!$V$4:$V$2000,$C$5,'Val-Vol (2)'!$A$4:$A$2000,C28,'Val-Vol (2)'!$D$4:$D$2000,'Branche - valeurs'!$C$3)</f>
        <v>0</v>
      </c>
      <c r="E28" s="30" t="str">
        <f t="shared" ref="E28:E83" si="4">IF(AND(ISNUMBER(D28),D28&lt;&gt;0),D28/$D$13,"")</f>
        <v/>
      </c>
      <c r="F28" s="133">
        <f>SUMIFS('Val-Vol (2)'!$H$4:$H$2000,'Val-Vol (2)'!$V$4:$V$2000,$C$5,'Val-Vol (2)'!$A$4:$A$2000,C28,'Val-Vol (2)'!$D$4:$D$2000,'Branche - valeurs'!$C$3)</f>
        <v>0</v>
      </c>
      <c r="G28" s="89" t="str">
        <f t="shared" si="2"/>
        <v/>
      </c>
      <c r="H28" s="27">
        <f>SUMIFS('Val-Vol (2)'!$I$4:$I$2000,'Val-Vol (2)'!$V$4:$V$2000,$C$5,'Val-Vol (2)'!$A$4:$A$2000,$C$3,'Val-Vol (2)'!$D$4:$D$2000,'Branche - valeurs'!C28)</f>
        <v>0</v>
      </c>
      <c r="I28" s="32" t="str">
        <f t="shared" ref="I28:I83" si="5">IF(AND(ISNUMBER(H28),H28&lt;&gt;0),H28/SUM($H$27:$H$83),"")</f>
        <v/>
      </c>
      <c r="J28" s="27">
        <f>SUMIFS('Val-Vol (2)'!$H$4:$H$2000,'Val-Vol (2)'!$V$4:$V$2000,$C$5,'Val-Vol (2)'!$A$4:$A$2000,$C$3,'Val-Vol (2)'!$D$4:$D$2000,'Branche - valeurs'!C28)</f>
        <v>0</v>
      </c>
      <c r="K28" s="89" t="str">
        <f t="shared" si="3"/>
        <v/>
      </c>
    </row>
    <row r="29" spans="1:11" ht="13.5" customHeight="1" x14ac:dyDescent="0.25">
      <c r="A29" s="4" t="str">
        <f t="shared" si="0"/>
        <v xml:space="preserve">03  - 47 </v>
      </c>
      <c r="B29" s="4" t="str">
        <f t="shared" si="1"/>
        <v xml:space="preserve">47  - 03 </v>
      </c>
      <c r="C29" s="29" t="s">
        <v>1</v>
      </c>
      <c r="D29" s="83">
        <f>SUMIFS('Val-Vol (2)'!$I$4:$I$2000,'Val-Vol (2)'!$V$4:$V$2000,$C$5,'Val-Vol (2)'!$A$4:$A$2000,C29,'Val-Vol (2)'!$D$4:$D$2000,'Branche - valeurs'!$C$3)</f>
        <v>0</v>
      </c>
      <c r="E29" s="33" t="str">
        <f t="shared" si="4"/>
        <v/>
      </c>
      <c r="F29" s="83">
        <f>SUMIFS('Val-Vol (2)'!$H$4:$H$2000,'Val-Vol (2)'!$V$4:$V$2000,$C$5,'Val-Vol (2)'!$A$4:$A$2000,C29,'Val-Vol (2)'!$D$4:$D$2000,'Branche - valeurs'!$C$3)</f>
        <v>0</v>
      </c>
      <c r="G29" s="89" t="str">
        <f t="shared" si="2"/>
        <v/>
      </c>
      <c r="H29" s="27">
        <f>SUMIFS('Val-Vol (2)'!$I$4:$I$2000,'Val-Vol (2)'!$V$4:$V$2000,$C$5,'Val-Vol (2)'!$A$4:$A$2000,$C$3,'Val-Vol (2)'!$D$4:$D$2000,'Branche - valeurs'!C29)</f>
        <v>0</v>
      </c>
      <c r="I29" s="32" t="str">
        <f t="shared" si="5"/>
        <v/>
      </c>
      <c r="J29" s="27">
        <f>SUMIFS('Val-Vol (2)'!$H$4:$H$2000,'Val-Vol (2)'!$V$4:$V$2000,$C$5,'Val-Vol (2)'!$A$4:$A$2000,$C$3,'Val-Vol (2)'!$D$4:$D$2000,'Branche - valeurs'!C29)</f>
        <v>0</v>
      </c>
      <c r="K29" s="89" t="str">
        <f t="shared" si="3"/>
        <v/>
      </c>
    </row>
    <row r="30" spans="1:11" x14ac:dyDescent="0.25">
      <c r="A30" s="4" t="str">
        <f t="shared" si="0"/>
        <v xml:space="preserve">04  - 47 </v>
      </c>
      <c r="B30" s="4" t="str">
        <f t="shared" si="1"/>
        <v xml:space="preserve">47  - 04 </v>
      </c>
      <c r="C30" s="29" t="s">
        <v>2</v>
      </c>
      <c r="D30" s="83">
        <f>SUMIFS('Val-Vol (2)'!$I$4:$I$2000,'Val-Vol (2)'!$V$4:$V$2000,$C$5,'Val-Vol (2)'!$A$4:$A$2000,C30,'Val-Vol (2)'!$D$4:$D$2000,'Branche - valeurs'!$C$3)</f>
        <v>0</v>
      </c>
      <c r="E30" s="33" t="str">
        <f t="shared" si="4"/>
        <v/>
      </c>
      <c r="F30" s="83">
        <f>SUMIFS('Val-Vol (2)'!$H$4:$H$2000,'Val-Vol (2)'!$V$4:$V$2000,$C$5,'Val-Vol (2)'!$A$4:$A$2000,C30,'Val-Vol (2)'!$D$4:$D$2000,'Branche - valeurs'!$C$3)</f>
        <v>0</v>
      </c>
      <c r="G30" s="89" t="str">
        <f t="shared" si="2"/>
        <v/>
      </c>
      <c r="H30" s="27">
        <f>SUMIFS('Val-Vol (2)'!$I$4:$I$2000,'Val-Vol (2)'!$V$4:$V$2000,$C$5,'Val-Vol (2)'!$A$4:$A$2000,$C$3,'Val-Vol (2)'!$D$4:$D$2000,'Branche - valeurs'!C30)</f>
        <v>0</v>
      </c>
      <c r="I30" s="32" t="str">
        <f t="shared" si="5"/>
        <v/>
      </c>
      <c r="J30" s="27">
        <f>SUMIFS('Val-Vol (2)'!$H$4:$H$2000,'Val-Vol (2)'!$V$4:$V$2000,$C$5,'Val-Vol (2)'!$A$4:$A$2000,$C$3,'Val-Vol (2)'!$D$4:$D$2000,'Branche - valeurs'!C30)</f>
        <v>0</v>
      </c>
      <c r="K30" s="89" t="str">
        <f t="shared" si="3"/>
        <v/>
      </c>
    </row>
    <row r="31" spans="1:11" x14ac:dyDescent="0.25">
      <c r="A31" s="4" t="str">
        <f t="shared" si="0"/>
        <v xml:space="preserve">05  - 47 </v>
      </c>
      <c r="B31" s="4" t="str">
        <f t="shared" si="1"/>
        <v xml:space="preserve">47  - 05 </v>
      </c>
      <c r="C31" s="29" t="s">
        <v>81</v>
      </c>
      <c r="D31" s="83">
        <f>SUMIFS('Val-Vol (2)'!$I$4:$I$2000,'Val-Vol (2)'!$V$4:$V$2000,$C$5,'Val-Vol (2)'!$A$4:$A$2000,C31,'Val-Vol (2)'!$D$4:$D$2000,'Branche - valeurs'!$C$3)</f>
        <v>0</v>
      </c>
      <c r="E31" s="30" t="str">
        <f t="shared" si="4"/>
        <v/>
      </c>
      <c r="F31" s="83">
        <f>SUMIFS('Val-Vol (2)'!$H$4:$H$2000,'Val-Vol (2)'!$V$4:$V$2000,$C$5,'Val-Vol (2)'!$A$4:$A$2000,C31,'Val-Vol (2)'!$D$4:$D$2000,'Branche - valeurs'!$C$3)</f>
        <v>0</v>
      </c>
      <c r="G31" s="89" t="str">
        <f t="shared" si="2"/>
        <v/>
      </c>
      <c r="H31" s="27">
        <f>SUMIFS('Val-Vol (2)'!$I$4:$I$2000,'Val-Vol (2)'!$V$4:$V$2000,$C$5,'Val-Vol (2)'!$A$4:$A$2000,$C$3,'Val-Vol (2)'!$D$4:$D$2000,'Branche - valeurs'!C31)</f>
        <v>0</v>
      </c>
      <c r="I31" s="32" t="str">
        <f t="shared" si="5"/>
        <v/>
      </c>
      <c r="J31" s="27">
        <f>SUMIFS('Val-Vol (2)'!$H$4:$H$2000,'Val-Vol (2)'!$V$4:$V$2000,$C$5,'Val-Vol (2)'!$A$4:$A$2000,$C$3,'Val-Vol (2)'!$D$4:$D$2000,'Branche - valeurs'!C31)</f>
        <v>0</v>
      </c>
      <c r="K31" s="89" t="str">
        <f t="shared" si="3"/>
        <v/>
      </c>
    </row>
    <row r="32" spans="1:11" x14ac:dyDescent="0.25">
      <c r="A32" s="4" t="str">
        <f t="shared" si="0"/>
        <v xml:space="preserve">06  - 47 </v>
      </c>
      <c r="B32" s="4" t="str">
        <f t="shared" si="1"/>
        <v xml:space="preserve">47  - 06 </v>
      </c>
      <c r="C32" s="29" t="s">
        <v>3</v>
      </c>
      <c r="D32" s="83">
        <f>SUMIFS('Val-Vol (2)'!$I$4:$I$2000,'Val-Vol (2)'!$V$4:$V$2000,$C$5,'Val-Vol (2)'!$A$4:$A$2000,C32,'Val-Vol (2)'!$D$4:$D$2000,'Branche - valeurs'!$C$3)</f>
        <v>0</v>
      </c>
      <c r="E32" s="30" t="str">
        <f t="shared" si="4"/>
        <v/>
      </c>
      <c r="F32" s="83">
        <f>SUMIFS('Val-Vol (2)'!$H$4:$H$2000,'Val-Vol (2)'!$V$4:$V$2000,$C$5,'Val-Vol (2)'!$A$4:$A$2000,C32,'Val-Vol (2)'!$D$4:$D$2000,'Branche - valeurs'!$C$3)</f>
        <v>0</v>
      </c>
      <c r="G32" s="89" t="str">
        <f t="shared" si="2"/>
        <v/>
      </c>
      <c r="H32" s="27">
        <f>SUMIFS('Val-Vol (2)'!$I$4:$I$2000,'Val-Vol (2)'!$V$4:$V$2000,$C$5,'Val-Vol (2)'!$A$4:$A$2000,$C$3,'Val-Vol (2)'!$D$4:$D$2000,'Branche - valeurs'!C32)</f>
        <v>0</v>
      </c>
      <c r="I32" s="32" t="str">
        <f t="shared" si="5"/>
        <v/>
      </c>
      <c r="J32" s="27">
        <f>SUMIFS('Val-Vol (2)'!$H$4:$H$2000,'Val-Vol (2)'!$V$4:$V$2000,$C$5,'Val-Vol (2)'!$A$4:$A$2000,$C$3,'Val-Vol (2)'!$D$4:$D$2000,'Branche - valeurs'!C32)</f>
        <v>0</v>
      </c>
      <c r="K32" s="89" t="str">
        <f t="shared" si="3"/>
        <v/>
      </c>
    </row>
    <row r="33" spans="1:13" x14ac:dyDescent="0.25">
      <c r="A33" s="4" t="str">
        <f t="shared" si="0"/>
        <v xml:space="preserve">07  - 47 </v>
      </c>
      <c r="B33" s="4" t="str">
        <f t="shared" si="1"/>
        <v xml:space="preserve">47  - 07 </v>
      </c>
      <c r="C33" s="29" t="s">
        <v>59</v>
      </c>
      <c r="D33" s="83">
        <f>SUMIFS('Val-Vol (2)'!$I$4:$I$2000,'Val-Vol (2)'!$V$4:$V$2000,$C$5,'Val-Vol (2)'!$A$4:$A$2000,C33,'Val-Vol (2)'!$D$4:$D$2000,'Branche - valeurs'!$C$3)</f>
        <v>0</v>
      </c>
      <c r="E33" s="33" t="str">
        <f t="shared" si="4"/>
        <v/>
      </c>
      <c r="F33" s="83">
        <f>SUMIFS('Val-Vol (2)'!$H$4:$H$2000,'Val-Vol (2)'!$V$4:$V$2000,$C$5,'Val-Vol (2)'!$A$4:$A$2000,C33,'Val-Vol (2)'!$D$4:$D$2000,'Branche - valeurs'!$C$3)</f>
        <v>0</v>
      </c>
      <c r="G33" s="89" t="str">
        <f t="shared" si="2"/>
        <v/>
      </c>
      <c r="H33" s="27">
        <f>SUMIFS('Val-Vol (2)'!$I$4:$I$2000,'Val-Vol (2)'!$V$4:$V$2000,$C$5,'Val-Vol (2)'!$A$4:$A$2000,$C$3,'Val-Vol (2)'!$D$4:$D$2000,'Branche - valeurs'!C33)</f>
        <v>0</v>
      </c>
      <c r="I33" s="32" t="str">
        <f t="shared" si="5"/>
        <v/>
      </c>
      <c r="J33" s="27">
        <f>SUMIFS('Val-Vol (2)'!$H$4:$H$2000,'Val-Vol (2)'!$V$4:$V$2000,$C$5,'Val-Vol (2)'!$A$4:$A$2000,$C$3,'Val-Vol (2)'!$D$4:$D$2000,'Branche - valeurs'!C33)</f>
        <v>0</v>
      </c>
      <c r="K33" s="89" t="str">
        <f t="shared" si="3"/>
        <v/>
      </c>
    </row>
    <row r="34" spans="1:13" x14ac:dyDescent="0.25">
      <c r="A34" s="4" t="str">
        <f t="shared" si="0"/>
        <v xml:space="preserve">08  - 47 </v>
      </c>
      <c r="B34" s="4" t="str">
        <f t="shared" si="1"/>
        <v xml:space="preserve">47  - 08 </v>
      </c>
      <c r="C34" s="29" t="s">
        <v>4</v>
      </c>
      <c r="D34" s="83">
        <f>SUMIFS('Val-Vol (2)'!$I$4:$I$2000,'Val-Vol (2)'!$V$4:$V$2000,$C$5,'Val-Vol (2)'!$A$4:$A$2000,C34,'Val-Vol (2)'!$D$4:$D$2000,'Branche - valeurs'!$C$3)</f>
        <v>109323.16323143701</v>
      </c>
      <c r="E34" s="33">
        <f t="shared" si="4"/>
        <v>0.17316399751935177</v>
      </c>
      <c r="F34" s="83">
        <f>SUMIFS('Val-Vol (2)'!$H$4:$H$2000,'Val-Vol (2)'!$V$4:$V$2000,$C$5,'Val-Vol (2)'!$A$4:$A$2000,C34,'Val-Vol (2)'!$D$4:$D$2000,'Branche - valeurs'!$C$3)</f>
        <v>22737.112603120298</v>
      </c>
      <c r="G34" s="89">
        <f t="shared" si="2"/>
        <v>0.79201925803239093</v>
      </c>
      <c r="H34" s="27">
        <f>SUMIFS('Val-Vol (2)'!$I$4:$I$2000,'Val-Vol (2)'!$V$4:$V$2000,$C$5,'Val-Vol (2)'!$A$4:$A$2000,$C$3,'Val-Vol (2)'!$D$4:$D$2000,'Branche - valeurs'!C34)</f>
        <v>0</v>
      </c>
      <c r="I34" s="32" t="str">
        <f t="shared" si="5"/>
        <v/>
      </c>
      <c r="J34" s="27">
        <f>SUMIFS('Val-Vol (2)'!$H$4:$H$2000,'Val-Vol (2)'!$V$4:$V$2000,$C$5,'Val-Vol (2)'!$A$4:$A$2000,$C$3,'Val-Vol (2)'!$D$4:$D$2000,'Branche - valeurs'!C34)</f>
        <v>0</v>
      </c>
      <c r="K34" s="89" t="str">
        <f t="shared" si="3"/>
        <v/>
      </c>
    </row>
    <row r="35" spans="1:13" x14ac:dyDescent="0.25">
      <c r="A35" s="4" t="str">
        <f t="shared" si="0"/>
        <v xml:space="preserve">09  - 47 </v>
      </c>
      <c r="B35" s="4" t="str">
        <f t="shared" si="1"/>
        <v xml:space="preserve">47  - 09 </v>
      </c>
      <c r="C35" s="29" t="s">
        <v>5</v>
      </c>
      <c r="D35" s="83">
        <f>SUMIFS('Val-Vol (2)'!$I$4:$I$2000,'Val-Vol (2)'!$V$4:$V$2000,$C$5,'Val-Vol (2)'!$A$4:$A$2000,C35,'Val-Vol (2)'!$D$4:$D$2000,'Branche - valeurs'!$C$3)</f>
        <v>4538.3707599542404</v>
      </c>
      <c r="E35" s="33">
        <f t="shared" si="4"/>
        <v>7.1886176706660284E-3</v>
      </c>
      <c r="F35" s="34">
        <f>SUMIFS('Val-Vol (2)'!$H$4:$H$2000,'Val-Vol (2)'!$V$4:$V$2000,$C$5,'Val-Vol (2)'!$A$4:$A$2000,C35,'Val-Vol (2)'!$D$4:$D$2000,'Branche - valeurs'!$C$3)</f>
        <v>4538.1646130049503</v>
      </c>
      <c r="G35" s="89">
        <f t="shared" si="2"/>
        <v>4.5423117720810776E-5</v>
      </c>
      <c r="H35" s="27">
        <f>SUMIFS('Val-Vol (2)'!$I$4:$I$2000,'Val-Vol (2)'!$V$4:$V$2000,$C$5,'Val-Vol (2)'!$A$4:$A$2000,$C$3,'Val-Vol (2)'!$D$4:$D$2000,'Branche - valeurs'!C35)</f>
        <v>0</v>
      </c>
      <c r="I35" s="32" t="str">
        <f t="shared" si="5"/>
        <v/>
      </c>
      <c r="J35" s="27">
        <f>SUMIFS('Val-Vol (2)'!$H$4:$H$2000,'Val-Vol (2)'!$V$4:$V$2000,$C$5,'Val-Vol (2)'!$A$4:$A$2000,$C$3,'Val-Vol (2)'!$D$4:$D$2000,'Branche - valeurs'!C35)</f>
        <v>0</v>
      </c>
      <c r="K35" s="89" t="str">
        <f t="shared" si="3"/>
        <v/>
      </c>
    </row>
    <row r="36" spans="1:13" x14ac:dyDescent="0.25">
      <c r="A36" s="4" t="str">
        <f t="shared" si="0"/>
        <v xml:space="preserve">10  - 47 </v>
      </c>
      <c r="B36" s="4" t="str">
        <f t="shared" si="1"/>
        <v xml:space="preserve">47  - 10 </v>
      </c>
      <c r="C36" s="29" t="s">
        <v>82</v>
      </c>
      <c r="D36" s="83">
        <f>SUMIFS('Val-Vol (2)'!$I$4:$I$2000,'Val-Vol (2)'!$V$4:$V$2000,$C$5,'Val-Vol (2)'!$A$4:$A$2000,C36,'Val-Vol (2)'!$D$4:$D$2000,'Branche - valeurs'!$C$3)</f>
        <v>16192.8426634197</v>
      </c>
      <c r="E36" s="33">
        <f t="shared" si="4"/>
        <v>2.5648886145597169E-2</v>
      </c>
      <c r="F36" s="34">
        <f>SUMIFS('Val-Vol (2)'!$H$4:$H$2000,'Val-Vol (2)'!$V$4:$V$2000,$C$5,'Val-Vol (2)'!$A$4:$A$2000,C36,'Val-Vol (2)'!$D$4:$D$2000,'Branche - valeurs'!$C$3)</f>
        <v>8731.7393511118607</v>
      </c>
      <c r="G36" s="89">
        <f t="shared" si="2"/>
        <v>0.46076550408056394</v>
      </c>
      <c r="H36" s="27">
        <f>SUMIFS('Val-Vol (2)'!$I$4:$I$2000,'Val-Vol (2)'!$V$4:$V$2000,$C$5,'Val-Vol (2)'!$A$4:$A$2000,$C$3,'Val-Vol (2)'!$D$4:$D$2000,'Branche - valeurs'!C36)</f>
        <v>0</v>
      </c>
      <c r="I36" s="32" t="str">
        <f t="shared" si="5"/>
        <v/>
      </c>
      <c r="J36" s="27">
        <f>SUMIFS('Val-Vol (2)'!$H$4:$H$2000,'Val-Vol (2)'!$V$4:$V$2000,$C$5,'Val-Vol (2)'!$A$4:$A$2000,$C$3,'Val-Vol (2)'!$D$4:$D$2000,'Branche - valeurs'!C36)</f>
        <v>0</v>
      </c>
      <c r="K36" s="89" t="str">
        <f t="shared" si="3"/>
        <v/>
      </c>
    </row>
    <row r="37" spans="1:13" x14ac:dyDescent="0.25">
      <c r="A37" s="4" t="str">
        <f t="shared" si="0"/>
        <v xml:space="preserve">11  - 47 </v>
      </c>
      <c r="B37" s="4" t="str">
        <f t="shared" si="1"/>
        <v xml:space="preserve">47  - 11 </v>
      </c>
      <c r="C37" s="29" t="s">
        <v>6</v>
      </c>
      <c r="D37" s="83">
        <f>SUMIFS('Val-Vol (2)'!$I$4:$I$2000,'Val-Vol (2)'!$V$4:$V$2000,$C$5,'Val-Vol (2)'!$A$4:$A$2000,C37,'Val-Vol (2)'!$D$4:$D$2000,'Branche - valeurs'!$C$3)</f>
        <v>8496.8934612705598</v>
      </c>
      <c r="E37" s="33">
        <f t="shared" si="4"/>
        <v>1.3458776665058552E-2</v>
      </c>
      <c r="F37" s="34">
        <f>SUMIFS('Val-Vol (2)'!$H$4:$H$2000,'Val-Vol (2)'!$V$4:$V$2000,$C$5,'Val-Vol (2)'!$A$4:$A$2000,C37,'Val-Vol (2)'!$D$4:$D$2000,'Branche - valeurs'!$C$3)</f>
        <v>8453.7291545847802</v>
      </c>
      <c r="G37" s="89">
        <f t="shared" si="2"/>
        <v>5.0800103452544806E-3</v>
      </c>
      <c r="H37" s="27">
        <f>SUMIFS('Val-Vol (2)'!$I$4:$I$2000,'Val-Vol (2)'!$V$4:$V$2000,$C$5,'Val-Vol (2)'!$A$4:$A$2000,$C$3,'Val-Vol (2)'!$D$4:$D$2000,'Branche - valeurs'!C37)</f>
        <v>0</v>
      </c>
      <c r="I37" s="32" t="str">
        <f t="shared" si="5"/>
        <v/>
      </c>
      <c r="J37" s="27">
        <f>SUMIFS('Val-Vol (2)'!$H$4:$H$2000,'Val-Vol (2)'!$V$4:$V$2000,$C$5,'Val-Vol (2)'!$A$4:$A$2000,$C$3,'Val-Vol (2)'!$D$4:$D$2000,'Branche - valeurs'!C37)</f>
        <v>0</v>
      </c>
      <c r="K37" s="89" t="str">
        <f t="shared" si="3"/>
        <v/>
      </c>
    </row>
    <row r="38" spans="1:13" x14ac:dyDescent="0.25">
      <c r="A38" s="4" t="str">
        <f t="shared" si="0"/>
        <v xml:space="preserve">12  - 47 </v>
      </c>
      <c r="B38" s="4" t="str">
        <f t="shared" si="1"/>
        <v xml:space="preserve">47  - 12 </v>
      </c>
      <c r="C38" s="29" t="s">
        <v>7</v>
      </c>
      <c r="D38" s="83">
        <f>SUMIFS('Val-Vol (2)'!$I$4:$I$2000,'Val-Vol (2)'!$V$4:$V$2000,$C$5,'Val-Vol (2)'!$A$4:$A$2000,C38,'Val-Vol (2)'!$D$4:$D$2000,'Branche - valeurs'!$C$3)</f>
        <v>17823.1772598065</v>
      </c>
      <c r="E38" s="33">
        <f t="shared" si="4"/>
        <v>2.8231278089441456E-2</v>
      </c>
      <c r="F38" s="34">
        <f>SUMIFS('Val-Vol (2)'!$H$4:$H$2000,'Val-Vol (2)'!$V$4:$V$2000,$C$5,'Val-Vol (2)'!$A$4:$A$2000,C38,'Val-Vol (2)'!$D$4:$D$2000,'Branche - valeurs'!$C$3)</f>
        <v>6160.0310299150296</v>
      </c>
      <c r="G38" s="89">
        <f t="shared" si="2"/>
        <v>0.65438086935225226</v>
      </c>
      <c r="H38" s="27">
        <f>SUMIFS('Val-Vol (2)'!$I$4:$I$2000,'Val-Vol (2)'!$V$4:$V$2000,$C$5,'Val-Vol (2)'!$A$4:$A$2000,$C$3,'Val-Vol (2)'!$D$4:$D$2000,'Branche - valeurs'!C38)</f>
        <v>0</v>
      </c>
      <c r="I38" s="32" t="str">
        <f t="shared" si="5"/>
        <v/>
      </c>
      <c r="J38" s="27">
        <f>SUMIFS('Val-Vol (2)'!$H$4:$H$2000,'Val-Vol (2)'!$V$4:$V$2000,$C$5,'Val-Vol (2)'!$A$4:$A$2000,$C$3,'Val-Vol (2)'!$D$4:$D$2000,'Branche - valeurs'!C38)</f>
        <v>0</v>
      </c>
      <c r="K38" s="89" t="str">
        <f t="shared" si="3"/>
        <v/>
      </c>
    </row>
    <row r="39" spans="1:13" x14ac:dyDescent="0.25">
      <c r="A39" s="4" t="str">
        <f t="shared" si="0"/>
        <v xml:space="preserve">13  - 47 </v>
      </c>
      <c r="B39" s="4" t="str">
        <f t="shared" si="1"/>
        <v xml:space="preserve">47  - 13 </v>
      </c>
      <c r="C39" s="29" t="s">
        <v>8</v>
      </c>
      <c r="D39" s="83">
        <f>SUMIFS('Val-Vol (2)'!$I$4:$I$2000,'Val-Vol (2)'!$V$4:$V$2000,$C$5,'Val-Vol (2)'!$A$4:$A$2000,C39,'Val-Vol (2)'!$D$4:$D$2000,'Branche - valeurs'!$C$3)</f>
        <v>0</v>
      </c>
      <c r="E39" s="33" t="str">
        <f t="shared" si="4"/>
        <v/>
      </c>
      <c r="F39" s="34">
        <f>SUMIFS('Val-Vol (2)'!$H$4:$H$2000,'Val-Vol (2)'!$V$4:$V$2000,$C$5,'Val-Vol (2)'!$A$4:$A$2000,C39,'Val-Vol (2)'!$D$4:$D$2000,'Branche - valeurs'!$C$3)</f>
        <v>0</v>
      </c>
      <c r="G39" s="89" t="str">
        <f t="shared" si="2"/>
        <v/>
      </c>
      <c r="H39" s="27">
        <f>SUMIFS('Val-Vol (2)'!$I$4:$I$2000,'Val-Vol (2)'!$V$4:$V$2000,$C$5,'Val-Vol (2)'!$A$4:$A$2000,$C$3,'Val-Vol (2)'!$D$4:$D$2000,'Branche - valeurs'!C39)</f>
        <v>0</v>
      </c>
      <c r="I39" s="32" t="str">
        <f t="shared" si="5"/>
        <v/>
      </c>
      <c r="J39" s="27">
        <f>SUMIFS('Val-Vol (2)'!$H$4:$H$2000,'Val-Vol (2)'!$V$4:$V$2000,$C$5,'Val-Vol (2)'!$A$4:$A$2000,$C$3,'Val-Vol (2)'!$D$4:$D$2000,'Branche - valeurs'!C39)</f>
        <v>0</v>
      </c>
      <c r="K39" s="89" t="str">
        <f t="shared" si="3"/>
        <v/>
      </c>
    </row>
    <row r="40" spans="1:13" x14ac:dyDescent="0.25">
      <c r="A40" s="4" t="str">
        <f t="shared" si="0"/>
        <v xml:space="preserve">14  - 47 </v>
      </c>
      <c r="B40" s="4" t="str">
        <f t="shared" si="1"/>
        <v xml:space="preserve">47  - 14 </v>
      </c>
      <c r="C40" s="29" t="s">
        <v>83</v>
      </c>
      <c r="D40" s="83">
        <f>SUMIFS('Val-Vol (2)'!$I$4:$I$2000,'Val-Vol (2)'!$V$4:$V$2000,$C$5,'Val-Vol (2)'!$A$4:$A$2000,C40,'Val-Vol (2)'!$D$4:$D$2000,'Branche - valeurs'!$C$3)</f>
        <v>1229.53421324434</v>
      </c>
      <c r="E40" s="33">
        <f t="shared" si="4"/>
        <v>1.9475384096000639E-3</v>
      </c>
      <c r="F40" s="34">
        <f>SUMIFS('Val-Vol (2)'!$H$4:$H$2000,'Val-Vol (2)'!$V$4:$V$2000,$C$5,'Val-Vol (2)'!$A$4:$A$2000,C40,'Val-Vol (2)'!$D$4:$D$2000,'Branche - valeurs'!$C$3)</f>
        <v>961.83415519578</v>
      </c>
      <c r="G40" s="89">
        <f t="shared" si="2"/>
        <v>0.21772477346700814</v>
      </c>
      <c r="H40" s="27">
        <f>SUMIFS('Val-Vol (2)'!$I$4:$I$2000,'Val-Vol (2)'!$V$4:$V$2000,$C$5,'Val-Vol (2)'!$A$4:$A$2000,$C$3,'Val-Vol (2)'!$D$4:$D$2000,'Branche - valeurs'!C40)</f>
        <v>0</v>
      </c>
      <c r="I40" s="32" t="str">
        <f t="shared" si="5"/>
        <v/>
      </c>
      <c r="J40" s="27">
        <f>SUMIFS('Val-Vol (2)'!$H$4:$H$2000,'Val-Vol (2)'!$V$4:$V$2000,$C$5,'Val-Vol (2)'!$A$4:$A$2000,$C$3,'Val-Vol (2)'!$D$4:$D$2000,'Branche - valeurs'!C40)</f>
        <v>0</v>
      </c>
      <c r="K40" s="89" t="str">
        <f t="shared" si="3"/>
        <v/>
      </c>
      <c r="M40"/>
    </row>
    <row r="41" spans="1:13" x14ac:dyDescent="0.25">
      <c r="A41" s="4" t="str">
        <f t="shared" si="0"/>
        <v xml:space="preserve">15  - 47 </v>
      </c>
      <c r="B41" s="4" t="str">
        <f t="shared" si="1"/>
        <v xml:space="preserve">47  - 15 </v>
      </c>
      <c r="C41" s="29" t="s">
        <v>9</v>
      </c>
      <c r="D41" s="83">
        <f>SUMIFS('Val-Vol (2)'!$I$4:$I$2000,'Val-Vol (2)'!$V$4:$V$2000,$C$5,'Val-Vol (2)'!$A$4:$A$2000,C41,'Val-Vol (2)'!$D$4:$D$2000,'Branche - valeurs'!$C$3)</f>
        <v>0</v>
      </c>
      <c r="E41" s="33" t="str">
        <f t="shared" si="4"/>
        <v/>
      </c>
      <c r="F41" s="34">
        <f>SUMIFS('Val-Vol (2)'!$H$4:$H$2000,'Val-Vol (2)'!$V$4:$V$2000,$C$5,'Val-Vol (2)'!$A$4:$A$2000,C41,'Val-Vol (2)'!$D$4:$D$2000,'Branche - valeurs'!$C$3)</f>
        <v>0</v>
      </c>
      <c r="G41" s="89" t="str">
        <f t="shared" si="2"/>
        <v/>
      </c>
      <c r="H41" s="27">
        <f>SUMIFS('Val-Vol (2)'!$I$4:$I$2000,'Val-Vol (2)'!$V$4:$V$2000,$C$5,'Val-Vol (2)'!$A$4:$A$2000,$C$3,'Val-Vol (2)'!$D$4:$D$2000,'Branche - valeurs'!C41)</f>
        <v>0</v>
      </c>
      <c r="I41" s="32" t="str">
        <f t="shared" si="5"/>
        <v/>
      </c>
      <c r="J41" s="27">
        <f>SUMIFS('Val-Vol (2)'!$H$4:$H$2000,'Val-Vol (2)'!$V$4:$V$2000,$C$5,'Val-Vol (2)'!$A$4:$A$2000,$C$3,'Val-Vol (2)'!$D$4:$D$2000,'Branche - valeurs'!C41)</f>
        <v>0</v>
      </c>
      <c r="K41" s="89" t="str">
        <f t="shared" si="3"/>
        <v/>
      </c>
      <c r="M41"/>
    </row>
    <row r="42" spans="1:13" x14ac:dyDescent="0.25">
      <c r="A42" s="4" t="str">
        <f t="shared" si="0"/>
        <v xml:space="preserve">16  - 47 </v>
      </c>
      <c r="B42" s="4" t="str">
        <f t="shared" si="1"/>
        <v xml:space="preserve">47  - 16 </v>
      </c>
      <c r="C42" s="29" t="s">
        <v>10</v>
      </c>
      <c r="D42" s="83">
        <f>SUMIFS('Val-Vol (2)'!$I$4:$I$2000,'Val-Vol (2)'!$V$4:$V$2000,$C$5,'Val-Vol (2)'!$A$4:$A$2000,C42,'Val-Vol (2)'!$D$4:$D$2000,'Branche - valeurs'!$C$3)</f>
        <v>0</v>
      </c>
      <c r="E42" s="33" t="str">
        <f t="shared" si="4"/>
        <v/>
      </c>
      <c r="F42" s="34">
        <f>SUMIFS('Val-Vol (2)'!$H$4:$H$2000,'Val-Vol (2)'!$V$4:$V$2000,$C$5,'Val-Vol (2)'!$A$4:$A$2000,C42,'Val-Vol (2)'!$D$4:$D$2000,'Branche - valeurs'!$C$3)</f>
        <v>0</v>
      </c>
      <c r="G42" s="89" t="str">
        <f t="shared" si="2"/>
        <v/>
      </c>
      <c r="H42" s="27">
        <f>SUMIFS('Val-Vol (2)'!$I$4:$I$2000,'Val-Vol (2)'!$V$4:$V$2000,$C$5,'Val-Vol (2)'!$A$4:$A$2000,$C$3,'Val-Vol (2)'!$D$4:$D$2000,'Branche - valeurs'!C42)</f>
        <v>0</v>
      </c>
      <c r="I42" s="32" t="str">
        <f t="shared" si="5"/>
        <v/>
      </c>
      <c r="J42" s="27">
        <f>SUMIFS('Val-Vol (2)'!$H$4:$H$2000,'Val-Vol (2)'!$V$4:$V$2000,$C$5,'Val-Vol (2)'!$A$4:$A$2000,$C$3,'Val-Vol (2)'!$D$4:$D$2000,'Branche - valeurs'!C42)</f>
        <v>0</v>
      </c>
      <c r="K42" s="89" t="str">
        <f t="shared" si="3"/>
        <v/>
      </c>
      <c r="M42"/>
    </row>
    <row r="43" spans="1:13" x14ac:dyDescent="0.25">
      <c r="A43" s="4" t="str">
        <f t="shared" si="0"/>
        <v xml:space="preserve">17  - 47 </v>
      </c>
      <c r="B43" s="4" t="str">
        <f t="shared" si="1"/>
        <v xml:space="preserve">47  - 17 </v>
      </c>
      <c r="C43" s="29" t="s">
        <v>84</v>
      </c>
      <c r="D43" s="83">
        <f>SUMIFS('Val-Vol (2)'!$I$4:$I$2000,'Val-Vol (2)'!$V$4:$V$2000,$C$5,'Val-Vol (2)'!$A$4:$A$2000,C43,'Val-Vol (2)'!$D$4:$D$2000,'Branche - valeurs'!$C$3)</f>
        <v>0</v>
      </c>
      <c r="E43" s="33" t="str">
        <f t="shared" si="4"/>
        <v/>
      </c>
      <c r="F43" s="34">
        <f>SUMIFS('Val-Vol (2)'!$H$4:$H$2000,'Val-Vol (2)'!$V$4:$V$2000,$C$5,'Val-Vol (2)'!$A$4:$A$2000,C43,'Val-Vol (2)'!$D$4:$D$2000,'Branche - valeurs'!$C$3)</f>
        <v>0</v>
      </c>
      <c r="G43" s="89" t="str">
        <f t="shared" si="2"/>
        <v/>
      </c>
      <c r="H43" s="27">
        <f>SUMIFS('Val-Vol (2)'!$I$4:$I$2000,'Val-Vol (2)'!$V$4:$V$2000,$C$5,'Val-Vol (2)'!$A$4:$A$2000,$C$3,'Val-Vol (2)'!$D$4:$D$2000,'Branche - valeurs'!C43)</f>
        <v>0</v>
      </c>
      <c r="I43" s="32" t="str">
        <f t="shared" si="5"/>
        <v/>
      </c>
      <c r="J43" s="27">
        <f>SUMIFS('Val-Vol (2)'!$H$4:$H$2000,'Val-Vol (2)'!$V$4:$V$2000,$C$5,'Val-Vol (2)'!$A$4:$A$2000,$C$3,'Val-Vol (2)'!$D$4:$D$2000,'Branche - valeurs'!C43)</f>
        <v>0</v>
      </c>
      <c r="K43" s="89" t="str">
        <f t="shared" si="3"/>
        <v/>
      </c>
      <c r="M43"/>
    </row>
    <row r="44" spans="1:13" x14ac:dyDescent="0.25">
      <c r="A44" s="4" t="str">
        <f t="shared" si="0"/>
        <v xml:space="preserve">18  - 47 </v>
      </c>
      <c r="B44" s="4" t="str">
        <f t="shared" si="1"/>
        <v xml:space="preserve">47  - 18 </v>
      </c>
      <c r="C44" s="29" t="s">
        <v>11</v>
      </c>
      <c r="D44" s="83">
        <f>SUMIFS('Val-Vol (2)'!$I$4:$I$2000,'Val-Vol (2)'!$V$4:$V$2000,$C$5,'Val-Vol (2)'!$A$4:$A$2000,C44,'Val-Vol (2)'!$D$4:$D$2000,'Branche - valeurs'!$C$3)</f>
        <v>0</v>
      </c>
      <c r="E44" s="33" t="str">
        <f t="shared" si="4"/>
        <v/>
      </c>
      <c r="F44" s="34">
        <f>SUMIFS('Val-Vol (2)'!$H$4:$H$2000,'Val-Vol (2)'!$V$4:$V$2000,$C$5,'Val-Vol (2)'!$A$4:$A$2000,C44,'Val-Vol (2)'!$D$4:$D$2000,'Branche - valeurs'!$C$3)</f>
        <v>0</v>
      </c>
      <c r="G44" s="89" t="str">
        <f t="shared" si="2"/>
        <v/>
      </c>
      <c r="H44" s="27">
        <f>SUMIFS('Val-Vol (2)'!$I$4:$I$2000,'Val-Vol (2)'!$V$4:$V$2000,$C$5,'Val-Vol (2)'!$A$4:$A$2000,$C$3,'Val-Vol (2)'!$D$4:$D$2000,'Branche - valeurs'!C44)</f>
        <v>0</v>
      </c>
      <c r="I44" s="32" t="str">
        <f t="shared" si="5"/>
        <v/>
      </c>
      <c r="J44" s="27">
        <f>SUMIFS('Val-Vol (2)'!$H$4:$H$2000,'Val-Vol (2)'!$V$4:$V$2000,$C$5,'Val-Vol (2)'!$A$4:$A$2000,$C$3,'Val-Vol (2)'!$D$4:$D$2000,'Branche - valeurs'!C44)</f>
        <v>0</v>
      </c>
      <c r="K44" s="89" t="str">
        <f t="shared" si="3"/>
        <v/>
      </c>
      <c r="M44"/>
    </row>
    <row r="45" spans="1:13" x14ac:dyDescent="0.25">
      <c r="A45" s="4" t="str">
        <f t="shared" si="0"/>
        <v xml:space="preserve">19  - 47 </v>
      </c>
      <c r="B45" s="4" t="str">
        <f t="shared" si="1"/>
        <v xml:space="preserve">47  - 19 </v>
      </c>
      <c r="C45" s="29" t="s">
        <v>12</v>
      </c>
      <c r="D45" s="83">
        <f>SUMIFS('Val-Vol (2)'!$I$4:$I$2000,'Val-Vol (2)'!$V$4:$V$2000,$C$5,'Val-Vol (2)'!$A$4:$A$2000,C45,'Val-Vol (2)'!$D$4:$D$2000,'Branche - valeurs'!$C$3)</f>
        <v>0</v>
      </c>
      <c r="E45" s="33" t="str">
        <f t="shared" si="4"/>
        <v/>
      </c>
      <c r="F45" s="34">
        <f>SUMIFS('Val-Vol (2)'!$H$4:$H$2000,'Val-Vol (2)'!$V$4:$V$2000,$C$5,'Val-Vol (2)'!$A$4:$A$2000,C45,'Val-Vol (2)'!$D$4:$D$2000,'Branche - valeurs'!$C$3)</f>
        <v>0</v>
      </c>
      <c r="G45" s="89" t="str">
        <f t="shared" si="2"/>
        <v/>
      </c>
      <c r="H45" s="27">
        <f>SUMIFS('Val-Vol (2)'!$I$4:$I$2000,'Val-Vol (2)'!$V$4:$V$2000,$C$5,'Val-Vol (2)'!$A$4:$A$2000,$C$3,'Val-Vol (2)'!$D$4:$D$2000,'Branche - valeurs'!C45)</f>
        <v>0</v>
      </c>
      <c r="I45" s="32" t="str">
        <f t="shared" si="5"/>
        <v/>
      </c>
      <c r="J45" s="27">
        <f>SUMIFS('Val-Vol (2)'!$H$4:$H$2000,'Val-Vol (2)'!$V$4:$V$2000,$C$5,'Val-Vol (2)'!$A$4:$A$2000,$C$3,'Val-Vol (2)'!$D$4:$D$2000,'Branche - valeurs'!C45)</f>
        <v>0</v>
      </c>
      <c r="K45" s="89" t="str">
        <f t="shared" si="3"/>
        <v/>
      </c>
      <c r="M45"/>
    </row>
    <row r="46" spans="1:13" x14ac:dyDescent="0.25">
      <c r="A46" s="4" t="str">
        <f t="shared" si="0"/>
        <v xml:space="preserve">20  - 47 </v>
      </c>
      <c r="B46" s="4" t="str">
        <f t="shared" si="1"/>
        <v xml:space="preserve">47  - 20 </v>
      </c>
      <c r="C46" s="29" t="s">
        <v>13</v>
      </c>
      <c r="D46" s="83">
        <f>SUMIFS('Val-Vol (2)'!$I$4:$I$2000,'Val-Vol (2)'!$V$4:$V$2000,$C$5,'Val-Vol (2)'!$A$4:$A$2000,C46,'Val-Vol (2)'!$D$4:$D$2000,'Branche - valeurs'!$C$3)</f>
        <v>0</v>
      </c>
      <c r="E46" s="33" t="str">
        <f t="shared" si="4"/>
        <v/>
      </c>
      <c r="F46" s="34">
        <f>SUMIFS('Val-Vol (2)'!$H$4:$H$2000,'Val-Vol (2)'!$V$4:$V$2000,$C$5,'Val-Vol (2)'!$A$4:$A$2000,C46,'Val-Vol (2)'!$D$4:$D$2000,'Branche - valeurs'!$C$3)</f>
        <v>0</v>
      </c>
      <c r="G46" s="89" t="str">
        <f t="shared" si="2"/>
        <v/>
      </c>
      <c r="H46" s="27">
        <f>SUMIFS('Val-Vol (2)'!$I$4:$I$2000,'Val-Vol (2)'!$V$4:$V$2000,$C$5,'Val-Vol (2)'!$A$4:$A$2000,$C$3,'Val-Vol (2)'!$D$4:$D$2000,'Branche - valeurs'!C46)</f>
        <v>0</v>
      </c>
      <c r="I46" s="32" t="str">
        <f t="shared" si="5"/>
        <v/>
      </c>
      <c r="J46" s="27">
        <f>SUMIFS('Val-Vol (2)'!$H$4:$H$2000,'Val-Vol (2)'!$V$4:$V$2000,$C$5,'Val-Vol (2)'!$A$4:$A$2000,$C$3,'Val-Vol (2)'!$D$4:$D$2000,'Branche - valeurs'!C46)</f>
        <v>0</v>
      </c>
      <c r="K46" s="89" t="str">
        <f t="shared" si="3"/>
        <v/>
      </c>
      <c r="M46"/>
    </row>
    <row r="47" spans="1:13" x14ac:dyDescent="0.25">
      <c r="A47" s="4" t="str">
        <f t="shared" si="0"/>
        <v xml:space="preserve">20b - 47 </v>
      </c>
      <c r="B47" s="4" t="str">
        <f t="shared" si="1"/>
        <v>47  - 20b</v>
      </c>
      <c r="C47" s="29" t="s">
        <v>14</v>
      </c>
      <c r="D47" s="83">
        <f>SUMIFS('Val-Vol (2)'!$I$4:$I$2000,'Val-Vol (2)'!$V$4:$V$2000,$C$5,'Val-Vol (2)'!$A$4:$A$2000,C47,'Val-Vol (2)'!$D$4:$D$2000,'Branche - valeurs'!$C$3)</f>
        <v>5631.7961424637597</v>
      </c>
      <c r="E47" s="33">
        <f t="shared" si="4"/>
        <v>8.9205645392691438E-3</v>
      </c>
      <c r="F47" s="34">
        <f>SUMIFS('Val-Vol (2)'!$H$4:$H$2000,'Val-Vol (2)'!$V$4:$V$2000,$C$5,'Val-Vol (2)'!$A$4:$A$2000,C47,'Val-Vol (2)'!$D$4:$D$2000,'Branche - valeurs'!$C$3)</f>
        <v>5631.0480466529398</v>
      </c>
      <c r="G47" s="89">
        <f t="shared" si="2"/>
        <v>1.3283431997462765E-4</v>
      </c>
      <c r="H47" s="27">
        <f>SUMIFS('Val-Vol (2)'!$I$4:$I$2000,'Val-Vol (2)'!$V$4:$V$2000,$C$5,'Val-Vol (2)'!$A$4:$A$2000,$C$3,'Val-Vol (2)'!$D$4:$D$2000,'Branche - valeurs'!C47)</f>
        <v>0</v>
      </c>
      <c r="I47" s="32" t="str">
        <f t="shared" si="5"/>
        <v/>
      </c>
      <c r="J47" s="27">
        <f>SUMIFS('Val-Vol (2)'!$H$4:$H$2000,'Val-Vol (2)'!$V$4:$V$2000,$C$5,'Val-Vol (2)'!$A$4:$A$2000,$C$3,'Val-Vol (2)'!$D$4:$D$2000,'Branche - valeurs'!C47)</f>
        <v>0</v>
      </c>
      <c r="K47" s="89" t="str">
        <f t="shared" si="3"/>
        <v/>
      </c>
      <c r="M47"/>
    </row>
    <row r="48" spans="1:13" x14ac:dyDescent="0.25">
      <c r="A48" s="4" t="str">
        <f t="shared" si="0"/>
        <v xml:space="preserve">29  - 47 </v>
      </c>
      <c r="B48" s="4" t="str">
        <f t="shared" si="1"/>
        <v xml:space="preserve">47  - 29 </v>
      </c>
      <c r="C48" s="29" t="s">
        <v>85</v>
      </c>
      <c r="D48" s="83">
        <f>SUMIFS('Val-Vol (2)'!$I$4:$I$2000,'Val-Vol (2)'!$V$4:$V$2000,$C$5,'Val-Vol (2)'!$A$4:$A$2000,C48,'Val-Vol (2)'!$D$4:$D$2000,'Branche - valeurs'!$C$3)</f>
        <v>0</v>
      </c>
      <c r="E48" s="33" t="str">
        <f t="shared" si="4"/>
        <v/>
      </c>
      <c r="F48" s="34">
        <f>SUMIFS('Val-Vol (2)'!$H$4:$H$2000,'Val-Vol (2)'!$V$4:$V$2000,$C$5,'Val-Vol (2)'!$A$4:$A$2000,C48,'Val-Vol (2)'!$D$4:$D$2000,'Branche - valeurs'!$C$3)</f>
        <v>0</v>
      </c>
      <c r="G48" s="89" t="str">
        <f t="shared" si="2"/>
        <v/>
      </c>
      <c r="H48" s="27">
        <f>SUMIFS('Val-Vol (2)'!$I$4:$I$2000,'Val-Vol (2)'!$V$4:$V$2000,$C$5,'Val-Vol (2)'!$A$4:$A$2000,$C$3,'Val-Vol (2)'!$D$4:$D$2000,'Branche - valeurs'!C48)</f>
        <v>0</v>
      </c>
      <c r="I48" s="32" t="str">
        <f t="shared" si="5"/>
        <v/>
      </c>
      <c r="J48" s="27">
        <f>SUMIFS('Val-Vol (2)'!$H$4:$H$2000,'Val-Vol (2)'!$V$4:$V$2000,$C$5,'Val-Vol (2)'!$A$4:$A$2000,$C$3,'Val-Vol (2)'!$D$4:$D$2000,'Branche - valeurs'!C48)</f>
        <v>0</v>
      </c>
      <c r="K48" s="89" t="str">
        <f t="shared" si="3"/>
        <v/>
      </c>
      <c r="M48"/>
    </row>
    <row r="49" spans="1:13" x14ac:dyDescent="0.25">
      <c r="A49" s="4" t="str">
        <f t="shared" si="0"/>
        <v xml:space="preserve">30  - 47 </v>
      </c>
      <c r="B49" s="4" t="str">
        <f t="shared" si="1"/>
        <v xml:space="preserve">47  - 30 </v>
      </c>
      <c r="C49" s="29" t="s">
        <v>86</v>
      </c>
      <c r="D49" s="83">
        <f>SUMIFS('Val-Vol (2)'!$I$4:$I$2000,'Val-Vol (2)'!$V$4:$V$2000,$C$5,'Val-Vol (2)'!$A$4:$A$2000,C49,'Val-Vol (2)'!$D$4:$D$2000,'Branche - valeurs'!$C$3)</f>
        <v>0</v>
      </c>
      <c r="E49" s="33" t="str">
        <f t="shared" si="4"/>
        <v/>
      </c>
      <c r="F49" s="34">
        <f>SUMIFS('Val-Vol (2)'!$H$4:$H$2000,'Val-Vol (2)'!$V$4:$V$2000,$C$5,'Val-Vol (2)'!$A$4:$A$2000,C49,'Val-Vol (2)'!$D$4:$D$2000,'Branche - valeurs'!$C$3)</f>
        <v>0</v>
      </c>
      <c r="G49" s="89" t="str">
        <f t="shared" si="2"/>
        <v/>
      </c>
      <c r="H49" s="27">
        <f>SUMIFS('Val-Vol (2)'!$I$4:$I$2000,'Val-Vol (2)'!$V$4:$V$2000,$C$5,'Val-Vol (2)'!$A$4:$A$2000,$C$3,'Val-Vol (2)'!$D$4:$D$2000,'Branche - valeurs'!C49)</f>
        <v>0</v>
      </c>
      <c r="I49" s="32" t="str">
        <f t="shared" si="5"/>
        <v/>
      </c>
      <c r="J49" s="27">
        <f>SUMIFS('Val-Vol (2)'!$H$4:$H$2000,'Val-Vol (2)'!$V$4:$V$2000,$C$5,'Val-Vol (2)'!$A$4:$A$2000,$C$3,'Val-Vol (2)'!$D$4:$D$2000,'Branche - valeurs'!C49)</f>
        <v>0</v>
      </c>
      <c r="K49" s="89" t="str">
        <f t="shared" si="3"/>
        <v/>
      </c>
      <c r="M49"/>
    </row>
    <row r="50" spans="1:13" x14ac:dyDescent="0.25">
      <c r="A50" s="4" t="str">
        <f t="shared" si="0"/>
        <v xml:space="preserve">31  - 47 </v>
      </c>
      <c r="B50" s="4" t="str">
        <f t="shared" si="1"/>
        <v xml:space="preserve">47  - 31 </v>
      </c>
      <c r="C50" s="29" t="s">
        <v>87</v>
      </c>
      <c r="D50" s="83">
        <f>SUMIFS('Val-Vol (2)'!$I$4:$I$2000,'Val-Vol (2)'!$V$4:$V$2000,$C$5,'Val-Vol (2)'!$A$4:$A$2000,C50,'Val-Vol (2)'!$D$4:$D$2000,'Branche - valeurs'!$C$3)</f>
        <v>468091.54664031701</v>
      </c>
      <c r="E50" s="33">
        <f t="shared" si="4"/>
        <v>0.7414403409610153</v>
      </c>
      <c r="F50" s="34">
        <f>SUMIFS('Val-Vol (2)'!$H$4:$H$2000,'Val-Vol (2)'!$V$4:$V$2000,$C$5,'Val-Vol (2)'!$A$4:$A$2000,C50,'Val-Vol (2)'!$D$4:$D$2000,'Branche - valeurs'!$C$3)</f>
        <v>222369.05875714001</v>
      </c>
      <c r="G50" s="89">
        <f t="shared" si="2"/>
        <v>0.5249453651680468</v>
      </c>
      <c r="H50" s="27">
        <f>SUMIFS('Val-Vol (2)'!$I$4:$I$2000,'Val-Vol (2)'!$V$4:$V$2000,$C$5,'Val-Vol (2)'!$A$4:$A$2000,$C$3,'Val-Vol (2)'!$D$4:$D$2000,'Branche - valeurs'!C50)</f>
        <v>0</v>
      </c>
      <c r="I50" s="32" t="str">
        <f t="shared" si="5"/>
        <v/>
      </c>
      <c r="J50" s="27">
        <f>SUMIFS('Val-Vol (2)'!$H$4:$H$2000,'Val-Vol (2)'!$V$4:$V$2000,$C$5,'Val-Vol (2)'!$A$4:$A$2000,$C$3,'Val-Vol (2)'!$D$4:$D$2000,'Branche - valeurs'!C50)</f>
        <v>0</v>
      </c>
      <c r="K50" s="89" t="str">
        <f t="shared" si="3"/>
        <v/>
      </c>
      <c r="M50"/>
    </row>
    <row r="51" spans="1:13" x14ac:dyDescent="0.25">
      <c r="A51" s="4" t="str">
        <f t="shared" si="0"/>
        <v xml:space="preserve">32  - 47 </v>
      </c>
      <c r="B51" s="4" t="str">
        <f t="shared" si="1"/>
        <v xml:space="preserve">47  - 32 </v>
      </c>
      <c r="C51" s="29" t="s">
        <v>88</v>
      </c>
      <c r="D51" s="83">
        <f>SUMIFS('Val-Vol (2)'!$I$4:$I$2000,'Val-Vol (2)'!$V$4:$V$2000,$C$5,'Val-Vol (2)'!$A$4:$A$2000,C51,'Val-Vol (2)'!$D$4:$D$2000,'Branche - valeurs'!$C$3)</f>
        <v>0</v>
      </c>
      <c r="E51" s="33" t="str">
        <f t="shared" si="4"/>
        <v/>
      </c>
      <c r="F51" s="34">
        <f>SUMIFS('Val-Vol (2)'!$H$4:$H$2000,'Val-Vol (2)'!$V$4:$V$2000,$C$5,'Val-Vol (2)'!$A$4:$A$2000,C51,'Val-Vol (2)'!$D$4:$D$2000,'Branche - valeurs'!$C$3)</f>
        <v>0</v>
      </c>
      <c r="G51" s="89" t="str">
        <f t="shared" si="2"/>
        <v/>
      </c>
      <c r="H51" s="27">
        <f>SUMIFS('Val-Vol (2)'!$I$4:$I$2000,'Val-Vol (2)'!$V$4:$V$2000,$C$5,'Val-Vol (2)'!$A$4:$A$2000,$C$3,'Val-Vol (2)'!$D$4:$D$2000,'Branche - valeurs'!C51)</f>
        <v>0</v>
      </c>
      <c r="I51" s="32" t="str">
        <f t="shared" si="5"/>
        <v/>
      </c>
      <c r="J51" s="27">
        <f>SUMIFS('Val-Vol (2)'!$H$4:$H$2000,'Val-Vol (2)'!$V$4:$V$2000,$C$5,'Val-Vol (2)'!$A$4:$A$2000,$C$3,'Val-Vol (2)'!$D$4:$D$2000,'Branche - valeurs'!C51)</f>
        <v>0</v>
      </c>
      <c r="K51" s="89" t="str">
        <f t="shared" si="3"/>
        <v/>
      </c>
      <c r="M51"/>
    </row>
    <row r="52" spans="1:13" x14ac:dyDescent="0.25">
      <c r="A52" s="4" t="str">
        <f t="shared" si="0"/>
        <v xml:space="preserve">33  - 47 </v>
      </c>
      <c r="B52" s="4" t="str">
        <f t="shared" si="1"/>
        <v xml:space="preserve">47  - 33 </v>
      </c>
      <c r="C52" s="29" t="s">
        <v>89</v>
      </c>
      <c r="D52" s="83">
        <f>SUMIFS('Val-Vol (2)'!$I$4:$I$2000,'Val-Vol (2)'!$V$4:$V$2000,$C$5,'Val-Vol (2)'!$A$4:$A$2000,C52,'Val-Vol (2)'!$D$4:$D$2000,'Branche - valeurs'!$C$3)</f>
        <v>0</v>
      </c>
      <c r="E52" s="33" t="str">
        <f t="shared" si="4"/>
        <v/>
      </c>
      <c r="F52" s="34">
        <f>SUMIFS('Val-Vol (2)'!$H$4:$H$2000,'Val-Vol (2)'!$V$4:$V$2000,$C$5,'Val-Vol (2)'!$A$4:$A$2000,C52,'Val-Vol (2)'!$D$4:$D$2000,'Branche - valeurs'!$C$3)</f>
        <v>0</v>
      </c>
      <c r="G52" s="89" t="str">
        <f t="shared" si="2"/>
        <v/>
      </c>
      <c r="H52" s="27">
        <f>SUMIFS('Val-Vol (2)'!$I$4:$I$2000,'Val-Vol (2)'!$V$4:$V$2000,$C$5,'Val-Vol (2)'!$A$4:$A$2000,$C$3,'Val-Vol (2)'!$D$4:$D$2000,'Branche - valeurs'!C52)</f>
        <v>0</v>
      </c>
      <c r="I52" s="32" t="str">
        <f t="shared" si="5"/>
        <v/>
      </c>
      <c r="J52" s="27">
        <f>SUMIFS('Val-Vol (2)'!$H$4:$H$2000,'Val-Vol (2)'!$V$4:$V$2000,$C$5,'Val-Vol (2)'!$A$4:$A$2000,$C$3,'Val-Vol (2)'!$D$4:$D$2000,'Branche - valeurs'!C52)</f>
        <v>0</v>
      </c>
      <c r="K52" s="89" t="str">
        <f t="shared" si="3"/>
        <v/>
      </c>
      <c r="M52"/>
    </row>
    <row r="53" spans="1:13" x14ac:dyDescent="0.25">
      <c r="A53" s="4" t="str">
        <f t="shared" si="0"/>
        <v xml:space="preserve">34  - 47 </v>
      </c>
      <c r="B53" s="4" t="str">
        <f t="shared" si="1"/>
        <v xml:space="preserve">47  - 34 </v>
      </c>
      <c r="C53" s="29" t="s">
        <v>90</v>
      </c>
      <c r="D53" s="83">
        <f>SUMIFS('Val-Vol (2)'!$I$4:$I$2000,'Val-Vol (2)'!$V$4:$V$2000,$C$5,'Val-Vol (2)'!$A$4:$A$2000,C53,'Val-Vol (2)'!$D$4:$D$2000,'Branche - valeurs'!$C$3)</f>
        <v>0</v>
      </c>
      <c r="E53" s="33" t="str">
        <f t="shared" si="4"/>
        <v/>
      </c>
      <c r="F53" s="34">
        <f>SUMIFS('Val-Vol (2)'!$H$4:$H$2000,'Val-Vol (2)'!$V$4:$V$2000,$C$5,'Val-Vol (2)'!$A$4:$A$2000,C53,'Val-Vol (2)'!$D$4:$D$2000,'Branche - valeurs'!$C$3)</f>
        <v>0</v>
      </c>
      <c r="G53" s="89" t="str">
        <f t="shared" si="2"/>
        <v/>
      </c>
      <c r="H53" s="27">
        <f>SUMIFS('Val-Vol (2)'!$I$4:$I$2000,'Val-Vol (2)'!$V$4:$V$2000,$C$5,'Val-Vol (2)'!$A$4:$A$2000,$C$3,'Val-Vol (2)'!$D$4:$D$2000,'Branche - valeurs'!C53)</f>
        <v>5150.2324302413899</v>
      </c>
      <c r="I53" s="32">
        <f t="shared" si="5"/>
        <v>0.10101167879420643</v>
      </c>
      <c r="J53" s="27">
        <f>SUMIFS('Val-Vol (2)'!$H$4:$H$2000,'Val-Vol (2)'!$V$4:$V$2000,$C$5,'Val-Vol (2)'!$A$4:$A$2000,$C$3,'Val-Vol (2)'!$D$4:$D$2000,'Branche - valeurs'!C53)</f>
        <v>3473.1897307722002</v>
      </c>
      <c r="K53" s="89">
        <f t="shared" si="3"/>
        <v>0.32562466300003229</v>
      </c>
      <c r="M53"/>
    </row>
    <row r="54" spans="1:13" x14ac:dyDescent="0.25">
      <c r="A54" s="4" t="str">
        <f t="shared" si="0"/>
        <v xml:space="preserve">35  - 47 </v>
      </c>
      <c r="B54" s="4" t="str">
        <f t="shared" si="1"/>
        <v xml:space="preserve">47  - 35 </v>
      </c>
      <c r="C54" s="29" t="s">
        <v>15</v>
      </c>
      <c r="D54" s="83">
        <f>SUMIFS('Val-Vol (2)'!$I$4:$I$2000,'Val-Vol (2)'!$V$4:$V$2000,$C$5,'Val-Vol (2)'!$A$4:$A$2000,C54,'Val-Vol (2)'!$D$4:$D$2000,'Branche - valeurs'!$C$3)</f>
        <v>0</v>
      </c>
      <c r="E54" s="33" t="str">
        <f t="shared" si="4"/>
        <v/>
      </c>
      <c r="F54" s="34">
        <f>SUMIFS('Val-Vol (2)'!$H$4:$H$2000,'Val-Vol (2)'!$V$4:$V$2000,$C$5,'Val-Vol (2)'!$A$4:$A$2000,C54,'Val-Vol (2)'!$D$4:$D$2000,'Branche - valeurs'!$C$3)</f>
        <v>0</v>
      </c>
      <c r="G54" s="89" t="str">
        <f t="shared" si="2"/>
        <v/>
      </c>
      <c r="H54" s="27">
        <f>SUMIFS('Val-Vol (2)'!$I$4:$I$2000,'Val-Vol (2)'!$V$4:$V$2000,$C$5,'Val-Vol (2)'!$A$4:$A$2000,$C$3,'Val-Vol (2)'!$D$4:$D$2000,'Branche - valeurs'!C54)</f>
        <v>0</v>
      </c>
      <c r="I54" s="32" t="str">
        <f t="shared" si="5"/>
        <v/>
      </c>
      <c r="J54" s="27">
        <f>SUMIFS('Val-Vol (2)'!$H$4:$H$2000,'Val-Vol (2)'!$V$4:$V$2000,$C$5,'Val-Vol (2)'!$A$4:$A$2000,$C$3,'Val-Vol (2)'!$D$4:$D$2000,'Branche - valeurs'!C54)</f>
        <v>0</v>
      </c>
      <c r="K54" s="89" t="str">
        <f t="shared" si="3"/>
        <v/>
      </c>
      <c r="M54"/>
    </row>
    <row r="55" spans="1:13" x14ac:dyDescent="0.25">
      <c r="A55" s="4" t="str">
        <f t="shared" si="0"/>
        <v xml:space="preserve">36  - 47 </v>
      </c>
      <c r="B55" s="4" t="str">
        <f t="shared" si="1"/>
        <v xml:space="preserve">47  - 36 </v>
      </c>
      <c r="C55" s="29" t="s">
        <v>16</v>
      </c>
      <c r="D55" s="83">
        <f>SUMIFS('Val-Vol (2)'!$I$4:$I$2000,'Val-Vol (2)'!$V$4:$V$2000,$C$5,'Val-Vol (2)'!$A$4:$A$2000,C55,'Val-Vol (2)'!$D$4:$D$2000,'Branche - valeurs'!$C$3)</f>
        <v>0</v>
      </c>
      <c r="E55" s="33" t="str">
        <f t="shared" si="4"/>
        <v/>
      </c>
      <c r="F55" s="34">
        <f>SUMIFS('Val-Vol (2)'!$H$4:$H$2000,'Val-Vol (2)'!$V$4:$V$2000,$C$5,'Val-Vol (2)'!$A$4:$A$2000,C55,'Val-Vol (2)'!$D$4:$D$2000,'Branche - valeurs'!$C$3)</f>
        <v>0</v>
      </c>
      <c r="G55" s="89" t="str">
        <f t="shared" si="2"/>
        <v/>
      </c>
      <c r="H55" s="27">
        <f>SUMIFS('Val-Vol (2)'!$I$4:$I$2000,'Val-Vol (2)'!$V$4:$V$2000,$C$5,'Val-Vol (2)'!$A$4:$A$2000,$C$3,'Val-Vol (2)'!$D$4:$D$2000,'Branche - valeurs'!C55)</f>
        <v>0</v>
      </c>
      <c r="I55" s="32" t="str">
        <f t="shared" si="5"/>
        <v/>
      </c>
      <c r="J55" s="27">
        <f>SUMIFS('Val-Vol (2)'!$H$4:$H$2000,'Val-Vol (2)'!$V$4:$V$2000,$C$5,'Val-Vol (2)'!$A$4:$A$2000,$C$3,'Val-Vol (2)'!$D$4:$D$2000,'Branche - valeurs'!C55)</f>
        <v>0</v>
      </c>
      <c r="K55" s="89" t="str">
        <f t="shared" si="3"/>
        <v/>
      </c>
      <c r="M55"/>
    </row>
    <row r="56" spans="1:13" x14ac:dyDescent="0.25">
      <c r="A56" s="4" t="str">
        <f t="shared" si="0"/>
        <v xml:space="preserve">37  - 47 </v>
      </c>
      <c r="B56" s="4" t="str">
        <f t="shared" si="1"/>
        <v xml:space="preserve">47  - 37 </v>
      </c>
      <c r="C56" s="29" t="s">
        <v>91</v>
      </c>
      <c r="D56" s="83">
        <f>SUMIFS('Val-Vol (2)'!$I$4:$I$2000,'Val-Vol (2)'!$V$4:$V$2000,$C$5,'Val-Vol (2)'!$A$4:$A$2000,C56,'Val-Vol (2)'!$D$4:$D$2000,'Branche - valeurs'!$C$3)</f>
        <v>0</v>
      </c>
      <c r="E56" s="33" t="str">
        <f t="shared" si="4"/>
        <v/>
      </c>
      <c r="F56" s="34">
        <f>SUMIFS('Val-Vol (2)'!$H$4:$H$2000,'Val-Vol (2)'!$V$4:$V$2000,$C$5,'Val-Vol (2)'!$A$4:$A$2000,C56,'Val-Vol (2)'!$D$4:$D$2000,'Branche - valeurs'!$C$3)</f>
        <v>0</v>
      </c>
      <c r="G56" s="89" t="str">
        <f t="shared" si="2"/>
        <v/>
      </c>
      <c r="H56" s="27">
        <f>SUMIFS('Val-Vol (2)'!$I$4:$I$2000,'Val-Vol (2)'!$V$4:$V$2000,$C$5,'Val-Vol (2)'!$A$4:$A$2000,$C$3,'Val-Vol (2)'!$D$4:$D$2000,'Branche - valeurs'!C56)</f>
        <v>0</v>
      </c>
      <c r="I56" s="32" t="str">
        <f t="shared" si="5"/>
        <v/>
      </c>
      <c r="J56" s="27">
        <f>SUMIFS('Val-Vol (2)'!$H$4:$H$2000,'Val-Vol (2)'!$V$4:$V$2000,$C$5,'Val-Vol (2)'!$A$4:$A$2000,$C$3,'Val-Vol (2)'!$D$4:$D$2000,'Branche - valeurs'!C56)</f>
        <v>0</v>
      </c>
      <c r="K56" s="89" t="str">
        <f t="shared" si="3"/>
        <v/>
      </c>
      <c r="M56"/>
    </row>
    <row r="57" spans="1:13" x14ac:dyDescent="0.25">
      <c r="A57" s="4" t="str">
        <f t="shared" si="0"/>
        <v xml:space="preserve">38  - 47 </v>
      </c>
      <c r="B57" s="4" t="str">
        <f t="shared" si="1"/>
        <v xml:space="preserve">47  - 38 </v>
      </c>
      <c r="C57" s="29" t="s">
        <v>17</v>
      </c>
      <c r="D57" s="83">
        <f>SUMIFS('Val-Vol (2)'!$I$4:$I$2000,'Val-Vol (2)'!$V$4:$V$2000,$C$5,'Val-Vol (2)'!$A$4:$A$2000,C57,'Val-Vol (2)'!$D$4:$D$2000,'Branche - valeurs'!$C$3)</f>
        <v>0</v>
      </c>
      <c r="E57" s="33" t="str">
        <f t="shared" si="4"/>
        <v/>
      </c>
      <c r="F57" s="34">
        <f>SUMIFS('Val-Vol (2)'!$H$4:$H$2000,'Val-Vol (2)'!$V$4:$V$2000,$C$5,'Val-Vol (2)'!$A$4:$A$2000,C57,'Val-Vol (2)'!$D$4:$D$2000,'Branche - valeurs'!$C$3)</f>
        <v>0</v>
      </c>
      <c r="G57" s="89" t="str">
        <f t="shared" si="2"/>
        <v/>
      </c>
      <c r="H57" s="27">
        <f>SUMIFS('Val-Vol (2)'!$I$4:$I$2000,'Val-Vol (2)'!$V$4:$V$2000,$C$5,'Val-Vol (2)'!$A$4:$A$2000,$C$3,'Val-Vol (2)'!$D$4:$D$2000,'Branche - valeurs'!C57)</f>
        <v>0</v>
      </c>
      <c r="I57" s="32" t="str">
        <f t="shared" si="5"/>
        <v/>
      </c>
      <c r="J57" s="27">
        <f>SUMIFS('Val-Vol (2)'!$H$4:$H$2000,'Val-Vol (2)'!$V$4:$V$2000,$C$5,'Val-Vol (2)'!$A$4:$A$2000,$C$3,'Val-Vol (2)'!$D$4:$D$2000,'Branche - valeurs'!C57)</f>
        <v>0</v>
      </c>
      <c r="K57" s="89" t="str">
        <f t="shared" si="3"/>
        <v/>
      </c>
      <c r="M57"/>
    </row>
    <row r="58" spans="1:13" x14ac:dyDescent="0.25">
      <c r="A58" s="4" t="str">
        <f t="shared" si="0"/>
        <v xml:space="preserve">39  - 47 </v>
      </c>
      <c r="B58" s="4" t="str">
        <f t="shared" si="1"/>
        <v xml:space="preserve">47  - 39 </v>
      </c>
      <c r="C58" s="29" t="s">
        <v>18</v>
      </c>
      <c r="D58" s="83">
        <f>SUMIFS('Val-Vol (2)'!$I$4:$I$2000,'Val-Vol (2)'!$V$4:$V$2000,$C$5,'Val-Vol (2)'!$A$4:$A$2000,C58,'Val-Vol (2)'!$D$4:$D$2000,'Branche - valeurs'!$C$3)</f>
        <v>0</v>
      </c>
      <c r="E58" s="33" t="str">
        <f t="shared" si="4"/>
        <v/>
      </c>
      <c r="F58" s="34">
        <f>SUMIFS('Val-Vol (2)'!$H$4:$H$2000,'Val-Vol (2)'!$V$4:$V$2000,$C$5,'Val-Vol (2)'!$A$4:$A$2000,C58,'Val-Vol (2)'!$D$4:$D$2000,'Branche - valeurs'!$C$3)</f>
        <v>0</v>
      </c>
      <c r="G58" s="89" t="str">
        <f t="shared" si="2"/>
        <v/>
      </c>
      <c r="H58" s="27">
        <f>SUMIFS('Val-Vol (2)'!$I$4:$I$2000,'Val-Vol (2)'!$V$4:$V$2000,$C$5,'Val-Vol (2)'!$A$4:$A$2000,$C$3,'Val-Vol (2)'!$D$4:$D$2000,'Branche - valeurs'!C58)</f>
        <v>0</v>
      </c>
      <c r="I58" s="32" t="str">
        <f t="shared" si="5"/>
        <v/>
      </c>
      <c r="J58" s="27">
        <f>SUMIFS('Val-Vol (2)'!$H$4:$H$2000,'Val-Vol (2)'!$V$4:$V$2000,$C$5,'Val-Vol (2)'!$A$4:$A$2000,$C$3,'Val-Vol (2)'!$D$4:$D$2000,'Branche - valeurs'!C58)</f>
        <v>0</v>
      </c>
      <c r="K58" s="89" t="str">
        <f t="shared" si="3"/>
        <v/>
      </c>
      <c r="M58"/>
    </row>
    <row r="59" spans="1:13" x14ac:dyDescent="0.25">
      <c r="A59" s="4" t="str">
        <f t="shared" ref="A59:A83" si="6">LEFT(C59,3)&amp;" - "&amp;LEFT($C$3,3)</f>
        <v xml:space="preserve">40  - 47 </v>
      </c>
      <c r="B59" s="4" t="str">
        <f t="shared" ref="B59:B83" si="7">LEFT($C$3,3)&amp;" - "&amp;LEFT(C59,3)</f>
        <v xml:space="preserve">47  - 40 </v>
      </c>
      <c r="C59" s="29" t="s">
        <v>92</v>
      </c>
      <c r="D59" s="83">
        <f>SUMIFS('Val-Vol (2)'!$I$4:$I$2000,'Val-Vol (2)'!$V$4:$V$2000,$C$5,'Val-Vol (2)'!$A$4:$A$2000,C59,'Val-Vol (2)'!$D$4:$D$2000,'Branche - valeurs'!$C$3)</f>
        <v>0</v>
      </c>
      <c r="E59" s="33" t="str">
        <f t="shared" si="4"/>
        <v/>
      </c>
      <c r="F59" s="34">
        <f>SUMIFS('Val-Vol (2)'!$H$4:$H$2000,'Val-Vol (2)'!$V$4:$V$2000,$C$5,'Val-Vol (2)'!$A$4:$A$2000,C59,'Val-Vol (2)'!$D$4:$D$2000,'Branche - valeurs'!$C$3)</f>
        <v>0</v>
      </c>
      <c r="G59" s="89" t="str">
        <f t="shared" si="2"/>
        <v/>
      </c>
      <c r="H59" s="27">
        <f>SUMIFS('Val-Vol (2)'!$I$4:$I$2000,'Val-Vol (2)'!$V$4:$V$2000,$C$5,'Val-Vol (2)'!$A$4:$A$2000,$C$3,'Val-Vol (2)'!$D$4:$D$2000,'Branche - valeurs'!C59)</f>
        <v>0</v>
      </c>
      <c r="I59" s="32" t="str">
        <f t="shared" si="5"/>
        <v/>
      </c>
      <c r="J59" s="27">
        <f>SUMIFS('Val-Vol (2)'!$H$4:$H$2000,'Val-Vol (2)'!$V$4:$V$2000,$C$5,'Val-Vol (2)'!$A$4:$A$2000,$C$3,'Val-Vol (2)'!$D$4:$D$2000,'Branche - valeurs'!C59)</f>
        <v>0</v>
      </c>
      <c r="K59" s="89" t="str">
        <f t="shared" ref="K59:K83" si="8">IF((H59=0),"",IF(J59&lt;&gt;0,(H59-J59)/(H59),1))</f>
        <v/>
      </c>
      <c r="M59"/>
    </row>
    <row r="60" spans="1:13" x14ac:dyDescent="0.25">
      <c r="A60" s="4" t="str">
        <f t="shared" si="6"/>
        <v xml:space="preserve">41  - 47 </v>
      </c>
      <c r="B60" s="4" t="str">
        <f t="shared" si="7"/>
        <v xml:space="preserve">47  - 41 </v>
      </c>
      <c r="C60" s="29" t="s">
        <v>93</v>
      </c>
      <c r="D60" s="83">
        <f>SUMIFS('Val-Vol (2)'!$I$4:$I$2000,'Val-Vol (2)'!$V$4:$V$2000,$C$5,'Val-Vol (2)'!$A$4:$A$2000,C60,'Val-Vol (2)'!$D$4:$D$2000,'Branche - valeurs'!$C$3)</f>
        <v>0</v>
      </c>
      <c r="E60" s="33" t="str">
        <f t="shared" si="4"/>
        <v/>
      </c>
      <c r="F60" s="34">
        <f>SUMIFS('Val-Vol (2)'!$H$4:$H$2000,'Val-Vol (2)'!$V$4:$V$2000,$C$5,'Val-Vol (2)'!$A$4:$A$2000,C60,'Val-Vol (2)'!$D$4:$D$2000,'Branche - valeurs'!$C$3)</f>
        <v>0</v>
      </c>
      <c r="G60" s="89" t="str">
        <f t="shared" si="2"/>
        <v/>
      </c>
      <c r="H60" s="27">
        <f>SUMIFS('Val-Vol (2)'!$I$4:$I$2000,'Val-Vol (2)'!$V$4:$V$2000,$C$5,'Val-Vol (2)'!$A$4:$A$2000,$C$3,'Val-Vol (2)'!$D$4:$D$2000,'Branche - valeurs'!C60)</f>
        <v>0</v>
      </c>
      <c r="I60" s="32" t="str">
        <f t="shared" si="5"/>
        <v/>
      </c>
      <c r="J60" s="27">
        <f>SUMIFS('Val-Vol (2)'!$H$4:$H$2000,'Val-Vol (2)'!$V$4:$V$2000,$C$5,'Val-Vol (2)'!$A$4:$A$2000,$C$3,'Val-Vol (2)'!$D$4:$D$2000,'Branche - valeurs'!C60)</f>
        <v>0</v>
      </c>
      <c r="K60" s="89" t="str">
        <f t="shared" si="8"/>
        <v/>
      </c>
      <c r="M60"/>
    </row>
    <row r="61" spans="1:13" x14ac:dyDescent="0.25">
      <c r="A61" s="4" t="str">
        <f t="shared" si="6"/>
        <v xml:space="preserve">42  - 47 </v>
      </c>
      <c r="B61" s="4" t="str">
        <f t="shared" si="7"/>
        <v xml:space="preserve">47  - 42 </v>
      </c>
      <c r="C61" s="29" t="s">
        <v>94</v>
      </c>
      <c r="D61" s="83">
        <f>SUMIFS('Val-Vol (2)'!$I$4:$I$2000,'Val-Vol (2)'!$V$4:$V$2000,$C$5,'Val-Vol (2)'!$A$4:$A$2000,C61,'Val-Vol (2)'!$D$4:$D$2000,'Branche - valeurs'!$C$3)</f>
        <v>0</v>
      </c>
      <c r="E61" s="33" t="str">
        <f t="shared" si="4"/>
        <v/>
      </c>
      <c r="F61" s="34">
        <f>SUMIFS('Val-Vol (2)'!$H$4:$H$2000,'Val-Vol (2)'!$V$4:$V$2000,$C$5,'Val-Vol (2)'!$A$4:$A$2000,C61,'Val-Vol (2)'!$D$4:$D$2000,'Branche - valeurs'!$C$3)</f>
        <v>0</v>
      </c>
      <c r="G61" s="89" t="str">
        <f t="shared" si="2"/>
        <v/>
      </c>
      <c r="H61" s="27">
        <f>SUMIFS('Val-Vol (2)'!$I$4:$I$2000,'Val-Vol (2)'!$V$4:$V$2000,$C$5,'Val-Vol (2)'!$A$4:$A$2000,$C$3,'Val-Vol (2)'!$D$4:$D$2000,'Branche - valeurs'!C61)</f>
        <v>0</v>
      </c>
      <c r="I61" s="32" t="str">
        <f t="shared" si="5"/>
        <v/>
      </c>
      <c r="J61" s="27">
        <f>SUMIFS('Val-Vol (2)'!$H$4:$H$2000,'Val-Vol (2)'!$V$4:$V$2000,$C$5,'Val-Vol (2)'!$A$4:$A$2000,$C$3,'Val-Vol (2)'!$D$4:$D$2000,'Branche - valeurs'!C61)</f>
        <v>0</v>
      </c>
      <c r="K61" s="89" t="str">
        <f t="shared" si="8"/>
        <v/>
      </c>
      <c r="M61"/>
    </row>
    <row r="62" spans="1:13" x14ac:dyDescent="0.25">
      <c r="A62" s="4" t="str">
        <f t="shared" si="6"/>
        <v xml:space="preserve">43  - 47 </v>
      </c>
      <c r="B62" s="4" t="str">
        <f t="shared" si="7"/>
        <v xml:space="preserve">47  - 43 </v>
      </c>
      <c r="C62" s="29" t="s">
        <v>95</v>
      </c>
      <c r="D62" s="83">
        <f>SUMIFS('Val-Vol (2)'!$I$4:$I$2000,'Val-Vol (2)'!$V$4:$V$2000,$C$5,'Val-Vol (2)'!$A$4:$A$2000,C62,'Val-Vol (2)'!$D$4:$D$2000,'Branche - valeurs'!$C$3)</f>
        <v>0</v>
      </c>
      <c r="E62" s="33" t="str">
        <f t="shared" si="4"/>
        <v/>
      </c>
      <c r="F62" s="34">
        <f>SUMIFS('Val-Vol (2)'!$H$4:$H$2000,'Val-Vol (2)'!$V$4:$V$2000,$C$5,'Val-Vol (2)'!$A$4:$A$2000,C62,'Val-Vol (2)'!$D$4:$D$2000,'Branche - valeurs'!$C$3)</f>
        <v>0</v>
      </c>
      <c r="G62" s="89" t="str">
        <f t="shared" si="2"/>
        <v/>
      </c>
      <c r="H62" s="27">
        <f>SUMIFS('Val-Vol (2)'!$I$4:$I$2000,'Val-Vol (2)'!$V$4:$V$2000,$C$5,'Val-Vol (2)'!$A$4:$A$2000,$C$3,'Val-Vol (2)'!$D$4:$D$2000,'Branche - valeurs'!C62)</f>
        <v>0</v>
      </c>
      <c r="I62" s="32" t="str">
        <f t="shared" si="5"/>
        <v/>
      </c>
      <c r="J62" s="27">
        <f>SUMIFS('Val-Vol (2)'!$H$4:$H$2000,'Val-Vol (2)'!$V$4:$V$2000,$C$5,'Val-Vol (2)'!$A$4:$A$2000,$C$3,'Val-Vol (2)'!$D$4:$D$2000,'Branche - valeurs'!C62)</f>
        <v>0</v>
      </c>
      <c r="K62" s="89" t="str">
        <f t="shared" si="8"/>
        <v/>
      </c>
      <c r="M62"/>
    </row>
    <row r="63" spans="1:13" x14ac:dyDescent="0.25">
      <c r="A63" s="4" t="str">
        <f t="shared" si="6"/>
        <v xml:space="preserve">44  - 47 </v>
      </c>
      <c r="B63" s="4" t="str">
        <f t="shared" si="7"/>
        <v xml:space="preserve">47  - 44 </v>
      </c>
      <c r="C63" s="29" t="s">
        <v>302</v>
      </c>
      <c r="D63" s="83">
        <f>SUMIFS('Val-Vol (2)'!$I$4:$I$2000,'Val-Vol (2)'!$V$4:$V$2000,$C$5,'Val-Vol (2)'!$A$4:$A$2000,C63,'Val-Vol (2)'!$D$4:$D$2000,'Branche - valeurs'!$C$3)</f>
        <v>0</v>
      </c>
      <c r="E63" s="33" t="str">
        <f t="shared" si="4"/>
        <v/>
      </c>
      <c r="F63" s="34">
        <f>SUMIFS('Val-Vol (2)'!$H$4:$H$2000,'Val-Vol (2)'!$V$4:$V$2000,$C$5,'Val-Vol (2)'!$A$4:$A$2000,C63,'Val-Vol (2)'!$D$4:$D$2000,'Branche - valeurs'!$C$3)</f>
        <v>0</v>
      </c>
      <c r="G63" s="89" t="str">
        <f t="shared" si="2"/>
        <v/>
      </c>
      <c r="H63" s="27">
        <f>SUMIFS('Val-Vol (2)'!$I$4:$I$2000,'Val-Vol (2)'!$V$4:$V$2000,$C$5,'Val-Vol (2)'!$A$4:$A$2000,$C$3,'Val-Vol (2)'!$D$4:$D$2000,'Branche - valeurs'!C63)</f>
        <v>0</v>
      </c>
      <c r="I63" s="32" t="str">
        <f t="shared" si="5"/>
        <v/>
      </c>
      <c r="J63" s="27">
        <f>SUMIFS('Val-Vol (2)'!$H$4:$H$2000,'Val-Vol (2)'!$V$4:$V$2000,$C$5,'Val-Vol (2)'!$A$4:$A$2000,$C$3,'Val-Vol (2)'!$D$4:$D$2000,'Branche - valeurs'!C63)</f>
        <v>0</v>
      </c>
      <c r="K63" s="89" t="str">
        <f t="shared" si="8"/>
        <v/>
      </c>
      <c r="M63"/>
    </row>
    <row r="64" spans="1:13" x14ac:dyDescent="0.25">
      <c r="A64" s="4" t="str">
        <f t="shared" si="6"/>
        <v xml:space="preserve">45  - 47 </v>
      </c>
      <c r="B64" s="4" t="str">
        <f t="shared" si="7"/>
        <v xml:space="preserve">47  - 45 </v>
      </c>
      <c r="C64" s="29" t="s">
        <v>97</v>
      </c>
      <c r="D64" s="83">
        <f>SUMIFS('Val-Vol (2)'!$I$4:$I$2000,'Val-Vol (2)'!$V$4:$V$2000,$C$5,'Val-Vol (2)'!$A$4:$A$2000,C64,'Val-Vol (2)'!$D$4:$D$2000,'Branche - valeurs'!$C$3)</f>
        <v>0</v>
      </c>
      <c r="E64" s="33" t="str">
        <f t="shared" si="4"/>
        <v/>
      </c>
      <c r="F64" s="34">
        <f>SUMIFS('Val-Vol (2)'!$H$4:$H$2000,'Val-Vol (2)'!$V$4:$V$2000,$C$5,'Val-Vol (2)'!$A$4:$A$2000,C64,'Val-Vol (2)'!$D$4:$D$2000,'Branche - valeurs'!$C$3)</f>
        <v>0</v>
      </c>
      <c r="G64" s="89" t="str">
        <f t="shared" si="2"/>
        <v/>
      </c>
      <c r="H64" s="27">
        <f>SUMIFS('Val-Vol (2)'!$I$4:$I$2000,'Val-Vol (2)'!$V$4:$V$2000,$C$5,'Val-Vol (2)'!$A$4:$A$2000,$C$3,'Val-Vol (2)'!$D$4:$D$2000,'Branche - valeurs'!C64)</f>
        <v>0</v>
      </c>
      <c r="I64" s="32" t="str">
        <f t="shared" si="5"/>
        <v/>
      </c>
      <c r="J64" s="27">
        <f>SUMIFS('Val-Vol (2)'!$H$4:$H$2000,'Val-Vol (2)'!$V$4:$V$2000,$C$5,'Val-Vol (2)'!$A$4:$A$2000,$C$3,'Val-Vol (2)'!$D$4:$D$2000,'Branche - valeurs'!C64)</f>
        <v>0</v>
      </c>
      <c r="K64" s="89" t="str">
        <f t="shared" si="8"/>
        <v/>
      </c>
      <c r="M64"/>
    </row>
    <row r="65" spans="1:13" x14ac:dyDescent="0.25">
      <c r="A65" s="4" t="str">
        <f t="shared" si="6"/>
        <v xml:space="preserve">46  - 47 </v>
      </c>
      <c r="B65" s="4" t="str">
        <f t="shared" si="7"/>
        <v xml:space="preserve">47  - 46 </v>
      </c>
      <c r="C65" s="29" t="s">
        <v>98</v>
      </c>
      <c r="D65" s="83">
        <f>SUMIFS('Val-Vol (2)'!$I$4:$I$2000,'Val-Vol (2)'!$V$4:$V$2000,$C$5,'Val-Vol (2)'!$A$4:$A$2000,C65,'Val-Vol (2)'!$D$4:$D$2000,'Branche - valeurs'!$C$3)</f>
        <v>0</v>
      </c>
      <c r="E65" s="33" t="str">
        <f t="shared" si="4"/>
        <v/>
      </c>
      <c r="F65" s="34">
        <f>SUMIFS('Val-Vol (2)'!$H$4:$H$2000,'Val-Vol (2)'!$V$4:$V$2000,$C$5,'Val-Vol (2)'!$A$4:$A$2000,C65,'Val-Vol (2)'!$D$4:$D$2000,'Branche - valeurs'!$C$3)</f>
        <v>0</v>
      </c>
      <c r="G65" s="89" t="str">
        <f t="shared" si="2"/>
        <v/>
      </c>
      <c r="H65" s="27">
        <f>SUMIFS('Val-Vol (2)'!$I$4:$I$2000,'Val-Vol (2)'!$V$4:$V$2000,$C$5,'Val-Vol (2)'!$A$4:$A$2000,$C$3,'Val-Vol (2)'!$D$4:$D$2000,'Branche - valeurs'!C65)</f>
        <v>0</v>
      </c>
      <c r="I65" s="32" t="str">
        <f t="shared" si="5"/>
        <v/>
      </c>
      <c r="J65" s="27">
        <f>SUMIFS('Val-Vol (2)'!$H$4:$H$2000,'Val-Vol (2)'!$V$4:$V$2000,$C$5,'Val-Vol (2)'!$A$4:$A$2000,$C$3,'Val-Vol (2)'!$D$4:$D$2000,'Branche - valeurs'!C65)</f>
        <v>0</v>
      </c>
      <c r="K65" s="89" t="str">
        <f t="shared" si="8"/>
        <v/>
      </c>
      <c r="M65"/>
    </row>
    <row r="66" spans="1:13" x14ac:dyDescent="0.25">
      <c r="A66" s="4" t="str">
        <f t="shared" si="6"/>
        <v xml:space="preserve">47  - 47 </v>
      </c>
      <c r="B66" s="4" t="str">
        <f t="shared" si="7"/>
        <v xml:space="preserve">47  - 47 </v>
      </c>
      <c r="C66" s="29" t="s">
        <v>99</v>
      </c>
      <c r="D66" s="83">
        <f>SUMIFS('Val-Vol (2)'!$I$4:$I$2000,'Val-Vol (2)'!$V$4:$V$2000,$C$5,'Val-Vol (2)'!$A$4:$A$2000,C66,'Val-Vol (2)'!$D$4:$D$2000,'Branche - valeurs'!$C$3)</f>
        <v>0</v>
      </c>
      <c r="E66" s="33" t="str">
        <f t="shared" si="4"/>
        <v/>
      </c>
      <c r="F66" s="34">
        <f>SUMIFS('Val-Vol (2)'!$H$4:$H$2000,'Val-Vol (2)'!$V$4:$V$2000,$C$5,'Val-Vol (2)'!$A$4:$A$2000,C66,'Val-Vol (2)'!$D$4:$D$2000,'Branche - valeurs'!$C$3)</f>
        <v>0</v>
      </c>
      <c r="G66" s="89" t="str">
        <f t="shared" si="2"/>
        <v/>
      </c>
      <c r="H66" s="27">
        <f>SUMIFS('Val-Vol (2)'!$I$4:$I$2000,'Val-Vol (2)'!$V$4:$V$2000,$C$5,'Val-Vol (2)'!$A$4:$A$2000,$C$3,'Val-Vol (2)'!$D$4:$D$2000,'Branche - valeurs'!C66)</f>
        <v>0</v>
      </c>
      <c r="I66" s="32" t="str">
        <f t="shared" si="5"/>
        <v/>
      </c>
      <c r="J66" s="27">
        <f>SUMIFS('Val-Vol (2)'!$H$4:$H$2000,'Val-Vol (2)'!$V$4:$V$2000,$C$5,'Val-Vol (2)'!$A$4:$A$2000,$C$3,'Val-Vol (2)'!$D$4:$D$2000,'Branche - valeurs'!C66)</f>
        <v>0</v>
      </c>
      <c r="K66" s="89" t="str">
        <f t="shared" si="8"/>
        <v/>
      </c>
      <c r="M66"/>
    </row>
    <row r="67" spans="1:13" x14ac:dyDescent="0.25">
      <c r="A67" s="4" t="str">
        <f t="shared" si="6"/>
        <v xml:space="preserve">48  - 47 </v>
      </c>
      <c r="B67" s="4" t="str">
        <f t="shared" si="7"/>
        <v xml:space="preserve">47  - 48 </v>
      </c>
      <c r="C67" s="29" t="s">
        <v>100</v>
      </c>
      <c r="D67" s="83">
        <f>SUMIFS('Val-Vol (2)'!$I$4:$I$2000,'Val-Vol (2)'!$V$4:$V$2000,$C$5,'Val-Vol (2)'!$A$4:$A$2000,C67,'Val-Vol (2)'!$D$4:$D$2000,'Branche - valeurs'!$C$3)</f>
        <v>0</v>
      </c>
      <c r="E67" s="33" t="str">
        <f t="shared" si="4"/>
        <v/>
      </c>
      <c r="F67" s="34">
        <f>SUMIFS('Val-Vol (2)'!$H$4:$H$2000,'Val-Vol (2)'!$V$4:$V$2000,$C$5,'Val-Vol (2)'!$A$4:$A$2000,C67,'Val-Vol (2)'!$D$4:$D$2000,'Branche - valeurs'!$C$3)</f>
        <v>0</v>
      </c>
      <c r="G67" s="89" t="str">
        <f t="shared" si="2"/>
        <v/>
      </c>
      <c r="H67" s="27">
        <f>SUMIFS('Val-Vol (2)'!$I$4:$I$2000,'Val-Vol (2)'!$V$4:$V$2000,$C$5,'Val-Vol (2)'!$A$4:$A$2000,$C$3,'Val-Vol (2)'!$D$4:$D$2000,'Branche - valeurs'!C67)</f>
        <v>0</v>
      </c>
      <c r="I67" s="32" t="str">
        <f t="shared" si="5"/>
        <v/>
      </c>
      <c r="J67" s="27">
        <f>SUMIFS('Val-Vol (2)'!$H$4:$H$2000,'Val-Vol (2)'!$V$4:$V$2000,$C$5,'Val-Vol (2)'!$A$4:$A$2000,$C$3,'Val-Vol (2)'!$D$4:$D$2000,'Branche - valeurs'!C67)</f>
        <v>0</v>
      </c>
      <c r="K67" s="89" t="str">
        <f t="shared" si="8"/>
        <v/>
      </c>
      <c r="M67"/>
    </row>
    <row r="68" spans="1:13" x14ac:dyDescent="0.25">
      <c r="A68" s="4" t="str">
        <f t="shared" si="6"/>
        <v xml:space="preserve">49  - 47 </v>
      </c>
      <c r="B68" s="4" t="str">
        <f t="shared" si="7"/>
        <v xml:space="preserve">47  - 49 </v>
      </c>
      <c r="C68" s="29" t="s">
        <v>101</v>
      </c>
      <c r="D68" s="83">
        <f>SUMIFS('Val-Vol (2)'!$I$4:$I$2000,'Val-Vol (2)'!$V$4:$V$2000,$C$5,'Val-Vol (2)'!$A$4:$A$2000,C68,'Val-Vol (2)'!$D$4:$D$2000,'Branche - valeurs'!$C$3)</f>
        <v>0</v>
      </c>
      <c r="E68" s="33" t="str">
        <f t="shared" si="4"/>
        <v/>
      </c>
      <c r="F68" s="34">
        <f>SUMIFS('Val-Vol (2)'!$H$4:$H$2000,'Val-Vol (2)'!$V$4:$V$2000,$C$5,'Val-Vol (2)'!$A$4:$A$2000,C68,'Val-Vol (2)'!$D$4:$D$2000,'Branche - valeurs'!$C$3)</f>
        <v>0</v>
      </c>
      <c r="G68" s="89" t="str">
        <f t="shared" si="2"/>
        <v/>
      </c>
      <c r="H68" s="27">
        <f>SUMIFS('Val-Vol (2)'!$I$4:$I$2000,'Val-Vol (2)'!$V$4:$V$2000,$C$5,'Val-Vol (2)'!$A$4:$A$2000,$C$3,'Val-Vol (2)'!$D$4:$D$2000,'Branche - valeurs'!C68)</f>
        <v>0</v>
      </c>
      <c r="I68" s="32" t="str">
        <f t="shared" si="5"/>
        <v/>
      </c>
      <c r="J68" s="27">
        <f>SUMIFS('Val-Vol (2)'!$H$4:$H$2000,'Val-Vol (2)'!$V$4:$V$2000,$C$5,'Val-Vol (2)'!$A$4:$A$2000,$C$3,'Val-Vol (2)'!$D$4:$D$2000,'Branche - valeurs'!C68)</f>
        <v>0</v>
      </c>
      <c r="K68" s="89" t="str">
        <f t="shared" si="8"/>
        <v/>
      </c>
      <c r="M68"/>
    </row>
    <row r="69" spans="1:13" x14ac:dyDescent="0.25">
      <c r="A69" s="4" t="str">
        <f t="shared" si="6"/>
        <v xml:space="preserve">50  - 47 </v>
      </c>
      <c r="B69" s="4" t="str">
        <f t="shared" si="7"/>
        <v xml:space="preserve">47  - 50 </v>
      </c>
      <c r="C69" s="29" t="s">
        <v>102</v>
      </c>
      <c r="D69" s="83">
        <f>SUMIFS('Val-Vol (2)'!$I$4:$I$2000,'Val-Vol (2)'!$V$4:$V$2000,$C$5,'Val-Vol (2)'!$A$4:$A$2000,C69,'Val-Vol (2)'!$D$4:$D$2000,'Branche - valeurs'!$C$3)</f>
        <v>0</v>
      </c>
      <c r="E69" s="33" t="str">
        <f t="shared" si="4"/>
        <v/>
      </c>
      <c r="F69" s="34">
        <f>SUMIFS('Val-Vol (2)'!$H$4:$H$2000,'Val-Vol (2)'!$V$4:$V$2000,$C$5,'Val-Vol (2)'!$A$4:$A$2000,C69,'Val-Vol (2)'!$D$4:$D$2000,'Branche - valeurs'!$C$3)</f>
        <v>0</v>
      </c>
      <c r="G69" s="89" t="str">
        <f t="shared" si="2"/>
        <v/>
      </c>
      <c r="H69" s="27">
        <f>SUMIFS('Val-Vol (2)'!$I$4:$I$2000,'Val-Vol (2)'!$V$4:$V$2000,$C$5,'Val-Vol (2)'!$A$4:$A$2000,$C$3,'Val-Vol (2)'!$D$4:$D$2000,'Branche - valeurs'!C69)</f>
        <v>0</v>
      </c>
      <c r="I69" s="32" t="str">
        <f t="shared" si="5"/>
        <v/>
      </c>
      <c r="J69" s="27">
        <f>SUMIFS('Val-Vol (2)'!$H$4:$H$2000,'Val-Vol (2)'!$V$4:$V$2000,$C$5,'Val-Vol (2)'!$A$4:$A$2000,$C$3,'Val-Vol (2)'!$D$4:$D$2000,'Branche - valeurs'!C69)</f>
        <v>0</v>
      </c>
      <c r="K69" s="89" t="str">
        <f t="shared" si="8"/>
        <v/>
      </c>
      <c r="M69"/>
    </row>
    <row r="70" spans="1:13" x14ac:dyDescent="0.25">
      <c r="A70" s="4" t="str">
        <f t="shared" si="6"/>
        <v xml:space="preserve">51  - 47 </v>
      </c>
      <c r="B70" s="4" t="str">
        <f t="shared" si="7"/>
        <v xml:space="preserve">47  - 51 </v>
      </c>
      <c r="C70" s="29" t="s">
        <v>103</v>
      </c>
      <c r="D70" s="83">
        <f>SUMIFS('Val-Vol (2)'!$I$4:$I$2000,'Val-Vol (2)'!$V$4:$V$2000,$C$5,'Val-Vol (2)'!$A$4:$A$2000,C70,'Val-Vol (2)'!$D$4:$D$2000,'Branche - valeurs'!$C$3)</f>
        <v>0</v>
      </c>
      <c r="E70" s="33" t="str">
        <f t="shared" si="4"/>
        <v/>
      </c>
      <c r="F70" s="34">
        <f>SUMIFS('Val-Vol (2)'!$H$4:$H$2000,'Val-Vol (2)'!$V$4:$V$2000,$C$5,'Val-Vol (2)'!$A$4:$A$2000,C70,'Val-Vol (2)'!$D$4:$D$2000,'Branche - valeurs'!$C$3)</f>
        <v>0</v>
      </c>
      <c r="G70" s="89" t="str">
        <f t="shared" si="2"/>
        <v/>
      </c>
      <c r="H70" s="27">
        <f>SUMIFS('Val-Vol (2)'!$I$4:$I$2000,'Val-Vol (2)'!$V$4:$V$2000,$C$5,'Val-Vol (2)'!$A$4:$A$2000,$C$3,'Val-Vol (2)'!$D$4:$D$2000,'Branche - valeurs'!C70)</f>
        <v>0</v>
      </c>
      <c r="I70" s="32" t="str">
        <f t="shared" si="5"/>
        <v/>
      </c>
      <c r="J70" s="27">
        <f>SUMIFS('Val-Vol (2)'!$H$4:$H$2000,'Val-Vol (2)'!$V$4:$V$2000,$C$5,'Val-Vol (2)'!$A$4:$A$2000,$C$3,'Val-Vol (2)'!$D$4:$D$2000,'Branche - valeurs'!C70)</f>
        <v>0</v>
      </c>
      <c r="K70" s="89" t="str">
        <f t="shared" si="8"/>
        <v/>
      </c>
      <c r="M70"/>
    </row>
    <row r="71" spans="1:13" x14ac:dyDescent="0.25">
      <c r="A71" s="4" t="str">
        <f t="shared" si="6"/>
        <v xml:space="preserve">52  - 47 </v>
      </c>
      <c r="B71" s="4" t="str">
        <f t="shared" si="7"/>
        <v xml:space="preserve">47  - 52 </v>
      </c>
      <c r="C71" s="29" t="s">
        <v>19</v>
      </c>
      <c r="D71" s="83">
        <f>SUMIFS('Val-Vol (2)'!$I$4:$I$2000,'Val-Vol (2)'!$V$4:$V$2000,$C$5,'Val-Vol (2)'!$A$4:$A$2000,C71,'Val-Vol (2)'!$D$4:$D$2000,'Branche - valeurs'!$C$3)</f>
        <v>0</v>
      </c>
      <c r="E71" s="33" t="str">
        <f t="shared" si="4"/>
        <v/>
      </c>
      <c r="F71" s="34">
        <f>SUMIFS('Val-Vol (2)'!$H$4:$H$2000,'Val-Vol (2)'!$V$4:$V$2000,$C$5,'Val-Vol (2)'!$A$4:$A$2000,C71,'Val-Vol (2)'!$D$4:$D$2000,'Branche - valeurs'!$C$3)</f>
        <v>0</v>
      </c>
      <c r="G71" s="89" t="str">
        <f t="shared" si="2"/>
        <v/>
      </c>
      <c r="H71" s="27">
        <f>SUMIFS('Val-Vol (2)'!$I$4:$I$2000,'Val-Vol (2)'!$V$4:$V$2000,$C$5,'Val-Vol (2)'!$A$4:$A$2000,$C$3,'Val-Vol (2)'!$D$4:$D$2000,'Branche - valeurs'!C71)</f>
        <v>0</v>
      </c>
      <c r="I71" s="32" t="str">
        <f t="shared" si="5"/>
        <v/>
      </c>
      <c r="J71" s="27">
        <f>SUMIFS('Val-Vol (2)'!$H$4:$H$2000,'Val-Vol (2)'!$V$4:$V$2000,$C$5,'Val-Vol (2)'!$A$4:$A$2000,$C$3,'Val-Vol (2)'!$D$4:$D$2000,'Branche - valeurs'!C71)</f>
        <v>0</v>
      </c>
      <c r="K71" s="89" t="str">
        <f t="shared" si="8"/>
        <v/>
      </c>
      <c r="M71"/>
    </row>
    <row r="72" spans="1:13" x14ac:dyDescent="0.25">
      <c r="A72" s="4" t="str">
        <f t="shared" si="6"/>
        <v xml:space="preserve">53  - 47 </v>
      </c>
      <c r="B72" s="4" t="str">
        <f t="shared" si="7"/>
        <v xml:space="preserve">47  - 53 </v>
      </c>
      <c r="C72" s="29" t="s">
        <v>20</v>
      </c>
      <c r="D72" s="83">
        <f>SUMIFS('Val-Vol (2)'!$I$4:$I$2000,'Val-Vol (2)'!$V$4:$V$2000,$C$5,'Val-Vol (2)'!$A$4:$A$2000,C72,'Val-Vol (2)'!$D$4:$D$2000,'Branche - valeurs'!$C$3)</f>
        <v>0</v>
      </c>
      <c r="E72" s="33" t="str">
        <f t="shared" si="4"/>
        <v/>
      </c>
      <c r="F72" s="34">
        <f>SUMIFS('Val-Vol (2)'!$H$4:$H$2000,'Val-Vol (2)'!$V$4:$V$2000,$C$5,'Val-Vol (2)'!$A$4:$A$2000,C72,'Val-Vol (2)'!$D$4:$D$2000,'Branche - valeurs'!$C$3)</f>
        <v>0</v>
      </c>
      <c r="G72" s="89" t="str">
        <f t="shared" si="2"/>
        <v/>
      </c>
      <c r="H72" s="27">
        <f>SUMIFS('Val-Vol (2)'!$I$4:$I$2000,'Val-Vol (2)'!$V$4:$V$2000,$C$5,'Val-Vol (2)'!$A$4:$A$2000,$C$3,'Val-Vol (2)'!$D$4:$D$2000,'Branche - valeurs'!C72)</f>
        <v>0</v>
      </c>
      <c r="I72" s="32" t="str">
        <f t="shared" si="5"/>
        <v/>
      </c>
      <c r="J72" s="27">
        <f>SUMIFS('Val-Vol (2)'!$H$4:$H$2000,'Val-Vol (2)'!$V$4:$V$2000,$C$5,'Val-Vol (2)'!$A$4:$A$2000,$C$3,'Val-Vol (2)'!$D$4:$D$2000,'Branche - valeurs'!C72)</f>
        <v>0</v>
      </c>
      <c r="K72" s="89" t="str">
        <f t="shared" si="8"/>
        <v/>
      </c>
      <c r="M72"/>
    </row>
    <row r="73" spans="1:13" x14ac:dyDescent="0.25">
      <c r="A73" s="4" t="str">
        <f t="shared" si="6"/>
        <v xml:space="preserve">54  - 47 </v>
      </c>
      <c r="B73" s="4" t="str">
        <f t="shared" si="7"/>
        <v xml:space="preserve">47  - 54 </v>
      </c>
      <c r="C73" s="29" t="s">
        <v>21</v>
      </c>
      <c r="D73" s="83">
        <f>SUMIFS('Val-Vol (2)'!$I$4:$I$2000,'Val-Vol (2)'!$V$4:$V$2000,$C$5,'Val-Vol (2)'!$A$4:$A$2000,C73,'Val-Vol (2)'!$D$4:$D$2000,'Branche - valeurs'!$C$3)</f>
        <v>0</v>
      </c>
      <c r="E73" s="33" t="str">
        <f t="shared" si="4"/>
        <v/>
      </c>
      <c r="F73" s="34">
        <f>SUMIFS('Val-Vol (2)'!$H$4:$H$2000,'Val-Vol (2)'!$V$4:$V$2000,$C$5,'Val-Vol (2)'!$A$4:$A$2000,C73,'Val-Vol (2)'!$D$4:$D$2000,'Branche - valeurs'!$C$3)</f>
        <v>0</v>
      </c>
      <c r="G73" s="89" t="str">
        <f t="shared" si="2"/>
        <v/>
      </c>
      <c r="H73" s="27">
        <f>SUMIFS('Val-Vol (2)'!$I$4:$I$2000,'Val-Vol (2)'!$V$4:$V$2000,$C$5,'Val-Vol (2)'!$A$4:$A$2000,$C$3,'Val-Vol (2)'!$D$4:$D$2000,'Branche - valeurs'!C73)</f>
        <v>0</v>
      </c>
      <c r="I73" s="32" t="str">
        <f t="shared" si="5"/>
        <v/>
      </c>
      <c r="J73" s="27">
        <f>SUMIFS('Val-Vol (2)'!$H$4:$H$2000,'Val-Vol (2)'!$V$4:$V$2000,$C$5,'Val-Vol (2)'!$A$4:$A$2000,$C$3,'Val-Vol (2)'!$D$4:$D$2000,'Branche - valeurs'!C73)</f>
        <v>0</v>
      </c>
      <c r="K73" s="89" t="str">
        <f t="shared" si="8"/>
        <v/>
      </c>
      <c r="M73"/>
    </row>
    <row r="74" spans="1:13" x14ac:dyDescent="0.25">
      <c r="A74" s="4" t="str">
        <f t="shared" si="6"/>
        <v xml:space="preserve">55  - 47 </v>
      </c>
      <c r="B74" s="4" t="str">
        <f t="shared" si="7"/>
        <v xml:space="preserve">47  - 55 </v>
      </c>
      <c r="C74" s="29" t="s">
        <v>22</v>
      </c>
      <c r="D74" s="83">
        <f>SUMIFS('Val-Vol (2)'!$I$4:$I$2000,'Val-Vol (2)'!$V$4:$V$2000,$C$5,'Val-Vol (2)'!$A$4:$A$2000,C74,'Val-Vol (2)'!$D$4:$D$2000,'Branche - valeurs'!$C$3)</f>
        <v>0</v>
      </c>
      <c r="E74" s="33" t="str">
        <f t="shared" si="4"/>
        <v/>
      </c>
      <c r="F74" s="34">
        <f>SUMIFS('Val-Vol (2)'!$H$4:$H$2000,'Val-Vol (2)'!$V$4:$V$2000,$C$5,'Val-Vol (2)'!$A$4:$A$2000,C74,'Val-Vol (2)'!$D$4:$D$2000,'Branche - valeurs'!$C$3)</f>
        <v>0</v>
      </c>
      <c r="G74" s="89" t="str">
        <f t="shared" si="2"/>
        <v/>
      </c>
      <c r="H74" s="27">
        <f>SUMIFS('Val-Vol (2)'!$I$4:$I$2000,'Val-Vol (2)'!$V$4:$V$2000,$C$5,'Val-Vol (2)'!$A$4:$A$2000,$C$3,'Val-Vol (2)'!$D$4:$D$2000,'Branche - valeurs'!C74)</f>
        <v>45836.2722167518</v>
      </c>
      <c r="I74" s="32">
        <f t="shared" si="5"/>
        <v>0.89898832120579353</v>
      </c>
      <c r="J74" s="27">
        <f>SUMIFS('Val-Vol (2)'!$H$4:$H$2000,'Val-Vol (2)'!$V$4:$V$2000,$C$5,'Val-Vol (2)'!$A$4:$A$2000,$C$3,'Val-Vol (2)'!$D$4:$D$2000,'Branche - valeurs'!C74)</f>
        <v>34829.173057476197</v>
      </c>
      <c r="K74" s="89">
        <f t="shared" si="8"/>
        <v>0.24013949274114038</v>
      </c>
      <c r="M74"/>
    </row>
    <row r="75" spans="1:13" x14ac:dyDescent="0.25">
      <c r="A75" s="4" t="str">
        <f t="shared" si="6"/>
        <v xml:space="preserve">56  - 47 </v>
      </c>
      <c r="B75" s="4" t="str">
        <f t="shared" si="7"/>
        <v xml:space="preserve">47  - 56 </v>
      </c>
      <c r="C75" s="29" t="s">
        <v>23</v>
      </c>
      <c r="D75" s="83">
        <f>SUMIFS('Val-Vol (2)'!$I$4:$I$2000,'Val-Vol (2)'!$V$4:$V$2000,$C$5,'Val-Vol (2)'!$A$4:$A$2000,C75,'Val-Vol (2)'!$D$4:$D$2000,'Branche - valeurs'!$C$3)</f>
        <v>0</v>
      </c>
      <c r="E75" s="33" t="str">
        <f t="shared" si="4"/>
        <v/>
      </c>
      <c r="F75" s="34">
        <f>SUMIFS('Val-Vol (2)'!$H$4:$H$2000,'Val-Vol (2)'!$V$4:$V$2000,$C$5,'Val-Vol (2)'!$A$4:$A$2000,C75,'Val-Vol (2)'!$D$4:$D$2000,'Branche - valeurs'!$C$3)</f>
        <v>0</v>
      </c>
      <c r="G75" s="89" t="str">
        <f t="shared" si="2"/>
        <v/>
      </c>
      <c r="H75" s="27">
        <f>SUMIFS('Val-Vol (2)'!$I$4:$I$2000,'Val-Vol (2)'!$V$4:$V$2000,$C$5,'Val-Vol (2)'!$A$4:$A$2000,$C$3,'Val-Vol (2)'!$D$4:$D$2000,'Branche - valeurs'!C75)</f>
        <v>0</v>
      </c>
      <c r="I75" s="32" t="str">
        <f t="shared" si="5"/>
        <v/>
      </c>
      <c r="J75" s="27">
        <f>SUMIFS('Val-Vol (2)'!$H$4:$H$2000,'Val-Vol (2)'!$V$4:$V$2000,$C$5,'Val-Vol (2)'!$A$4:$A$2000,$C$3,'Val-Vol (2)'!$D$4:$D$2000,'Branche - valeurs'!C75)</f>
        <v>0</v>
      </c>
      <c r="K75" s="89" t="str">
        <f t="shared" si="8"/>
        <v/>
      </c>
      <c r="M75"/>
    </row>
    <row r="76" spans="1:13" x14ac:dyDescent="0.25">
      <c r="A76" s="4" t="str">
        <f t="shared" si="6"/>
        <v xml:space="preserve">57  - 47 </v>
      </c>
      <c r="B76" s="4" t="str">
        <f t="shared" si="7"/>
        <v xml:space="preserve">47  - 57 </v>
      </c>
      <c r="C76" s="29" t="s">
        <v>24</v>
      </c>
      <c r="D76" s="83">
        <f>SUMIFS('Val-Vol (2)'!$I$4:$I$2000,'Val-Vol (2)'!$V$4:$V$2000,$C$5,'Val-Vol (2)'!$A$4:$A$2000,C76,'Val-Vol (2)'!$D$4:$D$2000,'Branche - valeurs'!$C$3)</f>
        <v>0</v>
      </c>
      <c r="E76" s="33" t="str">
        <f t="shared" si="4"/>
        <v/>
      </c>
      <c r="F76" s="34">
        <f>SUMIFS('Val-Vol (2)'!$H$4:$H$2000,'Val-Vol (2)'!$V$4:$V$2000,$C$5,'Val-Vol (2)'!$A$4:$A$2000,C76,'Val-Vol (2)'!$D$4:$D$2000,'Branche - valeurs'!$C$3)</f>
        <v>0</v>
      </c>
      <c r="G76" s="89" t="str">
        <f t="shared" si="2"/>
        <v/>
      </c>
      <c r="H76" s="27">
        <f>SUMIFS('Val-Vol (2)'!$I$4:$I$2000,'Val-Vol (2)'!$V$4:$V$2000,$C$5,'Val-Vol (2)'!$A$4:$A$2000,$C$3,'Val-Vol (2)'!$D$4:$D$2000,'Branche - valeurs'!C76)</f>
        <v>0</v>
      </c>
      <c r="I76" s="32" t="str">
        <f t="shared" si="5"/>
        <v/>
      </c>
      <c r="J76" s="27">
        <f>SUMIFS('Val-Vol (2)'!$H$4:$H$2000,'Val-Vol (2)'!$V$4:$V$2000,$C$5,'Val-Vol (2)'!$A$4:$A$2000,$C$3,'Val-Vol (2)'!$D$4:$D$2000,'Branche - valeurs'!C76)</f>
        <v>0</v>
      </c>
      <c r="K76" s="89" t="str">
        <f t="shared" si="8"/>
        <v/>
      </c>
      <c r="M76"/>
    </row>
    <row r="77" spans="1:13" x14ac:dyDescent="0.25">
      <c r="A77" s="4" t="str">
        <f t="shared" si="6"/>
        <v xml:space="preserve">58  - 47 </v>
      </c>
      <c r="B77" s="4" t="str">
        <f t="shared" si="7"/>
        <v xml:space="preserve">47  - 58 </v>
      </c>
      <c r="C77" s="29" t="s">
        <v>25</v>
      </c>
      <c r="D77" s="83">
        <f>SUMIFS('Val-Vol (2)'!$I$4:$I$2000,'Val-Vol (2)'!$V$4:$V$2000,$C$5,'Val-Vol (2)'!$A$4:$A$2000,C77,'Val-Vol (2)'!$D$4:$D$2000,'Branche - valeurs'!$C$3)</f>
        <v>0</v>
      </c>
      <c r="E77" s="33" t="str">
        <f t="shared" si="4"/>
        <v/>
      </c>
      <c r="F77" s="34">
        <f>SUMIFS('Val-Vol (2)'!$H$4:$H$2000,'Val-Vol (2)'!$V$4:$V$2000,$C$5,'Val-Vol (2)'!$A$4:$A$2000,C77,'Val-Vol (2)'!$D$4:$D$2000,'Branche - valeurs'!$C$3)</f>
        <v>0</v>
      </c>
      <c r="G77" s="89" t="str">
        <f t="shared" si="2"/>
        <v/>
      </c>
      <c r="H77" s="27">
        <f>SUMIFS('Val-Vol (2)'!$I$4:$I$2000,'Val-Vol (2)'!$V$4:$V$2000,$C$5,'Val-Vol (2)'!$A$4:$A$2000,$C$3,'Val-Vol (2)'!$D$4:$D$2000,'Branche - valeurs'!C77)</f>
        <v>0</v>
      </c>
      <c r="I77" s="32" t="str">
        <f t="shared" si="5"/>
        <v/>
      </c>
      <c r="J77" s="27">
        <f>SUMIFS('Val-Vol (2)'!$H$4:$H$2000,'Val-Vol (2)'!$V$4:$V$2000,$C$5,'Val-Vol (2)'!$A$4:$A$2000,$C$3,'Val-Vol (2)'!$D$4:$D$2000,'Branche - valeurs'!C77)</f>
        <v>0</v>
      </c>
      <c r="K77" s="89" t="str">
        <f t="shared" si="8"/>
        <v/>
      </c>
      <c r="M77"/>
    </row>
    <row r="78" spans="1:13" x14ac:dyDescent="0.25">
      <c r="A78" s="4" t="str">
        <f t="shared" si="6"/>
        <v xml:space="preserve">59  - 47 </v>
      </c>
      <c r="B78" s="4" t="str">
        <f t="shared" si="7"/>
        <v xml:space="preserve">47  - 59 </v>
      </c>
      <c r="C78" s="29" t="s">
        <v>26</v>
      </c>
      <c r="D78" s="83">
        <f>SUMIFS('Val-Vol (2)'!$I$4:$I$2000,'Val-Vol (2)'!$V$4:$V$2000,$C$5,'Val-Vol (2)'!$A$4:$A$2000,C78,'Val-Vol (2)'!$D$4:$D$2000,'Branche - valeurs'!$C$3)</f>
        <v>0</v>
      </c>
      <c r="E78" s="33" t="str">
        <f t="shared" si="4"/>
        <v/>
      </c>
      <c r="F78" s="34">
        <f>SUMIFS('Val-Vol (2)'!$H$4:$H$2000,'Val-Vol (2)'!$V$4:$V$2000,$C$5,'Val-Vol (2)'!$A$4:$A$2000,C78,'Val-Vol (2)'!$D$4:$D$2000,'Branche - valeurs'!$C$3)</f>
        <v>0</v>
      </c>
      <c r="G78" s="89" t="str">
        <f t="shared" si="2"/>
        <v/>
      </c>
      <c r="H78" s="27">
        <f>SUMIFS('Val-Vol (2)'!$I$4:$I$2000,'Val-Vol (2)'!$V$4:$V$2000,$C$5,'Val-Vol (2)'!$A$4:$A$2000,$C$3,'Val-Vol (2)'!$D$4:$D$2000,'Branche - valeurs'!C78)</f>
        <v>0</v>
      </c>
      <c r="I78" s="32" t="str">
        <f t="shared" si="5"/>
        <v/>
      </c>
      <c r="J78" s="27">
        <f>SUMIFS('Val-Vol (2)'!$H$4:$H$2000,'Val-Vol (2)'!$V$4:$V$2000,$C$5,'Val-Vol (2)'!$A$4:$A$2000,$C$3,'Val-Vol (2)'!$D$4:$D$2000,'Branche - valeurs'!C78)</f>
        <v>0</v>
      </c>
      <c r="K78" s="89" t="str">
        <f t="shared" si="8"/>
        <v/>
      </c>
      <c r="M78"/>
    </row>
    <row r="79" spans="1:13" x14ac:dyDescent="0.25">
      <c r="A79" s="4" t="str">
        <f t="shared" si="6"/>
        <v xml:space="preserve">60  - 47 </v>
      </c>
      <c r="B79" s="4" t="str">
        <f t="shared" si="7"/>
        <v xml:space="preserve">47  - 60 </v>
      </c>
      <c r="C79" s="29" t="s">
        <v>27</v>
      </c>
      <c r="D79" s="83">
        <f>SUMIFS('Val-Vol (2)'!$I$4:$I$2000,'Val-Vol (2)'!$V$4:$V$2000,$C$5,'Val-Vol (2)'!$A$4:$A$2000,C79,'Val-Vol (2)'!$D$4:$D$2000,'Branche - valeurs'!$C$3)</f>
        <v>0</v>
      </c>
      <c r="E79" s="33" t="str">
        <f t="shared" si="4"/>
        <v/>
      </c>
      <c r="F79" s="34">
        <f>SUMIFS('Val-Vol (2)'!$H$4:$H$2000,'Val-Vol (2)'!$V$4:$V$2000,$C$5,'Val-Vol (2)'!$A$4:$A$2000,C79,'Val-Vol (2)'!$D$4:$D$2000,'Branche - valeurs'!$C$3)</f>
        <v>0</v>
      </c>
      <c r="G79" s="89" t="str">
        <f t="shared" si="2"/>
        <v/>
      </c>
      <c r="H79" s="27">
        <f>SUMIFS('Val-Vol (2)'!$I$4:$I$2000,'Val-Vol (2)'!$V$4:$V$2000,$C$5,'Val-Vol (2)'!$A$4:$A$2000,$C$3,'Val-Vol (2)'!$D$4:$D$2000,'Branche - valeurs'!C79)</f>
        <v>0</v>
      </c>
      <c r="I79" s="32" t="str">
        <f t="shared" si="5"/>
        <v/>
      </c>
      <c r="J79" s="27">
        <f>SUMIFS('Val-Vol (2)'!$H$4:$H$2000,'Val-Vol (2)'!$V$4:$V$2000,$C$5,'Val-Vol (2)'!$A$4:$A$2000,$C$3,'Val-Vol (2)'!$D$4:$D$2000,'Branche - valeurs'!C79)</f>
        <v>0</v>
      </c>
      <c r="K79" s="89" t="str">
        <f t="shared" si="8"/>
        <v/>
      </c>
      <c r="M79"/>
    </row>
    <row r="80" spans="1:13" x14ac:dyDescent="0.25">
      <c r="A80" s="4" t="str">
        <f t="shared" si="6"/>
        <v xml:space="preserve">61  - 47 </v>
      </c>
      <c r="B80" s="4" t="str">
        <f t="shared" si="7"/>
        <v xml:space="preserve">47  - 61 </v>
      </c>
      <c r="C80" s="47" t="s">
        <v>104</v>
      </c>
      <c r="D80" s="83">
        <f>SUMIFS('Val-Vol (2)'!$I$4:$I$2000,'Val-Vol (2)'!$V$4:$V$2000,$C$5,'Val-Vol (2)'!$A$4:$A$2000,C80,'Val-Vol (2)'!$D$4:$D$2000,'Branche - valeurs'!$C$3)</f>
        <v>0</v>
      </c>
      <c r="E80" s="33" t="str">
        <f t="shared" si="4"/>
        <v/>
      </c>
      <c r="F80" s="34">
        <f>SUMIFS('Val-Vol (2)'!$H$4:$H$2000,'Val-Vol (2)'!$V$4:$V$2000,$C$5,'Val-Vol (2)'!$A$4:$A$2000,C80,'Val-Vol (2)'!$D$4:$D$2000,'Branche - valeurs'!$C$3)</f>
        <v>0</v>
      </c>
      <c r="G80" s="89" t="str">
        <f t="shared" si="2"/>
        <v/>
      </c>
      <c r="H80" s="27">
        <f>SUMIFS('Val-Vol (2)'!$I$4:$I$2000,'Val-Vol (2)'!$V$4:$V$2000,$C$5,'Val-Vol (2)'!$A$4:$A$2000,$C$3,'Val-Vol (2)'!$D$4:$D$2000,'Branche - valeurs'!C80)</f>
        <v>0</v>
      </c>
      <c r="I80" s="32" t="str">
        <f t="shared" si="5"/>
        <v/>
      </c>
      <c r="J80" s="27">
        <f>SUMIFS('Val-Vol (2)'!$H$4:$H$2000,'Val-Vol (2)'!$V$4:$V$2000,$C$5,'Val-Vol (2)'!$A$4:$A$2000,$C$3,'Val-Vol (2)'!$D$4:$D$2000,'Branche - valeurs'!C80)</f>
        <v>0</v>
      </c>
      <c r="K80" s="89" t="str">
        <f t="shared" si="8"/>
        <v/>
      </c>
      <c r="M80"/>
    </row>
    <row r="81" spans="1:13" x14ac:dyDescent="0.25">
      <c r="A81" s="4" t="str">
        <f t="shared" si="6"/>
        <v xml:space="preserve">62  - 47 </v>
      </c>
      <c r="B81" s="4" t="str">
        <f t="shared" si="7"/>
        <v xml:space="preserve">47  - 62 </v>
      </c>
      <c r="C81" s="47" t="s">
        <v>105</v>
      </c>
      <c r="D81" s="83">
        <f>SUMIFS('Val-Vol (2)'!$I$4:$I$2000,'Val-Vol (2)'!$V$4:$V$2000,$C$5,'Val-Vol (2)'!$A$4:$A$2000,C81,'Val-Vol (2)'!$D$4:$D$2000,'Branche - valeurs'!$C$3)</f>
        <v>0</v>
      </c>
      <c r="E81" s="33" t="str">
        <f t="shared" si="4"/>
        <v/>
      </c>
      <c r="F81" s="34">
        <f>SUMIFS('Val-Vol (2)'!$H$4:$H$2000,'Val-Vol (2)'!$V$4:$V$2000,$C$5,'Val-Vol (2)'!$A$4:$A$2000,C81,'Val-Vol (2)'!$D$4:$D$2000,'Branche - valeurs'!$C$3)</f>
        <v>0</v>
      </c>
      <c r="G81" s="89" t="str">
        <f t="shared" si="2"/>
        <v/>
      </c>
      <c r="H81" s="27">
        <f>SUMIFS('Val-Vol (2)'!$I$4:$I$2000,'Val-Vol (2)'!$V$4:$V$2000,$C$5,'Val-Vol (2)'!$A$4:$A$2000,$C$3,'Val-Vol (2)'!$D$4:$D$2000,'Branche - valeurs'!C81)</f>
        <v>0</v>
      </c>
      <c r="I81" s="32" t="str">
        <f t="shared" si="5"/>
        <v/>
      </c>
      <c r="J81" s="27">
        <f>SUMIFS('Val-Vol (2)'!$H$4:$H$2000,'Val-Vol (2)'!$V$4:$V$2000,$C$5,'Val-Vol (2)'!$A$4:$A$2000,$C$3,'Val-Vol (2)'!$D$4:$D$2000,'Branche - valeurs'!C81)</f>
        <v>0</v>
      </c>
      <c r="K81" s="89" t="str">
        <f t="shared" si="8"/>
        <v/>
      </c>
      <c r="M81"/>
    </row>
    <row r="82" spans="1:13" x14ac:dyDescent="0.25">
      <c r="A82" s="4" t="str">
        <f t="shared" si="6"/>
        <v xml:space="preserve">63  - 47 </v>
      </c>
      <c r="B82" s="4" t="str">
        <f t="shared" si="7"/>
        <v xml:space="preserve">47  - 63 </v>
      </c>
      <c r="C82" s="29" t="s">
        <v>106</v>
      </c>
      <c r="D82" s="83">
        <f>SUMIFS('Val-Vol (2)'!$I$4:$I$2000,'Val-Vol (2)'!$V$4:$V$2000,$C$5,'Val-Vol (2)'!$A$4:$A$2000,C82,'Val-Vol (2)'!$D$4:$D$2000,'Branche - valeurs'!$C$3)</f>
        <v>0</v>
      </c>
      <c r="E82" s="30" t="str">
        <f t="shared" si="4"/>
        <v/>
      </c>
      <c r="F82" s="31">
        <f>SUMIFS('Val-Vol (2)'!$H$4:$H$2000,'Val-Vol (2)'!$V$4:$V$2000,$C$5,'Val-Vol (2)'!$A$4:$A$2000,C82,'Val-Vol (2)'!$D$4:$D$2000,'Branche - valeurs'!$C$3)</f>
        <v>0</v>
      </c>
      <c r="G82" s="89" t="str">
        <f t="shared" si="2"/>
        <v/>
      </c>
      <c r="H82" s="27">
        <f>SUMIFS('Val-Vol (2)'!$I$4:$I$2000,'Val-Vol (2)'!$V$4:$V$2000,$C$5,'Val-Vol (2)'!$A$4:$A$2000,$C$3,'Val-Vol (2)'!$D$4:$D$2000,'Branche - valeurs'!C82)</f>
        <v>0</v>
      </c>
      <c r="I82" s="32" t="str">
        <f t="shared" si="5"/>
        <v/>
      </c>
      <c r="J82" s="27">
        <f>SUMIFS('Val-Vol (2)'!$H$4:$H$2000,'Val-Vol (2)'!$V$4:$V$2000,$C$5,'Val-Vol (2)'!$A$4:$A$2000,$C$3,'Val-Vol (2)'!$D$4:$D$2000,'Branche - valeurs'!C82)</f>
        <v>0</v>
      </c>
      <c r="K82" s="89" t="str">
        <f t="shared" si="8"/>
        <v/>
      </c>
      <c r="M82"/>
    </row>
    <row r="83" spans="1:13" ht="15.75" thickBot="1" x14ac:dyDescent="0.3">
      <c r="A83" s="4" t="str">
        <f t="shared" si="6"/>
        <v xml:space="preserve">64  - 47 </v>
      </c>
      <c r="B83" s="4" t="str">
        <f t="shared" si="7"/>
        <v xml:space="preserve">47  - 64 </v>
      </c>
      <c r="C83" s="29" t="s">
        <v>107</v>
      </c>
      <c r="D83" s="83">
        <f>SUMIFS('Val-Vol (2)'!$I$4:$I$2000,'Val-Vol (2)'!$V$4:$V$2000,$C$5,'Val-Vol (2)'!$A$4:$A$2000,C83,'Val-Vol (2)'!$D$4:$D$2000,'Branche - valeurs'!$C$3)</f>
        <v>0</v>
      </c>
      <c r="E83" s="97" t="str">
        <f t="shared" si="4"/>
        <v/>
      </c>
      <c r="F83" s="98">
        <f>SUMIFS('Val-Vol (2)'!$H$4:$H$2000,'Val-Vol (2)'!$V$4:$V$2000,$C$5,'Val-Vol (2)'!$A$4:$A$2000,C83,'Val-Vol (2)'!$D$4:$D$2000,'Branche - valeurs'!$C$3)</f>
        <v>0</v>
      </c>
      <c r="G83" s="99" t="str">
        <f t="shared" si="2"/>
        <v/>
      </c>
      <c r="H83" s="27">
        <f>SUMIFS('Val-Vol (2)'!$I$4:$I$2000,'Val-Vol (2)'!$V$4:$V$2000,$C$5,'Val-Vol (2)'!$A$4:$A$2000,$C$3,'Val-Vol (2)'!$D$4:$D$2000,'Branche - valeurs'!C83)</f>
        <v>0</v>
      </c>
      <c r="I83" s="35" t="str">
        <f t="shared" si="5"/>
        <v/>
      </c>
      <c r="J83" s="27">
        <f>SUMIFS('Val-Vol (2)'!$H$4:$H$2000,'Val-Vol (2)'!$V$4:$V$2000,$C$5,'Val-Vol (2)'!$A$4:$A$2000,$C$3,'Val-Vol (2)'!$D$4:$D$2000,'Branche - valeurs'!C83)</f>
        <v>0</v>
      </c>
      <c r="K83" s="90" t="str">
        <f t="shared" si="8"/>
        <v/>
      </c>
      <c r="M83"/>
    </row>
    <row r="84" spans="1:13" ht="15.75" thickBot="1" x14ac:dyDescent="0.3">
      <c r="C84" s="157" t="s">
        <v>39</v>
      </c>
      <c r="D84" s="145">
        <f>SUM(D27:D83)</f>
        <v>631327.3243719131</v>
      </c>
      <c r="E84" s="148">
        <f>SUM(E27:E83)</f>
        <v>0.99999999999999944</v>
      </c>
      <c r="F84" s="151">
        <f>SUM(F27:F83)</f>
        <v>279582.71771072567</v>
      </c>
      <c r="G84" s="143"/>
      <c r="H84" s="146">
        <f>SUM(H27:H83)</f>
        <v>50986.504646993191</v>
      </c>
      <c r="I84" s="148">
        <f>SUM(I27:I83)</f>
        <v>1</v>
      </c>
      <c r="J84" s="146">
        <f>SUM(J27:J83)</f>
        <v>38302.3627882484</v>
      </c>
      <c r="K84" s="144"/>
      <c r="M84"/>
    </row>
    <row r="85" spans="1:13" ht="15.75" thickBot="1" x14ac:dyDescent="0.3">
      <c r="C85"/>
      <c r="D85"/>
      <c r="E85"/>
      <c r="F85"/>
      <c r="G85"/>
      <c r="H85"/>
      <c r="I85"/>
      <c r="J85"/>
      <c r="K85"/>
      <c r="M85"/>
    </row>
    <row r="86" spans="1:13" ht="15.75" thickBot="1" x14ac:dyDescent="0.3">
      <c r="C86" s="152"/>
      <c r="D86" s="264" t="s">
        <v>54</v>
      </c>
      <c r="E86" s="265"/>
      <c r="F86" s="265"/>
      <c r="G86" s="266"/>
      <c r="H86" s="153">
        <f>SUMIFS('Comp2016-2017 (3)'!$L$5:$L$300,'Comp2016-2017 (3)'!$A$5:$A$300,$C$3,'Comp2016-2017 (3)'!$R$5:$R$300,$C$5)-SUMIFS('Comp2016-2017 (3)'!$N$5:$N$300,'Comp2016-2017 (3)'!$A$5:$A$300,$C$3,'Comp2016-2017 (3)'!$R$5:$R$300,$C$5)</f>
        <v>1756646.9673718275</v>
      </c>
      <c r="I86" s="155"/>
      <c r="J86" s="156">
        <f>SUMIFS('Comp2016-2017 (3)'!$N$5:$N$300,'Comp2016-2017 (3)'!$A$5:$A$300,$C$3,'Comp2016-2017 (3)'!$R$5:$R$300,$C$5)</f>
        <v>3950023.6547021815</v>
      </c>
      <c r="K86" s="154">
        <f>IF((H86+J86)&lt;&gt;0,(H86)/(H86+J86),"")</f>
        <v>0.30782343746578439</v>
      </c>
      <c r="M86"/>
    </row>
    <row r="87" spans="1:13" ht="12.75" x14ac:dyDescent="0.2">
      <c r="L87" s="4"/>
      <c r="M87" s="4"/>
    </row>
    <row r="88" spans="1:13" x14ac:dyDescent="0.25">
      <c r="C88" s="158" t="s">
        <v>244</v>
      </c>
      <c r="J88" s="36"/>
      <c r="M88"/>
    </row>
    <row r="89" spans="1:13" x14ac:dyDescent="0.25">
      <c r="J89" s="36"/>
      <c r="M89"/>
    </row>
    <row r="90" spans="1:13" ht="15" customHeight="1" x14ac:dyDescent="0.25">
      <c r="C90" s="159" t="s">
        <v>247</v>
      </c>
    </row>
    <row r="92" spans="1:13" s="37" customFormat="1" ht="15" customHeight="1" x14ac:dyDescent="0.25">
      <c r="C92" s="263" t="s">
        <v>134</v>
      </c>
      <c r="D92" s="263"/>
      <c r="E92" s="263"/>
      <c r="F92" s="263"/>
      <c r="G92" s="263"/>
      <c r="H92" s="263"/>
      <c r="I92" s="263"/>
      <c r="J92" s="263"/>
      <c r="K92" s="263"/>
      <c r="L92"/>
      <c r="M92" s="17"/>
    </row>
    <row r="93" spans="1:13" ht="43.5" customHeight="1" x14ac:dyDescent="0.25">
      <c r="C93" s="263"/>
      <c r="D93" s="263"/>
      <c r="E93" s="263"/>
      <c r="F93" s="263"/>
      <c r="G93" s="263"/>
      <c r="H93" s="263"/>
      <c r="I93" s="263"/>
      <c r="J93" s="263"/>
      <c r="K93" s="263"/>
    </row>
  </sheetData>
  <mergeCells count="22">
    <mergeCell ref="C92:K93"/>
    <mergeCell ref="F14:J14"/>
    <mergeCell ref="F15:J15"/>
    <mergeCell ref="F16:J16"/>
    <mergeCell ref="F17:J17"/>
    <mergeCell ref="D86:G86"/>
    <mergeCell ref="D23:K23"/>
    <mergeCell ref="C1:K1"/>
    <mergeCell ref="C3:K3"/>
    <mergeCell ref="C24:C26"/>
    <mergeCell ref="D24:G24"/>
    <mergeCell ref="H24:K24"/>
    <mergeCell ref="D25:E25"/>
    <mergeCell ref="H25:I25"/>
    <mergeCell ref="F9:J9"/>
    <mergeCell ref="C2:K2"/>
    <mergeCell ref="F10:J10"/>
    <mergeCell ref="C4:D4"/>
    <mergeCell ref="F11:J11"/>
    <mergeCell ref="F12:J12"/>
    <mergeCell ref="F13:J13"/>
    <mergeCell ref="C7:E7"/>
  </mergeCells>
  <conditionalFormatting sqref="H27">
    <cfRule type="cellIs" dxfId="22" priority="39" operator="equal">
      <formula>0</formula>
    </cfRule>
  </conditionalFormatting>
  <conditionalFormatting sqref="I27:I83">
    <cfRule type="cellIs" dxfId="21" priority="36" operator="equal">
      <formula>0</formula>
    </cfRule>
  </conditionalFormatting>
  <conditionalFormatting sqref="F33:F83">
    <cfRule type="cellIs" dxfId="20" priority="37" operator="equal">
      <formula>0</formula>
    </cfRule>
  </conditionalFormatting>
  <conditionalFormatting sqref="F27:F32">
    <cfRule type="cellIs" dxfId="19" priority="6" operator="equal">
      <formula>0</formula>
    </cfRule>
  </conditionalFormatting>
  <conditionalFormatting sqref="D27:D36">
    <cfRule type="cellIs" dxfId="18" priority="5" operator="equal">
      <formula>0</formula>
    </cfRule>
  </conditionalFormatting>
  <conditionalFormatting sqref="D37:D83">
    <cfRule type="cellIs" dxfId="17" priority="4" operator="equal">
      <formula>0</formula>
    </cfRule>
  </conditionalFormatting>
  <conditionalFormatting sqref="H28:H83">
    <cfRule type="cellIs" dxfId="16" priority="3" operator="equal">
      <formula>0</formula>
    </cfRule>
  </conditionalFormatting>
  <conditionalFormatting sqref="J27:J83">
    <cfRule type="cellIs" dxfId="15" priority="2" operator="equal">
      <formula>0</formula>
    </cfRule>
  </conditionalFormatting>
  <conditionalFormatting sqref="F84">
    <cfRule type="cellIs" dxfId="14" priority="1" operator="equal">
      <formula>0</formula>
    </cfRule>
  </conditionalFormatting>
  <dataValidations count="2">
    <dataValidation type="list" allowBlank="1" showInputMessage="1" showErrorMessage="1" sqref="C3" xr:uid="{00000000-0002-0000-0100-000000000000}">
      <formula1>$C$27:$C$83</formula1>
    </dataValidation>
    <dataValidation type="list" allowBlank="1" showInputMessage="1" showErrorMessage="1" sqref="C5" xr:uid="{00000000-0002-0000-0100-000001000000}">
      <formula1>$A$1:$A$5</formula1>
    </dataValidation>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9"/>
  <dimension ref="A1:U43"/>
  <sheetViews>
    <sheetView topLeftCell="C1" zoomScale="70" zoomScaleNormal="70" workbookViewId="0">
      <selection activeCell="O35" sqref="O35"/>
    </sheetView>
  </sheetViews>
  <sheetFormatPr baseColWidth="10" defaultRowHeight="15" x14ac:dyDescent="0.25"/>
  <cols>
    <col min="1" max="2" width="11.42578125" style="4" hidden="1" customWidth="1"/>
    <col min="3" max="3" width="65.7109375" style="4" customWidth="1"/>
    <col min="4" max="4" width="11.7109375" style="6" customWidth="1"/>
    <col min="5" max="5" width="65.7109375" style="6" customWidth="1"/>
    <col min="6" max="6" width="11.7109375" customWidth="1"/>
    <col min="7" max="7" width="26.140625" bestFit="1" customWidth="1"/>
    <col min="8" max="8" width="20.140625" bestFit="1" customWidth="1"/>
    <col min="9" max="9" width="10.5703125" customWidth="1"/>
    <col min="10" max="11" width="11.7109375" customWidth="1"/>
    <col min="12" max="12" width="12.85546875" customWidth="1"/>
    <col min="13" max="13" width="11.42578125" style="4"/>
    <col min="14" max="14" width="11.42578125" style="4" customWidth="1"/>
    <col min="15" max="15" width="11.42578125" style="4"/>
    <col min="16" max="16" width="27.5703125" style="4" bestFit="1" customWidth="1"/>
    <col min="17" max="16384" width="11.42578125" style="4"/>
  </cols>
  <sheetData>
    <row r="1" spans="1:21" ht="48" customHeight="1" x14ac:dyDescent="0.25">
      <c r="A1" s="4">
        <v>2016</v>
      </c>
      <c r="C1" s="245" t="s">
        <v>139</v>
      </c>
      <c r="D1" s="245"/>
      <c r="E1" s="245"/>
    </row>
    <row r="2" spans="1:21" ht="18" x14ac:dyDescent="0.25">
      <c r="A2" s="4">
        <v>2017</v>
      </c>
      <c r="C2" s="258"/>
      <c r="D2" s="258"/>
    </row>
    <row r="3" spans="1:21" ht="23.25" x14ac:dyDescent="0.25">
      <c r="A3" s="4">
        <v>2018</v>
      </c>
      <c r="C3" s="53" t="s">
        <v>200</v>
      </c>
      <c r="D3"/>
      <c r="E3" s="71" t="s">
        <v>173</v>
      </c>
    </row>
    <row r="4" spans="1:21" ht="18" x14ac:dyDescent="0.25">
      <c r="A4" s="4">
        <v>2019</v>
      </c>
      <c r="C4" s="258" t="s">
        <v>132</v>
      </c>
      <c r="D4" s="258"/>
      <c r="E4" s="70" t="s">
        <v>193</v>
      </c>
    </row>
    <row r="5" spans="1:21" ht="23.25" x14ac:dyDescent="0.25">
      <c r="A5" s="4">
        <v>2020</v>
      </c>
      <c r="B5" s="4">
        <v>13</v>
      </c>
      <c r="C5" s="53">
        <v>2020</v>
      </c>
      <c r="D5" s="5"/>
    </row>
    <row r="6" spans="1:21" x14ac:dyDescent="0.25">
      <c r="E6" s="7"/>
      <c r="K6" s="307"/>
      <c r="L6" s="307"/>
      <c r="M6" s="307"/>
      <c r="N6" s="307"/>
      <c r="O6" s="307"/>
      <c r="P6" s="307"/>
      <c r="Q6" s="307"/>
      <c r="R6" s="307"/>
      <c r="S6" s="307"/>
    </row>
    <row r="7" spans="1:21" x14ac:dyDescent="0.25">
      <c r="B7" s="4" t="s">
        <v>155</v>
      </c>
      <c r="C7" s="72" t="s">
        <v>75</v>
      </c>
      <c r="D7" s="73" t="s">
        <v>196</v>
      </c>
      <c r="E7" s="74" t="s">
        <v>76</v>
      </c>
      <c r="G7" s="306" t="s">
        <v>150</v>
      </c>
      <c r="H7" s="306"/>
      <c r="I7" s="306"/>
      <c r="M7"/>
      <c r="N7"/>
    </row>
    <row r="8" spans="1:21" x14ac:dyDescent="0.25">
      <c r="A8" s="14"/>
      <c r="B8" s="4" t="s">
        <v>156</v>
      </c>
      <c r="C8" s="75" t="s">
        <v>136</v>
      </c>
      <c r="D8" s="76">
        <f>SUMIFS('Val-Vol (2)'!$P$4:$P$2000,'Val-Vol (2)'!$V$4:$V$2000,$C$5,'Val-Vol (2)'!$B$4:$B$2000,C8,'Val-Vol (2)'!$E$4:$E$2000,E9)</f>
        <v>3632.1454049308654</v>
      </c>
      <c r="E8" s="77" t="s">
        <v>138</v>
      </c>
      <c r="G8" s="79" t="s">
        <v>136</v>
      </c>
      <c r="H8" s="183">
        <f>D8+D13+D16</f>
        <v>8362</v>
      </c>
      <c r="I8" s="184">
        <f>H8/$D$22</f>
        <v>0.46176523327730545</v>
      </c>
      <c r="L8" s="2"/>
      <c r="M8"/>
      <c r="N8"/>
      <c r="P8" s="17"/>
      <c r="Q8" s="241"/>
      <c r="S8" s="117"/>
      <c r="T8"/>
      <c r="U8"/>
    </row>
    <row r="9" spans="1:21" customFormat="1" ht="15" customHeight="1" x14ac:dyDescent="0.25">
      <c r="C9" s="78" t="s">
        <v>153</v>
      </c>
      <c r="D9" s="76">
        <f>SUMIFS('Val-Vol (2)'!$P$4:$P$2000,'Val-Vol (2)'!$V$4:$V$2000,$C$5,'Val-Vol (2)'!$B$4:$B$2000,C9,'Val-Vol (2)'!$E$4:$E$2000,E10)</f>
        <v>3383.8815105001136</v>
      </c>
      <c r="E9" s="79" t="s">
        <v>138</v>
      </c>
      <c r="G9" s="79" t="s">
        <v>153</v>
      </c>
      <c r="H9" s="183">
        <f>D9+D14+D17</f>
        <v>4591</v>
      </c>
      <c r="I9" s="184">
        <f>H9/$D$22</f>
        <v>0.25352358119781265</v>
      </c>
      <c r="L9" s="2"/>
      <c r="O9" s="4"/>
      <c r="P9" s="17"/>
      <c r="Q9" s="241"/>
      <c r="S9" s="117"/>
    </row>
    <row r="10" spans="1:21" customFormat="1" ht="15" customHeight="1" x14ac:dyDescent="0.25">
      <c r="A10" t="s">
        <v>174</v>
      </c>
      <c r="B10" t="s">
        <v>175</v>
      </c>
      <c r="C10" s="78" t="s">
        <v>137</v>
      </c>
      <c r="D10" s="76">
        <f>+SUMIFS('Val-Vol (2)'!$P$4:$P$2000,'Val-Vol (2)'!$V$4:$V$2000,$C$5,'Val-Vol (2)'!$B$4:$B$2000,C10,'Val-Vol (2)'!$E$4:$E$2000,E11,'Val-Vol (2)'!$S$4:$S$2000,"BE")</f>
        <v>1288.5944287018442</v>
      </c>
      <c r="E10" s="79" t="s">
        <v>138</v>
      </c>
      <c r="G10" s="79" t="s">
        <v>137</v>
      </c>
      <c r="H10" s="183">
        <f>D10+D15</f>
        <v>2586.5546174261472</v>
      </c>
      <c r="I10" s="184">
        <f t="shared" ref="I10:I11" si="0">H10/$D$22</f>
        <v>0.14283436932555327</v>
      </c>
      <c r="L10" s="2"/>
      <c r="O10" s="4"/>
      <c r="P10" s="17"/>
      <c r="Q10" s="241"/>
      <c r="S10" s="117"/>
    </row>
    <row r="11" spans="1:21" customFormat="1" x14ac:dyDescent="0.25">
      <c r="A11" t="s">
        <v>176</v>
      </c>
      <c r="B11" t="s">
        <v>184</v>
      </c>
      <c r="C11" s="78" t="s">
        <v>52</v>
      </c>
      <c r="D11" s="76">
        <f>+SUMIFS('Val-Vol (2)'!$Q$4:$Q$2000,'Val-Vol (2)'!$V$4:$V$2000,$C$5,'Val-Vol (2)'!$B$4:$B$2000,C9,'Val-Vol (2)'!$E$4:$E$2000,E9,'Val-Vol (2)'!$S$4:$S$2000,"BE")+SUMIFS('Val-Vol (2)'!$Q$4:$Q$2000,'Val-Vol (2)'!$V$4:$V$2000,$C$5,'Val-Vol (2)'!$B$4:$B$2000,C18,'Val-Vol (2)'!$E$4:$E$2000,E9,'Val-Vol (2)'!$S$4:$S$2000,"BE")</f>
        <v>1071.5483489482704</v>
      </c>
      <c r="E11" s="79" t="s">
        <v>138</v>
      </c>
      <c r="G11" s="79" t="s">
        <v>52</v>
      </c>
      <c r="H11" s="183">
        <f>D11+D12</f>
        <v>2569.2145089371211</v>
      </c>
      <c r="I11" s="184">
        <f t="shared" si="0"/>
        <v>0.14187681619932879</v>
      </c>
      <c r="L11" s="2"/>
      <c r="O11" s="4"/>
      <c r="P11" s="17"/>
      <c r="Q11" s="241"/>
      <c r="S11" s="117"/>
    </row>
    <row r="12" spans="1:21" customFormat="1" x14ac:dyDescent="0.25">
      <c r="A12" t="s">
        <v>177</v>
      </c>
      <c r="B12" t="s">
        <v>185</v>
      </c>
      <c r="C12" s="78" t="s">
        <v>52</v>
      </c>
      <c r="D12" s="76">
        <f>+SUMIFS('Val-Vol (2)'!$Q$4:$Q$2000,'Val-Vol (2)'!$V$4:$V$2000,$C$5,'Val-Vol (2)'!$B$4:$B$2000,C8,'Val-Vol (2)'!$E$4:$E$2000,E16)+SUMIFS('Val-Vol (2)'!$Q$4:$Q$2000,'Val-Vol (2)'!$V$4:$V$2000,$C$5,'Val-Vol (2)'!$B$4:$B$2000,C18,'Val-Vol (2)'!$E$4:$E$2000,E18,'Val-Vol (2)'!S4:S2000,"be")+SUMIFS('Val-Vol (2)'!$Q$4:$Q$2000,'Val-Vol (2)'!$V$4:$V$2000,$C$5,'Val-Vol (2)'!$B$4:$B$2000,C9,'Val-Vol (2)'!$E$4:$E$2000,E16)</f>
        <v>1497.6661599888507</v>
      </c>
      <c r="E12" s="79" t="s">
        <v>54</v>
      </c>
      <c r="L12" s="2"/>
      <c r="O12" s="4"/>
      <c r="P12" s="4"/>
      <c r="Q12" s="4"/>
      <c r="S12" s="117"/>
    </row>
    <row r="13" spans="1:21" customFormat="1" x14ac:dyDescent="0.25">
      <c r="A13" t="s">
        <v>178</v>
      </c>
      <c r="B13" t="s">
        <v>186</v>
      </c>
      <c r="C13" s="78" t="s">
        <v>136</v>
      </c>
      <c r="D13" s="76">
        <f>+SUMIFS('Val-Vol (2)'!$P$4:$P$2000,'Val-Vol (2)'!$V$4:$V$2000,$C$5,'Val-Vol (2)'!$B$4:$B$2000,C13,'Val-Vol (2)'!$E$4:$E$2000,E14)</f>
        <v>299.12535150438845</v>
      </c>
      <c r="E13" s="79" t="s">
        <v>53</v>
      </c>
      <c r="L13" s="2"/>
      <c r="O13" s="4"/>
      <c r="P13" s="4"/>
      <c r="Q13" s="4"/>
      <c r="S13" s="117"/>
    </row>
    <row r="14" spans="1:21" customFormat="1" x14ac:dyDescent="0.25">
      <c r="A14" t="s">
        <v>179</v>
      </c>
      <c r="B14" t="s">
        <v>187</v>
      </c>
      <c r="C14" s="78" t="s">
        <v>153</v>
      </c>
      <c r="D14" s="76">
        <f>+SUMIFS('Val-Vol (2)'!$P$4:$P$2000,'Val-Vol (2)'!$V$4:$V$2000,$C$5,'Val-Vol (2)'!$B$4:$B$2000,C14,'Val-Vol (2)'!$E$4:$E$2000,E15)</f>
        <v>304.88385608470787</v>
      </c>
      <c r="E14" s="79" t="s">
        <v>53</v>
      </c>
      <c r="G14" s="306" t="s">
        <v>113</v>
      </c>
      <c r="H14" s="306"/>
      <c r="I14" s="306"/>
      <c r="L14" s="2"/>
      <c r="O14" s="4"/>
      <c r="P14" s="4"/>
      <c r="Q14" s="4"/>
      <c r="S14" s="117"/>
    </row>
    <row r="15" spans="1:21" customFormat="1" x14ac:dyDescent="0.25">
      <c r="A15" t="s">
        <v>180</v>
      </c>
      <c r="B15" t="s">
        <v>188</v>
      </c>
      <c r="C15" s="78" t="s">
        <v>137</v>
      </c>
      <c r="D15" s="76">
        <f>+SUMIFS('Val-Vol (2)'!$P$4:$P$2000,'Val-Vol (2)'!$V$4:$V$2000,$C$5,'Val-Vol (2)'!$B$4:$B$2000,C10,'Val-Vol (2)'!$E$4:$E$2000,E19,'Val-Vol (2)'!$S$4:$S$2000,"BE")</f>
        <v>1297.960188724303</v>
      </c>
      <c r="E15" s="79" t="s">
        <v>53</v>
      </c>
      <c r="G15" s="79" t="s">
        <v>53</v>
      </c>
      <c r="H15" s="183">
        <f>D13+D14+D15+D19</f>
        <v>2166.1199330409459</v>
      </c>
      <c r="I15" s="184">
        <f>H15/$D$21</f>
        <v>0.11961718203626807</v>
      </c>
      <c r="L15" s="2"/>
      <c r="O15" s="4"/>
      <c r="P15" s="17"/>
      <c r="Q15" s="241"/>
      <c r="S15" s="117"/>
    </row>
    <row r="16" spans="1:21" customFormat="1" x14ac:dyDescent="0.25">
      <c r="A16" t="s">
        <v>181</v>
      </c>
      <c r="B16" t="s">
        <v>189</v>
      </c>
      <c r="C16" s="78" t="s">
        <v>136</v>
      </c>
      <c r="D16" s="76">
        <f>+SUMIFS('Val-Vol (2)'!$P$4:$P$2000,'Val-Vol (2)'!$V$4:$V$2000,$C$5,'Val-Vol (2)'!$B$4:$B$2000,C16,'Val-Vol (2)'!$E$4:$E$2000,E17)</f>
        <v>4430.729243564745</v>
      </c>
      <c r="E16" s="79" t="s">
        <v>54</v>
      </c>
      <c r="G16" s="79" t="s">
        <v>286</v>
      </c>
      <c r="H16" s="183">
        <f>D12+D16+D17+D18</f>
        <v>15942.649193322319</v>
      </c>
      <c r="I16" s="184">
        <f>H16/$D$21</f>
        <v>0.88038281796373186</v>
      </c>
      <c r="L16" s="2"/>
      <c r="O16" s="4"/>
      <c r="P16" s="17"/>
      <c r="Q16" s="241"/>
      <c r="S16" s="117"/>
    </row>
    <row r="17" spans="1:21" customFormat="1" x14ac:dyDescent="0.25">
      <c r="A17" t="s">
        <v>182</v>
      </c>
      <c r="B17" t="s">
        <v>190</v>
      </c>
      <c r="C17" s="78" t="s">
        <v>153</v>
      </c>
      <c r="D17" s="76">
        <f>+SUMIFS('Val-Vol (2)'!$P$4:$P$2000,'Val-Vol (2)'!$V$4:$V$2000,$C$5,'Val-Vol (2)'!$B$4:$B$2000,C17,'Val-Vol (2)'!$E$4:$E$2000,E18)</f>
        <v>902.23463341517834</v>
      </c>
      <c r="E17" s="79" t="s">
        <v>54</v>
      </c>
      <c r="L17" s="2"/>
      <c r="O17" s="4"/>
      <c r="P17" s="4"/>
      <c r="Q17" s="4"/>
      <c r="S17" s="117"/>
    </row>
    <row r="18" spans="1:21" customFormat="1" x14ac:dyDescent="0.25">
      <c r="A18" t="s">
        <v>183</v>
      </c>
      <c r="B18" t="s">
        <v>191</v>
      </c>
      <c r="C18" s="78" t="s">
        <v>138</v>
      </c>
      <c r="D18" s="76">
        <f>+SUMIFS('Val-Vol (2)'!$P$4:$P$2000,'Val-Vol (2)'!$V$4:$V$2000,$C$5,'Val-Vol (2)'!$B$4:$B$2000,C18,'Val-Vol (2)'!$E$4:$E$2000,E18,'Val-Vol (2)'!$S$4:$S$2000,"BE")</f>
        <v>9112.0191563535464</v>
      </c>
      <c r="E18" s="79" t="s">
        <v>54</v>
      </c>
      <c r="L18" s="2"/>
      <c r="O18" s="4"/>
      <c r="P18" s="4"/>
      <c r="Q18" s="4"/>
      <c r="S18" s="117"/>
    </row>
    <row r="19" spans="1:21" customFormat="1" x14ac:dyDescent="0.25">
      <c r="C19" s="78" t="s">
        <v>138</v>
      </c>
      <c r="D19" s="76">
        <f>+SUMIFS('Val-Vol (2)'!$P$4:$P$2000,'Val-Vol (2)'!$V$4:$V$2000,$C$5,'Val-Vol (2)'!$B$4:$B$2000,C19,'Val-Vol (2)'!$E$4:$E$2000,E19,'Val-Vol (2)'!$S$4:$S$2000,"BE")</f>
        <v>264.15053672754669</v>
      </c>
      <c r="E19" s="79" t="s">
        <v>53</v>
      </c>
      <c r="L19" s="2"/>
      <c r="O19" s="4"/>
      <c r="S19" s="4"/>
      <c r="T19" s="4"/>
      <c r="U19" s="4"/>
    </row>
    <row r="20" spans="1:21" customFormat="1" x14ac:dyDescent="0.25"/>
    <row r="21" spans="1:21" customFormat="1" x14ac:dyDescent="0.25">
      <c r="C21" s="72" t="s">
        <v>113</v>
      </c>
      <c r="D21" s="80">
        <f>+D12+D13+D14+D15+D16+D17+D18+D19</f>
        <v>18108.769126363266</v>
      </c>
      <c r="L21" s="2"/>
    </row>
    <row r="22" spans="1:21" customFormat="1" x14ac:dyDescent="0.25">
      <c r="C22" s="72" t="s">
        <v>150</v>
      </c>
      <c r="D22" s="80">
        <f>+D8+D9+D10+D11+D13+D14+D15+D16+D17+D12</f>
        <v>18108.769126363266</v>
      </c>
      <c r="L22" s="2"/>
    </row>
    <row r="23" spans="1:21" x14ac:dyDescent="0.25">
      <c r="E23"/>
      <c r="M23"/>
      <c r="N23"/>
    </row>
    <row r="24" spans="1:21" x14ac:dyDescent="0.25">
      <c r="C24" s="210" t="s">
        <v>293</v>
      </c>
      <c r="D24" s="211">
        <f>D28+D29+(D32*D27)</f>
        <v>0.84074000267924853</v>
      </c>
      <c r="L24" s="206"/>
      <c r="M24"/>
      <c r="N24"/>
    </row>
    <row r="25" spans="1:21" x14ac:dyDescent="0.25">
      <c r="M25"/>
      <c r="N25"/>
    </row>
    <row r="26" spans="1:21" x14ac:dyDescent="0.25">
      <c r="C26" s="207" t="s">
        <v>289</v>
      </c>
      <c r="D26" s="209">
        <f>D12/H16</f>
        <v>9.3940859002038246E-2</v>
      </c>
      <c r="E26"/>
      <c r="L26" s="206"/>
      <c r="M26"/>
      <c r="N26"/>
    </row>
    <row r="27" spans="1:21" x14ac:dyDescent="0.25">
      <c r="C27" s="207" t="s">
        <v>290</v>
      </c>
      <c r="D27" s="209">
        <f>D18/H16</f>
        <v>0.57154987517194911</v>
      </c>
      <c r="E27"/>
      <c r="L27" s="206"/>
      <c r="M27"/>
      <c r="N27"/>
    </row>
    <row r="28" spans="1:21" x14ac:dyDescent="0.25">
      <c r="C28" s="207" t="s">
        <v>294</v>
      </c>
      <c r="D28" s="209">
        <f>D16/H16</f>
        <v>0.27791674958391388</v>
      </c>
      <c r="E28"/>
      <c r="L28" s="206"/>
      <c r="M28"/>
      <c r="N28"/>
    </row>
    <row r="29" spans="1:21" x14ac:dyDescent="0.25">
      <c r="C29" s="207" t="s">
        <v>295</v>
      </c>
      <c r="D29" s="209">
        <f>D17/H16</f>
        <v>5.6592516242098906E-2</v>
      </c>
      <c r="E29"/>
      <c r="L29" s="206"/>
      <c r="M29"/>
      <c r="N29"/>
    </row>
    <row r="30" spans="1:21" x14ac:dyDescent="0.25">
      <c r="E30"/>
      <c r="M30"/>
      <c r="N30"/>
    </row>
    <row r="31" spans="1:21" x14ac:dyDescent="0.25">
      <c r="C31" s="207" t="s">
        <v>292</v>
      </c>
      <c r="D31" s="209">
        <f>D11/SUM(D8:D11)</f>
        <v>0.1142842316238146</v>
      </c>
      <c r="E31"/>
      <c r="L31" s="206"/>
      <c r="M31"/>
      <c r="N31"/>
    </row>
    <row r="32" spans="1:21" x14ac:dyDescent="0.25">
      <c r="C32" s="207" t="s">
        <v>291</v>
      </c>
      <c r="D32" s="209">
        <f>(D8+D9+D10)/SUM(D8:D11)</f>
        <v>0.88571576837618538</v>
      </c>
      <c r="E32"/>
      <c r="L32" s="206"/>
      <c r="M32"/>
      <c r="N32"/>
    </row>
    <row r="33" spans="5:13" x14ac:dyDescent="0.25">
      <c r="E33"/>
    </row>
    <row r="34" spans="5:13" x14ac:dyDescent="0.25">
      <c r="E34"/>
    </row>
    <row r="35" spans="5:13" x14ac:dyDescent="0.25">
      <c r="E35"/>
    </row>
    <row r="36" spans="5:13" x14ac:dyDescent="0.25">
      <c r="E36"/>
    </row>
    <row r="40" spans="5:13" x14ac:dyDescent="0.25">
      <c r="M40"/>
    </row>
    <row r="41" spans="5:13" x14ac:dyDescent="0.25">
      <c r="I41" s="2"/>
      <c r="J41" s="2"/>
      <c r="K41" s="2"/>
      <c r="L41" s="242"/>
      <c r="M41" s="244"/>
    </row>
    <row r="42" spans="5:13" x14ac:dyDescent="0.25">
      <c r="I42" s="2"/>
      <c r="J42" s="2"/>
      <c r="K42" s="2"/>
      <c r="L42" s="2"/>
      <c r="M42" s="17"/>
    </row>
    <row r="43" spans="5:13" x14ac:dyDescent="0.25">
      <c r="I43" s="243"/>
      <c r="J43" s="243"/>
      <c r="K43" s="243"/>
      <c r="L43" s="243"/>
      <c r="M43" s="182"/>
    </row>
  </sheetData>
  <mergeCells count="6">
    <mergeCell ref="G14:I14"/>
    <mergeCell ref="K6:S6"/>
    <mergeCell ref="C2:D2"/>
    <mergeCell ref="C4:D4"/>
    <mergeCell ref="C1:E1"/>
    <mergeCell ref="G7:I7"/>
  </mergeCells>
  <dataValidations count="1">
    <dataValidation type="list" allowBlank="1" showInputMessage="1" showErrorMessage="1" sqref="C5" xr:uid="{00000000-0002-0000-0500-000000000000}">
      <formula1>$A$1:$A$5</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6"/>
  <dimension ref="B1:U190"/>
  <sheetViews>
    <sheetView zoomScale="85" zoomScaleNormal="85" workbookViewId="0">
      <selection activeCell="K13" sqref="K13"/>
    </sheetView>
  </sheetViews>
  <sheetFormatPr baseColWidth="10" defaultRowHeight="15" x14ac:dyDescent="0.25"/>
  <cols>
    <col min="1" max="1" width="11.42578125" style="4"/>
    <col min="2" max="2" width="2" style="4" customWidth="1"/>
    <col min="3" max="3" width="2.28515625" customWidth="1"/>
    <col min="4" max="4" width="71" style="4" customWidth="1"/>
    <col min="5" max="5" width="11.28515625" style="4" customWidth="1"/>
    <col min="6" max="6" width="11.42578125" style="4"/>
    <col min="7" max="8" width="20.7109375" style="4" customWidth="1"/>
    <col min="9" max="9" width="2.28515625" customWidth="1"/>
    <col min="10" max="10" width="2" style="4" customWidth="1"/>
    <col min="11" max="11" width="38" customWidth="1"/>
    <col min="12" max="12" width="11.42578125" style="4"/>
    <col min="13" max="18" width="11.42578125" style="176"/>
    <col min="19" max="19" width="20.7109375" style="176" bestFit="1" customWidth="1"/>
    <col min="20" max="16384" width="11.42578125" style="4"/>
  </cols>
  <sheetData>
    <row r="1" spans="2:21" ht="79.5" customHeight="1" x14ac:dyDescent="0.25">
      <c r="D1" s="281" t="s">
        <v>254</v>
      </c>
      <c r="E1" s="281"/>
      <c r="F1" s="281"/>
      <c r="G1" s="281"/>
      <c r="H1" s="281"/>
      <c r="Q1" s="175"/>
      <c r="R1" s="175"/>
      <c r="S1" s="175"/>
      <c r="T1"/>
      <c r="U1"/>
    </row>
    <row r="2" spans="2:21" ht="18" x14ac:dyDescent="0.25">
      <c r="D2" s="258"/>
      <c r="E2" s="258"/>
      <c r="Q2" s="175"/>
      <c r="R2" s="175"/>
      <c r="S2" s="175"/>
      <c r="T2"/>
      <c r="U2"/>
    </row>
    <row r="3" spans="2:21" ht="20.25" x14ac:dyDescent="0.25">
      <c r="C3" s="4"/>
      <c r="D3" s="282" t="str">
        <f>'Branche - valeurs'!C3</f>
        <v>47 - Meubles à base de bois</v>
      </c>
      <c r="E3" s="282"/>
      <c r="F3" s="282"/>
      <c r="G3" s="282"/>
      <c r="H3" s="282"/>
      <c r="I3" s="4"/>
      <c r="Q3" s="175"/>
      <c r="R3" s="175"/>
      <c r="S3" s="175"/>
      <c r="T3"/>
      <c r="U3"/>
    </row>
    <row r="4" spans="2:21" x14ac:dyDescent="0.25">
      <c r="C4" s="4"/>
      <c r="I4" s="4"/>
      <c r="Q4" s="175"/>
      <c r="R4" s="175"/>
      <c r="S4" s="175"/>
      <c r="T4"/>
      <c r="U4"/>
    </row>
    <row r="5" spans="2:21" x14ac:dyDescent="0.25">
      <c r="D5" s="52" t="s">
        <v>131</v>
      </c>
      <c r="Q5" s="175"/>
      <c r="R5" s="175"/>
      <c r="S5" s="175"/>
      <c r="T5"/>
      <c r="U5"/>
    </row>
    <row r="6" spans="2:21" ht="15.75" x14ac:dyDescent="0.25">
      <c r="D6" s="283" t="str">
        <f>VLOOKUP(D3,'Comp2016-2017 (3)'!A5:$B$61,2,FALSE)</f>
        <v>Production et transformation de produits bois</v>
      </c>
      <c r="E6" s="283"/>
      <c r="F6" s="283"/>
      <c r="G6" s="283"/>
      <c r="H6" s="283"/>
      <c r="Q6" s="175"/>
      <c r="R6" s="175"/>
      <c r="S6" s="175"/>
      <c r="T6"/>
      <c r="U6"/>
    </row>
    <row r="7" spans="2:21" x14ac:dyDescent="0.25">
      <c r="D7" s="284" t="s">
        <v>201</v>
      </c>
      <c r="E7" s="284"/>
      <c r="F7" s="284"/>
      <c r="G7" s="284"/>
      <c r="H7" s="284"/>
      <c r="Q7" s="175"/>
      <c r="R7" s="175"/>
      <c r="S7" s="175"/>
      <c r="T7"/>
      <c r="U7"/>
    </row>
    <row r="8" spans="2:21" x14ac:dyDescent="0.25">
      <c r="Q8" s="175"/>
      <c r="R8" s="175"/>
      <c r="S8" s="175"/>
      <c r="T8"/>
      <c r="U8"/>
    </row>
    <row r="9" spans="2:21" ht="20.25" x14ac:dyDescent="0.25">
      <c r="D9" s="272" t="s">
        <v>109</v>
      </c>
      <c r="E9" s="272"/>
      <c r="F9" s="272"/>
      <c r="G9" s="272"/>
      <c r="H9" s="272"/>
      <c r="Q9" s="175"/>
      <c r="R9" s="175"/>
      <c r="S9" s="175"/>
      <c r="T9"/>
      <c r="U9"/>
    </row>
    <row r="11" spans="2:21" ht="18" x14ac:dyDescent="0.25">
      <c r="B11" s="54"/>
      <c r="D11" s="59" t="s">
        <v>110</v>
      </c>
      <c r="E11" s="59"/>
      <c r="F11" s="59"/>
      <c r="G11" s="59"/>
      <c r="H11" s="60" t="str">
        <f>$D$3</f>
        <v>47 - Meubles à base de bois</v>
      </c>
      <c r="J11" s="54"/>
    </row>
    <row r="12" spans="2:21" ht="51" x14ac:dyDescent="0.25">
      <c r="B12" s="54"/>
      <c r="F12" s="81"/>
      <c r="G12" s="82" t="s">
        <v>111</v>
      </c>
      <c r="H12" s="82" t="str">
        <f>"Part dans l'activité de "&amp;$D$6&amp;" (%)"</f>
        <v>Part dans l'activité de Production et transformation de produits bois (%)</v>
      </c>
      <c r="J12" s="54"/>
    </row>
    <row r="13" spans="2:21" x14ac:dyDescent="0.25">
      <c r="B13" s="54"/>
      <c r="F13" s="81">
        <v>2016</v>
      </c>
      <c r="G13" s="83">
        <f>SUMIFS('Comp2016-2017 (3)'!$G$5:$G$300,'Comp2016-2017 (3)'!$A$5:$A$300,'Branche - valeurs'!$C$3,'Comp2016-2017 (3)'!$R$5:$R$300,'Tableaux de bord'!F13)</f>
        <v>1053600.1619200001</v>
      </c>
      <c r="H13" s="131">
        <f>G13/SUMIFS('Comp2016-2017 (3)'!$G$5:$G$300,'Comp2016-2017 (3)'!$B$5:$B$300,$D$6,'Comp2016-2017 (3)'!$R$5:$R$300,F13)</f>
        <v>9.3808833507595113E-2</v>
      </c>
      <c r="J13" s="54"/>
      <c r="L13"/>
      <c r="M13" s="175"/>
      <c r="N13" s="175"/>
    </row>
    <row r="14" spans="2:21" x14ac:dyDescent="0.25">
      <c r="B14" s="54"/>
      <c r="F14" s="81">
        <v>2017</v>
      </c>
      <c r="G14" s="83">
        <f>SUMIFS('Comp2016-2017 (3)'!$G$5:$G$300,'Comp2016-2017 (3)'!$A$5:$A$300,'Branche - valeurs'!$C$3,'Comp2016-2017 (3)'!$R$5:$R$300,'Tableaux de bord'!F14)</f>
        <v>1092897.230465204</v>
      </c>
      <c r="H14" s="131">
        <f>G14/SUMIFS('Comp2016-2017 (3)'!$G$5:$G$300,'Comp2016-2017 (3)'!$B$5:$B$300,$D$6,'Comp2016-2017 (3)'!$R$5:$R$300,F14)</f>
        <v>9.4186458199944437E-2</v>
      </c>
      <c r="J14" s="54"/>
      <c r="L14"/>
      <c r="M14" s="175"/>
      <c r="N14" s="175"/>
    </row>
    <row r="15" spans="2:21" x14ac:dyDescent="0.25">
      <c r="B15" s="54"/>
      <c r="F15" s="81">
        <v>2018</v>
      </c>
      <c r="G15" s="83">
        <f>SUMIFS('Comp2016-2017 (3)'!$G$5:$G$300,'Comp2016-2017 (3)'!$A$5:$A$300,'Branche - valeurs'!$C$3,'Comp2016-2017 (3)'!$R$5:$R$300,'Tableaux de bord'!F15)</f>
        <v>1042629.4789715286</v>
      </c>
      <c r="H15" s="131">
        <f>G15/SUMIFS('Comp2016-2017 (3)'!$G$5:$G$300,'Comp2016-2017 (3)'!$B$5:$B$300,$D$6,'Comp2016-2017 (3)'!$R$5:$R$300,F15)</f>
        <v>8.8761828215359009E-2</v>
      </c>
      <c r="J15" s="54"/>
    </row>
    <row r="16" spans="2:21" x14ac:dyDescent="0.25">
      <c r="B16" s="54"/>
      <c r="F16" s="81">
        <v>2019</v>
      </c>
      <c r="G16" s="83">
        <f>SUMIFS('Comp2016-2017 (3)'!$G$5:$G$300,'Comp2016-2017 (3)'!$A$5:$A$300,'Branche - valeurs'!$C$3,'Comp2016-2017 (3)'!$R$5:$R$300,'Tableaux de bord'!F16)</f>
        <v>1060186.7465818564</v>
      </c>
      <c r="H16" s="131">
        <f>G16/SUMIFS('Comp2016-2017 (3)'!$G$5:$G$300,'Comp2016-2017 (3)'!$B$5:$B$300,$D$6,'Comp2016-2017 (3)'!$R$5:$R$300,F16)</f>
        <v>8.9870561389141762E-2</v>
      </c>
      <c r="J16" s="54"/>
    </row>
    <row r="17" spans="2:10" x14ac:dyDescent="0.25">
      <c r="B17" s="54"/>
      <c r="F17" s="81">
        <v>2020</v>
      </c>
      <c r="G17" s="83">
        <f>SUMIFS('Comp2016-2017 (3)'!$G$5:$G$300,'Comp2016-2017 (3)'!$A$5:$A$300,'Branche - valeurs'!$C$3,'Comp2016-2017 (3)'!$R$5:$R$300,'Tableaux de bord'!F17)</f>
        <v>935186.01744964533</v>
      </c>
      <c r="H17" s="131">
        <f>G17/SUMIFS('Comp2016-2017 (3)'!$G$5:$G$300,'Comp2016-2017 (3)'!$B$5:$B$300,$D$6,'Comp2016-2017 (3)'!$R$5:$R$300,F17)</f>
        <v>8.4338074350100309E-2</v>
      </c>
      <c r="J17" s="54"/>
    </row>
    <row r="18" spans="2:10" x14ac:dyDescent="0.25">
      <c r="B18" s="54"/>
      <c r="J18" s="54"/>
    </row>
    <row r="19" spans="2:10" x14ac:dyDescent="0.25">
      <c r="B19" s="54"/>
      <c r="J19" s="54"/>
    </row>
    <row r="20" spans="2:10" x14ac:dyDescent="0.25">
      <c r="B20" s="54"/>
      <c r="J20" s="54"/>
    </row>
    <row r="21" spans="2:10" x14ac:dyDescent="0.25">
      <c r="B21" s="54"/>
      <c r="J21" s="54"/>
    </row>
    <row r="22" spans="2:10" x14ac:dyDescent="0.25">
      <c r="B22" s="54"/>
      <c r="J22" s="54"/>
    </row>
    <row r="23" spans="2:10" x14ac:dyDescent="0.25">
      <c r="B23" s="54"/>
      <c r="J23" s="54"/>
    </row>
    <row r="24" spans="2:10" x14ac:dyDescent="0.25">
      <c r="B24" s="54"/>
      <c r="J24" s="54"/>
    </row>
    <row r="25" spans="2:10" ht="18" x14ac:dyDescent="0.25">
      <c r="B25" s="54"/>
      <c r="D25" s="59" t="s">
        <v>113</v>
      </c>
      <c r="E25" s="59"/>
      <c r="F25" s="59"/>
      <c r="G25" s="59"/>
      <c r="H25" s="60" t="str">
        <f>$D$3</f>
        <v>47 - Meubles à base de bois</v>
      </c>
      <c r="J25" s="54"/>
    </row>
    <row r="26" spans="2:10" ht="51" x14ac:dyDescent="0.25">
      <c r="B26" s="54"/>
      <c r="F26" s="81"/>
      <c r="G26" s="85" t="s">
        <v>114</v>
      </c>
      <c r="H26" s="82" t="str">
        <f>"Part dans l'activité de "&amp;$D$6&amp;" (%)"</f>
        <v>Part dans l'activité de Production et transformation de produits bois (%)</v>
      </c>
      <c r="J26" s="54"/>
    </row>
    <row r="27" spans="2:10" x14ac:dyDescent="0.25">
      <c r="B27" s="54"/>
      <c r="F27" s="81">
        <v>2016</v>
      </c>
      <c r="G27" s="83">
        <f>SUMIFS('Comp2016-2017 (3)'!$O$5:$O$300,'Comp2016-2017 (3)'!$A$5:$A$300,'Branche - valeurs'!$C$3,'Comp2016-2017 (3)'!$R$5:$R$300,'Tableaux de bord'!F27)</f>
        <v>21018.852118101357</v>
      </c>
      <c r="H27" s="131">
        <f>G27/SUMIFS('Comp2016-2017 (3)'!$O$5:$O$300,'Comp2016-2017 (3)'!$B$5:$B$300,$D$6,'Comp2016-2017 (3)'!$R$5:$R$300,F27)</f>
        <v>0.12309449335160833</v>
      </c>
      <c r="J27" s="54"/>
    </row>
    <row r="28" spans="2:10" x14ac:dyDescent="0.25">
      <c r="B28" s="54"/>
      <c r="F28" s="81">
        <v>2017</v>
      </c>
      <c r="G28" s="83">
        <f>SUMIFS('Comp2016-2017 (3)'!$O$5:$O$300,'Comp2016-2017 (3)'!$A$5:$A$300,'Branche - valeurs'!$C$3,'Comp2016-2017 (3)'!$R$5:$R$300,'Tableaux de bord'!F28)</f>
        <v>21802.811064084559</v>
      </c>
      <c r="H28" s="131">
        <f>G28/SUMIFS('Comp2016-2017 (3)'!$O$5:$O$300,'Comp2016-2017 (3)'!$B$5:$B$300,$D$6,'Comp2016-2017 (3)'!$R$5:$R$300,F28)</f>
        <v>0.1236837849386013</v>
      </c>
      <c r="J28" s="54"/>
    </row>
    <row r="29" spans="2:10" x14ac:dyDescent="0.25">
      <c r="B29" s="54"/>
      <c r="F29" s="81">
        <v>2018</v>
      </c>
      <c r="G29" s="83">
        <f>SUMIFS('Comp2016-2017 (3)'!$O$5:$O$300,'Comp2016-2017 (3)'!$A$5:$A$300,'Branche - valeurs'!$C$3,'Comp2016-2017 (3)'!$R$5:$R$300,'Tableaux de bord'!F29)</f>
        <v>20799.991898767024</v>
      </c>
      <c r="H29" s="131">
        <f>G29/SUMIFS('Comp2016-2017 (3)'!$O$5:$O$300,'Comp2016-2017 (3)'!$B$5:$B$300,$D$6,'Comp2016-2017 (3)'!$R$5:$R$300,F29)</f>
        <v>0.11716173214274582</v>
      </c>
      <c r="J29" s="54"/>
    </row>
    <row r="30" spans="2:10" x14ac:dyDescent="0.25">
      <c r="B30" s="54"/>
      <c r="F30" s="81">
        <v>2019</v>
      </c>
      <c r="G30" s="83">
        <f>SUMIFS('Comp2016-2017 (3)'!$O$5:$O$300,'Comp2016-2017 (3)'!$A$5:$A$300,'Branche - valeurs'!$C$3,'Comp2016-2017 (3)'!$R$5:$R$300,'Tableaux de bord'!F30)</f>
        <v>21150.251536946002</v>
      </c>
      <c r="H30" s="131">
        <f>G30/SUMIFS('Comp2016-2017 (3)'!$O$5:$O$300,'Comp2016-2017 (3)'!$B$5:$B$300,$D$6,'Comp2016-2017 (3)'!$R$5:$R$300,F30)</f>
        <v>0.11800649074053006</v>
      </c>
      <c r="J30" s="54"/>
    </row>
    <row r="31" spans="2:10" x14ac:dyDescent="0.25">
      <c r="B31" s="54"/>
      <c r="F31" s="81">
        <v>2020</v>
      </c>
      <c r="G31" s="83">
        <f>SUMIFS('Comp2016-2017 (3)'!$O$5:$O$300,'Comp2016-2017 (3)'!$A$5:$A$300,'Branche - valeurs'!$C$3,'Comp2016-2017 (3)'!$R$5:$R$300,'Tableaux de bord'!F31)</f>
        <v>20896.44851850265</v>
      </c>
      <c r="H31" s="131">
        <f>G31/SUMIFS('Comp2016-2017 (3)'!$O$5:$O$300,'Comp2016-2017 (3)'!$B$5:$B$300,$D$6,'Comp2016-2017 (3)'!$R$5:$R$300,F31)</f>
        <v>0.11649904299654178</v>
      </c>
      <c r="J31" s="54"/>
    </row>
    <row r="32" spans="2:10" x14ac:dyDescent="0.25">
      <c r="B32" s="54"/>
      <c r="J32" s="54"/>
    </row>
    <row r="33" spans="2:12" x14ac:dyDescent="0.25">
      <c r="B33" s="54"/>
      <c r="J33" s="54"/>
    </row>
    <row r="34" spans="2:12" x14ac:dyDescent="0.25">
      <c r="B34" s="54"/>
      <c r="J34" s="54"/>
    </row>
    <row r="35" spans="2:12" x14ac:dyDescent="0.25">
      <c r="B35" s="54"/>
      <c r="J35" s="54"/>
    </row>
    <row r="36" spans="2:12" x14ac:dyDescent="0.25">
      <c r="B36" s="54"/>
      <c r="J36" s="54"/>
    </row>
    <row r="37" spans="2:12" x14ac:dyDescent="0.25">
      <c r="B37" s="54"/>
      <c r="J37" s="54"/>
    </row>
    <row r="38" spans="2:12" x14ac:dyDescent="0.25">
      <c r="B38" s="54"/>
      <c r="J38" s="54"/>
    </row>
    <row r="39" spans="2:12" ht="18" x14ac:dyDescent="0.25">
      <c r="B39" s="54"/>
      <c r="D39" s="59" t="s">
        <v>61</v>
      </c>
      <c r="E39" s="59"/>
      <c r="F39" s="59"/>
      <c r="G39" s="59"/>
      <c r="H39" s="60" t="str">
        <f>$D$3</f>
        <v>47 - Meubles à base de bois</v>
      </c>
      <c r="J39" s="54"/>
    </row>
    <row r="40" spans="2:12" ht="76.5" customHeight="1" x14ac:dyDescent="0.25">
      <c r="B40" s="54"/>
      <c r="F40" s="81"/>
      <c r="G40" s="85" t="s">
        <v>158</v>
      </c>
      <c r="H40" s="82" t="str">
        <f>H26</f>
        <v>Part dans l'activité de Production et transformation de produits bois (%)</v>
      </c>
      <c r="J40" s="54"/>
    </row>
    <row r="41" spans="2:12" x14ac:dyDescent="0.25">
      <c r="B41" s="54"/>
      <c r="F41" s="81">
        <v>2016</v>
      </c>
      <c r="G41" s="83">
        <f>SUMIFS('Comp2016-2017 (3)'!$I$5:$I$300,'Comp2016-2017 (3)'!$A$5:$A$300,'Branche - valeurs'!$C$3,'Comp2016-2017 (3)'!$R$5:$R$300,'Tableaux de bord'!F41)</f>
        <v>3292500.5060000005</v>
      </c>
      <c r="H41" s="131">
        <f>G41/SUMIFS('Comp2016-2017 (3)'!$I$5:$I$300,'Comp2016-2017 (3)'!$B$5:$B$300,$D$6,'Comp2016-2017 (3)'!$R$5:$R$300,F41)</f>
        <v>9.3569337690606103E-2</v>
      </c>
      <c r="J41" s="54"/>
    </row>
    <row r="42" spans="2:12" x14ac:dyDescent="0.25">
      <c r="B42" s="54"/>
      <c r="F42" s="81">
        <v>2017</v>
      </c>
      <c r="G42" s="83">
        <f>SUMIFS('Comp2016-2017 (3)'!$I$5:$I$300,'Comp2016-2017 (3)'!$A$5:$A$300,'Branche - valeurs'!$C$3,'Comp2016-2017 (3)'!$R$5:$R$300,'Tableaux de bord'!F42)</f>
        <v>3440200.9974167068</v>
      </c>
      <c r="H42" s="131">
        <f>G42/SUMIFS('Comp2016-2017 (3)'!$I$5:$I$300,'Comp2016-2017 (3)'!$B$5:$B$300,$D$6,'Comp2016-2017 (3)'!$R$5:$R$300,F42)</f>
        <v>9.4728773780282438E-2</v>
      </c>
      <c r="J42" s="54"/>
    </row>
    <row r="43" spans="2:12" x14ac:dyDescent="0.25">
      <c r="B43" s="54"/>
      <c r="F43" s="81">
        <v>2018</v>
      </c>
      <c r="G43" s="83">
        <f>SUMIFS('Comp2016-2017 (3)'!$I$5:$I$300,'Comp2016-2017 (3)'!$A$5:$A$300,'Branche - valeurs'!$C$3,'Comp2016-2017 (3)'!$R$5:$R$300,'Tableaux de bord'!F43)</f>
        <v>3280638.9996290319</v>
      </c>
      <c r="H43" s="131">
        <f>G43/SUMIFS('Comp2016-2017 (3)'!$I$5:$I$300,'Comp2016-2017 (3)'!$B$5:$B$300,$D$6,'Comp2016-2017 (3)'!$R$5:$R$300,F43)</f>
        <v>8.9232454189667729E-2</v>
      </c>
      <c r="J43" s="54"/>
    </row>
    <row r="44" spans="2:12" x14ac:dyDescent="0.25">
      <c r="B44" s="54"/>
      <c r="F44" s="81">
        <v>2019</v>
      </c>
      <c r="G44" s="83">
        <f>SUMIFS('Comp2016-2017 (3)'!$I$5:$I$300,'Comp2016-2017 (3)'!$A$5:$A$300,'Branche - valeurs'!$C$3,'Comp2016-2017 (3)'!$R$5:$R$300,'Tableaux de bord'!F44)</f>
        <v>3338513.9992542071</v>
      </c>
      <c r="H44" s="131">
        <f>G44/SUMIFS('Comp2016-2017 (3)'!$I$5:$I$300,'Comp2016-2017 (3)'!$B$5:$B$300,$D$6,'Comp2016-2017 (3)'!$R$5:$R$300,F44)</f>
        <v>9.109978488026281E-2</v>
      </c>
      <c r="J44" s="54"/>
      <c r="L44" s="41"/>
    </row>
    <row r="45" spans="2:12" x14ac:dyDescent="0.25">
      <c r="B45" s="54"/>
      <c r="F45" s="81">
        <v>2020</v>
      </c>
      <c r="G45" s="83">
        <f>SUMIFS('Comp2016-2017 (3)'!$I$5:$I$300,'Comp2016-2017 (3)'!$A$5:$A$300,'Branche - valeurs'!$C$3,'Comp2016-2017 (3)'!$R$5:$R$300,'Tableaux de bord'!F45)</f>
        <v>2972742</v>
      </c>
      <c r="H45" s="131">
        <f>G45/SUMIFS('Comp2016-2017 (3)'!$I$5:$I$300,'Comp2016-2017 (3)'!$B$5:$B$300,$D$6,'Comp2016-2017 (3)'!$R$5:$R$300,F45)</f>
        <v>8.7065957172535041E-2</v>
      </c>
      <c r="J45" s="54"/>
      <c r="L45" s="41"/>
    </row>
    <row r="46" spans="2:12" x14ac:dyDescent="0.25">
      <c r="B46" s="54"/>
      <c r="G46" s="17"/>
      <c r="J46" s="54"/>
      <c r="L46" s="41"/>
    </row>
    <row r="47" spans="2:12" x14ac:dyDescent="0.25">
      <c r="B47" s="54"/>
      <c r="J47" s="54"/>
    </row>
    <row r="48" spans="2:12" x14ac:dyDescent="0.25">
      <c r="B48" s="54"/>
      <c r="J48" s="54"/>
    </row>
    <row r="49" spans="2:11" x14ac:dyDescent="0.25">
      <c r="B49" s="54"/>
      <c r="J49" s="54"/>
    </row>
    <row r="50" spans="2:11" x14ac:dyDescent="0.25">
      <c r="B50" s="54"/>
      <c r="J50" s="54"/>
    </row>
    <row r="51" spans="2:11" x14ac:dyDescent="0.25">
      <c r="B51" s="54"/>
      <c r="J51" s="54"/>
    </row>
    <row r="53" spans="2:11" ht="20.25" x14ac:dyDescent="0.25">
      <c r="D53" s="273" t="s">
        <v>116</v>
      </c>
      <c r="E53" s="273"/>
      <c r="F53" s="273"/>
      <c r="G53" s="273"/>
      <c r="H53" s="273"/>
    </row>
    <row r="56" spans="2:11" ht="18" x14ac:dyDescent="0.25">
      <c r="B56" s="55"/>
      <c r="D56" s="61" t="s">
        <v>115</v>
      </c>
      <c r="E56" s="61"/>
      <c r="F56" s="61"/>
      <c r="G56" s="61"/>
      <c r="H56" s="62" t="str">
        <f>$D$3</f>
        <v>47 - Meubles à base de bois</v>
      </c>
      <c r="J56" s="55"/>
    </row>
    <row r="57" spans="2:11" ht="76.5" customHeight="1" x14ac:dyDescent="0.25">
      <c r="B57" s="55"/>
      <c r="F57" s="81"/>
      <c r="G57" s="85" t="s">
        <v>160</v>
      </c>
      <c r="H57" s="82" t="str">
        <f>"Productivité dans l'activité de "&amp;$D$6&amp;" (VA/ETP)"</f>
        <v>Productivité dans l'activité de Production et transformation de produits bois (VA/ETP)</v>
      </c>
      <c r="J57" s="55"/>
    </row>
    <row r="58" spans="2:11" x14ac:dyDescent="0.25">
      <c r="B58" s="55"/>
      <c r="F58" s="81">
        <v>2016</v>
      </c>
      <c r="G58" s="83">
        <f>G13/G27</f>
        <v>50.126436781609193</v>
      </c>
      <c r="H58" s="83">
        <f>SUMIFS('Comp2016-2017 (3)'!$G$5:$G$300,'Comp2016-2017 (3)'!$B$5:$B$300,$D$6,'Comp2016-2017 (3)'!$R$5:$R$300,F58)/SUMIFS('Comp2016-2017 (3)'!$O$5:$O$300,'Comp2016-2017 (3)'!$B$5:$B$300,$D$6,'Comp2016-2017 (3)'!$R$5:$R$300,F58)</f>
        <v>65.775131279657558</v>
      </c>
      <c r="J58" s="55"/>
    </row>
    <row r="59" spans="2:11" x14ac:dyDescent="0.25">
      <c r="B59" s="55"/>
      <c r="E59" s="38"/>
      <c r="F59" s="81">
        <v>2017</v>
      </c>
      <c r="G59" s="83">
        <f>G14/G28</f>
        <v>50.126436781609186</v>
      </c>
      <c r="H59" s="83">
        <f>SUMIFS('Comp2016-2017 (3)'!$G$5:$G$300,'Comp2016-2017 (3)'!$B$5:$B$300,$D$6,'Comp2016-2017 (3)'!$R$5:$R$300,F59)/SUMIFS('Comp2016-2017 (3)'!$O$5:$O$300,'Comp2016-2017 (3)'!$B$5:$B$300,$D$6,'Comp2016-2017 (3)'!$R$5:$R$300,F59)</f>
        <v>65.825040511382156</v>
      </c>
      <c r="J59" s="55"/>
    </row>
    <row r="60" spans="2:11" x14ac:dyDescent="0.25">
      <c r="B60" s="55"/>
      <c r="E60" s="38"/>
      <c r="F60" s="81">
        <v>2018</v>
      </c>
      <c r="G60" s="83">
        <f>G15/G29</f>
        <v>50.126436781609193</v>
      </c>
      <c r="H60" s="83">
        <f>SUMIFS('Comp2016-2017 (3)'!$G$5:$G$300,'Comp2016-2017 (3)'!$B$5:$B$300,$D$6,'Comp2016-2017 (3)'!$R$5:$R$300,F60)/SUMIFS('Comp2016-2017 (3)'!$O$5:$O$300,'Comp2016-2017 (3)'!$B$5:$B$300,$D$6,'Comp2016-2017 (3)'!$R$5:$R$300,F60)</f>
        <v>66.164704778590334</v>
      </c>
      <c r="J60" s="55"/>
    </row>
    <row r="61" spans="2:11" x14ac:dyDescent="0.25">
      <c r="B61" s="55"/>
      <c r="E61" s="38"/>
      <c r="F61" s="81">
        <v>2019</v>
      </c>
      <c r="G61" s="83">
        <f>G16/G30</f>
        <v>50.126436781609193</v>
      </c>
      <c r="H61" s="83">
        <f>SUMIFS('Comp2016-2017 (3)'!$G$5:$G$300,'Comp2016-2017 (3)'!$B$5:$B$300,$D$6,'Comp2016-2017 (3)'!$R$5:$R$300,F61)/SUMIFS('Comp2016-2017 (3)'!$O$5:$O$300,'Comp2016-2017 (3)'!$B$5:$B$300,$D$6,'Comp2016-2017 (3)'!$R$5:$R$300,F61)</f>
        <v>65.81960551366285</v>
      </c>
      <c r="J61" s="55"/>
    </row>
    <row r="62" spans="2:11" ht="15" customHeight="1" x14ac:dyDescent="0.25">
      <c r="B62" s="55"/>
      <c r="E62" s="38"/>
      <c r="F62" s="81">
        <v>2020</v>
      </c>
      <c r="G62" s="83">
        <f>G17/G31</f>
        <v>44.753347279160373</v>
      </c>
      <c r="H62" s="83">
        <f>SUMIFS('Comp2016-2017 (3)'!$G$5:$G$300,'Comp2016-2017 (3)'!$B$5:$B$300,$D$6,'Comp2016-2017 (3)'!$R$5:$R$300,F62)/SUMIFS('Comp2016-2017 (3)'!$O$5:$O$300,'Comp2016-2017 (3)'!$B$5:$B$300,$D$6,'Comp2016-2017 (3)'!$R$5:$R$300,F62)</f>
        <v>61.819316709450916</v>
      </c>
      <c r="J62" s="55"/>
      <c r="K62" s="117"/>
    </row>
    <row r="63" spans="2:11" x14ac:dyDescent="0.25">
      <c r="B63" s="55"/>
      <c r="E63" s="38"/>
      <c r="F63" s="56"/>
      <c r="J63" s="55"/>
    </row>
    <row r="64" spans="2:11" x14ac:dyDescent="0.25">
      <c r="B64" s="55"/>
      <c r="E64" s="38"/>
      <c r="F64" s="56"/>
      <c r="G64" s="274" t="s">
        <v>159</v>
      </c>
      <c r="H64" s="275"/>
      <c r="J64" s="55"/>
    </row>
    <row r="65" spans="2:10" x14ac:dyDescent="0.25">
      <c r="B65" s="55"/>
      <c r="E65" s="38"/>
      <c r="F65" s="56"/>
      <c r="G65" s="276"/>
      <c r="H65" s="277"/>
      <c r="J65" s="55"/>
    </row>
    <row r="66" spans="2:10" x14ac:dyDescent="0.25">
      <c r="B66" s="55"/>
      <c r="E66" s="38"/>
      <c r="G66" s="276"/>
      <c r="H66" s="277"/>
      <c r="J66" s="55"/>
    </row>
    <row r="67" spans="2:10" x14ac:dyDescent="0.25">
      <c r="B67" s="55"/>
      <c r="E67" s="38"/>
      <c r="G67" s="276"/>
      <c r="H67" s="277"/>
      <c r="J67" s="55"/>
    </row>
    <row r="68" spans="2:10" x14ac:dyDescent="0.25">
      <c r="B68" s="55"/>
      <c r="G68" s="278"/>
      <c r="H68" s="279"/>
      <c r="J68" s="55"/>
    </row>
    <row r="69" spans="2:10" x14ac:dyDescent="0.25">
      <c r="B69" s="55"/>
      <c r="J69" s="55"/>
    </row>
    <row r="70" spans="2:10" ht="18" x14ac:dyDescent="0.25">
      <c r="B70" s="55"/>
      <c r="D70" s="61" t="s">
        <v>117</v>
      </c>
      <c r="E70" s="61"/>
      <c r="F70" s="61"/>
      <c r="G70" s="61"/>
      <c r="H70" s="62" t="str">
        <f>$D$3</f>
        <v>47 - Meubles à base de bois</v>
      </c>
      <c r="J70" s="55"/>
    </row>
    <row r="71" spans="2:10" ht="76.5" customHeight="1" x14ac:dyDescent="0.25">
      <c r="B71" s="55"/>
      <c r="F71" s="81"/>
      <c r="G71" s="85" t="s">
        <v>162</v>
      </c>
      <c r="H71" s="85" t="s">
        <v>163</v>
      </c>
      <c r="J71" s="55"/>
    </row>
    <row r="72" spans="2:10" x14ac:dyDescent="0.25">
      <c r="B72" s="55"/>
      <c r="F72" s="81">
        <v>2016</v>
      </c>
      <c r="G72" s="83">
        <f>SUMIFS('Comp2016-2017 (3)'!$J$5:$J$300,'Comp2016-2017 (3)'!$A$5:$A$300,'Branche - valeurs'!$C$3,'Comp2016-2017 (3)'!$R$5:$R$300,'Tableaux de bord'!F72)</f>
        <v>3379168.8160000001</v>
      </c>
      <c r="H72" s="83">
        <f>SUMIFS('Comp2016-2017 (3)'!$M$5:$M$300,'Comp2016-2017 (3)'!$A$5:$A$300,'Branche - valeurs'!$C$3,'Comp2016-2017 (3)'!$R$5:$R$300,'Tableaux de bord'!F72)</f>
        <v>965684</v>
      </c>
      <c r="J72" s="55"/>
    </row>
    <row r="73" spans="2:10" x14ac:dyDescent="0.25">
      <c r="B73" s="55"/>
      <c r="E73" s="38"/>
      <c r="F73" s="81">
        <v>2017</v>
      </c>
      <c r="G73" s="83">
        <f>SUMIFS('Comp2016-2017 (3)'!$J$5:$J$300,'Comp2016-2017 (3)'!$A$5:$A$300,'Branche - valeurs'!$C$3,'Comp2016-2017 (3)'!$R$5:$R$300,'Tableaux de bord'!F73)</f>
        <v>3360007.767</v>
      </c>
      <c r="H73" s="83">
        <f>SUMIFS('Comp2016-2017 (3)'!$M$5:$M$300,'Comp2016-2017 (3)'!$A$5:$A$300,'Branche - valeurs'!$C$3,'Comp2016-2017 (3)'!$R$5:$R$300,'Tableaux de bord'!F73)</f>
        <v>860716.21099999989</v>
      </c>
      <c r="J73" s="55"/>
    </row>
    <row r="74" spans="2:10" x14ac:dyDescent="0.25">
      <c r="B74" s="55"/>
      <c r="E74" s="38"/>
      <c r="F74" s="81">
        <v>2018</v>
      </c>
      <c r="G74" s="83">
        <f>SUMIFS('Comp2016-2017 (3)'!$J$5:$J$300,'Comp2016-2017 (3)'!$A$5:$A$300,'Branche - valeurs'!$C$3,'Comp2016-2017 (3)'!$R$5:$R$300,'Tableaux de bord'!F74)</f>
        <v>3530516.7140000039</v>
      </c>
      <c r="H74" s="83">
        <f>SUMIFS('Comp2016-2017 (3)'!$M$5:$M$300,'Comp2016-2017 (3)'!$A$5:$A$300,'Branche - valeurs'!$C$3,'Comp2016-2017 (3)'!$R$5:$R$300,'Tableaux de bord'!F74)</f>
        <v>879152.4600000002</v>
      </c>
      <c r="J74" s="55"/>
    </row>
    <row r="75" spans="2:10" x14ac:dyDescent="0.25">
      <c r="B75" s="55"/>
      <c r="E75" s="38"/>
      <c r="F75" s="81">
        <v>2019</v>
      </c>
      <c r="G75" s="83">
        <f>SUMIFS('Comp2016-2017 (3)'!$J$5:$J$300,'Comp2016-2017 (3)'!$A$5:$A$300,'Branche - valeurs'!$C$3,'Comp2016-2017 (3)'!$R$5:$R$300,'Tableaux de bord'!F75)</f>
        <v>3751407.2050000043</v>
      </c>
      <c r="H75" s="83">
        <f>SUMIFS('Comp2016-2017 (3)'!$M$5:$M$300,'Comp2016-2017 (3)'!$A$5:$A$300,'Branche - valeurs'!$C$3,'Comp2016-2017 (3)'!$R$5:$R$300,'Tableaux de bord'!F75)</f>
        <v>895271.15400000615</v>
      </c>
      <c r="J75" s="55"/>
    </row>
    <row r="76" spans="2:10" x14ac:dyDescent="0.25">
      <c r="B76" s="55"/>
      <c r="E76" s="38"/>
      <c r="F76" s="81">
        <v>2020</v>
      </c>
      <c r="G76" s="83">
        <f>SUMIFS('Comp2016-2017 (3)'!$J$5:$J$300,'Comp2016-2017 (3)'!$A$5:$A$300,'Branche - valeurs'!$C$3,'Comp2016-2017 (3)'!$R$5:$R$300,'Tableaux de bord'!F76)</f>
        <v>3530305.1120000039</v>
      </c>
      <c r="H76" s="83">
        <f>SUMIFS('Comp2016-2017 (3)'!$M$5:$M$300,'Comp2016-2017 (3)'!$A$5:$A$300,'Branche - valeurs'!$C$3,'Comp2016-2017 (3)'!$R$5:$R$300,'Tableaux de bord'!F76)</f>
        <v>745389.98527900188</v>
      </c>
      <c r="J76" s="55"/>
    </row>
    <row r="77" spans="2:10" x14ac:dyDescent="0.25">
      <c r="B77" s="55"/>
      <c r="E77" s="38"/>
      <c r="J77" s="55"/>
    </row>
    <row r="78" spans="2:10" x14ac:dyDescent="0.25">
      <c r="B78" s="55"/>
      <c r="E78" s="38"/>
      <c r="J78" s="55"/>
    </row>
    <row r="79" spans="2:10" x14ac:dyDescent="0.25">
      <c r="B79" s="55"/>
      <c r="E79" s="38"/>
      <c r="J79" s="55"/>
    </row>
    <row r="80" spans="2:10" x14ac:dyDescent="0.25">
      <c r="B80" s="55"/>
      <c r="E80" s="38"/>
      <c r="G80" s="280" t="str">
        <f>IF(H72=0,"Le commerce international de cette branche est difficilement quantifiables en l’état des connaissances.","")</f>
        <v/>
      </c>
      <c r="H80" s="280"/>
      <c r="J80" s="55"/>
    </row>
    <row r="81" spans="2:10" x14ac:dyDescent="0.25">
      <c r="B81" s="55"/>
      <c r="G81" s="280"/>
      <c r="H81" s="280"/>
      <c r="J81" s="55"/>
    </row>
    <row r="82" spans="2:10" x14ac:dyDescent="0.25">
      <c r="B82" s="55"/>
      <c r="G82" s="280"/>
      <c r="H82" s="280"/>
      <c r="J82" s="55"/>
    </row>
    <row r="83" spans="2:10" x14ac:dyDescent="0.25">
      <c r="B83" s="55"/>
      <c r="G83"/>
      <c r="J83" s="55"/>
    </row>
    <row r="84" spans="2:10" x14ac:dyDescent="0.25">
      <c r="B84" s="55"/>
      <c r="J84" s="55"/>
    </row>
    <row r="85" spans="2:10" ht="63.75" x14ac:dyDescent="0.25">
      <c r="B85" s="55"/>
      <c r="F85" s="81"/>
      <c r="G85" s="85" t="s">
        <v>161</v>
      </c>
      <c r="H85" s="82" t="str">
        <f>"Taux de couverture dans l'activité "&amp;D6</f>
        <v>Taux de couverture dans l'activité Production et transformation de produits bois</v>
      </c>
      <c r="J85" s="55"/>
    </row>
    <row r="86" spans="2:10" x14ac:dyDescent="0.25">
      <c r="B86" s="55"/>
      <c r="F86" s="81">
        <v>2016</v>
      </c>
      <c r="G86" s="128">
        <f>IFERROR(SUMIFS('Comp2016-2017 (3)'!$M$5:$M$300,'Comp2016-2017 (3)'!$R$5:$R$300,$F$86,'Comp2016-2017 (3)'!$A$5:$A$300,$D$3)/SUMIFS('Comp2016-2017 (3)'!$J$5:$J$300,'Comp2016-2017 (3)'!$R$5:$R$300,$F$86,'Comp2016-2017 (3)'!$A$5:$A$300,$D$3),"")</f>
        <v>0.28577560121518353</v>
      </c>
      <c r="H86" s="84">
        <f>IF(ISNUMBER(SUMIFS('Comp2016-2017 (3)'!$M$5:$M$300,'Comp2016-2017 (3)'!$R$5:$R$300,$F$86,'Comp2016-2017 (3)'!$B$5:$B$300,$D$6)/SUMIFS('Comp2016-2017 (3)'!$J$5:$J$300,'Comp2016-2017 (3)'!$R$5:$R$300,$F$86,'Comp2016-2017 (3)'!$B$5:$B$300,$D$6)),SUMIFS('Comp2016-2017 (3)'!$M$5:$M$300,'Comp2016-2017 (3)'!$R$5:$R$300,$F$86,'Comp2016-2017 (3)'!$B$5:$B$300,$D$6)/SUMIFS('Comp2016-2017 (3)'!$J$5:$J$300,'Comp2016-2017 (3)'!$R$5:$R$300,$F$86,'Comp2016-2017 (3)'!$B$5:$B$300,$D$6),"")</f>
        <v>0.58755407217616051</v>
      </c>
      <c r="J86" s="55"/>
    </row>
    <row r="87" spans="2:10" x14ac:dyDescent="0.25">
      <c r="B87" s="55"/>
      <c r="F87" s="81">
        <v>2017</v>
      </c>
      <c r="G87" s="128">
        <f>IFERROR(SUMIFS('Comp2016-2017 (3)'!$M$5:$M$300,'Comp2016-2017 (3)'!$R$5:$R$300,$F$86,'Comp2016-2017 (3)'!$A$5:$A$300,$D$3)/SUMIFS('Comp2016-2017 (3)'!$J$5:$J$300,'Comp2016-2017 (3)'!$R$5:$R$300,$F$86,'Comp2016-2017 (3)'!$A$5:$A$300,$D$3),"")</f>
        <v>0.28577560121518353</v>
      </c>
      <c r="H87" s="84">
        <f>IF(ISNUMBER(SUMIFS('Comp2016-2017 (3)'!$M$5:$M$300,'Comp2016-2017 (3)'!$R$5:$R$300,$F$87,'Comp2016-2017 (3)'!$B$5:$B$300,$D$6)/SUMIFS('Comp2016-2017 (3)'!$J$5:$J$300,'Comp2016-2017 (3)'!$R$5:$R$300,$F$87,'Comp2016-2017 (3)'!$B$5:$B$300,$D$6)),SUMIFS('Comp2016-2017 (3)'!$M$5:$M$300,'Comp2016-2017 (3)'!$R$5:$R$300,$F$87,'Comp2016-2017 (3)'!$B$5:$B$300,$D$6)/SUMIFS('Comp2016-2017 (3)'!$J$5:$J$300,'Comp2016-2017 (3)'!$R$5:$R$300,$F$87,'Comp2016-2017 (3)'!$B$5:$B$300,$D$6),"")</f>
        <v>0.58051801906995237</v>
      </c>
      <c r="J87" s="55"/>
    </row>
    <row r="88" spans="2:10" x14ac:dyDescent="0.25">
      <c r="B88" s="55"/>
      <c r="F88" s="81">
        <v>2018</v>
      </c>
      <c r="G88" s="128">
        <f>IFERROR(SUMIFS('Comp2016-2017 (3)'!$M$5:$M$300,'Comp2016-2017 (3)'!$R$5:$R$300,$F$86,'Comp2016-2017 (3)'!$A$5:$A$300,$D$3)/SUMIFS('Comp2016-2017 (3)'!$J$5:$J$300,'Comp2016-2017 (3)'!$R$5:$R$300,$F$86,'Comp2016-2017 (3)'!$A$5:$A$300,$D$3),"")</f>
        <v>0.28577560121518353</v>
      </c>
      <c r="H88" s="84">
        <f>IF(ISNUMBER(SUMIFS('Comp2016-2017 (3)'!$M$5:$M$300,'Comp2016-2017 (3)'!$R$5:$R$300,$F$87,'Comp2016-2017 (3)'!$B$5:$B$300,$D$6)/SUMIFS('Comp2016-2017 (3)'!$J$5:$J$300,'Comp2016-2017 (3)'!$R$5:$R$300,$F$87,'Comp2016-2017 (3)'!$B$5:$B$300,$D$6)),SUMIFS('Comp2016-2017 (3)'!$M$5:$M$300,'Comp2016-2017 (3)'!$R$5:$R$300,$F$87,'Comp2016-2017 (3)'!$B$5:$B$300,$D$6)/SUMIFS('Comp2016-2017 (3)'!$J$5:$J$300,'Comp2016-2017 (3)'!$R$5:$R$300,$F$87,'Comp2016-2017 (3)'!$B$5:$B$300,$D$6),"")</f>
        <v>0.58051801906995237</v>
      </c>
      <c r="J88" s="55"/>
    </row>
    <row r="89" spans="2:10" x14ac:dyDescent="0.25">
      <c r="B89" s="55"/>
      <c r="F89" s="81">
        <v>2019</v>
      </c>
      <c r="G89" s="128">
        <f>IFERROR(SUMIFS('Comp2016-2017 (3)'!$M$5:$M$300,'Comp2016-2017 (3)'!$R$5:$R$300,$F$86,'Comp2016-2017 (3)'!$A$5:$A$300,$D$3)/SUMIFS('Comp2016-2017 (3)'!$J$5:$J$300,'Comp2016-2017 (3)'!$R$5:$R$300,$F$86,'Comp2016-2017 (3)'!$A$5:$A$300,$D$3),"")</f>
        <v>0.28577560121518353</v>
      </c>
      <c r="H89" s="84">
        <f>IF(ISNUMBER(SUMIFS('Comp2016-2017 (3)'!$M$5:$M$300,'Comp2016-2017 (3)'!$R$5:$R$300,$F$87,'Comp2016-2017 (3)'!$B$5:$B$300,$D$6)/SUMIFS('Comp2016-2017 (3)'!$J$5:$J$300,'Comp2016-2017 (3)'!$R$5:$R$300,$F$87,'Comp2016-2017 (3)'!$B$5:$B$300,$D$6)),SUMIFS('Comp2016-2017 (3)'!$M$5:$M$300,'Comp2016-2017 (3)'!$R$5:$R$300,$F$87,'Comp2016-2017 (3)'!$B$5:$B$300,$D$6)/SUMIFS('Comp2016-2017 (3)'!$J$5:$J$300,'Comp2016-2017 (3)'!$R$5:$R$300,$F$87,'Comp2016-2017 (3)'!$B$5:$B$300,$D$6),"")</f>
        <v>0.58051801906995237</v>
      </c>
      <c r="J89" s="55"/>
    </row>
    <row r="90" spans="2:10" x14ac:dyDescent="0.25">
      <c r="B90" s="55"/>
      <c r="F90" s="81">
        <v>2020</v>
      </c>
      <c r="G90" s="128">
        <f>IFERROR(SUMIFS('Comp2016-2017 (3)'!$M$5:$M$300,'Comp2016-2017 (3)'!$R$5:$R$300,$F$86,'Comp2016-2017 (3)'!$A$5:$A$300,$D$3)/SUMIFS('Comp2016-2017 (3)'!$J$5:$J$300,'Comp2016-2017 (3)'!$R$5:$R$300,$F$86,'Comp2016-2017 (3)'!$A$5:$A$300,$D$3),"")</f>
        <v>0.28577560121518353</v>
      </c>
      <c r="H90" s="84">
        <f>IF(ISNUMBER(SUMIFS('Comp2016-2017 (3)'!$M$5:$M$300,'Comp2016-2017 (3)'!$R$5:$R$300,$F$87,'Comp2016-2017 (3)'!$B$5:$B$300,$D$6)/SUMIFS('Comp2016-2017 (3)'!$J$5:$J$300,'Comp2016-2017 (3)'!$R$5:$R$300,$F$87,'Comp2016-2017 (3)'!$B$5:$B$300,$D$6)),SUMIFS('Comp2016-2017 (3)'!$M$5:$M$300,'Comp2016-2017 (3)'!$R$5:$R$300,$F$87,'Comp2016-2017 (3)'!$B$5:$B$300,$D$6)/SUMIFS('Comp2016-2017 (3)'!$J$5:$J$300,'Comp2016-2017 (3)'!$R$5:$R$300,$F$87,'Comp2016-2017 (3)'!$B$5:$B$300,$D$6),"")</f>
        <v>0.58051801906995237</v>
      </c>
      <c r="J90" s="55"/>
    </row>
    <row r="91" spans="2:10" x14ac:dyDescent="0.25">
      <c r="B91" s="55"/>
      <c r="J91" s="55"/>
    </row>
    <row r="92" spans="2:10" x14ac:dyDescent="0.25">
      <c r="B92" s="55"/>
      <c r="G92" s="274" t="s">
        <v>164</v>
      </c>
      <c r="H92" s="275"/>
      <c r="J92" s="55"/>
    </row>
    <row r="93" spans="2:10" x14ac:dyDescent="0.25">
      <c r="B93" s="55"/>
      <c r="G93" s="276"/>
      <c r="H93" s="277"/>
      <c r="J93" s="55"/>
    </row>
    <row r="94" spans="2:10" x14ac:dyDescent="0.25">
      <c r="B94" s="55"/>
      <c r="G94" s="276"/>
      <c r="H94" s="277"/>
      <c r="J94" s="55"/>
    </row>
    <row r="95" spans="2:10" x14ac:dyDescent="0.25">
      <c r="B95" s="55"/>
      <c r="G95" s="276"/>
      <c r="H95" s="277"/>
      <c r="J95" s="55"/>
    </row>
    <row r="96" spans="2:10" x14ac:dyDescent="0.25">
      <c r="B96" s="55"/>
      <c r="G96" s="276"/>
      <c r="H96" s="277"/>
      <c r="J96" s="55"/>
    </row>
    <row r="97" spans="2:13" x14ac:dyDescent="0.25">
      <c r="B97" s="55"/>
      <c r="G97" s="278"/>
      <c r="H97" s="279"/>
      <c r="J97" s="55"/>
    </row>
    <row r="98" spans="2:13" x14ac:dyDescent="0.25">
      <c r="B98" s="55"/>
      <c r="J98" s="55"/>
    </row>
    <row r="99" spans="2:13" ht="18" x14ac:dyDescent="0.25">
      <c r="B99" s="55"/>
      <c r="D99" s="61" t="s">
        <v>118</v>
      </c>
      <c r="E99" s="61"/>
      <c r="F99" s="63"/>
      <c r="G99" s="63"/>
      <c r="H99" s="62" t="str">
        <f>$D$3</f>
        <v>47 - Meubles à base de bois</v>
      </c>
      <c r="J99" s="55"/>
    </row>
    <row r="100" spans="2:13" ht="76.5" customHeight="1" x14ac:dyDescent="0.25">
      <c r="B100" s="55"/>
      <c r="F100" s="81"/>
      <c r="G100" s="85" t="s">
        <v>119</v>
      </c>
      <c r="H100" s="82" t="str">
        <f>"Taux de couverture de la demande dans l'activité "&amp;D6</f>
        <v>Taux de couverture de la demande dans l'activité Production et transformation de produits bois</v>
      </c>
      <c r="J100" s="55"/>
      <c r="L100"/>
      <c r="M100" s="175"/>
    </row>
    <row r="101" spans="2:13" x14ac:dyDescent="0.25">
      <c r="B101" s="55"/>
      <c r="F101" s="81">
        <v>2016</v>
      </c>
      <c r="G101" s="86">
        <f>(G41-H72)/(G41-H72+G72)</f>
        <v>0.40778522458316274</v>
      </c>
      <c r="H101" s="87">
        <f>(SUMIFS('Comp2016-2017 (3)'!$I$5:$I$300,'Comp2016-2017 (3)'!$B$5:$B$300,$D$6,'Comp2016-2017 (3)'!$R$5:$R$300,F101)-SUMIFS('Comp2016-2017 (3)'!$M$5:$M$300,'Comp2016-2017 (3)'!$B$5:$B$300,$D$6,'Comp2016-2017 (3)'!$R$5:$R$300,F101))/(SUMIFS('Comp2016-2017 (3)'!$I$5:$I$300,'Comp2016-2017 (3)'!$B$5:$B$300,$D$6,'Comp2016-2017 (3)'!$R$5:$R$300,F101)-SUMIFS('Comp2016-2017 (3)'!$M$5:$M$300,'Comp2016-2017 (3)'!$B$5:$B$300,$D$6,'Comp2016-2017 (3)'!$R$5:$R$300,F101)+SUMIFS('Comp2016-2017 (3)'!$J$5:$J$300,'Comp2016-2017 (3)'!$B$5:$B$300,$D$6,'Comp2016-2017 (3)'!$R$5:$R$300,F101))</f>
        <v>0.60821346199352189</v>
      </c>
      <c r="J101" s="55"/>
      <c r="L101"/>
      <c r="M101" s="175"/>
    </row>
    <row r="102" spans="2:13" x14ac:dyDescent="0.25">
      <c r="B102" s="55"/>
      <c r="E102" s="38"/>
      <c r="F102" s="81">
        <v>2017</v>
      </c>
      <c r="G102" s="86">
        <f>(G42-H73)/(G42-H73+G73)</f>
        <v>0.43429379921233374</v>
      </c>
      <c r="H102" s="87">
        <f>(SUMIFS('Comp2016-2017 (3)'!$I$5:$I$300,'Comp2016-2017 (3)'!$B$5:$B$300,$D$6,'Comp2016-2017 (3)'!$R$5:$R$300,F102)-SUMIFS('Comp2016-2017 (3)'!$M$5:$M$300,'Comp2016-2017 (3)'!$B$5:$B$300,$D$6,'Comp2016-2017 (3)'!$R$5:$R$300,F102))/(SUMIFS('Comp2016-2017 (3)'!$I$5:$I$300,'Comp2016-2017 (3)'!$B$5:$B$300,$D$6,'Comp2016-2017 (3)'!$R$5:$R$300,F102)-SUMIFS('Comp2016-2017 (3)'!$M$5:$M$300,'Comp2016-2017 (3)'!$B$5:$B$300,$D$6,'Comp2016-2017 (3)'!$R$5:$R$300,F102)+SUMIFS('Comp2016-2017 (3)'!$J$5:$J$300,'Comp2016-2017 (3)'!$B$5:$B$300,$D$6,'Comp2016-2017 (3)'!$R$5:$R$300,F102))</f>
        <v>0.61091270117450702</v>
      </c>
      <c r="J102" s="55"/>
    </row>
    <row r="103" spans="2:13" x14ac:dyDescent="0.25">
      <c r="B103" s="55"/>
      <c r="F103" s="81">
        <v>2018</v>
      </c>
      <c r="G103" s="86">
        <f>(G43-H74)/(G43-H74+G74)</f>
        <v>0.4048356747208236</v>
      </c>
      <c r="H103" s="87">
        <f>(SUMIFS('Comp2016-2017 (3)'!$I$5:$I$300,'Comp2016-2017 (3)'!$B$5:$B$300,$D$6,'Comp2016-2017 (3)'!$R$5:$R$300,F103)-SUMIFS('Comp2016-2017 (3)'!$M$5:$M$300,'Comp2016-2017 (3)'!$B$5:$B$300,$D$6,'Comp2016-2017 (3)'!$R$5:$R$300,F103))/(SUMIFS('Comp2016-2017 (3)'!$I$5:$I$300,'Comp2016-2017 (3)'!$B$5:$B$300,$D$6,'Comp2016-2017 (3)'!$R$5:$R$300,F103)-SUMIFS('Comp2016-2017 (3)'!$M$5:$M$300,'Comp2016-2017 (3)'!$B$5:$B$300,$D$6,'Comp2016-2017 (3)'!$R$5:$R$300,F103)+SUMIFS('Comp2016-2017 (3)'!$J$5:$J$300,'Comp2016-2017 (3)'!$B$5:$B$300,$D$6,'Comp2016-2017 (3)'!$R$5:$R$300,F103))</f>
        <v>0.59870500224273715</v>
      </c>
      <c r="J103" s="55"/>
    </row>
    <row r="104" spans="2:13" ht="15" customHeight="1" x14ac:dyDescent="0.25">
      <c r="B104" s="55"/>
      <c r="E104" s="38"/>
      <c r="F104" s="81">
        <v>2019</v>
      </c>
      <c r="G104" s="86">
        <f>(G44-H75)/(G44-H75+G75)</f>
        <v>0.39441176263926958</v>
      </c>
      <c r="H104" s="87">
        <f>(SUMIFS('Comp2016-2017 (3)'!$I$5:$I$300,'Comp2016-2017 (3)'!$B$5:$B$300,$D$6,'Comp2016-2017 (3)'!$R$5:$R$300,F104)-SUMIFS('Comp2016-2017 (3)'!$M$5:$M$300,'Comp2016-2017 (3)'!$B$5:$B$300,$D$6,'Comp2016-2017 (3)'!$R$5:$R$300,F104))/(SUMIFS('Comp2016-2017 (3)'!$I$5:$I$300,'Comp2016-2017 (3)'!$B$5:$B$300,$D$6,'Comp2016-2017 (3)'!$R$5:$R$300,F104)-SUMIFS('Comp2016-2017 (3)'!$M$5:$M$300,'Comp2016-2017 (3)'!$B$5:$B$300,$D$6,'Comp2016-2017 (3)'!$R$5:$R$300,F104)+SUMIFS('Comp2016-2017 (3)'!$J$5:$J$300,'Comp2016-2017 (3)'!$B$5:$B$300,$D$6,'Comp2016-2017 (3)'!$R$5:$R$300,F104))</f>
        <v>0.60032063564738369</v>
      </c>
      <c r="J104" s="55"/>
    </row>
    <row r="105" spans="2:13" x14ac:dyDescent="0.25">
      <c r="B105" s="55"/>
      <c r="E105" s="38"/>
      <c r="F105" s="81">
        <v>2020</v>
      </c>
      <c r="G105" s="86">
        <f>(G45-H76)/(G45-H76+G76)</f>
        <v>0.38685040906377832</v>
      </c>
      <c r="H105" s="87">
        <f>(SUMIFS('Comp2016-2017 (3)'!$I$5:$I$300,'Comp2016-2017 (3)'!$B$5:$B$300,$D$6,'Comp2016-2017 (3)'!$R$5:$R$300,F105)-SUMIFS('Comp2016-2017 (3)'!$M$5:$M$300,'Comp2016-2017 (3)'!$B$5:$B$300,$D$6,'Comp2016-2017 (3)'!$R$5:$R$300,F105))/(SUMIFS('Comp2016-2017 (3)'!$I$5:$I$300,'Comp2016-2017 (3)'!$B$5:$B$300,$D$6,'Comp2016-2017 (3)'!$R$5:$R$300,F105)-SUMIFS('Comp2016-2017 (3)'!$M$5:$M$300,'Comp2016-2017 (3)'!$B$5:$B$300,$D$6,'Comp2016-2017 (3)'!$R$5:$R$300,F105)+SUMIFS('Comp2016-2017 (3)'!$J$5:$J$300,'Comp2016-2017 (3)'!$B$5:$B$300,$D$6,'Comp2016-2017 (3)'!$R$5:$R$300,F105))</f>
        <v>0.61394066493903532</v>
      </c>
      <c r="J105" s="55"/>
    </row>
    <row r="106" spans="2:13" x14ac:dyDescent="0.25">
      <c r="B106" s="55"/>
      <c r="E106" s="38"/>
      <c r="G106" s="274" t="s">
        <v>165</v>
      </c>
      <c r="H106" s="275"/>
      <c r="J106" s="55"/>
    </row>
    <row r="107" spans="2:13" x14ac:dyDescent="0.25">
      <c r="B107" s="55"/>
      <c r="E107" s="38"/>
      <c r="G107" s="276"/>
      <c r="H107" s="277"/>
      <c r="J107" s="55"/>
    </row>
    <row r="108" spans="2:13" x14ac:dyDescent="0.25">
      <c r="B108" s="55"/>
      <c r="E108" s="38"/>
      <c r="G108" s="276"/>
      <c r="H108" s="277"/>
      <c r="J108" s="55"/>
    </row>
    <row r="109" spans="2:13" x14ac:dyDescent="0.25">
      <c r="B109" s="55"/>
      <c r="E109" s="38"/>
      <c r="G109" s="276"/>
      <c r="H109" s="277"/>
      <c r="J109" s="55"/>
    </row>
    <row r="110" spans="2:13" x14ac:dyDescent="0.25">
      <c r="B110" s="55"/>
      <c r="E110" s="38"/>
      <c r="G110" s="276"/>
      <c r="H110" s="277"/>
      <c r="J110" s="55"/>
    </row>
    <row r="111" spans="2:13" x14ac:dyDescent="0.25">
      <c r="B111" s="55"/>
      <c r="E111" s="38"/>
      <c r="G111" s="278"/>
      <c r="H111" s="279"/>
      <c r="J111" s="55"/>
    </row>
    <row r="112" spans="2:13" x14ac:dyDescent="0.25">
      <c r="B112" s="55"/>
      <c r="J112" s="55"/>
    </row>
    <row r="113" spans="2:17" ht="18" x14ac:dyDescent="0.25">
      <c r="B113" s="55"/>
      <c r="D113" s="61" t="s">
        <v>120</v>
      </c>
      <c r="E113" s="61"/>
      <c r="F113" s="63"/>
      <c r="G113" s="63"/>
      <c r="H113" s="62" t="str">
        <f>$D$3</f>
        <v>47 - Meubles à base de bois</v>
      </c>
      <c r="J113" s="55"/>
    </row>
    <row r="114" spans="2:17" ht="76.5" customHeight="1" x14ac:dyDescent="0.25">
      <c r="B114" s="55"/>
      <c r="F114" s="81"/>
      <c r="G114" s="85" t="s">
        <v>167</v>
      </c>
      <c r="H114" s="82" t="str">
        <f>"Taux d'export dans l'activité "&amp;D6</f>
        <v>Taux d'export dans l'activité Production et transformation de produits bois</v>
      </c>
      <c r="J114" s="55"/>
    </row>
    <row r="115" spans="2:17" x14ac:dyDescent="0.25">
      <c r="B115" s="55"/>
      <c r="E115" s="38"/>
      <c r="F115" s="81">
        <v>2016</v>
      </c>
      <c r="G115" s="86">
        <f>H72/G41</f>
        <v>0.29329805667158182</v>
      </c>
      <c r="H115" s="86">
        <f>SUMIFS('Comp2016-2017 (3)'!$M$5:$M$300,'Comp2016-2017 (3)'!$B$5:$B$300,$D$6,'Comp2016-2017 (3)'!$R$5:$R$300,F115)/SUMIFS('Comp2016-2017 (3)'!$I$5:$I$300,'Comp2016-2017 (3)'!$B$5:$B$300,$D$6,'Comp2016-2017 (3)'!$R$5:$R$300,F115)</f>
        <v>0.2745625470769158</v>
      </c>
      <c r="J115" s="55"/>
    </row>
    <row r="116" spans="2:17" x14ac:dyDescent="0.25">
      <c r="B116" s="55"/>
      <c r="E116" s="38"/>
      <c r="F116" s="81">
        <v>2017</v>
      </c>
      <c r="G116" s="86">
        <f>H73/G42</f>
        <v>0.25019358219078575</v>
      </c>
      <c r="H116" s="86">
        <f>SUMIFS('Comp2016-2017 (3)'!$M$5:$M$300,'Comp2016-2017 (3)'!$B$5:$B$300,$D$6,'Comp2016-2017 (3)'!$R$5:$R$300,F116)/SUMIFS('Comp2016-2017 (3)'!$I$5:$I$300,'Comp2016-2017 (3)'!$B$5:$B$300,$D$6,'Comp2016-2017 (3)'!$R$5:$R$300,F116)</f>
        <v>0.26992861713029087</v>
      </c>
      <c r="J116" s="55"/>
    </row>
    <row r="117" spans="2:17" x14ac:dyDescent="0.25">
      <c r="B117" s="55"/>
      <c r="F117" s="81">
        <v>2018</v>
      </c>
      <c r="G117" s="86">
        <f>H74/G43</f>
        <v>0.26798207913135613</v>
      </c>
      <c r="H117" s="86">
        <f>SUMIFS('Comp2016-2017 (3)'!$M$5:$M$300,'Comp2016-2017 (3)'!$B$5:$B$300,$D$6,'Comp2016-2017 (3)'!$R$5:$R$300,F117)/SUMIFS('Comp2016-2017 (3)'!$I$5:$I$300,'Comp2016-2017 (3)'!$B$5:$B$300,$D$6,'Comp2016-2017 (3)'!$R$5:$R$300,F117)</f>
        <v>0.27637870527291675</v>
      </c>
      <c r="J117" s="55"/>
    </row>
    <row r="118" spans="2:17" x14ac:dyDescent="0.25">
      <c r="B118" s="55"/>
      <c r="F118" s="81">
        <v>2019</v>
      </c>
      <c r="G118" s="86">
        <f>H75/G44</f>
        <v>0.26816456489324331</v>
      </c>
      <c r="H118" s="86">
        <f>SUMIFS('Comp2016-2017 (3)'!$M$5:$M$300,'Comp2016-2017 (3)'!$B$5:$B$300,$D$6,'Comp2016-2017 (3)'!$R$5:$R$300,F118)/SUMIFS('Comp2016-2017 (3)'!$I$5:$I$300,'Comp2016-2017 (3)'!$B$5:$B$300,$D$6,'Comp2016-2017 (3)'!$R$5:$R$300,F118)</f>
        <v>0.26928014111103371</v>
      </c>
      <c r="J118" s="55"/>
    </row>
    <row r="119" spans="2:17" x14ac:dyDescent="0.25">
      <c r="B119" s="55"/>
      <c r="F119" s="81">
        <v>2020</v>
      </c>
      <c r="G119" s="86">
        <f>H76/G45</f>
        <v>0.25074156629771499</v>
      </c>
      <c r="H119" s="86">
        <f>SUMIFS('Comp2016-2017 (3)'!$M$5:$M$300,'Comp2016-2017 (3)'!$B$5:$B$300,$D$6,'Comp2016-2017 (3)'!$R$5:$R$300,F119)/SUMIFS('Comp2016-2017 (3)'!$I$5:$I$300,'Comp2016-2017 (3)'!$B$5:$B$300,$D$6,'Comp2016-2017 (3)'!$R$5:$R$300,F119)</f>
        <v>0.23685960397226735</v>
      </c>
      <c r="J119" s="55"/>
    </row>
    <row r="120" spans="2:17" x14ac:dyDescent="0.25">
      <c r="B120" s="55"/>
      <c r="J120" s="55"/>
    </row>
    <row r="121" spans="2:17" x14ac:dyDescent="0.25">
      <c r="B121" s="55"/>
      <c r="J121" s="55"/>
    </row>
    <row r="122" spans="2:17" x14ac:dyDescent="0.25">
      <c r="B122" s="55"/>
      <c r="G122" s="274" t="s">
        <v>166</v>
      </c>
      <c r="H122" s="275"/>
      <c r="J122" s="55"/>
    </row>
    <row r="123" spans="2:17" x14ac:dyDescent="0.25">
      <c r="B123" s="55"/>
      <c r="G123" s="276"/>
      <c r="H123" s="277"/>
      <c r="J123" s="55"/>
    </row>
    <row r="124" spans="2:17" x14ac:dyDescent="0.25">
      <c r="B124" s="55"/>
      <c r="G124" s="276"/>
      <c r="H124" s="277"/>
      <c r="J124" s="55"/>
    </row>
    <row r="125" spans="2:17" x14ac:dyDescent="0.25">
      <c r="B125" s="55"/>
      <c r="G125" s="278"/>
      <c r="H125" s="279"/>
      <c r="J125" s="55"/>
    </row>
    <row r="126" spans="2:17" x14ac:dyDescent="0.25">
      <c r="B126"/>
      <c r="J126"/>
      <c r="N126" s="177"/>
    </row>
    <row r="127" spans="2:17" ht="20.25" x14ac:dyDescent="0.25">
      <c r="B127" s="69"/>
      <c r="D127" s="64" t="s">
        <v>121</v>
      </c>
      <c r="E127" s="64"/>
      <c r="F127" s="64"/>
      <c r="G127" s="64"/>
      <c r="H127" s="65" t="str">
        <f>$D$3</f>
        <v>47 - Meubles à base de bois</v>
      </c>
      <c r="J127" s="69"/>
      <c r="N127" s="177">
        <f>SUM(N133:N186)</f>
        <v>631327.3243719131</v>
      </c>
      <c r="Q127" s="177">
        <f>SUM(Q133:Q186)</f>
        <v>50986.504646993191</v>
      </c>
    </row>
    <row r="128" spans="2:17" x14ac:dyDescent="0.25">
      <c r="B128" s="69"/>
      <c r="J128" s="69"/>
    </row>
    <row r="129" spans="2:19" x14ac:dyDescent="0.25">
      <c r="B129" s="69"/>
      <c r="D129" s="271" t="str">
        <f>IF(N127=0,"Cette branche n'a pas de consommation intermédiaire provenant de la filière bois","")</f>
        <v/>
      </c>
      <c r="J129" s="69"/>
      <c r="N129" s="270" t="s">
        <v>77</v>
      </c>
      <c r="O129" s="270"/>
      <c r="P129" s="270"/>
    </row>
    <row r="130" spans="2:19" x14ac:dyDescent="0.25">
      <c r="B130" s="69"/>
      <c r="D130" s="271"/>
      <c r="E130"/>
      <c r="J130" s="69"/>
      <c r="M130" s="176" t="s">
        <v>74</v>
      </c>
      <c r="N130" s="176" t="s">
        <v>77</v>
      </c>
      <c r="O130" s="176" t="s">
        <v>168</v>
      </c>
      <c r="P130" s="176" t="s">
        <v>52</v>
      </c>
      <c r="Q130" s="176" t="s">
        <v>76</v>
      </c>
      <c r="R130" s="176" t="s">
        <v>168</v>
      </c>
      <c r="S130" s="176" t="s">
        <v>52</v>
      </c>
    </row>
    <row r="131" spans="2:19" x14ac:dyDescent="0.25">
      <c r="B131" s="69"/>
      <c r="J131" s="69"/>
      <c r="M131" s="176" t="s">
        <v>54</v>
      </c>
      <c r="R131" s="177">
        <f>'Branche - valeurs'!H86</f>
        <v>1756646.9673718275</v>
      </c>
      <c r="S131" s="177">
        <f>'Branche - valeurs'!J86</f>
        <v>3950023.6547021815</v>
      </c>
    </row>
    <row r="132" spans="2:19" x14ac:dyDescent="0.25">
      <c r="B132" s="69"/>
      <c r="D132"/>
      <c r="E132"/>
      <c r="F132"/>
      <c r="J132" s="69"/>
      <c r="M132" s="176" t="s">
        <v>53</v>
      </c>
      <c r="R132" s="177">
        <f>'Branche - valeurs'!D12</f>
        <v>745389.98527900188</v>
      </c>
    </row>
    <row r="133" spans="2:19" x14ac:dyDescent="0.25">
      <c r="B133" s="69"/>
      <c r="D133"/>
      <c r="E133"/>
      <c r="F133"/>
      <c r="J133" s="69"/>
      <c r="M133" s="176" t="str">
        <f>'Branche - valeurs'!C27</f>
        <v>01 - Plants de pépinière</v>
      </c>
      <c r="N133" s="177">
        <f>IF('Branche - valeurs'!D27="",0,'Branche - valeurs'!D27)</f>
        <v>0</v>
      </c>
      <c r="O133" s="177">
        <f t="shared" ref="O133:O186" si="0">N133-P133</f>
        <v>0</v>
      </c>
      <c r="P133" s="177">
        <f>IF('Branche - valeurs'!F27="",0,'Branche - valeurs'!F27)</f>
        <v>0</v>
      </c>
      <c r="Q133" s="177">
        <f>IF('Branche - valeurs'!H27="",0,'Branche - valeurs'!H27)</f>
        <v>0</v>
      </c>
      <c r="R133" s="177">
        <f t="shared" ref="R133:R186" si="1">Q133-S133</f>
        <v>0</v>
      </c>
      <c r="S133" s="177">
        <f>IF('Branche - valeurs'!J27="",0,'Branche - valeurs'!J27)</f>
        <v>0</v>
      </c>
    </row>
    <row r="134" spans="2:19" x14ac:dyDescent="0.25">
      <c r="B134" s="69"/>
      <c r="D134"/>
      <c r="E134"/>
      <c r="F134"/>
      <c r="J134" s="69"/>
      <c r="M134" s="176" t="str">
        <f>'Branche - valeurs'!C28</f>
        <v>02 - Grumes et billons destinés au sciage, placage ou déroulage</v>
      </c>
      <c r="N134" s="177">
        <f>IF('Branche - valeurs'!D28="",0,'Branche - valeurs'!D28)</f>
        <v>0</v>
      </c>
      <c r="O134" s="177">
        <f t="shared" si="0"/>
        <v>0</v>
      </c>
      <c r="P134" s="177">
        <f>IF('Branche - valeurs'!F28="",0,'Branche - valeurs'!F28)</f>
        <v>0</v>
      </c>
      <c r="Q134" s="177">
        <f>IF('Branche - valeurs'!H28="",0,'Branche - valeurs'!H28)</f>
        <v>0</v>
      </c>
      <c r="R134" s="177">
        <f t="shared" si="1"/>
        <v>0</v>
      </c>
      <c r="S134" s="177">
        <f>IF('Branche - valeurs'!J28="",0,'Branche - valeurs'!J28)</f>
        <v>0</v>
      </c>
    </row>
    <row r="135" spans="2:19" x14ac:dyDescent="0.25">
      <c r="B135" s="69"/>
      <c r="D135"/>
      <c r="E135"/>
      <c r="F135"/>
      <c r="J135" s="69"/>
      <c r="M135" s="176" t="str">
        <f>'Branche - valeurs'!C29</f>
        <v>03 - Bois destinés à l'industrie</v>
      </c>
      <c r="N135" s="177">
        <f>IF('Branche - valeurs'!D29="",0,'Branche - valeurs'!D29)</f>
        <v>0</v>
      </c>
      <c r="O135" s="177">
        <f t="shared" si="0"/>
        <v>0</v>
      </c>
      <c r="P135" s="177">
        <f>IF('Branche - valeurs'!F29="",0,'Branche - valeurs'!F29)</f>
        <v>0</v>
      </c>
      <c r="Q135" s="177">
        <f>IF('Branche - valeurs'!H29="",0,'Branche - valeurs'!H29)</f>
        <v>0</v>
      </c>
      <c r="R135" s="177">
        <f t="shared" si="1"/>
        <v>0</v>
      </c>
      <c r="S135" s="177">
        <f>IF('Branche - valeurs'!J29="",0,'Branche - valeurs'!J29)</f>
        <v>0</v>
      </c>
    </row>
    <row r="136" spans="2:19" x14ac:dyDescent="0.25">
      <c r="B136" s="69"/>
      <c r="D136"/>
      <c r="E136"/>
      <c r="F136"/>
      <c r="J136" s="69"/>
      <c r="M136" s="176" t="str">
        <f>'Branche - valeurs'!C30</f>
        <v>04 - Bois destinés à l’énergie</v>
      </c>
      <c r="N136" s="177">
        <f>IF('Branche - valeurs'!D30="",0,'Branche - valeurs'!D30)</f>
        <v>0</v>
      </c>
      <c r="O136" s="177">
        <f t="shared" si="0"/>
        <v>0</v>
      </c>
      <c r="P136" s="177">
        <f>IF('Branche - valeurs'!F30="",0,'Branche - valeurs'!F30)</f>
        <v>0</v>
      </c>
      <c r="Q136" s="177">
        <f>IF('Branche - valeurs'!H30="",0,'Branche - valeurs'!H30)</f>
        <v>0</v>
      </c>
      <c r="R136" s="177">
        <f t="shared" si="1"/>
        <v>0</v>
      </c>
      <c r="S136" s="177">
        <f>IF('Branche - valeurs'!J30="",0,'Branche - valeurs'!J30)</f>
        <v>0</v>
      </c>
    </row>
    <row r="137" spans="2:19" x14ac:dyDescent="0.25">
      <c r="B137" s="69"/>
      <c r="D137"/>
      <c r="E137"/>
      <c r="F137"/>
      <c r="G137" s="57"/>
      <c r="J137" s="69"/>
      <c r="M137" s="176" t="str">
        <f>'Branche - valeurs'!C31</f>
        <v>05 - Travaux d'exploitation de bois et de sylviculture</v>
      </c>
      <c r="N137" s="177">
        <f>IF('Branche - valeurs'!D31="",0,'Branche - valeurs'!D31)</f>
        <v>0</v>
      </c>
      <c r="O137" s="177">
        <f t="shared" si="0"/>
        <v>0</v>
      </c>
      <c r="P137" s="177">
        <f>IF('Branche - valeurs'!F31="",0,'Branche - valeurs'!F31)</f>
        <v>0</v>
      </c>
      <c r="Q137" s="177">
        <f>IF('Branche - valeurs'!H31="",0,'Branche - valeurs'!H31)</f>
        <v>0</v>
      </c>
      <c r="R137" s="177">
        <f t="shared" si="1"/>
        <v>0</v>
      </c>
      <c r="S137" s="177">
        <f>IF('Branche - valeurs'!J31="",0,'Branche - valeurs'!J31)</f>
        <v>0</v>
      </c>
    </row>
    <row r="138" spans="2:19" x14ac:dyDescent="0.25">
      <c r="B138" s="69"/>
      <c r="D138"/>
      <c r="E138"/>
      <c r="F138"/>
      <c r="J138" s="69"/>
      <c r="M138" s="176" t="str">
        <f>'Branche - valeurs'!C32</f>
        <v>06 - Services des coopératives forestières</v>
      </c>
      <c r="N138" s="177">
        <f>IF('Branche - valeurs'!D32="",0,'Branche - valeurs'!D32)</f>
        <v>0</v>
      </c>
      <c r="O138" s="177">
        <f t="shared" si="0"/>
        <v>0</v>
      </c>
      <c r="P138" s="177">
        <f>IF('Branche - valeurs'!F32="",0,'Branche - valeurs'!F32)</f>
        <v>0</v>
      </c>
      <c r="Q138" s="177">
        <f>IF('Branche - valeurs'!H32="",0,'Branche - valeurs'!H32)</f>
        <v>0</v>
      </c>
      <c r="R138" s="177">
        <f t="shared" si="1"/>
        <v>0</v>
      </c>
      <c r="S138" s="177">
        <f>IF('Branche - valeurs'!J32="",0,'Branche - valeurs'!J32)</f>
        <v>0</v>
      </c>
    </row>
    <row r="139" spans="2:19" x14ac:dyDescent="0.25">
      <c r="B139" s="69"/>
      <c r="D139"/>
      <c r="E139"/>
      <c r="F139"/>
      <c r="J139" s="69"/>
      <c r="M139" s="176" t="str">
        <f>'Branche - valeurs'!C33</f>
        <v>07 - Textiles à base de bois</v>
      </c>
      <c r="N139" s="177">
        <f>IF('Branche - valeurs'!D33="",0,'Branche - valeurs'!D33)</f>
        <v>0</v>
      </c>
      <c r="O139" s="177">
        <f t="shared" si="0"/>
        <v>0</v>
      </c>
      <c r="P139" s="177">
        <f>IF('Branche - valeurs'!F33="",0,'Branche - valeurs'!F33)</f>
        <v>0</v>
      </c>
      <c r="Q139" s="177">
        <f>IF('Branche - valeurs'!H33="",0,'Branche - valeurs'!H33)</f>
        <v>0</v>
      </c>
      <c r="R139" s="177">
        <f t="shared" si="1"/>
        <v>0</v>
      </c>
      <c r="S139" s="177">
        <f>IF('Branche - valeurs'!J33="",0,'Branche - valeurs'!J33)</f>
        <v>0</v>
      </c>
    </row>
    <row r="140" spans="2:19" x14ac:dyDescent="0.25">
      <c r="B140" s="69"/>
      <c r="D140"/>
      <c r="E140"/>
      <c r="F140"/>
      <c r="J140" s="69"/>
      <c r="M140" s="176" t="str">
        <f>'Branche - valeurs'!C34</f>
        <v>08 - Sciages bruts de Chêne</v>
      </c>
      <c r="N140" s="177">
        <f>IF('Branche - valeurs'!D34="",0,'Branche - valeurs'!D34)</f>
        <v>109323.16323143701</v>
      </c>
      <c r="O140" s="177">
        <f t="shared" si="0"/>
        <v>86586.050628316705</v>
      </c>
      <c r="P140" s="177">
        <f>IF('Branche - valeurs'!F34="",0,'Branche - valeurs'!F34)</f>
        <v>22737.112603120298</v>
      </c>
      <c r="Q140" s="177">
        <f>IF('Branche - valeurs'!H34="",0,'Branche - valeurs'!H34)</f>
        <v>0</v>
      </c>
      <c r="R140" s="177">
        <f t="shared" si="1"/>
        <v>0</v>
      </c>
      <c r="S140" s="177">
        <f>IF('Branche - valeurs'!J34="",0,'Branche - valeurs'!J34)</f>
        <v>0</v>
      </c>
    </row>
    <row r="141" spans="2:19" x14ac:dyDescent="0.25">
      <c r="B141" s="69"/>
      <c r="D141"/>
      <c r="E141"/>
      <c r="F141"/>
      <c r="J141" s="69"/>
      <c r="M141" s="176" t="str">
        <f>'Branche - valeurs'!C35</f>
        <v>09 - Sciages bruts de Hêtre</v>
      </c>
      <c r="N141" s="177">
        <f>IF('Branche - valeurs'!D35="",0,'Branche - valeurs'!D35)</f>
        <v>4538.3707599542404</v>
      </c>
      <c r="O141" s="177">
        <f t="shared" si="0"/>
        <v>0.20614694929008692</v>
      </c>
      <c r="P141" s="177">
        <f>IF('Branche - valeurs'!F35="",0,'Branche - valeurs'!F35)</f>
        <v>4538.1646130049503</v>
      </c>
      <c r="Q141" s="177">
        <f>IF('Branche - valeurs'!H35="",0,'Branche - valeurs'!H35)</f>
        <v>0</v>
      </c>
      <c r="R141" s="177">
        <f t="shared" si="1"/>
        <v>0</v>
      </c>
      <c r="S141" s="177">
        <f>IF('Branche - valeurs'!J35="",0,'Branche - valeurs'!J35)</f>
        <v>0</v>
      </c>
    </row>
    <row r="142" spans="2:19" x14ac:dyDescent="0.25">
      <c r="B142" s="69"/>
      <c r="D142"/>
      <c r="E142"/>
      <c r="F142"/>
      <c r="J142" s="69"/>
      <c r="M142" s="176" t="str">
        <f>'Branche - valeurs'!C36</f>
        <v>10 - Sciages bruts d'autres feuillus tempérés</v>
      </c>
      <c r="N142" s="177">
        <f>IF('Branche - valeurs'!D36="",0,'Branche - valeurs'!D36)</f>
        <v>16192.8426634197</v>
      </c>
      <c r="O142" s="177">
        <f t="shared" si="0"/>
        <v>7461.1033123078396</v>
      </c>
      <c r="P142" s="177">
        <f>IF('Branche - valeurs'!F36="",0,'Branche - valeurs'!F36)</f>
        <v>8731.7393511118607</v>
      </c>
      <c r="Q142" s="177">
        <f>IF('Branche - valeurs'!H36="",0,'Branche - valeurs'!H36)</f>
        <v>0</v>
      </c>
      <c r="R142" s="177">
        <f t="shared" si="1"/>
        <v>0</v>
      </c>
      <c r="S142" s="177">
        <f>IF('Branche - valeurs'!J36="",0,'Branche - valeurs'!J36)</f>
        <v>0</v>
      </c>
    </row>
    <row r="143" spans="2:19" x14ac:dyDescent="0.25">
      <c r="B143" s="69"/>
      <c r="D143"/>
      <c r="E143"/>
      <c r="F143"/>
      <c r="J143" s="69"/>
      <c r="M143" s="176" t="str">
        <f>'Branche - valeurs'!C37</f>
        <v>11 - Sciages de feuillus tropicaux</v>
      </c>
      <c r="N143" s="177">
        <f>IF('Branche - valeurs'!D37="",0,'Branche - valeurs'!D37)</f>
        <v>8496.8934612705598</v>
      </c>
      <c r="O143" s="177">
        <f t="shared" si="0"/>
        <v>43.164306685779593</v>
      </c>
      <c r="P143" s="177">
        <f>IF('Branche - valeurs'!F37="",0,'Branche - valeurs'!F37)</f>
        <v>8453.7291545847802</v>
      </c>
      <c r="Q143" s="177">
        <f>IF('Branche - valeurs'!H37="",0,'Branche - valeurs'!H37)</f>
        <v>0</v>
      </c>
      <c r="R143" s="177">
        <f t="shared" si="1"/>
        <v>0</v>
      </c>
      <c r="S143" s="177">
        <f>IF('Branche - valeurs'!J37="",0,'Branche - valeurs'!J37)</f>
        <v>0</v>
      </c>
    </row>
    <row r="144" spans="2:19" x14ac:dyDescent="0.25">
      <c r="B144" s="69"/>
      <c r="D144"/>
      <c r="E144"/>
      <c r="F144"/>
      <c r="J144" s="69"/>
      <c r="M144" s="176" t="str">
        <f>'Branche - valeurs'!C38</f>
        <v>12 - Sciages bruts de sapin-épicéa</v>
      </c>
      <c r="N144" s="177">
        <f>IF('Branche - valeurs'!D38="",0,'Branche - valeurs'!D38)</f>
        <v>17823.1772598065</v>
      </c>
      <c r="O144" s="177">
        <f t="shared" si="0"/>
        <v>11663.14622989147</v>
      </c>
      <c r="P144" s="177">
        <f>IF('Branche - valeurs'!F38="",0,'Branche - valeurs'!F38)</f>
        <v>6160.0310299150296</v>
      </c>
      <c r="Q144" s="177">
        <f>IF('Branche - valeurs'!H38="",0,'Branche - valeurs'!H38)</f>
        <v>0</v>
      </c>
      <c r="R144" s="177">
        <f t="shared" si="1"/>
        <v>0</v>
      </c>
      <c r="S144" s="177">
        <f>IF('Branche - valeurs'!J38="",0,'Branche - valeurs'!J38)</f>
        <v>0</v>
      </c>
    </row>
    <row r="145" spans="2:19" x14ac:dyDescent="0.25">
      <c r="B145" s="69"/>
      <c r="D145"/>
      <c r="E145"/>
      <c r="F145"/>
      <c r="J145" s="69"/>
      <c r="M145" s="176" t="str">
        <f>'Branche - valeurs'!C39</f>
        <v>13 - Sciages bruts de Douglas</v>
      </c>
      <c r="N145" s="177">
        <f>IF('Branche - valeurs'!D39="",0,'Branche - valeurs'!D39)</f>
        <v>0</v>
      </c>
      <c r="O145" s="177">
        <f t="shared" si="0"/>
        <v>0</v>
      </c>
      <c r="P145" s="177">
        <f>IF('Branche - valeurs'!F39="",0,'Branche - valeurs'!F39)</f>
        <v>0</v>
      </c>
      <c r="Q145" s="177">
        <f>IF('Branche - valeurs'!H39="",0,'Branche - valeurs'!H39)</f>
        <v>0</v>
      </c>
      <c r="R145" s="177">
        <f t="shared" si="1"/>
        <v>0</v>
      </c>
      <c r="S145" s="177">
        <f>IF('Branche - valeurs'!J39="",0,'Branche - valeurs'!J39)</f>
        <v>0</v>
      </c>
    </row>
    <row r="146" spans="2:19" x14ac:dyDescent="0.25">
      <c r="B146" s="69"/>
      <c r="D146"/>
      <c r="E146"/>
      <c r="F146"/>
      <c r="J146" s="69"/>
      <c r="M146" s="176" t="str">
        <f>'Branche - valeurs'!C40</f>
        <v>14 - Sciages bruts d'autres résineux</v>
      </c>
      <c r="N146" s="177">
        <f>IF('Branche - valeurs'!D40="",0,'Branche - valeurs'!D40)</f>
        <v>1229.53421324434</v>
      </c>
      <c r="O146" s="177">
        <f t="shared" si="0"/>
        <v>267.70005804855998</v>
      </c>
      <c r="P146" s="177">
        <f>IF('Branche - valeurs'!F40="",0,'Branche - valeurs'!F40)</f>
        <v>961.83415519578</v>
      </c>
      <c r="Q146" s="177">
        <f>IF('Branche - valeurs'!H40="",0,'Branche - valeurs'!H40)</f>
        <v>0</v>
      </c>
      <c r="R146" s="177">
        <f t="shared" si="1"/>
        <v>0</v>
      </c>
      <c r="S146" s="177">
        <f>IF('Branche - valeurs'!J40="",0,'Branche - valeurs'!J40)</f>
        <v>0</v>
      </c>
    </row>
    <row r="147" spans="2:19" x14ac:dyDescent="0.25">
      <c r="B147" s="69"/>
      <c r="D147"/>
      <c r="E147"/>
      <c r="F147"/>
      <c r="J147" s="69"/>
      <c r="M147" s="176" t="str">
        <f>'Branche - valeurs'!C41</f>
        <v>15 - Sciages bruts de Pin maritime</v>
      </c>
      <c r="N147" s="177">
        <f>IF('Branche - valeurs'!D41="",0,'Branche - valeurs'!D41)</f>
        <v>0</v>
      </c>
      <c r="O147" s="177">
        <f t="shared" si="0"/>
        <v>0</v>
      </c>
      <c r="P147" s="177">
        <f>IF('Branche - valeurs'!F41="",0,'Branche - valeurs'!F41)</f>
        <v>0</v>
      </c>
      <c r="Q147" s="177">
        <f>IF('Branche - valeurs'!H41="",0,'Branche - valeurs'!H41)</f>
        <v>0</v>
      </c>
      <c r="R147" s="177">
        <f t="shared" si="1"/>
        <v>0</v>
      </c>
      <c r="S147" s="177">
        <f>IF('Branche - valeurs'!J41="",0,'Branche - valeurs'!J41)</f>
        <v>0</v>
      </c>
    </row>
    <row r="148" spans="2:19" x14ac:dyDescent="0.25">
      <c r="B148" s="69"/>
      <c r="D148"/>
      <c r="E148"/>
      <c r="F148"/>
      <c r="J148" s="69"/>
      <c r="M148" s="176" t="str">
        <f>'Branche - valeurs'!C42</f>
        <v>16 - Merrains</v>
      </c>
      <c r="N148" s="177">
        <f>IF('Branche - valeurs'!D42="",0,'Branche - valeurs'!D42)</f>
        <v>0</v>
      </c>
      <c r="O148" s="177">
        <f t="shared" si="0"/>
        <v>0</v>
      </c>
      <c r="P148" s="177">
        <f>IF('Branche - valeurs'!F42="",0,'Branche - valeurs'!F42)</f>
        <v>0</v>
      </c>
      <c r="Q148" s="177">
        <f>IF('Branche - valeurs'!H42="",0,'Branche - valeurs'!H42)</f>
        <v>0</v>
      </c>
      <c r="R148" s="177">
        <f t="shared" si="1"/>
        <v>0</v>
      </c>
      <c r="S148" s="177">
        <f>IF('Branche - valeurs'!J42="",0,'Branche - valeurs'!J42)</f>
        <v>0</v>
      </c>
    </row>
    <row r="149" spans="2:19" x14ac:dyDescent="0.25">
      <c r="B149" s="69"/>
      <c r="D149"/>
      <c r="E149"/>
      <c r="F149"/>
      <c r="J149" s="69"/>
      <c r="M149" s="176" t="str">
        <f>'Branche - valeurs'!C43</f>
        <v>17 - Autres types de sciages</v>
      </c>
      <c r="N149" s="177">
        <f>IF('Branche - valeurs'!D43="",0,'Branche - valeurs'!D43)</f>
        <v>0</v>
      </c>
      <c r="O149" s="177">
        <f t="shared" si="0"/>
        <v>0</v>
      </c>
      <c r="P149" s="177">
        <f>IF('Branche - valeurs'!F43="",0,'Branche - valeurs'!F43)</f>
        <v>0</v>
      </c>
      <c r="Q149" s="177">
        <f>IF('Branche - valeurs'!H43="",0,'Branche - valeurs'!H43)</f>
        <v>0</v>
      </c>
      <c r="R149" s="177">
        <f t="shared" si="1"/>
        <v>0</v>
      </c>
      <c r="S149" s="177">
        <f>IF('Branche - valeurs'!J43="",0,'Branche - valeurs'!J43)</f>
        <v>0</v>
      </c>
    </row>
    <row r="150" spans="2:19" x14ac:dyDescent="0.25">
      <c r="B150" s="69"/>
      <c r="D150"/>
      <c r="E150"/>
      <c r="F150"/>
      <c r="J150" s="69"/>
      <c r="M150" s="176" t="str">
        <f>'Branche - valeurs'!C44</f>
        <v>18 - Produits connexes du sciage destinés à la trituration</v>
      </c>
      <c r="N150" s="177">
        <f>IF('Branche - valeurs'!D44="",0,'Branche - valeurs'!D44)</f>
        <v>0</v>
      </c>
      <c r="O150" s="177">
        <f t="shared" si="0"/>
        <v>0</v>
      </c>
      <c r="P150" s="177">
        <f>IF('Branche - valeurs'!F44="",0,'Branche - valeurs'!F44)</f>
        <v>0</v>
      </c>
      <c r="Q150" s="177">
        <f>IF('Branche - valeurs'!H44="",0,'Branche - valeurs'!H44)</f>
        <v>0</v>
      </c>
      <c r="R150" s="177">
        <f t="shared" si="1"/>
        <v>0</v>
      </c>
      <c r="S150" s="177">
        <f>IF('Branche - valeurs'!J44="",0,'Branche - valeurs'!J44)</f>
        <v>0</v>
      </c>
    </row>
    <row r="151" spans="2:19" x14ac:dyDescent="0.25">
      <c r="B151" s="69"/>
      <c r="D151"/>
      <c r="E151"/>
      <c r="F151"/>
      <c r="J151" s="69"/>
      <c r="M151" s="176" t="str">
        <f>'Branche - valeurs'!C45</f>
        <v>19 - Produits connexes du sciage non destinés à la trituration</v>
      </c>
      <c r="N151" s="177">
        <f>IF('Branche - valeurs'!D45="",0,'Branche - valeurs'!D45)</f>
        <v>0</v>
      </c>
      <c r="O151" s="177">
        <f t="shared" si="0"/>
        <v>0</v>
      </c>
      <c r="P151" s="177">
        <f>IF('Branche - valeurs'!F45="",0,'Branche - valeurs'!F45)</f>
        <v>0</v>
      </c>
      <c r="Q151" s="177">
        <f>IF('Branche - valeurs'!H45="",0,'Branche - valeurs'!H45)</f>
        <v>0</v>
      </c>
      <c r="R151" s="177">
        <f t="shared" si="1"/>
        <v>0</v>
      </c>
      <c r="S151" s="177">
        <f>IF('Branche - valeurs'!J45="",0,'Branche - valeurs'!J45)</f>
        <v>0</v>
      </c>
    </row>
    <row r="152" spans="2:19" x14ac:dyDescent="0.25">
      <c r="B152" s="69"/>
      <c r="D152"/>
      <c r="E152"/>
      <c r="F152"/>
      <c r="J152" s="69"/>
      <c r="M152" s="176" t="str">
        <f>'Branche - valeurs'!C46</f>
        <v>20 - Produits rabotés</v>
      </c>
      <c r="N152" s="177">
        <f>IF('Branche - valeurs'!D46="",0,'Branche - valeurs'!D46)</f>
        <v>0</v>
      </c>
      <c r="O152" s="177">
        <f t="shared" si="0"/>
        <v>0</v>
      </c>
      <c r="P152" s="177">
        <f>IF('Branche - valeurs'!F46="",0,'Branche - valeurs'!F46)</f>
        <v>0</v>
      </c>
      <c r="Q152" s="177">
        <f>IF('Branche - valeurs'!H46="",0,'Branche - valeurs'!H46)</f>
        <v>0</v>
      </c>
      <c r="R152" s="177">
        <f t="shared" si="1"/>
        <v>0</v>
      </c>
      <c r="S152" s="177">
        <f>IF('Branche - valeurs'!J46="",0,'Branche - valeurs'!J46)</f>
        <v>0</v>
      </c>
    </row>
    <row r="153" spans="2:19" x14ac:dyDescent="0.25">
      <c r="B153" s="69"/>
      <c r="D153"/>
      <c r="E153"/>
      <c r="F153"/>
      <c r="J153" s="69"/>
      <c r="M153" s="176" t="str">
        <f>'Branche - valeurs'!C47</f>
        <v>20b - Produits collés</v>
      </c>
      <c r="N153" s="177">
        <f>IF('Branche - valeurs'!D47="",0,'Branche - valeurs'!D47)</f>
        <v>5631.7961424637597</v>
      </c>
      <c r="O153" s="177">
        <f t="shared" si="0"/>
        <v>0.74809581081990473</v>
      </c>
      <c r="P153" s="177">
        <f>IF('Branche - valeurs'!F47="",0,'Branche - valeurs'!F47)</f>
        <v>5631.0480466529398</v>
      </c>
      <c r="Q153" s="177">
        <f>IF('Branche - valeurs'!H47="",0,'Branche - valeurs'!H47)</f>
        <v>0</v>
      </c>
      <c r="R153" s="177">
        <f t="shared" si="1"/>
        <v>0</v>
      </c>
      <c r="S153" s="177">
        <f>IF('Branche - valeurs'!J47="",0,'Branche - valeurs'!J47)</f>
        <v>0</v>
      </c>
    </row>
    <row r="154" spans="2:19" x14ac:dyDescent="0.25">
      <c r="B154" s="69"/>
      <c r="D154"/>
      <c r="E154"/>
      <c r="J154" s="69"/>
      <c r="M154" s="176" t="str">
        <f>'Branche - valeurs'!C48</f>
        <v>29 - Produits imprégnés (bruts, sciés ou rabotés)</v>
      </c>
      <c r="N154" s="177">
        <f>IF('Branche - valeurs'!D48="",0,'Branche - valeurs'!D48)</f>
        <v>0</v>
      </c>
      <c r="O154" s="177">
        <f t="shared" si="0"/>
        <v>0</v>
      </c>
      <c r="P154" s="177">
        <f>IF('Branche - valeurs'!F48="",0,'Branche - valeurs'!F48)</f>
        <v>0</v>
      </c>
      <c r="Q154" s="177">
        <f>IF('Branche - valeurs'!H48="",0,'Branche - valeurs'!H48)</f>
        <v>0</v>
      </c>
      <c r="R154" s="177">
        <f t="shared" si="1"/>
        <v>0</v>
      </c>
      <c r="S154" s="177">
        <f>IF('Branche - valeurs'!J48="",0,'Branche - valeurs'!J48)</f>
        <v>0</v>
      </c>
    </row>
    <row r="155" spans="2:19" x14ac:dyDescent="0.25">
      <c r="B155" s="69"/>
      <c r="D155"/>
      <c r="E155"/>
      <c r="J155" s="69"/>
      <c r="M155" s="176" t="str">
        <f>'Branche - valeurs'!C49</f>
        <v>30 - Combustibles industriels à base de bois</v>
      </c>
      <c r="N155" s="177">
        <f>IF('Branche - valeurs'!D49="",0,'Branche - valeurs'!D49)</f>
        <v>0</v>
      </c>
      <c r="O155" s="177">
        <f t="shared" si="0"/>
        <v>0</v>
      </c>
      <c r="P155" s="177">
        <f>IF('Branche - valeurs'!F49="",0,'Branche - valeurs'!F49)</f>
        <v>0</v>
      </c>
      <c r="Q155" s="177">
        <f>IF('Branche - valeurs'!H49="",0,'Branche - valeurs'!H49)</f>
        <v>0</v>
      </c>
      <c r="R155" s="177">
        <f t="shared" si="1"/>
        <v>0</v>
      </c>
      <c r="S155" s="177">
        <f>IF('Branche - valeurs'!J49="",0,'Branche - valeurs'!J49)</f>
        <v>0</v>
      </c>
    </row>
    <row r="156" spans="2:19" x14ac:dyDescent="0.25">
      <c r="B156" s="69"/>
      <c r="D156"/>
      <c r="E156"/>
      <c r="J156" s="69"/>
      <c r="M156" s="176" t="str">
        <f>'Branche - valeurs'!C50</f>
        <v>31 - Placages et panneaux à base de bois</v>
      </c>
      <c r="N156" s="177">
        <f>IF('Branche - valeurs'!D50="",0,'Branche - valeurs'!D50)</f>
        <v>468091.54664031701</v>
      </c>
      <c r="O156" s="177">
        <f t="shared" si="0"/>
        <v>245722.487883177</v>
      </c>
      <c r="P156" s="177">
        <f>IF('Branche - valeurs'!F50="",0,'Branche - valeurs'!F50)</f>
        <v>222369.05875714001</v>
      </c>
      <c r="Q156" s="177">
        <f>IF('Branche - valeurs'!H50="",0,'Branche - valeurs'!H50)</f>
        <v>0</v>
      </c>
      <c r="R156" s="177">
        <f t="shared" si="1"/>
        <v>0</v>
      </c>
      <c r="S156" s="177">
        <f>IF('Branche - valeurs'!J50="",0,'Branche - valeurs'!J50)</f>
        <v>0</v>
      </c>
    </row>
    <row r="157" spans="2:19" x14ac:dyDescent="0.25">
      <c r="B157" s="69"/>
      <c r="D157"/>
      <c r="E157"/>
      <c r="J157" s="69"/>
      <c r="M157" s="176" t="str">
        <f>'Branche - valeurs'!C51</f>
        <v xml:space="preserve">32 - Produits finis à base de panneaux (plinthes, profilés de menuiserie…) </v>
      </c>
      <c r="N157" s="177">
        <f>IF('Branche - valeurs'!D51="",0,'Branche - valeurs'!D51)</f>
        <v>0</v>
      </c>
      <c r="O157" s="177">
        <f t="shared" si="0"/>
        <v>0</v>
      </c>
      <c r="P157" s="177">
        <f>IF('Branche - valeurs'!F51="",0,'Branche - valeurs'!F51)</f>
        <v>0</v>
      </c>
      <c r="Q157" s="177">
        <f>IF('Branche - valeurs'!H51="",0,'Branche - valeurs'!H51)</f>
        <v>0</v>
      </c>
      <c r="R157" s="177">
        <f t="shared" si="1"/>
        <v>0</v>
      </c>
      <c r="S157" s="177">
        <f>IF('Branche - valeurs'!J51="",0,'Branche - valeurs'!J51)</f>
        <v>0</v>
      </c>
    </row>
    <row r="158" spans="2:19" x14ac:dyDescent="0.25">
      <c r="B158" s="69"/>
      <c r="D158"/>
      <c r="E158"/>
      <c r="J158" s="69"/>
      <c r="M158" s="176" t="str">
        <f>'Branche - valeurs'!C52</f>
        <v>33 - Parquets contrecollés</v>
      </c>
      <c r="N158" s="177">
        <f>IF('Branche - valeurs'!D52="",0,'Branche - valeurs'!D52)</f>
        <v>0</v>
      </c>
      <c r="O158" s="177">
        <f t="shared" si="0"/>
        <v>0</v>
      </c>
      <c r="P158" s="177">
        <f>IF('Branche - valeurs'!F52="",0,'Branche - valeurs'!F52)</f>
        <v>0</v>
      </c>
      <c r="Q158" s="177">
        <f>IF('Branche - valeurs'!H52="",0,'Branche - valeurs'!H52)</f>
        <v>0</v>
      </c>
      <c r="R158" s="177">
        <f t="shared" si="1"/>
        <v>0</v>
      </c>
      <c r="S158" s="177">
        <f>IF('Branche - valeurs'!J52="",0,'Branche - valeurs'!J52)</f>
        <v>0</v>
      </c>
    </row>
    <row r="159" spans="2:19" x14ac:dyDescent="0.25">
      <c r="B159" s="69"/>
      <c r="D159"/>
      <c r="E159"/>
      <c r="J159" s="69"/>
      <c r="M159" s="176" t="str">
        <f>'Branche - valeurs'!C53</f>
        <v>34 - Charpentes</v>
      </c>
      <c r="N159" s="177">
        <f>IF('Branche - valeurs'!D53="",0,'Branche - valeurs'!D53)</f>
        <v>0</v>
      </c>
      <c r="O159" s="177">
        <f t="shared" si="0"/>
        <v>0</v>
      </c>
      <c r="P159" s="177">
        <f>IF('Branche - valeurs'!F53="",0,'Branche - valeurs'!F53)</f>
        <v>0</v>
      </c>
      <c r="Q159" s="177">
        <f>IF('Branche - valeurs'!H53="",0,'Branche - valeurs'!H53)</f>
        <v>5150.2324302413899</v>
      </c>
      <c r="R159" s="177">
        <f t="shared" si="1"/>
        <v>1677.0426994691898</v>
      </c>
      <c r="S159" s="177">
        <f>IF('Branche - valeurs'!J53="",0,'Branche - valeurs'!J53)</f>
        <v>3473.1897307722002</v>
      </c>
    </row>
    <row r="160" spans="2:19" x14ac:dyDescent="0.25">
      <c r="B160" s="69"/>
      <c r="D160"/>
      <c r="E160"/>
      <c r="J160" s="69"/>
      <c r="M160" s="176" t="str">
        <f>'Branche - valeurs'!C54</f>
        <v>35 - Menuiseries extérieures</v>
      </c>
      <c r="N160" s="177">
        <f>IF('Branche - valeurs'!D54="",0,'Branche - valeurs'!D54)</f>
        <v>0</v>
      </c>
      <c r="O160" s="177">
        <f t="shared" si="0"/>
        <v>0</v>
      </c>
      <c r="P160" s="177">
        <f>IF('Branche - valeurs'!F54="",0,'Branche - valeurs'!F54)</f>
        <v>0</v>
      </c>
      <c r="Q160" s="177">
        <f>IF('Branche - valeurs'!H54="",0,'Branche - valeurs'!H54)</f>
        <v>0</v>
      </c>
      <c r="R160" s="177">
        <f t="shared" si="1"/>
        <v>0</v>
      </c>
      <c r="S160" s="177">
        <f>IF('Branche - valeurs'!J54="",0,'Branche - valeurs'!J54)</f>
        <v>0</v>
      </c>
    </row>
    <row r="161" spans="2:19" x14ac:dyDescent="0.25">
      <c r="B161" s="69"/>
      <c r="D161"/>
      <c r="E161"/>
      <c r="J161" s="69"/>
      <c r="M161" s="176" t="str">
        <f>'Branche - valeurs'!C55</f>
        <v>36 - Menuiseries intérieures</v>
      </c>
      <c r="N161" s="177">
        <f>IF('Branche - valeurs'!D55="",0,'Branche - valeurs'!D55)</f>
        <v>0</v>
      </c>
      <c r="O161" s="177">
        <f t="shared" si="0"/>
        <v>0</v>
      </c>
      <c r="P161" s="177">
        <f>IF('Branche - valeurs'!F55="",0,'Branche - valeurs'!F55)</f>
        <v>0</v>
      </c>
      <c r="Q161" s="177">
        <f>IF('Branche - valeurs'!H55="",0,'Branche - valeurs'!H55)</f>
        <v>0</v>
      </c>
      <c r="R161" s="177">
        <f t="shared" si="1"/>
        <v>0</v>
      </c>
      <c r="S161" s="177">
        <f>IF('Branche - valeurs'!J55="",0,'Branche - valeurs'!J55)</f>
        <v>0</v>
      </c>
    </row>
    <row r="162" spans="2:19" x14ac:dyDescent="0.25">
      <c r="B162" s="69"/>
      <c r="D162"/>
      <c r="E162"/>
      <c r="J162" s="69"/>
      <c r="M162" s="176" t="str">
        <f>'Branche - valeurs'!C56</f>
        <v>37 - Emballages en bois (palette, ...)</v>
      </c>
      <c r="N162" s="177">
        <f>IF('Branche - valeurs'!D56="",0,'Branche - valeurs'!D56)</f>
        <v>0</v>
      </c>
      <c r="O162" s="177">
        <f t="shared" si="0"/>
        <v>0</v>
      </c>
      <c r="P162" s="177">
        <f>IF('Branche - valeurs'!F56="",0,'Branche - valeurs'!F56)</f>
        <v>0</v>
      </c>
      <c r="Q162" s="177">
        <f>IF('Branche - valeurs'!H56="",0,'Branche - valeurs'!H56)</f>
        <v>0</v>
      </c>
      <c r="R162" s="177">
        <f t="shared" si="1"/>
        <v>0</v>
      </c>
      <c r="S162" s="177">
        <f>IF('Branche - valeurs'!J56="",0,'Branche - valeurs'!J56)</f>
        <v>0</v>
      </c>
    </row>
    <row r="163" spans="2:19" x14ac:dyDescent="0.25">
      <c r="B163" s="69"/>
      <c r="D163"/>
      <c r="E163"/>
      <c r="J163" s="69"/>
      <c r="M163" s="176" t="str">
        <f>'Branche - valeurs'!C57</f>
        <v>38 - Futailles</v>
      </c>
      <c r="N163" s="177">
        <f>IF('Branche - valeurs'!D57="",0,'Branche - valeurs'!D57)</f>
        <v>0</v>
      </c>
      <c r="O163" s="177">
        <f t="shared" si="0"/>
        <v>0</v>
      </c>
      <c r="P163" s="177">
        <f>IF('Branche - valeurs'!F57="",0,'Branche - valeurs'!F57)</f>
        <v>0</v>
      </c>
      <c r="Q163" s="177">
        <f>IF('Branche - valeurs'!H57="",0,'Branche - valeurs'!H57)</f>
        <v>0</v>
      </c>
      <c r="R163" s="177">
        <f t="shared" si="1"/>
        <v>0</v>
      </c>
      <c r="S163" s="177">
        <f>IF('Branche - valeurs'!J57="",0,'Branche - valeurs'!J57)</f>
        <v>0</v>
      </c>
    </row>
    <row r="164" spans="2:19" x14ac:dyDescent="0.25">
      <c r="B164" s="69"/>
      <c r="D164"/>
      <c r="E164"/>
      <c r="J164" s="69"/>
      <c r="M164" s="176" t="str">
        <f>'Branche - valeurs'!C58</f>
        <v>39 - Coffrages pour le bétonnage, bardeaux en bois</v>
      </c>
      <c r="N164" s="177">
        <f>IF('Branche - valeurs'!D58="",0,'Branche - valeurs'!D58)</f>
        <v>0</v>
      </c>
      <c r="O164" s="177">
        <f t="shared" si="0"/>
        <v>0</v>
      </c>
      <c r="P164" s="177">
        <f>IF('Branche - valeurs'!F58="",0,'Branche - valeurs'!F58)</f>
        <v>0</v>
      </c>
      <c r="Q164" s="177">
        <f>IF('Branche - valeurs'!H58="",0,'Branche - valeurs'!H58)</f>
        <v>0</v>
      </c>
      <c r="R164" s="177">
        <f t="shared" si="1"/>
        <v>0</v>
      </c>
      <c r="S164" s="177">
        <f>IF('Branche - valeurs'!J58="",0,'Branche - valeurs'!J58)</f>
        <v>0</v>
      </c>
    </row>
    <row r="165" spans="2:19" x14ac:dyDescent="0.25">
      <c r="B165" s="69"/>
      <c r="D165"/>
      <c r="E165"/>
      <c r="J165" s="69"/>
      <c r="M165" s="176" t="str">
        <f>'Branche - valeurs'!C59</f>
        <v>40 - Produits en bois pour aménagement extérieur</v>
      </c>
      <c r="N165" s="177">
        <f>IF('Branche - valeurs'!D59="",0,'Branche - valeurs'!D59)</f>
        <v>0</v>
      </c>
      <c r="O165" s="177">
        <f t="shared" si="0"/>
        <v>0</v>
      </c>
      <c r="P165" s="177">
        <f>IF('Branche - valeurs'!F59="",0,'Branche - valeurs'!F59)</f>
        <v>0</v>
      </c>
      <c r="Q165" s="177">
        <f>IF('Branche - valeurs'!H59="",0,'Branche - valeurs'!H59)</f>
        <v>0</v>
      </c>
      <c r="R165" s="177">
        <f t="shared" si="1"/>
        <v>0</v>
      </c>
      <c r="S165" s="177">
        <f>IF('Branche - valeurs'!J59="",0,'Branche - valeurs'!J59)</f>
        <v>0</v>
      </c>
    </row>
    <row r="166" spans="2:19" x14ac:dyDescent="0.25">
      <c r="B166" s="69"/>
      <c r="D166"/>
      <c r="E166"/>
      <c r="J166" s="69"/>
      <c r="M166" s="176" t="str">
        <f>'Branche - valeurs'!C60</f>
        <v>41 - Objets divers en bois</v>
      </c>
      <c r="N166" s="177">
        <f>IF('Branche - valeurs'!D60="",0,'Branche - valeurs'!D60)</f>
        <v>0</v>
      </c>
      <c r="O166" s="177">
        <f t="shared" si="0"/>
        <v>0</v>
      </c>
      <c r="P166" s="177">
        <f>IF('Branche - valeurs'!F60="",0,'Branche - valeurs'!F60)</f>
        <v>0</v>
      </c>
      <c r="Q166" s="177">
        <f>IF('Branche - valeurs'!H60="",0,'Branche - valeurs'!H60)</f>
        <v>0</v>
      </c>
      <c r="R166" s="177">
        <f t="shared" si="1"/>
        <v>0</v>
      </c>
      <c r="S166" s="177">
        <f>IF('Branche - valeurs'!J60="",0,'Branche - valeurs'!J60)</f>
        <v>0</v>
      </c>
    </row>
    <row r="167" spans="2:19" x14ac:dyDescent="0.25">
      <c r="B167" s="69"/>
      <c r="D167"/>
      <c r="E167"/>
      <c r="J167" s="69"/>
      <c r="M167" s="176" t="str">
        <f>'Branche - valeurs'!C61</f>
        <v>42 - Objets en liège</v>
      </c>
      <c r="N167" s="177">
        <f>IF('Branche - valeurs'!D61="",0,'Branche - valeurs'!D61)</f>
        <v>0</v>
      </c>
      <c r="O167" s="177">
        <f t="shared" si="0"/>
        <v>0</v>
      </c>
      <c r="P167" s="177">
        <f>IF('Branche - valeurs'!F61="",0,'Branche - valeurs'!F61)</f>
        <v>0</v>
      </c>
      <c r="Q167" s="177">
        <f>IF('Branche - valeurs'!H61="",0,'Branche - valeurs'!H61)</f>
        <v>0</v>
      </c>
      <c r="R167" s="177">
        <f t="shared" si="1"/>
        <v>0</v>
      </c>
      <c r="S167" s="177">
        <f>IF('Branche - valeurs'!J61="",0,'Branche - valeurs'!J61)</f>
        <v>0</v>
      </c>
    </row>
    <row r="168" spans="2:19" x14ac:dyDescent="0.25">
      <c r="B168" s="69"/>
      <c r="D168"/>
      <c r="E168"/>
      <c r="J168" s="69"/>
      <c r="M168" s="176" t="str">
        <f>'Branche - valeurs'!C62</f>
        <v>43 - Pâte à papier</v>
      </c>
      <c r="N168" s="177">
        <f>IF('Branche - valeurs'!D62="",0,'Branche - valeurs'!D62)</f>
        <v>0</v>
      </c>
      <c r="O168" s="177">
        <f t="shared" si="0"/>
        <v>0</v>
      </c>
      <c r="P168" s="177">
        <f>IF('Branche - valeurs'!F62="",0,'Branche - valeurs'!F62)</f>
        <v>0</v>
      </c>
      <c r="Q168" s="177">
        <f>IF('Branche - valeurs'!H62="",0,'Branche - valeurs'!H62)</f>
        <v>0</v>
      </c>
      <c r="R168" s="177">
        <f t="shared" si="1"/>
        <v>0</v>
      </c>
      <c r="S168" s="177">
        <f>IF('Branche - valeurs'!J62="",0,'Branche - valeurs'!J62)</f>
        <v>0</v>
      </c>
    </row>
    <row r="169" spans="2:19" x14ac:dyDescent="0.25">
      <c r="B169" s="69"/>
      <c r="D169"/>
      <c r="E169"/>
      <c r="J169" s="69"/>
      <c r="M169" s="176" t="str">
        <f>'Branche - valeurs'!C63</f>
        <v>44 - Papier et carton</v>
      </c>
      <c r="N169" s="177">
        <f>IF('Branche - valeurs'!D63="",0,'Branche - valeurs'!D63)</f>
        <v>0</v>
      </c>
      <c r="O169" s="177">
        <f t="shared" si="0"/>
        <v>0</v>
      </c>
      <c r="P169" s="177">
        <f>IF('Branche - valeurs'!F63="",0,'Branche - valeurs'!F63)</f>
        <v>0</v>
      </c>
      <c r="Q169" s="177">
        <f>IF('Branche - valeurs'!H63="",0,'Branche - valeurs'!H63)</f>
        <v>0</v>
      </c>
      <c r="R169" s="177">
        <f t="shared" si="1"/>
        <v>0</v>
      </c>
      <c r="S169" s="177">
        <f>IF('Branche - valeurs'!J63="",0,'Branche - valeurs'!J63)</f>
        <v>0</v>
      </c>
    </row>
    <row r="170" spans="2:19" x14ac:dyDescent="0.25">
      <c r="B170" s="69"/>
      <c r="D170"/>
      <c r="E170"/>
      <c r="J170" s="69"/>
      <c r="M170" s="176" t="str">
        <f>'Branche - valeurs'!C64</f>
        <v>45 - Articles en papier ou en carton</v>
      </c>
      <c r="N170" s="177">
        <f>IF('Branche - valeurs'!D64="",0,'Branche - valeurs'!D64)</f>
        <v>0</v>
      </c>
      <c r="O170" s="177">
        <f t="shared" si="0"/>
        <v>0</v>
      </c>
      <c r="P170" s="177">
        <f>IF('Branche - valeurs'!F64="",0,'Branche - valeurs'!F64)</f>
        <v>0</v>
      </c>
      <c r="Q170" s="177">
        <f>IF('Branche - valeurs'!H64="",0,'Branche - valeurs'!H64)</f>
        <v>0</v>
      </c>
      <c r="R170" s="177">
        <f t="shared" si="1"/>
        <v>0</v>
      </c>
      <c r="S170" s="177">
        <f>IF('Branche - valeurs'!J64="",0,'Branche - valeurs'!J64)</f>
        <v>0</v>
      </c>
    </row>
    <row r="171" spans="2:19" x14ac:dyDescent="0.25">
      <c r="B171" s="69"/>
      <c r="D171"/>
      <c r="E171"/>
      <c r="J171" s="69"/>
      <c r="M171" s="176" t="str">
        <f>'Branche - valeurs'!C65</f>
        <v>46 - Produits de la chimie du bois</v>
      </c>
      <c r="N171" s="177">
        <f>IF('Branche - valeurs'!D65="",0,'Branche - valeurs'!D65)</f>
        <v>0</v>
      </c>
      <c r="O171" s="177">
        <f t="shared" si="0"/>
        <v>0</v>
      </c>
      <c r="P171" s="177">
        <f>IF('Branche - valeurs'!F65="",0,'Branche - valeurs'!F65)</f>
        <v>0</v>
      </c>
      <c r="Q171" s="177">
        <f>IF('Branche - valeurs'!H65="",0,'Branche - valeurs'!H65)</f>
        <v>0</v>
      </c>
      <c r="R171" s="177">
        <f t="shared" si="1"/>
        <v>0</v>
      </c>
      <c r="S171" s="177">
        <f>IF('Branche - valeurs'!J65="",0,'Branche - valeurs'!J65)</f>
        <v>0</v>
      </c>
    </row>
    <row r="172" spans="2:19" x14ac:dyDescent="0.25">
      <c r="B172" s="69"/>
      <c r="D172"/>
      <c r="E172"/>
      <c r="J172" s="69"/>
      <c r="M172" s="176" t="str">
        <f>'Branche - valeurs'!C66</f>
        <v>47 - Meubles à base de bois</v>
      </c>
      <c r="N172" s="177">
        <f>IF('Branche - valeurs'!D66="",0,'Branche - valeurs'!D66)</f>
        <v>0</v>
      </c>
      <c r="O172" s="177">
        <f t="shared" si="0"/>
        <v>0</v>
      </c>
      <c r="P172" s="177">
        <f>IF('Branche - valeurs'!F66="",0,'Branche - valeurs'!F66)</f>
        <v>0</v>
      </c>
      <c r="Q172" s="177">
        <f>IF('Branche - valeurs'!H66="",0,'Branche - valeurs'!H66)</f>
        <v>0</v>
      </c>
      <c r="R172" s="177">
        <f t="shared" si="1"/>
        <v>0</v>
      </c>
      <c r="S172" s="177">
        <f>IF('Branche - valeurs'!J66="",0,'Branche - valeurs'!J66)</f>
        <v>0</v>
      </c>
    </row>
    <row r="173" spans="2:19" x14ac:dyDescent="0.25">
      <c r="B173" s="69"/>
      <c r="D173"/>
      <c r="E173"/>
      <c r="J173" s="69"/>
      <c r="M173" s="176" t="str">
        <f>'Branche - valeurs'!C67</f>
        <v>48 - Autres produits manufacturiés (instruments de musique, jeux et jouets…)</v>
      </c>
      <c r="N173" s="177">
        <f>IF('Branche - valeurs'!D67="",0,'Branche - valeurs'!D67)</f>
        <v>0</v>
      </c>
      <c r="O173" s="177">
        <f t="shared" si="0"/>
        <v>0</v>
      </c>
      <c r="P173" s="177">
        <f>IF('Branche - valeurs'!F67="",0,'Branche - valeurs'!F67)</f>
        <v>0</v>
      </c>
      <c r="Q173" s="177">
        <f>IF('Branche - valeurs'!H67="",0,'Branche - valeurs'!H67)</f>
        <v>0</v>
      </c>
      <c r="R173" s="177">
        <f t="shared" si="1"/>
        <v>0</v>
      </c>
      <c r="S173" s="177">
        <f>IF('Branche - valeurs'!J67="",0,'Branche - valeurs'!J67)</f>
        <v>0</v>
      </c>
    </row>
    <row r="174" spans="2:19" x14ac:dyDescent="0.25">
      <c r="B174" s="69"/>
      <c r="D174"/>
      <c r="E174"/>
      <c r="J174" s="69"/>
      <c r="M174" s="176" t="str">
        <f>'Branche - valeurs'!C68</f>
        <v>49 - Electricité et chaleur issues de la combustion de bois</v>
      </c>
      <c r="N174" s="177">
        <f>IF('Branche - valeurs'!D68="",0,'Branche - valeurs'!D68)</f>
        <v>0</v>
      </c>
      <c r="O174" s="177">
        <f t="shared" si="0"/>
        <v>0</v>
      </c>
      <c r="P174" s="177">
        <f>IF('Branche - valeurs'!F68="",0,'Branche - valeurs'!F68)</f>
        <v>0</v>
      </c>
      <c r="Q174" s="177">
        <f>IF('Branche - valeurs'!H68="",0,'Branche - valeurs'!H68)</f>
        <v>0</v>
      </c>
      <c r="R174" s="177">
        <f t="shared" si="1"/>
        <v>0</v>
      </c>
      <c r="S174" s="177">
        <f>IF('Branche - valeurs'!J68="",0,'Branche - valeurs'!J68)</f>
        <v>0</v>
      </c>
    </row>
    <row r="175" spans="2:19" x14ac:dyDescent="0.25">
      <c r="B175" s="69"/>
      <c r="D175"/>
      <c r="E175"/>
      <c r="J175" s="69"/>
      <c r="M175" s="176" t="str">
        <f>'Branche - valeurs'!C69</f>
        <v>50 - Bois recyclés</v>
      </c>
      <c r="N175" s="177">
        <f>IF('Branche - valeurs'!D69="",0,'Branche - valeurs'!D69)</f>
        <v>0</v>
      </c>
      <c r="O175" s="177">
        <f t="shared" si="0"/>
        <v>0</v>
      </c>
      <c r="P175" s="177">
        <f>IF('Branche - valeurs'!F69="",0,'Branche - valeurs'!F69)</f>
        <v>0</v>
      </c>
      <c r="Q175" s="177">
        <f>IF('Branche - valeurs'!H69="",0,'Branche - valeurs'!H69)</f>
        <v>0</v>
      </c>
      <c r="R175" s="177">
        <f t="shared" si="1"/>
        <v>0</v>
      </c>
      <c r="S175" s="177">
        <f>IF('Branche - valeurs'!J69="",0,'Branche - valeurs'!J69)</f>
        <v>0</v>
      </c>
    </row>
    <row r="176" spans="2:19" x14ac:dyDescent="0.25">
      <c r="B176" s="69"/>
      <c r="D176"/>
      <c r="E176"/>
      <c r="J176" s="69"/>
      <c r="M176" s="176" t="str">
        <f>'Branche - valeurs'!C70</f>
        <v>51 - Promotion immobilière de bâtiments et ouvrages en bois</v>
      </c>
      <c r="N176" s="177">
        <f>IF('Branche - valeurs'!D70="",0,'Branche - valeurs'!D70)</f>
        <v>0</v>
      </c>
      <c r="O176" s="177">
        <f t="shared" si="0"/>
        <v>0</v>
      </c>
      <c r="P176" s="177">
        <f>IF('Branche - valeurs'!F70="",0,'Branche - valeurs'!F70)</f>
        <v>0</v>
      </c>
      <c r="Q176" s="177">
        <f>IF('Branche - valeurs'!H70="",0,'Branche - valeurs'!H70)</f>
        <v>0</v>
      </c>
      <c r="R176" s="177">
        <f t="shared" si="1"/>
        <v>0</v>
      </c>
      <c r="S176" s="177">
        <f>IF('Branche - valeurs'!J70="",0,'Branche - valeurs'!J70)</f>
        <v>0</v>
      </c>
    </row>
    <row r="177" spans="2:19" x14ac:dyDescent="0.25">
      <c r="B177" s="69"/>
      <c r="D177"/>
      <c r="E177"/>
      <c r="J177" s="69"/>
      <c r="M177" s="176" t="str">
        <f>'Branche - valeurs'!C71</f>
        <v>52 - Génie civil</v>
      </c>
      <c r="N177" s="177">
        <f>IF('Branche - valeurs'!D71="",0,'Branche - valeurs'!D71)</f>
        <v>0</v>
      </c>
      <c r="O177" s="177">
        <f t="shared" si="0"/>
        <v>0</v>
      </c>
      <c r="P177" s="177">
        <f>IF('Branche - valeurs'!F71="",0,'Branche - valeurs'!F71)</f>
        <v>0</v>
      </c>
      <c r="Q177" s="177">
        <f>IF('Branche - valeurs'!H71="",0,'Branche - valeurs'!H71)</f>
        <v>0</v>
      </c>
      <c r="R177" s="177">
        <f t="shared" si="1"/>
        <v>0</v>
      </c>
      <c r="S177" s="177">
        <f>IF('Branche - valeurs'!J71="",0,'Branche - valeurs'!J71)</f>
        <v>0</v>
      </c>
    </row>
    <row r="178" spans="2:19" x14ac:dyDescent="0.25">
      <c r="B178" s="69"/>
      <c r="D178"/>
      <c r="E178"/>
      <c r="J178" s="69"/>
      <c r="M178" s="176" t="str">
        <f>'Branche - valeurs'!C72</f>
        <v>53 - Travaux d'isolation</v>
      </c>
      <c r="N178" s="177">
        <f>IF('Branche - valeurs'!D72="",0,'Branche - valeurs'!D72)</f>
        <v>0</v>
      </c>
      <c r="O178" s="177">
        <f t="shared" si="0"/>
        <v>0</v>
      </c>
      <c r="P178" s="177">
        <f>IF('Branche - valeurs'!F72="",0,'Branche - valeurs'!F72)</f>
        <v>0</v>
      </c>
      <c r="Q178" s="177">
        <f>IF('Branche - valeurs'!H72="",0,'Branche - valeurs'!H72)</f>
        <v>0</v>
      </c>
      <c r="R178" s="177">
        <f t="shared" si="1"/>
        <v>0</v>
      </c>
      <c r="S178" s="177">
        <f>IF('Branche - valeurs'!J72="",0,'Branche - valeurs'!J72)</f>
        <v>0</v>
      </c>
    </row>
    <row r="179" spans="2:19" x14ac:dyDescent="0.25">
      <c r="B179" s="69"/>
      <c r="D179"/>
      <c r="E179"/>
      <c r="J179" s="69"/>
      <c r="M179" s="176" t="str">
        <f>'Branche - valeurs'!C73</f>
        <v>54 - Travaux de menuiserie bois</v>
      </c>
      <c r="N179" s="177">
        <f>IF('Branche - valeurs'!D73="",0,'Branche - valeurs'!D73)</f>
        <v>0</v>
      </c>
      <c r="O179" s="177">
        <f t="shared" si="0"/>
        <v>0</v>
      </c>
      <c r="P179" s="177">
        <f>IF('Branche - valeurs'!F73="",0,'Branche - valeurs'!F73)</f>
        <v>0</v>
      </c>
      <c r="Q179" s="177">
        <f>IF('Branche - valeurs'!H73="",0,'Branche - valeurs'!H73)</f>
        <v>0</v>
      </c>
      <c r="R179" s="177">
        <f t="shared" si="1"/>
        <v>0</v>
      </c>
      <c r="S179" s="177">
        <f>IF('Branche - valeurs'!J73="",0,'Branche - valeurs'!J73)</f>
        <v>0</v>
      </c>
    </row>
    <row r="180" spans="2:19" x14ac:dyDescent="0.25">
      <c r="B180" s="69"/>
      <c r="D180"/>
      <c r="E180"/>
      <c r="J180" s="69"/>
      <c r="M180" s="176" t="str">
        <f>'Branche - valeurs'!C74</f>
        <v>55 - Agencement de lieux de vente</v>
      </c>
      <c r="N180" s="177">
        <f>IF('Branche - valeurs'!D74="",0,'Branche - valeurs'!D74)</f>
        <v>0</v>
      </c>
      <c r="O180" s="177">
        <f t="shared" si="0"/>
        <v>0</v>
      </c>
      <c r="P180" s="177">
        <f>IF('Branche - valeurs'!F74="",0,'Branche - valeurs'!F74)</f>
        <v>0</v>
      </c>
      <c r="Q180" s="177">
        <f>IF('Branche - valeurs'!H74="",0,'Branche - valeurs'!H74)</f>
        <v>45836.2722167518</v>
      </c>
      <c r="R180" s="177">
        <f t="shared" si="1"/>
        <v>11007.099159275604</v>
      </c>
      <c r="S180" s="177">
        <f>IF('Branche - valeurs'!J74="",0,'Branche - valeurs'!J74)</f>
        <v>34829.173057476197</v>
      </c>
    </row>
    <row r="181" spans="2:19" x14ac:dyDescent="0.25">
      <c r="B181" s="69"/>
      <c r="D181"/>
      <c r="E181"/>
      <c r="J181" s="69"/>
      <c r="M181" s="176" t="str">
        <f>'Branche - valeurs'!C75</f>
        <v>56 - Travaux de revêtement des sols et des murs</v>
      </c>
      <c r="N181" s="177">
        <f>IF('Branche - valeurs'!D75="",0,'Branche - valeurs'!D75)</f>
        <v>0</v>
      </c>
      <c r="O181" s="177">
        <f t="shared" si="0"/>
        <v>0</v>
      </c>
      <c r="P181" s="177">
        <f>IF('Branche - valeurs'!F75="",0,'Branche - valeurs'!F75)</f>
        <v>0</v>
      </c>
      <c r="Q181" s="177">
        <f>IF('Branche - valeurs'!H75="",0,'Branche - valeurs'!H75)</f>
        <v>0</v>
      </c>
      <c r="R181" s="177">
        <f t="shared" si="1"/>
        <v>0</v>
      </c>
      <c r="S181" s="177">
        <f>IF('Branche - valeurs'!J75="",0,'Branche - valeurs'!J75)</f>
        <v>0</v>
      </c>
    </row>
    <row r="182" spans="2:19" x14ac:dyDescent="0.25">
      <c r="B182" s="69"/>
      <c r="D182"/>
      <c r="E182"/>
      <c r="J182" s="69"/>
      <c r="M182" s="176" t="str">
        <f>'Branche - valeurs'!C76</f>
        <v>57 - Travaux de charpente</v>
      </c>
      <c r="N182" s="177">
        <f>IF('Branche - valeurs'!D76="",0,'Branche - valeurs'!D76)</f>
        <v>0</v>
      </c>
      <c r="O182" s="177">
        <f t="shared" si="0"/>
        <v>0</v>
      </c>
      <c r="P182" s="177">
        <f>IF('Branche - valeurs'!F76="",0,'Branche - valeurs'!F76)</f>
        <v>0</v>
      </c>
      <c r="Q182" s="177">
        <f>IF('Branche - valeurs'!H76="",0,'Branche - valeurs'!H76)</f>
        <v>0</v>
      </c>
      <c r="R182" s="177">
        <f t="shared" si="1"/>
        <v>0</v>
      </c>
      <c r="S182" s="177">
        <f>IF('Branche - valeurs'!J76="",0,'Branche - valeurs'!J76)</f>
        <v>0</v>
      </c>
    </row>
    <row r="183" spans="2:19" x14ac:dyDescent="0.25">
      <c r="B183" s="69"/>
      <c r="D183"/>
      <c r="E183"/>
      <c r="J183" s="69"/>
      <c r="M183" s="176" t="str">
        <f>'Branche - valeurs'!C77</f>
        <v>58 - Travaux de couverture par éléments</v>
      </c>
      <c r="N183" s="177">
        <f>IF('Branche - valeurs'!D77="",0,'Branche - valeurs'!D77)</f>
        <v>0</v>
      </c>
      <c r="O183" s="177">
        <f t="shared" si="0"/>
        <v>0</v>
      </c>
      <c r="P183" s="177">
        <f>IF('Branche - valeurs'!F77="",0,'Branche - valeurs'!F77)</f>
        <v>0</v>
      </c>
      <c r="Q183" s="177">
        <f>IF('Branche - valeurs'!H77="",0,'Branche - valeurs'!H77)</f>
        <v>0</v>
      </c>
      <c r="R183" s="177">
        <f t="shared" si="1"/>
        <v>0</v>
      </c>
      <c r="S183" s="177">
        <f>IF('Branche - valeurs'!J77="",0,'Branche - valeurs'!J77)</f>
        <v>0</v>
      </c>
    </row>
    <row r="184" spans="2:19" x14ac:dyDescent="0.25">
      <c r="B184" s="69"/>
      <c r="D184"/>
      <c r="E184"/>
      <c r="J184" s="69"/>
      <c r="M184" s="176" t="str">
        <f>'Branche - valeurs'!C78</f>
        <v>59 - Travaux de maçonnerie générale et gros œuvre de bâtiment</v>
      </c>
      <c r="N184" s="177">
        <f>IF('Branche - valeurs'!D78="",0,'Branche - valeurs'!D78)</f>
        <v>0</v>
      </c>
      <c r="O184" s="177">
        <f t="shared" si="0"/>
        <v>0</v>
      </c>
      <c r="P184" s="177">
        <f>IF('Branche - valeurs'!F78="",0,'Branche - valeurs'!F78)</f>
        <v>0</v>
      </c>
      <c r="Q184" s="177">
        <f>IF('Branche - valeurs'!H78="",0,'Branche - valeurs'!H78)</f>
        <v>0</v>
      </c>
      <c r="R184" s="177">
        <f t="shared" si="1"/>
        <v>0</v>
      </c>
      <c r="S184" s="177">
        <f>IF('Branche - valeurs'!J78="",0,'Branche - valeurs'!J78)</f>
        <v>0</v>
      </c>
    </row>
    <row r="185" spans="2:19" x14ac:dyDescent="0.25">
      <c r="B185" s="69"/>
      <c r="D185"/>
      <c r="E185"/>
      <c r="F185" s="39"/>
      <c r="G185" s="39"/>
      <c r="J185" s="69"/>
      <c r="M185" s="176" t="str">
        <f>'Branche - valeurs'!C79</f>
        <v>60 - Travaux d'installation de chauffage au bois</v>
      </c>
      <c r="N185" s="177">
        <f>IF('Branche - valeurs'!D79="",0,'Branche - valeurs'!D79)</f>
        <v>0</v>
      </c>
      <c r="O185" s="177">
        <f t="shared" si="0"/>
        <v>0</v>
      </c>
      <c r="P185" s="177">
        <f>IF('Branche - valeurs'!F79="",0,'Branche - valeurs'!F79)</f>
        <v>0</v>
      </c>
      <c r="Q185" s="177">
        <f>IF('Branche - valeurs'!H79="",0,'Branche - valeurs'!H79)</f>
        <v>0</v>
      </c>
      <c r="R185" s="177">
        <f t="shared" si="1"/>
        <v>0</v>
      </c>
      <c r="S185" s="177">
        <f>IF('Branche - valeurs'!J79="",0,'Branche - valeurs'!J79)</f>
        <v>0</v>
      </c>
    </row>
    <row r="186" spans="2:19" x14ac:dyDescent="0.25">
      <c r="D186"/>
      <c r="E186"/>
      <c r="F186" s="17"/>
      <c r="G186" s="17"/>
      <c r="M186" s="176" t="str">
        <f>'Branche - valeurs'!C80</f>
        <v>61 - Commerce de gros de produits bois</v>
      </c>
      <c r="N186" s="177">
        <f>IF('Branche - valeurs'!D80="",0,'Branche - valeurs'!D80)</f>
        <v>0</v>
      </c>
      <c r="O186" s="177">
        <f t="shared" si="0"/>
        <v>0</v>
      </c>
      <c r="P186" s="177">
        <f>IF('Branche - valeurs'!F80="",0,'Branche - valeurs'!F80)</f>
        <v>0</v>
      </c>
      <c r="Q186" s="177">
        <f>IF('Branche - valeurs'!H80="",0,'Branche - valeurs'!H80)</f>
        <v>0</v>
      </c>
      <c r="R186" s="177">
        <f t="shared" si="1"/>
        <v>0</v>
      </c>
      <c r="S186" s="177">
        <f>IF('Branche - valeurs'!J80="",0,'Branche - valeurs'!J80)</f>
        <v>0</v>
      </c>
    </row>
    <row r="187" spans="2:19" x14ac:dyDescent="0.25">
      <c r="D187"/>
      <c r="E187"/>
      <c r="F187" s="17"/>
      <c r="G187" s="17"/>
      <c r="M187" s="176" t="str">
        <f>'Branche - valeurs'!C81</f>
        <v>62 - Commerce de détail de produits bois</v>
      </c>
      <c r="N187" s="177">
        <f>IF('Branche - valeurs'!D81="",0,'Branche - valeurs'!D81)</f>
        <v>0</v>
      </c>
      <c r="O187" s="177">
        <f t="shared" ref="O187:O189" si="2">N187-P187</f>
        <v>0</v>
      </c>
      <c r="P187" s="177">
        <f>IF('Branche - valeurs'!F81="",0,'Branche - valeurs'!F81)</f>
        <v>0</v>
      </c>
      <c r="Q187" s="177">
        <f>IF('Branche - valeurs'!H81="",0,'Branche - valeurs'!H81)</f>
        <v>0</v>
      </c>
      <c r="R187" s="177">
        <f t="shared" ref="R187:R189" si="3">Q187-S187</f>
        <v>0</v>
      </c>
      <c r="S187" s="177">
        <f>IF('Branche - valeurs'!J81="",0,'Branche - valeurs'!J81)</f>
        <v>0</v>
      </c>
    </row>
    <row r="188" spans="2:19" x14ac:dyDescent="0.25">
      <c r="D188"/>
      <c r="E188"/>
      <c r="F188" s="17"/>
      <c r="M188" s="176" t="str">
        <f>'Branche - valeurs'!C82</f>
        <v>63 - Transports de bois à partir de la forêt</v>
      </c>
      <c r="N188" s="177">
        <f>IF('Branche - valeurs'!D82="",0,'Branche - valeurs'!D82)</f>
        <v>0</v>
      </c>
      <c r="O188" s="177">
        <f t="shared" si="2"/>
        <v>0</v>
      </c>
      <c r="P188" s="177">
        <f>IF('Branche - valeurs'!F82="",0,'Branche - valeurs'!F82)</f>
        <v>0</v>
      </c>
      <c r="Q188" s="177">
        <f>IF('Branche - valeurs'!H82="",0,'Branche - valeurs'!H82)</f>
        <v>0</v>
      </c>
      <c r="R188" s="177">
        <f t="shared" si="3"/>
        <v>0</v>
      </c>
      <c r="S188" s="177">
        <f>IF('Branche - valeurs'!J82="",0,'Branche - valeurs'!J82)</f>
        <v>0</v>
      </c>
    </row>
    <row r="189" spans="2:19" x14ac:dyDescent="0.25">
      <c r="M189" s="176" t="str">
        <f>'Branche - valeurs'!C83</f>
        <v>64 - Divers services de support à la filière</v>
      </c>
      <c r="N189" s="177">
        <f>IF('Branche - valeurs'!D83="",0,'Branche - valeurs'!D83)</f>
        <v>0</v>
      </c>
      <c r="O189" s="177">
        <f t="shared" si="2"/>
        <v>0</v>
      </c>
      <c r="P189" s="177">
        <f>IF('Branche - valeurs'!F83="",0,'Branche - valeurs'!F83)</f>
        <v>0</v>
      </c>
      <c r="Q189" s="177">
        <f>IF('Branche - valeurs'!H83="",0,'Branche - valeurs'!H83)</f>
        <v>0</v>
      </c>
      <c r="R189" s="177">
        <f t="shared" si="3"/>
        <v>0</v>
      </c>
      <c r="S189" s="177">
        <f>IF('Branche - valeurs'!J83="",0,'Branche - valeurs'!J83)</f>
        <v>0</v>
      </c>
    </row>
    <row r="190" spans="2:19" x14ac:dyDescent="0.25">
      <c r="N190" s="177"/>
      <c r="O190" s="177"/>
      <c r="P190" s="177"/>
      <c r="Q190" s="177"/>
      <c r="R190" s="177"/>
      <c r="S190" s="177"/>
    </row>
  </sheetData>
  <mergeCells count="14">
    <mergeCell ref="D1:H1"/>
    <mergeCell ref="G64:H68"/>
    <mergeCell ref="D3:H3"/>
    <mergeCell ref="D6:H6"/>
    <mergeCell ref="D2:E2"/>
    <mergeCell ref="D7:H7"/>
    <mergeCell ref="N129:P129"/>
    <mergeCell ref="D129:D130"/>
    <mergeCell ref="D9:H9"/>
    <mergeCell ref="D53:H53"/>
    <mergeCell ref="G92:H97"/>
    <mergeCell ref="G80:H82"/>
    <mergeCell ref="G106:H111"/>
    <mergeCell ref="G122:H125"/>
  </mergeCells>
  <conditionalFormatting sqref="G80">
    <cfRule type="containsText" dxfId="13" priority="1" operator="containsText" text="Le">
      <formula>NOT(ISERROR(SEARCH("Le",G80)))</formula>
    </cfRule>
  </conditionalFormatting>
  <pageMargins left="0.7" right="0.7" top="0.75" bottom="0.75" header="0.3" footer="0.3"/>
  <pageSetup paperSize="9"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4"/>
  <dimension ref="A1:AO93"/>
  <sheetViews>
    <sheetView topLeftCell="C1" zoomScale="85" zoomScaleNormal="85" workbookViewId="0">
      <selection activeCell="L10" sqref="L10"/>
    </sheetView>
  </sheetViews>
  <sheetFormatPr baseColWidth="10" defaultRowHeight="15" x14ac:dyDescent="0.25"/>
  <cols>
    <col min="1" max="2" width="11.42578125" style="4" hidden="1" customWidth="1"/>
    <col min="3" max="3" width="76.140625" style="4" bestFit="1" customWidth="1"/>
    <col min="4" max="4" width="11.7109375" style="6" customWidth="1"/>
    <col min="5" max="5" width="7.28515625" style="6" customWidth="1"/>
    <col min="6" max="6" width="11.7109375" style="6" customWidth="1"/>
    <col min="7" max="7" width="7.28515625" style="4" customWidth="1"/>
    <col min="8" max="8" width="11.7109375" style="4" customWidth="1"/>
    <col min="9" max="9" width="7.28515625" style="4" customWidth="1"/>
    <col min="10" max="10" width="11.7109375" style="4" customWidth="1"/>
    <col min="11" max="11" width="7.28515625" style="4" customWidth="1"/>
    <col min="12" max="12" width="7.28515625" customWidth="1"/>
    <col min="13" max="13" width="11.42578125" style="17"/>
    <col min="14" max="15" width="11.42578125" style="4"/>
    <col min="16" max="16" width="13" style="4" bestFit="1" customWidth="1"/>
    <col min="17" max="25" width="11.42578125" style="4"/>
    <col min="26" max="26" width="67.85546875" style="4" bestFit="1" customWidth="1"/>
    <col min="27" max="27" width="11.42578125" style="4" customWidth="1"/>
    <col min="28" max="34" width="11.42578125" style="103"/>
    <col min="35" max="35" width="11.42578125" style="103" customWidth="1"/>
    <col min="36" max="36" width="11.42578125" style="103"/>
    <col min="37" max="37" width="17" style="4" customWidth="1"/>
    <col min="38" max="40" width="11.42578125" style="4" customWidth="1"/>
    <col min="41" max="16384" width="11.42578125" style="4"/>
  </cols>
  <sheetData>
    <row r="1" spans="1:39" ht="54.75" customHeight="1" x14ac:dyDescent="0.25">
      <c r="A1" s="4">
        <v>2016</v>
      </c>
      <c r="C1" s="245" t="s">
        <v>252</v>
      </c>
      <c r="D1" s="245"/>
      <c r="E1" s="245"/>
      <c r="F1" s="245"/>
      <c r="G1" s="245"/>
      <c r="H1" s="245"/>
      <c r="I1" s="245"/>
      <c r="J1" s="245"/>
      <c r="K1" s="245"/>
      <c r="R1"/>
      <c r="S1"/>
      <c r="T1"/>
      <c r="U1"/>
      <c r="AA1" s="4">
        <v>0</v>
      </c>
      <c r="AK1" s="129" t="s">
        <v>235</v>
      </c>
      <c r="AL1" s="129" t="s">
        <v>284</v>
      </c>
      <c r="AM1" s="129" t="s">
        <v>74</v>
      </c>
    </row>
    <row r="2" spans="1:39" ht="23.25" x14ac:dyDescent="0.25">
      <c r="A2" s="4">
        <v>2017</v>
      </c>
      <c r="C2" s="71" t="s">
        <v>224</v>
      </c>
      <c r="D2" s="71"/>
      <c r="E2" s="71"/>
      <c r="F2" s="71"/>
      <c r="G2" s="71"/>
      <c r="H2" s="71"/>
      <c r="I2" s="71"/>
      <c r="J2" s="71"/>
      <c r="K2" s="71"/>
      <c r="R2"/>
      <c r="S2"/>
      <c r="T2"/>
      <c r="U2"/>
      <c r="AA2" s="4">
        <v>1</v>
      </c>
      <c r="AI2" s="103" t="s">
        <v>222</v>
      </c>
      <c r="AK2" s="135" t="s">
        <v>206</v>
      </c>
      <c r="AL2" s="4">
        <v>1</v>
      </c>
    </row>
    <row r="3" spans="1:39" ht="30" customHeight="1" thickBot="1" x14ac:dyDescent="0.3">
      <c r="A3" s="4">
        <v>2018</v>
      </c>
      <c r="C3"/>
      <c r="D3" s="121"/>
      <c r="E3" s="122"/>
      <c r="F3"/>
      <c r="G3"/>
      <c r="H3"/>
      <c r="I3"/>
      <c r="J3"/>
      <c r="K3"/>
      <c r="R3"/>
      <c r="S3"/>
      <c r="T3"/>
      <c r="U3"/>
      <c r="AI3" s="103" t="s">
        <v>74</v>
      </c>
      <c r="AK3" s="135" t="s">
        <v>261</v>
      </c>
      <c r="AL3" s="4">
        <v>2</v>
      </c>
      <c r="AM3" s="103" t="str">
        <f>_xlfn.TEXTJOIN(", ",,Z27:Z30)</f>
        <v>01 - Plants de pépinière, 02 - Grumes et billons destinés au sciage, placage ou déroulage, 03 - Bois destinés à l'industrie, 04 - Bois destinés à l’énergie</v>
      </c>
    </row>
    <row r="4" spans="1:39" ht="30" customHeight="1" thickTop="1" thickBot="1" x14ac:dyDescent="0.3">
      <c r="A4" s="4">
        <v>2019</v>
      </c>
      <c r="C4" s="292" t="s">
        <v>209</v>
      </c>
      <c r="D4" s="293"/>
      <c r="E4" s="4"/>
      <c r="F4" s="4"/>
      <c r="G4" s="122" t="s">
        <v>225</v>
      </c>
      <c r="R4"/>
      <c r="S4"/>
      <c r="T4"/>
      <c r="U4"/>
      <c r="AK4" s="4" t="s">
        <v>260</v>
      </c>
      <c r="AL4" s="4">
        <v>11</v>
      </c>
      <c r="AM4" s="103" t="str">
        <f>_xlfn.TEXTJOIN(", ",,Z31:Z32)</f>
        <v>05 - Travaux d'exploitation de bois et de sylviculture, 06 - Services des coopératives forestières</v>
      </c>
    </row>
    <row r="5" spans="1:39" ht="30" customHeight="1" thickTop="1" thickBot="1" x14ac:dyDescent="0.3">
      <c r="A5" s="4">
        <v>2020</v>
      </c>
      <c r="C5" s="123">
        <v>2020</v>
      </c>
      <c r="D5" s="5"/>
      <c r="E5" s="122" t="s">
        <v>223</v>
      </c>
      <c r="G5" s="122"/>
      <c r="R5"/>
      <c r="S5"/>
      <c r="T5"/>
      <c r="U5"/>
      <c r="AK5" s="135" t="s">
        <v>207</v>
      </c>
      <c r="AL5" s="4">
        <v>3</v>
      </c>
      <c r="AM5" s="103" t="str">
        <f>_xlfn.TEXTJOIN(", ",,Z34:Z48)</f>
        <v>08 - Sciages bruts de Chêne, 09 - Sciages bruts de Hêtre, 10 - Sciages bruts d'autres feuillus tempérés, 11 - Sciages de feuillus tropicaux, 12 - Sciages bruts de sapin-épicéa, 13 - Sciages bruts de Douglas, 14 - Sciages bruts d'autres résineux, 15 - Sciages bruts de Pin maritime, 16 - Merrains, 17 - Autres types de sciages, 18 - Produits connexes du sciage destinés à la trituration, 19 - Produits connexes du sciage non destinés à la trituration, 20 - Produits rabotés, 20b - Produits collés, 29 - Produits imprégnés (bruts, sciés ou rabotés)</v>
      </c>
    </row>
    <row r="6" spans="1:39" ht="15.75" thickTop="1" x14ac:dyDescent="0.25">
      <c r="A6" s="4" t="s">
        <v>128</v>
      </c>
      <c r="E6" s="7"/>
      <c r="R6"/>
      <c r="S6"/>
      <c r="T6"/>
      <c r="U6"/>
      <c r="AK6" s="135" t="s">
        <v>208</v>
      </c>
      <c r="AL6" s="4">
        <v>4</v>
      </c>
      <c r="AM6" s="103" t="str">
        <f>_xlfn.TEXTJOIN(", ",,Z56:Z57)</f>
        <v>37 - Emballages en bois (palette, ...), 38 - Futailles</v>
      </c>
    </row>
    <row r="7" spans="1:39" ht="18.75" x14ac:dyDescent="0.25">
      <c r="A7" s="4" t="s">
        <v>129</v>
      </c>
      <c r="C7" s="291" t="s">
        <v>251</v>
      </c>
      <c r="D7" s="291"/>
      <c r="E7" s="291"/>
      <c r="H7" s="17"/>
      <c r="R7"/>
      <c r="S7"/>
      <c r="T7"/>
      <c r="U7"/>
      <c r="AK7" s="135" t="s">
        <v>209</v>
      </c>
      <c r="AL7" s="4">
        <v>5</v>
      </c>
      <c r="AM7" s="103" t="str">
        <f>_xlfn.TEXTJOIN(", ",,Z49,Z68,Z79)</f>
        <v>30 - Combustibles industriels à base de bois, 49 - Electricité et chaleur issues de la combustion de bois, 60 - Travaux d'installation de chauffage au bois</v>
      </c>
    </row>
    <row r="8" spans="1:39" x14ac:dyDescent="0.25">
      <c r="A8" s="14" t="s">
        <v>65</v>
      </c>
      <c r="B8" s="4">
        <v>4</v>
      </c>
      <c r="E8" s="46"/>
      <c r="R8"/>
      <c r="S8"/>
      <c r="T8"/>
      <c r="U8"/>
      <c r="AK8" s="135" t="s">
        <v>210</v>
      </c>
      <c r="AL8" s="4">
        <v>6</v>
      </c>
      <c r="AM8" s="103" t="str">
        <f>_xlfn.TEXTJOIN(", ",,Z50)</f>
        <v>31 - Placages et panneaux à base de bois</v>
      </c>
    </row>
    <row r="9" spans="1:39" ht="30" customHeight="1" x14ac:dyDescent="0.25">
      <c r="A9" s="13" t="s">
        <v>67</v>
      </c>
      <c r="B9" s="4">
        <v>5</v>
      </c>
      <c r="C9" s="8"/>
      <c r="D9" s="9" t="s">
        <v>60</v>
      </c>
      <c r="E9" s="10"/>
      <c r="F9" s="257" t="s">
        <v>130</v>
      </c>
      <c r="G9" s="257"/>
      <c r="H9" s="257"/>
      <c r="I9" s="257"/>
      <c r="J9" s="257"/>
      <c r="P9"/>
      <c r="Q9"/>
      <c r="R9"/>
      <c r="S9"/>
      <c r="T9"/>
      <c r="U9"/>
      <c r="V9"/>
      <c r="W9"/>
      <c r="AK9" s="135" t="s">
        <v>211</v>
      </c>
      <c r="AL9" s="4">
        <v>7</v>
      </c>
      <c r="AM9" s="103" t="str">
        <f>_xlfn.TEXTJOIN(", ",,Z66)</f>
        <v>47 - Meubles à base de bois</v>
      </c>
    </row>
    <row r="10" spans="1:39" x14ac:dyDescent="0.25">
      <c r="A10" s="4" t="s">
        <v>30</v>
      </c>
      <c r="B10" s="4">
        <v>6</v>
      </c>
      <c r="C10" s="11" t="s">
        <v>61</v>
      </c>
      <c r="D10" s="12">
        <f>SUMIFS('Comp2016-2017 (3)'!$I$5:$I$300,'Comp2016-2017 (3)'!$R$5:$R$300,C5,'Comp2016-2017 (3)'!$T$5:$T$300,1)</f>
        <v>4605234.697180273</v>
      </c>
      <c r="E10" s="43"/>
      <c r="F10" s="259" t="s">
        <v>62</v>
      </c>
      <c r="G10" s="259"/>
      <c r="H10" s="259"/>
      <c r="I10" s="259"/>
      <c r="J10" s="259"/>
      <c r="K10" s="91">
        <f>IF(D17&lt;&gt;0,D15/D17,"")</f>
        <v>84.136159552350264</v>
      </c>
      <c r="P10"/>
      <c r="Q10"/>
      <c r="R10"/>
      <c r="S10"/>
      <c r="T10"/>
      <c r="U10"/>
      <c r="V10"/>
      <c r="W10"/>
      <c r="AK10" s="135" t="s">
        <v>212</v>
      </c>
      <c r="AL10" s="4">
        <v>8</v>
      </c>
      <c r="AM10" s="103" t="str">
        <f>_xlfn.TEXTJOIN(", ",,Z52,Z54,Z55,Z73,Z74,Z75)</f>
        <v>33 - Parquets contrecollés, 35 - Menuiseries extérieures, 36 - Menuiseries intérieures, 54 - Travaux de menuiserie bois, 55 - Agencement de lieux de vente, 56 - Travaux de revêtement des sols et des murs</v>
      </c>
    </row>
    <row r="11" spans="1:39" x14ac:dyDescent="0.25">
      <c r="A11" s="4" t="s">
        <v>69</v>
      </c>
      <c r="B11" s="4">
        <v>7</v>
      </c>
      <c r="C11" s="11" t="s">
        <v>52</v>
      </c>
      <c r="D11" s="124">
        <f>SUMIFS('Comp2016-2017 (3)'!$J$5:$J$300,'Comp2016-2017 (3)'!$R$5:$R$300,C5,'Comp2016-2017 (3)'!$T$5:$T$300,1)</f>
        <v>147758.59100000007</v>
      </c>
      <c r="E11" s="43"/>
      <c r="F11" s="259" t="s">
        <v>63</v>
      </c>
      <c r="G11" s="259"/>
      <c r="H11" s="259"/>
      <c r="I11" s="259"/>
      <c r="J11" s="259"/>
      <c r="K11" s="92">
        <f>IF(D11&lt;&gt;0,D12/D11,"")</f>
        <v>0.17910006940983891</v>
      </c>
      <c r="P11"/>
      <c r="Q11"/>
      <c r="R11"/>
      <c r="S11"/>
      <c r="T11"/>
      <c r="U11"/>
      <c r="V11"/>
      <c r="W11"/>
      <c r="AK11" s="135" t="s">
        <v>213</v>
      </c>
      <c r="AL11" s="4">
        <v>9</v>
      </c>
      <c r="AM11" s="103" t="str">
        <f>_xlfn.TEXTJOIN(", ",,Z53,Z58,Z59,Z740,Z71,Z72,Z76,Z77,Z78)</f>
        <v>34 - Charpentes, 39 - Coffrages pour le bétonnage, bardeaux en bois, 40 - Produits en bois pour aménagement extérieur, 52 - Génie civil, 53 - Travaux d'isolation, 57 - Travaux de charpente, 58 - Travaux de couverture par éléments, 59 - Travaux de maçonnerie générale et gros œuvre de bâtiment</v>
      </c>
    </row>
    <row r="12" spans="1:39" x14ac:dyDescent="0.25">
      <c r="A12" s="4" t="s">
        <v>32</v>
      </c>
      <c r="B12" s="4">
        <v>8</v>
      </c>
      <c r="C12" s="13" t="s">
        <v>53</v>
      </c>
      <c r="D12" s="124">
        <f>SUMIFS('Comp2016-2017 (3)'!$M$5:$M$300,'Comp2016-2017 (3)'!$R$5:$R$300,C5,'Comp2016-2017 (3)'!$T$5:$T$300,1)</f>
        <v>26463.573904000012</v>
      </c>
      <c r="E12" s="43"/>
      <c r="F12" s="259" t="s">
        <v>64</v>
      </c>
      <c r="G12" s="259"/>
      <c r="H12" s="259"/>
      <c r="I12" s="259"/>
      <c r="J12" s="259"/>
      <c r="K12" s="93">
        <f>IF((D10-D12+D11)&lt;&gt;0,(D10-D12)/(D10-D12+D11),"")</f>
        <v>0.96873846142261588</v>
      </c>
      <c r="P12"/>
      <c r="Q12"/>
      <c r="R12"/>
      <c r="S12"/>
      <c r="T12"/>
      <c r="U12"/>
      <c r="V12"/>
      <c r="W12"/>
      <c r="AK12" s="135" t="s">
        <v>214</v>
      </c>
      <c r="AL12" s="4">
        <v>10</v>
      </c>
      <c r="AM12" s="103" t="str">
        <f>_xlfn.TEXTJOIN(", ",,Z80,Z81)</f>
        <v>61 - Commerce de gros de produits bois, 62 - Commerce de détail de produits bois</v>
      </c>
    </row>
    <row r="13" spans="1:39" s="37" customFormat="1" x14ac:dyDescent="0.25">
      <c r="A13" s="11" t="s">
        <v>61</v>
      </c>
      <c r="B13" s="37">
        <v>9</v>
      </c>
      <c r="C13" s="48" t="s">
        <v>65</v>
      </c>
      <c r="D13" s="124">
        <f>SUMIFS('Comp2016-2017 (3)'!$D$5:$D$300,'Comp2016-2017 (3)'!$R$5:$R$300,C5,'Comp2016-2017 (3)'!$T$5:$T$300,1)</f>
        <v>652035.03789108247</v>
      </c>
      <c r="E13" s="43"/>
      <c r="F13" s="259" t="s">
        <v>66</v>
      </c>
      <c r="G13" s="259"/>
      <c r="H13" s="259"/>
      <c r="I13" s="259"/>
      <c r="J13" s="259"/>
      <c r="K13" s="94">
        <f>IF(D10&lt;&gt;0,D12/D10,"")</f>
        <v>5.7464115607839322E-3</v>
      </c>
      <c r="L13"/>
      <c r="M13" s="100"/>
      <c r="P13"/>
      <c r="Q13"/>
      <c r="R13"/>
      <c r="S13"/>
      <c r="T13"/>
      <c r="U13"/>
      <c r="V13"/>
      <c r="W13"/>
      <c r="AB13" s="137"/>
      <c r="AC13" s="137"/>
      <c r="AD13" s="137"/>
      <c r="AE13" s="137"/>
      <c r="AF13" s="137"/>
      <c r="AG13" s="137"/>
      <c r="AH13" s="137"/>
      <c r="AI13" s="137"/>
      <c r="AJ13" s="137"/>
    </row>
    <row r="14" spans="1:39" s="37" customFormat="1" x14ac:dyDescent="0.25">
      <c r="A14" s="11" t="s">
        <v>52</v>
      </c>
      <c r="B14" s="37">
        <v>10</v>
      </c>
      <c r="C14" s="49" t="s">
        <v>67</v>
      </c>
      <c r="D14" s="124">
        <f>SUMIFS('Comp2016-2017 (3)'!$E$5:$E$300,'Comp2016-2017 (3)'!$R$5:$R$300,C5,'Comp2016-2017 (3)'!$T$5:$T$300,1)</f>
        <v>2510058.9501572</v>
      </c>
      <c r="E14" s="43"/>
      <c r="F14" s="259" t="s">
        <v>68</v>
      </c>
      <c r="G14" s="259"/>
      <c r="H14" s="259"/>
      <c r="I14" s="259"/>
      <c r="J14" s="259"/>
      <c r="K14" s="94">
        <f>IF((D10+D11-D12)&lt;&gt;0,D11/(D10+D11-D12),"")</f>
        <v>3.1261538577384125E-2</v>
      </c>
      <c r="L14"/>
      <c r="M14" s="100"/>
      <c r="P14"/>
      <c r="Q14"/>
      <c r="R14"/>
      <c r="S14"/>
      <c r="T14"/>
      <c r="U14"/>
      <c r="V14"/>
      <c r="W14"/>
      <c r="AB14" s="137"/>
      <c r="AC14" s="137"/>
      <c r="AD14" s="137"/>
      <c r="AE14" s="137"/>
      <c r="AF14" s="137"/>
      <c r="AG14" s="137"/>
      <c r="AH14" s="137"/>
      <c r="AI14" s="137"/>
      <c r="AJ14" s="137"/>
      <c r="AK14" s="4" t="s">
        <v>216</v>
      </c>
    </row>
    <row r="15" spans="1:39" x14ac:dyDescent="0.25">
      <c r="A15" s="4" t="s">
        <v>35</v>
      </c>
      <c r="B15" s="4">
        <v>11</v>
      </c>
      <c r="C15" s="11" t="s">
        <v>69</v>
      </c>
      <c r="D15" s="124">
        <f>SUMIFS('Comp2016-2017 (3)'!$G$5:$G$300,'Comp2016-2017 (3)'!$R$5:$R$300,C5,'Comp2016-2017 (3)'!$T$5:$T$300,1)</f>
        <v>1443140.709131991</v>
      </c>
      <c r="E15" s="43"/>
      <c r="F15" s="259" t="s">
        <v>70</v>
      </c>
      <c r="G15" s="259"/>
      <c r="H15" s="259"/>
      <c r="I15" s="259"/>
      <c r="J15" s="259"/>
      <c r="K15" s="95">
        <f>IF(D10&lt;&gt;0,D13/D10,"")</f>
        <v>0.14158562608987449</v>
      </c>
      <c r="P15"/>
      <c r="Q15"/>
      <c r="R15"/>
      <c r="S15"/>
      <c r="T15"/>
      <c r="U15"/>
      <c r="V15"/>
      <c r="W15"/>
      <c r="AK15" s="37" t="s">
        <v>74</v>
      </c>
    </row>
    <row r="16" spans="1:39" ht="15.75" thickBot="1" x14ac:dyDescent="0.3">
      <c r="A16" s="13" t="s">
        <v>54</v>
      </c>
      <c r="B16" s="4">
        <v>12</v>
      </c>
      <c r="C16" s="11"/>
      <c r="D16" s="125"/>
      <c r="E16" s="43"/>
      <c r="F16" s="259" t="s">
        <v>71</v>
      </c>
      <c r="G16" s="259"/>
      <c r="H16" s="259"/>
      <c r="I16" s="259"/>
      <c r="J16" s="259"/>
      <c r="K16" s="95">
        <f>IF(D10&lt;&gt;0,D14/D10,"")</f>
        <v>0.54504474043289852</v>
      </c>
      <c r="P16"/>
      <c r="Q16"/>
      <c r="R16"/>
      <c r="S16"/>
      <c r="T16"/>
      <c r="U16"/>
      <c r="V16"/>
      <c r="W16"/>
    </row>
    <row r="17" spans="1:41" x14ac:dyDescent="0.25">
      <c r="A17" s="13" t="s">
        <v>53</v>
      </c>
      <c r="B17" s="4">
        <v>13</v>
      </c>
      <c r="C17" s="16" t="s">
        <v>72</v>
      </c>
      <c r="D17" s="76">
        <f>SUMIFS('Comp2016-2017 (3)'!$O$5:$O$300,'Comp2016-2017 (3)'!$R$5:$R$300,C5,'Comp2016-2017 (3)'!$T$5:$T$300,1)</f>
        <v>17152.443334831038</v>
      </c>
      <c r="E17" s="43"/>
      <c r="F17" s="259" t="s">
        <v>73</v>
      </c>
      <c r="G17" s="259"/>
      <c r="H17" s="259"/>
      <c r="I17" s="259"/>
      <c r="J17" s="259"/>
      <c r="K17" s="95">
        <f>IF(D10&lt;&gt;0,D15/D10,"")</f>
        <v>0.31336963347722707</v>
      </c>
      <c r="M17" s="288" t="s">
        <v>240</v>
      </c>
      <c r="P17"/>
      <c r="Q17"/>
      <c r="R17"/>
      <c r="S17"/>
      <c r="T17"/>
      <c r="U17"/>
      <c r="V17"/>
      <c r="W17"/>
    </row>
    <row r="18" spans="1:41" x14ac:dyDescent="0.25">
      <c r="A18" s="4" t="s">
        <v>38</v>
      </c>
      <c r="B18" s="4">
        <v>14</v>
      </c>
      <c r="C18" s="13"/>
      <c r="D18" s="124"/>
      <c r="E18" s="44"/>
      <c r="F18" s="4"/>
      <c r="M18" s="289"/>
      <c r="P18"/>
      <c r="Q18"/>
      <c r="R18"/>
      <c r="S18"/>
      <c r="T18"/>
      <c r="U18"/>
      <c r="V18"/>
      <c r="W18"/>
    </row>
    <row r="19" spans="1:41" ht="15" customHeight="1" x14ac:dyDescent="0.25">
      <c r="A19" s="16" t="s">
        <v>72</v>
      </c>
      <c r="B19" s="4">
        <v>15</v>
      </c>
      <c r="C19" s="13" t="s">
        <v>54</v>
      </c>
      <c r="D19" s="124">
        <f>SUMIFS('Comp2016-2017 (3)'!$L$5:$L$300,'Comp2016-2017 (3)'!$R$5:$R$300,C5,'Comp2016-2017 (3)'!$T$5:$T$300,1)</f>
        <v>4511691.7807903383</v>
      </c>
      <c r="E19" s="45"/>
      <c r="M19" s="289"/>
      <c r="P19"/>
      <c r="Q19"/>
      <c r="R19"/>
      <c r="S19"/>
      <c r="T19"/>
      <c r="U19"/>
      <c r="V19"/>
      <c r="W19"/>
      <c r="AA19" s="4" t="s">
        <v>205</v>
      </c>
    </row>
    <row r="20" spans="1:41" x14ac:dyDescent="0.25">
      <c r="C20" s="4" t="s">
        <v>133</v>
      </c>
      <c r="J20" s="17"/>
      <c r="M20" s="289"/>
      <c r="P20"/>
      <c r="Q20"/>
      <c r="R20"/>
      <c r="S20"/>
      <c r="T20"/>
      <c r="U20"/>
      <c r="V20"/>
      <c r="W20"/>
    </row>
    <row r="21" spans="1:41" x14ac:dyDescent="0.25">
      <c r="D21" s="17"/>
      <c r="F21" s="17"/>
      <c r="H21" s="17"/>
      <c r="I21" s="17"/>
      <c r="J21" s="17"/>
      <c r="M21" s="289"/>
      <c r="P21"/>
      <c r="Q21"/>
      <c r="R21"/>
      <c r="S21"/>
      <c r="T21"/>
      <c r="U21"/>
      <c r="V21"/>
      <c r="W21"/>
    </row>
    <row r="22" spans="1:41" ht="15.75" thickBot="1" x14ac:dyDescent="0.3">
      <c r="A22" s="40"/>
      <c r="E22" s="4"/>
      <c r="H22" s="17"/>
      <c r="I22" s="17"/>
      <c r="J22" s="17"/>
      <c r="M22" s="289"/>
      <c r="P22"/>
      <c r="Q22"/>
      <c r="R22"/>
      <c r="S22"/>
      <c r="T22"/>
      <c r="U22"/>
      <c r="V22"/>
      <c r="W22"/>
    </row>
    <row r="23" spans="1:41" ht="24" thickBot="1" x14ac:dyDescent="0.3">
      <c r="C23" s="138" t="s">
        <v>242</v>
      </c>
      <c r="D23" s="267" t="s">
        <v>243</v>
      </c>
      <c r="E23" s="268"/>
      <c r="F23" s="268"/>
      <c r="G23" s="268"/>
      <c r="H23" s="268"/>
      <c r="I23" s="268"/>
      <c r="J23" s="268"/>
      <c r="K23" s="269"/>
      <c r="M23" s="289"/>
      <c r="P23"/>
      <c r="Q23"/>
      <c r="R23"/>
      <c r="S23"/>
      <c r="T23"/>
      <c r="U23"/>
      <c r="V23"/>
      <c r="W23"/>
      <c r="AK23" s="48" t="s">
        <v>217</v>
      </c>
      <c r="AL23" s="4">
        <f>VLOOKUP(C4,AK2:AL12,2,FALSE)</f>
        <v>5</v>
      </c>
    </row>
    <row r="24" spans="1:41" ht="21" customHeight="1" thickBot="1" x14ac:dyDescent="0.3">
      <c r="C24" s="247" t="s">
        <v>74</v>
      </c>
      <c r="D24" s="250" t="s">
        <v>75</v>
      </c>
      <c r="E24" s="250"/>
      <c r="F24" s="250"/>
      <c r="G24" s="251"/>
      <c r="H24" s="252" t="s">
        <v>76</v>
      </c>
      <c r="I24" s="250"/>
      <c r="J24" s="250"/>
      <c r="K24" s="251"/>
      <c r="M24" s="290"/>
      <c r="P24"/>
      <c r="Q24"/>
      <c r="R24"/>
      <c r="S24"/>
      <c r="T24"/>
      <c r="U24"/>
      <c r="V24"/>
      <c r="W24"/>
    </row>
    <row r="25" spans="1:41" ht="63.75" customHeight="1" thickBot="1" x14ac:dyDescent="0.3">
      <c r="C25" s="248"/>
      <c r="D25" s="253" t="s">
        <v>249</v>
      </c>
      <c r="E25" s="254"/>
      <c r="F25" s="20" t="s">
        <v>78</v>
      </c>
      <c r="G25" s="160" t="s">
        <v>253</v>
      </c>
      <c r="H25" s="255" t="s">
        <v>250</v>
      </c>
      <c r="I25" s="256"/>
      <c r="J25" s="21" t="s">
        <v>248</v>
      </c>
      <c r="K25" s="160" t="s">
        <v>253</v>
      </c>
      <c r="M25" s="285" t="s">
        <v>241</v>
      </c>
      <c r="N25" s="139" t="s">
        <v>239</v>
      </c>
      <c r="O25" s="111"/>
      <c r="P25"/>
      <c r="Q25"/>
      <c r="R25"/>
      <c r="S25"/>
      <c r="T25"/>
      <c r="U25"/>
      <c r="V25"/>
      <c r="W25"/>
      <c r="X25" s="111"/>
      <c r="AA25" s="101" t="s">
        <v>206</v>
      </c>
      <c r="AB25" s="136" t="s">
        <v>259</v>
      </c>
      <c r="AC25" s="136" t="s">
        <v>207</v>
      </c>
      <c r="AD25" s="136" t="s">
        <v>208</v>
      </c>
      <c r="AE25" s="136" t="s">
        <v>209</v>
      </c>
      <c r="AF25" s="136" t="s">
        <v>210</v>
      </c>
      <c r="AG25" s="136" t="s">
        <v>211</v>
      </c>
      <c r="AH25" s="136" t="s">
        <v>212</v>
      </c>
      <c r="AI25" s="136" t="s">
        <v>213</v>
      </c>
      <c r="AJ25" s="136" t="s">
        <v>214</v>
      </c>
      <c r="AK25" s="104" t="s">
        <v>260</v>
      </c>
      <c r="AL25" s="102" t="s">
        <v>74</v>
      </c>
      <c r="AM25" s="105" t="s">
        <v>285</v>
      </c>
      <c r="AN25" s="102" t="s">
        <v>283</v>
      </c>
      <c r="AO25" s="102" t="s">
        <v>215</v>
      </c>
    </row>
    <row r="26" spans="1:41" ht="15.75" thickBot="1" x14ac:dyDescent="0.3">
      <c r="A26" s="4" t="s">
        <v>123</v>
      </c>
      <c r="B26" s="4" t="s">
        <v>124</v>
      </c>
      <c r="C26" s="249"/>
      <c r="D26" s="23" t="s">
        <v>79</v>
      </c>
      <c r="E26" s="142" t="s">
        <v>245</v>
      </c>
      <c r="F26" s="20" t="s">
        <v>79</v>
      </c>
      <c r="G26" s="22" t="s">
        <v>246</v>
      </c>
      <c r="H26" s="23" t="s">
        <v>79</v>
      </c>
      <c r="I26" s="142" t="s">
        <v>245</v>
      </c>
      <c r="J26" s="20" t="s">
        <v>79</v>
      </c>
      <c r="K26" s="22" t="s">
        <v>246</v>
      </c>
      <c r="M26" s="286"/>
      <c r="N26" s="141">
        <f>SUM(AM27:AM83)</f>
        <v>3</v>
      </c>
      <c r="O26" s="110"/>
      <c r="P26"/>
      <c r="Q26"/>
      <c r="R26"/>
      <c r="S26"/>
      <c r="T26"/>
      <c r="U26"/>
      <c r="V26"/>
      <c r="W26"/>
      <c r="X26" s="110"/>
      <c r="AB26" s="134"/>
      <c r="AC26" s="134"/>
      <c r="AD26" s="134"/>
      <c r="AE26" s="134"/>
      <c r="AF26" s="134"/>
      <c r="AG26" s="134"/>
      <c r="AH26" s="134"/>
      <c r="AI26" s="134"/>
      <c r="AJ26" s="134"/>
      <c r="AK26" s="103"/>
      <c r="AM26" s="106"/>
    </row>
    <row r="27" spans="1:41" x14ac:dyDescent="0.25">
      <c r="A27" s="4" t="str">
        <f t="shared" ref="A27:A58" si="0">LEFT(C27,3)&amp;" - "&amp;LEFT($C$4,3)</f>
        <v>01  - Boi</v>
      </c>
      <c r="B27" s="4" t="str">
        <f t="shared" ref="B27:B58" si="1">LEFT($C$4,3)&amp;" - "&amp;LEFT(C27,3)</f>
        <v xml:space="preserve">Boi - 01 </v>
      </c>
      <c r="C27" s="29" t="s">
        <v>80</v>
      </c>
      <c r="D27" s="25">
        <f>SUMIFS('Val-Vol (2)'!$I$4:$I$2000,'Val-Vol (2)'!$V$4:$V$2000,$C$5,'Val-Vol (2)'!$A$4:$A$2000,C27,'Val-Vol (2)'!$U$4:$U$2000,1)</f>
        <v>0</v>
      </c>
      <c r="E27" s="112" t="str">
        <f>IF(AND(ISNUMBER(D27),D27&lt;&gt;0),D27/$D$13,"")</f>
        <v/>
      </c>
      <c r="F27" s="25">
        <f>SUMIFS('Val-Vol (2)'!$H$4:$H$2000,'Val-Vol (2)'!$V$4:$V$2000,$C$5,'Val-Vol (2)'!$A$4:$A$2000,C27,'Val-Vol (2)'!$U$4:$U$2000,1)</f>
        <v>0</v>
      </c>
      <c r="G27" s="88" t="str">
        <f>IF((D27=0),"",IF(F27&lt;&gt;0,(D27-F27)/(D27),1))</f>
        <v/>
      </c>
      <c r="H27" s="25">
        <f>SUMIFS('Val-Vol (2)'!$I$4:$I$2000,'Val-Vol (2)'!$V$4:$V$2000,$C$5,'Val-Vol (2)'!$D$4:$D$2000,C27,'Val-Vol (2)'!$T$4:$T$2000,1)</f>
        <v>0</v>
      </c>
      <c r="I27" s="28" t="str">
        <f>IF(AND(ISNUMBER(H27),H27&lt;&gt;0),H27/SUM($H$27:$H$83),"")</f>
        <v/>
      </c>
      <c r="J27" s="113">
        <f>SUMIFS('Val-Vol (2)'!$H$4:$H$2000,'Val-Vol (2)'!$V$4:$V$2000,$C$5,'Val-Vol (2)'!$D$4:$D$2000,C27,'Val-Vol (2)'!$T$4:$T$2000,1)</f>
        <v>0</v>
      </c>
      <c r="K27" s="88" t="str">
        <f>IF((H27=0),"",IF(J27&lt;&gt;0,(H27-J27)/(H27),1))</f>
        <v/>
      </c>
      <c r="M27" s="140">
        <v>1</v>
      </c>
      <c r="P27"/>
      <c r="Q27"/>
      <c r="R27"/>
      <c r="S27"/>
      <c r="T27"/>
      <c r="U27"/>
      <c r="V27"/>
      <c r="W27"/>
      <c r="Z27" s="24" t="s">
        <v>80</v>
      </c>
      <c r="AA27">
        <f t="shared" ref="AA27:AA58" si="2">M27</f>
        <v>1</v>
      </c>
      <c r="AB27" s="134">
        <v>1</v>
      </c>
      <c r="AC27" s="134">
        <v>0</v>
      </c>
      <c r="AD27" s="134">
        <v>0</v>
      </c>
      <c r="AE27" s="134">
        <v>0</v>
      </c>
      <c r="AF27" s="134">
        <v>0</v>
      </c>
      <c r="AG27" s="134">
        <v>0</v>
      </c>
      <c r="AH27" s="134">
        <v>0</v>
      </c>
      <c r="AI27" s="134">
        <v>0</v>
      </c>
      <c r="AJ27" s="134">
        <v>0</v>
      </c>
      <c r="AK27" s="134">
        <v>0</v>
      </c>
      <c r="AL27" s="4">
        <f t="shared" ref="AL27:AL58" si="3">(Z27=$C$4)*1</f>
        <v>0</v>
      </c>
      <c r="AM27" s="106">
        <f>CHOOSE($AL$23,AA27,AB27,AC27,AD27,AE27,AF27,AG27,AH27,AI27,AJ27,AK27,AL27)</f>
        <v>0</v>
      </c>
      <c r="AO27" s="4">
        <f>SUM(AB27:AK27)</f>
        <v>1</v>
      </c>
    </row>
    <row r="28" spans="1:41" x14ac:dyDescent="0.25">
      <c r="A28" s="4" t="str">
        <f t="shared" si="0"/>
        <v>02  - Boi</v>
      </c>
      <c r="B28" s="4" t="str">
        <f t="shared" si="1"/>
        <v xml:space="preserve">Boi - 02 </v>
      </c>
      <c r="C28" s="29" t="s">
        <v>0</v>
      </c>
      <c r="D28" s="25">
        <f>SUMIFS('Val-Vol (2)'!$I$4:$I$2000,'Val-Vol (2)'!$V$4:$V$2000,$C$5,'Val-Vol (2)'!$A$4:$A$2000,C28,'Val-Vol (2)'!$U$4:$U$2000,1)</f>
        <v>0</v>
      </c>
      <c r="E28" s="30" t="str">
        <f t="shared" ref="E28" si="4">IF(AND(ISNUMBER(D28),D28&lt;&gt;0),D28/$D$13,"")</f>
        <v/>
      </c>
      <c r="F28" s="83">
        <f>SUMIFS('Val-Vol (2)'!$H$4:$H$2000,'Val-Vol (2)'!$V$4:$V$2000,$C$5,'Val-Vol (2)'!$A$4:$A$2000,C28,'Val-Vol (2)'!$U$4:$U$2000,1)</f>
        <v>0</v>
      </c>
      <c r="G28" s="88" t="str">
        <f t="shared" ref="G28:G83" si="5">IF((D28=0),"",IF(F28&lt;&gt;0,(D28-F28)/(D28),1))</f>
        <v/>
      </c>
      <c r="H28" s="25">
        <f>SUMIFS('Val-Vol (2)'!$I$4:$I$2000,'Val-Vol (2)'!$V$4:$V$2000,$C$5,'Val-Vol (2)'!$D$4:$D$2000,C28,'Val-Vol (2)'!$T$4:$T$2000,1)</f>
        <v>0</v>
      </c>
      <c r="I28" s="32" t="str">
        <f t="shared" ref="I28:I83" si="6">IF(AND(ISNUMBER(H28),H28&lt;&gt;0),H28/SUM($H$27:$H$83),"")</f>
        <v/>
      </c>
      <c r="J28" s="114">
        <f>SUMIFS('Val-Vol (2)'!$H$4:$H$2000,'Val-Vol (2)'!$V$4:$V$2000,$C$5,'Val-Vol (2)'!$D$4:$D$2000,C28,'Val-Vol (2)'!$T$4:$T$2000,1)</f>
        <v>0</v>
      </c>
      <c r="K28" s="88" t="str">
        <f t="shared" ref="K28:K83" si="7">IF((H28=0),"",IF(J28&lt;&gt;0,(H28-J28)/(H28),1))</f>
        <v/>
      </c>
      <c r="M28" s="109">
        <v>0</v>
      </c>
      <c r="P28"/>
      <c r="Q28"/>
      <c r="R28"/>
      <c r="S28"/>
      <c r="T28"/>
      <c r="U28"/>
      <c r="V28"/>
      <c r="W28"/>
      <c r="Z28" s="29" t="s">
        <v>0</v>
      </c>
      <c r="AA28">
        <f t="shared" si="2"/>
        <v>0</v>
      </c>
      <c r="AB28" s="134">
        <v>1</v>
      </c>
      <c r="AC28" s="134">
        <v>0</v>
      </c>
      <c r="AD28" s="134">
        <v>0</v>
      </c>
      <c r="AE28" s="134">
        <v>0</v>
      </c>
      <c r="AF28" s="134">
        <v>0</v>
      </c>
      <c r="AG28" s="134">
        <v>0</v>
      </c>
      <c r="AH28" s="134">
        <v>0</v>
      </c>
      <c r="AI28" s="134">
        <v>0</v>
      </c>
      <c r="AJ28" s="134">
        <v>0</v>
      </c>
      <c r="AK28" s="134">
        <v>0</v>
      </c>
      <c r="AL28" s="4">
        <f t="shared" si="3"/>
        <v>0</v>
      </c>
      <c r="AM28" s="106">
        <f t="shared" ref="AM28:AM86" si="8">CHOOSE($AL$23,AA28,AB28,AC28,AD28,AE28,AF28,AG28,AH28,AI28,AJ28,AK28,AL28)</f>
        <v>0</v>
      </c>
      <c r="AO28" s="4">
        <f t="shared" ref="AO28:AO83" si="9">SUM(AB28:AK28)</f>
        <v>1</v>
      </c>
    </row>
    <row r="29" spans="1:41" ht="13.5" customHeight="1" x14ac:dyDescent="0.25">
      <c r="A29" s="4" t="str">
        <f t="shared" si="0"/>
        <v>03  - Boi</v>
      </c>
      <c r="B29" s="4" t="str">
        <f t="shared" si="1"/>
        <v xml:space="preserve">Boi - 03 </v>
      </c>
      <c r="C29" s="29" t="s">
        <v>1</v>
      </c>
      <c r="D29" s="25">
        <f>SUMIFS('Val-Vol (2)'!$I$4:$I$2000,'Val-Vol (2)'!$V$4:$V$2000,$C$5,'Val-Vol (2)'!$A$4:$A$2000,C29,'Val-Vol (2)'!$U$4:$U$2000,1)</f>
        <v>0</v>
      </c>
      <c r="E29" s="30" t="str">
        <f t="shared" ref="E29:E35" si="10">IF(AND(ISNUMBER(D29),D29&lt;&gt;0),D29/$D$13,"")</f>
        <v/>
      </c>
      <c r="F29" s="83">
        <f>SUMIFS('Val-Vol (2)'!$H$4:$H$2000,'Val-Vol (2)'!$V$4:$V$2000,$C$5,'Val-Vol (2)'!$A$4:$A$2000,C29,'Val-Vol (2)'!$U$4:$U$2000,1)</f>
        <v>0</v>
      </c>
      <c r="G29" s="88" t="str">
        <f t="shared" si="5"/>
        <v/>
      </c>
      <c r="H29" s="25">
        <f>SUMIFS('Val-Vol (2)'!$I$4:$I$2000,'Val-Vol (2)'!$V$4:$V$2000,$C$5,'Val-Vol (2)'!$D$4:$D$2000,C29,'Val-Vol (2)'!$T$4:$T$2000,1)</f>
        <v>0</v>
      </c>
      <c r="I29" s="32" t="str">
        <f t="shared" si="6"/>
        <v/>
      </c>
      <c r="J29" s="114">
        <f>SUMIFS('Val-Vol (2)'!$H$4:$H$2000,'Val-Vol (2)'!$V$4:$V$2000,$C$5,'Val-Vol (2)'!$D$4:$D$2000,C29,'Val-Vol (2)'!$T$4:$T$2000,1)</f>
        <v>0</v>
      </c>
      <c r="K29" s="88" t="str">
        <f t="shared" si="7"/>
        <v/>
      </c>
      <c r="M29" s="109">
        <v>0</v>
      </c>
      <c r="P29"/>
      <c r="Q29"/>
      <c r="R29"/>
      <c r="S29"/>
      <c r="T29"/>
      <c r="U29"/>
      <c r="V29"/>
      <c r="W29"/>
      <c r="Z29" s="29" t="s">
        <v>1</v>
      </c>
      <c r="AA29">
        <f t="shared" si="2"/>
        <v>0</v>
      </c>
      <c r="AB29" s="134">
        <v>1</v>
      </c>
      <c r="AC29" s="134">
        <v>0</v>
      </c>
      <c r="AD29" s="134">
        <v>0</v>
      </c>
      <c r="AE29" s="134">
        <v>0</v>
      </c>
      <c r="AF29" s="134">
        <v>0</v>
      </c>
      <c r="AG29" s="134">
        <v>0</v>
      </c>
      <c r="AH29" s="134">
        <v>0</v>
      </c>
      <c r="AI29" s="134">
        <v>0</v>
      </c>
      <c r="AJ29" s="134">
        <v>0</v>
      </c>
      <c r="AK29" s="134">
        <v>0</v>
      </c>
      <c r="AL29" s="4">
        <f t="shared" si="3"/>
        <v>0</v>
      </c>
      <c r="AM29" s="106">
        <f t="shared" si="8"/>
        <v>0</v>
      </c>
      <c r="AO29" s="4">
        <f t="shared" si="9"/>
        <v>1</v>
      </c>
    </row>
    <row r="30" spans="1:41" x14ac:dyDescent="0.25">
      <c r="A30" s="4" t="str">
        <f t="shared" si="0"/>
        <v>04  - Boi</v>
      </c>
      <c r="B30" s="4" t="str">
        <f t="shared" si="1"/>
        <v xml:space="preserve">Boi - 04 </v>
      </c>
      <c r="C30" s="29" t="s">
        <v>2</v>
      </c>
      <c r="D30" s="25">
        <f>SUMIFS('Val-Vol (2)'!$I$4:$I$2000,'Val-Vol (2)'!$V$4:$V$2000,$C$5,'Val-Vol (2)'!$A$4:$A$2000,C30,'Val-Vol (2)'!$U$4:$U$2000,1)</f>
        <v>71482.386626321997</v>
      </c>
      <c r="E30" s="30">
        <f t="shared" si="10"/>
        <v>0.10962967091081782</v>
      </c>
      <c r="F30" s="83">
        <f>SUMIFS('Val-Vol (2)'!$H$4:$H$2000,'Val-Vol (2)'!$V$4:$V$2000,$C$5,'Val-Vol (2)'!$A$4:$A$2000,C30,'Val-Vol (2)'!$U$4:$U$2000,1)</f>
        <v>0</v>
      </c>
      <c r="G30" s="88">
        <f t="shared" si="5"/>
        <v>1</v>
      </c>
      <c r="H30" s="25">
        <f>SUMIFS('Val-Vol (2)'!$I$4:$I$2000,'Val-Vol (2)'!$V$4:$V$2000,$C$5,'Val-Vol (2)'!$D$4:$D$2000,C30,'Val-Vol (2)'!$T$4:$T$2000,1)</f>
        <v>0</v>
      </c>
      <c r="I30" s="32" t="str">
        <f t="shared" si="6"/>
        <v/>
      </c>
      <c r="J30" s="114">
        <f>SUMIFS('Val-Vol (2)'!$H$4:$H$2000,'Val-Vol (2)'!$V$4:$V$2000,$C$5,'Val-Vol (2)'!$D$4:$D$2000,C30,'Val-Vol (2)'!$T$4:$T$2000,1)</f>
        <v>0</v>
      </c>
      <c r="K30" s="88" t="str">
        <f t="shared" si="7"/>
        <v/>
      </c>
      <c r="M30" s="109">
        <v>0</v>
      </c>
      <c r="N30" s="17"/>
      <c r="P30"/>
      <c r="Q30"/>
      <c r="R30"/>
      <c r="S30"/>
      <c r="T30"/>
      <c r="U30"/>
      <c r="V30"/>
      <c r="W30"/>
      <c r="Z30" s="29" t="s">
        <v>2</v>
      </c>
      <c r="AA30">
        <f t="shared" si="2"/>
        <v>0</v>
      </c>
      <c r="AB30" s="134">
        <v>1</v>
      </c>
      <c r="AC30" s="134">
        <v>0</v>
      </c>
      <c r="AD30" s="134">
        <v>0</v>
      </c>
      <c r="AE30" s="134">
        <v>0</v>
      </c>
      <c r="AF30" s="134">
        <v>0</v>
      </c>
      <c r="AG30" s="134">
        <v>0</v>
      </c>
      <c r="AH30" s="134">
        <v>0</v>
      </c>
      <c r="AI30" s="134">
        <v>0</v>
      </c>
      <c r="AJ30" s="134">
        <v>0</v>
      </c>
      <c r="AK30" s="134">
        <v>0</v>
      </c>
      <c r="AL30" s="4">
        <f t="shared" si="3"/>
        <v>0</v>
      </c>
      <c r="AM30" s="106">
        <f t="shared" si="8"/>
        <v>0</v>
      </c>
      <c r="AO30" s="4">
        <f t="shared" si="9"/>
        <v>1</v>
      </c>
    </row>
    <row r="31" spans="1:41" x14ac:dyDescent="0.25">
      <c r="A31" s="4" t="str">
        <f t="shared" si="0"/>
        <v>05  - Boi</v>
      </c>
      <c r="B31" s="4" t="str">
        <f t="shared" si="1"/>
        <v xml:space="preserve">Boi - 05 </v>
      </c>
      <c r="C31" s="29" t="s">
        <v>81</v>
      </c>
      <c r="D31" s="25">
        <f>SUMIFS('Val-Vol (2)'!$I$4:$I$2000,'Val-Vol (2)'!$V$4:$V$2000,$C$5,'Val-Vol (2)'!$A$4:$A$2000,C31,'Val-Vol (2)'!$U$4:$U$2000,1)</f>
        <v>87745.592970177706</v>
      </c>
      <c r="E31" s="30">
        <f t="shared" si="10"/>
        <v>0.13457189855008214</v>
      </c>
      <c r="F31" s="83">
        <f>SUMIFS('Val-Vol (2)'!$H$4:$H$2000,'Val-Vol (2)'!$V$4:$V$2000,$C$5,'Val-Vol (2)'!$A$4:$A$2000,C31,'Val-Vol (2)'!$U$4:$U$2000,1)</f>
        <v>0</v>
      </c>
      <c r="G31" s="88">
        <f t="shared" si="5"/>
        <v>1</v>
      </c>
      <c r="H31" s="25">
        <f>SUMIFS('Val-Vol (2)'!$I$4:$I$2000,'Val-Vol (2)'!$V$4:$V$2000,$C$5,'Val-Vol (2)'!$D$4:$D$2000,C31,'Val-Vol (2)'!$T$4:$T$2000,1)</f>
        <v>0</v>
      </c>
      <c r="I31" s="32" t="str">
        <f t="shared" si="6"/>
        <v/>
      </c>
      <c r="J31" s="114">
        <f>SUMIFS('Val-Vol (2)'!$H$4:$H$2000,'Val-Vol (2)'!$V$4:$V$2000,$C$5,'Val-Vol (2)'!$D$4:$D$2000,C31,'Val-Vol (2)'!$T$4:$T$2000,1)</f>
        <v>0</v>
      </c>
      <c r="K31" s="88" t="str">
        <f t="shared" si="7"/>
        <v/>
      </c>
      <c r="M31" s="109">
        <v>0</v>
      </c>
      <c r="P31"/>
      <c r="Q31"/>
      <c r="R31"/>
      <c r="S31"/>
      <c r="T31"/>
      <c r="U31"/>
      <c r="V31"/>
      <c r="W31"/>
      <c r="Z31" s="29" t="s">
        <v>81</v>
      </c>
      <c r="AA31">
        <f t="shared" si="2"/>
        <v>0</v>
      </c>
      <c r="AB31" s="134">
        <v>0</v>
      </c>
      <c r="AC31" s="134">
        <v>0</v>
      </c>
      <c r="AD31" s="134">
        <v>0</v>
      </c>
      <c r="AE31" s="134">
        <v>0</v>
      </c>
      <c r="AF31" s="134">
        <v>0</v>
      </c>
      <c r="AG31" s="134">
        <v>0</v>
      </c>
      <c r="AH31" s="134">
        <v>0</v>
      </c>
      <c r="AI31" s="134">
        <v>0</v>
      </c>
      <c r="AJ31" s="134">
        <v>0</v>
      </c>
      <c r="AK31" s="134">
        <v>1</v>
      </c>
      <c r="AL31" s="4">
        <f t="shared" si="3"/>
        <v>0</v>
      </c>
      <c r="AM31" s="106">
        <f t="shared" si="8"/>
        <v>0</v>
      </c>
      <c r="AO31" s="4">
        <f t="shared" si="9"/>
        <v>1</v>
      </c>
    </row>
    <row r="32" spans="1:41" x14ac:dyDescent="0.25">
      <c r="A32" s="4" t="str">
        <f t="shared" si="0"/>
        <v>06  - Boi</v>
      </c>
      <c r="B32" s="4" t="str">
        <f t="shared" si="1"/>
        <v xml:space="preserve">Boi - 06 </v>
      </c>
      <c r="C32" s="29" t="s">
        <v>3</v>
      </c>
      <c r="D32" s="25">
        <f>SUMIFS('Val-Vol (2)'!$I$4:$I$2000,'Val-Vol (2)'!$V$4:$V$2000,$C$5,'Val-Vol (2)'!$A$4:$A$2000,C32,'Val-Vol (2)'!$U$4:$U$2000,1)</f>
        <v>20413.699929766401</v>
      </c>
      <c r="E32" s="30">
        <f t="shared" si="10"/>
        <v>3.1307673274417434E-2</v>
      </c>
      <c r="F32" s="83">
        <f>SUMIFS('Val-Vol (2)'!$H$4:$H$2000,'Val-Vol (2)'!$V$4:$V$2000,$C$5,'Val-Vol (2)'!$A$4:$A$2000,C32,'Val-Vol (2)'!$U$4:$U$2000,1)</f>
        <v>0</v>
      </c>
      <c r="G32" s="88">
        <f t="shared" si="5"/>
        <v>1</v>
      </c>
      <c r="H32" s="25">
        <f>SUMIFS('Val-Vol (2)'!$I$4:$I$2000,'Val-Vol (2)'!$V$4:$V$2000,$C$5,'Val-Vol (2)'!$D$4:$D$2000,C32,'Val-Vol (2)'!$T$4:$T$2000,1)</f>
        <v>0</v>
      </c>
      <c r="I32" s="32" t="str">
        <f t="shared" si="6"/>
        <v/>
      </c>
      <c r="J32" s="114">
        <f>SUMIFS('Val-Vol (2)'!$H$4:$H$2000,'Val-Vol (2)'!$V$4:$V$2000,$C$5,'Val-Vol (2)'!$D$4:$D$2000,C32,'Val-Vol (2)'!$T$4:$T$2000,1)</f>
        <v>0</v>
      </c>
      <c r="K32" s="88" t="str">
        <f t="shared" si="7"/>
        <v/>
      </c>
      <c r="M32" s="109">
        <v>0</v>
      </c>
      <c r="P32"/>
      <c r="Q32"/>
      <c r="R32"/>
      <c r="S32"/>
      <c r="T32"/>
      <c r="U32"/>
      <c r="V32"/>
      <c r="W32"/>
      <c r="Z32" s="29" t="s">
        <v>3</v>
      </c>
      <c r="AA32">
        <f t="shared" si="2"/>
        <v>0</v>
      </c>
      <c r="AB32" s="134">
        <v>0</v>
      </c>
      <c r="AC32" s="134">
        <v>0</v>
      </c>
      <c r="AD32" s="134">
        <v>0</v>
      </c>
      <c r="AE32" s="134">
        <v>0</v>
      </c>
      <c r="AF32" s="134">
        <v>0</v>
      </c>
      <c r="AG32" s="134">
        <v>0</v>
      </c>
      <c r="AH32" s="134">
        <v>0</v>
      </c>
      <c r="AI32" s="134">
        <v>0</v>
      </c>
      <c r="AJ32" s="134">
        <v>0</v>
      </c>
      <c r="AK32" s="134">
        <v>1</v>
      </c>
      <c r="AL32" s="4">
        <f t="shared" si="3"/>
        <v>0</v>
      </c>
      <c r="AM32" s="106">
        <f t="shared" si="8"/>
        <v>0</v>
      </c>
      <c r="AO32" s="4">
        <f t="shared" si="9"/>
        <v>1</v>
      </c>
    </row>
    <row r="33" spans="1:41" x14ac:dyDescent="0.25">
      <c r="A33" s="4" t="str">
        <f t="shared" si="0"/>
        <v>07  - Boi</v>
      </c>
      <c r="B33" s="4" t="str">
        <f t="shared" si="1"/>
        <v xml:space="preserve">Boi - 07 </v>
      </c>
      <c r="C33" s="29" t="s">
        <v>59</v>
      </c>
      <c r="D33" s="25">
        <f>SUMIFS('Val-Vol (2)'!$I$4:$I$2000,'Val-Vol (2)'!$V$4:$V$2000,$C$5,'Val-Vol (2)'!$A$4:$A$2000,C33,'Val-Vol (2)'!$U$4:$U$2000,1)</f>
        <v>0</v>
      </c>
      <c r="E33" s="30" t="str">
        <f t="shared" si="10"/>
        <v/>
      </c>
      <c r="F33" s="83">
        <f>SUMIFS('Val-Vol (2)'!$H$4:$H$2000,'Val-Vol (2)'!$V$4:$V$2000,$C$5,'Val-Vol (2)'!$A$4:$A$2000,C33,'Val-Vol (2)'!$U$4:$U$2000,1)</f>
        <v>0</v>
      </c>
      <c r="G33" s="88" t="str">
        <f t="shared" si="5"/>
        <v/>
      </c>
      <c r="H33" s="25">
        <f>SUMIFS('Val-Vol (2)'!$I$4:$I$2000,'Val-Vol (2)'!$V$4:$V$2000,$C$5,'Val-Vol (2)'!$D$4:$D$2000,C33,'Val-Vol (2)'!$T$4:$T$2000,1)</f>
        <v>0</v>
      </c>
      <c r="I33" s="32" t="str">
        <f t="shared" si="6"/>
        <v/>
      </c>
      <c r="J33" s="114">
        <f>SUMIFS('Val-Vol (2)'!$H$4:$H$2000,'Val-Vol (2)'!$V$4:$V$2000,$C$5,'Val-Vol (2)'!$D$4:$D$2000,C33,'Val-Vol (2)'!$T$4:$T$2000,1)</f>
        <v>0</v>
      </c>
      <c r="K33" s="88" t="str">
        <f t="shared" si="7"/>
        <v/>
      </c>
      <c r="M33" s="109">
        <v>0</v>
      </c>
      <c r="P33"/>
      <c r="Q33"/>
      <c r="R33"/>
      <c r="S33"/>
      <c r="T33"/>
      <c r="U33"/>
      <c r="V33"/>
      <c r="W33"/>
      <c r="Z33" s="29" t="s">
        <v>59</v>
      </c>
      <c r="AA33">
        <f t="shared" si="2"/>
        <v>0</v>
      </c>
      <c r="AB33" s="134">
        <v>0</v>
      </c>
      <c r="AC33" s="134">
        <v>0</v>
      </c>
      <c r="AD33" s="134">
        <v>0</v>
      </c>
      <c r="AE33" s="134">
        <v>0</v>
      </c>
      <c r="AF33" s="134">
        <v>0</v>
      </c>
      <c r="AG33" s="134">
        <v>0</v>
      </c>
      <c r="AH33" s="134">
        <v>0</v>
      </c>
      <c r="AI33" s="134">
        <v>0</v>
      </c>
      <c r="AJ33" s="134">
        <v>0</v>
      </c>
      <c r="AK33" s="134">
        <v>0</v>
      </c>
      <c r="AL33" s="4">
        <f t="shared" si="3"/>
        <v>0</v>
      </c>
      <c r="AM33" s="106">
        <f t="shared" si="8"/>
        <v>0</v>
      </c>
      <c r="AO33" s="4">
        <f t="shared" si="9"/>
        <v>0</v>
      </c>
    </row>
    <row r="34" spans="1:41" x14ac:dyDescent="0.25">
      <c r="A34" s="4" t="str">
        <f t="shared" si="0"/>
        <v>08  - Boi</v>
      </c>
      <c r="B34" s="4" t="str">
        <f t="shared" si="1"/>
        <v xml:space="preserve">Boi - 08 </v>
      </c>
      <c r="C34" s="29" t="s">
        <v>4</v>
      </c>
      <c r="D34" s="25">
        <f>SUMIFS('Val-Vol (2)'!$I$4:$I$2000,'Val-Vol (2)'!$V$4:$V$2000,$C$5,'Val-Vol (2)'!$A$4:$A$2000,C34,'Val-Vol (2)'!$U$4:$U$2000,1)</f>
        <v>0</v>
      </c>
      <c r="E34" s="30" t="str">
        <f t="shared" si="10"/>
        <v/>
      </c>
      <c r="F34" s="83">
        <f>SUMIFS('Val-Vol (2)'!$H$4:$H$2000,'Val-Vol (2)'!$V$4:$V$2000,$C$5,'Val-Vol (2)'!$A$4:$A$2000,C34,'Val-Vol (2)'!$U$4:$U$2000,1)</f>
        <v>0</v>
      </c>
      <c r="G34" s="88" t="str">
        <f t="shared" si="5"/>
        <v/>
      </c>
      <c r="H34" s="25">
        <f>SUMIFS('Val-Vol (2)'!$I$4:$I$2000,'Val-Vol (2)'!$V$4:$V$2000,$C$5,'Val-Vol (2)'!$D$4:$D$2000,C34,'Val-Vol (2)'!$T$4:$T$2000,1)</f>
        <v>0</v>
      </c>
      <c r="I34" s="32" t="str">
        <f t="shared" si="6"/>
        <v/>
      </c>
      <c r="J34" s="114">
        <f>SUMIFS('Val-Vol (2)'!$H$4:$H$2000,'Val-Vol (2)'!$V$4:$V$2000,$C$5,'Val-Vol (2)'!$D$4:$D$2000,C34,'Val-Vol (2)'!$T$4:$T$2000,1)</f>
        <v>0</v>
      </c>
      <c r="K34" s="88" t="str">
        <f t="shared" si="7"/>
        <v/>
      </c>
      <c r="M34" s="109">
        <v>0</v>
      </c>
      <c r="P34"/>
      <c r="Q34"/>
      <c r="R34"/>
      <c r="S34"/>
      <c r="T34"/>
      <c r="U34"/>
      <c r="V34"/>
      <c r="W34"/>
      <c r="Z34" s="29" t="s">
        <v>4</v>
      </c>
      <c r="AA34">
        <f t="shared" si="2"/>
        <v>0</v>
      </c>
      <c r="AB34" s="134">
        <v>0</v>
      </c>
      <c r="AC34" s="134">
        <v>1</v>
      </c>
      <c r="AD34" s="134">
        <v>0</v>
      </c>
      <c r="AE34" s="134">
        <v>0</v>
      </c>
      <c r="AF34" s="134">
        <v>0</v>
      </c>
      <c r="AG34" s="134">
        <v>0</v>
      </c>
      <c r="AH34" s="134">
        <v>0</v>
      </c>
      <c r="AI34" s="134">
        <v>0</v>
      </c>
      <c r="AJ34" s="134">
        <v>0</v>
      </c>
      <c r="AK34" s="134">
        <v>0</v>
      </c>
      <c r="AL34" s="4">
        <f t="shared" si="3"/>
        <v>0</v>
      </c>
      <c r="AM34" s="106">
        <f t="shared" si="8"/>
        <v>0</v>
      </c>
      <c r="AO34" s="4">
        <f t="shared" si="9"/>
        <v>1</v>
      </c>
    </row>
    <row r="35" spans="1:41" x14ac:dyDescent="0.25">
      <c r="A35" s="4" t="str">
        <f t="shared" si="0"/>
        <v>09  - Boi</v>
      </c>
      <c r="B35" s="4" t="str">
        <f t="shared" si="1"/>
        <v xml:space="preserve">Boi - 09 </v>
      </c>
      <c r="C35" s="29" t="s">
        <v>5</v>
      </c>
      <c r="D35" s="25">
        <f>SUMIFS('Val-Vol (2)'!$I$4:$I$2000,'Val-Vol (2)'!$V$4:$V$2000,$C$5,'Val-Vol (2)'!$A$4:$A$2000,C35,'Val-Vol (2)'!$U$4:$U$2000,1)</f>
        <v>0</v>
      </c>
      <c r="E35" s="30" t="str">
        <f t="shared" si="10"/>
        <v/>
      </c>
      <c r="F35" s="83">
        <f>SUMIFS('Val-Vol (2)'!$H$4:$H$2000,'Val-Vol (2)'!$V$4:$V$2000,$C$5,'Val-Vol (2)'!$A$4:$A$2000,C35,'Val-Vol (2)'!$U$4:$U$2000,1)</f>
        <v>0</v>
      </c>
      <c r="G35" s="88" t="str">
        <f t="shared" si="5"/>
        <v/>
      </c>
      <c r="H35" s="25">
        <f>SUMIFS('Val-Vol (2)'!$I$4:$I$2000,'Val-Vol (2)'!$V$4:$V$2000,$C$5,'Val-Vol (2)'!$D$4:$D$2000,C35,'Val-Vol (2)'!$T$4:$T$2000,1)</f>
        <v>0</v>
      </c>
      <c r="I35" s="32" t="str">
        <f t="shared" si="6"/>
        <v/>
      </c>
      <c r="J35" s="114">
        <f>SUMIFS('Val-Vol (2)'!$H$4:$H$2000,'Val-Vol (2)'!$V$4:$V$2000,$C$5,'Val-Vol (2)'!$D$4:$D$2000,C35,'Val-Vol (2)'!$T$4:$T$2000,1)</f>
        <v>0</v>
      </c>
      <c r="K35" s="88" t="str">
        <f t="shared" si="7"/>
        <v/>
      </c>
      <c r="M35" s="109">
        <v>0</v>
      </c>
      <c r="P35"/>
      <c r="Q35"/>
      <c r="R35"/>
      <c r="S35"/>
      <c r="T35"/>
      <c r="U35"/>
      <c r="V35"/>
      <c r="W35"/>
      <c r="Z35" s="29" t="s">
        <v>5</v>
      </c>
      <c r="AA35">
        <f t="shared" si="2"/>
        <v>0</v>
      </c>
      <c r="AB35" s="134">
        <v>0</v>
      </c>
      <c r="AC35" s="134">
        <v>1</v>
      </c>
      <c r="AD35" s="134">
        <v>0</v>
      </c>
      <c r="AE35" s="134">
        <v>0</v>
      </c>
      <c r="AF35" s="134">
        <v>0</v>
      </c>
      <c r="AG35" s="134">
        <v>0</v>
      </c>
      <c r="AH35" s="134">
        <v>0</v>
      </c>
      <c r="AI35" s="134">
        <v>0</v>
      </c>
      <c r="AJ35" s="134">
        <v>0</v>
      </c>
      <c r="AK35" s="134">
        <v>0</v>
      </c>
      <c r="AL35" s="4">
        <f t="shared" si="3"/>
        <v>0</v>
      </c>
      <c r="AM35" s="106">
        <f t="shared" si="8"/>
        <v>0</v>
      </c>
      <c r="AO35" s="4">
        <f t="shared" si="9"/>
        <v>1</v>
      </c>
    </row>
    <row r="36" spans="1:41" x14ac:dyDescent="0.25">
      <c r="A36" s="4" t="str">
        <f t="shared" si="0"/>
        <v>10  - Boi</v>
      </c>
      <c r="B36" s="4" t="str">
        <f t="shared" si="1"/>
        <v xml:space="preserve">Boi - 10 </v>
      </c>
      <c r="C36" s="29" t="s">
        <v>82</v>
      </c>
      <c r="D36" s="25">
        <f>SUMIFS('Val-Vol (2)'!$I$4:$I$2000,'Val-Vol (2)'!$V$4:$V$2000,$C$5,'Val-Vol (2)'!$A$4:$A$2000,C36,'Val-Vol (2)'!$U$4:$U$2000,1)</f>
        <v>0</v>
      </c>
      <c r="E36" s="30" t="str">
        <f t="shared" ref="E36:E82" si="11">IF(AND(ISNUMBER(D36),D36&lt;&gt;0),D36/$D$13,"")</f>
        <v/>
      </c>
      <c r="F36" s="83">
        <f>SUMIFS('Val-Vol (2)'!$H$4:$H$2000,'Val-Vol (2)'!$V$4:$V$2000,$C$5,'Val-Vol (2)'!$A$4:$A$2000,C36,'Val-Vol (2)'!$U$4:$U$2000,1)</f>
        <v>0</v>
      </c>
      <c r="G36" s="88" t="str">
        <f t="shared" si="5"/>
        <v/>
      </c>
      <c r="H36" s="25">
        <f>SUMIFS('Val-Vol (2)'!$I$4:$I$2000,'Val-Vol (2)'!$V$4:$V$2000,$C$5,'Val-Vol (2)'!$D$4:$D$2000,C36,'Val-Vol (2)'!$T$4:$T$2000,1)</f>
        <v>0</v>
      </c>
      <c r="I36" s="32" t="str">
        <f t="shared" si="6"/>
        <v/>
      </c>
      <c r="J36" s="114">
        <f>SUMIFS('Val-Vol (2)'!$H$4:$H$2000,'Val-Vol (2)'!$V$4:$V$2000,$C$5,'Val-Vol (2)'!$D$4:$D$2000,C36,'Val-Vol (2)'!$T$4:$T$2000,1)</f>
        <v>0</v>
      </c>
      <c r="K36" s="88" t="str">
        <f t="shared" si="7"/>
        <v/>
      </c>
      <c r="M36" s="109">
        <v>0</v>
      </c>
      <c r="P36"/>
      <c r="Q36"/>
      <c r="R36"/>
      <c r="S36"/>
      <c r="T36"/>
      <c r="U36"/>
      <c r="V36"/>
      <c r="W36"/>
      <c r="Z36" s="29" t="s">
        <v>82</v>
      </c>
      <c r="AA36">
        <f t="shared" si="2"/>
        <v>0</v>
      </c>
      <c r="AB36" s="134">
        <v>0</v>
      </c>
      <c r="AC36" s="134">
        <v>1</v>
      </c>
      <c r="AD36" s="134">
        <v>0</v>
      </c>
      <c r="AE36" s="134">
        <v>0</v>
      </c>
      <c r="AF36" s="134">
        <v>0</v>
      </c>
      <c r="AG36" s="134">
        <v>0</v>
      </c>
      <c r="AH36" s="134">
        <v>0</v>
      </c>
      <c r="AI36" s="134">
        <v>0</v>
      </c>
      <c r="AJ36" s="134">
        <v>0</v>
      </c>
      <c r="AK36" s="134">
        <v>0</v>
      </c>
      <c r="AL36" s="4">
        <f t="shared" si="3"/>
        <v>0</v>
      </c>
      <c r="AM36" s="106">
        <f t="shared" si="8"/>
        <v>0</v>
      </c>
      <c r="AO36" s="4">
        <f t="shared" si="9"/>
        <v>1</v>
      </c>
    </row>
    <row r="37" spans="1:41" x14ac:dyDescent="0.25">
      <c r="A37" s="4" t="str">
        <f t="shared" si="0"/>
        <v>11  - Boi</v>
      </c>
      <c r="B37" s="4" t="str">
        <f t="shared" si="1"/>
        <v xml:space="preserve">Boi - 11 </v>
      </c>
      <c r="C37" s="29" t="s">
        <v>6</v>
      </c>
      <c r="D37" s="25">
        <f>SUMIFS('Val-Vol (2)'!$I$4:$I$2000,'Val-Vol (2)'!$V$4:$V$2000,$C$5,'Val-Vol (2)'!$A$4:$A$2000,C37,'Val-Vol (2)'!$U$4:$U$2000,1)</f>
        <v>0</v>
      </c>
      <c r="E37" s="30" t="str">
        <f t="shared" si="11"/>
        <v/>
      </c>
      <c r="F37" s="83">
        <f>SUMIFS('Val-Vol (2)'!$H$4:$H$2000,'Val-Vol (2)'!$V$4:$V$2000,$C$5,'Val-Vol (2)'!$A$4:$A$2000,C37,'Val-Vol (2)'!$U$4:$U$2000,1)</f>
        <v>0</v>
      </c>
      <c r="G37" s="88" t="str">
        <f t="shared" si="5"/>
        <v/>
      </c>
      <c r="H37" s="25">
        <f>SUMIFS('Val-Vol (2)'!$I$4:$I$2000,'Val-Vol (2)'!$V$4:$V$2000,$C$5,'Val-Vol (2)'!$D$4:$D$2000,C37,'Val-Vol (2)'!$T$4:$T$2000,1)</f>
        <v>0</v>
      </c>
      <c r="I37" s="32" t="str">
        <f t="shared" si="6"/>
        <v/>
      </c>
      <c r="J37" s="114">
        <f>SUMIFS('Val-Vol (2)'!$H$4:$H$2000,'Val-Vol (2)'!$V$4:$V$2000,$C$5,'Val-Vol (2)'!$D$4:$D$2000,C37,'Val-Vol (2)'!$T$4:$T$2000,1)</f>
        <v>0</v>
      </c>
      <c r="K37" s="88" t="str">
        <f t="shared" si="7"/>
        <v/>
      </c>
      <c r="M37" s="109">
        <v>1</v>
      </c>
      <c r="P37"/>
      <c r="Q37"/>
      <c r="R37"/>
      <c r="S37"/>
      <c r="T37"/>
      <c r="U37"/>
      <c r="V37"/>
      <c r="W37"/>
      <c r="Z37" s="29" t="s">
        <v>6</v>
      </c>
      <c r="AA37">
        <f t="shared" si="2"/>
        <v>1</v>
      </c>
      <c r="AB37" s="134">
        <v>0</v>
      </c>
      <c r="AC37" s="134">
        <v>1</v>
      </c>
      <c r="AD37" s="134">
        <v>0</v>
      </c>
      <c r="AE37" s="134">
        <v>0</v>
      </c>
      <c r="AF37" s="134">
        <v>0</v>
      </c>
      <c r="AG37" s="134">
        <v>0</v>
      </c>
      <c r="AH37" s="134">
        <v>0</v>
      </c>
      <c r="AI37" s="134">
        <v>0</v>
      </c>
      <c r="AJ37" s="134">
        <v>0</v>
      </c>
      <c r="AK37" s="134">
        <v>0</v>
      </c>
      <c r="AL37" s="4">
        <f t="shared" si="3"/>
        <v>0</v>
      </c>
      <c r="AM37" s="106">
        <f t="shared" si="8"/>
        <v>0</v>
      </c>
      <c r="AO37" s="4">
        <f t="shared" si="9"/>
        <v>1</v>
      </c>
    </row>
    <row r="38" spans="1:41" x14ac:dyDescent="0.25">
      <c r="A38" s="4" t="str">
        <f t="shared" si="0"/>
        <v>12  - Boi</v>
      </c>
      <c r="B38" s="4" t="str">
        <f t="shared" si="1"/>
        <v xml:space="preserve">Boi - 12 </v>
      </c>
      <c r="C38" s="29" t="s">
        <v>7</v>
      </c>
      <c r="D38" s="25">
        <f>SUMIFS('Val-Vol (2)'!$I$4:$I$2000,'Val-Vol (2)'!$V$4:$V$2000,$C$5,'Val-Vol (2)'!$A$4:$A$2000,C38,'Val-Vol (2)'!$U$4:$U$2000,1)</f>
        <v>0</v>
      </c>
      <c r="E38" s="30" t="str">
        <f t="shared" si="11"/>
        <v/>
      </c>
      <c r="F38" s="83">
        <f>SUMIFS('Val-Vol (2)'!$H$4:$H$2000,'Val-Vol (2)'!$V$4:$V$2000,$C$5,'Val-Vol (2)'!$A$4:$A$2000,C38,'Val-Vol (2)'!$U$4:$U$2000,1)</f>
        <v>0</v>
      </c>
      <c r="G38" s="88" t="str">
        <f t="shared" si="5"/>
        <v/>
      </c>
      <c r="H38" s="25">
        <f>SUMIFS('Val-Vol (2)'!$I$4:$I$2000,'Val-Vol (2)'!$V$4:$V$2000,$C$5,'Val-Vol (2)'!$D$4:$D$2000,C38,'Val-Vol (2)'!$T$4:$T$2000,1)</f>
        <v>0</v>
      </c>
      <c r="I38" s="32" t="str">
        <f t="shared" si="6"/>
        <v/>
      </c>
      <c r="J38" s="114">
        <f>SUMIFS('Val-Vol (2)'!$H$4:$H$2000,'Val-Vol (2)'!$V$4:$V$2000,$C$5,'Val-Vol (2)'!$D$4:$D$2000,C38,'Val-Vol (2)'!$T$4:$T$2000,1)</f>
        <v>0</v>
      </c>
      <c r="K38" s="88" t="str">
        <f t="shared" si="7"/>
        <v/>
      </c>
      <c r="M38" s="109">
        <v>0</v>
      </c>
      <c r="P38"/>
      <c r="Q38"/>
      <c r="R38"/>
      <c r="S38"/>
      <c r="T38"/>
      <c r="U38"/>
      <c r="V38"/>
      <c r="W38"/>
      <c r="Z38" s="29" t="s">
        <v>7</v>
      </c>
      <c r="AA38">
        <f t="shared" si="2"/>
        <v>0</v>
      </c>
      <c r="AB38" s="134">
        <v>0</v>
      </c>
      <c r="AC38" s="134">
        <v>1</v>
      </c>
      <c r="AD38" s="134">
        <v>0</v>
      </c>
      <c r="AE38" s="134">
        <v>0</v>
      </c>
      <c r="AF38" s="134">
        <v>0</v>
      </c>
      <c r="AG38" s="134">
        <v>0</v>
      </c>
      <c r="AH38" s="134">
        <v>0</v>
      </c>
      <c r="AI38" s="134">
        <v>0</v>
      </c>
      <c r="AJ38" s="134">
        <v>0</v>
      </c>
      <c r="AK38" s="134">
        <v>0</v>
      </c>
      <c r="AL38" s="4">
        <f t="shared" si="3"/>
        <v>0</v>
      </c>
      <c r="AM38" s="106">
        <f t="shared" si="8"/>
        <v>0</v>
      </c>
      <c r="AO38" s="4">
        <f t="shared" si="9"/>
        <v>1</v>
      </c>
    </row>
    <row r="39" spans="1:41" x14ac:dyDescent="0.25">
      <c r="A39" s="4" t="str">
        <f t="shared" si="0"/>
        <v>13  - Boi</v>
      </c>
      <c r="B39" s="4" t="str">
        <f t="shared" si="1"/>
        <v xml:space="preserve">Boi - 13 </v>
      </c>
      <c r="C39" s="29" t="s">
        <v>8</v>
      </c>
      <c r="D39" s="25">
        <f>SUMIFS('Val-Vol (2)'!$I$4:$I$2000,'Val-Vol (2)'!$V$4:$V$2000,$C$5,'Val-Vol (2)'!$A$4:$A$2000,C39,'Val-Vol (2)'!$U$4:$U$2000,1)</f>
        <v>0</v>
      </c>
      <c r="E39" s="30" t="str">
        <f t="shared" si="11"/>
        <v/>
      </c>
      <c r="F39" s="83">
        <f>SUMIFS('Val-Vol (2)'!$H$4:$H$2000,'Val-Vol (2)'!$V$4:$V$2000,$C$5,'Val-Vol (2)'!$A$4:$A$2000,C39,'Val-Vol (2)'!$U$4:$U$2000,1)</f>
        <v>0</v>
      </c>
      <c r="G39" s="88" t="str">
        <f t="shared" si="5"/>
        <v/>
      </c>
      <c r="H39" s="25">
        <f>SUMIFS('Val-Vol (2)'!$I$4:$I$2000,'Val-Vol (2)'!$V$4:$V$2000,$C$5,'Val-Vol (2)'!$D$4:$D$2000,C39,'Val-Vol (2)'!$T$4:$T$2000,1)</f>
        <v>0</v>
      </c>
      <c r="I39" s="32" t="str">
        <f t="shared" si="6"/>
        <v/>
      </c>
      <c r="J39" s="114">
        <f>SUMIFS('Val-Vol (2)'!$H$4:$H$2000,'Val-Vol (2)'!$V$4:$V$2000,$C$5,'Val-Vol (2)'!$D$4:$D$2000,C39,'Val-Vol (2)'!$T$4:$T$2000,1)</f>
        <v>0</v>
      </c>
      <c r="K39" s="88" t="str">
        <f t="shared" si="7"/>
        <v/>
      </c>
      <c r="M39" s="109">
        <v>0</v>
      </c>
      <c r="P39"/>
      <c r="Q39"/>
      <c r="R39"/>
      <c r="S39"/>
      <c r="T39"/>
      <c r="U39"/>
      <c r="V39"/>
      <c r="W39"/>
      <c r="Z39" s="29" t="s">
        <v>8</v>
      </c>
      <c r="AA39">
        <f t="shared" si="2"/>
        <v>0</v>
      </c>
      <c r="AB39" s="134">
        <v>0</v>
      </c>
      <c r="AC39" s="134">
        <v>1</v>
      </c>
      <c r="AD39" s="134">
        <v>0</v>
      </c>
      <c r="AE39" s="134">
        <v>0</v>
      </c>
      <c r="AF39" s="134">
        <v>0</v>
      </c>
      <c r="AG39" s="134">
        <v>0</v>
      </c>
      <c r="AH39" s="134">
        <v>0</v>
      </c>
      <c r="AI39" s="134">
        <v>0</v>
      </c>
      <c r="AJ39" s="134">
        <v>0</v>
      </c>
      <c r="AK39" s="134">
        <v>0</v>
      </c>
      <c r="AL39" s="4">
        <f t="shared" si="3"/>
        <v>0</v>
      </c>
      <c r="AM39" s="106">
        <f t="shared" si="8"/>
        <v>0</v>
      </c>
      <c r="AO39" s="4">
        <f t="shared" si="9"/>
        <v>1</v>
      </c>
    </row>
    <row r="40" spans="1:41" x14ac:dyDescent="0.25">
      <c r="A40" s="4" t="str">
        <f t="shared" si="0"/>
        <v>14  - Boi</v>
      </c>
      <c r="B40" s="4" t="str">
        <f t="shared" si="1"/>
        <v xml:space="preserve">Boi - 14 </v>
      </c>
      <c r="C40" s="29" t="s">
        <v>83</v>
      </c>
      <c r="D40" s="25">
        <f>SUMIFS('Val-Vol (2)'!$I$4:$I$2000,'Val-Vol (2)'!$V$4:$V$2000,$C$5,'Val-Vol (2)'!$A$4:$A$2000,C40,'Val-Vol (2)'!$U$4:$U$2000,1)</f>
        <v>0</v>
      </c>
      <c r="E40" s="30" t="str">
        <f t="shared" si="11"/>
        <v/>
      </c>
      <c r="F40" s="83">
        <f>SUMIFS('Val-Vol (2)'!$H$4:$H$2000,'Val-Vol (2)'!$V$4:$V$2000,$C$5,'Val-Vol (2)'!$A$4:$A$2000,C40,'Val-Vol (2)'!$U$4:$U$2000,1)</f>
        <v>0</v>
      </c>
      <c r="G40" s="88" t="str">
        <f t="shared" si="5"/>
        <v/>
      </c>
      <c r="H40" s="25">
        <f>SUMIFS('Val-Vol (2)'!$I$4:$I$2000,'Val-Vol (2)'!$V$4:$V$2000,$C$5,'Val-Vol (2)'!$D$4:$D$2000,C40,'Val-Vol (2)'!$T$4:$T$2000,1)</f>
        <v>0</v>
      </c>
      <c r="I40" s="32" t="str">
        <f t="shared" si="6"/>
        <v/>
      </c>
      <c r="J40" s="114">
        <f>SUMIFS('Val-Vol (2)'!$H$4:$H$2000,'Val-Vol (2)'!$V$4:$V$2000,$C$5,'Val-Vol (2)'!$D$4:$D$2000,C40,'Val-Vol (2)'!$T$4:$T$2000,1)</f>
        <v>0</v>
      </c>
      <c r="K40" s="88" t="str">
        <f t="shared" si="7"/>
        <v/>
      </c>
      <c r="M40" s="109">
        <v>0</v>
      </c>
      <c r="P40"/>
      <c r="Q40"/>
      <c r="R40"/>
      <c r="S40"/>
      <c r="T40"/>
      <c r="U40"/>
      <c r="V40"/>
      <c r="W40"/>
      <c r="Z40" s="29" t="s">
        <v>83</v>
      </c>
      <c r="AA40">
        <f t="shared" si="2"/>
        <v>0</v>
      </c>
      <c r="AB40" s="134">
        <v>0</v>
      </c>
      <c r="AC40" s="134">
        <v>1</v>
      </c>
      <c r="AD40" s="134">
        <v>0</v>
      </c>
      <c r="AE40" s="134">
        <v>0</v>
      </c>
      <c r="AF40" s="134">
        <v>0</v>
      </c>
      <c r="AG40" s="134">
        <v>0</v>
      </c>
      <c r="AH40" s="134">
        <v>0</v>
      </c>
      <c r="AI40" s="134">
        <v>0</v>
      </c>
      <c r="AJ40" s="134">
        <v>0</v>
      </c>
      <c r="AK40" s="134">
        <v>0</v>
      </c>
      <c r="AL40" s="4">
        <f t="shared" si="3"/>
        <v>0</v>
      </c>
      <c r="AM40" s="106">
        <f t="shared" si="8"/>
        <v>0</v>
      </c>
      <c r="AO40" s="4">
        <f t="shared" si="9"/>
        <v>1</v>
      </c>
    </row>
    <row r="41" spans="1:41" x14ac:dyDescent="0.25">
      <c r="A41" s="4" t="str">
        <f t="shared" si="0"/>
        <v>15  - Boi</v>
      </c>
      <c r="B41" s="4" t="str">
        <f t="shared" si="1"/>
        <v xml:space="preserve">Boi - 15 </v>
      </c>
      <c r="C41" s="29" t="s">
        <v>9</v>
      </c>
      <c r="D41" s="25">
        <f>SUMIFS('Val-Vol (2)'!$I$4:$I$2000,'Val-Vol (2)'!$V$4:$V$2000,$C$5,'Val-Vol (2)'!$A$4:$A$2000,C41,'Val-Vol (2)'!$U$4:$U$2000,1)</f>
        <v>0</v>
      </c>
      <c r="E41" s="30" t="str">
        <f t="shared" si="11"/>
        <v/>
      </c>
      <c r="F41" s="83">
        <f>SUMIFS('Val-Vol (2)'!$H$4:$H$2000,'Val-Vol (2)'!$V$4:$V$2000,$C$5,'Val-Vol (2)'!$A$4:$A$2000,C41,'Val-Vol (2)'!$U$4:$U$2000,1)</f>
        <v>0</v>
      </c>
      <c r="G41" s="88" t="str">
        <f t="shared" si="5"/>
        <v/>
      </c>
      <c r="H41" s="25">
        <f>SUMIFS('Val-Vol (2)'!$I$4:$I$2000,'Val-Vol (2)'!$V$4:$V$2000,$C$5,'Val-Vol (2)'!$D$4:$D$2000,C41,'Val-Vol (2)'!$T$4:$T$2000,1)</f>
        <v>0</v>
      </c>
      <c r="I41" s="32" t="str">
        <f t="shared" si="6"/>
        <v/>
      </c>
      <c r="J41" s="114">
        <f>SUMIFS('Val-Vol (2)'!$H$4:$H$2000,'Val-Vol (2)'!$V$4:$V$2000,$C$5,'Val-Vol (2)'!$D$4:$D$2000,C41,'Val-Vol (2)'!$T$4:$T$2000,1)</f>
        <v>0</v>
      </c>
      <c r="K41" s="88" t="str">
        <f t="shared" si="7"/>
        <v/>
      </c>
      <c r="M41" s="109">
        <v>0</v>
      </c>
      <c r="P41"/>
      <c r="Q41"/>
      <c r="R41"/>
      <c r="S41"/>
      <c r="T41"/>
      <c r="U41"/>
      <c r="V41"/>
      <c r="W41"/>
      <c r="Z41" s="29" t="s">
        <v>9</v>
      </c>
      <c r="AA41">
        <f t="shared" si="2"/>
        <v>0</v>
      </c>
      <c r="AB41" s="134">
        <v>0</v>
      </c>
      <c r="AC41" s="134">
        <v>1</v>
      </c>
      <c r="AD41" s="134">
        <v>0</v>
      </c>
      <c r="AE41" s="134">
        <v>0</v>
      </c>
      <c r="AF41" s="134">
        <v>0</v>
      </c>
      <c r="AG41" s="134">
        <v>0</v>
      </c>
      <c r="AH41" s="134">
        <v>0</v>
      </c>
      <c r="AI41" s="134">
        <v>0</v>
      </c>
      <c r="AJ41" s="134">
        <v>0</v>
      </c>
      <c r="AK41" s="134">
        <v>0</v>
      </c>
      <c r="AL41" s="4">
        <f t="shared" si="3"/>
        <v>0</v>
      </c>
      <c r="AM41" s="106">
        <f t="shared" si="8"/>
        <v>0</v>
      </c>
      <c r="AO41" s="4">
        <f t="shared" si="9"/>
        <v>1</v>
      </c>
    </row>
    <row r="42" spans="1:41" x14ac:dyDescent="0.25">
      <c r="A42" s="4" t="str">
        <f t="shared" si="0"/>
        <v>16  - Boi</v>
      </c>
      <c r="B42" s="4" t="str">
        <f t="shared" si="1"/>
        <v xml:space="preserve">Boi - 16 </v>
      </c>
      <c r="C42" s="29" t="s">
        <v>10</v>
      </c>
      <c r="D42" s="127">
        <f>SUMIFS('Val-Vol (2)'!$I$4:$I$2000,'Val-Vol (2)'!$V$4:$V$2000,$C$5,'Val-Vol (2)'!$A$4:$A$2000,C42,'Val-Vol (2)'!$U$4:$U$2000,1)</f>
        <v>0</v>
      </c>
      <c r="E42" s="30" t="str">
        <f t="shared" si="11"/>
        <v/>
      </c>
      <c r="F42" s="83">
        <f>SUMIFS('Val-Vol (2)'!$H$4:$H$2000,'Val-Vol (2)'!$V$4:$V$2000,$C$5,'Val-Vol (2)'!$A$4:$A$2000,C42,'Val-Vol (2)'!$U$4:$U$2000,1)</f>
        <v>0</v>
      </c>
      <c r="G42" s="88" t="str">
        <f t="shared" si="5"/>
        <v/>
      </c>
      <c r="H42" s="25">
        <f>SUMIFS('Val-Vol (2)'!$I$4:$I$2000,'Val-Vol (2)'!$V$4:$V$2000,$C$5,'Val-Vol (2)'!$D$4:$D$2000,C42,'Val-Vol (2)'!$T$4:$T$2000,1)</f>
        <v>0</v>
      </c>
      <c r="I42" s="32" t="str">
        <f t="shared" si="6"/>
        <v/>
      </c>
      <c r="J42" s="114">
        <f>SUMIFS('Val-Vol (2)'!$H$4:$H$2000,'Val-Vol (2)'!$V$4:$V$2000,$C$5,'Val-Vol (2)'!$D$4:$D$2000,C42,'Val-Vol (2)'!$T$4:$T$2000,1)</f>
        <v>0</v>
      </c>
      <c r="K42" s="88" t="str">
        <f t="shared" si="7"/>
        <v/>
      </c>
      <c r="M42" s="109">
        <v>0</v>
      </c>
      <c r="P42"/>
      <c r="Q42"/>
      <c r="R42"/>
      <c r="S42"/>
      <c r="T42"/>
      <c r="U42"/>
      <c r="V42"/>
      <c r="W42"/>
      <c r="Z42" s="29" t="s">
        <v>10</v>
      </c>
      <c r="AA42">
        <f t="shared" si="2"/>
        <v>0</v>
      </c>
      <c r="AB42" s="134">
        <v>0</v>
      </c>
      <c r="AC42" s="134">
        <v>1</v>
      </c>
      <c r="AD42" s="134">
        <v>0</v>
      </c>
      <c r="AE42" s="134">
        <v>0</v>
      </c>
      <c r="AF42" s="134">
        <v>0</v>
      </c>
      <c r="AG42" s="134">
        <v>0</v>
      </c>
      <c r="AH42" s="134">
        <v>0</v>
      </c>
      <c r="AI42" s="134">
        <v>0</v>
      </c>
      <c r="AJ42" s="134">
        <v>0</v>
      </c>
      <c r="AK42" s="134">
        <v>0</v>
      </c>
      <c r="AL42" s="4">
        <f t="shared" si="3"/>
        <v>0</v>
      </c>
      <c r="AM42" s="106">
        <f t="shared" si="8"/>
        <v>0</v>
      </c>
      <c r="AO42" s="4">
        <f t="shared" si="9"/>
        <v>1</v>
      </c>
    </row>
    <row r="43" spans="1:41" x14ac:dyDescent="0.25">
      <c r="A43" s="4" t="str">
        <f t="shared" si="0"/>
        <v>17  - Boi</v>
      </c>
      <c r="B43" s="4" t="str">
        <f t="shared" si="1"/>
        <v xml:space="preserve">Boi - 17 </v>
      </c>
      <c r="C43" s="29" t="s">
        <v>84</v>
      </c>
      <c r="D43" s="25">
        <f>SUMIFS('Val-Vol (2)'!$I$4:$I$2000,'Val-Vol (2)'!$V$4:$V$2000,$C$5,'Val-Vol (2)'!$A$4:$A$2000,C43,'Val-Vol (2)'!$U$4:$U$2000,1)</f>
        <v>0</v>
      </c>
      <c r="E43" s="30" t="str">
        <f t="shared" si="11"/>
        <v/>
      </c>
      <c r="F43" s="83">
        <f>SUMIFS('Val-Vol (2)'!$H$4:$H$2000,'Val-Vol (2)'!$V$4:$V$2000,$C$5,'Val-Vol (2)'!$A$4:$A$2000,C43,'Val-Vol (2)'!$U$4:$U$2000,1)</f>
        <v>0</v>
      </c>
      <c r="G43" s="88" t="str">
        <f t="shared" si="5"/>
        <v/>
      </c>
      <c r="H43" s="25">
        <f>SUMIFS('Val-Vol (2)'!$I$4:$I$2000,'Val-Vol (2)'!$V$4:$V$2000,$C$5,'Val-Vol (2)'!$D$4:$D$2000,C43,'Val-Vol (2)'!$T$4:$T$2000,1)</f>
        <v>0</v>
      </c>
      <c r="I43" s="32" t="str">
        <f t="shared" si="6"/>
        <v/>
      </c>
      <c r="J43" s="114">
        <f>SUMIFS('Val-Vol (2)'!$H$4:$H$2000,'Val-Vol (2)'!$V$4:$V$2000,$C$5,'Val-Vol (2)'!$D$4:$D$2000,C43,'Val-Vol (2)'!$T$4:$T$2000,1)</f>
        <v>0</v>
      </c>
      <c r="K43" s="88" t="str">
        <f t="shared" si="7"/>
        <v/>
      </c>
      <c r="M43" s="109">
        <v>1</v>
      </c>
      <c r="P43"/>
      <c r="Q43"/>
      <c r="R43"/>
      <c r="S43"/>
      <c r="T43"/>
      <c r="U43"/>
      <c r="V43"/>
      <c r="W43"/>
      <c r="Z43" s="29" t="s">
        <v>84</v>
      </c>
      <c r="AA43">
        <f t="shared" si="2"/>
        <v>1</v>
      </c>
      <c r="AB43" s="134">
        <v>0</v>
      </c>
      <c r="AC43" s="134">
        <v>1</v>
      </c>
      <c r="AD43" s="134">
        <v>0</v>
      </c>
      <c r="AE43" s="134">
        <v>0</v>
      </c>
      <c r="AF43" s="134">
        <v>0</v>
      </c>
      <c r="AG43" s="134">
        <v>0</v>
      </c>
      <c r="AH43" s="134">
        <v>0</v>
      </c>
      <c r="AI43" s="134">
        <v>0</v>
      </c>
      <c r="AJ43" s="134">
        <v>0</v>
      </c>
      <c r="AK43" s="134">
        <v>0</v>
      </c>
      <c r="AL43" s="4">
        <f t="shared" si="3"/>
        <v>0</v>
      </c>
      <c r="AM43" s="106">
        <f t="shared" si="8"/>
        <v>0</v>
      </c>
      <c r="AO43" s="4">
        <f t="shared" si="9"/>
        <v>1</v>
      </c>
    </row>
    <row r="44" spans="1:41" x14ac:dyDescent="0.25">
      <c r="A44" s="4" t="str">
        <f t="shared" si="0"/>
        <v>18  - Boi</v>
      </c>
      <c r="B44" s="4" t="str">
        <f t="shared" si="1"/>
        <v xml:space="preserve">Boi - 18 </v>
      </c>
      <c r="C44" s="29" t="s">
        <v>11</v>
      </c>
      <c r="D44" s="25">
        <f>SUMIFS('Val-Vol (2)'!$I$4:$I$2000,'Val-Vol (2)'!$V$4:$V$2000,$C$5,'Val-Vol (2)'!$A$4:$A$2000,C44,'Val-Vol (2)'!$U$4:$U$2000,1)</f>
        <v>0</v>
      </c>
      <c r="E44" s="30" t="str">
        <f t="shared" si="11"/>
        <v/>
      </c>
      <c r="F44" s="83">
        <f>SUMIFS('Val-Vol (2)'!$H$4:$H$2000,'Val-Vol (2)'!$V$4:$V$2000,$C$5,'Val-Vol (2)'!$A$4:$A$2000,C44,'Val-Vol (2)'!$U$4:$U$2000,1)</f>
        <v>0</v>
      </c>
      <c r="G44" s="88" t="str">
        <f t="shared" si="5"/>
        <v/>
      </c>
      <c r="H44" s="25">
        <f>SUMIFS('Val-Vol (2)'!$I$4:$I$2000,'Val-Vol (2)'!$V$4:$V$2000,$C$5,'Val-Vol (2)'!$D$4:$D$2000,C44,'Val-Vol (2)'!$T$4:$T$2000,1)</f>
        <v>0</v>
      </c>
      <c r="I44" s="32" t="str">
        <f t="shared" si="6"/>
        <v/>
      </c>
      <c r="J44" s="114">
        <f>SUMIFS('Val-Vol (2)'!$H$4:$H$2000,'Val-Vol (2)'!$V$4:$V$2000,$C$5,'Val-Vol (2)'!$D$4:$D$2000,C44,'Val-Vol (2)'!$T$4:$T$2000,1)</f>
        <v>0</v>
      </c>
      <c r="K44" s="88" t="str">
        <f t="shared" si="7"/>
        <v/>
      </c>
      <c r="M44" s="109">
        <v>0</v>
      </c>
      <c r="P44"/>
      <c r="Q44"/>
      <c r="R44"/>
      <c r="S44"/>
      <c r="T44"/>
      <c r="U44"/>
      <c r="V44"/>
      <c r="W44"/>
      <c r="Z44" s="29" t="s">
        <v>11</v>
      </c>
      <c r="AA44">
        <f t="shared" si="2"/>
        <v>0</v>
      </c>
      <c r="AB44" s="134">
        <v>0</v>
      </c>
      <c r="AC44" s="134">
        <v>1</v>
      </c>
      <c r="AD44" s="134">
        <v>0</v>
      </c>
      <c r="AE44" s="134">
        <v>0</v>
      </c>
      <c r="AF44" s="134">
        <v>0</v>
      </c>
      <c r="AG44" s="134">
        <v>0</v>
      </c>
      <c r="AH44" s="134">
        <v>0</v>
      </c>
      <c r="AI44" s="134">
        <v>0</v>
      </c>
      <c r="AJ44" s="134">
        <v>0</v>
      </c>
      <c r="AK44" s="134">
        <v>0</v>
      </c>
      <c r="AL44" s="4">
        <f t="shared" si="3"/>
        <v>0</v>
      </c>
      <c r="AM44" s="106">
        <f t="shared" si="8"/>
        <v>0</v>
      </c>
      <c r="AO44" s="4">
        <f t="shared" si="9"/>
        <v>1</v>
      </c>
    </row>
    <row r="45" spans="1:41" x14ac:dyDescent="0.25">
      <c r="A45" s="4" t="str">
        <f t="shared" si="0"/>
        <v>19  - Boi</v>
      </c>
      <c r="B45" s="4" t="str">
        <f t="shared" si="1"/>
        <v xml:space="preserve">Boi - 19 </v>
      </c>
      <c r="C45" s="29" t="s">
        <v>12</v>
      </c>
      <c r="D45" s="25">
        <f>SUMIFS('Val-Vol (2)'!$I$4:$I$2000,'Val-Vol (2)'!$V$4:$V$2000,$C$5,'Val-Vol (2)'!$A$4:$A$2000,C45,'Val-Vol (2)'!$U$4:$U$2000,1)</f>
        <v>167458.57117715749</v>
      </c>
      <c r="E45" s="30">
        <f t="shared" si="11"/>
        <v>0.25682449783493105</v>
      </c>
      <c r="F45" s="83">
        <f>SUMIFS('Val-Vol (2)'!$H$4:$H$2000,'Val-Vol (2)'!$V$4:$V$2000,$C$5,'Val-Vol (2)'!$A$4:$A$2000,C45,'Val-Vol (2)'!$U$4:$U$2000,1)</f>
        <v>42385.132580993784</v>
      </c>
      <c r="G45" s="88">
        <f t="shared" si="5"/>
        <v>0.74689182952508426</v>
      </c>
      <c r="H45" s="25">
        <f>SUMIFS('Val-Vol (2)'!$I$4:$I$2000,'Val-Vol (2)'!$V$4:$V$2000,$C$5,'Val-Vol (2)'!$D$4:$D$2000,C45,'Val-Vol (2)'!$T$4:$T$2000,1)</f>
        <v>0</v>
      </c>
      <c r="I45" s="32" t="str">
        <f t="shared" si="6"/>
        <v/>
      </c>
      <c r="J45" s="114">
        <f>SUMIFS('Val-Vol (2)'!$H$4:$H$2000,'Val-Vol (2)'!$V$4:$V$2000,$C$5,'Val-Vol (2)'!$D$4:$D$2000,C45,'Val-Vol (2)'!$T$4:$T$2000,1)</f>
        <v>0</v>
      </c>
      <c r="K45" s="88" t="str">
        <f t="shared" si="7"/>
        <v/>
      </c>
      <c r="M45" s="109">
        <v>0</v>
      </c>
      <c r="P45"/>
      <c r="Q45"/>
      <c r="R45"/>
      <c r="S45"/>
      <c r="T45"/>
      <c r="U45"/>
      <c r="V45"/>
      <c r="W45"/>
      <c r="Z45" s="29" t="s">
        <v>12</v>
      </c>
      <c r="AA45">
        <f t="shared" si="2"/>
        <v>0</v>
      </c>
      <c r="AB45" s="134">
        <v>0</v>
      </c>
      <c r="AC45" s="134">
        <v>1</v>
      </c>
      <c r="AD45" s="134">
        <v>0</v>
      </c>
      <c r="AE45" s="134">
        <v>0</v>
      </c>
      <c r="AF45" s="134">
        <v>0</v>
      </c>
      <c r="AG45" s="134">
        <v>0</v>
      </c>
      <c r="AH45" s="134">
        <v>0</v>
      </c>
      <c r="AI45" s="134">
        <v>0</v>
      </c>
      <c r="AJ45" s="134">
        <v>0</v>
      </c>
      <c r="AK45" s="134">
        <v>0</v>
      </c>
      <c r="AL45" s="4">
        <f t="shared" si="3"/>
        <v>0</v>
      </c>
      <c r="AM45" s="106">
        <f t="shared" si="8"/>
        <v>0</v>
      </c>
      <c r="AO45" s="4">
        <f t="shared" si="9"/>
        <v>1</v>
      </c>
    </row>
    <row r="46" spans="1:41" x14ac:dyDescent="0.25">
      <c r="A46" s="4" t="str">
        <f t="shared" si="0"/>
        <v>20  - Boi</v>
      </c>
      <c r="B46" s="4" t="str">
        <f t="shared" si="1"/>
        <v xml:space="preserve">Boi - 20 </v>
      </c>
      <c r="C46" s="29" t="s">
        <v>13</v>
      </c>
      <c r="D46" s="25">
        <f>SUMIFS('Val-Vol (2)'!$I$4:$I$2000,'Val-Vol (2)'!$V$4:$V$2000,$C$5,'Val-Vol (2)'!$A$4:$A$2000,C46,'Val-Vol (2)'!$U$4:$U$2000,1)</f>
        <v>0</v>
      </c>
      <c r="E46" s="30" t="str">
        <f t="shared" si="11"/>
        <v/>
      </c>
      <c r="F46" s="83">
        <f>SUMIFS('Val-Vol (2)'!$H$4:$H$2000,'Val-Vol (2)'!$V$4:$V$2000,$C$5,'Val-Vol (2)'!$A$4:$A$2000,C46,'Val-Vol (2)'!$U$4:$U$2000,1)</f>
        <v>0</v>
      </c>
      <c r="G46" s="88" t="str">
        <f t="shared" si="5"/>
        <v/>
      </c>
      <c r="H46" s="25">
        <f>SUMIFS('Val-Vol (2)'!$I$4:$I$2000,'Val-Vol (2)'!$V$4:$V$2000,$C$5,'Val-Vol (2)'!$D$4:$D$2000,C46,'Val-Vol (2)'!$T$4:$T$2000,1)</f>
        <v>0</v>
      </c>
      <c r="I46" s="32" t="str">
        <f t="shared" si="6"/>
        <v/>
      </c>
      <c r="J46" s="114">
        <f>SUMIFS('Val-Vol (2)'!$H$4:$H$2000,'Val-Vol (2)'!$V$4:$V$2000,$C$5,'Val-Vol (2)'!$D$4:$D$2000,C46,'Val-Vol (2)'!$T$4:$T$2000,1)</f>
        <v>0</v>
      </c>
      <c r="K46" s="88" t="str">
        <f t="shared" si="7"/>
        <v/>
      </c>
      <c r="M46" s="109">
        <v>0</v>
      </c>
      <c r="P46"/>
      <c r="Q46"/>
      <c r="R46"/>
      <c r="S46"/>
      <c r="T46"/>
      <c r="U46"/>
      <c r="V46"/>
      <c r="W46"/>
      <c r="Z46" s="29" t="s">
        <v>13</v>
      </c>
      <c r="AA46">
        <f t="shared" si="2"/>
        <v>0</v>
      </c>
      <c r="AB46" s="134">
        <v>0</v>
      </c>
      <c r="AC46" s="134">
        <v>1</v>
      </c>
      <c r="AD46" s="134">
        <v>0</v>
      </c>
      <c r="AE46" s="134">
        <v>0</v>
      </c>
      <c r="AF46" s="134">
        <v>0</v>
      </c>
      <c r="AG46" s="134">
        <v>0</v>
      </c>
      <c r="AH46" s="134">
        <v>0</v>
      </c>
      <c r="AI46" s="134">
        <v>0</v>
      </c>
      <c r="AJ46" s="134">
        <v>0</v>
      </c>
      <c r="AK46" s="134">
        <v>0</v>
      </c>
      <c r="AL46" s="4">
        <f t="shared" si="3"/>
        <v>0</v>
      </c>
      <c r="AM46" s="106">
        <f t="shared" si="8"/>
        <v>0</v>
      </c>
      <c r="AO46" s="4">
        <f t="shared" si="9"/>
        <v>1</v>
      </c>
    </row>
    <row r="47" spans="1:41" x14ac:dyDescent="0.25">
      <c r="A47" s="4" t="str">
        <f t="shared" si="0"/>
        <v>20b - Boi</v>
      </c>
      <c r="B47" s="4" t="str">
        <f t="shared" si="1"/>
        <v>Boi - 20b</v>
      </c>
      <c r="C47" s="29" t="s">
        <v>14</v>
      </c>
      <c r="D47" s="25">
        <f>SUMIFS('Val-Vol (2)'!$I$4:$I$2000,'Val-Vol (2)'!$V$4:$V$2000,$C$5,'Val-Vol (2)'!$A$4:$A$2000,C47,'Val-Vol (2)'!$U$4:$U$2000,1)</f>
        <v>0</v>
      </c>
      <c r="E47" s="30" t="str">
        <f t="shared" si="11"/>
        <v/>
      </c>
      <c r="F47" s="83">
        <f>SUMIFS('Val-Vol (2)'!$H$4:$H$2000,'Val-Vol (2)'!$V$4:$V$2000,$C$5,'Val-Vol (2)'!$A$4:$A$2000,C47,'Val-Vol (2)'!$U$4:$U$2000,1)</f>
        <v>0</v>
      </c>
      <c r="G47" s="88" t="str">
        <f t="shared" si="5"/>
        <v/>
      </c>
      <c r="H47" s="25">
        <f>SUMIFS('Val-Vol (2)'!$I$4:$I$2000,'Val-Vol (2)'!$V$4:$V$2000,$C$5,'Val-Vol (2)'!$D$4:$D$2000,C47,'Val-Vol (2)'!$T$4:$T$2000,1)</f>
        <v>0</v>
      </c>
      <c r="I47" s="32" t="str">
        <f t="shared" si="6"/>
        <v/>
      </c>
      <c r="J47" s="114">
        <f>SUMIFS('Val-Vol (2)'!$H$4:$H$2000,'Val-Vol (2)'!$V$4:$V$2000,$C$5,'Val-Vol (2)'!$D$4:$D$2000,C47,'Val-Vol (2)'!$T$4:$T$2000,1)</f>
        <v>0</v>
      </c>
      <c r="K47" s="88" t="str">
        <f t="shared" si="7"/>
        <v/>
      </c>
      <c r="M47" s="109">
        <v>0</v>
      </c>
      <c r="P47"/>
      <c r="Q47"/>
      <c r="R47"/>
      <c r="S47"/>
      <c r="T47"/>
      <c r="U47"/>
      <c r="V47"/>
      <c r="W47"/>
      <c r="Z47" s="29" t="s">
        <v>14</v>
      </c>
      <c r="AA47">
        <f t="shared" si="2"/>
        <v>0</v>
      </c>
      <c r="AB47" s="134">
        <v>0</v>
      </c>
      <c r="AC47" s="134">
        <v>1</v>
      </c>
      <c r="AD47" s="134">
        <v>0</v>
      </c>
      <c r="AE47" s="134">
        <v>0</v>
      </c>
      <c r="AF47" s="134">
        <v>0</v>
      </c>
      <c r="AG47" s="134">
        <v>0</v>
      </c>
      <c r="AH47" s="134">
        <v>0</v>
      </c>
      <c r="AI47" s="134">
        <v>0</v>
      </c>
      <c r="AJ47" s="134">
        <v>0</v>
      </c>
      <c r="AK47" s="134">
        <v>0</v>
      </c>
      <c r="AL47" s="4">
        <f t="shared" si="3"/>
        <v>0</v>
      </c>
      <c r="AM47" s="106">
        <f t="shared" si="8"/>
        <v>0</v>
      </c>
      <c r="AO47" s="4">
        <f t="shared" si="9"/>
        <v>1</v>
      </c>
    </row>
    <row r="48" spans="1:41" x14ac:dyDescent="0.25">
      <c r="A48" s="4" t="str">
        <f t="shared" si="0"/>
        <v>29  - Boi</v>
      </c>
      <c r="B48" s="4" t="str">
        <f t="shared" si="1"/>
        <v xml:space="preserve">Boi - 29 </v>
      </c>
      <c r="C48" s="29" t="s">
        <v>85</v>
      </c>
      <c r="D48" s="25">
        <f>SUMIFS('Val-Vol (2)'!$I$4:$I$2000,'Val-Vol (2)'!$V$4:$V$2000,$C$5,'Val-Vol (2)'!$A$4:$A$2000,C48,'Val-Vol (2)'!$U$4:$U$2000,1)</f>
        <v>0</v>
      </c>
      <c r="E48" s="30" t="str">
        <f t="shared" si="11"/>
        <v/>
      </c>
      <c r="F48" s="83">
        <f>SUMIFS('Val-Vol (2)'!$H$4:$H$2000,'Val-Vol (2)'!$V$4:$V$2000,$C$5,'Val-Vol (2)'!$A$4:$A$2000,C48,'Val-Vol (2)'!$U$4:$U$2000,1)</f>
        <v>0</v>
      </c>
      <c r="G48" s="88" t="str">
        <f t="shared" si="5"/>
        <v/>
      </c>
      <c r="H48" s="25">
        <f>SUMIFS('Val-Vol (2)'!$I$4:$I$2000,'Val-Vol (2)'!$V$4:$V$2000,$C$5,'Val-Vol (2)'!$D$4:$D$2000,C48,'Val-Vol (2)'!$T$4:$T$2000,1)</f>
        <v>0</v>
      </c>
      <c r="I48" s="32" t="str">
        <f t="shared" si="6"/>
        <v/>
      </c>
      <c r="J48" s="114">
        <f>SUMIFS('Val-Vol (2)'!$H$4:$H$2000,'Val-Vol (2)'!$V$4:$V$2000,$C$5,'Val-Vol (2)'!$D$4:$D$2000,C48,'Val-Vol (2)'!$T$4:$T$2000,1)</f>
        <v>0</v>
      </c>
      <c r="K48" s="88" t="str">
        <f t="shared" si="7"/>
        <v/>
      </c>
      <c r="M48" s="109">
        <v>0</v>
      </c>
      <c r="P48"/>
      <c r="Q48"/>
      <c r="R48"/>
      <c r="S48"/>
      <c r="T48"/>
      <c r="U48"/>
      <c r="V48"/>
      <c r="W48"/>
      <c r="Z48" s="29" t="s">
        <v>85</v>
      </c>
      <c r="AA48">
        <f t="shared" si="2"/>
        <v>0</v>
      </c>
      <c r="AB48" s="134">
        <v>0</v>
      </c>
      <c r="AC48" s="134">
        <v>1</v>
      </c>
      <c r="AD48" s="134">
        <v>0</v>
      </c>
      <c r="AE48" s="134">
        <v>0</v>
      </c>
      <c r="AF48" s="134">
        <v>0</v>
      </c>
      <c r="AG48" s="134">
        <v>0</v>
      </c>
      <c r="AH48" s="134">
        <v>0</v>
      </c>
      <c r="AI48" s="134">
        <v>0</v>
      </c>
      <c r="AJ48" s="134">
        <v>0</v>
      </c>
      <c r="AK48" s="134">
        <v>0</v>
      </c>
      <c r="AL48" s="4">
        <f t="shared" si="3"/>
        <v>0</v>
      </c>
      <c r="AM48" s="106">
        <f t="shared" si="8"/>
        <v>0</v>
      </c>
      <c r="AO48" s="4">
        <f t="shared" si="9"/>
        <v>1</v>
      </c>
    </row>
    <row r="49" spans="1:41" x14ac:dyDescent="0.25">
      <c r="A49" s="4" t="str">
        <f t="shared" si="0"/>
        <v>30  - Boi</v>
      </c>
      <c r="B49" s="4" t="str">
        <f t="shared" si="1"/>
        <v xml:space="preserve">Boi - 30 </v>
      </c>
      <c r="C49" s="29" t="s">
        <v>86</v>
      </c>
      <c r="D49" s="25">
        <f>SUMIFS('Val-Vol (2)'!$I$4:$I$2000,'Val-Vol (2)'!$V$4:$V$2000,$C$5,'Val-Vol (2)'!$A$4:$A$2000,C49,'Val-Vol (2)'!$U$4:$U$2000,1)</f>
        <v>214837.93348593501</v>
      </c>
      <c r="E49" s="30">
        <f t="shared" si="11"/>
        <v>0.32948832654882892</v>
      </c>
      <c r="F49" s="83">
        <f>SUMIFS('Val-Vol (2)'!$H$4:$H$2000,'Val-Vol (2)'!$V$4:$V$2000,$C$5,'Val-Vol (2)'!$A$4:$A$2000,C49,'Val-Vol (2)'!$U$4:$U$2000,1)</f>
        <v>37179.1650284157</v>
      </c>
      <c r="G49" s="88">
        <f t="shared" si="5"/>
        <v>0.82694320120683085</v>
      </c>
      <c r="H49" s="25">
        <f>SUMIFS('Val-Vol (2)'!$I$4:$I$2000,'Val-Vol (2)'!$V$4:$V$2000,$C$5,'Val-Vol (2)'!$D$4:$D$2000,C49,'Val-Vol (2)'!$T$4:$T$2000,1)</f>
        <v>0</v>
      </c>
      <c r="I49" s="32" t="str">
        <f t="shared" si="6"/>
        <v/>
      </c>
      <c r="J49" s="114">
        <f>SUMIFS('Val-Vol (2)'!$H$4:$H$2000,'Val-Vol (2)'!$V$4:$V$2000,$C$5,'Val-Vol (2)'!$D$4:$D$2000,C49,'Val-Vol (2)'!$T$4:$T$2000,1)</f>
        <v>0</v>
      </c>
      <c r="K49" s="88" t="str">
        <f t="shared" si="7"/>
        <v/>
      </c>
      <c r="M49" s="109">
        <v>0</v>
      </c>
      <c r="P49"/>
      <c r="Q49"/>
      <c r="R49"/>
      <c r="S49"/>
      <c r="T49"/>
      <c r="U49"/>
      <c r="V49"/>
      <c r="W49"/>
      <c r="Z49" s="29" t="s">
        <v>86</v>
      </c>
      <c r="AA49">
        <f t="shared" si="2"/>
        <v>0</v>
      </c>
      <c r="AB49" s="134">
        <v>0</v>
      </c>
      <c r="AC49" s="134">
        <v>0</v>
      </c>
      <c r="AD49" s="134">
        <v>0</v>
      </c>
      <c r="AE49" s="134">
        <v>1</v>
      </c>
      <c r="AF49" s="134">
        <v>0</v>
      </c>
      <c r="AG49" s="134">
        <v>0</v>
      </c>
      <c r="AH49" s="134">
        <v>0</v>
      </c>
      <c r="AI49" s="134">
        <v>0</v>
      </c>
      <c r="AJ49" s="134">
        <v>0</v>
      </c>
      <c r="AK49" s="134">
        <v>0</v>
      </c>
      <c r="AL49" s="4">
        <f t="shared" si="3"/>
        <v>0</v>
      </c>
      <c r="AM49" s="106">
        <f t="shared" si="8"/>
        <v>1</v>
      </c>
      <c r="AO49" s="4">
        <f t="shared" si="9"/>
        <v>1</v>
      </c>
    </row>
    <row r="50" spans="1:41" x14ac:dyDescent="0.25">
      <c r="A50" s="4" t="str">
        <f t="shared" si="0"/>
        <v>31  - Boi</v>
      </c>
      <c r="B50" s="4" t="str">
        <f t="shared" si="1"/>
        <v xml:space="preserve">Boi - 31 </v>
      </c>
      <c r="C50" s="29" t="s">
        <v>87</v>
      </c>
      <c r="D50" s="25">
        <f>SUMIFS('Val-Vol (2)'!$I$4:$I$2000,'Val-Vol (2)'!$V$4:$V$2000,$C$5,'Val-Vol (2)'!$A$4:$A$2000,C50,'Val-Vol (2)'!$U$4:$U$2000,1)</f>
        <v>0</v>
      </c>
      <c r="E50" s="30" t="str">
        <f t="shared" si="11"/>
        <v/>
      </c>
      <c r="F50" s="83">
        <f>SUMIFS('Val-Vol (2)'!$H$4:$H$2000,'Val-Vol (2)'!$V$4:$V$2000,$C$5,'Val-Vol (2)'!$A$4:$A$2000,C50,'Val-Vol (2)'!$U$4:$U$2000,1)</f>
        <v>0</v>
      </c>
      <c r="G50" s="88" t="str">
        <f t="shared" si="5"/>
        <v/>
      </c>
      <c r="H50" s="25">
        <f>SUMIFS('Val-Vol (2)'!$I$4:$I$2000,'Val-Vol (2)'!$V$4:$V$2000,$C$5,'Val-Vol (2)'!$D$4:$D$2000,C50,'Val-Vol (2)'!$T$4:$T$2000,1)</f>
        <v>0</v>
      </c>
      <c r="I50" s="32" t="str">
        <f t="shared" si="6"/>
        <v/>
      </c>
      <c r="J50" s="114">
        <f>SUMIFS('Val-Vol (2)'!$H$4:$H$2000,'Val-Vol (2)'!$V$4:$V$2000,$C$5,'Val-Vol (2)'!$D$4:$D$2000,C50,'Val-Vol (2)'!$T$4:$T$2000,1)</f>
        <v>0</v>
      </c>
      <c r="K50" s="88" t="str">
        <f t="shared" si="7"/>
        <v/>
      </c>
      <c r="M50" s="109">
        <v>0</v>
      </c>
      <c r="P50"/>
      <c r="Q50"/>
      <c r="R50"/>
      <c r="S50"/>
      <c r="T50"/>
      <c r="U50"/>
      <c r="V50"/>
      <c r="W50"/>
      <c r="Z50" s="29" t="s">
        <v>87</v>
      </c>
      <c r="AA50">
        <f t="shared" si="2"/>
        <v>0</v>
      </c>
      <c r="AB50" s="134">
        <v>0</v>
      </c>
      <c r="AC50" s="134">
        <v>0</v>
      </c>
      <c r="AD50" s="134">
        <v>0</v>
      </c>
      <c r="AE50" s="134">
        <v>0</v>
      </c>
      <c r="AF50" s="134">
        <v>1</v>
      </c>
      <c r="AG50" s="134">
        <v>0</v>
      </c>
      <c r="AH50" s="134">
        <v>0</v>
      </c>
      <c r="AI50" s="134">
        <v>0</v>
      </c>
      <c r="AJ50" s="134">
        <v>0</v>
      </c>
      <c r="AK50" s="134">
        <v>0</v>
      </c>
      <c r="AL50" s="4">
        <f t="shared" si="3"/>
        <v>0</v>
      </c>
      <c r="AM50" s="106">
        <f t="shared" si="8"/>
        <v>0</v>
      </c>
      <c r="AO50" s="4">
        <f t="shared" si="9"/>
        <v>1</v>
      </c>
    </row>
    <row r="51" spans="1:41" x14ac:dyDescent="0.25">
      <c r="A51" s="4" t="str">
        <f t="shared" si="0"/>
        <v>32  - Boi</v>
      </c>
      <c r="B51" s="4" t="str">
        <f t="shared" si="1"/>
        <v xml:space="preserve">Boi - 32 </v>
      </c>
      <c r="C51" s="29" t="s">
        <v>88</v>
      </c>
      <c r="D51" s="25">
        <f>SUMIFS('Val-Vol (2)'!$I$4:$I$2000,'Val-Vol (2)'!$V$4:$V$2000,$C$5,'Val-Vol (2)'!$A$4:$A$2000,C51,'Val-Vol (2)'!$U$4:$U$2000,1)</f>
        <v>0</v>
      </c>
      <c r="E51" s="30" t="str">
        <f t="shared" si="11"/>
        <v/>
      </c>
      <c r="F51" s="83">
        <f>SUMIFS('Val-Vol (2)'!$H$4:$H$2000,'Val-Vol (2)'!$V$4:$V$2000,$C$5,'Val-Vol (2)'!$A$4:$A$2000,C51,'Val-Vol (2)'!$U$4:$U$2000,1)</f>
        <v>0</v>
      </c>
      <c r="G51" s="88" t="str">
        <f t="shared" si="5"/>
        <v/>
      </c>
      <c r="H51" s="25">
        <f>SUMIFS('Val-Vol (2)'!$I$4:$I$2000,'Val-Vol (2)'!$V$4:$V$2000,$C$5,'Val-Vol (2)'!$D$4:$D$2000,C51,'Val-Vol (2)'!$T$4:$T$2000,1)</f>
        <v>0</v>
      </c>
      <c r="I51" s="32" t="str">
        <f t="shared" si="6"/>
        <v/>
      </c>
      <c r="J51" s="114">
        <f>SUMIFS('Val-Vol (2)'!$H$4:$H$2000,'Val-Vol (2)'!$V$4:$V$2000,$C$5,'Val-Vol (2)'!$D$4:$D$2000,C51,'Val-Vol (2)'!$T$4:$T$2000,1)</f>
        <v>0</v>
      </c>
      <c r="K51" s="88" t="str">
        <f t="shared" si="7"/>
        <v/>
      </c>
      <c r="M51" s="109">
        <v>0</v>
      </c>
      <c r="P51"/>
      <c r="Q51"/>
      <c r="R51"/>
      <c r="S51"/>
      <c r="T51"/>
      <c r="U51"/>
      <c r="V51"/>
      <c r="W51"/>
      <c r="Z51" s="29" t="s">
        <v>88</v>
      </c>
      <c r="AA51">
        <f t="shared" si="2"/>
        <v>0</v>
      </c>
      <c r="AB51" s="134">
        <v>0</v>
      </c>
      <c r="AC51" s="134">
        <v>0</v>
      </c>
      <c r="AD51" s="134">
        <v>0</v>
      </c>
      <c r="AE51" s="134">
        <v>0</v>
      </c>
      <c r="AF51" s="134">
        <v>0</v>
      </c>
      <c r="AG51" s="134">
        <v>0</v>
      </c>
      <c r="AH51" s="134">
        <v>1</v>
      </c>
      <c r="AI51" s="134">
        <v>0</v>
      </c>
      <c r="AJ51" s="134">
        <v>0</v>
      </c>
      <c r="AK51" s="134">
        <v>0</v>
      </c>
      <c r="AL51" s="4">
        <f t="shared" si="3"/>
        <v>0</v>
      </c>
      <c r="AM51" s="106">
        <f t="shared" si="8"/>
        <v>0</v>
      </c>
      <c r="AO51" s="4">
        <f t="shared" si="9"/>
        <v>1</v>
      </c>
    </row>
    <row r="52" spans="1:41" x14ac:dyDescent="0.25">
      <c r="A52" s="4" t="str">
        <f t="shared" si="0"/>
        <v>33  - Boi</v>
      </c>
      <c r="B52" s="4" t="str">
        <f t="shared" si="1"/>
        <v xml:space="preserve">Boi - 33 </v>
      </c>
      <c r="C52" s="29" t="s">
        <v>89</v>
      </c>
      <c r="D52" s="25">
        <f>SUMIFS('Val-Vol (2)'!$I$4:$I$2000,'Val-Vol (2)'!$V$4:$V$2000,$C$5,'Val-Vol (2)'!$A$4:$A$2000,C52,'Val-Vol (2)'!$U$4:$U$2000,1)</f>
        <v>0</v>
      </c>
      <c r="E52" s="30" t="str">
        <f t="shared" si="11"/>
        <v/>
      </c>
      <c r="F52" s="83">
        <f>SUMIFS('Val-Vol (2)'!$H$4:$H$2000,'Val-Vol (2)'!$V$4:$V$2000,$C$5,'Val-Vol (2)'!$A$4:$A$2000,C52,'Val-Vol (2)'!$U$4:$U$2000,1)</f>
        <v>0</v>
      </c>
      <c r="G52" s="88" t="str">
        <f t="shared" si="5"/>
        <v/>
      </c>
      <c r="H52" s="25">
        <f>SUMIFS('Val-Vol (2)'!$I$4:$I$2000,'Val-Vol (2)'!$V$4:$V$2000,$C$5,'Val-Vol (2)'!$D$4:$D$2000,C52,'Val-Vol (2)'!$T$4:$T$2000,1)</f>
        <v>0</v>
      </c>
      <c r="I52" s="32" t="str">
        <f t="shared" si="6"/>
        <v/>
      </c>
      <c r="J52" s="114">
        <f>SUMIFS('Val-Vol (2)'!$H$4:$H$2000,'Val-Vol (2)'!$V$4:$V$2000,$C$5,'Val-Vol (2)'!$D$4:$D$2000,C52,'Val-Vol (2)'!$T$4:$T$2000,1)</f>
        <v>0</v>
      </c>
      <c r="K52" s="88" t="str">
        <f t="shared" si="7"/>
        <v/>
      </c>
      <c r="M52" s="109">
        <v>0</v>
      </c>
      <c r="P52"/>
      <c r="Q52"/>
      <c r="R52"/>
      <c r="S52"/>
      <c r="T52"/>
      <c r="U52"/>
      <c r="V52"/>
      <c r="W52"/>
      <c r="Z52" s="29" t="s">
        <v>89</v>
      </c>
      <c r="AA52">
        <f t="shared" si="2"/>
        <v>0</v>
      </c>
      <c r="AB52" s="134">
        <v>0</v>
      </c>
      <c r="AC52" s="134">
        <v>0</v>
      </c>
      <c r="AD52" s="134">
        <v>0</v>
      </c>
      <c r="AE52" s="134">
        <v>0</v>
      </c>
      <c r="AF52" s="134">
        <v>0</v>
      </c>
      <c r="AG52" s="134">
        <v>0</v>
      </c>
      <c r="AH52" s="134">
        <v>1</v>
      </c>
      <c r="AI52" s="134">
        <v>0</v>
      </c>
      <c r="AJ52" s="134">
        <v>0</v>
      </c>
      <c r="AK52" s="134">
        <v>0</v>
      </c>
      <c r="AL52" s="4">
        <f t="shared" si="3"/>
        <v>0</v>
      </c>
      <c r="AM52" s="106">
        <f t="shared" si="8"/>
        <v>0</v>
      </c>
      <c r="AO52" s="4">
        <f t="shared" si="9"/>
        <v>1</v>
      </c>
    </row>
    <row r="53" spans="1:41" x14ac:dyDescent="0.25">
      <c r="A53" s="4" t="str">
        <f t="shared" si="0"/>
        <v>34  - Boi</v>
      </c>
      <c r="B53" s="4" t="str">
        <f t="shared" si="1"/>
        <v xml:space="preserve">Boi - 34 </v>
      </c>
      <c r="C53" s="29" t="s">
        <v>90</v>
      </c>
      <c r="D53" s="25">
        <f>SUMIFS('Val-Vol (2)'!$I$4:$I$2000,'Val-Vol (2)'!$V$4:$V$2000,$C$5,'Val-Vol (2)'!$A$4:$A$2000,C53,'Val-Vol (2)'!$U$4:$U$2000,1)</f>
        <v>0</v>
      </c>
      <c r="E53" s="30" t="str">
        <f t="shared" si="11"/>
        <v/>
      </c>
      <c r="F53" s="83">
        <f>SUMIFS('Val-Vol (2)'!$H$4:$H$2000,'Val-Vol (2)'!$V$4:$V$2000,$C$5,'Val-Vol (2)'!$A$4:$A$2000,C53,'Val-Vol (2)'!$U$4:$U$2000,1)</f>
        <v>0</v>
      </c>
      <c r="G53" s="88" t="str">
        <f t="shared" si="5"/>
        <v/>
      </c>
      <c r="H53" s="25">
        <f>SUMIFS('Val-Vol (2)'!$I$4:$I$2000,'Val-Vol (2)'!$V$4:$V$2000,$C$5,'Val-Vol (2)'!$D$4:$D$2000,C53,'Val-Vol (2)'!$T$4:$T$2000,1)</f>
        <v>0</v>
      </c>
      <c r="I53" s="32" t="str">
        <f t="shared" si="6"/>
        <v/>
      </c>
      <c r="J53" s="114">
        <f>SUMIFS('Val-Vol (2)'!$H$4:$H$2000,'Val-Vol (2)'!$V$4:$V$2000,$C$5,'Val-Vol (2)'!$D$4:$D$2000,C53,'Val-Vol (2)'!$T$4:$T$2000,1)</f>
        <v>0</v>
      </c>
      <c r="K53" s="88" t="str">
        <f t="shared" si="7"/>
        <v/>
      </c>
      <c r="M53" s="109">
        <v>0</v>
      </c>
      <c r="P53"/>
      <c r="Q53"/>
      <c r="R53"/>
      <c r="S53"/>
      <c r="T53"/>
      <c r="U53"/>
      <c r="V53"/>
      <c r="W53"/>
      <c r="Z53" s="29" t="s">
        <v>90</v>
      </c>
      <c r="AA53">
        <f t="shared" si="2"/>
        <v>0</v>
      </c>
      <c r="AB53" s="134">
        <v>0</v>
      </c>
      <c r="AC53" s="134">
        <v>0</v>
      </c>
      <c r="AD53" s="134">
        <v>0</v>
      </c>
      <c r="AE53" s="134">
        <v>0</v>
      </c>
      <c r="AF53" s="134">
        <v>0</v>
      </c>
      <c r="AG53" s="134">
        <v>0</v>
      </c>
      <c r="AH53" s="134">
        <v>0</v>
      </c>
      <c r="AI53" s="134">
        <v>1</v>
      </c>
      <c r="AJ53" s="134">
        <v>0</v>
      </c>
      <c r="AK53" s="134">
        <v>0</v>
      </c>
      <c r="AL53" s="4">
        <f t="shared" si="3"/>
        <v>0</v>
      </c>
      <c r="AM53" s="106">
        <f t="shared" si="8"/>
        <v>0</v>
      </c>
      <c r="AO53" s="4">
        <f t="shared" si="9"/>
        <v>1</v>
      </c>
    </row>
    <row r="54" spans="1:41" x14ac:dyDescent="0.25">
      <c r="A54" s="4" t="str">
        <f t="shared" si="0"/>
        <v>35  - Boi</v>
      </c>
      <c r="B54" s="4" t="str">
        <f t="shared" si="1"/>
        <v xml:space="preserve">Boi - 35 </v>
      </c>
      <c r="C54" s="29" t="s">
        <v>15</v>
      </c>
      <c r="D54" s="25">
        <f>SUMIFS('Val-Vol (2)'!$I$4:$I$2000,'Val-Vol (2)'!$V$4:$V$2000,$C$5,'Val-Vol (2)'!$A$4:$A$2000,C54,'Val-Vol (2)'!$U$4:$U$2000,1)</f>
        <v>0</v>
      </c>
      <c r="E54" s="30" t="str">
        <f t="shared" si="11"/>
        <v/>
      </c>
      <c r="F54" s="83">
        <f>SUMIFS('Val-Vol (2)'!$H$4:$H$2000,'Val-Vol (2)'!$V$4:$V$2000,$C$5,'Val-Vol (2)'!$A$4:$A$2000,C54,'Val-Vol (2)'!$U$4:$U$2000,1)</f>
        <v>0</v>
      </c>
      <c r="G54" s="88" t="str">
        <f t="shared" si="5"/>
        <v/>
      </c>
      <c r="H54" s="25">
        <f>SUMIFS('Val-Vol (2)'!$I$4:$I$2000,'Val-Vol (2)'!$V$4:$V$2000,$C$5,'Val-Vol (2)'!$D$4:$D$2000,C54,'Val-Vol (2)'!$T$4:$T$2000,1)</f>
        <v>0</v>
      </c>
      <c r="I54" s="32" t="str">
        <f t="shared" si="6"/>
        <v/>
      </c>
      <c r="J54" s="114">
        <f>SUMIFS('Val-Vol (2)'!$H$4:$H$2000,'Val-Vol (2)'!$V$4:$V$2000,$C$5,'Val-Vol (2)'!$D$4:$D$2000,C54,'Val-Vol (2)'!$T$4:$T$2000,1)</f>
        <v>0</v>
      </c>
      <c r="K54" s="88" t="str">
        <f t="shared" si="7"/>
        <v/>
      </c>
      <c r="M54" s="109">
        <v>0</v>
      </c>
      <c r="P54"/>
      <c r="Q54"/>
      <c r="R54"/>
      <c r="S54"/>
      <c r="T54"/>
      <c r="U54"/>
      <c r="V54"/>
      <c r="W54"/>
      <c r="Z54" s="29" t="s">
        <v>15</v>
      </c>
      <c r="AA54">
        <f t="shared" si="2"/>
        <v>0</v>
      </c>
      <c r="AB54" s="134">
        <v>0</v>
      </c>
      <c r="AC54" s="134">
        <v>0</v>
      </c>
      <c r="AD54" s="134">
        <v>0</v>
      </c>
      <c r="AE54" s="134">
        <v>0</v>
      </c>
      <c r="AF54" s="134">
        <v>0</v>
      </c>
      <c r="AG54" s="134">
        <v>0</v>
      </c>
      <c r="AH54" s="134">
        <v>1</v>
      </c>
      <c r="AI54" s="134">
        <v>0</v>
      </c>
      <c r="AJ54" s="134">
        <v>0</v>
      </c>
      <c r="AK54" s="134">
        <v>0</v>
      </c>
      <c r="AL54" s="4">
        <f t="shared" si="3"/>
        <v>0</v>
      </c>
      <c r="AM54" s="106">
        <f t="shared" si="8"/>
        <v>0</v>
      </c>
      <c r="AO54" s="4">
        <f t="shared" si="9"/>
        <v>1</v>
      </c>
    </row>
    <row r="55" spans="1:41" x14ac:dyDescent="0.25">
      <c r="A55" s="4" t="str">
        <f t="shared" si="0"/>
        <v>36  - Boi</v>
      </c>
      <c r="B55" s="4" t="str">
        <f t="shared" si="1"/>
        <v xml:space="preserve">Boi - 36 </v>
      </c>
      <c r="C55" s="29" t="s">
        <v>16</v>
      </c>
      <c r="D55" s="25">
        <f>SUMIFS('Val-Vol (2)'!$I$4:$I$2000,'Val-Vol (2)'!$V$4:$V$2000,$C$5,'Val-Vol (2)'!$A$4:$A$2000,C55,'Val-Vol (2)'!$U$4:$U$2000,1)</f>
        <v>0</v>
      </c>
      <c r="E55" s="30" t="str">
        <f t="shared" si="11"/>
        <v/>
      </c>
      <c r="F55" s="83">
        <f>SUMIFS('Val-Vol (2)'!$H$4:$H$2000,'Val-Vol (2)'!$V$4:$V$2000,$C$5,'Val-Vol (2)'!$A$4:$A$2000,C55,'Val-Vol (2)'!$U$4:$U$2000,1)</f>
        <v>0</v>
      </c>
      <c r="G55" s="88" t="str">
        <f t="shared" si="5"/>
        <v/>
      </c>
      <c r="H55" s="25">
        <f>SUMIFS('Val-Vol (2)'!$I$4:$I$2000,'Val-Vol (2)'!$V$4:$V$2000,$C$5,'Val-Vol (2)'!$D$4:$D$2000,C55,'Val-Vol (2)'!$T$4:$T$2000,1)</f>
        <v>0</v>
      </c>
      <c r="I55" s="32" t="str">
        <f t="shared" si="6"/>
        <v/>
      </c>
      <c r="J55" s="114">
        <f>SUMIFS('Val-Vol (2)'!$H$4:$H$2000,'Val-Vol (2)'!$V$4:$V$2000,$C$5,'Val-Vol (2)'!$D$4:$D$2000,C55,'Val-Vol (2)'!$T$4:$T$2000,1)</f>
        <v>0</v>
      </c>
      <c r="K55" s="88" t="str">
        <f t="shared" si="7"/>
        <v/>
      </c>
      <c r="M55" s="109">
        <v>0</v>
      </c>
      <c r="P55"/>
      <c r="Q55"/>
      <c r="R55"/>
      <c r="S55"/>
      <c r="T55"/>
      <c r="U55"/>
      <c r="V55"/>
      <c r="W55"/>
      <c r="Z55" s="29" t="s">
        <v>16</v>
      </c>
      <c r="AA55">
        <f t="shared" si="2"/>
        <v>0</v>
      </c>
      <c r="AB55" s="134">
        <v>0</v>
      </c>
      <c r="AC55" s="134">
        <v>0</v>
      </c>
      <c r="AD55" s="134">
        <v>0</v>
      </c>
      <c r="AE55" s="134">
        <v>0</v>
      </c>
      <c r="AF55" s="134">
        <v>0</v>
      </c>
      <c r="AG55" s="134">
        <v>0</v>
      </c>
      <c r="AH55" s="134">
        <v>1</v>
      </c>
      <c r="AI55" s="134">
        <v>0</v>
      </c>
      <c r="AJ55" s="134">
        <v>0</v>
      </c>
      <c r="AK55" s="134">
        <v>0</v>
      </c>
      <c r="AL55" s="4">
        <f t="shared" si="3"/>
        <v>0</v>
      </c>
      <c r="AM55" s="106">
        <f t="shared" si="8"/>
        <v>0</v>
      </c>
      <c r="AO55" s="4">
        <f t="shared" si="9"/>
        <v>1</v>
      </c>
    </row>
    <row r="56" spans="1:41" x14ac:dyDescent="0.25">
      <c r="A56" s="4" t="str">
        <f t="shared" si="0"/>
        <v>37  - Boi</v>
      </c>
      <c r="B56" s="4" t="str">
        <f t="shared" si="1"/>
        <v xml:space="preserve">Boi - 37 </v>
      </c>
      <c r="C56" s="29" t="s">
        <v>91</v>
      </c>
      <c r="D56" s="25">
        <f>SUMIFS('Val-Vol (2)'!$I$4:$I$2000,'Val-Vol (2)'!$V$4:$V$2000,$C$5,'Val-Vol (2)'!$A$4:$A$2000,C56,'Val-Vol (2)'!$U$4:$U$2000,1)</f>
        <v>0</v>
      </c>
      <c r="E56" s="30" t="str">
        <f t="shared" si="11"/>
        <v/>
      </c>
      <c r="F56" s="83">
        <f>SUMIFS('Val-Vol (2)'!$H$4:$H$2000,'Val-Vol (2)'!$V$4:$V$2000,$C$5,'Val-Vol (2)'!$A$4:$A$2000,C56,'Val-Vol (2)'!$U$4:$U$2000,1)</f>
        <v>0</v>
      </c>
      <c r="G56" s="88" t="str">
        <f t="shared" si="5"/>
        <v/>
      </c>
      <c r="H56" s="25">
        <f>SUMIFS('Val-Vol (2)'!$I$4:$I$2000,'Val-Vol (2)'!$V$4:$V$2000,$C$5,'Val-Vol (2)'!$D$4:$D$2000,C56,'Val-Vol (2)'!$T$4:$T$2000,1)</f>
        <v>0</v>
      </c>
      <c r="I56" s="32" t="str">
        <f t="shared" si="6"/>
        <v/>
      </c>
      <c r="J56" s="114">
        <f>SUMIFS('Val-Vol (2)'!$H$4:$H$2000,'Val-Vol (2)'!$V$4:$V$2000,$C$5,'Val-Vol (2)'!$D$4:$D$2000,C56,'Val-Vol (2)'!$T$4:$T$2000,1)</f>
        <v>0</v>
      </c>
      <c r="K56" s="88" t="str">
        <f t="shared" si="7"/>
        <v/>
      </c>
      <c r="M56" s="109">
        <v>0</v>
      </c>
      <c r="P56"/>
      <c r="Q56"/>
      <c r="R56"/>
      <c r="S56"/>
      <c r="T56"/>
      <c r="U56"/>
      <c r="V56"/>
      <c r="W56"/>
      <c r="Z56" s="29" t="s">
        <v>91</v>
      </c>
      <c r="AA56">
        <f t="shared" si="2"/>
        <v>0</v>
      </c>
      <c r="AB56" s="134">
        <v>0</v>
      </c>
      <c r="AC56" s="134">
        <v>0</v>
      </c>
      <c r="AD56" s="134">
        <v>1</v>
      </c>
      <c r="AE56" s="134">
        <v>0</v>
      </c>
      <c r="AF56" s="134">
        <v>0</v>
      </c>
      <c r="AG56" s="134">
        <v>0</v>
      </c>
      <c r="AH56" s="134">
        <v>0</v>
      </c>
      <c r="AI56" s="134">
        <v>0</v>
      </c>
      <c r="AJ56" s="134">
        <v>0</v>
      </c>
      <c r="AK56" s="134">
        <v>0</v>
      </c>
      <c r="AL56" s="4">
        <f t="shared" si="3"/>
        <v>0</v>
      </c>
      <c r="AM56" s="106">
        <f t="shared" si="8"/>
        <v>0</v>
      </c>
      <c r="AO56" s="4">
        <f t="shared" si="9"/>
        <v>1</v>
      </c>
    </row>
    <row r="57" spans="1:41" x14ac:dyDescent="0.25">
      <c r="A57" s="4" t="str">
        <f t="shared" si="0"/>
        <v>38  - Boi</v>
      </c>
      <c r="B57" s="4" t="str">
        <f t="shared" si="1"/>
        <v xml:space="preserve">Boi - 38 </v>
      </c>
      <c r="C57" s="29" t="s">
        <v>17</v>
      </c>
      <c r="D57" s="127">
        <f>SUMIFS('Val-Vol (2)'!$I$4:$I$2000,'Val-Vol (2)'!$V$4:$V$2000,$C$5,'Val-Vol (2)'!$A$4:$A$2000,C57,'Val-Vol (2)'!$U$4:$U$2000,1)</f>
        <v>0</v>
      </c>
      <c r="E57" s="30" t="str">
        <f t="shared" si="11"/>
        <v/>
      </c>
      <c r="F57" s="83">
        <f>SUMIFS('Val-Vol (2)'!$H$4:$H$2000,'Val-Vol (2)'!$V$4:$V$2000,$C$5,'Val-Vol (2)'!$A$4:$A$2000,C57,'Val-Vol (2)'!$U$4:$U$2000,1)</f>
        <v>0</v>
      </c>
      <c r="G57" s="88" t="str">
        <f t="shared" si="5"/>
        <v/>
      </c>
      <c r="H57" s="127">
        <f>SUMIFS('Val-Vol (2)'!$I$4:$I$2000,'Val-Vol (2)'!$V$4:$V$2000,$C$5,'Val-Vol (2)'!$D$4:$D$2000,C57,'Val-Vol (2)'!$T$4:$T$2000,1)</f>
        <v>0</v>
      </c>
      <c r="I57" s="32" t="str">
        <f t="shared" si="6"/>
        <v/>
      </c>
      <c r="J57" s="114">
        <f>SUMIFS('Val-Vol (2)'!$H$4:$H$2000,'Val-Vol (2)'!$V$4:$V$2000,$C$5,'Val-Vol (2)'!$D$4:$D$2000,C57,'Val-Vol (2)'!$T$4:$T$2000,1)</f>
        <v>0</v>
      </c>
      <c r="K57" s="88" t="str">
        <f t="shared" si="7"/>
        <v/>
      </c>
      <c r="M57" s="109">
        <v>0</v>
      </c>
      <c r="P57"/>
      <c r="Q57"/>
      <c r="R57"/>
      <c r="S57"/>
      <c r="T57"/>
      <c r="U57"/>
      <c r="V57"/>
      <c r="W57"/>
      <c r="Z57" s="29" t="s">
        <v>17</v>
      </c>
      <c r="AA57">
        <f t="shared" si="2"/>
        <v>0</v>
      </c>
      <c r="AB57" s="134">
        <v>0</v>
      </c>
      <c r="AC57" s="134">
        <v>0</v>
      </c>
      <c r="AD57" s="134">
        <v>1</v>
      </c>
      <c r="AE57" s="134">
        <v>0</v>
      </c>
      <c r="AF57" s="134">
        <v>0</v>
      </c>
      <c r="AG57" s="134">
        <v>0</v>
      </c>
      <c r="AH57" s="134">
        <v>0</v>
      </c>
      <c r="AI57" s="134">
        <v>0</v>
      </c>
      <c r="AJ57" s="134">
        <v>0</v>
      </c>
      <c r="AK57" s="134">
        <v>0</v>
      </c>
      <c r="AL57" s="4">
        <f t="shared" si="3"/>
        <v>0</v>
      </c>
      <c r="AM57" s="106">
        <f t="shared" si="8"/>
        <v>0</v>
      </c>
      <c r="AO57" s="4">
        <f t="shared" si="9"/>
        <v>1</v>
      </c>
    </row>
    <row r="58" spans="1:41" x14ac:dyDescent="0.25">
      <c r="A58" s="4" t="str">
        <f t="shared" si="0"/>
        <v>39  - Boi</v>
      </c>
      <c r="B58" s="4" t="str">
        <f t="shared" si="1"/>
        <v xml:space="preserve">Boi - 39 </v>
      </c>
      <c r="C58" s="29" t="s">
        <v>18</v>
      </c>
      <c r="D58" s="25">
        <f>SUMIFS('Val-Vol (2)'!$I$4:$I$2000,'Val-Vol (2)'!$V$4:$V$2000,$C$5,'Val-Vol (2)'!$A$4:$A$2000,C58,'Val-Vol (2)'!$U$4:$U$2000,1)</f>
        <v>0</v>
      </c>
      <c r="E58" s="30" t="str">
        <f t="shared" si="11"/>
        <v/>
      </c>
      <c r="F58" s="83">
        <f>SUMIFS('Val-Vol (2)'!$H$4:$H$2000,'Val-Vol (2)'!$V$4:$V$2000,$C$5,'Val-Vol (2)'!$A$4:$A$2000,C58,'Val-Vol (2)'!$U$4:$U$2000,1)</f>
        <v>0</v>
      </c>
      <c r="G58" s="88" t="str">
        <f t="shared" si="5"/>
        <v/>
      </c>
      <c r="H58" s="25">
        <f>SUMIFS('Val-Vol (2)'!$I$4:$I$2000,'Val-Vol (2)'!$V$4:$V$2000,$C$5,'Val-Vol (2)'!$D$4:$D$2000,C58,'Val-Vol (2)'!$T$4:$T$2000,1)</f>
        <v>0</v>
      </c>
      <c r="I58" s="32" t="str">
        <f t="shared" si="6"/>
        <v/>
      </c>
      <c r="J58" s="114">
        <f>SUMIFS('Val-Vol (2)'!$H$4:$H$2000,'Val-Vol (2)'!$V$4:$V$2000,$C$5,'Val-Vol (2)'!$D$4:$D$2000,C58,'Val-Vol (2)'!$T$4:$T$2000,1)</f>
        <v>0</v>
      </c>
      <c r="K58" s="88" t="str">
        <f t="shared" si="7"/>
        <v/>
      </c>
      <c r="M58" s="109">
        <v>0</v>
      </c>
      <c r="P58"/>
      <c r="Q58"/>
      <c r="R58"/>
      <c r="S58"/>
      <c r="T58"/>
      <c r="U58"/>
      <c r="V58"/>
      <c r="W58"/>
      <c r="Z58" s="29" t="s">
        <v>18</v>
      </c>
      <c r="AA58">
        <f t="shared" si="2"/>
        <v>0</v>
      </c>
      <c r="AB58" s="134">
        <v>0</v>
      </c>
      <c r="AC58" s="134">
        <v>0</v>
      </c>
      <c r="AD58" s="134">
        <v>0</v>
      </c>
      <c r="AE58" s="134">
        <v>0</v>
      </c>
      <c r="AF58" s="134">
        <v>0</v>
      </c>
      <c r="AG58" s="134">
        <v>0</v>
      </c>
      <c r="AH58" s="134">
        <v>0</v>
      </c>
      <c r="AI58" s="134">
        <v>1</v>
      </c>
      <c r="AJ58" s="134">
        <v>0</v>
      </c>
      <c r="AK58" s="134">
        <v>0</v>
      </c>
      <c r="AL58" s="4">
        <f t="shared" si="3"/>
        <v>0</v>
      </c>
      <c r="AM58" s="106">
        <f t="shared" si="8"/>
        <v>0</v>
      </c>
      <c r="AO58" s="4">
        <f t="shared" si="9"/>
        <v>1</v>
      </c>
    </row>
    <row r="59" spans="1:41" x14ac:dyDescent="0.25">
      <c r="A59" s="4" t="str">
        <f t="shared" ref="A59:A84" si="12">LEFT(C59,3)&amp;" - "&amp;LEFT($C$4,3)</f>
        <v>40  - Boi</v>
      </c>
      <c r="B59" s="4" t="str">
        <f t="shared" ref="B59:B84" si="13">LEFT($C$4,3)&amp;" - "&amp;LEFT(C59,3)</f>
        <v xml:space="preserve">Boi - 40 </v>
      </c>
      <c r="C59" s="29" t="s">
        <v>92</v>
      </c>
      <c r="D59" s="25">
        <f>SUMIFS('Val-Vol (2)'!$I$4:$I$2000,'Val-Vol (2)'!$V$4:$V$2000,$C$5,'Val-Vol (2)'!$A$4:$A$2000,C59,'Val-Vol (2)'!$U$4:$U$2000,1)</f>
        <v>0</v>
      </c>
      <c r="E59" s="30" t="str">
        <f t="shared" si="11"/>
        <v/>
      </c>
      <c r="F59" s="83">
        <f>SUMIFS('Val-Vol (2)'!$H$4:$H$2000,'Val-Vol (2)'!$V$4:$V$2000,$C$5,'Val-Vol (2)'!$A$4:$A$2000,C59,'Val-Vol (2)'!$U$4:$U$2000,1)</f>
        <v>0</v>
      </c>
      <c r="G59" s="88" t="str">
        <f t="shared" si="5"/>
        <v/>
      </c>
      <c r="H59" s="25">
        <f>SUMIFS('Val-Vol (2)'!$I$4:$I$2000,'Val-Vol (2)'!$V$4:$V$2000,$C$5,'Val-Vol (2)'!$D$4:$D$2000,C59,'Val-Vol (2)'!$T$4:$T$2000,1)</f>
        <v>0</v>
      </c>
      <c r="I59" s="32" t="str">
        <f t="shared" si="6"/>
        <v/>
      </c>
      <c r="J59" s="114">
        <f>SUMIFS('Val-Vol (2)'!$H$4:$H$2000,'Val-Vol (2)'!$V$4:$V$2000,$C$5,'Val-Vol (2)'!$D$4:$D$2000,C59,'Val-Vol (2)'!$T$4:$T$2000,1)</f>
        <v>0</v>
      </c>
      <c r="K59" s="88" t="str">
        <f t="shared" si="7"/>
        <v/>
      </c>
      <c r="M59" s="109">
        <v>0</v>
      </c>
      <c r="P59"/>
      <c r="Q59"/>
      <c r="R59"/>
      <c r="S59"/>
      <c r="T59"/>
      <c r="U59"/>
      <c r="V59"/>
      <c r="W59"/>
      <c r="Z59" s="29" t="s">
        <v>92</v>
      </c>
      <c r="AA59">
        <f t="shared" ref="AA59:AA83" si="14">M59</f>
        <v>0</v>
      </c>
      <c r="AB59" s="134">
        <v>0</v>
      </c>
      <c r="AC59" s="134">
        <v>0</v>
      </c>
      <c r="AD59" s="134">
        <v>0</v>
      </c>
      <c r="AE59" s="134">
        <v>0</v>
      </c>
      <c r="AF59" s="134">
        <v>0</v>
      </c>
      <c r="AG59" s="134">
        <v>0</v>
      </c>
      <c r="AH59" s="134">
        <v>0</v>
      </c>
      <c r="AI59" s="134">
        <v>1</v>
      </c>
      <c r="AJ59" s="134">
        <v>0</v>
      </c>
      <c r="AK59" s="134">
        <v>0</v>
      </c>
      <c r="AL59" s="4">
        <f t="shared" ref="AL59:AL83" si="15">(Z59=$C$4)*1</f>
        <v>0</v>
      </c>
      <c r="AM59" s="106">
        <f t="shared" si="8"/>
        <v>0</v>
      </c>
      <c r="AO59" s="4">
        <f t="shared" si="9"/>
        <v>1</v>
      </c>
    </row>
    <row r="60" spans="1:41" x14ac:dyDescent="0.25">
      <c r="A60" s="4" t="str">
        <f t="shared" si="12"/>
        <v>41  - Boi</v>
      </c>
      <c r="B60" s="4" t="str">
        <f t="shared" si="13"/>
        <v xml:space="preserve">Boi - 41 </v>
      </c>
      <c r="C60" s="29" t="s">
        <v>93</v>
      </c>
      <c r="D60" s="25">
        <f>SUMIFS('Val-Vol (2)'!$I$4:$I$2000,'Val-Vol (2)'!$V$4:$V$2000,$C$5,'Val-Vol (2)'!$A$4:$A$2000,C60,'Val-Vol (2)'!$U$4:$U$2000,1)</f>
        <v>0</v>
      </c>
      <c r="E60" s="30" t="str">
        <f t="shared" si="11"/>
        <v/>
      </c>
      <c r="F60" s="83">
        <f>SUMIFS('Val-Vol (2)'!$H$4:$H$2000,'Val-Vol (2)'!$V$4:$V$2000,$C$5,'Val-Vol (2)'!$A$4:$A$2000,C60,'Val-Vol (2)'!$U$4:$U$2000,1)</f>
        <v>0</v>
      </c>
      <c r="G60" s="88" t="str">
        <f t="shared" si="5"/>
        <v/>
      </c>
      <c r="H60" s="25">
        <f>SUMIFS('Val-Vol (2)'!$I$4:$I$2000,'Val-Vol (2)'!$V$4:$V$2000,$C$5,'Val-Vol (2)'!$D$4:$D$2000,C60,'Val-Vol (2)'!$T$4:$T$2000,1)</f>
        <v>0</v>
      </c>
      <c r="I60" s="32" t="str">
        <f t="shared" si="6"/>
        <v/>
      </c>
      <c r="J60" s="114">
        <f>SUMIFS('Val-Vol (2)'!$H$4:$H$2000,'Val-Vol (2)'!$V$4:$V$2000,$C$5,'Val-Vol (2)'!$D$4:$D$2000,C60,'Val-Vol (2)'!$T$4:$T$2000,1)</f>
        <v>0</v>
      </c>
      <c r="K60" s="88" t="str">
        <f t="shared" si="7"/>
        <v/>
      </c>
      <c r="M60" s="109">
        <v>0</v>
      </c>
      <c r="P60"/>
      <c r="Q60"/>
      <c r="R60"/>
      <c r="S60"/>
      <c r="T60"/>
      <c r="U60"/>
      <c r="V60"/>
      <c r="W60"/>
      <c r="Z60" s="29" t="s">
        <v>93</v>
      </c>
      <c r="AA60">
        <f t="shared" si="14"/>
        <v>0</v>
      </c>
      <c r="AB60" s="134">
        <v>0</v>
      </c>
      <c r="AC60" s="134">
        <v>0</v>
      </c>
      <c r="AD60" s="134">
        <v>0</v>
      </c>
      <c r="AE60" s="134">
        <v>0</v>
      </c>
      <c r="AF60" s="134">
        <v>0</v>
      </c>
      <c r="AG60" s="134">
        <v>0</v>
      </c>
      <c r="AH60" s="134">
        <v>0</v>
      </c>
      <c r="AI60" s="134">
        <v>0</v>
      </c>
      <c r="AJ60" s="134">
        <v>0</v>
      </c>
      <c r="AK60" s="134">
        <v>0</v>
      </c>
      <c r="AL60" s="4">
        <f t="shared" si="15"/>
        <v>0</v>
      </c>
      <c r="AM60" s="106">
        <f t="shared" si="8"/>
        <v>0</v>
      </c>
      <c r="AO60" s="4">
        <f t="shared" si="9"/>
        <v>0</v>
      </c>
    </row>
    <row r="61" spans="1:41" x14ac:dyDescent="0.25">
      <c r="A61" s="4" t="str">
        <f t="shared" si="12"/>
        <v>42  - Boi</v>
      </c>
      <c r="B61" s="4" t="str">
        <f t="shared" si="13"/>
        <v xml:space="preserve">Boi - 42 </v>
      </c>
      <c r="C61" s="29" t="s">
        <v>94</v>
      </c>
      <c r="D61" s="25">
        <f>SUMIFS('Val-Vol (2)'!$I$4:$I$2000,'Val-Vol (2)'!$V$4:$V$2000,$C$5,'Val-Vol (2)'!$A$4:$A$2000,C61,'Val-Vol (2)'!$U$4:$U$2000,1)</f>
        <v>0</v>
      </c>
      <c r="E61" s="30" t="str">
        <f t="shared" si="11"/>
        <v/>
      </c>
      <c r="F61" s="83">
        <f>SUMIFS('Val-Vol (2)'!$H$4:$H$2000,'Val-Vol (2)'!$V$4:$V$2000,$C$5,'Val-Vol (2)'!$A$4:$A$2000,C61,'Val-Vol (2)'!$U$4:$U$2000,1)</f>
        <v>0</v>
      </c>
      <c r="G61" s="88" t="str">
        <f t="shared" si="5"/>
        <v/>
      </c>
      <c r="H61" s="25">
        <f>SUMIFS('Val-Vol (2)'!$I$4:$I$2000,'Val-Vol (2)'!$V$4:$V$2000,$C$5,'Val-Vol (2)'!$D$4:$D$2000,C61,'Val-Vol (2)'!$T$4:$T$2000,1)</f>
        <v>0</v>
      </c>
      <c r="I61" s="32" t="str">
        <f t="shared" si="6"/>
        <v/>
      </c>
      <c r="J61" s="114">
        <f>SUMIFS('Val-Vol (2)'!$H$4:$H$2000,'Val-Vol (2)'!$V$4:$V$2000,$C$5,'Val-Vol (2)'!$D$4:$D$2000,C61,'Val-Vol (2)'!$T$4:$T$2000,1)</f>
        <v>0</v>
      </c>
      <c r="K61" s="88" t="str">
        <f t="shared" si="7"/>
        <v/>
      </c>
      <c r="M61" s="109">
        <v>0</v>
      </c>
      <c r="P61"/>
      <c r="Q61"/>
      <c r="R61"/>
      <c r="S61"/>
      <c r="T61"/>
      <c r="U61"/>
      <c r="V61"/>
      <c r="W61"/>
      <c r="Z61" s="29" t="s">
        <v>94</v>
      </c>
      <c r="AA61">
        <f t="shared" si="14"/>
        <v>0</v>
      </c>
      <c r="AB61" s="134">
        <v>0</v>
      </c>
      <c r="AC61" s="134">
        <v>0</v>
      </c>
      <c r="AD61" s="134">
        <v>0</v>
      </c>
      <c r="AE61" s="134">
        <v>0</v>
      </c>
      <c r="AF61" s="134">
        <v>0</v>
      </c>
      <c r="AG61" s="134">
        <v>0</v>
      </c>
      <c r="AH61" s="134">
        <v>0</v>
      </c>
      <c r="AI61" s="134">
        <v>0</v>
      </c>
      <c r="AJ61" s="134">
        <v>0</v>
      </c>
      <c r="AK61" s="134">
        <v>0</v>
      </c>
      <c r="AL61" s="4">
        <f t="shared" si="15"/>
        <v>0</v>
      </c>
      <c r="AM61" s="106">
        <f t="shared" si="8"/>
        <v>0</v>
      </c>
      <c r="AO61" s="4">
        <f>SUM(AB61:AK61)</f>
        <v>0</v>
      </c>
    </row>
    <row r="62" spans="1:41" x14ac:dyDescent="0.25">
      <c r="A62" s="4" t="str">
        <f t="shared" si="12"/>
        <v>43  - Boi</v>
      </c>
      <c r="B62" s="4" t="str">
        <f t="shared" si="13"/>
        <v xml:space="preserve">Boi - 43 </v>
      </c>
      <c r="C62" s="29" t="s">
        <v>95</v>
      </c>
      <c r="D62" s="25">
        <f>SUMIFS('Val-Vol (2)'!$I$4:$I$2000,'Val-Vol (2)'!$V$4:$V$2000,$C$5,'Val-Vol (2)'!$A$4:$A$2000,C62,'Val-Vol (2)'!$U$4:$U$2000,1)</f>
        <v>0</v>
      </c>
      <c r="E62" s="30" t="str">
        <f t="shared" si="11"/>
        <v/>
      </c>
      <c r="F62" s="83">
        <f>SUMIFS('Val-Vol (2)'!$H$4:$H$2000,'Val-Vol (2)'!$V$4:$V$2000,$C$5,'Val-Vol (2)'!$A$4:$A$2000,C62,'Val-Vol (2)'!$U$4:$U$2000,1)</f>
        <v>0</v>
      </c>
      <c r="G62" s="88" t="str">
        <f t="shared" si="5"/>
        <v/>
      </c>
      <c r="H62" s="25">
        <f>SUMIFS('Val-Vol (2)'!$I$4:$I$2000,'Val-Vol (2)'!$V$4:$V$2000,$C$5,'Val-Vol (2)'!$D$4:$D$2000,C62,'Val-Vol (2)'!$T$4:$T$2000,1)</f>
        <v>0</v>
      </c>
      <c r="I62" s="32" t="str">
        <f t="shared" si="6"/>
        <v/>
      </c>
      <c r="J62" s="114">
        <f>SUMIFS('Val-Vol (2)'!$H$4:$H$2000,'Val-Vol (2)'!$V$4:$V$2000,$C$5,'Val-Vol (2)'!$D$4:$D$2000,C62,'Val-Vol (2)'!$T$4:$T$2000,1)</f>
        <v>0</v>
      </c>
      <c r="K62" s="88" t="str">
        <f t="shared" si="7"/>
        <v/>
      </c>
      <c r="M62" s="109">
        <v>0</v>
      </c>
      <c r="P62"/>
      <c r="Q62"/>
      <c r="R62"/>
      <c r="S62"/>
      <c r="T62"/>
      <c r="U62"/>
      <c r="V62"/>
      <c r="W62"/>
      <c r="Z62" s="29" t="s">
        <v>95</v>
      </c>
      <c r="AA62">
        <f t="shared" si="14"/>
        <v>0</v>
      </c>
      <c r="AB62" s="134">
        <v>0</v>
      </c>
      <c r="AC62" s="134">
        <v>0</v>
      </c>
      <c r="AD62" s="134">
        <v>0</v>
      </c>
      <c r="AE62" s="134">
        <v>0</v>
      </c>
      <c r="AF62" s="134">
        <v>0</v>
      </c>
      <c r="AG62" s="134">
        <v>0</v>
      </c>
      <c r="AH62" s="134">
        <v>0</v>
      </c>
      <c r="AI62" s="134">
        <v>0</v>
      </c>
      <c r="AJ62" s="134">
        <v>0</v>
      </c>
      <c r="AK62" s="134">
        <v>0</v>
      </c>
      <c r="AL62" s="4">
        <f t="shared" si="15"/>
        <v>0</v>
      </c>
      <c r="AM62" s="106">
        <f t="shared" si="8"/>
        <v>0</v>
      </c>
      <c r="AO62" s="4">
        <f t="shared" si="9"/>
        <v>0</v>
      </c>
    </row>
    <row r="63" spans="1:41" x14ac:dyDescent="0.25">
      <c r="A63" s="4" t="str">
        <f t="shared" si="12"/>
        <v>44  - Boi</v>
      </c>
      <c r="B63" s="4" t="str">
        <f t="shared" si="13"/>
        <v xml:space="preserve">Boi - 44 </v>
      </c>
      <c r="C63" s="29" t="s">
        <v>302</v>
      </c>
      <c r="D63" s="25">
        <f>SUMIFS('Val-Vol (2)'!$I$4:$I$2000,'Val-Vol (2)'!$V$4:$V$2000,$C$5,'Val-Vol (2)'!$A$4:$A$2000,C63,'Val-Vol (2)'!$U$4:$U$2000,1)</f>
        <v>0</v>
      </c>
      <c r="E63" s="30" t="str">
        <f t="shared" si="11"/>
        <v/>
      </c>
      <c r="F63" s="83">
        <f>SUMIFS('Val-Vol (2)'!$H$4:$H$2000,'Val-Vol (2)'!$V$4:$V$2000,$C$5,'Val-Vol (2)'!$A$4:$A$2000,C63,'Val-Vol (2)'!$U$4:$U$2000,1)</f>
        <v>0</v>
      </c>
      <c r="G63" s="88" t="str">
        <f t="shared" si="5"/>
        <v/>
      </c>
      <c r="H63" s="25">
        <f>SUMIFS('Val-Vol (2)'!$I$4:$I$2000,'Val-Vol (2)'!$V$4:$V$2000,$C$5,'Val-Vol (2)'!$D$4:$D$2000,C63,'Val-Vol (2)'!$T$4:$T$2000,1)</f>
        <v>0</v>
      </c>
      <c r="I63" s="32" t="str">
        <f t="shared" si="6"/>
        <v/>
      </c>
      <c r="J63" s="114">
        <f>SUMIFS('Val-Vol (2)'!$H$4:$H$2000,'Val-Vol (2)'!$V$4:$V$2000,$C$5,'Val-Vol (2)'!$D$4:$D$2000,C63,'Val-Vol (2)'!$T$4:$T$2000,1)</f>
        <v>0</v>
      </c>
      <c r="K63" s="88" t="str">
        <f t="shared" si="7"/>
        <v/>
      </c>
      <c r="M63" s="109">
        <v>0</v>
      </c>
      <c r="P63"/>
      <c r="Q63"/>
      <c r="R63"/>
      <c r="S63"/>
      <c r="T63"/>
      <c r="U63"/>
      <c r="V63"/>
      <c r="W63"/>
      <c r="Z63" s="29" t="s">
        <v>96</v>
      </c>
      <c r="AA63">
        <f t="shared" si="14"/>
        <v>0</v>
      </c>
      <c r="AB63" s="134">
        <v>0</v>
      </c>
      <c r="AC63" s="134">
        <v>0</v>
      </c>
      <c r="AD63" s="134">
        <v>0</v>
      </c>
      <c r="AE63" s="134">
        <v>0</v>
      </c>
      <c r="AF63" s="134">
        <v>0</v>
      </c>
      <c r="AG63" s="134">
        <v>0</v>
      </c>
      <c r="AH63" s="134">
        <v>0</v>
      </c>
      <c r="AI63" s="134">
        <v>0</v>
      </c>
      <c r="AJ63" s="134">
        <v>0</v>
      </c>
      <c r="AK63" s="134">
        <v>0</v>
      </c>
      <c r="AL63" s="4">
        <f t="shared" si="15"/>
        <v>0</v>
      </c>
      <c r="AM63" s="106">
        <f t="shared" si="8"/>
        <v>0</v>
      </c>
      <c r="AO63" s="4">
        <f t="shared" si="9"/>
        <v>0</v>
      </c>
    </row>
    <row r="64" spans="1:41" x14ac:dyDescent="0.25">
      <c r="A64" s="4" t="str">
        <f t="shared" si="12"/>
        <v>45  - Boi</v>
      </c>
      <c r="B64" s="4" t="str">
        <f t="shared" si="13"/>
        <v xml:space="preserve">Boi - 45 </v>
      </c>
      <c r="C64" s="29" t="s">
        <v>97</v>
      </c>
      <c r="D64" s="25">
        <f>SUMIFS('Val-Vol (2)'!$I$4:$I$2000,'Val-Vol (2)'!$V$4:$V$2000,$C$5,'Val-Vol (2)'!$A$4:$A$2000,C64,'Val-Vol (2)'!$U$4:$U$2000,1)</f>
        <v>0</v>
      </c>
      <c r="E64" s="30" t="str">
        <f t="shared" si="11"/>
        <v/>
      </c>
      <c r="F64" s="83">
        <f>SUMIFS('Val-Vol (2)'!$H$4:$H$2000,'Val-Vol (2)'!$V$4:$V$2000,$C$5,'Val-Vol (2)'!$A$4:$A$2000,C64,'Val-Vol (2)'!$U$4:$U$2000,1)</f>
        <v>0</v>
      </c>
      <c r="G64" s="88" t="str">
        <f t="shared" si="5"/>
        <v/>
      </c>
      <c r="H64" s="25">
        <f>SUMIFS('Val-Vol (2)'!$I$4:$I$2000,'Val-Vol (2)'!$V$4:$V$2000,$C$5,'Val-Vol (2)'!$D$4:$D$2000,C64,'Val-Vol (2)'!$T$4:$T$2000,1)</f>
        <v>0</v>
      </c>
      <c r="I64" s="32" t="str">
        <f t="shared" si="6"/>
        <v/>
      </c>
      <c r="J64" s="114">
        <f>SUMIFS('Val-Vol (2)'!$H$4:$H$2000,'Val-Vol (2)'!$V$4:$V$2000,$C$5,'Val-Vol (2)'!$D$4:$D$2000,C64,'Val-Vol (2)'!$T$4:$T$2000,1)</f>
        <v>0</v>
      </c>
      <c r="K64" s="88" t="str">
        <f t="shared" si="7"/>
        <v/>
      </c>
      <c r="M64" s="109">
        <v>0</v>
      </c>
      <c r="P64"/>
      <c r="Q64"/>
      <c r="R64"/>
      <c r="S64"/>
      <c r="T64"/>
      <c r="U64"/>
      <c r="V64"/>
      <c r="W64"/>
      <c r="Z64" s="29" t="s">
        <v>97</v>
      </c>
      <c r="AA64">
        <f t="shared" si="14"/>
        <v>0</v>
      </c>
      <c r="AB64" s="134">
        <v>0</v>
      </c>
      <c r="AC64" s="134">
        <v>0</v>
      </c>
      <c r="AD64" s="134">
        <v>0</v>
      </c>
      <c r="AE64" s="134">
        <v>0</v>
      </c>
      <c r="AF64" s="134">
        <v>0</v>
      </c>
      <c r="AG64" s="134">
        <v>0</v>
      </c>
      <c r="AH64" s="134">
        <v>0</v>
      </c>
      <c r="AI64" s="134">
        <v>0</v>
      </c>
      <c r="AJ64" s="134">
        <v>0</v>
      </c>
      <c r="AK64" s="134">
        <v>0</v>
      </c>
      <c r="AL64" s="4">
        <f t="shared" si="15"/>
        <v>0</v>
      </c>
      <c r="AM64" s="106">
        <f t="shared" si="8"/>
        <v>0</v>
      </c>
      <c r="AO64" s="4">
        <f t="shared" si="9"/>
        <v>0</v>
      </c>
    </row>
    <row r="65" spans="1:41" x14ac:dyDescent="0.25">
      <c r="A65" s="4" t="str">
        <f t="shared" si="12"/>
        <v>46  - Boi</v>
      </c>
      <c r="B65" s="4" t="str">
        <f t="shared" si="13"/>
        <v xml:space="preserve">Boi - 46 </v>
      </c>
      <c r="C65" s="29" t="s">
        <v>98</v>
      </c>
      <c r="D65" s="25">
        <f>SUMIFS('Val-Vol (2)'!$I$4:$I$2000,'Val-Vol (2)'!$V$4:$V$2000,$C$5,'Val-Vol (2)'!$A$4:$A$2000,C65,'Val-Vol (2)'!$U$4:$U$2000,1)</f>
        <v>0</v>
      </c>
      <c r="E65" s="30" t="str">
        <f t="shared" si="11"/>
        <v/>
      </c>
      <c r="F65" s="83">
        <f>SUMIFS('Val-Vol (2)'!$H$4:$H$2000,'Val-Vol (2)'!$V$4:$V$2000,$C$5,'Val-Vol (2)'!$A$4:$A$2000,C65,'Val-Vol (2)'!$U$4:$U$2000,1)</f>
        <v>0</v>
      </c>
      <c r="G65" s="88" t="str">
        <f t="shared" si="5"/>
        <v/>
      </c>
      <c r="H65" s="25">
        <f>SUMIFS('Val-Vol (2)'!$I$4:$I$2000,'Val-Vol (2)'!$V$4:$V$2000,$C$5,'Val-Vol (2)'!$D$4:$D$2000,C65,'Val-Vol (2)'!$T$4:$T$2000,1)</f>
        <v>0</v>
      </c>
      <c r="I65" s="32" t="str">
        <f t="shared" si="6"/>
        <v/>
      </c>
      <c r="J65" s="114">
        <f>SUMIFS('Val-Vol (2)'!$H$4:$H$2000,'Val-Vol (2)'!$V$4:$V$2000,$C$5,'Val-Vol (2)'!$D$4:$D$2000,C65,'Val-Vol (2)'!$T$4:$T$2000,1)</f>
        <v>0</v>
      </c>
      <c r="K65" s="88" t="str">
        <f t="shared" si="7"/>
        <v/>
      </c>
      <c r="M65" s="109">
        <v>0</v>
      </c>
      <c r="P65"/>
      <c r="Q65"/>
      <c r="R65"/>
      <c r="S65"/>
      <c r="T65"/>
      <c r="U65"/>
      <c r="V65"/>
      <c r="W65"/>
      <c r="Z65" s="29" t="s">
        <v>98</v>
      </c>
      <c r="AA65">
        <f t="shared" si="14"/>
        <v>0</v>
      </c>
      <c r="AB65" s="134">
        <v>0</v>
      </c>
      <c r="AC65" s="134">
        <v>0</v>
      </c>
      <c r="AD65" s="134">
        <v>0</v>
      </c>
      <c r="AE65" s="134">
        <v>0</v>
      </c>
      <c r="AF65" s="134">
        <v>0</v>
      </c>
      <c r="AG65" s="134">
        <v>0</v>
      </c>
      <c r="AH65" s="134">
        <v>0</v>
      </c>
      <c r="AI65" s="134">
        <v>0</v>
      </c>
      <c r="AJ65" s="134">
        <v>0</v>
      </c>
      <c r="AK65" s="134">
        <v>0</v>
      </c>
      <c r="AL65" s="4">
        <f t="shared" si="15"/>
        <v>0</v>
      </c>
      <c r="AM65" s="106">
        <f t="shared" si="8"/>
        <v>0</v>
      </c>
      <c r="AO65" s="4">
        <f t="shared" si="9"/>
        <v>0</v>
      </c>
    </row>
    <row r="66" spans="1:41" x14ac:dyDescent="0.25">
      <c r="A66" s="4" t="str">
        <f t="shared" si="12"/>
        <v>47  - Boi</v>
      </c>
      <c r="B66" s="4" t="str">
        <f t="shared" si="13"/>
        <v xml:space="preserve">Boi - 47 </v>
      </c>
      <c r="C66" s="29" t="s">
        <v>99</v>
      </c>
      <c r="D66" s="25">
        <f>SUMIFS('Val-Vol (2)'!$I$4:$I$2000,'Val-Vol (2)'!$V$4:$V$2000,$C$5,'Val-Vol (2)'!$A$4:$A$2000,C66,'Val-Vol (2)'!$U$4:$U$2000,1)</f>
        <v>0</v>
      </c>
      <c r="E66" s="30" t="str">
        <f t="shared" si="11"/>
        <v/>
      </c>
      <c r="F66" s="83">
        <f>SUMIFS('Val-Vol (2)'!$H$4:$H$2000,'Val-Vol (2)'!$V$4:$V$2000,$C$5,'Val-Vol (2)'!$A$4:$A$2000,C66,'Val-Vol (2)'!$U$4:$U$2000,1)</f>
        <v>0</v>
      </c>
      <c r="G66" s="88" t="str">
        <f t="shared" si="5"/>
        <v/>
      </c>
      <c r="H66" s="25">
        <f>SUMIFS('Val-Vol (2)'!$I$4:$I$2000,'Val-Vol (2)'!$V$4:$V$2000,$C$5,'Val-Vol (2)'!$D$4:$D$2000,C66,'Val-Vol (2)'!$T$4:$T$2000,1)</f>
        <v>0</v>
      </c>
      <c r="I66" s="32" t="str">
        <f t="shared" si="6"/>
        <v/>
      </c>
      <c r="J66" s="114">
        <f>SUMIFS('Val-Vol (2)'!$H$4:$H$2000,'Val-Vol (2)'!$V$4:$V$2000,$C$5,'Val-Vol (2)'!$D$4:$D$2000,C66,'Val-Vol (2)'!$T$4:$T$2000,1)</f>
        <v>0</v>
      </c>
      <c r="K66" s="88" t="str">
        <f t="shared" si="7"/>
        <v/>
      </c>
      <c r="M66" s="109">
        <v>0</v>
      </c>
      <c r="P66"/>
      <c r="Q66"/>
      <c r="R66"/>
      <c r="S66"/>
      <c r="T66"/>
      <c r="U66"/>
      <c r="V66"/>
      <c r="W66"/>
      <c r="Z66" s="29" t="s">
        <v>99</v>
      </c>
      <c r="AA66">
        <f t="shared" si="14"/>
        <v>0</v>
      </c>
      <c r="AB66" s="134">
        <v>0</v>
      </c>
      <c r="AC66" s="134">
        <v>0</v>
      </c>
      <c r="AD66" s="134">
        <v>0</v>
      </c>
      <c r="AE66" s="134">
        <v>0</v>
      </c>
      <c r="AF66" s="134">
        <v>0</v>
      </c>
      <c r="AG66" s="134">
        <v>1</v>
      </c>
      <c r="AH66" s="134">
        <v>0</v>
      </c>
      <c r="AI66" s="134">
        <v>0</v>
      </c>
      <c r="AJ66" s="134">
        <v>0</v>
      </c>
      <c r="AK66" s="134">
        <v>0</v>
      </c>
      <c r="AL66" s="4">
        <f t="shared" si="15"/>
        <v>0</v>
      </c>
      <c r="AM66" s="106">
        <f t="shared" si="8"/>
        <v>0</v>
      </c>
      <c r="AO66" s="4">
        <f t="shared" si="9"/>
        <v>1</v>
      </c>
    </row>
    <row r="67" spans="1:41" x14ac:dyDescent="0.25">
      <c r="A67" s="4" t="str">
        <f t="shared" si="12"/>
        <v>48  - Boi</v>
      </c>
      <c r="B67" s="4" t="str">
        <f t="shared" si="13"/>
        <v xml:space="preserve">Boi - 48 </v>
      </c>
      <c r="C67" s="29" t="s">
        <v>100</v>
      </c>
      <c r="D67" s="25">
        <f>SUMIFS('Val-Vol (2)'!$I$4:$I$2000,'Val-Vol (2)'!$V$4:$V$2000,$C$5,'Val-Vol (2)'!$A$4:$A$2000,C67,'Val-Vol (2)'!$U$4:$U$2000,1)</f>
        <v>0</v>
      </c>
      <c r="E67" s="30" t="str">
        <f t="shared" si="11"/>
        <v/>
      </c>
      <c r="F67" s="83">
        <f>SUMIFS('Val-Vol (2)'!$H$4:$H$2000,'Val-Vol (2)'!$V$4:$V$2000,$C$5,'Val-Vol (2)'!$A$4:$A$2000,C67,'Val-Vol (2)'!$U$4:$U$2000,1)</f>
        <v>0</v>
      </c>
      <c r="G67" s="88" t="str">
        <f t="shared" si="5"/>
        <v/>
      </c>
      <c r="H67" s="25">
        <f>SUMIFS('Val-Vol (2)'!$I$4:$I$2000,'Val-Vol (2)'!$V$4:$V$2000,$C$5,'Val-Vol (2)'!$D$4:$D$2000,C67,'Val-Vol (2)'!$T$4:$T$2000,1)</f>
        <v>0</v>
      </c>
      <c r="I67" s="32" t="str">
        <f t="shared" si="6"/>
        <v/>
      </c>
      <c r="J67" s="114">
        <f>SUMIFS('Val-Vol (2)'!$H$4:$H$2000,'Val-Vol (2)'!$V$4:$V$2000,$C$5,'Val-Vol (2)'!$D$4:$D$2000,C67,'Val-Vol (2)'!$T$4:$T$2000,1)</f>
        <v>0</v>
      </c>
      <c r="K67" s="88" t="str">
        <f t="shared" si="7"/>
        <v/>
      </c>
      <c r="M67" s="109">
        <v>0</v>
      </c>
      <c r="P67"/>
      <c r="Q67"/>
      <c r="R67"/>
      <c r="S67"/>
      <c r="T67"/>
      <c r="U67"/>
      <c r="V67"/>
      <c r="W67"/>
      <c r="Z67" s="29" t="s">
        <v>100</v>
      </c>
      <c r="AA67">
        <f t="shared" si="14"/>
        <v>0</v>
      </c>
      <c r="AB67" s="134">
        <v>0</v>
      </c>
      <c r="AC67" s="134">
        <v>0</v>
      </c>
      <c r="AD67" s="134">
        <v>0</v>
      </c>
      <c r="AE67" s="134">
        <v>0</v>
      </c>
      <c r="AF67" s="134">
        <v>0</v>
      </c>
      <c r="AG67" s="134">
        <v>0</v>
      </c>
      <c r="AH67" s="134">
        <v>0</v>
      </c>
      <c r="AI67" s="134">
        <v>0</v>
      </c>
      <c r="AJ67" s="134">
        <v>0</v>
      </c>
      <c r="AK67" s="134">
        <v>0</v>
      </c>
      <c r="AL67" s="4">
        <f t="shared" si="15"/>
        <v>0</v>
      </c>
      <c r="AM67" s="106">
        <f t="shared" si="8"/>
        <v>0</v>
      </c>
      <c r="AO67" s="4">
        <f t="shared" si="9"/>
        <v>0</v>
      </c>
    </row>
    <row r="68" spans="1:41" x14ac:dyDescent="0.25">
      <c r="A68" s="4" t="str">
        <f t="shared" si="12"/>
        <v>49  - Boi</v>
      </c>
      <c r="B68" s="4" t="str">
        <f t="shared" si="13"/>
        <v xml:space="preserve">Boi - 49 </v>
      </c>
      <c r="C68" s="29" t="s">
        <v>101</v>
      </c>
      <c r="D68" s="25">
        <f>SUMIFS('Val-Vol (2)'!$I$4:$I$2000,'Val-Vol (2)'!$V$4:$V$2000,$C$5,'Val-Vol (2)'!$A$4:$A$2000,C68,'Val-Vol (2)'!$U$4:$U$2000,1)</f>
        <v>0</v>
      </c>
      <c r="E68" s="30" t="str">
        <f t="shared" si="11"/>
        <v/>
      </c>
      <c r="F68" s="83">
        <f>SUMIFS('Val-Vol (2)'!$H$4:$H$2000,'Val-Vol (2)'!$V$4:$V$2000,$C$5,'Val-Vol (2)'!$A$4:$A$2000,C68,'Val-Vol (2)'!$U$4:$U$2000,1)</f>
        <v>0</v>
      </c>
      <c r="G68" s="88" t="str">
        <f t="shared" si="5"/>
        <v/>
      </c>
      <c r="H68" s="25">
        <f>SUMIFS('Val-Vol (2)'!$I$4:$I$2000,'Val-Vol (2)'!$V$4:$V$2000,$C$5,'Val-Vol (2)'!$D$4:$D$2000,C68,'Val-Vol (2)'!$T$4:$T$2000,1)</f>
        <v>214837.93348593501</v>
      </c>
      <c r="I68" s="32">
        <f t="shared" si="6"/>
        <v>1</v>
      </c>
      <c r="J68" s="114">
        <f>SUMIFS('Val-Vol (2)'!$H$4:$H$2000,'Val-Vol (2)'!$V$4:$V$2000,$C$5,'Val-Vol (2)'!$D$4:$D$2000,C68,'Val-Vol (2)'!$T$4:$T$2000,1)</f>
        <v>37179.1650284157</v>
      </c>
      <c r="K68" s="88">
        <f t="shared" si="7"/>
        <v>0.82694320120683085</v>
      </c>
      <c r="M68" s="109">
        <v>0</v>
      </c>
      <c r="P68"/>
      <c r="Q68"/>
      <c r="R68"/>
      <c r="S68"/>
      <c r="T68"/>
      <c r="U68"/>
      <c r="V68"/>
      <c r="W68"/>
      <c r="Z68" s="29" t="s">
        <v>101</v>
      </c>
      <c r="AA68">
        <f t="shared" si="14"/>
        <v>0</v>
      </c>
      <c r="AB68" s="134">
        <v>0</v>
      </c>
      <c r="AC68" s="134">
        <v>0</v>
      </c>
      <c r="AD68" s="134">
        <v>0</v>
      </c>
      <c r="AE68" s="134">
        <v>1</v>
      </c>
      <c r="AF68" s="134">
        <v>0</v>
      </c>
      <c r="AG68" s="134">
        <v>0</v>
      </c>
      <c r="AH68" s="134">
        <v>0</v>
      </c>
      <c r="AI68" s="134">
        <v>0</v>
      </c>
      <c r="AJ68" s="134">
        <v>0</v>
      </c>
      <c r="AK68" s="134">
        <v>0</v>
      </c>
      <c r="AL68" s="4">
        <f t="shared" si="15"/>
        <v>0</v>
      </c>
      <c r="AM68" s="106">
        <f t="shared" si="8"/>
        <v>1</v>
      </c>
      <c r="AO68" s="4">
        <f t="shared" si="9"/>
        <v>1</v>
      </c>
    </row>
    <row r="69" spans="1:41" x14ac:dyDescent="0.25">
      <c r="A69" s="4" t="str">
        <f t="shared" si="12"/>
        <v>50  - Boi</v>
      </c>
      <c r="B69" s="4" t="str">
        <f t="shared" si="13"/>
        <v xml:space="preserve">Boi - 50 </v>
      </c>
      <c r="C69" s="29" t="s">
        <v>102</v>
      </c>
      <c r="D69" s="25">
        <f>SUMIFS('Val-Vol (2)'!$I$4:$I$2000,'Val-Vol (2)'!$V$4:$V$2000,$C$5,'Val-Vol (2)'!$A$4:$A$2000,C69,'Val-Vol (2)'!$U$4:$U$2000,1)</f>
        <v>59317.864031925201</v>
      </c>
      <c r="E69" s="30">
        <f t="shared" si="11"/>
        <v>9.0973430237400524E-2</v>
      </c>
      <c r="F69" s="83">
        <f>SUMIFS('Val-Vol (2)'!$H$4:$H$2000,'Val-Vol (2)'!$V$4:$V$2000,$C$5,'Val-Vol (2)'!$A$4:$A$2000,C69,'Val-Vol (2)'!$U$4:$U$2000,1)</f>
        <v>0</v>
      </c>
      <c r="G69" s="88">
        <f t="shared" si="5"/>
        <v>1</v>
      </c>
      <c r="H69" s="25">
        <f>SUMIFS('Val-Vol (2)'!$I$4:$I$2000,'Val-Vol (2)'!$V$4:$V$2000,$C$5,'Val-Vol (2)'!$D$4:$D$2000,C69,'Val-Vol (2)'!$T$4:$T$2000,1)</f>
        <v>0</v>
      </c>
      <c r="I69" s="32" t="str">
        <f t="shared" si="6"/>
        <v/>
      </c>
      <c r="J69" s="114">
        <f>SUMIFS('Val-Vol (2)'!$H$4:$H$2000,'Val-Vol (2)'!$V$4:$V$2000,$C$5,'Val-Vol (2)'!$D$4:$D$2000,C69,'Val-Vol (2)'!$T$4:$T$2000,1)</f>
        <v>0</v>
      </c>
      <c r="K69" s="88" t="str">
        <f t="shared" si="7"/>
        <v/>
      </c>
      <c r="M69" s="109">
        <v>0</v>
      </c>
      <c r="P69"/>
      <c r="Q69"/>
      <c r="R69"/>
      <c r="S69"/>
      <c r="T69"/>
      <c r="U69"/>
      <c r="V69"/>
      <c r="W69"/>
      <c r="Z69" s="29" t="s">
        <v>102</v>
      </c>
      <c r="AA69">
        <f t="shared" si="14"/>
        <v>0</v>
      </c>
      <c r="AB69" s="134">
        <v>0</v>
      </c>
      <c r="AC69" s="134">
        <v>0</v>
      </c>
      <c r="AD69" s="134">
        <v>0</v>
      </c>
      <c r="AE69" s="134">
        <v>0</v>
      </c>
      <c r="AF69" s="134">
        <v>0</v>
      </c>
      <c r="AG69" s="134">
        <v>0</v>
      </c>
      <c r="AH69" s="134">
        <v>0</v>
      </c>
      <c r="AI69" s="134">
        <v>0</v>
      </c>
      <c r="AJ69" s="134">
        <v>0</v>
      </c>
      <c r="AK69" s="134">
        <v>0</v>
      </c>
      <c r="AL69" s="4">
        <f t="shared" si="15"/>
        <v>0</v>
      </c>
      <c r="AM69" s="106">
        <f t="shared" si="8"/>
        <v>0</v>
      </c>
      <c r="AO69" s="4">
        <f t="shared" si="9"/>
        <v>0</v>
      </c>
    </row>
    <row r="70" spans="1:41" x14ac:dyDescent="0.25">
      <c r="A70" s="4" t="str">
        <f t="shared" si="12"/>
        <v>51  - Boi</v>
      </c>
      <c r="B70" s="4" t="str">
        <f t="shared" si="13"/>
        <v xml:space="preserve">Boi - 51 </v>
      </c>
      <c r="C70" s="29" t="s">
        <v>103</v>
      </c>
      <c r="D70" s="25">
        <f>SUMIFS('Val-Vol (2)'!$I$4:$I$2000,'Val-Vol (2)'!$V$4:$V$2000,$C$5,'Val-Vol (2)'!$A$4:$A$2000,C70,'Val-Vol (2)'!$U$4:$U$2000,1)</f>
        <v>0</v>
      </c>
      <c r="E70" s="30" t="str">
        <f t="shared" si="11"/>
        <v/>
      </c>
      <c r="F70" s="83">
        <f>SUMIFS('Val-Vol (2)'!$H$4:$H$2000,'Val-Vol (2)'!$V$4:$V$2000,$C$5,'Val-Vol (2)'!$A$4:$A$2000,C70,'Val-Vol (2)'!$U$4:$U$2000,1)</f>
        <v>0</v>
      </c>
      <c r="G70" s="88" t="str">
        <f t="shared" si="5"/>
        <v/>
      </c>
      <c r="H70" s="25">
        <f>SUMIFS('Val-Vol (2)'!$I$4:$I$2000,'Val-Vol (2)'!$V$4:$V$2000,$C$5,'Val-Vol (2)'!$D$4:$D$2000,C70,'Val-Vol (2)'!$T$4:$T$2000,1)</f>
        <v>0</v>
      </c>
      <c r="I70" s="32" t="str">
        <f t="shared" si="6"/>
        <v/>
      </c>
      <c r="J70" s="114">
        <f>SUMIFS('Val-Vol (2)'!$H$4:$H$2000,'Val-Vol (2)'!$V$4:$V$2000,$C$5,'Val-Vol (2)'!$D$4:$D$2000,C70,'Val-Vol (2)'!$T$4:$T$2000,1)</f>
        <v>0</v>
      </c>
      <c r="K70" s="88" t="str">
        <f t="shared" si="7"/>
        <v/>
      </c>
      <c r="M70" s="109">
        <v>0</v>
      </c>
      <c r="P70"/>
      <c r="Q70"/>
      <c r="R70"/>
      <c r="S70"/>
      <c r="T70"/>
      <c r="U70"/>
      <c r="V70"/>
      <c r="W70"/>
      <c r="Z70" s="29" t="s">
        <v>103</v>
      </c>
      <c r="AA70">
        <f t="shared" si="14"/>
        <v>0</v>
      </c>
      <c r="AB70" s="134">
        <v>0</v>
      </c>
      <c r="AC70" s="134">
        <v>0</v>
      </c>
      <c r="AD70" s="134">
        <v>0</v>
      </c>
      <c r="AE70" s="134">
        <v>0</v>
      </c>
      <c r="AF70" s="134">
        <v>0</v>
      </c>
      <c r="AG70" s="134">
        <v>0</v>
      </c>
      <c r="AH70" s="134">
        <v>0</v>
      </c>
      <c r="AI70" s="134">
        <v>1</v>
      </c>
      <c r="AJ70" s="134">
        <v>0</v>
      </c>
      <c r="AK70" s="134">
        <v>0</v>
      </c>
      <c r="AL70" s="4">
        <f t="shared" si="15"/>
        <v>0</v>
      </c>
      <c r="AM70" s="106">
        <f t="shared" si="8"/>
        <v>0</v>
      </c>
      <c r="AO70" s="4">
        <f t="shared" si="9"/>
        <v>1</v>
      </c>
    </row>
    <row r="71" spans="1:41" x14ac:dyDescent="0.25">
      <c r="A71" s="4" t="str">
        <f t="shared" si="12"/>
        <v>52  - Boi</v>
      </c>
      <c r="B71" s="4" t="str">
        <f t="shared" si="13"/>
        <v xml:space="preserve">Boi - 52 </v>
      </c>
      <c r="C71" s="29" t="s">
        <v>19</v>
      </c>
      <c r="D71" s="25">
        <f>SUMIFS('Val-Vol (2)'!$I$4:$I$2000,'Val-Vol (2)'!$V$4:$V$2000,$C$5,'Val-Vol (2)'!$A$4:$A$2000,C71,'Val-Vol (2)'!$U$4:$U$2000,1)</f>
        <v>0</v>
      </c>
      <c r="E71" s="30" t="str">
        <f t="shared" si="11"/>
        <v/>
      </c>
      <c r="F71" s="83">
        <f>SUMIFS('Val-Vol (2)'!$H$4:$H$2000,'Val-Vol (2)'!$V$4:$V$2000,$C$5,'Val-Vol (2)'!$A$4:$A$2000,C71,'Val-Vol (2)'!$U$4:$U$2000,1)</f>
        <v>0</v>
      </c>
      <c r="G71" s="88" t="str">
        <f t="shared" si="5"/>
        <v/>
      </c>
      <c r="H71" s="25">
        <f>SUMIFS('Val-Vol (2)'!$I$4:$I$2000,'Val-Vol (2)'!$V$4:$V$2000,$C$5,'Val-Vol (2)'!$D$4:$D$2000,C71,'Val-Vol (2)'!$T$4:$T$2000,1)</f>
        <v>0</v>
      </c>
      <c r="I71" s="32" t="str">
        <f t="shared" si="6"/>
        <v/>
      </c>
      <c r="J71" s="114">
        <f>SUMIFS('Val-Vol (2)'!$H$4:$H$2000,'Val-Vol (2)'!$V$4:$V$2000,$C$5,'Val-Vol (2)'!$D$4:$D$2000,C71,'Val-Vol (2)'!$T$4:$T$2000,1)</f>
        <v>0</v>
      </c>
      <c r="K71" s="88" t="str">
        <f t="shared" si="7"/>
        <v/>
      </c>
      <c r="M71" s="109">
        <v>0</v>
      </c>
      <c r="P71"/>
      <c r="Q71"/>
      <c r="R71"/>
      <c r="S71"/>
      <c r="T71"/>
      <c r="U71"/>
      <c r="V71"/>
      <c r="W71"/>
      <c r="Z71" s="29" t="s">
        <v>19</v>
      </c>
      <c r="AA71">
        <f t="shared" si="14"/>
        <v>0</v>
      </c>
      <c r="AB71" s="134">
        <v>0</v>
      </c>
      <c r="AC71" s="134">
        <v>0</v>
      </c>
      <c r="AD71" s="134">
        <v>0</v>
      </c>
      <c r="AE71" s="134">
        <v>0</v>
      </c>
      <c r="AF71" s="134">
        <v>0</v>
      </c>
      <c r="AG71" s="134">
        <v>0</v>
      </c>
      <c r="AH71" s="134">
        <v>0</v>
      </c>
      <c r="AI71" s="134">
        <v>1</v>
      </c>
      <c r="AJ71" s="134">
        <v>0</v>
      </c>
      <c r="AK71" s="134">
        <v>0</v>
      </c>
      <c r="AL71" s="4">
        <f t="shared" si="15"/>
        <v>0</v>
      </c>
      <c r="AM71" s="106">
        <f t="shared" si="8"/>
        <v>0</v>
      </c>
      <c r="AO71" s="4">
        <f t="shared" si="9"/>
        <v>1</v>
      </c>
    </row>
    <row r="72" spans="1:41" x14ac:dyDescent="0.25">
      <c r="A72" s="4" t="str">
        <f t="shared" si="12"/>
        <v>53  - Boi</v>
      </c>
      <c r="B72" s="4" t="str">
        <f t="shared" si="13"/>
        <v xml:space="preserve">Boi - 53 </v>
      </c>
      <c r="C72" s="29" t="s">
        <v>20</v>
      </c>
      <c r="D72" s="25">
        <f>SUMIFS('Val-Vol (2)'!$I$4:$I$2000,'Val-Vol (2)'!$V$4:$V$2000,$C$5,'Val-Vol (2)'!$A$4:$A$2000,C72,'Val-Vol (2)'!$U$4:$U$2000,1)</f>
        <v>0</v>
      </c>
      <c r="E72" s="30" t="str">
        <f t="shared" si="11"/>
        <v/>
      </c>
      <c r="F72" s="83">
        <f>SUMIFS('Val-Vol (2)'!$H$4:$H$2000,'Val-Vol (2)'!$V$4:$V$2000,$C$5,'Val-Vol (2)'!$A$4:$A$2000,C72,'Val-Vol (2)'!$U$4:$U$2000,1)</f>
        <v>0</v>
      </c>
      <c r="G72" s="88" t="str">
        <f t="shared" si="5"/>
        <v/>
      </c>
      <c r="H72" s="25">
        <f>SUMIFS('Val-Vol (2)'!$I$4:$I$2000,'Val-Vol (2)'!$V$4:$V$2000,$C$5,'Val-Vol (2)'!$D$4:$D$2000,C72,'Val-Vol (2)'!$T$4:$T$2000,1)</f>
        <v>0</v>
      </c>
      <c r="I72" s="32" t="str">
        <f t="shared" si="6"/>
        <v/>
      </c>
      <c r="J72" s="114">
        <f>SUMIFS('Val-Vol (2)'!$H$4:$H$2000,'Val-Vol (2)'!$V$4:$V$2000,$C$5,'Val-Vol (2)'!$D$4:$D$2000,C72,'Val-Vol (2)'!$T$4:$T$2000,1)</f>
        <v>0</v>
      </c>
      <c r="K72" s="88" t="str">
        <f t="shared" si="7"/>
        <v/>
      </c>
      <c r="M72" s="109">
        <v>0</v>
      </c>
      <c r="P72"/>
      <c r="Q72"/>
      <c r="R72"/>
      <c r="S72"/>
      <c r="T72"/>
      <c r="U72"/>
      <c r="V72"/>
      <c r="W72"/>
      <c r="Z72" s="29" t="s">
        <v>20</v>
      </c>
      <c r="AA72">
        <f t="shared" si="14"/>
        <v>0</v>
      </c>
      <c r="AB72" s="134">
        <v>0</v>
      </c>
      <c r="AC72" s="134">
        <v>0</v>
      </c>
      <c r="AD72" s="134">
        <v>0</v>
      </c>
      <c r="AE72" s="134">
        <v>0</v>
      </c>
      <c r="AF72" s="134">
        <v>0</v>
      </c>
      <c r="AG72" s="134">
        <v>0</v>
      </c>
      <c r="AH72" s="134">
        <v>0</v>
      </c>
      <c r="AI72" s="134">
        <v>1</v>
      </c>
      <c r="AJ72" s="134">
        <v>0</v>
      </c>
      <c r="AK72" s="134">
        <v>0</v>
      </c>
      <c r="AL72" s="4">
        <f t="shared" si="15"/>
        <v>0</v>
      </c>
      <c r="AM72" s="106">
        <f t="shared" si="8"/>
        <v>0</v>
      </c>
      <c r="AO72" s="4">
        <f t="shared" si="9"/>
        <v>1</v>
      </c>
    </row>
    <row r="73" spans="1:41" x14ac:dyDescent="0.25">
      <c r="A73" s="4" t="str">
        <f t="shared" si="12"/>
        <v>54  - Boi</v>
      </c>
      <c r="B73" s="4" t="str">
        <f t="shared" si="13"/>
        <v xml:space="preserve">Boi - 54 </v>
      </c>
      <c r="C73" s="29" t="s">
        <v>21</v>
      </c>
      <c r="D73" s="25">
        <f>SUMIFS('Val-Vol (2)'!$I$4:$I$2000,'Val-Vol (2)'!$V$4:$V$2000,$C$5,'Val-Vol (2)'!$A$4:$A$2000,C73,'Val-Vol (2)'!$U$4:$U$2000,1)</f>
        <v>0</v>
      </c>
      <c r="E73" s="30" t="str">
        <f t="shared" si="11"/>
        <v/>
      </c>
      <c r="F73" s="83">
        <f>SUMIFS('Val-Vol (2)'!$H$4:$H$2000,'Val-Vol (2)'!$V$4:$V$2000,$C$5,'Val-Vol (2)'!$A$4:$A$2000,C73,'Val-Vol (2)'!$U$4:$U$2000,1)</f>
        <v>0</v>
      </c>
      <c r="G73" s="88" t="str">
        <f t="shared" si="5"/>
        <v/>
      </c>
      <c r="H73" s="25">
        <f>SUMIFS('Val-Vol (2)'!$I$4:$I$2000,'Val-Vol (2)'!$V$4:$V$2000,$C$5,'Val-Vol (2)'!$D$4:$D$2000,C73,'Val-Vol (2)'!$T$4:$T$2000,1)</f>
        <v>0</v>
      </c>
      <c r="I73" s="32" t="str">
        <f t="shared" si="6"/>
        <v/>
      </c>
      <c r="J73" s="114">
        <f>SUMIFS('Val-Vol (2)'!$H$4:$H$2000,'Val-Vol (2)'!$V$4:$V$2000,$C$5,'Val-Vol (2)'!$D$4:$D$2000,C73,'Val-Vol (2)'!$T$4:$T$2000,1)</f>
        <v>0</v>
      </c>
      <c r="K73" s="88" t="str">
        <f t="shared" si="7"/>
        <v/>
      </c>
      <c r="M73" s="109">
        <v>0</v>
      </c>
      <c r="P73"/>
      <c r="Q73"/>
      <c r="R73"/>
      <c r="S73"/>
      <c r="T73"/>
      <c r="U73"/>
      <c r="V73"/>
      <c r="W73"/>
      <c r="Z73" s="29" t="s">
        <v>21</v>
      </c>
      <c r="AA73">
        <f t="shared" si="14"/>
        <v>0</v>
      </c>
      <c r="AB73" s="134">
        <v>0</v>
      </c>
      <c r="AC73" s="134">
        <v>0</v>
      </c>
      <c r="AD73" s="134">
        <v>0</v>
      </c>
      <c r="AE73" s="134">
        <v>0</v>
      </c>
      <c r="AF73" s="134">
        <v>0</v>
      </c>
      <c r="AG73" s="134">
        <v>0</v>
      </c>
      <c r="AH73" s="134">
        <v>1</v>
      </c>
      <c r="AI73" s="134">
        <v>0</v>
      </c>
      <c r="AJ73" s="134">
        <v>0</v>
      </c>
      <c r="AK73" s="134">
        <v>0</v>
      </c>
      <c r="AL73" s="4">
        <f t="shared" si="15"/>
        <v>0</v>
      </c>
      <c r="AM73" s="106">
        <f t="shared" si="8"/>
        <v>0</v>
      </c>
      <c r="AO73" s="4">
        <f t="shared" si="9"/>
        <v>1</v>
      </c>
    </row>
    <row r="74" spans="1:41" x14ac:dyDescent="0.25">
      <c r="A74" s="4" t="str">
        <f t="shared" si="12"/>
        <v>55  - Boi</v>
      </c>
      <c r="B74" s="4" t="str">
        <f t="shared" si="13"/>
        <v xml:space="preserve">Boi - 55 </v>
      </c>
      <c r="C74" s="29" t="s">
        <v>22</v>
      </c>
      <c r="D74" s="25">
        <f>SUMIFS('Val-Vol (2)'!$I$4:$I$2000,'Val-Vol (2)'!$V$4:$V$2000,$C$5,'Val-Vol (2)'!$A$4:$A$2000,C74,'Val-Vol (2)'!$U$4:$U$2000,1)</f>
        <v>0</v>
      </c>
      <c r="E74" s="30" t="str">
        <f t="shared" si="11"/>
        <v/>
      </c>
      <c r="F74" s="83">
        <f>SUMIFS('Val-Vol (2)'!$H$4:$H$2000,'Val-Vol (2)'!$V$4:$V$2000,$C$5,'Val-Vol (2)'!$A$4:$A$2000,C74,'Val-Vol (2)'!$U$4:$U$2000,1)</f>
        <v>0</v>
      </c>
      <c r="G74" s="88" t="str">
        <f t="shared" si="5"/>
        <v/>
      </c>
      <c r="H74" s="25">
        <f>SUMIFS('Val-Vol (2)'!$I$4:$I$2000,'Val-Vol (2)'!$V$4:$V$2000,$C$5,'Val-Vol (2)'!$D$4:$D$2000,C74,'Val-Vol (2)'!$T$4:$T$2000,1)</f>
        <v>0</v>
      </c>
      <c r="I74" s="32" t="str">
        <f t="shared" si="6"/>
        <v/>
      </c>
      <c r="J74" s="114">
        <f>SUMIFS('Val-Vol (2)'!$H$4:$H$2000,'Val-Vol (2)'!$V$4:$V$2000,$C$5,'Val-Vol (2)'!$D$4:$D$2000,C74,'Val-Vol (2)'!$T$4:$T$2000,1)</f>
        <v>0</v>
      </c>
      <c r="K74" s="88" t="str">
        <f t="shared" si="7"/>
        <v/>
      </c>
      <c r="M74" s="109">
        <v>0</v>
      </c>
      <c r="P74"/>
      <c r="Q74"/>
      <c r="R74"/>
      <c r="S74"/>
      <c r="T74"/>
      <c r="U74"/>
      <c r="V74"/>
      <c r="W74"/>
      <c r="Z74" s="29" t="s">
        <v>22</v>
      </c>
      <c r="AA74">
        <f t="shared" si="14"/>
        <v>0</v>
      </c>
      <c r="AB74" s="134">
        <v>0</v>
      </c>
      <c r="AC74" s="134">
        <v>0</v>
      </c>
      <c r="AD74" s="134">
        <v>0</v>
      </c>
      <c r="AE74" s="134">
        <v>0</v>
      </c>
      <c r="AF74" s="134">
        <v>0</v>
      </c>
      <c r="AG74" s="134">
        <v>0</v>
      </c>
      <c r="AH74" s="134">
        <v>1</v>
      </c>
      <c r="AI74" s="134">
        <v>0</v>
      </c>
      <c r="AJ74" s="134">
        <v>0</v>
      </c>
      <c r="AK74" s="134">
        <v>0</v>
      </c>
      <c r="AL74" s="4">
        <f t="shared" si="15"/>
        <v>0</v>
      </c>
      <c r="AM74" s="106">
        <f t="shared" si="8"/>
        <v>0</v>
      </c>
      <c r="AO74" s="4">
        <f t="shared" si="9"/>
        <v>1</v>
      </c>
    </row>
    <row r="75" spans="1:41" x14ac:dyDescent="0.25">
      <c r="A75" s="4" t="str">
        <f t="shared" si="12"/>
        <v>56  - Boi</v>
      </c>
      <c r="B75" s="4" t="str">
        <f t="shared" si="13"/>
        <v xml:space="preserve">Boi - 56 </v>
      </c>
      <c r="C75" s="29" t="s">
        <v>23</v>
      </c>
      <c r="D75" s="25">
        <f>SUMIFS('Val-Vol (2)'!$I$4:$I$2000,'Val-Vol (2)'!$V$4:$V$2000,$C$5,'Val-Vol (2)'!$A$4:$A$2000,C75,'Val-Vol (2)'!$U$4:$U$2000,1)</f>
        <v>0</v>
      </c>
      <c r="E75" s="30" t="str">
        <f t="shared" si="11"/>
        <v/>
      </c>
      <c r="F75" s="83">
        <f>SUMIFS('Val-Vol (2)'!$H$4:$H$2000,'Val-Vol (2)'!$V$4:$V$2000,$C$5,'Val-Vol (2)'!$A$4:$A$2000,C75,'Val-Vol (2)'!$U$4:$U$2000,1)</f>
        <v>0</v>
      </c>
      <c r="G75" s="88" t="str">
        <f t="shared" si="5"/>
        <v/>
      </c>
      <c r="H75" s="25">
        <f>SUMIFS('Val-Vol (2)'!$I$4:$I$2000,'Val-Vol (2)'!$V$4:$V$2000,$C$5,'Val-Vol (2)'!$D$4:$D$2000,C75,'Val-Vol (2)'!$T$4:$T$2000,1)</f>
        <v>0</v>
      </c>
      <c r="I75" s="32" t="str">
        <f t="shared" si="6"/>
        <v/>
      </c>
      <c r="J75" s="114">
        <f>SUMIFS('Val-Vol (2)'!$H$4:$H$2000,'Val-Vol (2)'!$V$4:$V$2000,$C$5,'Val-Vol (2)'!$D$4:$D$2000,C75,'Val-Vol (2)'!$T$4:$T$2000,1)</f>
        <v>0</v>
      </c>
      <c r="K75" s="88" t="str">
        <f t="shared" si="7"/>
        <v/>
      </c>
      <c r="M75" s="109">
        <v>0</v>
      </c>
      <c r="P75"/>
      <c r="Q75"/>
      <c r="R75"/>
      <c r="S75"/>
      <c r="T75"/>
      <c r="U75"/>
      <c r="V75"/>
      <c r="W75"/>
      <c r="Z75" s="29" t="s">
        <v>23</v>
      </c>
      <c r="AA75">
        <f t="shared" si="14"/>
        <v>0</v>
      </c>
      <c r="AB75" s="134">
        <v>0</v>
      </c>
      <c r="AC75" s="134">
        <v>0</v>
      </c>
      <c r="AD75" s="134">
        <v>0</v>
      </c>
      <c r="AE75" s="134">
        <v>0</v>
      </c>
      <c r="AF75" s="134">
        <v>0</v>
      </c>
      <c r="AG75" s="134">
        <v>0</v>
      </c>
      <c r="AH75" s="134">
        <v>1</v>
      </c>
      <c r="AI75" s="134">
        <v>0</v>
      </c>
      <c r="AJ75" s="134">
        <v>0</v>
      </c>
      <c r="AK75" s="134">
        <v>0</v>
      </c>
      <c r="AL75" s="4">
        <f t="shared" si="15"/>
        <v>0</v>
      </c>
      <c r="AM75" s="106">
        <f t="shared" si="8"/>
        <v>0</v>
      </c>
      <c r="AO75" s="4">
        <f t="shared" si="9"/>
        <v>1</v>
      </c>
    </row>
    <row r="76" spans="1:41" x14ac:dyDescent="0.25">
      <c r="A76" s="4" t="str">
        <f t="shared" si="12"/>
        <v>57  - Boi</v>
      </c>
      <c r="B76" s="4" t="str">
        <f t="shared" si="13"/>
        <v xml:space="preserve">Boi - 57 </v>
      </c>
      <c r="C76" s="29" t="s">
        <v>24</v>
      </c>
      <c r="D76" s="25">
        <f>SUMIFS('Val-Vol (2)'!$I$4:$I$2000,'Val-Vol (2)'!$V$4:$V$2000,$C$5,'Val-Vol (2)'!$A$4:$A$2000,C76,'Val-Vol (2)'!$U$4:$U$2000,1)</f>
        <v>0</v>
      </c>
      <c r="E76" s="30" t="str">
        <f t="shared" si="11"/>
        <v/>
      </c>
      <c r="F76" s="83">
        <f>SUMIFS('Val-Vol (2)'!$H$4:$H$2000,'Val-Vol (2)'!$V$4:$V$2000,$C$5,'Val-Vol (2)'!$A$4:$A$2000,C76,'Val-Vol (2)'!$U$4:$U$2000,1)</f>
        <v>0</v>
      </c>
      <c r="G76" s="88" t="str">
        <f t="shared" si="5"/>
        <v/>
      </c>
      <c r="H76" s="25">
        <f>SUMIFS('Val-Vol (2)'!$I$4:$I$2000,'Val-Vol (2)'!$V$4:$V$2000,$C$5,'Val-Vol (2)'!$D$4:$D$2000,C76,'Val-Vol (2)'!$T$4:$T$2000,1)</f>
        <v>0</v>
      </c>
      <c r="I76" s="32" t="str">
        <f t="shared" si="6"/>
        <v/>
      </c>
      <c r="J76" s="114">
        <f>SUMIFS('Val-Vol (2)'!$H$4:$H$2000,'Val-Vol (2)'!$V$4:$V$2000,$C$5,'Val-Vol (2)'!$D$4:$D$2000,C76,'Val-Vol (2)'!$T$4:$T$2000,1)</f>
        <v>0</v>
      </c>
      <c r="K76" s="88" t="str">
        <f t="shared" si="7"/>
        <v/>
      </c>
      <c r="M76" s="109">
        <v>0</v>
      </c>
      <c r="P76"/>
      <c r="Q76"/>
      <c r="R76"/>
      <c r="S76"/>
      <c r="T76"/>
      <c r="U76"/>
      <c r="V76"/>
      <c r="W76"/>
      <c r="Z76" s="29" t="s">
        <v>24</v>
      </c>
      <c r="AA76">
        <f t="shared" si="14"/>
        <v>0</v>
      </c>
      <c r="AB76" s="134">
        <v>0</v>
      </c>
      <c r="AC76" s="134">
        <v>0</v>
      </c>
      <c r="AD76" s="134">
        <v>0</v>
      </c>
      <c r="AE76" s="134">
        <v>0</v>
      </c>
      <c r="AF76" s="134">
        <v>0</v>
      </c>
      <c r="AG76" s="134">
        <v>0</v>
      </c>
      <c r="AH76" s="134">
        <v>0</v>
      </c>
      <c r="AI76" s="134">
        <v>1</v>
      </c>
      <c r="AJ76" s="134">
        <v>0</v>
      </c>
      <c r="AK76" s="134">
        <v>0</v>
      </c>
      <c r="AL76" s="4">
        <f t="shared" si="15"/>
        <v>0</v>
      </c>
      <c r="AM76" s="106">
        <f t="shared" si="8"/>
        <v>0</v>
      </c>
      <c r="AO76" s="4">
        <f t="shared" si="9"/>
        <v>1</v>
      </c>
    </row>
    <row r="77" spans="1:41" x14ac:dyDescent="0.25">
      <c r="A77" s="4" t="str">
        <f t="shared" si="12"/>
        <v>58  - Boi</v>
      </c>
      <c r="B77" s="4" t="str">
        <f t="shared" si="13"/>
        <v xml:space="preserve">Boi - 58 </v>
      </c>
      <c r="C77" s="29" t="s">
        <v>25</v>
      </c>
      <c r="D77" s="25">
        <f>SUMIFS('Val-Vol (2)'!$I$4:$I$2000,'Val-Vol (2)'!$V$4:$V$2000,$C$5,'Val-Vol (2)'!$A$4:$A$2000,C77,'Val-Vol (2)'!$U$4:$U$2000,1)</f>
        <v>0</v>
      </c>
      <c r="E77" s="30" t="str">
        <f t="shared" si="11"/>
        <v/>
      </c>
      <c r="F77" s="83">
        <f>SUMIFS('Val-Vol (2)'!$H$4:$H$2000,'Val-Vol (2)'!$V$4:$V$2000,$C$5,'Val-Vol (2)'!$A$4:$A$2000,C77,'Val-Vol (2)'!$U$4:$U$2000,1)</f>
        <v>0</v>
      </c>
      <c r="G77" s="88" t="str">
        <f t="shared" si="5"/>
        <v/>
      </c>
      <c r="H77" s="25">
        <f>SUMIFS('Val-Vol (2)'!$I$4:$I$2000,'Val-Vol (2)'!$V$4:$V$2000,$C$5,'Val-Vol (2)'!$D$4:$D$2000,C77,'Val-Vol (2)'!$T$4:$T$2000,1)</f>
        <v>0</v>
      </c>
      <c r="I77" s="32" t="str">
        <f t="shared" si="6"/>
        <v/>
      </c>
      <c r="J77" s="114">
        <f>SUMIFS('Val-Vol (2)'!$H$4:$H$2000,'Val-Vol (2)'!$V$4:$V$2000,$C$5,'Val-Vol (2)'!$D$4:$D$2000,C77,'Val-Vol (2)'!$T$4:$T$2000,1)</f>
        <v>0</v>
      </c>
      <c r="K77" s="88" t="str">
        <f t="shared" si="7"/>
        <v/>
      </c>
      <c r="M77" s="109">
        <v>0</v>
      </c>
      <c r="P77"/>
      <c r="Q77"/>
      <c r="R77"/>
      <c r="S77"/>
      <c r="T77"/>
      <c r="U77"/>
      <c r="V77"/>
      <c r="W77"/>
      <c r="Z77" s="29" t="s">
        <v>25</v>
      </c>
      <c r="AA77">
        <f t="shared" si="14"/>
        <v>0</v>
      </c>
      <c r="AB77" s="134">
        <v>0</v>
      </c>
      <c r="AC77" s="134">
        <v>0</v>
      </c>
      <c r="AD77" s="134">
        <v>0</v>
      </c>
      <c r="AE77" s="134">
        <v>0</v>
      </c>
      <c r="AF77" s="134">
        <v>0</v>
      </c>
      <c r="AG77" s="134">
        <v>0</v>
      </c>
      <c r="AH77" s="134">
        <v>0</v>
      </c>
      <c r="AI77" s="134">
        <v>1</v>
      </c>
      <c r="AJ77" s="134">
        <v>0</v>
      </c>
      <c r="AK77" s="134">
        <v>0</v>
      </c>
      <c r="AL77" s="4">
        <f t="shared" si="15"/>
        <v>0</v>
      </c>
      <c r="AM77" s="106">
        <f t="shared" si="8"/>
        <v>0</v>
      </c>
      <c r="AO77" s="4">
        <f t="shared" si="9"/>
        <v>1</v>
      </c>
    </row>
    <row r="78" spans="1:41" x14ac:dyDescent="0.25">
      <c r="A78" s="4" t="str">
        <f t="shared" si="12"/>
        <v>59  - Boi</v>
      </c>
      <c r="B78" s="4" t="str">
        <f t="shared" si="13"/>
        <v xml:space="preserve">Boi - 59 </v>
      </c>
      <c r="C78" s="29" t="s">
        <v>26</v>
      </c>
      <c r="D78" s="25">
        <f>SUMIFS('Val-Vol (2)'!$I$4:$I$2000,'Val-Vol (2)'!$V$4:$V$2000,$C$5,'Val-Vol (2)'!$A$4:$A$2000,C78,'Val-Vol (2)'!$U$4:$U$2000,1)</f>
        <v>0</v>
      </c>
      <c r="E78" s="30" t="str">
        <f t="shared" si="11"/>
        <v/>
      </c>
      <c r="F78" s="83">
        <f>SUMIFS('Val-Vol (2)'!$H$4:$H$2000,'Val-Vol (2)'!$V$4:$V$2000,$C$5,'Val-Vol (2)'!$A$4:$A$2000,C78,'Val-Vol (2)'!$U$4:$U$2000,1)</f>
        <v>0</v>
      </c>
      <c r="G78" s="88" t="str">
        <f t="shared" si="5"/>
        <v/>
      </c>
      <c r="H78" s="25">
        <f>SUMIFS('Val-Vol (2)'!$I$4:$I$2000,'Val-Vol (2)'!$V$4:$V$2000,$C$5,'Val-Vol (2)'!$D$4:$D$2000,C78,'Val-Vol (2)'!$T$4:$T$2000,1)</f>
        <v>0</v>
      </c>
      <c r="I78" s="32" t="str">
        <f t="shared" si="6"/>
        <v/>
      </c>
      <c r="J78" s="114">
        <f>SUMIFS('Val-Vol (2)'!$H$4:$H$2000,'Val-Vol (2)'!$V$4:$V$2000,$C$5,'Val-Vol (2)'!$D$4:$D$2000,C78,'Val-Vol (2)'!$T$4:$T$2000,1)</f>
        <v>0</v>
      </c>
      <c r="K78" s="88" t="str">
        <f t="shared" si="7"/>
        <v/>
      </c>
      <c r="M78" s="109">
        <v>0</v>
      </c>
      <c r="P78"/>
      <c r="Q78"/>
      <c r="R78"/>
      <c r="S78"/>
      <c r="T78"/>
      <c r="U78"/>
      <c r="V78"/>
      <c r="W78"/>
      <c r="Z78" s="29" t="s">
        <v>26</v>
      </c>
      <c r="AA78">
        <f t="shared" si="14"/>
        <v>0</v>
      </c>
      <c r="AB78" s="134">
        <v>0</v>
      </c>
      <c r="AC78" s="134">
        <v>0</v>
      </c>
      <c r="AD78" s="134">
        <v>0</v>
      </c>
      <c r="AE78" s="134">
        <v>0</v>
      </c>
      <c r="AF78" s="134">
        <v>0</v>
      </c>
      <c r="AG78" s="134">
        <v>0</v>
      </c>
      <c r="AH78" s="134">
        <v>0</v>
      </c>
      <c r="AI78" s="134">
        <v>1</v>
      </c>
      <c r="AJ78" s="134">
        <v>0</v>
      </c>
      <c r="AK78" s="134">
        <v>0</v>
      </c>
      <c r="AL78" s="4">
        <f t="shared" si="15"/>
        <v>0</v>
      </c>
      <c r="AM78" s="106">
        <f t="shared" si="8"/>
        <v>0</v>
      </c>
      <c r="AO78" s="4">
        <f t="shared" si="9"/>
        <v>1</v>
      </c>
    </row>
    <row r="79" spans="1:41" x14ac:dyDescent="0.25">
      <c r="A79" s="4" t="str">
        <f t="shared" si="12"/>
        <v>60  - Boi</v>
      </c>
      <c r="B79" s="4" t="str">
        <f t="shared" si="13"/>
        <v xml:space="preserve">Boi - 60 </v>
      </c>
      <c r="C79" s="29" t="s">
        <v>27</v>
      </c>
      <c r="D79" s="25">
        <f>SUMIFS('Val-Vol (2)'!$I$4:$I$2000,'Val-Vol (2)'!$V$4:$V$2000,$C$5,'Val-Vol (2)'!$A$4:$A$2000,C79,'Val-Vol (2)'!$U$4:$U$2000,1)</f>
        <v>0</v>
      </c>
      <c r="E79" s="30" t="str">
        <f t="shared" si="11"/>
        <v/>
      </c>
      <c r="F79" s="83">
        <f>SUMIFS('Val-Vol (2)'!$H$4:$H$2000,'Val-Vol (2)'!$V$4:$V$2000,$C$5,'Val-Vol (2)'!$A$4:$A$2000,C79,'Val-Vol (2)'!$U$4:$U$2000,1)</f>
        <v>0</v>
      </c>
      <c r="G79" s="88" t="str">
        <f t="shared" si="5"/>
        <v/>
      </c>
      <c r="H79" s="25">
        <f>SUMIFS('Val-Vol (2)'!$I$4:$I$2000,'Val-Vol (2)'!$V$4:$V$2000,$C$5,'Val-Vol (2)'!$D$4:$D$2000,C79,'Val-Vol (2)'!$T$4:$T$2000,1)</f>
        <v>0</v>
      </c>
      <c r="I79" s="32" t="str">
        <f t="shared" si="6"/>
        <v/>
      </c>
      <c r="J79" s="114">
        <f>SUMIFS('Val-Vol (2)'!$H$4:$H$2000,'Val-Vol (2)'!$V$4:$V$2000,$C$5,'Val-Vol (2)'!$D$4:$D$2000,C79,'Val-Vol (2)'!$T$4:$T$2000,1)</f>
        <v>0</v>
      </c>
      <c r="K79" s="88" t="str">
        <f t="shared" si="7"/>
        <v/>
      </c>
      <c r="M79" s="109">
        <v>0</v>
      </c>
      <c r="P79"/>
      <c r="Q79"/>
      <c r="R79"/>
      <c r="S79"/>
      <c r="T79"/>
      <c r="U79"/>
      <c r="V79"/>
      <c r="W79"/>
      <c r="Z79" s="29" t="s">
        <v>27</v>
      </c>
      <c r="AA79">
        <f t="shared" si="14"/>
        <v>0</v>
      </c>
      <c r="AB79" s="134">
        <v>0</v>
      </c>
      <c r="AC79" s="134">
        <v>0</v>
      </c>
      <c r="AD79" s="134">
        <v>0</v>
      </c>
      <c r="AE79" s="134">
        <v>1</v>
      </c>
      <c r="AF79" s="134">
        <v>0</v>
      </c>
      <c r="AG79" s="134">
        <v>0</v>
      </c>
      <c r="AH79" s="134">
        <v>0</v>
      </c>
      <c r="AI79" s="134">
        <v>0</v>
      </c>
      <c r="AJ79" s="134">
        <v>0</v>
      </c>
      <c r="AK79" s="134">
        <v>0</v>
      </c>
      <c r="AL79" s="4">
        <f t="shared" si="15"/>
        <v>0</v>
      </c>
      <c r="AM79" s="106">
        <f t="shared" si="8"/>
        <v>1</v>
      </c>
      <c r="AO79" s="4">
        <f t="shared" si="9"/>
        <v>1</v>
      </c>
    </row>
    <row r="80" spans="1:41" x14ac:dyDescent="0.25">
      <c r="A80" s="4" t="str">
        <f t="shared" si="12"/>
        <v>61  - Boi</v>
      </c>
      <c r="B80" s="4" t="str">
        <f t="shared" si="13"/>
        <v xml:space="preserve">Boi - 61 </v>
      </c>
      <c r="C80" s="29" t="s">
        <v>104</v>
      </c>
      <c r="D80" s="25">
        <f>SUMIFS('Val-Vol (2)'!$I$4:$I$2000,'Val-Vol (2)'!$V$4:$V$2000,$C$5,'Val-Vol (2)'!$A$4:$A$2000,C80,'Val-Vol (2)'!$U$4:$U$2000,1)</f>
        <v>0</v>
      </c>
      <c r="E80" s="30" t="str">
        <f t="shared" si="11"/>
        <v/>
      </c>
      <c r="F80" s="83">
        <f>SUMIFS('Val-Vol (2)'!$H$4:$H$2000,'Val-Vol (2)'!$V$4:$V$2000,$C$5,'Val-Vol (2)'!$A$4:$A$2000,C80,'Val-Vol (2)'!$U$4:$U$2000,1)</f>
        <v>0</v>
      </c>
      <c r="G80" s="88" t="str">
        <f t="shared" si="5"/>
        <v/>
      </c>
      <c r="H80" s="25">
        <f>SUMIFS('Val-Vol (2)'!$I$4:$I$2000,'Val-Vol (2)'!$V$4:$V$2000,$C$5,'Val-Vol (2)'!$D$4:$D$2000,C80,'Val-Vol (2)'!$T$4:$T$2000,1)</f>
        <v>0</v>
      </c>
      <c r="I80" s="32" t="str">
        <f t="shared" si="6"/>
        <v/>
      </c>
      <c r="J80" s="114">
        <f>SUMIFS('Val-Vol (2)'!$H$4:$H$2000,'Val-Vol (2)'!$V$4:$V$2000,$C$5,'Val-Vol (2)'!$D$4:$D$2000,C80,'Val-Vol (2)'!$T$4:$T$2000,1)</f>
        <v>0</v>
      </c>
      <c r="K80" s="88" t="str">
        <f t="shared" si="7"/>
        <v/>
      </c>
      <c r="M80" s="109">
        <v>0</v>
      </c>
      <c r="P80"/>
      <c r="Q80"/>
      <c r="R80"/>
      <c r="S80"/>
      <c r="T80"/>
      <c r="U80"/>
      <c r="V80"/>
      <c r="W80"/>
      <c r="Z80" s="29" t="s">
        <v>104</v>
      </c>
      <c r="AA80">
        <f t="shared" si="14"/>
        <v>0</v>
      </c>
      <c r="AB80" s="134">
        <v>0</v>
      </c>
      <c r="AC80" s="134">
        <v>0</v>
      </c>
      <c r="AD80" s="134">
        <v>0</v>
      </c>
      <c r="AE80" s="134">
        <v>0</v>
      </c>
      <c r="AF80" s="134">
        <v>0</v>
      </c>
      <c r="AG80" s="134">
        <v>0</v>
      </c>
      <c r="AH80" s="134">
        <v>0</v>
      </c>
      <c r="AI80" s="134">
        <v>0</v>
      </c>
      <c r="AJ80" s="134">
        <v>1</v>
      </c>
      <c r="AK80" s="134">
        <v>0</v>
      </c>
      <c r="AL80" s="4">
        <f t="shared" si="15"/>
        <v>0</v>
      </c>
      <c r="AM80" s="106">
        <f t="shared" si="8"/>
        <v>0</v>
      </c>
      <c r="AO80" s="4">
        <f t="shared" si="9"/>
        <v>1</v>
      </c>
    </row>
    <row r="81" spans="1:41" x14ac:dyDescent="0.25">
      <c r="A81" s="4" t="str">
        <f t="shared" si="12"/>
        <v>62  - Boi</v>
      </c>
      <c r="B81" s="4" t="str">
        <f t="shared" si="13"/>
        <v xml:space="preserve">Boi - 62 </v>
      </c>
      <c r="C81" s="29" t="s">
        <v>105</v>
      </c>
      <c r="D81" s="25">
        <f>SUMIFS('Val-Vol (2)'!$I$4:$I$2000,'Val-Vol (2)'!$V$4:$V$2000,$C$5,'Val-Vol (2)'!$A$4:$A$2000,C81,'Val-Vol (2)'!$U$4:$U$2000,1)</f>
        <v>0</v>
      </c>
      <c r="E81" s="30" t="str">
        <f t="shared" si="11"/>
        <v/>
      </c>
      <c r="F81" s="83">
        <f>SUMIFS('Val-Vol (2)'!$H$4:$H$2000,'Val-Vol (2)'!$V$4:$V$2000,$C$5,'Val-Vol (2)'!$A$4:$A$2000,C81,'Val-Vol (2)'!$U$4:$U$2000,1)</f>
        <v>0</v>
      </c>
      <c r="G81" s="88" t="str">
        <f t="shared" si="5"/>
        <v/>
      </c>
      <c r="H81" s="25">
        <f>SUMIFS('Val-Vol (2)'!$I$4:$I$2000,'Val-Vol (2)'!$V$4:$V$2000,$C$5,'Val-Vol (2)'!$D$4:$D$2000,C81,'Val-Vol (2)'!$T$4:$T$2000,1)</f>
        <v>0</v>
      </c>
      <c r="I81" s="32" t="str">
        <f t="shared" si="6"/>
        <v/>
      </c>
      <c r="J81" s="114">
        <f>SUMIFS('Val-Vol (2)'!$H$4:$H$2000,'Val-Vol (2)'!$V$4:$V$2000,$C$5,'Val-Vol (2)'!$D$4:$D$2000,C81,'Val-Vol (2)'!$T$4:$T$2000,1)</f>
        <v>0</v>
      </c>
      <c r="K81" s="88" t="str">
        <f t="shared" si="7"/>
        <v/>
      </c>
      <c r="M81" s="109">
        <v>0</v>
      </c>
      <c r="P81"/>
      <c r="Q81"/>
      <c r="R81"/>
      <c r="S81"/>
      <c r="T81"/>
      <c r="U81"/>
      <c r="V81"/>
      <c r="W81"/>
      <c r="Z81" s="29" t="s">
        <v>105</v>
      </c>
      <c r="AA81">
        <f t="shared" si="14"/>
        <v>0</v>
      </c>
      <c r="AB81" s="134">
        <v>0</v>
      </c>
      <c r="AC81" s="134">
        <v>0</v>
      </c>
      <c r="AD81" s="134">
        <v>0</v>
      </c>
      <c r="AE81" s="134">
        <v>0</v>
      </c>
      <c r="AF81" s="134">
        <v>0</v>
      </c>
      <c r="AG81" s="134">
        <v>0</v>
      </c>
      <c r="AH81" s="134">
        <v>0</v>
      </c>
      <c r="AI81" s="134">
        <v>0</v>
      </c>
      <c r="AJ81" s="134">
        <v>1</v>
      </c>
      <c r="AK81" s="134">
        <v>0</v>
      </c>
      <c r="AL81" s="4">
        <f t="shared" si="15"/>
        <v>0</v>
      </c>
      <c r="AM81" s="106">
        <f t="shared" si="8"/>
        <v>0</v>
      </c>
      <c r="AO81" s="4">
        <f t="shared" si="9"/>
        <v>1</v>
      </c>
    </row>
    <row r="82" spans="1:41" x14ac:dyDescent="0.25">
      <c r="A82" s="4" t="str">
        <f t="shared" si="12"/>
        <v>63  - Boi</v>
      </c>
      <c r="B82" s="4" t="str">
        <f t="shared" si="13"/>
        <v xml:space="preserve">Boi - 63 </v>
      </c>
      <c r="C82" s="29" t="s">
        <v>106</v>
      </c>
      <c r="D82" s="25">
        <f>SUMIFS('Val-Vol (2)'!$I$4:$I$2000,'Val-Vol (2)'!$V$4:$V$2000,$C$5,'Val-Vol (2)'!$A$4:$A$2000,C82,'Val-Vol (2)'!$U$4:$U$2000,1)</f>
        <v>30778.989669797498</v>
      </c>
      <c r="E82" s="30">
        <f t="shared" si="11"/>
        <v>4.7204502643520357E-2</v>
      </c>
      <c r="F82" s="83">
        <f>SUMIFS('Val-Vol (2)'!$H$4:$H$2000,'Val-Vol (2)'!$V$4:$V$2000,$C$5,'Val-Vol (2)'!$A$4:$A$2000,C82,'Val-Vol (2)'!$U$4:$U$2000,1)</f>
        <v>0</v>
      </c>
      <c r="G82" s="88">
        <f t="shared" si="5"/>
        <v>1</v>
      </c>
      <c r="H82" s="25">
        <f>SUMIFS('Val-Vol (2)'!$I$4:$I$2000,'Val-Vol (2)'!$V$4:$V$2000,$C$5,'Val-Vol (2)'!$D$4:$D$2000,C82,'Val-Vol (2)'!$T$4:$T$2000,1)</f>
        <v>0</v>
      </c>
      <c r="I82" s="32" t="str">
        <f t="shared" si="6"/>
        <v/>
      </c>
      <c r="J82" s="114">
        <f>SUMIFS('Val-Vol (2)'!$H$4:$H$2000,'Val-Vol (2)'!$V$4:$V$2000,$C$5,'Val-Vol (2)'!$D$4:$D$2000,C82,'Val-Vol (2)'!$T$4:$T$2000,1)</f>
        <v>0</v>
      </c>
      <c r="K82" s="88" t="str">
        <f t="shared" si="7"/>
        <v/>
      </c>
      <c r="M82" s="109">
        <v>0</v>
      </c>
      <c r="P82"/>
      <c r="Q82"/>
      <c r="R82"/>
      <c r="S82"/>
      <c r="T82"/>
      <c r="U82"/>
      <c r="V82"/>
      <c r="W82"/>
      <c r="Z82" s="29" t="s">
        <v>106</v>
      </c>
      <c r="AA82">
        <f t="shared" si="14"/>
        <v>0</v>
      </c>
      <c r="AB82" s="134">
        <v>1</v>
      </c>
      <c r="AC82" s="134">
        <v>0</v>
      </c>
      <c r="AD82" s="134">
        <v>0</v>
      </c>
      <c r="AE82" s="134">
        <v>0</v>
      </c>
      <c r="AF82" s="134">
        <v>0</v>
      </c>
      <c r="AG82" s="134">
        <v>0</v>
      </c>
      <c r="AH82" s="134">
        <v>0</v>
      </c>
      <c r="AI82" s="134">
        <v>0</v>
      </c>
      <c r="AJ82" s="134">
        <v>0</v>
      </c>
      <c r="AK82" s="134">
        <v>0</v>
      </c>
      <c r="AL82" s="4">
        <f t="shared" si="15"/>
        <v>0</v>
      </c>
      <c r="AM82" s="106">
        <f t="shared" si="8"/>
        <v>0</v>
      </c>
      <c r="AO82" s="4">
        <f t="shared" si="9"/>
        <v>1</v>
      </c>
    </row>
    <row r="83" spans="1:41" ht="15.75" thickBot="1" x14ac:dyDescent="0.3">
      <c r="A83" s="4" t="str">
        <f t="shared" si="12"/>
        <v>64  - Boi</v>
      </c>
      <c r="B83" s="4" t="str">
        <f t="shared" si="13"/>
        <v xml:space="preserve">Boi - 64 </v>
      </c>
      <c r="C83" s="96" t="s">
        <v>107</v>
      </c>
      <c r="D83" s="25">
        <f>SUMIFS('Val-Vol (2)'!$I$4:$I$2000,'Val-Vol (2)'!$V$4:$V$2000,$C$5,'Val-Vol (2)'!$A$4:$A$2000,C83,'Val-Vol (2)'!$U$4:$U$2000,1)</f>
        <v>0</v>
      </c>
      <c r="E83" s="30" t="str">
        <f t="shared" ref="E83" si="16">IF(AND(ISNUMBER(D83),D83&lt;&gt;0),D83/$D$13,"")</f>
        <v/>
      </c>
      <c r="F83" s="147">
        <f>SUMIFS('Val-Vol (2)'!$H$4:$H$2000,'Val-Vol (2)'!$V$4:$V$2000,$C$5,'Val-Vol (2)'!$A$4:$A$2000,C83,'Val-Vol (2)'!$U$4:$U$2000,1)</f>
        <v>0</v>
      </c>
      <c r="G83" s="150" t="str">
        <f t="shared" si="5"/>
        <v/>
      </c>
      <c r="H83" s="25">
        <f>SUMIFS('Val-Vol (2)'!$I$4:$I$2000,'Val-Vol (2)'!$V$4:$V$2000,$C$5,'Val-Vol (2)'!$D$4:$D$2000,C83,'Val-Vol (2)'!$T$4:$T$2000,1)</f>
        <v>0</v>
      </c>
      <c r="I83" s="35" t="str">
        <f t="shared" si="6"/>
        <v/>
      </c>
      <c r="J83" s="149">
        <f>SUMIFS('Val-Vol (2)'!$H$4:$H$2000,'Val-Vol (2)'!$V$4:$V$2000,$C$5,'Val-Vol (2)'!$D$4:$D$2000,C83,'Val-Vol (2)'!$T$4:$T$2000,1)</f>
        <v>0</v>
      </c>
      <c r="K83" s="150" t="str">
        <f t="shared" si="7"/>
        <v/>
      </c>
      <c r="M83" s="109">
        <v>0</v>
      </c>
      <c r="P83"/>
      <c r="Q83"/>
      <c r="R83"/>
      <c r="S83"/>
      <c r="T83"/>
      <c r="U83"/>
      <c r="V83"/>
      <c r="W83"/>
      <c r="Z83" s="29" t="s">
        <v>107</v>
      </c>
      <c r="AA83">
        <f t="shared" si="14"/>
        <v>0</v>
      </c>
      <c r="AB83" s="134">
        <v>0</v>
      </c>
      <c r="AC83" s="134">
        <v>0</v>
      </c>
      <c r="AD83" s="134">
        <v>0</v>
      </c>
      <c r="AE83" s="134">
        <v>0</v>
      </c>
      <c r="AF83" s="134">
        <v>0</v>
      </c>
      <c r="AG83" s="134">
        <v>0</v>
      </c>
      <c r="AH83" s="134">
        <v>0</v>
      </c>
      <c r="AI83" s="134">
        <v>0</v>
      </c>
      <c r="AJ83" s="134">
        <v>0</v>
      </c>
      <c r="AK83" s="134">
        <v>0</v>
      </c>
      <c r="AL83" s="4">
        <f t="shared" si="15"/>
        <v>0</v>
      </c>
      <c r="AM83" s="106">
        <f t="shared" si="8"/>
        <v>0</v>
      </c>
      <c r="AO83" s="4">
        <f t="shared" si="9"/>
        <v>0</v>
      </c>
    </row>
    <row r="84" spans="1:41" ht="15.75" thickBot="1" x14ac:dyDescent="0.3">
      <c r="A84" s="4" t="str">
        <f t="shared" si="12"/>
        <v>Tot - Boi</v>
      </c>
      <c r="B84" s="4" t="str">
        <f t="shared" si="13"/>
        <v>Boi - Tot</v>
      </c>
      <c r="C84" s="157" t="s">
        <v>39</v>
      </c>
      <c r="D84" s="145">
        <f>SUM(D27:D83)</f>
        <v>652035.0378910813</v>
      </c>
      <c r="E84" s="148">
        <f>SUM(E27:E83)</f>
        <v>0.99999999999999822</v>
      </c>
      <c r="F84" s="151">
        <f>SUM(F27:F83)</f>
        <v>79564.297609409492</v>
      </c>
      <c r="G84" s="143"/>
      <c r="H84" s="146">
        <f>SUM(H27:H83)</f>
        <v>214837.93348593501</v>
      </c>
      <c r="I84" s="148">
        <f>SUM(I27:I83)</f>
        <v>1</v>
      </c>
      <c r="J84" s="146">
        <f>SUM(J27:J83)</f>
        <v>37179.1650284157</v>
      </c>
      <c r="K84" s="144"/>
      <c r="M84"/>
      <c r="P84"/>
      <c r="Q84"/>
      <c r="R84"/>
      <c r="S84"/>
      <c r="T84"/>
      <c r="U84"/>
      <c r="V84"/>
      <c r="W84"/>
      <c r="Z84" t="s">
        <v>52</v>
      </c>
      <c r="AA84"/>
      <c r="AM84" s="106">
        <f t="shared" si="8"/>
        <v>0</v>
      </c>
    </row>
    <row r="85" spans="1:41" ht="15.75" thickBot="1" x14ac:dyDescent="0.3">
      <c r="M85"/>
      <c r="P85"/>
      <c r="Q85"/>
      <c r="R85"/>
      <c r="S85"/>
      <c r="T85"/>
      <c r="U85"/>
      <c r="V85"/>
      <c r="W85"/>
      <c r="Z85" s="4" t="s">
        <v>54</v>
      </c>
      <c r="AA85"/>
      <c r="AM85" s="106">
        <f t="shared" si="8"/>
        <v>0</v>
      </c>
    </row>
    <row r="86" spans="1:41" ht="15.75" thickBot="1" x14ac:dyDescent="0.3">
      <c r="C86" s="152"/>
      <c r="D86" s="264" t="s">
        <v>54</v>
      </c>
      <c r="E86" s="265"/>
      <c r="F86" s="265"/>
      <c r="G86" s="266"/>
      <c r="H86" s="153">
        <f>D19-J86</f>
        <v>4354967.5986428587</v>
      </c>
      <c r="I86" s="155"/>
      <c r="J86" s="156">
        <f>SUMIFS('Comp2016-2017 (3)'!$N$5:$N$300,'Comp2016-2017 (3)'!$R$5:$R$300,C5,'Comp2016-2017 (3)'!$T$5:$T$300,1)</f>
        <v>156724.18214747982</v>
      </c>
      <c r="K86" s="154">
        <f>IF((H86=0),"",IF(J86&lt;&gt;0,(H86-J86)/(H86),1))</f>
        <v>0.96401254921016644</v>
      </c>
      <c r="M86"/>
      <c r="P86"/>
      <c r="Q86"/>
      <c r="R86"/>
      <c r="S86"/>
      <c r="T86"/>
      <c r="U86"/>
      <c r="V86"/>
      <c r="W86"/>
      <c r="Z86" s="4" t="s">
        <v>53</v>
      </c>
      <c r="AA86"/>
      <c r="AM86" s="106">
        <f t="shared" si="8"/>
        <v>0</v>
      </c>
    </row>
    <row r="87" spans="1:41" x14ac:dyDescent="0.25">
      <c r="J87" s="36"/>
      <c r="M87"/>
      <c r="P87"/>
      <c r="Q87"/>
      <c r="R87"/>
      <c r="S87"/>
      <c r="T87"/>
      <c r="U87"/>
      <c r="V87"/>
      <c r="W87"/>
    </row>
    <row r="88" spans="1:41" x14ac:dyDescent="0.25">
      <c r="C88" s="158" t="s">
        <v>244</v>
      </c>
      <c r="J88" s="36"/>
      <c r="M88"/>
      <c r="P88"/>
      <c r="Q88"/>
      <c r="R88"/>
      <c r="S88"/>
      <c r="T88"/>
      <c r="U88"/>
      <c r="V88"/>
      <c r="W88"/>
    </row>
    <row r="89" spans="1:41" ht="15" customHeight="1" x14ac:dyDescent="0.25">
      <c r="J89" s="36"/>
      <c r="P89"/>
      <c r="Q89"/>
      <c r="R89"/>
      <c r="S89"/>
      <c r="T89"/>
      <c r="U89"/>
      <c r="V89"/>
      <c r="W89"/>
    </row>
    <row r="90" spans="1:41" ht="17.25" x14ac:dyDescent="0.25">
      <c r="C90" s="159" t="s">
        <v>247</v>
      </c>
      <c r="P90"/>
      <c r="Q90"/>
      <c r="R90"/>
      <c r="S90"/>
      <c r="T90"/>
      <c r="U90"/>
      <c r="V90"/>
      <c r="W90"/>
    </row>
    <row r="91" spans="1:41" s="37" customFormat="1" x14ac:dyDescent="0.25">
      <c r="L91"/>
      <c r="M91" s="17"/>
      <c r="P91"/>
      <c r="Q91"/>
      <c r="R91"/>
      <c r="S91"/>
      <c r="T91"/>
      <c r="U91"/>
      <c r="V91"/>
      <c r="W91"/>
      <c r="AB91" s="137"/>
      <c r="AC91" s="137"/>
      <c r="AD91" s="137"/>
      <c r="AE91" s="137"/>
      <c r="AF91" s="137"/>
      <c r="AG91" s="137"/>
      <c r="AH91" s="137"/>
      <c r="AI91" s="137"/>
      <c r="AJ91" s="137"/>
    </row>
    <row r="92" spans="1:41" ht="43.5" customHeight="1" x14ac:dyDescent="0.25">
      <c r="C92" s="287" t="s">
        <v>134</v>
      </c>
      <c r="D92" s="287"/>
      <c r="E92" s="287"/>
      <c r="F92" s="287"/>
      <c r="G92" s="287"/>
      <c r="H92" s="287"/>
      <c r="I92" s="287"/>
      <c r="J92" s="287"/>
      <c r="K92" s="287"/>
    </row>
    <row r="93" spans="1:41" x14ac:dyDescent="0.25">
      <c r="C93" s="287"/>
      <c r="D93" s="287"/>
      <c r="E93" s="287"/>
      <c r="F93" s="287"/>
      <c r="G93" s="287"/>
      <c r="H93" s="287"/>
      <c r="I93" s="287"/>
      <c r="J93" s="287"/>
      <c r="K93" s="287"/>
    </row>
  </sheetData>
  <mergeCells count="22">
    <mergeCell ref="D23:K23"/>
    <mergeCell ref="M17:M24"/>
    <mergeCell ref="F15:J15"/>
    <mergeCell ref="C1:K1"/>
    <mergeCell ref="C7:E7"/>
    <mergeCell ref="F9:J9"/>
    <mergeCell ref="F10:J10"/>
    <mergeCell ref="F11:J11"/>
    <mergeCell ref="F12:J12"/>
    <mergeCell ref="F13:J13"/>
    <mergeCell ref="F14:J14"/>
    <mergeCell ref="C4:D4"/>
    <mergeCell ref="F16:J16"/>
    <mergeCell ref="F17:J17"/>
    <mergeCell ref="C24:C26"/>
    <mergeCell ref="D24:G24"/>
    <mergeCell ref="M25:M26"/>
    <mergeCell ref="H24:K24"/>
    <mergeCell ref="D86:G86"/>
    <mergeCell ref="C92:K93"/>
    <mergeCell ref="D25:E25"/>
    <mergeCell ref="H25:I25"/>
  </mergeCells>
  <conditionalFormatting sqref="F84">
    <cfRule type="cellIs" dxfId="12" priority="14" operator="equal">
      <formula>0</formula>
    </cfRule>
  </conditionalFormatting>
  <conditionalFormatting sqref="I27:I83">
    <cfRule type="cellIs" dxfId="11" priority="13" operator="equal">
      <formula>0</formula>
    </cfRule>
  </conditionalFormatting>
  <conditionalFormatting sqref="M27:M83">
    <cfRule type="cellIs" dxfId="10" priority="10" operator="equal">
      <formula>1</formula>
    </cfRule>
  </conditionalFormatting>
  <conditionalFormatting sqref="C27:C83">
    <cfRule type="expression" dxfId="9" priority="39">
      <formula>(AM27=1)</formula>
    </cfRule>
  </conditionalFormatting>
  <conditionalFormatting sqref="Z27:Z83">
    <cfRule type="expression" dxfId="8" priority="5">
      <formula>(AO27=0)</formula>
    </cfRule>
  </conditionalFormatting>
  <conditionalFormatting sqref="D27:D83">
    <cfRule type="expression" dxfId="7" priority="4">
      <formula>(AM27=1)</formula>
    </cfRule>
  </conditionalFormatting>
  <conditionalFormatting sqref="F27:F83">
    <cfRule type="expression" dxfId="6" priority="3">
      <formula>(AM27=1)</formula>
    </cfRule>
  </conditionalFormatting>
  <conditionalFormatting sqref="H27:H83">
    <cfRule type="expression" dxfId="5" priority="2">
      <formula>(AM27=1)</formula>
    </cfRule>
  </conditionalFormatting>
  <conditionalFormatting sqref="J27:J83">
    <cfRule type="expression" dxfId="4" priority="1">
      <formula>(AM27=1)</formula>
    </cfRule>
  </conditionalFormatting>
  <dataValidations count="3">
    <dataValidation type="list" allowBlank="1" showInputMessage="1" showErrorMessage="1" sqref="M27:M83" xr:uid="{00000000-0002-0000-0600-000001000000}">
      <formula1>$AA$1:$AA$2</formula1>
    </dataValidation>
    <dataValidation type="list" allowBlank="1" showInputMessage="1" showErrorMessage="1" sqref="C5" xr:uid="{00000000-0002-0000-0600-000000000000}">
      <formula1>$A$1:$A$5</formula1>
    </dataValidation>
    <dataValidation type="list" allowBlank="1" showInputMessage="1" showErrorMessage="1" sqref="C4:D4" xr:uid="{00000000-0002-0000-0600-000002000000}">
      <formula1>$AK$2:$AK$12</formula1>
    </dataValidation>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
  <dimension ref="B1:U202"/>
  <sheetViews>
    <sheetView zoomScale="85" zoomScaleNormal="85" workbookViewId="0">
      <selection activeCell="L20" sqref="L20"/>
    </sheetView>
  </sheetViews>
  <sheetFormatPr baseColWidth="10" defaultRowHeight="15" x14ac:dyDescent="0.25"/>
  <cols>
    <col min="1" max="1" width="11.42578125" style="4"/>
    <col min="2" max="2" width="2" style="4" customWidth="1"/>
    <col min="3" max="3" width="2.28515625" customWidth="1"/>
    <col min="4" max="4" width="71" style="4" customWidth="1"/>
    <col min="5" max="5" width="11.28515625" style="4" customWidth="1"/>
    <col min="6" max="6" width="11.42578125" style="4"/>
    <col min="7" max="8" width="20.7109375" style="4" customWidth="1"/>
    <col min="9" max="9" width="2.28515625" customWidth="1"/>
    <col min="10" max="10" width="2" style="4" customWidth="1"/>
    <col min="11" max="11" width="11" customWidth="1"/>
    <col min="12" max="18" width="11.42578125" style="4"/>
    <col min="19" max="19" width="20.7109375" style="4" bestFit="1" customWidth="1"/>
    <col min="20" max="16384" width="11.42578125" style="4"/>
  </cols>
  <sheetData>
    <row r="1" spans="2:21" ht="76.5" customHeight="1" x14ac:dyDescent="0.25">
      <c r="D1" s="281" t="s">
        <v>255</v>
      </c>
      <c r="E1" s="281"/>
      <c r="F1" s="281"/>
      <c r="G1" s="281"/>
      <c r="H1" s="281"/>
      <c r="Q1"/>
      <c r="R1"/>
      <c r="S1"/>
      <c r="T1"/>
      <c r="U1"/>
    </row>
    <row r="2" spans="2:21" ht="18" x14ac:dyDescent="0.25">
      <c r="D2" s="258" t="s">
        <v>257</v>
      </c>
      <c r="E2" s="258"/>
      <c r="Q2"/>
      <c r="R2"/>
      <c r="S2"/>
      <c r="T2"/>
      <c r="U2"/>
    </row>
    <row r="3" spans="2:21" ht="20.25" x14ac:dyDescent="0.25">
      <c r="C3" s="4"/>
      <c r="D3" s="282" t="str">
        <f>'Groupe de branches'!C4</f>
        <v>Bois énergie</v>
      </c>
      <c r="E3" s="282"/>
      <c r="F3" s="282"/>
      <c r="G3" s="282"/>
      <c r="H3" s="282"/>
      <c r="I3" s="4"/>
      <c r="Q3"/>
      <c r="R3"/>
      <c r="S3"/>
      <c r="T3"/>
      <c r="U3"/>
    </row>
    <row r="4" spans="2:21" ht="7.5" customHeight="1" x14ac:dyDescent="0.25">
      <c r="C4" s="4"/>
      <c r="I4" s="4"/>
      <c r="Q4"/>
      <c r="R4"/>
      <c r="S4"/>
      <c r="T4"/>
      <c r="U4"/>
    </row>
    <row r="5" spans="2:21" x14ac:dyDescent="0.25">
      <c r="D5" s="295" t="str">
        <f>"Les branches du regroupement sont : "&amp;VLOOKUP(D3,'Groupe de branches'!$AK$2:$AM$12,3,FALSE)</f>
        <v>Les branches du regroupement sont : 30 - Combustibles industriels à base de bois, 49 - Electricité et chaleur issues de la combustion de bois, 60 - Travaux d'installation de chauffage au bois</v>
      </c>
      <c r="E5" s="295"/>
      <c r="F5" s="295"/>
      <c r="G5" s="295"/>
      <c r="H5" s="295"/>
      <c r="Q5"/>
      <c r="R5"/>
      <c r="S5"/>
      <c r="T5"/>
      <c r="U5"/>
    </row>
    <row r="6" spans="2:21" x14ac:dyDescent="0.25">
      <c r="D6" s="295"/>
      <c r="E6" s="295"/>
      <c r="F6" s="295"/>
      <c r="G6" s="295"/>
      <c r="H6" s="295"/>
      <c r="Q6"/>
      <c r="R6"/>
      <c r="S6"/>
      <c r="T6"/>
      <c r="U6"/>
    </row>
    <row r="7" spans="2:21" ht="21.75" customHeight="1" x14ac:dyDescent="0.25">
      <c r="D7" s="295"/>
      <c r="E7" s="295"/>
      <c r="F7" s="295"/>
      <c r="G7" s="295"/>
      <c r="H7" s="295"/>
      <c r="Q7"/>
      <c r="R7"/>
      <c r="S7"/>
      <c r="T7"/>
      <c r="U7"/>
    </row>
    <row r="8" spans="2:21" x14ac:dyDescent="0.25">
      <c r="Q8"/>
      <c r="R8"/>
      <c r="S8"/>
      <c r="T8"/>
      <c r="U8"/>
    </row>
    <row r="9" spans="2:21" ht="20.25" x14ac:dyDescent="0.25">
      <c r="D9" s="272" t="s">
        <v>109</v>
      </c>
      <c r="E9" s="272"/>
      <c r="F9" s="272"/>
      <c r="G9" s="272"/>
      <c r="H9" s="272"/>
      <c r="Q9"/>
      <c r="R9"/>
      <c r="S9"/>
      <c r="T9"/>
      <c r="U9"/>
    </row>
    <row r="11" spans="2:21" ht="18" x14ac:dyDescent="0.25">
      <c r="B11" s="54"/>
      <c r="D11" s="59" t="s">
        <v>110</v>
      </c>
      <c r="E11" s="59"/>
      <c r="F11" s="59"/>
      <c r="G11" s="59"/>
      <c r="H11" s="60" t="str">
        <f>$D$3</f>
        <v>Bois énergie</v>
      </c>
      <c r="J11" s="54"/>
    </row>
    <row r="12" spans="2:21" ht="25.5" x14ac:dyDescent="0.25">
      <c r="B12" s="54"/>
      <c r="F12" s="134"/>
      <c r="G12" s="82" t="s">
        <v>111</v>
      </c>
      <c r="H12" s="82" t="str">
        <f>"Part dans la filière "&amp;" (%)"</f>
        <v>Part dans la filière  (%)</v>
      </c>
      <c r="J12" s="54"/>
    </row>
    <row r="13" spans="2:21" x14ac:dyDescent="0.25">
      <c r="B13" s="54"/>
      <c r="F13" s="81">
        <v>2016</v>
      </c>
      <c r="G13" s="83">
        <f>SUMIFS('Comp2016-2017 (3)'!$G$5:$G$300,'Comp2016-2017 (3)'!$R$5:$R$300,F13,'Comp2016-2017 (3)'!$T$5:$T$300,1)</f>
        <v>1151103.3565436429</v>
      </c>
      <c r="H13" s="84">
        <f>G13/SUMIFS('Comp2016-2017 (3)'!$G$5:$G$300,'Comp2016-2017 (3)'!$R$5:$R$300,F13)</f>
        <v>4.6844178706325797E-2</v>
      </c>
      <c r="J13" s="54"/>
      <c r="L13" s="50"/>
    </row>
    <row r="14" spans="2:21" x14ac:dyDescent="0.25">
      <c r="B14" s="54"/>
      <c r="F14" s="81">
        <v>2017</v>
      </c>
      <c r="G14" s="83">
        <f>SUMIFS('Comp2016-2017 (3)'!$G$5:$G$300,'Comp2016-2017 (3)'!$R$5:$R$300,F14,'Comp2016-2017 (3)'!$T$5:$T$300,1)</f>
        <v>1187432.2740232476</v>
      </c>
      <c r="H14" s="84">
        <f>G14/SUMIFS('Comp2016-2017 (3)'!$G$5:$G$300,'Comp2016-2017 (3)'!$R$5:$R$300,F14)</f>
        <v>4.7460919757740513E-2</v>
      </c>
      <c r="J14" s="54"/>
      <c r="L14" s="50"/>
    </row>
    <row r="15" spans="2:21" x14ac:dyDescent="0.25">
      <c r="B15" s="54"/>
      <c r="F15" s="81">
        <v>2018</v>
      </c>
      <c r="G15" s="83">
        <f>SUMIFS('Comp2016-2017 (3)'!$G$5:$G$300,'Comp2016-2017 (3)'!$R$5:$R$300,F15,'Comp2016-2017 (3)'!$T$5:$T$300,1)</f>
        <v>1379453.6784614124</v>
      </c>
      <c r="H15" s="84">
        <f>G15/SUMIFS('Comp2016-2017 (3)'!$G$5:$G$300,'Comp2016-2017 (3)'!$R$5:$R$300,F15)</f>
        <v>5.3071106434728475E-2</v>
      </c>
      <c r="J15" s="54"/>
    </row>
    <row r="16" spans="2:21" x14ac:dyDescent="0.25">
      <c r="B16" s="54"/>
      <c r="F16" s="81">
        <v>2019</v>
      </c>
      <c r="G16" s="83">
        <f>SUMIFS('Comp2016-2017 (3)'!$G$5:$G$300,'Comp2016-2017 (3)'!$R$5:$R$300,F16,'Comp2016-2017 (3)'!$T$5:$T$300,1)</f>
        <v>1443020.6762162666</v>
      </c>
      <c r="H16" s="84">
        <f>G16/SUMIFS('Comp2016-2017 (3)'!$G$5:$G$300,'Comp2016-2017 (3)'!$R$5:$R$300,F16)</f>
        <v>5.5312508582259799E-2</v>
      </c>
      <c r="J16" s="54"/>
    </row>
    <row r="17" spans="2:12" x14ac:dyDescent="0.25">
      <c r="B17" s="54"/>
      <c r="F17" s="81">
        <v>2020</v>
      </c>
      <c r="G17" s="83">
        <f>SUMIFS('Comp2016-2017 (3)'!$G$5:$G$300,'Comp2016-2017 (3)'!$R$5:$R$300,F17,'Comp2016-2017 (3)'!$T$5:$T$300,1)</f>
        <v>1443140.709131991</v>
      </c>
      <c r="H17" s="84">
        <f>G17/SUMIFS('Comp2016-2017 (3)'!$G$5:$G$300,'Comp2016-2017 (3)'!$R$5:$R$300,F17)</f>
        <v>5.7565991416677238E-2</v>
      </c>
      <c r="J17" s="54"/>
    </row>
    <row r="18" spans="2:12" x14ac:dyDescent="0.25">
      <c r="B18" s="54"/>
      <c r="J18" s="54"/>
    </row>
    <row r="19" spans="2:12" x14ac:dyDescent="0.25">
      <c r="B19" s="54"/>
      <c r="J19" s="54"/>
    </row>
    <row r="20" spans="2:12" x14ac:dyDescent="0.25">
      <c r="B20" s="54"/>
      <c r="J20" s="54"/>
    </row>
    <row r="21" spans="2:12" x14ac:dyDescent="0.25">
      <c r="B21" s="54"/>
      <c r="J21" s="54"/>
    </row>
    <row r="22" spans="2:12" x14ac:dyDescent="0.25">
      <c r="B22" s="54"/>
      <c r="J22" s="54"/>
    </row>
    <row r="23" spans="2:12" x14ac:dyDescent="0.25">
      <c r="B23" s="54"/>
      <c r="J23" s="54"/>
    </row>
    <row r="24" spans="2:12" x14ac:dyDescent="0.25">
      <c r="B24" s="54"/>
      <c r="J24" s="54"/>
    </row>
    <row r="25" spans="2:12" ht="18" x14ac:dyDescent="0.25">
      <c r="B25" s="54"/>
      <c r="D25" s="59" t="s">
        <v>113</v>
      </c>
      <c r="E25" s="59"/>
      <c r="F25" s="59"/>
      <c r="G25" s="59"/>
      <c r="H25" s="60" t="str">
        <f>$D$3</f>
        <v>Bois énergie</v>
      </c>
      <c r="J25" s="54"/>
    </row>
    <row r="26" spans="2:12" ht="25.5" x14ac:dyDescent="0.25">
      <c r="B26" s="54"/>
      <c r="F26" s="134"/>
      <c r="G26" s="85" t="s">
        <v>114</v>
      </c>
      <c r="H26" s="82" t="str">
        <f>"Part dans la filière "&amp;" (%)"</f>
        <v>Part dans la filière  (%)</v>
      </c>
      <c r="J26" s="54"/>
    </row>
    <row r="27" spans="2:12" x14ac:dyDescent="0.25">
      <c r="B27" s="54"/>
      <c r="F27" s="81">
        <v>2016</v>
      </c>
      <c r="G27" s="83">
        <f>SUMIFS('Comp2016-2017 (3)'!$O$5:$O$300,'Comp2016-2017 (3)'!$R$5:$R$300,F27,'Comp2016-2017 (3)'!$T$5:$T$300,1)</f>
        <v>12538.808077014119</v>
      </c>
      <c r="H27" s="84">
        <f>G27/SUMIFS('Comp2016-2017 (3)'!$O$5:$O$300,'Comp2016-2017 (3)'!$R$5:$R$300,F27)</f>
        <v>3.3663071771396644E-2</v>
      </c>
      <c r="J27" s="54"/>
      <c r="L27" s="50"/>
    </row>
    <row r="28" spans="2:12" x14ac:dyDescent="0.25">
      <c r="B28" s="54"/>
      <c r="F28" s="81">
        <v>2017</v>
      </c>
      <c r="G28" s="83">
        <f>SUMIFS('Comp2016-2017 (3)'!$O$5:$O$300,'Comp2016-2017 (3)'!$R$5:$R$300,F28,'Comp2016-2017 (3)'!$T$5:$T$300,1)</f>
        <v>12933.600015945598</v>
      </c>
      <c r="H28" s="84">
        <f>G28/SUMIFS('Comp2016-2017 (3)'!$O$5:$O$300,'Comp2016-2017 (3)'!$R$5:$R$300,F28)</f>
        <v>3.4112936709424502E-2</v>
      </c>
      <c r="J28" s="54"/>
      <c r="L28" s="50"/>
    </row>
    <row r="29" spans="2:12" x14ac:dyDescent="0.25">
      <c r="B29" s="54"/>
      <c r="F29" s="81">
        <v>2018</v>
      </c>
      <c r="G29" s="83">
        <f>SUMIFS('Comp2016-2017 (3)'!$O$5:$O$300,'Comp2016-2017 (3)'!$R$5:$R$300,F29,'Comp2016-2017 (3)'!$T$5:$T$300,1)</f>
        <v>15347.876274406804</v>
      </c>
      <c r="H29" s="84">
        <f>G29/SUMIFS('Comp2016-2017 (3)'!$O$5:$O$300,'Comp2016-2017 (3)'!$R$5:$R$300,F29)</f>
        <v>3.9082749680826832E-2</v>
      </c>
      <c r="J29" s="54"/>
    </row>
    <row r="30" spans="2:12" x14ac:dyDescent="0.25">
      <c r="B30" s="54"/>
      <c r="F30" s="81">
        <v>2019</v>
      </c>
      <c r="G30" s="83">
        <f>SUMIFS('Comp2016-2017 (3)'!$O$5:$O$300,'Comp2016-2017 (3)'!$R$5:$R$300,F30,'Comp2016-2017 (3)'!$T$5:$T$300,1)</f>
        <v>16427.0429507587</v>
      </c>
      <c r="H30" s="84">
        <f>G30/SUMIFS('Comp2016-2017 (3)'!$O$5:$O$300,'Comp2016-2017 (3)'!$R$5:$R$300,F30)</f>
        <v>4.1590907874784193E-2</v>
      </c>
      <c r="J30" s="54"/>
    </row>
    <row r="31" spans="2:12" x14ac:dyDescent="0.25">
      <c r="B31" s="54"/>
      <c r="F31" s="81">
        <v>2020</v>
      </c>
      <c r="G31" s="83">
        <f>SUMIFS('Comp2016-2017 (3)'!$O$5:$O$300,'Comp2016-2017 (3)'!$R$5:$R$300,F31,'Comp2016-2017 (3)'!$T$5:$T$300,1)</f>
        <v>17152.443334831038</v>
      </c>
      <c r="H31" s="84">
        <f>G31/SUMIFS('Comp2016-2017 (3)'!$O$5:$O$300,'Comp2016-2017 (3)'!$R$5:$R$300,F31)</f>
        <v>4.354608492360252E-2</v>
      </c>
      <c r="J31" s="54"/>
    </row>
    <row r="32" spans="2:12" x14ac:dyDescent="0.25">
      <c r="B32" s="54"/>
      <c r="J32" s="54"/>
    </row>
    <row r="33" spans="2:12" x14ac:dyDescent="0.25">
      <c r="B33" s="54"/>
      <c r="J33" s="54"/>
    </row>
    <row r="34" spans="2:12" x14ac:dyDescent="0.25">
      <c r="B34" s="54"/>
      <c r="J34" s="54"/>
    </row>
    <row r="35" spans="2:12" x14ac:dyDescent="0.25">
      <c r="B35" s="54"/>
      <c r="J35" s="54"/>
    </row>
    <row r="36" spans="2:12" x14ac:dyDescent="0.25">
      <c r="B36" s="54"/>
      <c r="J36" s="54"/>
    </row>
    <row r="37" spans="2:12" x14ac:dyDescent="0.25">
      <c r="B37" s="54"/>
      <c r="J37" s="54"/>
    </row>
    <row r="38" spans="2:12" x14ac:dyDescent="0.25">
      <c r="B38" s="54"/>
      <c r="J38" s="54"/>
    </row>
    <row r="39" spans="2:12" ht="18" x14ac:dyDescent="0.25">
      <c r="B39" s="54"/>
      <c r="D39" s="59" t="s">
        <v>61</v>
      </c>
      <c r="E39" s="59"/>
      <c r="F39" s="59"/>
      <c r="G39" s="59"/>
      <c r="H39" s="60" t="str">
        <f>$D$3</f>
        <v>Bois énergie</v>
      </c>
      <c r="J39" s="54"/>
    </row>
    <row r="40" spans="2:12" ht="25.5" x14ac:dyDescent="0.25">
      <c r="B40" s="54"/>
      <c r="F40" s="134"/>
      <c r="G40" s="85" t="s">
        <v>158</v>
      </c>
      <c r="H40" s="82" t="str">
        <f>H26</f>
        <v>Part dans la filière  (%)</v>
      </c>
      <c r="J40" s="54"/>
    </row>
    <row r="41" spans="2:12" x14ac:dyDescent="0.25">
      <c r="B41" s="54"/>
      <c r="F41" s="81">
        <v>2016</v>
      </c>
      <c r="G41" s="83">
        <f>SUMIFS('Comp2016-2017 (3)'!$I$5:$I$300,'Comp2016-2017 (3)'!$R$5:$R$300,F41,'Comp2016-2017 (3)'!$T$5:$T$300,1)</f>
        <v>3787952.9514066251</v>
      </c>
      <c r="H41" s="84">
        <f>G41/SUMIFS('Comp2016-2017 (3)'!$I$5:$I$300,'Comp2016-2017 (3)'!$R$5:$R$300,F41)</f>
        <v>5.7785319124954833E-2</v>
      </c>
      <c r="J41" s="54"/>
      <c r="L41" s="50"/>
    </row>
    <row r="42" spans="2:12" x14ac:dyDescent="0.25">
      <c r="B42" s="54"/>
      <c r="F42" s="81">
        <v>2017</v>
      </c>
      <c r="G42" s="83">
        <f>SUMIFS('Comp2016-2017 (3)'!$I$5:$I$300,'Comp2016-2017 (3)'!$R$5:$R$300,F42,'Comp2016-2017 (3)'!$T$5:$T$300,1)</f>
        <v>3936413.0833496139</v>
      </c>
      <c r="H42" s="84">
        <f>G42/SUMIFS('Comp2016-2017 (3)'!$I$5:$I$300,'Comp2016-2017 (3)'!$R$5:$R$300,F42)</f>
        <v>5.8734985167124658E-2</v>
      </c>
      <c r="J42" s="54"/>
      <c r="L42" s="50"/>
    </row>
    <row r="43" spans="2:12" x14ac:dyDescent="0.25">
      <c r="B43" s="54"/>
      <c r="F43" s="81">
        <v>2018</v>
      </c>
      <c r="G43" s="83">
        <f>SUMIFS('Comp2016-2017 (3)'!$I$5:$I$300,'Comp2016-2017 (3)'!$R$5:$R$300,F43,'Comp2016-2017 (3)'!$T$5:$T$300,1)</f>
        <v>4466771.3060131297</v>
      </c>
      <c r="H43" s="84">
        <f>G43/SUMIFS('Comp2016-2017 (3)'!$I$5:$I$300,'Comp2016-2017 (3)'!$R$5:$R$300,F43)</f>
        <v>6.3946998278697861E-2</v>
      </c>
      <c r="J43" s="54"/>
      <c r="L43" s="41"/>
    </row>
    <row r="44" spans="2:12" x14ac:dyDescent="0.25">
      <c r="B44" s="54"/>
      <c r="F44" s="81">
        <v>2019</v>
      </c>
      <c r="G44" s="83">
        <f>SUMIFS('Comp2016-2017 (3)'!$I$5:$I$300,'Comp2016-2017 (3)'!$R$5:$R$300,F44,'Comp2016-2017 (3)'!$T$5:$T$300,1)</f>
        <v>4623782.1500817118</v>
      </c>
      <c r="H44" s="84">
        <f>G44/SUMIFS('Comp2016-2017 (3)'!$I$5:$I$300,'Comp2016-2017 (3)'!$R$5:$R$300,F44)</f>
        <v>6.6182313923257727E-2</v>
      </c>
      <c r="J44" s="54"/>
      <c r="L44" s="41"/>
    </row>
    <row r="45" spans="2:12" x14ac:dyDescent="0.25">
      <c r="B45" s="54"/>
      <c r="F45" s="81">
        <v>2020</v>
      </c>
      <c r="G45" s="83">
        <f>SUMIFS('Comp2016-2017 (3)'!$I$5:$I$300,'Comp2016-2017 (3)'!$R$5:$R$300,F45,'Comp2016-2017 (3)'!$T$5:$T$300,1)</f>
        <v>4605234.697180273</v>
      </c>
      <c r="H45" s="84">
        <f>G45/SUMIFS('Comp2016-2017 (3)'!$I$5:$I$300,'Comp2016-2017 (3)'!$R$5:$R$300,F45)</f>
        <v>6.9485052462127939E-2</v>
      </c>
      <c r="J45" s="54"/>
      <c r="L45" s="41"/>
    </row>
    <row r="46" spans="2:12" x14ac:dyDescent="0.25">
      <c r="B46" s="54"/>
      <c r="J46" s="54"/>
      <c r="L46" s="41"/>
    </row>
    <row r="47" spans="2:12" x14ac:dyDescent="0.25">
      <c r="B47" s="54"/>
      <c r="J47" s="54"/>
    </row>
    <row r="48" spans="2:12" x14ac:dyDescent="0.25">
      <c r="B48" s="54"/>
      <c r="G48" s="296" t="str">
        <f>IF(H39='Groupe de branches'!AK12,"Par convention méthodologique, la valeur de la production du commerce est égale à sa valeur ajoutée.","")</f>
        <v/>
      </c>
      <c r="H48" s="296"/>
      <c r="J48" s="54"/>
    </row>
    <row r="49" spans="2:11" x14ac:dyDescent="0.25">
      <c r="B49" s="54"/>
      <c r="G49" s="296"/>
      <c r="H49" s="296"/>
      <c r="J49" s="54"/>
    </row>
    <row r="50" spans="2:11" x14ac:dyDescent="0.25">
      <c r="B50" s="54"/>
      <c r="G50" s="296"/>
      <c r="H50" s="296"/>
      <c r="J50" s="54"/>
    </row>
    <row r="51" spans="2:11" x14ac:dyDescent="0.25">
      <c r="B51" s="54"/>
      <c r="J51" s="54"/>
    </row>
    <row r="53" spans="2:11" ht="20.25" x14ac:dyDescent="0.25">
      <c r="D53" s="273" t="s">
        <v>116</v>
      </c>
      <c r="E53" s="273"/>
      <c r="F53" s="273"/>
      <c r="G53" s="273"/>
      <c r="H53" s="273"/>
    </row>
    <row r="56" spans="2:11" ht="18" x14ac:dyDescent="0.25">
      <c r="B56" s="55"/>
      <c r="D56" s="61" t="s">
        <v>115</v>
      </c>
      <c r="E56" s="61"/>
      <c r="F56" s="61"/>
      <c r="G56" s="61"/>
      <c r="H56" s="62" t="str">
        <f>$D$3</f>
        <v>Bois énergie</v>
      </c>
      <c r="J56" s="55"/>
    </row>
    <row r="57" spans="2:11" ht="25.5" x14ac:dyDescent="0.25">
      <c r="B57" s="55"/>
      <c r="F57" s="134"/>
      <c r="G57" s="85" t="s">
        <v>234</v>
      </c>
      <c r="H57" s="82" t="str">
        <f>"Productivité moyenne dans la filière"</f>
        <v>Productivité moyenne dans la filière</v>
      </c>
      <c r="J57" s="55"/>
    </row>
    <row r="58" spans="2:11" x14ac:dyDescent="0.25">
      <c r="B58" s="55"/>
      <c r="F58" s="81">
        <v>2016</v>
      </c>
      <c r="G58" s="83">
        <f>G13/G27</f>
        <v>91.803251909870255</v>
      </c>
      <c r="H58" s="133">
        <f>SUMIFS('Comp2016-2017 (3)'!$G$5:$G$300,'Comp2016-2017 (3)'!$R$5:$R$300,F58)/SUMIFS('Comp2016-2017 (3)'!$O$5:$O$300,'Comp2016-2017 (3)'!$R$5:$R$300,F58)</f>
        <v>65.971472725857524</v>
      </c>
      <c r="J58" s="55"/>
    </row>
    <row r="59" spans="2:11" x14ac:dyDescent="0.25">
      <c r="B59" s="55"/>
      <c r="E59" s="38"/>
      <c r="F59" s="81">
        <v>2017</v>
      </c>
      <c r="G59" s="83">
        <f>G14/G28</f>
        <v>91.809880664260859</v>
      </c>
      <c r="H59" s="133">
        <f>SUMIFS('Comp2016-2017 (3)'!$G$5:$G$300,'Comp2016-2017 (3)'!$R$5:$R$300,F59)/SUMIFS('Comp2016-2017 (3)'!$O$5:$O$300,'Comp2016-2017 (3)'!$R$5:$R$300,F59)</f>
        <v>65.989126725445672</v>
      </c>
      <c r="J59" s="55"/>
      <c r="K59" s="2"/>
    </row>
    <row r="60" spans="2:11" x14ac:dyDescent="0.25">
      <c r="B60" s="55"/>
      <c r="E60" s="38"/>
      <c r="F60" s="81">
        <v>2018</v>
      </c>
      <c r="G60" s="83">
        <f>G15/G29</f>
        <v>89.879124238296498</v>
      </c>
      <c r="H60" s="133">
        <f>SUMIFS('Comp2016-2017 (3)'!$G$5:$G$300,'Comp2016-2017 (3)'!$R$5:$R$300,F60)/SUMIFS('Comp2016-2017 (3)'!$O$5:$O$300,'Comp2016-2017 (3)'!$R$5:$R$300,F60)</f>
        <v>66.188997179803181</v>
      </c>
      <c r="J60" s="55"/>
      <c r="K60" s="2"/>
    </row>
    <row r="61" spans="2:11" x14ac:dyDescent="0.25">
      <c r="B61" s="55"/>
      <c r="E61" s="38"/>
      <c r="F61" s="81">
        <v>2019</v>
      </c>
      <c r="G61" s="83">
        <f>G16/G30</f>
        <v>87.844213991637446</v>
      </c>
      <c r="H61" s="133">
        <f>SUMIFS('Comp2016-2017 (3)'!$G$5:$G$300,'Comp2016-2017 (3)'!$R$5:$R$300,F61)/SUMIFS('Comp2016-2017 (3)'!$O$5:$O$300,'Comp2016-2017 (3)'!$R$5:$R$300,F61)</f>
        <v>66.052339789029261</v>
      </c>
      <c r="J61" s="55"/>
    </row>
    <row r="62" spans="2:11" ht="15" customHeight="1" x14ac:dyDescent="0.25">
      <c r="B62" s="55"/>
      <c r="E62" s="38"/>
      <c r="F62" s="81">
        <v>2020</v>
      </c>
      <c r="G62" s="83">
        <f>G17/G31</f>
        <v>84.136159552350264</v>
      </c>
      <c r="H62" s="133">
        <f>SUMIFS('Comp2016-2017 (3)'!$G$5:$G$300,'Comp2016-2017 (3)'!$R$5:$R$300,F62)/SUMIFS('Comp2016-2017 (3)'!$O$5:$O$300,'Comp2016-2017 (3)'!$R$5:$R$300,F62)</f>
        <v>63.645222792966436</v>
      </c>
      <c r="J62" s="55"/>
    </row>
    <row r="63" spans="2:11" x14ac:dyDescent="0.25">
      <c r="B63" s="55"/>
      <c r="E63" s="38"/>
      <c r="F63" s="56"/>
      <c r="G63"/>
      <c r="H63"/>
      <c r="J63" s="55"/>
    </row>
    <row r="64" spans="2:11" x14ac:dyDescent="0.25">
      <c r="B64" s="55"/>
      <c r="E64" s="38"/>
      <c r="F64" s="56"/>
      <c r="G64"/>
      <c r="H64"/>
      <c r="J64" s="55"/>
    </row>
    <row r="65" spans="2:10" x14ac:dyDescent="0.25">
      <c r="B65" s="55"/>
      <c r="E65" s="38"/>
      <c r="F65" s="56"/>
      <c r="G65"/>
      <c r="H65"/>
      <c r="J65" s="55"/>
    </row>
    <row r="66" spans="2:10" x14ac:dyDescent="0.25">
      <c r="B66" s="55"/>
      <c r="E66" s="38"/>
      <c r="G66"/>
      <c r="H66"/>
      <c r="J66" s="55"/>
    </row>
    <row r="67" spans="2:10" x14ac:dyDescent="0.25">
      <c r="B67" s="55"/>
      <c r="E67" s="38"/>
      <c r="J67" s="55"/>
    </row>
    <row r="68" spans="2:10" x14ac:dyDescent="0.25">
      <c r="B68" s="55"/>
      <c r="J68" s="55"/>
    </row>
    <row r="69" spans="2:10" x14ac:dyDescent="0.25">
      <c r="B69" s="55"/>
      <c r="J69" s="55"/>
    </row>
    <row r="70" spans="2:10" ht="18" x14ac:dyDescent="0.25">
      <c r="B70" s="55"/>
      <c r="D70" s="61" t="s">
        <v>117</v>
      </c>
      <c r="E70" s="61"/>
      <c r="F70" s="61"/>
      <c r="G70" s="61"/>
      <c r="H70" s="62" t="str">
        <f>$D$3</f>
        <v>Bois énergie</v>
      </c>
      <c r="J70" s="55"/>
    </row>
    <row r="71" spans="2:10" ht="29.25" customHeight="1" x14ac:dyDescent="0.25">
      <c r="B71" s="55"/>
      <c r="F71" s="134"/>
      <c r="G71" s="85" t="s">
        <v>227</v>
      </c>
      <c r="H71" s="85" t="s">
        <v>228</v>
      </c>
      <c r="J71" s="55"/>
    </row>
    <row r="72" spans="2:10" x14ac:dyDescent="0.25">
      <c r="B72" s="55"/>
      <c r="F72" s="81">
        <v>2016</v>
      </c>
      <c r="G72" s="83">
        <f>SUMIFS('Comp2016-2017 (3)'!$J$5:$J$300,'Comp2016-2017 (3)'!$R$5:$R$300,F72,'Comp2016-2017 (3)'!$T$5:$T$300,1)</f>
        <v>97117.467000000004</v>
      </c>
      <c r="H72" s="83">
        <f>SUMIFS('Comp2016-2017 (3)'!$M$5:$M$300,'Comp2016-2017 (3)'!$R$5:$R$300,F72,'Comp2016-2017 (3)'!$T$5:$T$300,1)</f>
        <v>46087</v>
      </c>
      <c r="J72" s="55"/>
    </row>
    <row r="73" spans="2:10" x14ac:dyDescent="0.25">
      <c r="B73" s="55"/>
      <c r="E73" s="38"/>
      <c r="F73" s="81">
        <v>2017</v>
      </c>
      <c r="G73" s="83">
        <f>SUMIFS('Comp2016-2017 (3)'!$J$5:$J$300,'Comp2016-2017 (3)'!$R$5:$R$300,F73,'Comp2016-2017 (3)'!$T$5:$T$300,1)</f>
        <v>98093.299999999988</v>
      </c>
      <c r="H73" s="83">
        <f>SUMIFS('Comp2016-2017 (3)'!$M$5:$M$300,'Comp2016-2017 (3)'!$R$5:$R$300,F73,'Comp2016-2017 (3)'!$T$5:$T$300,1)</f>
        <v>46117.487000000001</v>
      </c>
      <c r="J73" s="55"/>
    </row>
    <row r="74" spans="2:10" x14ac:dyDescent="0.25">
      <c r="B74" s="55"/>
      <c r="E74" s="38"/>
      <c r="F74" s="81">
        <v>2018</v>
      </c>
      <c r="G74" s="83">
        <f>SUMIFS('Comp2016-2017 (3)'!$J$5:$J$300,'Comp2016-2017 (3)'!$R$5:$R$300,F74,'Comp2016-2017 (3)'!$T$5:$T$300,1)</f>
        <v>115488.07300000002</v>
      </c>
      <c r="H74" s="83">
        <f>SUMIFS('Comp2016-2017 (3)'!$M$5:$M$300,'Comp2016-2017 (3)'!$R$5:$R$300,F74,'Comp2016-2017 (3)'!$T$5:$T$300,1)</f>
        <v>50164.84199999999</v>
      </c>
      <c r="J74" s="55"/>
    </row>
    <row r="75" spans="2:10" ht="15" customHeight="1" x14ac:dyDescent="0.25">
      <c r="B75" s="55"/>
      <c r="E75" s="38"/>
      <c r="F75" s="81">
        <v>2019</v>
      </c>
      <c r="G75" s="83">
        <f>SUMIFS('Comp2016-2017 (3)'!$J$5:$J$300,'Comp2016-2017 (3)'!$R$5:$R$300,F75,'Comp2016-2017 (3)'!$T$5:$T$300,1)</f>
        <v>148790.32499999981</v>
      </c>
      <c r="H75" s="83">
        <f>SUMIFS('Comp2016-2017 (3)'!$M$5:$M$300,'Comp2016-2017 (3)'!$R$5:$R$300,F75,'Comp2016-2017 (3)'!$T$5:$T$300,1)</f>
        <v>36039.286000000015</v>
      </c>
      <c r="J75" s="55"/>
    </row>
    <row r="76" spans="2:10" x14ac:dyDescent="0.25">
      <c r="B76" s="55"/>
      <c r="E76" s="38"/>
      <c r="F76" s="81">
        <v>2020</v>
      </c>
      <c r="G76" s="83">
        <f>SUMIFS('Comp2016-2017 (3)'!$J$5:$J$300,'Comp2016-2017 (3)'!$R$5:$R$300,F76,'Comp2016-2017 (3)'!$T$5:$T$300,1)</f>
        <v>147758.59100000007</v>
      </c>
      <c r="H76" s="83">
        <f>SUMIFS('Comp2016-2017 (3)'!$M$5:$M$300,'Comp2016-2017 (3)'!$R$5:$R$300,F76,'Comp2016-2017 (3)'!$T$5:$T$300,1)</f>
        <v>26463.573904000012</v>
      </c>
      <c r="J76" s="55"/>
    </row>
    <row r="77" spans="2:10" x14ac:dyDescent="0.25">
      <c r="B77" s="55"/>
      <c r="E77" s="38"/>
      <c r="F77" s="57"/>
      <c r="J77" s="55"/>
    </row>
    <row r="78" spans="2:10" x14ac:dyDescent="0.25">
      <c r="B78" s="55"/>
      <c r="E78" s="38"/>
      <c r="G78" s="297" t="str">
        <f>IF(H72=0,"Les commerces  sont considérés comme des intermédiaires. Aussi, les flux de commerce internationaux sont évalués dans les différents autres groupes","")</f>
        <v/>
      </c>
      <c r="H78" s="297"/>
      <c r="J78" s="55"/>
    </row>
    <row r="79" spans="2:10" x14ac:dyDescent="0.25">
      <c r="B79" s="55"/>
      <c r="E79" s="38"/>
      <c r="G79" s="297"/>
      <c r="H79" s="297"/>
      <c r="J79" s="55"/>
    </row>
    <row r="80" spans="2:10" x14ac:dyDescent="0.25">
      <c r="B80" s="55"/>
      <c r="E80" s="38"/>
      <c r="G80" s="297"/>
      <c r="H80" s="297"/>
      <c r="J80" s="55"/>
    </row>
    <row r="81" spans="2:21" x14ac:dyDescent="0.25">
      <c r="B81" s="55"/>
      <c r="G81" s="297"/>
      <c r="H81" s="297"/>
      <c r="J81" s="55"/>
    </row>
    <row r="82" spans="2:21" customFormat="1" x14ac:dyDescent="0.25">
      <c r="B82" s="55"/>
      <c r="D82" s="4"/>
      <c r="E82" s="4"/>
      <c r="F82" s="57"/>
      <c r="G82" s="297"/>
      <c r="H82" s="297"/>
      <c r="J82" s="55"/>
      <c r="L82" s="4"/>
      <c r="M82" s="4"/>
      <c r="N82" s="4"/>
      <c r="O82" s="4"/>
      <c r="P82" s="4"/>
      <c r="Q82" s="4"/>
      <c r="R82" s="4"/>
      <c r="S82" s="4"/>
      <c r="T82" s="4"/>
      <c r="U82" s="4"/>
    </row>
    <row r="83" spans="2:21" customFormat="1" x14ac:dyDescent="0.25">
      <c r="B83" s="55"/>
      <c r="D83" s="4"/>
      <c r="E83" s="4"/>
      <c r="F83" s="57"/>
      <c r="G83" s="57"/>
      <c r="H83" s="57"/>
      <c r="J83" s="55"/>
      <c r="L83" s="4"/>
      <c r="M83" s="4"/>
      <c r="N83" s="4"/>
      <c r="O83" s="4"/>
      <c r="P83" s="4"/>
      <c r="Q83" s="4"/>
      <c r="R83" s="4"/>
      <c r="S83" s="4"/>
      <c r="T83" s="4"/>
      <c r="U83" s="4"/>
    </row>
    <row r="84" spans="2:21" customFormat="1" x14ac:dyDescent="0.25">
      <c r="B84" s="55"/>
      <c r="D84" s="4"/>
      <c r="E84" s="4"/>
      <c r="F84" s="81"/>
      <c r="G84" s="294" t="s">
        <v>226</v>
      </c>
      <c r="H84" s="294"/>
      <c r="J84" s="55"/>
      <c r="L84" s="4"/>
      <c r="M84" s="4"/>
      <c r="N84" s="4"/>
      <c r="O84" s="4"/>
      <c r="P84" s="4"/>
      <c r="Q84" s="4"/>
      <c r="R84" s="4"/>
      <c r="S84" s="4"/>
      <c r="T84" s="4"/>
      <c r="U84" s="4"/>
    </row>
    <row r="85" spans="2:21" customFormat="1" x14ac:dyDescent="0.25">
      <c r="B85" s="55"/>
      <c r="D85" s="4"/>
      <c r="E85" s="4"/>
      <c r="F85" s="81"/>
      <c r="G85" s="130" t="s">
        <v>52</v>
      </c>
      <c r="H85" s="130" t="s">
        <v>53</v>
      </c>
      <c r="J85" s="55"/>
      <c r="L85" s="4"/>
      <c r="M85" s="4"/>
      <c r="N85" s="4"/>
      <c r="O85" s="4"/>
      <c r="P85" s="4"/>
      <c r="Q85" s="4"/>
      <c r="R85" s="4"/>
      <c r="S85" s="4"/>
      <c r="T85" s="4"/>
      <c r="U85" s="4"/>
    </row>
    <row r="86" spans="2:21" customFormat="1" x14ac:dyDescent="0.25">
      <c r="B86" s="55"/>
      <c r="D86" s="4"/>
      <c r="E86" s="4"/>
      <c r="F86" s="81">
        <v>2016</v>
      </c>
      <c r="G86" s="84">
        <f>G72/SUMIFS('Comp2016-2017 (3)'!$J$5:$J$300,'Comp2016-2017 (3)'!$R$5:$R$300,F86)</f>
        <v>5.9062468912203427E-3</v>
      </c>
      <c r="H86" s="84">
        <f>H72/SUMIFS('Comp2016-2017 (3)'!$M$5:$M$300,'Comp2016-2017 (3)'!$R$5:$R$300,F86)</f>
        <v>4.7702907365253545E-3</v>
      </c>
      <c r="J86" s="55"/>
      <c r="L86" s="4"/>
      <c r="M86" s="4"/>
      <c r="N86" s="4"/>
      <c r="O86" s="4"/>
      <c r="P86" s="4"/>
      <c r="Q86" s="4"/>
      <c r="R86" s="4"/>
      <c r="S86" s="4"/>
      <c r="T86" s="4"/>
      <c r="U86" s="4"/>
    </row>
    <row r="87" spans="2:21" customFormat="1" x14ac:dyDescent="0.25">
      <c r="B87" s="55"/>
      <c r="D87" s="4"/>
      <c r="E87" s="4"/>
      <c r="F87" s="81">
        <v>2017</v>
      </c>
      <c r="G87" s="84">
        <f>G73/SUMIFS('Comp2016-2017 (3)'!$J$5:$J$300,'Comp2016-2017 (3)'!$R$5:$R$300,F87)</f>
        <v>5.809038008898244E-3</v>
      </c>
      <c r="H87" s="84">
        <f>H73/SUMIFS('Comp2016-2017 (3)'!$M$5:$M$300,'Comp2016-2017 (3)'!$R$5:$R$300,F87)</f>
        <v>4.7045144023503769E-3</v>
      </c>
      <c r="J87" s="55"/>
      <c r="L87" s="4"/>
      <c r="M87" s="4"/>
      <c r="N87" s="4"/>
      <c r="O87" s="4"/>
      <c r="P87" s="4"/>
      <c r="Q87" s="4"/>
      <c r="R87" s="4"/>
      <c r="S87" s="4"/>
      <c r="T87" s="4"/>
      <c r="U87" s="4"/>
    </row>
    <row r="88" spans="2:21" customFormat="1" x14ac:dyDescent="0.25">
      <c r="B88" s="55"/>
      <c r="D88" s="4"/>
      <c r="E88" s="4"/>
      <c r="F88" s="81">
        <v>2018</v>
      </c>
      <c r="G88" s="84">
        <f>G74/SUMIFS('Comp2016-2017 (3)'!$J$5:$J$300,'Comp2016-2017 (3)'!$R$5:$R$300,F88)</f>
        <v>6.4764845071177682E-3</v>
      </c>
      <c r="H88" s="84">
        <f>H74/SUMIFS('Comp2016-2017 (3)'!$M$5:$M$300,'Comp2016-2017 (3)'!$R$5:$R$300,F88)</f>
        <v>4.9369560952294824E-3</v>
      </c>
      <c r="J88" s="55"/>
      <c r="L88" s="4"/>
      <c r="M88" s="4"/>
      <c r="N88" s="4"/>
      <c r="O88" s="4"/>
      <c r="P88" s="4"/>
      <c r="Q88" s="4"/>
      <c r="R88" s="4"/>
      <c r="S88" s="4"/>
      <c r="T88" s="4"/>
      <c r="U88" s="4"/>
    </row>
    <row r="89" spans="2:21" customFormat="1" x14ac:dyDescent="0.25">
      <c r="B89" s="55"/>
      <c r="D89" s="4"/>
      <c r="E89" s="4"/>
      <c r="F89" s="81">
        <v>2019</v>
      </c>
      <c r="G89" s="84">
        <f>G75/SUMIFS('Comp2016-2017 (3)'!$J$5:$J$300,'Comp2016-2017 (3)'!$R$5:$R$300,F89)</f>
        <v>8.345636753520843E-3</v>
      </c>
      <c r="H89" s="84">
        <f>H75/SUMIFS('Comp2016-2017 (3)'!$M$5:$M$300,'Comp2016-2017 (3)'!$R$5:$R$300,F89)</f>
        <v>3.6520440044488442E-3</v>
      </c>
      <c r="J89" s="55"/>
      <c r="L89" s="4"/>
      <c r="M89" s="4"/>
      <c r="N89" s="4"/>
      <c r="O89" s="4"/>
      <c r="P89" s="4"/>
      <c r="Q89" s="4"/>
      <c r="R89" s="4"/>
      <c r="S89" s="4"/>
      <c r="T89" s="4"/>
      <c r="U89" s="4"/>
    </row>
    <row r="90" spans="2:21" customFormat="1" x14ac:dyDescent="0.25">
      <c r="B90" s="55"/>
      <c r="D90" s="4"/>
      <c r="E90" s="4"/>
      <c r="F90" s="81">
        <v>2020</v>
      </c>
      <c r="G90" s="84">
        <f>G76/SUMIFS('Comp2016-2017 (3)'!$J$5:$J$300,'Comp2016-2017 (3)'!$R$5:$R$300,F90)</f>
        <v>9.0180325752424878E-3</v>
      </c>
      <c r="H90" s="84">
        <f>H76/SUMIFS('Comp2016-2017 (3)'!$M$5:$M$300,'Comp2016-2017 (3)'!$R$5:$R$300,F90)</f>
        <v>3.2722664246837493E-3</v>
      </c>
      <c r="J90" s="55"/>
      <c r="L90" s="4"/>
      <c r="M90" s="4"/>
      <c r="N90" s="4"/>
      <c r="O90" s="4"/>
      <c r="P90" s="4"/>
      <c r="Q90" s="4"/>
      <c r="R90" s="4"/>
      <c r="S90" s="4"/>
      <c r="T90" s="4"/>
      <c r="U90" s="4"/>
    </row>
    <row r="91" spans="2:21" customFormat="1" x14ac:dyDescent="0.25">
      <c r="B91" s="55"/>
      <c r="D91" s="4"/>
      <c r="E91" s="4"/>
      <c r="F91" s="57"/>
      <c r="G91" s="57"/>
      <c r="H91" s="57"/>
      <c r="J91" s="55"/>
      <c r="L91" s="4"/>
      <c r="M91" s="4"/>
      <c r="N91" s="4"/>
      <c r="O91" s="4"/>
      <c r="P91" s="4"/>
      <c r="Q91" s="4"/>
      <c r="R91" s="4"/>
      <c r="S91" s="4"/>
      <c r="T91" s="4"/>
      <c r="U91" s="4"/>
    </row>
    <row r="92" spans="2:21" customFormat="1" x14ac:dyDescent="0.25">
      <c r="B92" s="55"/>
      <c r="D92" s="4"/>
      <c r="E92" s="4"/>
      <c r="F92" s="57"/>
      <c r="G92" s="57"/>
      <c r="H92" s="57"/>
      <c r="J92" s="55"/>
      <c r="L92" s="4"/>
      <c r="M92" s="4"/>
      <c r="N92" s="4"/>
      <c r="O92" s="4"/>
      <c r="P92" s="4"/>
      <c r="Q92" s="4"/>
      <c r="R92" s="4"/>
      <c r="S92" s="4"/>
      <c r="T92" s="4"/>
      <c r="U92" s="4"/>
    </row>
    <row r="93" spans="2:21" customFormat="1" x14ac:dyDescent="0.25">
      <c r="B93" s="55"/>
      <c r="D93" s="4"/>
      <c r="E93" s="4"/>
      <c r="F93" s="57"/>
      <c r="G93" s="57"/>
      <c r="H93" s="57"/>
      <c r="J93" s="55"/>
      <c r="L93" s="4"/>
      <c r="M93" s="4"/>
      <c r="N93" s="4"/>
      <c r="O93" s="4"/>
      <c r="P93" s="4"/>
      <c r="Q93" s="4"/>
      <c r="R93" s="4"/>
      <c r="S93" s="4"/>
      <c r="T93" s="4"/>
      <c r="U93" s="4"/>
    </row>
    <row r="94" spans="2:21" customFormat="1" x14ac:dyDescent="0.25">
      <c r="B94" s="55"/>
      <c r="D94" s="4"/>
      <c r="E94" s="4"/>
      <c r="F94" s="57"/>
      <c r="G94" s="57"/>
      <c r="H94" s="57"/>
      <c r="J94" s="55"/>
      <c r="L94" s="4"/>
      <c r="M94" s="4"/>
      <c r="N94" s="4"/>
      <c r="O94" s="4"/>
      <c r="P94" s="4"/>
      <c r="Q94" s="4"/>
      <c r="R94" s="4"/>
      <c r="S94" s="4"/>
      <c r="T94" s="4"/>
      <c r="U94" s="4"/>
    </row>
    <row r="95" spans="2:21" customFormat="1" x14ac:dyDescent="0.25">
      <c r="B95" s="55"/>
      <c r="D95" s="4"/>
      <c r="E95" s="4"/>
      <c r="F95" s="57"/>
      <c r="G95" s="57"/>
      <c r="H95" s="57"/>
      <c r="J95" s="55"/>
      <c r="L95" s="4"/>
      <c r="M95" s="4"/>
      <c r="N95" s="4"/>
      <c r="O95" s="4"/>
      <c r="P95" s="4"/>
      <c r="Q95" s="4"/>
      <c r="R95" s="4"/>
      <c r="S95" s="4"/>
      <c r="T95" s="4"/>
      <c r="U95" s="4"/>
    </row>
    <row r="96" spans="2:21" customFormat="1" x14ac:dyDescent="0.25">
      <c r="B96" s="55"/>
      <c r="D96" s="4"/>
      <c r="E96" s="4"/>
      <c r="F96" s="4"/>
      <c r="G96" s="4"/>
      <c r="H96" s="4"/>
      <c r="J96" s="55"/>
      <c r="L96" s="4"/>
      <c r="M96" s="4"/>
      <c r="N96" s="4"/>
      <c r="O96" s="4"/>
      <c r="P96" s="4"/>
      <c r="Q96" s="4"/>
      <c r="R96" s="4"/>
      <c r="S96" s="4"/>
      <c r="T96" s="4"/>
      <c r="U96" s="4"/>
    </row>
    <row r="97" spans="2:21" customFormat="1" ht="30" customHeight="1" x14ac:dyDescent="0.25">
      <c r="B97" s="55"/>
      <c r="D97" s="4"/>
      <c r="E97" s="4"/>
      <c r="F97" s="134"/>
      <c r="G97" s="85" t="s">
        <v>229</v>
      </c>
      <c r="H97" s="82" t="s">
        <v>230</v>
      </c>
      <c r="J97" s="55"/>
      <c r="L97" s="4"/>
      <c r="M97" s="4"/>
      <c r="N97" s="4"/>
      <c r="O97" s="4"/>
      <c r="P97" s="4"/>
      <c r="Q97" s="4"/>
      <c r="R97" s="4"/>
      <c r="S97" s="4"/>
      <c r="T97" s="4"/>
      <c r="U97" s="4"/>
    </row>
    <row r="98" spans="2:21" customFormat="1" x14ac:dyDescent="0.25">
      <c r="B98" s="55"/>
      <c r="D98" s="4"/>
      <c r="E98" s="4"/>
      <c r="F98" s="81">
        <v>2016</v>
      </c>
      <c r="G98" s="131">
        <f>IF(G72=0,"",H72/G72)</f>
        <v>0.47454903246189484</v>
      </c>
      <c r="H98" s="84">
        <f>SUMIFS('Comp2016-2017 (3)'!$M$5:$M$300,'Comp2016-2017 (3)'!$R$5:$R$300,F98)/SUMIFS('Comp2016-2017 (3)'!$J$5:$J$300,'Comp2016-2017 (3)'!$R$5:$R$300,F98)</f>
        <v>0.58755407217616051</v>
      </c>
      <c r="J98" s="55"/>
      <c r="L98" s="4"/>
      <c r="M98" s="4"/>
      <c r="N98" s="4"/>
      <c r="O98" s="4"/>
      <c r="P98" s="4"/>
      <c r="Q98" s="4"/>
      <c r="R98" s="4"/>
      <c r="S98" s="4"/>
      <c r="T98" s="4"/>
      <c r="U98" s="4"/>
    </row>
    <row r="99" spans="2:21" customFormat="1" x14ac:dyDescent="0.25">
      <c r="B99" s="55"/>
      <c r="D99" s="4"/>
      <c r="E99" s="4"/>
      <c r="F99" s="81">
        <v>2017</v>
      </c>
      <c r="G99" s="131">
        <f>IF(G73=0,"",H73/G73)</f>
        <v>0.47013901051346019</v>
      </c>
      <c r="H99" s="84">
        <f>SUMIFS('Comp2016-2017 (3)'!$M$5:$M$300,'Comp2016-2017 (3)'!$R$5:$R$300,F99)/SUMIFS('Comp2016-2017 (3)'!$J$5:$J$300,'Comp2016-2017 (3)'!$R$5:$R$300,F99)</f>
        <v>0.58051801906995237</v>
      </c>
      <c r="J99" s="55"/>
      <c r="L99" s="4"/>
      <c r="M99" s="4"/>
      <c r="N99" s="4"/>
      <c r="O99" s="4"/>
      <c r="P99" s="4"/>
      <c r="Q99" s="4"/>
      <c r="R99" s="4"/>
      <c r="S99" s="4"/>
      <c r="T99" s="4"/>
      <c r="U99" s="4"/>
    </row>
    <row r="100" spans="2:21" customFormat="1" x14ac:dyDescent="0.25">
      <c r="B100" s="55"/>
      <c r="D100" s="4"/>
      <c r="E100" s="4"/>
      <c r="F100" s="81">
        <v>2018</v>
      </c>
      <c r="G100" s="131">
        <f>IF(G74=0,"",H74/G74)</f>
        <v>0.4343724914346781</v>
      </c>
      <c r="H100" s="84">
        <f>SUMIFS('Comp2016-2017 (3)'!$M$5:$M$300,'Comp2016-2017 (3)'!$R$5:$R$300,F100)/SUMIFS('Comp2016-2017 (3)'!$J$5:$J$300,'Comp2016-2017 (3)'!$R$5:$R$300,F100)</f>
        <v>0.56982615539425263</v>
      </c>
      <c r="J100" s="55"/>
      <c r="L100" s="4"/>
      <c r="M100" s="4"/>
      <c r="N100" s="4"/>
      <c r="O100" s="4"/>
      <c r="P100" s="4"/>
      <c r="Q100" s="4"/>
      <c r="R100" s="4"/>
      <c r="S100" s="4"/>
      <c r="T100" s="4"/>
      <c r="U100" s="4"/>
    </row>
    <row r="101" spans="2:21" customFormat="1" ht="15" customHeight="1" x14ac:dyDescent="0.25">
      <c r="B101" s="55"/>
      <c r="D101" s="4"/>
      <c r="E101" s="4"/>
      <c r="F101" s="81">
        <v>2019</v>
      </c>
      <c r="G101" s="131">
        <f>IF(G75=0,"",H75/G75)</f>
        <v>0.24221525156289606</v>
      </c>
      <c r="H101" s="84">
        <f>SUMIFS('Comp2016-2017 (3)'!$M$5:$M$300,'Comp2016-2017 (3)'!$R$5:$R$300,F101)/SUMIFS('Comp2016-2017 (3)'!$J$5:$J$300,'Comp2016-2017 (3)'!$R$5:$R$300,F101)</f>
        <v>0.55350935072089091</v>
      </c>
      <c r="J101" s="55"/>
      <c r="L101" s="4"/>
      <c r="M101" s="4"/>
      <c r="N101" s="4"/>
      <c r="O101" s="4"/>
      <c r="P101" s="4"/>
      <c r="Q101" s="4"/>
      <c r="R101" s="4"/>
      <c r="S101" s="4"/>
      <c r="T101" s="4"/>
      <c r="U101" s="4"/>
    </row>
    <row r="102" spans="2:21" customFormat="1" x14ac:dyDescent="0.25">
      <c r="B102" s="55"/>
      <c r="D102" s="4"/>
      <c r="E102" s="4"/>
      <c r="F102" s="81">
        <v>2020</v>
      </c>
      <c r="G102" s="131">
        <f>IF(G76=0,"",H76/G76)</f>
        <v>0.17910006940983891</v>
      </c>
      <c r="H102" s="84">
        <f>SUMIFS('Comp2016-2017 (3)'!$M$5:$M$300,'Comp2016-2017 (3)'!$R$5:$R$300,F102)/SUMIFS('Comp2016-2017 (3)'!$J$5:$J$300,'Comp2016-2017 (3)'!$R$5:$R$300,F102)</f>
        <v>0.49358152746447392</v>
      </c>
      <c r="J102" s="55"/>
      <c r="L102" s="4"/>
      <c r="M102" s="4"/>
      <c r="N102" s="4"/>
      <c r="O102" s="4"/>
      <c r="P102" s="4"/>
      <c r="Q102" s="4"/>
      <c r="R102" s="4"/>
      <c r="S102" s="4"/>
      <c r="T102" s="4"/>
      <c r="U102" s="4"/>
    </row>
    <row r="103" spans="2:21" customFormat="1" x14ac:dyDescent="0.25">
      <c r="B103" s="55"/>
      <c r="D103" s="4"/>
      <c r="E103" s="4"/>
      <c r="F103" s="274" t="s">
        <v>237</v>
      </c>
      <c r="G103" s="298"/>
      <c r="H103" s="275"/>
      <c r="J103" s="55"/>
      <c r="L103" s="4"/>
      <c r="M103" s="4"/>
      <c r="N103" s="4"/>
      <c r="O103" s="4"/>
      <c r="P103" s="4"/>
      <c r="Q103" s="4"/>
      <c r="R103" s="4"/>
      <c r="S103" s="4"/>
      <c r="T103" s="4"/>
      <c r="U103" s="4"/>
    </row>
    <row r="104" spans="2:21" customFormat="1" x14ac:dyDescent="0.25">
      <c r="B104" s="55"/>
      <c r="D104" s="4"/>
      <c r="E104" s="4"/>
      <c r="F104" s="276"/>
      <c r="G104" s="271"/>
      <c r="H104" s="277"/>
      <c r="J104" s="55"/>
      <c r="L104" s="4"/>
      <c r="M104" s="4"/>
      <c r="N104" s="4"/>
      <c r="O104" s="4"/>
      <c r="P104" s="4"/>
      <c r="Q104" s="4"/>
      <c r="R104" s="4"/>
      <c r="S104" s="4"/>
      <c r="T104" s="4"/>
      <c r="U104" s="4"/>
    </row>
    <row r="105" spans="2:21" customFormat="1" x14ac:dyDescent="0.25">
      <c r="B105" s="55"/>
      <c r="D105" s="4"/>
      <c r="E105" s="4"/>
      <c r="F105" s="276"/>
      <c r="G105" s="271"/>
      <c r="H105" s="277"/>
      <c r="J105" s="55"/>
      <c r="L105" s="4"/>
      <c r="M105" s="4"/>
      <c r="N105" s="4"/>
      <c r="O105" s="4"/>
      <c r="P105" s="4"/>
      <c r="Q105" s="4"/>
      <c r="R105" s="4"/>
      <c r="S105" s="4"/>
      <c r="T105" s="4"/>
      <c r="U105" s="4"/>
    </row>
    <row r="106" spans="2:21" customFormat="1" x14ac:dyDescent="0.25">
      <c r="B106" s="55"/>
      <c r="D106" s="4"/>
      <c r="E106" s="4"/>
      <c r="F106" s="276"/>
      <c r="G106" s="271"/>
      <c r="H106" s="277"/>
      <c r="J106" s="55"/>
      <c r="L106" s="4"/>
      <c r="M106" s="4"/>
      <c r="N106" s="4"/>
      <c r="O106" s="4"/>
      <c r="P106" s="4"/>
      <c r="Q106" s="4"/>
      <c r="R106" s="4"/>
      <c r="S106" s="4"/>
      <c r="T106" s="4"/>
      <c r="U106" s="4"/>
    </row>
    <row r="107" spans="2:21" customFormat="1" x14ac:dyDescent="0.25">
      <c r="B107" s="55"/>
      <c r="D107" s="4"/>
      <c r="E107" s="4"/>
      <c r="F107" s="276"/>
      <c r="G107" s="271"/>
      <c r="H107" s="277"/>
      <c r="J107" s="55"/>
      <c r="L107" s="4"/>
      <c r="M107" s="4"/>
      <c r="N107" s="4"/>
      <c r="O107" s="4"/>
      <c r="P107" s="4"/>
      <c r="Q107" s="4"/>
      <c r="R107" s="4"/>
      <c r="S107" s="4"/>
      <c r="T107" s="4"/>
      <c r="U107" s="4"/>
    </row>
    <row r="108" spans="2:21" customFormat="1" x14ac:dyDescent="0.25">
      <c r="B108" s="55"/>
      <c r="D108" s="4"/>
      <c r="E108" s="4"/>
      <c r="F108" s="278"/>
      <c r="G108" s="299"/>
      <c r="H108" s="279"/>
      <c r="J108" s="55"/>
      <c r="L108" s="4"/>
      <c r="M108" s="4"/>
      <c r="N108" s="4"/>
      <c r="O108" s="4"/>
      <c r="P108" s="4"/>
      <c r="Q108" s="4"/>
      <c r="R108" s="4"/>
      <c r="S108" s="4"/>
      <c r="T108" s="4"/>
      <c r="U108" s="4"/>
    </row>
    <row r="109" spans="2:21" customFormat="1" x14ac:dyDescent="0.25">
      <c r="B109" s="55"/>
      <c r="D109" s="4"/>
      <c r="E109" s="4"/>
      <c r="F109" s="4"/>
      <c r="G109" s="4"/>
      <c r="H109" s="4"/>
      <c r="J109" s="55"/>
      <c r="L109" s="4"/>
      <c r="M109" s="4"/>
      <c r="N109" s="4"/>
      <c r="O109" s="4"/>
      <c r="P109" s="4"/>
      <c r="Q109" s="4"/>
      <c r="R109" s="4"/>
      <c r="S109" s="4"/>
      <c r="T109" s="4"/>
      <c r="U109" s="4"/>
    </row>
    <row r="110" spans="2:21" customFormat="1" ht="18" x14ac:dyDescent="0.25">
      <c r="B110" s="55"/>
      <c r="D110" s="61" t="s">
        <v>118</v>
      </c>
      <c r="E110" s="61"/>
      <c r="F110" s="63"/>
      <c r="G110" s="63"/>
      <c r="H110" s="62" t="str">
        <f>$D$3</f>
        <v>Bois énergie</v>
      </c>
      <c r="J110" s="55"/>
      <c r="L110" s="4"/>
      <c r="M110" s="4"/>
      <c r="N110" s="4"/>
      <c r="O110" s="4"/>
      <c r="P110" s="4"/>
      <c r="Q110" s="4"/>
      <c r="R110" s="4"/>
      <c r="S110" s="4"/>
      <c r="T110" s="4"/>
      <c r="U110" s="4"/>
    </row>
    <row r="111" spans="2:21" customFormat="1" ht="25.5" x14ac:dyDescent="0.25">
      <c r="B111" s="55"/>
      <c r="D111" s="4"/>
      <c r="E111" s="4"/>
      <c r="F111" s="134"/>
      <c r="G111" s="85" t="s">
        <v>231</v>
      </c>
      <c r="H111" s="82" t="s">
        <v>230</v>
      </c>
      <c r="J111" s="55"/>
      <c r="M111" s="4"/>
      <c r="N111" s="4"/>
      <c r="O111" s="4"/>
      <c r="P111" s="4"/>
      <c r="Q111" s="4"/>
      <c r="R111" s="4"/>
      <c r="S111" s="4"/>
      <c r="T111" s="4"/>
      <c r="U111" s="4"/>
    </row>
    <row r="112" spans="2:21" customFormat="1" x14ac:dyDescent="0.25">
      <c r="B112" s="55"/>
      <c r="D112" s="4"/>
      <c r="E112" s="4"/>
      <c r="F112" s="81">
        <v>2016</v>
      </c>
      <c r="G112" s="84">
        <f>IF(H110='Groupe de branches'!$AK$12,"",(G41-H72)/(G41-H72+G72))</f>
        <v>0.97470229578633893</v>
      </c>
      <c r="H112" s="84">
        <f>(SUMIFS('Comp2016-2017 (3)'!$I$5:$I$300,'Comp2016-2017 (3)'!$R$5:$R$300,F112)-SUMIFS('Comp2016-2017 (3)'!$M$5:$M$300,'Comp2016-2017 (3)'!$R$5:$R$300,F112))/(SUMIFS('Comp2016-2017 (3)'!$I$5:$I$300,'Comp2016-2017 (3)'!$R$5:$R$300,F112)-SUMIFS('Comp2016-2017 (3)'!$M$5:$M$300,'Comp2016-2017 (3)'!$R$5:$R$300,F112)+SUMIFS('Comp2016-2017 (3)'!$J$5:$J$300,'Comp2016-2017 (3)'!$R$5:$R$300,F112))</f>
        <v>0.77267734025349721</v>
      </c>
      <c r="J112" s="55"/>
      <c r="M112" s="4"/>
      <c r="N112" s="4"/>
      <c r="O112" s="4"/>
      <c r="P112" s="4"/>
      <c r="Q112" s="4"/>
      <c r="R112" s="4"/>
      <c r="S112" s="4"/>
      <c r="T112" s="4"/>
      <c r="U112" s="4"/>
    </row>
    <row r="113" spans="2:21" customFormat="1" x14ac:dyDescent="0.25">
      <c r="B113" s="55"/>
      <c r="D113" s="4"/>
      <c r="E113" s="38"/>
      <c r="F113" s="81">
        <v>2017</v>
      </c>
      <c r="G113" s="84">
        <f>IF(H110='Groupe de branches'!$AK$12,"",(G42-H73)/(G42-H73+G73))</f>
        <v>0.97540528204514354</v>
      </c>
      <c r="H113" s="84">
        <f>(SUMIFS('Comp2016-2017 (3)'!$I$5:$I$300,'Comp2016-2017 (3)'!$R$5:$R$300,F113)-SUMIFS('Comp2016-2017 (3)'!$M$5:$M$300,'Comp2016-2017 (3)'!$R$5:$R$300,F113))/(SUMIFS('Comp2016-2017 (3)'!$I$5:$I$300,'Comp2016-2017 (3)'!$R$5:$R$300,F113)-SUMIFS('Comp2016-2017 (3)'!$M$5:$M$300,'Comp2016-2017 (3)'!$R$5:$R$300,F113)+SUMIFS('Comp2016-2017 (3)'!$J$5:$J$300,'Comp2016-2017 (3)'!$R$5:$R$300,F113))</f>
        <v>0.77212487717481737</v>
      </c>
      <c r="J113" s="55"/>
      <c r="M113" s="4"/>
      <c r="N113" s="4"/>
      <c r="O113" s="4"/>
      <c r="P113" s="4"/>
      <c r="Q113" s="4"/>
      <c r="R113" s="4"/>
      <c r="S113" s="4"/>
      <c r="T113" s="4"/>
      <c r="U113" s="4"/>
    </row>
    <row r="114" spans="2:21" customFormat="1" x14ac:dyDescent="0.25">
      <c r="B114" s="55"/>
      <c r="D114" s="4"/>
      <c r="E114" s="4"/>
      <c r="F114" s="81">
        <v>2018</v>
      </c>
      <c r="G114" s="84">
        <f>IF(H111='Groupe de branches'!$AK$12,"",(G43-H74)/(G43-H74+G74))</f>
        <v>0.97451772639409417</v>
      </c>
      <c r="H114" s="84">
        <f>(SUMIFS('Comp2016-2017 (3)'!$I$5:$I$300,'Comp2016-2017 (3)'!$R$5:$R$300,F114)-SUMIFS('Comp2016-2017 (3)'!$M$5:$M$300,'Comp2016-2017 (3)'!$R$5:$R$300,F114))/(SUMIFS('Comp2016-2017 (3)'!$I$5:$I$300,'Comp2016-2017 (3)'!$R$5:$R$300,F114)-SUMIFS('Comp2016-2017 (3)'!$M$5:$M$300,'Comp2016-2017 (3)'!$R$5:$R$300,F114)+SUMIFS('Comp2016-2017 (3)'!$J$5:$J$300,'Comp2016-2017 (3)'!$R$5:$R$300,F114))</f>
        <v>0.76997607611905394</v>
      </c>
      <c r="J114" s="55"/>
      <c r="M114" s="132"/>
      <c r="N114" s="4"/>
      <c r="O114" s="4"/>
      <c r="P114" s="4"/>
      <c r="Q114" s="4"/>
      <c r="R114" s="4"/>
      <c r="S114" s="4"/>
      <c r="T114" s="4"/>
      <c r="U114" s="4"/>
    </row>
    <row r="115" spans="2:21" customFormat="1" ht="15" customHeight="1" x14ac:dyDescent="0.25">
      <c r="B115" s="55"/>
      <c r="D115" s="4"/>
      <c r="E115" s="38"/>
      <c r="F115" s="81">
        <v>2019</v>
      </c>
      <c r="G115" s="84">
        <f>IF(H112='Groupe de branches'!$AK$12,"",(G44-H75)/(G44-H75+G75))</f>
        <v>0.96858666052568154</v>
      </c>
      <c r="H115" s="84">
        <f>(SUMIFS('Comp2016-2017 (3)'!$I$5:$I$300,'Comp2016-2017 (3)'!$R$5:$R$300,F115)-SUMIFS('Comp2016-2017 (3)'!$M$5:$M$300,'Comp2016-2017 (3)'!$R$5:$R$300,F115))/(SUMIFS('Comp2016-2017 (3)'!$I$5:$I$300,'Comp2016-2017 (3)'!$R$5:$R$300,F115)-SUMIFS('Comp2016-2017 (3)'!$M$5:$M$300,'Comp2016-2017 (3)'!$R$5:$R$300,F115)+SUMIFS('Comp2016-2017 (3)'!$J$5:$J$300,'Comp2016-2017 (3)'!$R$5:$R$300,F115))</f>
        <v>0.77091407201445139</v>
      </c>
      <c r="J115" s="55"/>
      <c r="M115" s="4"/>
      <c r="N115" s="4"/>
      <c r="O115" s="4"/>
      <c r="P115" s="4"/>
      <c r="Q115" s="4"/>
      <c r="R115" s="4"/>
      <c r="S115" s="4"/>
      <c r="T115" s="4"/>
      <c r="U115" s="4"/>
    </row>
    <row r="116" spans="2:21" customFormat="1" ht="15" customHeight="1" x14ac:dyDescent="0.25">
      <c r="B116" s="55"/>
      <c r="D116" s="4"/>
      <c r="E116" s="38"/>
      <c r="F116" s="81">
        <v>2020</v>
      </c>
      <c r="G116" s="84">
        <f>IF(H113='Groupe de branches'!$AK$12,"",(G45-H76)/(G45-H76+G76))</f>
        <v>0.96873846142261588</v>
      </c>
      <c r="H116" s="84">
        <f>(SUMIFS('Comp2016-2017 (3)'!$I$5:$I$300,'Comp2016-2017 (3)'!$R$5:$R$300,F116)-SUMIFS('Comp2016-2017 (3)'!$M$5:$M$300,'Comp2016-2017 (3)'!$R$5:$R$300,F116))/(SUMIFS('Comp2016-2017 (3)'!$I$5:$I$300,'Comp2016-2017 (3)'!$R$5:$R$300,F116)-SUMIFS('Comp2016-2017 (3)'!$M$5:$M$300,'Comp2016-2017 (3)'!$R$5:$R$300,F116)+SUMIFS('Comp2016-2017 (3)'!$J$5:$J$300,'Comp2016-2017 (3)'!$R$5:$R$300,F116))</f>
        <v>0.78028868545844576</v>
      </c>
      <c r="J116" s="55"/>
      <c r="L116" s="4"/>
      <c r="M116" s="4"/>
      <c r="N116" s="4"/>
      <c r="O116" s="4"/>
      <c r="P116" s="4"/>
      <c r="Q116" s="4"/>
      <c r="R116" s="4"/>
      <c r="S116" s="4"/>
      <c r="T116" s="4"/>
      <c r="U116" s="4"/>
    </row>
    <row r="117" spans="2:21" customFormat="1" x14ac:dyDescent="0.25">
      <c r="B117" s="55"/>
      <c r="D117" s="4"/>
      <c r="E117" s="38"/>
      <c r="F117" s="274" t="s">
        <v>236</v>
      </c>
      <c r="G117" s="298"/>
      <c r="H117" s="275"/>
      <c r="J117" s="55"/>
      <c r="L117" s="4"/>
      <c r="M117" s="4"/>
      <c r="N117" s="4"/>
      <c r="O117" s="4"/>
      <c r="P117" s="4"/>
      <c r="Q117" s="4"/>
      <c r="R117" s="4"/>
      <c r="S117" s="4"/>
      <c r="T117" s="4"/>
      <c r="U117" s="4"/>
    </row>
    <row r="118" spans="2:21" customFormat="1" x14ac:dyDescent="0.25">
      <c r="B118" s="55"/>
      <c r="D118" s="4"/>
      <c r="E118" s="38"/>
      <c r="F118" s="276"/>
      <c r="G118" s="271"/>
      <c r="H118" s="277"/>
      <c r="J118" s="55"/>
      <c r="L118" s="4"/>
      <c r="M118" s="4"/>
      <c r="N118" s="4"/>
      <c r="O118" s="4"/>
      <c r="P118" s="4"/>
      <c r="Q118" s="4"/>
      <c r="R118" s="4"/>
      <c r="S118" s="4"/>
      <c r="T118" s="4"/>
      <c r="U118" s="4"/>
    </row>
    <row r="119" spans="2:21" customFormat="1" x14ac:dyDescent="0.25">
      <c r="B119" s="55"/>
      <c r="D119" s="4"/>
      <c r="E119" s="38"/>
      <c r="F119" s="276"/>
      <c r="G119" s="271"/>
      <c r="H119" s="277"/>
      <c r="J119" s="55"/>
      <c r="L119" s="4"/>
      <c r="M119" s="4"/>
      <c r="N119" s="4"/>
      <c r="O119" s="4"/>
      <c r="P119" s="4"/>
      <c r="Q119" s="4"/>
      <c r="R119" s="4"/>
      <c r="S119" s="4"/>
      <c r="T119" s="4"/>
      <c r="U119" s="4"/>
    </row>
    <row r="120" spans="2:21" customFormat="1" x14ac:dyDescent="0.25">
      <c r="B120" s="55"/>
      <c r="D120" s="4"/>
      <c r="E120" s="38"/>
      <c r="F120" s="276"/>
      <c r="G120" s="271"/>
      <c r="H120" s="277"/>
      <c r="J120" s="55"/>
      <c r="L120" s="4"/>
      <c r="M120" s="4"/>
      <c r="N120" s="4"/>
      <c r="O120" s="4"/>
      <c r="P120" s="4"/>
      <c r="Q120" s="4"/>
      <c r="R120" s="4"/>
      <c r="S120" s="4"/>
      <c r="T120" s="4"/>
      <c r="U120" s="4"/>
    </row>
    <row r="121" spans="2:21" customFormat="1" x14ac:dyDescent="0.25">
      <c r="B121" s="55"/>
      <c r="D121" s="4"/>
      <c r="E121" s="38"/>
      <c r="F121" s="276"/>
      <c r="G121" s="271"/>
      <c r="H121" s="277"/>
      <c r="J121" s="55"/>
      <c r="L121" s="4"/>
      <c r="M121" s="4"/>
      <c r="N121" s="4"/>
      <c r="O121" s="4"/>
      <c r="P121" s="4"/>
      <c r="Q121" s="4"/>
      <c r="R121" s="4"/>
      <c r="S121" s="4"/>
      <c r="T121" s="4"/>
      <c r="U121" s="4"/>
    </row>
    <row r="122" spans="2:21" customFormat="1" x14ac:dyDescent="0.25">
      <c r="B122" s="55"/>
      <c r="D122" s="4"/>
      <c r="E122" s="38"/>
      <c r="F122" s="278"/>
      <c r="G122" s="299"/>
      <c r="H122" s="279"/>
      <c r="J122" s="55"/>
      <c r="L122" s="4"/>
      <c r="M122" s="4"/>
      <c r="N122" s="4"/>
      <c r="O122" s="4"/>
      <c r="P122" s="4"/>
      <c r="Q122" s="4"/>
      <c r="R122" s="4"/>
      <c r="S122" s="4"/>
      <c r="T122" s="4"/>
      <c r="U122" s="4"/>
    </row>
    <row r="123" spans="2:21" customFormat="1" x14ac:dyDescent="0.25">
      <c r="B123" s="55"/>
      <c r="D123" s="4"/>
      <c r="E123" s="4"/>
      <c r="F123" s="4"/>
      <c r="G123" s="4"/>
      <c r="H123" s="4"/>
      <c r="J123" s="55"/>
      <c r="L123" s="4"/>
      <c r="M123" s="4"/>
      <c r="N123" s="4"/>
      <c r="O123" s="4"/>
      <c r="P123" s="4"/>
      <c r="Q123" s="4"/>
      <c r="R123" s="4"/>
      <c r="S123" s="4"/>
      <c r="T123" s="4"/>
      <c r="U123" s="4"/>
    </row>
    <row r="124" spans="2:21" ht="18" x14ac:dyDescent="0.25">
      <c r="B124" s="55"/>
      <c r="D124" s="61" t="s">
        <v>120</v>
      </c>
      <c r="E124" s="61"/>
      <c r="F124" s="63"/>
      <c r="G124" s="63"/>
      <c r="H124" s="62" t="str">
        <f>$D$3</f>
        <v>Bois énergie</v>
      </c>
      <c r="J124" s="55"/>
    </row>
    <row r="125" spans="2:21" ht="38.25" x14ac:dyDescent="0.25">
      <c r="B125" s="55"/>
      <c r="F125" s="134"/>
      <c r="G125" s="85" t="s">
        <v>232</v>
      </c>
      <c r="H125" s="82" t="s">
        <v>233</v>
      </c>
      <c r="J125" s="55"/>
    </row>
    <row r="126" spans="2:21" x14ac:dyDescent="0.25">
      <c r="B126" s="55"/>
      <c r="E126" s="38"/>
      <c r="F126" s="81">
        <v>2016</v>
      </c>
      <c r="G126" s="84">
        <f>H72/G41</f>
        <v>1.2166729785512772E-2</v>
      </c>
      <c r="H126" s="84">
        <f>SUMIFS('Comp2016-2017 (3)'!$M$5:$M$300,'Comp2016-2017 (3)'!$R$5:$R$300,F126)/SUMIFS('Comp2016-2017 (3)'!$I$5:$I$300,'Comp2016-2017 (3)'!$R$5:$R$300,F126)</f>
        <v>0.1473827073012014</v>
      </c>
      <c r="J126" s="55"/>
      <c r="L126"/>
    </row>
    <row r="127" spans="2:21" x14ac:dyDescent="0.25">
      <c r="B127" s="55"/>
      <c r="E127" s="38"/>
      <c r="F127" s="81">
        <v>2017</v>
      </c>
      <c r="G127" s="84">
        <f>H73/G42</f>
        <v>1.1715611655461023E-2</v>
      </c>
      <c r="H127" s="84">
        <f>SUMIFS('Comp2016-2017 (3)'!$M$5:$M$300,'Comp2016-2017 (3)'!$R$5:$R$300,F127)/SUMIFS('Comp2016-2017 (3)'!$I$5:$I$300,'Comp2016-2017 (3)'!$R$5:$R$300,F127)</f>
        <v>0.14626722716876214</v>
      </c>
      <c r="J127" s="55"/>
      <c r="L127"/>
    </row>
    <row r="128" spans="2:21" x14ac:dyDescent="0.25">
      <c r="B128" s="55"/>
      <c r="F128" s="81">
        <v>2018</v>
      </c>
      <c r="G128" s="84">
        <f>H74/G43</f>
        <v>1.1230671678325798E-2</v>
      </c>
      <c r="H128" s="84">
        <f>SUMIFS('Comp2016-2017 (3)'!$M$5:$M$300,'Comp2016-2017 (3)'!$R$5:$R$300,F128)/SUMIFS('Comp2016-2017 (3)'!$I$5:$I$300,'Comp2016-2017 (3)'!$R$5:$R$300,F128)</f>
        <v>0.14546771910256137</v>
      </c>
      <c r="J128" s="55"/>
      <c r="L128"/>
    </row>
    <row r="129" spans="2:19" ht="15" customHeight="1" x14ac:dyDescent="0.25">
      <c r="B129" s="55"/>
      <c r="F129" s="81">
        <v>2019</v>
      </c>
      <c r="G129" s="84">
        <f>H75/G44</f>
        <v>7.7943304485837694E-3</v>
      </c>
      <c r="H129" s="84">
        <f>SUMIFS('Comp2016-2017 (3)'!$M$5:$M$300,'Comp2016-2017 (3)'!$R$5:$R$300,F129)/SUMIFS('Comp2016-2017 (3)'!$I$5:$I$300,'Comp2016-2017 (3)'!$R$5:$R$300,F129)</f>
        <v>0.1412487976435616</v>
      </c>
      <c r="J129" s="55"/>
    </row>
    <row r="130" spans="2:19" x14ac:dyDescent="0.25">
      <c r="B130" s="55"/>
      <c r="F130" s="81">
        <v>2020</v>
      </c>
      <c r="G130" s="84">
        <f>H76/G45</f>
        <v>5.7464115607839322E-3</v>
      </c>
      <c r="H130" s="84">
        <f>SUMIFS('Comp2016-2017 (3)'!$M$5:$M$300,'Comp2016-2017 (3)'!$R$5:$R$300,F130)/SUMIFS('Comp2016-2017 (3)'!$I$5:$I$300,'Comp2016-2017 (3)'!$R$5:$R$300,F130)</f>
        <v>0.12202237133201636</v>
      </c>
      <c r="J130" s="55"/>
    </row>
    <row r="131" spans="2:19" x14ac:dyDescent="0.25">
      <c r="B131" s="55"/>
      <c r="J131" s="55"/>
    </row>
    <row r="132" spans="2:19" x14ac:dyDescent="0.25">
      <c r="B132" s="55"/>
      <c r="F132" s="274" t="s">
        <v>238</v>
      </c>
      <c r="G132" s="298"/>
      <c r="H132" s="275"/>
      <c r="J132" s="55"/>
    </row>
    <row r="133" spans="2:19" x14ac:dyDescent="0.25">
      <c r="B133" s="55"/>
      <c r="F133" s="276"/>
      <c r="G133" s="271"/>
      <c r="H133" s="277"/>
      <c r="J133" s="55"/>
    </row>
    <row r="134" spans="2:19" x14ac:dyDescent="0.25">
      <c r="B134" s="55"/>
      <c r="F134" s="276"/>
      <c r="G134" s="271"/>
      <c r="H134" s="277"/>
      <c r="J134" s="55"/>
    </row>
    <row r="135" spans="2:19" x14ac:dyDescent="0.25">
      <c r="B135" s="55"/>
      <c r="F135" s="276"/>
      <c r="G135" s="271"/>
      <c r="H135" s="277"/>
      <c r="J135" s="55"/>
    </row>
    <row r="136" spans="2:19" x14ac:dyDescent="0.25">
      <c r="B136" s="55"/>
      <c r="F136" s="278"/>
      <c r="G136" s="299"/>
      <c r="H136" s="279"/>
      <c r="J136" s="55"/>
    </row>
    <row r="137" spans="2:19" x14ac:dyDescent="0.25">
      <c r="B137"/>
      <c r="J137"/>
      <c r="N137" s="17"/>
    </row>
    <row r="138" spans="2:19" ht="20.25" x14ac:dyDescent="0.25">
      <c r="B138" s="69"/>
      <c r="D138" s="64" t="s">
        <v>121</v>
      </c>
      <c r="E138" s="64"/>
      <c r="F138" s="64"/>
      <c r="G138" s="64"/>
      <c r="H138" s="65" t="str">
        <f>$D$3</f>
        <v>Bois énergie</v>
      </c>
      <c r="J138" s="69"/>
      <c r="M138" s="176"/>
      <c r="N138" s="177">
        <f>SUM(N144:N197)</f>
        <v>621256.04822128383</v>
      </c>
      <c r="O138" s="176"/>
      <c r="P138" s="176"/>
      <c r="Q138" s="177">
        <f>SUM(Q144:Q197)</f>
        <v>214837.93348593501</v>
      </c>
      <c r="R138" s="176"/>
      <c r="S138" s="176"/>
    </row>
    <row r="139" spans="2:19" x14ac:dyDescent="0.25">
      <c r="B139" s="69"/>
      <c r="J139" s="69"/>
      <c r="M139" s="176"/>
      <c r="N139" s="176"/>
      <c r="O139" s="176"/>
      <c r="P139" s="176"/>
      <c r="Q139" s="176"/>
      <c r="R139" s="176"/>
      <c r="S139" s="176"/>
    </row>
    <row r="140" spans="2:19" x14ac:dyDescent="0.25">
      <c r="B140" s="69"/>
      <c r="D140" s="56" t="str">
        <f>IF(N138=0,"Ce groupe n'a pas de consommation intermédiaire provenant de la filière bois","")</f>
        <v/>
      </c>
      <c r="J140" s="69"/>
      <c r="M140" s="176"/>
      <c r="N140" s="270" t="s">
        <v>77</v>
      </c>
      <c r="O140" s="270"/>
      <c r="P140" s="270"/>
      <c r="Q140" s="176"/>
      <c r="R140" s="176"/>
      <c r="S140" s="176"/>
    </row>
    <row r="141" spans="2:19" x14ac:dyDescent="0.25">
      <c r="B141" s="69"/>
      <c r="D141" s="56"/>
      <c r="E141"/>
      <c r="J141" s="69"/>
      <c r="M141" s="176" t="s">
        <v>74</v>
      </c>
      <c r="N141" s="176" t="s">
        <v>77</v>
      </c>
      <c r="O141" s="176" t="s">
        <v>168</v>
      </c>
      <c r="P141" s="176" t="s">
        <v>52</v>
      </c>
      <c r="Q141" s="176" t="s">
        <v>76</v>
      </c>
      <c r="R141" s="176" t="s">
        <v>168</v>
      </c>
      <c r="S141" s="176" t="s">
        <v>52</v>
      </c>
    </row>
    <row r="142" spans="2:19" x14ac:dyDescent="0.25">
      <c r="B142" s="69"/>
      <c r="J142" s="69"/>
      <c r="M142" s="176" t="s">
        <v>54</v>
      </c>
      <c r="N142" s="176"/>
      <c r="O142" s="176"/>
      <c r="P142" s="176"/>
      <c r="Q142" s="176"/>
      <c r="R142" s="177">
        <f>'Groupe de branches'!H86</f>
        <v>4354967.5986428587</v>
      </c>
      <c r="S142" s="177">
        <f>'Groupe de branches'!J86</f>
        <v>156724.18214747982</v>
      </c>
    </row>
    <row r="143" spans="2:19" x14ac:dyDescent="0.25">
      <c r="B143" s="69"/>
      <c r="D143"/>
      <c r="E143"/>
      <c r="F143"/>
      <c r="J143" s="69"/>
      <c r="M143" s="176" t="s">
        <v>53</v>
      </c>
      <c r="N143" s="176"/>
      <c r="O143" s="176"/>
      <c r="P143" s="176"/>
      <c r="Q143" s="176"/>
      <c r="R143" s="177">
        <f>'Groupe de branches'!D12</f>
        <v>26463.573904000012</v>
      </c>
      <c r="S143" s="176"/>
    </row>
    <row r="144" spans="2:19" x14ac:dyDescent="0.25">
      <c r="B144" s="69"/>
      <c r="D144"/>
      <c r="E144"/>
      <c r="F144"/>
      <c r="J144" s="69"/>
      <c r="M144" s="176" t="str">
        <f>'Branche - valeurs'!C27</f>
        <v>01 - Plants de pépinière</v>
      </c>
      <c r="N144" s="177">
        <f>'Groupe de branches'!D27</f>
        <v>0</v>
      </c>
      <c r="O144" s="177">
        <f t="shared" ref="O144" si="0">N144-P144</f>
        <v>0</v>
      </c>
      <c r="P144" s="177">
        <f>'Groupe de branches'!F27</f>
        <v>0</v>
      </c>
      <c r="Q144" s="177">
        <f>'Groupe de branches'!H27</f>
        <v>0</v>
      </c>
      <c r="R144" s="177">
        <f t="shared" ref="R144" si="1">Q144-S144</f>
        <v>0</v>
      </c>
      <c r="S144" s="177">
        <f>'Groupe de branches'!J27</f>
        <v>0</v>
      </c>
    </row>
    <row r="145" spans="2:19" x14ac:dyDescent="0.25">
      <c r="B145" s="69"/>
      <c r="D145"/>
      <c r="E145"/>
      <c r="F145"/>
      <c r="J145" s="69"/>
      <c r="M145" s="176" t="str">
        <f>'Branche - valeurs'!C28</f>
        <v>02 - Grumes et billons destinés au sciage, placage ou déroulage</v>
      </c>
      <c r="N145" s="177">
        <f>'Groupe de branches'!D28</f>
        <v>0</v>
      </c>
      <c r="O145" s="177">
        <f t="shared" ref="O145:O197" si="2">N145-P145</f>
        <v>0</v>
      </c>
      <c r="P145" s="177">
        <f>'Groupe de branches'!F28</f>
        <v>0</v>
      </c>
      <c r="Q145" s="177">
        <f>'Groupe de branches'!H28</f>
        <v>0</v>
      </c>
      <c r="R145" s="177">
        <f t="shared" ref="R145:R197" si="3">Q145-S145</f>
        <v>0</v>
      </c>
      <c r="S145" s="177">
        <f>'Groupe de branches'!J28</f>
        <v>0</v>
      </c>
    </row>
    <row r="146" spans="2:19" x14ac:dyDescent="0.25">
      <c r="B146" s="69"/>
      <c r="D146"/>
      <c r="E146"/>
      <c r="F146"/>
      <c r="J146" s="69"/>
      <c r="M146" s="176" t="str">
        <f>'Branche - valeurs'!C29</f>
        <v>03 - Bois destinés à l'industrie</v>
      </c>
      <c r="N146" s="177">
        <f>'Groupe de branches'!D29</f>
        <v>0</v>
      </c>
      <c r="O146" s="177">
        <f t="shared" si="2"/>
        <v>0</v>
      </c>
      <c r="P146" s="177">
        <f>'Groupe de branches'!F29</f>
        <v>0</v>
      </c>
      <c r="Q146" s="177">
        <f>'Groupe de branches'!H29</f>
        <v>0</v>
      </c>
      <c r="R146" s="177">
        <f t="shared" si="3"/>
        <v>0</v>
      </c>
      <c r="S146" s="177">
        <f>'Groupe de branches'!J29</f>
        <v>0</v>
      </c>
    </row>
    <row r="147" spans="2:19" x14ac:dyDescent="0.25">
      <c r="B147" s="69"/>
      <c r="D147"/>
      <c r="E147"/>
      <c r="F147"/>
      <c r="J147" s="69"/>
      <c r="M147" s="176" t="str">
        <f>'Branche - valeurs'!C30</f>
        <v>04 - Bois destinés à l’énergie</v>
      </c>
      <c r="N147" s="177">
        <f>'Groupe de branches'!D30</f>
        <v>71482.386626321997</v>
      </c>
      <c r="O147" s="177">
        <f t="shared" si="2"/>
        <v>71482.386626321997</v>
      </c>
      <c r="P147" s="177">
        <f>'Groupe de branches'!F30</f>
        <v>0</v>
      </c>
      <c r="Q147" s="177">
        <f>'Groupe de branches'!H30</f>
        <v>0</v>
      </c>
      <c r="R147" s="177">
        <f t="shared" si="3"/>
        <v>0</v>
      </c>
      <c r="S147" s="177">
        <f>'Groupe de branches'!J30</f>
        <v>0</v>
      </c>
    </row>
    <row r="148" spans="2:19" x14ac:dyDescent="0.25">
      <c r="B148" s="69"/>
      <c r="D148"/>
      <c r="E148"/>
      <c r="F148"/>
      <c r="G148" s="57"/>
      <c r="J148" s="69"/>
      <c r="M148" s="176" t="str">
        <f>'Branche - valeurs'!C31</f>
        <v>05 - Travaux d'exploitation de bois et de sylviculture</v>
      </c>
      <c r="N148" s="177">
        <f>'Groupe de branches'!D31</f>
        <v>87745.592970177706</v>
      </c>
      <c r="O148" s="177">
        <f t="shared" si="2"/>
        <v>87745.592970177706</v>
      </c>
      <c r="P148" s="177">
        <f>'Groupe de branches'!F31</f>
        <v>0</v>
      </c>
      <c r="Q148" s="177">
        <f>'Groupe de branches'!H31</f>
        <v>0</v>
      </c>
      <c r="R148" s="177">
        <f t="shared" si="3"/>
        <v>0</v>
      </c>
      <c r="S148" s="177">
        <f>'Groupe de branches'!J31</f>
        <v>0</v>
      </c>
    </row>
    <row r="149" spans="2:19" x14ac:dyDescent="0.25">
      <c r="B149" s="69"/>
      <c r="D149"/>
      <c r="E149"/>
      <c r="F149"/>
      <c r="J149" s="69"/>
      <c r="M149" s="176" t="str">
        <f>'Branche - valeurs'!C32</f>
        <v>06 - Services des coopératives forestières</v>
      </c>
      <c r="N149" s="177">
        <f>'Groupe de branches'!D32</f>
        <v>20413.699929766401</v>
      </c>
      <c r="O149" s="177">
        <f t="shared" si="2"/>
        <v>20413.699929766401</v>
      </c>
      <c r="P149" s="177">
        <f>'Groupe de branches'!F32</f>
        <v>0</v>
      </c>
      <c r="Q149" s="177">
        <f>'Groupe de branches'!H32</f>
        <v>0</v>
      </c>
      <c r="R149" s="177">
        <f t="shared" si="3"/>
        <v>0</v>
      </c>
      <c r="S149" s="177">
        <f>'Groupe de branches'!J32</f>
        <v>0</v>
      </c>
    </row>
    <row r="150" spans="2:19" x14ac:dyDescent="0.25">
      <c r="B150" s="69"/>
      <c r="D150"/>
      <c r="E150"/>
      <c r="F150"/>
      <c r="J150" s="69"/>
      <c r="M150" s="176" t="str">
        <f>'Branche - valeurs'!C33</f>
        <v>07 - Textiles à base de bois</v>
      </c>
      <c r="N150" s="177">
        <f>'Groupe de branches'!D33</f>
        <v>0</v>
      </c>
      <c r="O150" s="177">
        <f t="shared" si="2"/>
        <v>0</v>
      </c>
      <c r="P150" s="177">
        <f>'Groupe de branches'!F33</f>
        <v>0</v>
      </c>
      <c r="Q150" s="177">
        <f>'Groupe de branches'!H33</f>
        <v>0</v>
      </c>
      <c r="R150" s="177">
        <f t="shared" si="3"/>
        <v>0</v>
      </c>
      <c r="S150" s="177">
        <f>'Groupe de branches'!J33</f>
        <v>0</v>
      </c>
    </row>
    <row r="151" spans="2:19" x14ac:dyDescent="0.25">
      <c r="B151" s="69"/>
      <c r="D151"/>
      <c r="E151"/>
      <c r="F151"/>
      <c r="J151" s="69"/>
      <c r="M151" s="176" t="str">
        <f>'Branche - valeurs'!C34</f>
        <v>08 - Sciages bruts de Chêne</v>
      </c>
      <c r="N151" s="177">
        <f>'Groupe de branches'!D34</f>
        <v>0</v>
      </c>
      <c r="O151" s="177">
        <f t="shared" si="2"/>
        <v>0</v>
      </c>
      <c r="P151" s="177">
        <f>'Groupe de branches'!F34</f>
        <v>0</v>
      </c>
      <c r="Q151" s="177">
        <f>'Groupe de branches'!H34</f>
        <v>0</v>
      </c>
      <c r="R151" s="177">
        <f t="shared" si="3"/>
        <v>0</v>
      </c>
      <c r="S151" s="177">
        <f>'Groupe de branches'!J34</f>
        <v>0</v>
      </c>
    </row>
    <row r="152" spans="2:19" x14ac:dyDescent="0.25">
      <c r="B152" s="69"/>
      <c r="D152"/>
      <c r="E152"/>
      <c r="F152"/>
      <c r="J152" s="69"/>
      <c r="M152" s="176" t="str">
        <f>'Branche - valeurs'!C35</f>
        <v>09 - Sciages bruts de Hêtre</v>
      </c>
      <c r="N152" s="177">
        <f>'Groupe de branches'!D35</f>
        <v>0</v>
      </c>
      <c r="O152" s="177">
        <f t="shared" si="2"/>
        <v>0</v>
      </c>
      <c r="P152" s="177">
        <f>'Groupe de branches'!F35</f>
        <v>0</v>
      </c>
      <c r="Q152" s="177">
        <f>'Groupe de branches'!H35</f>
        <v>0</v>
      </c>
      <c r="R152" s="177">
        <f t="shared" si="3"/>
        <v>0</v>
      </c>
      <c r="S152" s="177">
        <f>'Groupe de branches'!J35</f>
        <v>0</v>
      </c>
    </row>
    <row r="153" spans="2:19" x14ac:dyDescent="0.25">
      <c r="B153" s="69"/>
      <c r="D153"/>
      <c r="E153"/>
      <c r="F153"/>
      <c r="J153" s="69"/>
      <c r="M153" s="176" t="str">
        <f>'Branche - valeurs'!C36</f>
        <v>10 - Sciages bruts d'autres feuillus tempérés</v>
      </c>
      <c r="N153" s="177">
        <f>'Groupe de branches'!D36</f>
        <v>0</v>
      </c>
      <c r="O153" s="177">
        <f t="shared" si="2"/>
        <v>0</v>
      </c>
      <c r="P153" s="177">
        <f>'Groupe de branches'!F36</f>
        <v>0</v>
      </c>
      <c r="Q153" s="177">
        <f>'Groupe de branches'!H36</f>
        <v>0</v>
      </c>
      <c r="R153" s="177">
        <f t="shared" si="3"/>
        <v>0</v>
      </c>
      <c r="S153" s="177">
        <f>'Groupe de branches'!J36</f>
        <v>0</v>
      </c>
    </row>
    <row r="154" spans="2:19" x14ac:dyDescent="0.25">
      <c r="B154" s="69"/>
      <c r="D154"/>
      <c r="E154"/>
      <c r="F154"/>
      <c r="J154" s="69"/>
      <c r="M154" s="176" t="str">
        <f>'Branche - valeurs'!C37</f>
        <v>11 - Sciages de feuillus tropicaux</v>
      </c>
      <c r="N154" s="177">
        <f>'Groupe de branches'!D37</f>
        <v>0</v>
      </c>
      <c r="O154" s="177">
        <f t="shared" si="2"/>
        <v>0</v>
      </c>
      <c r="P154" s="177">
        <f>'Groupe de branches'!F37</f>
        <v>0</v>
      </c>
      <c r="Q154" s="177">
        <f>'Groupe de branches'!H37</f>
        <v>0</v>
      </c>
      <c r="R154" s="177">
        <f t="shared" si="3"/>
        <v>0</v>
      </c>
      <c r="S154" s="177">
        <f>'Groupe de branches'!J37</f>
        <v>0</v>
      </c>
    </row>
    <row r="155" spans="2:19" x14ac:dyDescent="0.25">
      <c r="B155" s="69"/>
      <c r="D155"/>
      <c r="E155"/>
      <c r="F155"/>
      <c r="J155" s="69"/>
      <c r="M155" s="176" t="str">
        <f>'Branche - valeurs'!C38</f>
        <v>12 - Sciages bruts de sapin-épicéa</v>
      </c>
      <c r="N155" s="177">
        <f>'Groupe de branches'!D38</f>
        <v>0</v>
      </c>
      <c r="O155" s="177">
        <f t="shared" si="2"/>
        <v>0</v>
      </c>
      <c r="P155" s="177">
        <f>'Groupe de branches'!F38</f>
        <v>0</v>
      </c>
      <c r="Q155" s="177">
        <f>'Groupe de branches'!H38</f>
        <v>0</v>
      </c>
      <c r="R155" s="177">
        <f t="shared" si="3"/>
        <v>0</v>
      </c>
      <c r="S155" s="177">
        <f>'Groupe de branches'!J38</f>
        <v>0</v>
      </c>
    </row>
    <row r="156" spans="2:19" x14ac:dyDescent="0.25">
      <c r="B156" s="69"/>
      <c r="D156"/>
      <c r="E156"/>
      <c r="F156"/>
      <c r="J156" s="69"/>
      <c r="M156" s="176" t="str">
        <f>'Branche - valeurs'!C39</f>
        <v>13 - Sciages bruts de Douglas</v>
      </c>
      <c r="N156" s="177">
        <f>'Groupe de branches'!D39</f>
        <v>0</v>
      </c>
      <c r="O156" s="177">
        <f t="shared" si="2"/>
        <v>0</v>
      </c>
      <c r="P156" s="177">
        <f>'Groupe de branches'!F39</f>
        <v>0</v>
      </c>
      <c r="Q156" s="177">
        <f>'Groupe de branches'!H39</f>
        <v>0</v>
      </c>
      <c r="R156" s="177">
        <f t="shared" si="3"/>
        <v>0</v>
      </c>
      <c r="S156" s="177">
        <f>'Groupe de branches'!J39</f>
        <v>0</v>
      </c>
    </row>
    <row r="157" spans="2:19" x14ac:dyDescent="0.25">
      <c r="B157" s="69"/>
      <c r="D157"/>
      <c r="E157"/>
      <c r="F157"/>
      <c r="J157" s="69"/>
      <c r="M157" s="176" t="str">
        <f>'Branche - valeurs'!C40</f>
        <v>14 - Sciages bruts d'autres résineux</v>
      </c>
      <c r="N157" s="177">
        <f>'Groupe de branches'!D40</f>
        <v>0</v>
      </c>
      <c r="O157" s="177">
        <f t="shared" si="2"/>
        <v>0</v>
      </c>
      <c r="P157" s="177">
        <f>'Groupe de branches'!F40</f>
        <v>0</v>
      </c>
      <c r="Q157" s="177">
        <f>'Groupe de branches'!H40</f>
        <v>0</v>
      </c>
      <c r="R157" s="177">
        <f t="shared" si="3"/>
        <v>0</v>
      </c>
      <c r="S157" s="177">
        <f>'Groupe de branches'!J40</f>
        <v>0</v>
      </c>
    </row>
    <row r="158" spans="2:19" x14ac:dyDescent="0.25">
      <c r="B158" s="69"/>
      <c r="D158"/>
      <c r="E158"/>
      <c r="F158"/>
      <c r="J158" s="69"/>
      <c r="M158" s="176" t="str">
        <f>'Branche - valeurs'!C41</f>
        <v>15 - Sciages bruts de Pin maritime</v>
      </c>
      <c r="N158" s="177">
        <f>'Groupe de branches'!D41</f>
        <v>0</v>
      </c>
      <c r="O158" s="177">
        <f t="shared" si="2"/>
        <v>0</v>
      </c>
      <c r="P158" s="177">
        <f>'Groupe de branches'!F41</f>
        <v>0</v>
      </c>
      <c r="Q158" s="177">
        <f>'Groupe de branches'!H41</f>
        <v>0</v>
      </c>
      <c r="R158" s="177">
        <f t="shared" si="3"/>
        <v>0</v>
      </c>
      <c r="S158" s="177">
        <f>'Groupe de branches'!J41</f>
        <v>0</v>
      </c>
    </row>
    <row r="159" spans="2:19" x14ac:dyDescent="0.25">
      <c r="B159" s="69"/>
      <c r="D159"/>
      <c r="E159"/>
      <c r="F159"/>
      <c r="J159" s="69"/>
      <c r="M159" s="176" t="str">
        <f>'Branche - valeurs'!C42</f>
        <v>16 - Merrains</v>
      </c>
      <c r="N159" s="177">
        <f>'Groupe de branches'!D42</f>
        <v>0</v>
      </c>
      <c r="O159" s="177">
        <f t="shared" si="2"/>
        <v>0</v>
      </c>
      <c r="P159" s="177">
        <f>'Groupe de branches'!F42</f>
        <v>0</v>
      </c>
      <c r="Q159" s="177">
        <f>'Groupe de branches'!H42</f>
        <v>0</v>
      </c>
      <c r="R159" s="177">
        <f t="shared" si="3"/>
        <v>0</v>
      </c>
      <c r="S159" s="177">
        <f>'Groupe de branches'!J42</f>
        <v>0</v>
      </c>
    </row>
    <row r="160" spans="2:19" x14ac:dyDescent="0.25">
      <c r="B160" s="69"/>
      <c r="D160"/>
      <c r="E160"/>
      <c r="F160"/>
      <c r="J160" s="69"/>
      <c r="M160" s="176" t="str">
        <f>'Branche - valeurs'!C43</f>
        <v>17 - Autres types de sciages</v>
      </c>
      <c r="N160" s="177">
        <f>'Groupe de branches'!D43</f>
        <v>0</v>
      </c>
      <c r="O160" s="177">
        <f t="shared" si="2"/>
        <v>0</v>
      </c>
      <c r="P160" s="177">
        <f>'Groupe de branches'!F43</f>
        <v>0</v>
      </c>
      <c r="Q160" s="177">
        <f>'Groupe de branches'!H43</f>
        <v>0</v>
      </c>
      <c r="R160" s="177">
        <f t="shared" si="3"/>
        <v>0</v>
      </c>
      <c r="S160" s="177">
        <f>'Groupe de branches'!J43</f>
        <v>0</v>
      </c>
    </row>
    <row r="161" spans="2:19" x14ac:dyDescent="0.25">
      <c r="B161" s="69"/>
      <c r="D161"/>
      <c r="E161"/>
      <c r="F161"/>
      <c r="J161" s="69"/>
      <c r="M161" s="176" t="str">
        <f>'Branche - valeurs'!C44</f>
        <v>18 - Produits connexes du sciage destinés à la trituration</v>
      </c>
      <c r="N161" s="177">
        <f>'Groupe de branches'!D44</f>
        <v>0</v>
      </c>
      <c r="O161" s="177">
        <f t="shared" si="2"/>
        <v>0</v>
      </c>
      <c r="P161" s="177">
        <f>'Groupe de branches'!F44</f>
        <v>0</v>
      </c>
      <c r="Q161" s="177">
        <f>'Groupe de branches'!H44</f>
        <v>0</v>
      </c>
      <c r="R161" s="177">
        <f t="shared" si="3"/>
        <v>0</v>
      </c>
      <c r="S161" s="177">
        <f>'Groupe de branches'!J44</f>
        <v>0</v>
      </c>
    </row>
    <row r="162" spans="2:19" x14ac:dyDescent="0.25">
      <c r="B162" s="69"/>
      <c r="D162"/>
      <c r="E162"/>
      <c r="F162"/>
      <c r="J162" s="69"/>
      <c r="M162" s="176" t="str">
        <f>'Branche - valeurs'!C45</f>
        <v>19 - Produits connexes du sciage non destinés à la trituration</v>
      </c>
      <c r="N162" s="177">
        <f>'Groupe de branches'!D45</f>
        <v>167458.57117715749</v>
      </c>
      <c r="O162" s="177">
        <f t="shared" si="2"/>
        <v>125073.4385961637</v>
      </c>
      <c r="P162" s="177">
        <f>'Groupe de branches'!F45</f>
        <v>42385.132580993784</v>
      </c>
      <c r="Q162" s="177">
        <f>'Groupe de branches'!H45</f>
        <v>0</v>
      </c>
      <c r="R162" s="177">
        <f t="shared" si="3"/>
        <v>0</v>
      </c>
      <c r="S162" s="177">
        <f>'Groupe de branches'!J45</f>
        <v>0</v>
      </c>
    </row>
    <row r="163" spans="2:19" x14ac:dyDescent="0.25">
      <c r="B163" s="69"/>
      <c r="D163"/>
      <c r="E163"/>
      <c r="F163"/>
      <c r="J163" s="69"/>
      <c r="M163" s="176" t="str">
        <f>'Branche - valeurs'!C46</f>
        <v>20 - Produits rabotés</v>
      </c>
      <c r="N163" s="177">
        <f>'Groupe de branches'!D46</f>
        <v>0</v>
      </c>
      <c r="O163" s="177">
        <f t="shared" si="2"/>
        <v>0</v>
      </c>
      <c r="P163" s="177">
        <f>'Groupe de branches'!F46</f>
        <v>0</v>
      </c>
      <c r="Q163" s="177">
        <f>'Groupe de branches'!H46</f>
        <v>0</v>
      </c>
      <c r="R163" s="177">
        <f t="shared" si="3"/>
        <v>0</v>
      </c>
      <c r="S163" s="177">
        <f>'Groupe de branches'!J46</f>
        <v>0</v>
      </c>
    </row>
    <row r="164" spans="2:19" x14ac:dyDescent="0.25">
      <c r="B164" s="69"/>
      <c r="D164"/>
      <c r="E164"/>
      <c r="F164"/>
      <c r="J164" s="69"/>
      <c r="M164" s="176" t="str">
        <f>'Branche - valeurs'!C47</f>
        <v>20b - Produits collés</v>
      </c>
      <c r="N164" s="177">
        <f>'Groupe de branches'!D47</f>
        <v>0</v>
      </c>
      <c r="O164" s="177">
        <f t="shared" si="2"/>
        <v>0</v>
      </c>
      <c r="P164" s="177">
        <f>'Groupe de branches'!F47</f>
        <v>0</v>
      </c>
      <c r="Q164" s="177">
        <f>'Groupe de branches'!H47</f>
        <v>0</v>
      </c>
      <c r="R164" s="177">
        <f t="shared" si="3"/>
        <v>0</v>
      </c>
      <c r="S164" s="177">
        <f>'Groupe de branches'!J47</f>
        <v>0</v>
      </c>
    </row>
    <row r="165" spans="2:19" x14ac:dyDescent="0.25">
      <c r="B165" s="69"/>
      <c r="D165"/>
      <c r="E165"/>
      <c r="J165" s="69"/>
      <c r="M165" s="176" t="str">
        <f>'Branche - valeurs'!C48</f>
        <v>29 - Produits imprégnés (bruts, sciés ou rabotés)</v>
      </c>
      <c r="N165" s="177">
        <f>'Groupe de branches'!D48</f>
        <v>0</v>
      </c>
      <c r="O165" s="177">
        <f t="shared" si="2"/>
        <v>0</v>
      </c>
      <c r="P165" s="177">
        <f>'Groupe de branches'!F48</f>
        <v>0</v>
      </c>
      <c r="Q165" s="177">
        <f>'Groupe de branches'!H48</f>
        <v>0</v>
      </c>
      <c r="R165" s="177">
        <f t="shared" si="3"/>
        <v>0</v>
      </c>
      <c r="S165" s="177">
        <f>'Groupe de branches'!J48</f>
        <v>0</v>
      </c>
    </row>
    <row r="166" spans="2:19" x14ac:dyDescent="0.25">
      <c r="B166" s="69"/>
      <c r="D166"/>
      <c r="E166"/>
      <c r="J166" s="69"/>
      <c r="M166" s="176" t="str">
        <f>'Branche - valeurs'!C49</f>
        <v>30 - Combustibles industriels à base de bois</v>
      </c>
      <c r="N166" s="177">
        <f>'Groupe de branches'!D49</f>
        <v>214837.93348593501</v>
      </c>
      <c r="O166" s="177">
        <f t="shared" si="2"/>
        <v>177658.7684575193</v>
      </c>
      <c r="P166" s="177">
        <f>'Groupe de branches'!F49</f>
        <v>37179.1650284157</v>
      </c>
      <c r="Q166" s="177">
        <f>'Groupe de branches'!H49</f>
        <v>0</v>
      </c>
      <c r="R166" s="177">
        <f t="shared" si="3"/>
        <v>0</v>
      </c>
      <c r="S166" s="177">
        <f>'Groupe de branches'!J49</f>
        <v>0</v>
      </c>
    </row>
    <row r="167" spans="2:19" x14ac:dyDescent="0.25">
      <c r="B167" s="69"/>
      <c r="D167"/>
      <c r="E167"/>
      <c r="J167" s="69"/>
      <c r="M167" s="176" t="str">
        <f>'Branche - valeurs'!C50</f>
        <v>31 - Placages et panneaux à base de bois</v>
      </c>
      <c r="N167" s="177">
        <f>'Groupe de branches'!D50</f>
        <v>0</v>
      </c>
      <c r="O167" s="177">
        <f t="shared" si="2"/>
        <v>0</v>
      </c>
      <c r="P167" s="177">
        <f>'Groupe de branches'!F50</f>
        <v>0</v>
      </c>
      <c r="Q167" s="177">
        <f>'Groupe de branches'!H50</f>
        <v>0</v>
      </c>
      <c r="R167" s="177">
        <f t="shared" si="3"/>
        <v>0</v>
      </c>
      <c r="S167" s="177">
        <f>'Groupe de branches'!J50</f>
        <v>0</v>
      </c>
    </row>
    <row r="168" spans="2:19" x14ac:dyDescent="0.25">
      <c r="B168" s="69"/>
      <c r="D168"/>
      <c r="E168"/>
      <c r="J168" s="69"/>
      <c r="M168" s="176" t="str">
        <f>'Branche - valeurs'!C51</f>
        <v xml:space="preserve">32 - Produits finis à base de panneaux (plinthes, profilés de menuiserie…) </v>
      </c>
      <c r="N168" s="177">
        <f>'Groupe de branches'!D51</f>
        <v>0</v>
      </c>
      <c r="O168" s="177">
        <f t="shared" si="2"/>
        <v>0</v>
      </c>
      <c r="P168" s="177">
        <f>'Groupe de branches'!F51</f>
        <v>0</v>
      </c>
      <c r="Q168" s="177">
        <f>'Groupe de branches'!H51</f>
        <v>0</v>
      </c>
      <c r="R168" s="177">
        <f t="shared" si="3"/>
        <v>0</v>
      </c>
      <c r="S168" s="177">
        <f>'Groupe de branches'!J51</f>
        <v>0</v>
      </c>
    </row>
    <row r="169" spans="2:19" x14ac:dyDescent="0.25">
      <c r="B169" s="69"/>
      <c r="D169"/>
      <c r="E169"/>
      <c r="J169" s="69"/>
      <c r="M169" s="176" t="str">
        <f>'Branche - valeurs'!C52</f>
        <v>33 - Parquets contrecollés</v>
      </c>
      <c r="N169" s="177">
        <f>'Groupe de branches'!D52</f>
        <v>0</v>
      </c>
      <c r="O169" s="177">
        <f t="shared" si="2"/>
        <v>0</v>
      </c>
      <c r="P169" s="177">
        <f>'Groupe de branches'!F52</f>
        <v>0</v>
      </c>
      <c r="Q169" s="177">
        <f>'Groupe de branches'!H52</f>
        <v>0</v>
      </c>
      <c r="R169" s="177">
        <f t="shared" si="3"/>
        <v>0</v>
      </c>
      <c r="S169" s="177">
        <f>'Groupe de branches'!J52</f>
        <v>0</v>
      </c>
    </row>
    <row r="170" spans="2:19" x14ac:dyDescent="0.25">
      <c r="B170" s="69"/>
      <c r="D170"/>
      <c r="E170"/>
      <c r="J170" s="69"/>
      <c r="M170" s="176" t="str">
        <f>'Branche - valeurs'!C53</f>
        <v>34 - Charpentes</v>
      </c>
      <c r="N170" s="177">
        <f>'Groupe de branches'!D53</f>
        <v>0</v>
      </c>
      <c r="O170" s="177">
        <f t="shared" si="2"/>
        <v>0</v>
      </c>
      <c r="P170" s="177">
        <f>'Groupe de branches'!F53</f>
        <v>0</v>
      </c>
      <c r="Q170" s="177">
        <f>'Groupe de branches'!H53</f>
        <v>0</v>
      </c>
      <c r="R170" s="177">
        <f t="shared" si="3"/>
        <v>0</v>
      </c>
      <c r="S170" s="177">
        <f>'Groupe de branches'!J53</f>
        <v>0</v>
      </c>
    </row>
    <row r="171" spans="2:19" x14ac:dyDescent="0.25">
      <c r="B171" s="69"/>
      <c r="D171"/>
      <c r="E171"/>
      <c r="J171" s="69"/>
      <c r="M171" s="176" t="str">
        <f>'Branche - valeurs'!C54</f>
        <v>35 - Menuiseries extérieures</v>
      </c>
      <c r="N171" s="177">
        <f>'Groupe de branches'!D54</f>
        <v>0</v>
      </c>
      <c r="O171" s="177">
        <f t="shared" si="2"/>
        <v>0</v>
      </c>
      <c r="P171" s="177">
        <f>'Groupe de branches'!F54</f>
        <v>0</v>
      </c>
      <c r="Q171" s="177">
        <f>'Groupe de branches'!H54</f>
        <v>0</v>
      </c>
      <c r="R171" s="177">
        <f t="shared" si="3"/>
        <v>0</v>
      </c>
      <c r="S171" s="177">
        <f>'Groupe de branches'!J54</f>
        <v>0</v>
      </c>
    </row>
    <row r="172" spans="2:19" x14ac:dyDescent="0.25">
      <c r="B172" s="69"/>
      <c r="D172"/>
      <c r="E172"/>
      <c r="J172" s="69"/>
      <c r="M172" s="176" t="str">
        <f>'Branche - valeurs'!C55</f>
        <v>36 - Menuiseries intérieures</v>
      </c>
      <c r="N172" s="177">
        <f>'Groupe de branches'!D55</f>
        <v>0</v>
      </c>
      <c r="O172" s="177">
        <f t="shared" si="2"/>
        <v>0</v>
      </c>
      <c r="P172" s="177">
        <f>'Groupe de branches'!F55</f>
        <v>0</v>
      </c>
      <c r="Q172" s="177">
        <f>'Groupe de branches'!H55</f>
        <v>0</v>
      </c>
      <c r="R172" s="177">
        <f t="shared" si="3"/>
        <v>0</v>
      </c>
      <c r="S172" s="177">
        <f>'Groupe de branches'!J55</f>
        <v>0</v>
      </c>
    </row>
    <row r="173" spans="2:19" x14ac:dyDescent="0.25">
      <c r="B173" s="69"/>
      <c r="D173"/>
      <c r="E173"/>
      <c r="J173" s="69"/>
      <c r="M173" s="176" t="str">
        <f>'Branche - valeurs'!C56</f>
        <v>37 - Emballages en bois (palette, ...)</v>
      </c>
      <c r="N173" s="177">
        <f>'Groupe de branches'!D56</f>
        <v>0</v>
      </c>
      <c r="O173" s="177">
        <f t="shared" si="2"/>
        <v>0</v>
      </c>
      <c r="P173" s="177">
        <f>'Groupe de branches'!F56</f>
        <v>0</v>
      </c>
      <c r="Q173" s="177">
        <f>'Groupe de branches'!H56</f>
        <v>0</v>
      </c>
      <c r="R173" s="177">
        <f t="shared" si="3"/>
        <v>0</v>
      </c>
      <c r="S173" s="177">
        <f>'Groupe de branches'!J56</f>
        <v>0</v>
      </c>
    </row>
    <row r="174" spans="2:19" x14ac:dyDescent="0.25">
      <c r="B174" s="69"/>
      <c r="D174"/>
      <c r="E174"/>
      <c r="J174" s="69"/>
      <c r="M174" s="176" t="str">
        <f>'Branche - valeurs'!C57</f>
        <v>38 - Futailles</v>
      </c>
      <c r="N174" s="177">
        <f>'Groupe de branches'!D57</f>
        <v>0</v>
      </c>
      <c r="O174" s="177">
        <f t="shared" si="2"/>
        <v>0</v>
      </c>
      <c r="P174" s="177">
        <f>'Groupe de branches'!F57</f>
        <v>0</v>
      </c>
      <c r="Q174" s="177">
        <f>'Groupe de branches'!H57</f>
        <v>0</v>
      </c>
      <c r="R174" s="177">
        <f t="shared" si="3"/>
        <v>0</v>
      </c>
      <c r="S174" s="177">
        <f>'Groupe de branches'!J57</f>
        <v>0</v>
      </c>
    </row>
    <row r="175" spans="2:19" x14ac:dyDescent="0.25">
      <c r="B175" s="69"/>
      <c r="D175"/>
      <c r="E175"/>
      <c r="J175" s="69"/>
      <c r="M175" s="176" t="str">
        <f>'Branche - valeurs'!C58</f>
        <v>39 - Coffrages pour le bétonnage, bardeaux en bois</v>
      </c>
      <c r="N175" s="177">
        <f>'Groupe de branches'!D58</f>
        <v>0</v>
      </c>
      <c r="O175" s="177">
        <f t="shared" si="2"/>
        <v>0</v>
      </c>
      <c r="P175" s="177">
        <f>'Groupe de branches'!F58</f>
        <v>0</v>
      </c>
      <c r="Q175" s="177">
        <f>'Groupe de branches'!H58</f>
        <v>0</v>
      </c>
      <c r="R175" s="177">
        <f t="shared" si="3"/>
        <v>0</v>
      </c>
      <c r="S175" s="177">
        <f>'Groupe de branches'!J58</f>
        <v>0</v>
      </c>
    </row>
    <row r="176" spans="2:19" x14ac:dyDescent="0.25">
      <c r="B176" s="69"/>
      <c r="D176"/>
      <c r="E176"/>
      <c r="J176" s="69"/>
      <c r="M176" s="176" t="str">
        <f>'Branche - valeurs'!C59</f>
        <v>40 - Produits en bois pour aménagement extérieur</v>
      </c>
      <c r="N176" s="177">
        <f>'Groupe de branches'!D59</f>
        <v>0</v>
      </c>
      <c r="O176" s="177">
        <f t="shared" si="2"/>
        <v>0</v>
      </c>
      <c r="P176" s="177">
        <f>'Groupe de branches'!F59</f>
        <v>0</v>
      </c>
      <c r="Q176" s="177">
        <f>'Groupe de branches'!H59</f>
        <v>0</v>
      </c>
      <c r="R176" s="177">
        <f t="shared" si="3"/>
        <v>0</v>
      </c>
      <c r="S176" s="177">
        <f>'Groupe de branches'!J59</f>
        <v>0</v>
      </c>
    </row>
    <row r="177" spans="2:19" x14ac:dyDescent="0.25">
      <c r="B177" s="69"/>
      <c r="D177"/>
      <c r="E177"/>
      <c r="J177" s="69"/>
      <c r="M177" s="176" t="str">
        <f>'Branche - valeurs'!C60</f>
        <v>41 - Objets divers en bois</v>
      </c>
      <c r="N177" s="177">
        <f>'Groupe de branches'!D60</f>
        <v>0</v>
      </c>
      <c r="O177" s="177">
        <f t="shared" si="2"/>
        <v>0</v>
      </c>
      <c r="P177" s="177">
        <f>'Groupe de branches'!F60</f>
        <v>0</v>
      </c>
      <c r="Q177" s="177">
        <f>'Groupe de branches'!H60</f>
        <v>0</v>
      </c>
      <c r="R177" s="177">
        <f t="shared" si="3"/>
        <v>0</v>
      </c>
      <c r="S177" s="177">
        <f>'Groupe de branches'!J60</f>
        <v>0</v>
      </c>
    </row>
    <row r="178" spans="2:19" x14ac:dyDescent="0.25">
      <c r="B178" s="69"/>
      <c r="D178"/>
      <c r="E178"/>
      <c r="J178" s="69"/>
      <c r="M178" s="176" t="str">
        <f>'Branche - valeurs'!C61</f>
        <v>42 - Objets en liège</v>
      </c>
      <c r="N178" s="177">
        <f>'Groupe de branches'!D61</f>
        <v>0</v>
      </c>
      <c r="O178" s="177">
        <f t="shared" si="2"/>
        <v>0</v>
      </c>
      <c r="P178" s="177">
        <f>'Groupe de branches'!F61</f>
        <v>0</v>
      </c>
      <c r="Q178" s="177">
        <f>'Groupe de branches'!H61</f>
        <v>0</v>
      </c>
      <c r="R178" s="177">
        <f t="shared" si="3"/>
        <v>0</v>
      </c>
      <c r="S178" s="177">
        <f>'Groupe de branches'!J61</f>
        <v>0</v>
      </c>
    </row>
    <row r="179" spans="2:19" x14ac:dyDescent="0.25">
      <c r="B179" s="69"/>
      <c r="D179"/>
      <c r="E179"/>
      <c r="J179" s="69"/>
      <c r="M179" s="176" t="str">
        <f>'Branche - valeurs'!C62</f>
        <v>43 - Pâte à papier</v>
      </c>
      <c r="N179" s="177">
        <f>'Groupe de branches'!D62</f>
        <v>0</v>
      </c>
      <c r="O179" s="177">
        <f t="shared" si="2"/>
        <v>0</v>
      </c>
      <c r="P179" s="177">
        <f>'Groupe de branches'!F62</f>
        <v>0</v>
      </c>
      <c r="Q179" s="177">
        <f>'Groupe de branches'!H62</f>
        <v>0</v>
      </c>
      <c r="R179" s="177">
        <f t="shared" si="3"/>
        <v>0</v>
      </c>
      <c r="S179" s="177">
        <f>'Groupe de branches'!J62</f>
        <v>0</v>
      </c>
    </row>
    <row r="180" spans="2:19" x14ac:dyDescent="0.25">
      <c r="B180" s="69"/>
      <c r="D180"/>
      <c r="E180"/>
      <c r="J180" s="69"/>
      <c r="M180" s="176" t="str">
        <f>'Branche - valeurs'!C63</f>
        <v>44 - Papier et carton</v>
      </c>
      <c r="N180" s="177">
        <f>'Groupe de branches'!D63</f>
        <v>0</v>
      </c>
      <c r="O180" s="177">
        <f t="shared" si="2"/>
        <v>0</v>
      </c>
      <c r="P180" s="177">
        <f>'Groupe de branches'!F63</f>
        <v>0</v>
      </c>
      <c r="Q180" s="177">
        <f>'Groupe de branches'!H63</f>
        <v>0</v>
      </c>
      <c r="R180" s="177">
        <f t="shared" si="3"/>
        <v>0</v>
      </c>
      <c r="S180" s="177">
        <f>'Groupe de branches'!J63</f>
        <v>0</v>
      </c>
    </row>
    <row r="181" spans="2:19" x14ac:dyDescent="0.25">
      <c r="B181" s="69"/>
      <c r="D181"/>
      <c r="E181"/>
      <c r="J181" s="69"/>
      <c r="M181" s="176" t="str">
        <f>'Branche - valeurs'!C64</f>
        <v>45 - Articles en papier ou en carton</v>
      </c>
      <c r="N181" s="177">
        <f>'Groupe de branches'!D64</f>
        <v>0</v>
      </c>
      <c r="O181" s="177">
        <f t="shared" si="2"/>
        <v>0</v>
      </c>
      <c r="P181" s="177">
        <f>'Groupe de branches'!F64</f>
        <v>0</v>
      </c>
      <c r="Q181" s="177">
        <f>'Groupe de branches'!H64</f>
        <v>0</v>
      </c>
      <c r="R181" s="177">
        <f t="shared" si="3"/>
        <v>0</v>
      </c>
      <c r="S181" s="177">
        <f>'Groupe de branches'!J64</f>
        <v>0</v>
      </c>
    </row>
    <row r="182" spans="2:19" x14ac:dyDescent="0.25">
      <c r="B182" s="69"/>
      <c r="D182"/>
      <c r="E182"/>
      <c r="J182" s="69"/>
      <c r="M182" s="176" t="str">
        <f>'Branche - valeurs'!C65</f>
        <v>46 - Produits de la chimie du bois</v>
      </c>
      <c r="N182" s="177">
        <f>'Groupe de branches'!D65</f>
        <v>0</v>
      </c>
      <c r="O182" s="177">
        <f t="shared" si="2"/>
        <v>0</v>
      </c>
      <c r="P182" s="177">
        <f>'Groupe de branches'!F65</f>
        <v>0</v>
      </c>
      <c r="Q182" s="177">
        <f>'Groupe de branches'!H65</f>
        <v>0</v>
      </c>
      <c r="R182" s="177">
        <f t="shared" si="3"/>
        <v>0</v>
      </c>
      <c r="S182" s="177">
        <f>'Groupe de branches'!J65</f>
        <v>0</v>
      </c>
    </row>
    <row r="183" spans="2:19" x14ac:dyDescent="0.25">
      <c r="B183" s="69"/>
      <c r="D183"/>
      <c r="E183"/>
      <c r="J183" s="69"/>
      <c r="M183" s="176" t="str">
        <f>'Branche - valeurs'!C66</f>
        <v>47 - Meubles à base de bois</v>
      </c>
      <c r="N183" s="177">
        <f>'Groupe de branches'!D66</f>
        <v>0</v>
      </c>
      <c r="O183" s="177">
        <f t="shared" si="2"/>
        <v>0</v>
      </c>
      <c r="P183" s="177">
        <f>'Groupe de branches'!F66</f>
        <v>0</v>
      </c>
      <c r="Q183" s="177">
        <f>'Groupe de branches'!H66</f>
        <v>0</v>
      </c>
      <c r="R183" s="177">
        <f t="shared" si="3"/>
        <v>0</v>
      </c>
      <c r="S183" s="177">
        <f>'Groupe de branches'!J66</f>
        <v>0</v>
      </c>
    </row>
    <row r="184" spans="2:19" x14ac:dyDescent="0.25">
      <c r="B184" s="69"/>
      <c r="D184"/>
      <c r="E184"/>
      <c r="J184" s="69"/>
      <c r="M184" s="176" t="str">
        <f>'Branche - valeurs'!C67</f>
        <v>48 - Autres produits manufacturiés (instruments de musique, jeux et jouets…)</v>
      </c>
      <c r="N184" s="177">
        <f>'Groupe de branches'!D67</f>
        <v>0</v>
      </c>
      <c r="O184" s="177">
        <f t="shared" si="2"/>
        <v>0</v>
      </c>
      <c r="P184" s="177">
        <f>'Groupe de branches'!F67</f>
        <v>0</v>
      </c>
      <c r="Q184" s="177">
        <f>'Groupe de branches'!H67</f>
        <v>0</v>
      </c>
      <c r="R184" s="177">
        <f t="shared" si="3"/>
        <v>0</v>
      </c>
      <c r="S184" s="177">
        <f>'Groupe de branches'!J67</f>
        <v>0</v>
      </c>
    </row>
    <row r="185" spans="2:19" x14ac:dyDescent="0.25">
      <c r="B185" s="69"/>
      <c r="D185"/>
      <c r="E185"/>
      <c r="J185" s="69"/>
      <c r="M185" s="176" t="str">
        <f>'Branche - valeurs'!C68</f>
        <v>49 - Electricité et chaleur issues de la combustion de bois</v>
      </c>
      <c r="N185" s="177">
        <f>'Groupe de branches'!D68</f>
        <v>0</v>
      </c>
      <c r="O185" s="177">
        <f t="shared" si="2"/>
        <v>0</v>
      </c>
      <c r="P185" s="177">
        <f>'Groupe de branches'!F68</f>
        <v>0</v>
      </c>
      <c r="Q185" s="177">
        <f>'Groupe de branches'!H68</f>
        <v>214837.93348593501</v>
      </c>
      <c r="R185" s="177">
        <f t="shared" si="3"/>
        <v>177658.7684575193</v>
      </c>
      <c r="S185" s="177">
        <f>'Groupe de branches'!J68</f>
        <v>37179.1650284157</v>
      </c>
    </row>
    <row r="186" spans="2:19" x14ac:dyDescent="0.25">
      <c r="B186" s="69"/>
      <c r="D186"/>
      <c r="E186"/>
      <c r="J186" s="69"/>
      <c r="M186" s="176" t="str">
        <f>'Branche - valeurs'!C69</f>
        <v>50 - Bois recyclés</v>
      </c>
      <c r="N186" s="177">
        <f>'Groupe de branches'!D69</f>
        <v>59317.864031925201</v>
      </c>
      <c r="O186" s="177">
        <f t="shared" si="2"/>
        <v>59317.864031925201</v>
      </c>
      <c r="P186" s="177">
        <f>'Groupe de branches'!F69</f>
        <v>0</v>
      </c>
      <c r="Q186" s="177">
        <f>'Groupe de branches'!H69</f>
        <v>0</v>
      </c>
      <c r="R186" s="177">
        <f t="shared" si="3"/>
        <v>0</v>
      </c>
      <c r="S186" s="177">
        <f>'Groupe de branches'!J69</f>
        <v>0</v>
      </c>
    </row>
    <row r="187" spans="2:19" x14ac:dyDescent="0.25">
      <c r="B187" s="69"/>
      <c r="D187"/>
      <c r="E187"/>
      <c r="J187" s="69"/>
      <c r="M187" s="176" t="str">
        <f>'Branche - valeurs'!C70</f>
        <v>51 - Promotion immobilière de bâtiments et ouvrages en bois</v>
      </c>
      <c r="N187" s="177">
        <f>'Groupe de branches'!D70</f>
        <v>0</v>
      </c>
      <c r="O187" s="177">
        <f t="shared" si="2"/>
        <v>0</v>
      </c>
      <c r="P187" s="177">
        <f>'Groupe de branches'!F70</f>
        <v>0</v>
      </c>
      <c r="Q187" s="177">
        <f>'Groupe de branches'!H70</f>
        <v>0</v>
      </c>
      <c r="R187" s="177">
        <f t="shared" si="3"/>
        <v>0</v>
      </c>
      <c r="S187" s="177">
        <f>'Groupe de branches'!J70</f>
        <v>0</v>
      </c>
    </row>
    <row r="188" spans="2:19" x14ac:dyDescent="0.25">
      <c r="B188" s="69"/>
      <c r="D188"/>
      <c r="E188"/>
      <c r="J188" s="69"/>
      <c r="M188" s="176" t="str">
        <f>'Branche - valeurs'!C71</f>
        <v>52 - Génie civil</v>
      </c>
      <c r="N188" s="177">
        <f>'Groupe de branches'!D71</f>
        <v>0</v>
      </c>
      <c r="O188" s="177">
        <f t="shared" si="2"/>
        <v>0</v>
      </c>
      <c r="P188" s="177">
        <f>'Groupe de branches'!F71</f>
        <v>0</v>
      </c>
      <c r="Q188" s="177">
        <f>'Groupe de branches'!H71</f>
        <v>0</v>
      </c>
      <c r="R188" s="177">
        <f t="shared" si="3"/>
        <v>0</v>
      </c>
      <c r="S188" s="177">
        <f>'Groupe de branches'!J71</f>
        <v>0</v>
      </c>
    </row>
    <row r="189" spans="2:19" x14ac:dyDescent="0.25">
      <c r="B189" s="69"/>
      <c r="D189"/>
      <c r="E189"/>
      <c r="J189" s="69"/>
      <c r="M189" s="176" t="str">
        <f>'Branche - valeurs'!C72</f>
        <v>53 - Travaux d'isolation</v>
      </c>
      <c r="N189" s="177">
        <f>'Groupe de branches'!D72</f>
        <v>0</v>
      </c>
      <c r="O189" s="177">
        <f t="shared" si="2"/>
        <v>0</v>
      </c>
      <c r="P189" s="177">
        <f>'Groupe de branches'!F72</f>
        <v>0</v>
      </c>
      <c r="Q189" s="177">
        <f>'Groupe de branches'!H72</f>
        <v>0</v>
      </c>
      <c r="R189" s="177">
        <f t="shared" si="3"/>
        <v>0</v>
      </c>
      <c r="S189" s="177">
        <f>'Groupe de branches'!J72</f>
        <v>0</v>
      </c>
    </row>
    <row r="190" spans="2:19" x14ac:dyDescent="0.25">
      <c r="B190" s="69"/>
      <c r="D190"/>
      <c r="E190"/>
      <c r="J190" s="69"/>
      <c r="M190" s="176" t="str">
        <f>'Branche - valeurs'!C73</f>
        <v>54 - Travaux de menuiserie bois</v>
      </c>
      <c r="N190" s="177">
        <f>'Groupe de branches'!D73</f>
        <v>0</v>
      </c>
      <c r="O190" s="177">
        <f t="shared" si="2"/>
        <v>0</v>
      </c>
      <c r="P190" s="177">
        <f>'Groupe de branches'!F73</f>
        <v>0</v>
      </c>
      <c r="Q190" s="177">
        <f>'Groupe de branches'!H73</f>
        <v>0</v>
      </c>
      <c r="R190" s="177">
        <f t="shared" si="3"/>
        <v>0</v>
      </c>
      <c r="S190" s="177">
        <f>'Groupe de branches'!J73</f>
        <v>0</v>
      </c>
    </row>
    <row r="191" spans="2:19" x14ac:dyDescent="0.25">
      <c r="B191" s="69"/>
      <c r="D191"/>
      <c r="E191"/>
      <c r="J191" s="69"/>
      <c r="M191" s="176" t="str">
        <f>'Branche - valeurs'!C74</f>
        <v>55 - Agencement de lieux de vente</v>
      </c>
      <c r="N191" s="177">
        <f>'Groupe de branches'!D74</f>
        <v>0</v>
      </c>
      <c r="O191" s="177">
        <f t="shared" si="2"/>
        <v>0</v>
      </c>
      <c r="P191" s="177">
        <f>'Groupe de branches'!F74</f>
        <v>0</v>
      </c>
      <c r="Q191" s="177">
        <f>'Groupe de branches'!H74</f>
        <v>0</v>
      </c>
      <c r="R191" s="177">
        <f t="shared" si="3"/>
        <v>0</v>
      </c>
      <c r="S191" s="177">
        <f>'Groupe de branches'!J74</f>
        <v>0</v>
      </c>
    </row>
    <row r="192" spans="2:19" x14ac:dyDescent="0.25">
      <c r="B192" s="69"/>
      <c r="D192"/>
      <c r="E192"/>
      <c r="J192" s="69"/>
      <c r="M192" s="176" t="str">
        <f>'Branche - valeurs'!C75</f>
        <v>56 - Travaux de revêtement des sols et des murs</v>
      </c>
      <c r="N192" s="177">
        <f>'Groupe de branches'!D75</f>
        <v>0</v>
      </c>
      <c r="O192" s="177">
        <f t="shared" si="2"/>
        <v>0</v>
      </c>
      <c r="P192" s="177">
        <f>'Groupe de branches'!F75</f>
        <v>0</v>
      </c>
      <c r="Q192" s="177">
        <f>'Groupe de branches'!H75</f>
        <v>0</v>
      </c>
      <c r="R192" s="177">
        <f t="shared" si="3"/>
        <v>0</v>
      </c>
      <c r="S192" s="177">
        <f>'Groupe de branches'!J75</f>
        <v>0</v>
      </c>
    </row>
    <row r="193" spans="2:19" x14ac:dyDescent="0.25">
      <c r="B193" s="69"/>
      <c r="D193"/>
      <c r="E193"/>
      <c r="J193" s="69"/>
      <c r="M193" s="176" t="str">
        <f>'Branche - valeurs'!C76</f>
        <v>57 - Travaux de charpente</v>
      </c>
      <c r="N193" s="177">
        <f>'Groupe de branches'!D76</f>
        <v>0</v>
      </c>
      <c r="O193" s="177">
        <f t="shared" si="2"/>
        <v>0</v>
      </c>
      <c r="P193" s="177">
        <f>'Groupe de branches'!F76</f>
        <v>0</v>
      </c>
      <c r="Q193" s="177">
        <f>'Groupe de branches'!H76</f>
        <v>0</v>
      </c>
      <c r="R193" s="177">
        <f t="shared" si="3"/>
        <v>0</v>
      </c>
      <c r="S193" s="177">
        <f>'Groupe de branches'!J76</f>
        <v>0</v>
      </c>
    </row>
    <row r="194" spans="2:19" x14ac:dyDescent="0.25">
      <c r="B194" s="69"/>
      <c r="D194"/>
      <c r="E194"/>
      <c r="J194" s="69"/>
      <c r="M194" s="176" t="str">
        <f>'Branche - valeurs'!C77</f>
        <v>58 - Travaux de couverture par éléments</v>
      </c>
      <c r="N194" s="177">
        <f>'Groupe de branches'!D77</f>
        <v>0</v>
      </c>
      <c r="O194" s="177">
        <f t="shared" si="2"/>
        <v>0</v>
      </c>
      <c r="P194" s="177">
        <f>'Groupe de branches'!F77</f>
        <v>0</v>
      </c>
      <c r="Q194" s="177">
        <f>'Groupe de branches'!H77</f>
        <v>0</v>
      </c>
      <c r="R194" s="177">
        <f t="shared" si="3"/>
        <v>0</v>
      </c>
      <c r="S194" s="177">
        <f>'Groupe de branches'!J77</f>
        <v>0</v>
      </c>
    </row>
    <row r="195" spans="2:19" x14ac:dyDescent="0.25">
      <c r="B195" s="69"/>
      <c r="D195"/>
      <c r="E195"/>
      <c r="J195" s="69"/>
      <c r="M195" s="176" t="str">
        <f>'Branche - valeurs'!C78</f>
        <v>59 - Travaux de maçonnerie générale et gros œuvre de bâtiment</v>
      </c>
      <c r="N195" s="177">
        <f>'Groupe de branches'!D78</f>
        <v>0</v>
      </c>
      <c r="O195" s="177">
        <f t="shared" si="2"/>
        <v>0</v>
      </c>
      <c r="P195" s="177">
        <f>'Groupe de branches'!F78</f>
        <v>0</v>
      </c>
      <c r="Q195" s="177">
        <f>'Groupe de branches'!H78</f>
        <v>0</v>
      </c>
      <c r="R195" s="177">
        <f t="shared" si="3"/>
        <v>0</v>
      </c>
      <c r="S195" s="177">
        <f>'Groupe de branches'!J78</f>
        <v>0</v>
      </c>
    </row>
    <row r="196" spans="2:19" x14ac:dyDescent="0.25">
      <c r="B196" s="69"/>
      <c r="D196"/>
      <c r="E196"/>
      <c r="F196" s="39"/>
      <c r="G196" s="39"/>
      <c r="J196" s="69"/>
      <c r="M196" s="176" t="str">
        <f>'Branche - valeurs'!C79</f>
        <v>60 - Travaux d'installation de chauffage au bois</v>
      </c>
      <c r="N196" s="177">
        <f>'Groupe de branches'!D79</f>
        <v>0</v>
      </c>
      <c r="O196" s="177">
        <f t="shared" si="2"/>
        <v>0</v>
      </c>
      <c r="P196" s="177">
        <f>'Groupe de branches'!F79</f>
        <v>0</v>
      </c>
      <c r="Q196" s="177">
        <f>'Groupe de branches'!H79</f>
        <v>0</v>
      </c>
      <c r="R196" s="177">
        <f t="shared" si="3"/>
        <v>0</v>
      </c>
      <c r="S196" s="177">
        <f>'Groupe de branches'!J79</f>
        <v>0</v>
      </c>
    </row>
    <row r="197" spans="2:19" x14ac:dyDescent="0.25">
      <c r="D197"/>
      <c r="E197"/>
      <c r="F197" s="17"/>
      <c r="G197" s="17"/>
      <c r="M197" s="176" t="str">
        <f>'Branche - valeurs'!C80</f>
        <v>61 - Commerce de gros de produits bois</v>
      </c>
      <c r="N197" s="177">
        <f>'Groupe de branches'!D80</f>
        <v>0</v>
      </c>
      <c r="O197" s="177">
        <f t="shared" si="2"/>
        <v>0</v>
      </c>
      <c r="P197" s="177">
        <f>'Groupe de branches'!F80</f>
        <v>0</v>
      </c>
      <c r="Q197" s="177">
        <f>'Groupe de branches'!H80</f>
        <v>0</v>
      </c>
      <c r="R197" s="177">
        <f t="shared" si="3"/>
        <v>0</v>
      </c>
      <c r="S197" s="177">
        <f>'Groupe de branches'!J80</f>
        <v>0</v>
      </c>
    </row>
    <row r="198" spans="2:19" x14ac:dyDescent="0.25">
      <c r="D198"/>
      <c r="E198"/>
      <c r="F198" s="17"/>
      <c r="G198" s="17"/>
      <c r="M198" s="176" t="str">
        <f>'Branche - valeurs'!C81</f>
        <v>62 - Commerce de détail de produits bois</v>
      </c>
      <c r="N198" s="177">
        <f>'Groupe de branches'!D81</f>
        <v>0</v>
      </c>
      <c r="O198" s="177">
        <f t="shared" ref="O198:O200" si="4">N198-P198</f>
        <v>0</v>
      </c>
      <c r="P198" s="177">
        <f>'Groupe de branches'!F81</f>
        <v>0</v>
      </c>
      <c r="Q198" s="177">
        <f>'Groupe de branches'!H81</f>
        <v>0</v>
      </c>
      <c r="R198" s="177">
        <f t="shared" ref="R198:R200" si="5">Q198-S198</f>
        <v>0</v>
      </c>
      <c r="S198" s="177">
        <f>'Groupe de branches'!J81</f>
        <v>0</v>
      </c>
    </row>
    <row r="199" spans="2:19" x14ac:dyDescent="0.25">
      <c r="D199"/>
      <c r="E199"/>
      <c r="F199" s="17"/>
      <c r="M199" s="176" t="str">
        <f>'Branche - valeurs'!C82</f>
        <v>63 - Transports de bois à partir de la forêt</v>
      </c>
      <c r="N199" s="177">
        <f>'Groupe de branches'!D82</f>
        <v>30778.989669797498</v>
      </c>
      <c r="O199" s="177">
        <f t="shared" si="4"/>
        <v>30778.989669797498</v>
      </c>
      <c r="P199" s="177">
        <f>'Groupe de branches'!F82</f>
        <v>0</v>
      </c>
      <c r="Q199" s="177">
        <f>'Groupe de branches'!H82</f>
        <v>0</v>
      </c>
      <c r="R199" s="177">
        <f t="shared" si="5"/>
        <v>0</v>
      </c>
      <c r="S199" s="177">
        <f>'Groupe de branches'!J82</f>
        <v>0</v>
      </c>
    </row>
    <row r="200" spans="2:19" x14ac:dyDescent="0.25">
      <c r="M200" s="176" t="str">
        <f>'Branche - valeurs'!C83</f>
        <v>64 - Divers services de support à la filière</v>
      </c>
      <c r="N200" s="177">
        <f>'Groupe de branches'!D83</f>
        <v>0</v>
      </c>
      <c r="O200" s="177">
        <f t="shared" si="4"/>
        <v>0</v>
      </c>
      <c r="P200" s="177">
        <f>'Groupe de branches'!F83</f>
        <v>0</v>
      </c>
      <c r="Q200" s="177">
        <f>'Groupe de branches'!H83</f>
        <v>0</v>
      </c>
      <c r="R200" s="177">
        <f t="shared" si="5"/>
        <v>0</v>
      </c>
      <c r="S200" s="177">
        <f>'Groupe de branches'!J83</f>
        <v>0</v>
      </c>
    </row>
    <row r="201" spans="2:19" x14ac:dyDescent="0.25">
      <c r="M201" s="176"/>
      <c r="N201" s="177"/>
      <c r="O201" s="177"/>
      <c r="P201" s="177"/>
      <c r="Q201" s="177"/>
      <c r="R201" s="177"/>
      <c r="S201" s="177"/>
    </row>
    <row r="202" spans="2:19" x14ac:dyDescent="0.25">
      <c r="M202" s="176"/>
      <c r="N202" s="176"/>
      <c r="O202" s="176"/>
      <c r="P202" s="176"/>
      <c r="Q202" s="176"/>
      <c r="R202" s="176"/>
      <c r="S202" s="176"/>
    </row>
  </sheetData>
  <mergeCells count="13">
    <mergeCell ref="D1:H1"/>
    <mergeCell ref="D2:E2"/>
    <mergeCell ref="D3:H3"/>
    <mergeCell ref="D9:H9"/>
    <mergeCell ref="N140:P140"/>
    <mergeCell ref="G84:H84"/>
    <mergeCell ref="D5:H7"/>
    <mergeCell ref="G48:H50"/>
    <mergeCell ref="G78:H82"/>
    <mergeCell ref="D53:H53"/>
    <mergeCell ref="F103:H108"/>
    <mergeCell ref="F117:H122"/>
    <mergeCell ref="F132:H136"/>
  </mergeCells>
  <conditionalFormatting sqref="G78">
    <cfRule type="containsText" dxfId="3" priority="2" operator="containsText" text="Le">
      <formula>NOT(ISERROR(SEARCH("Le",G78)))</formula>
    </cfRule>
  </conditionalFormatting>
  <conditionalFormatting sqref="G48">
    <cfRule type="containsText" dxfId="2" priority="1" operator="containsText" text="Le">
      <formula>NOT(ISERROR(SEARCH("Le",G48)))</formula>
    </cfRule>
  </conditionalFormatting>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5"/>
  <dimension ref="A1:AQ1878"/>
  <sheetViews>
    <sheetView zoomScale="85" zoomScaleNormal="85" workbookViewId="0">
      <pane ySplit="3" topLeftCell="A1612" activePane="bottomLeft" state="frozen"/>
      <selection activeCell="X30" sqref="X30"/>
      <selection pane="bottomLeft" activeCell="X30" sqref="X30"/>
    </sheetView>
  </sheetViews>
  <sheetFormatPr baseColWidth="10" defaultRowHeight="15" x14ac:dyDescent="0.25"/>
  <cols>
    <col min="1" max="1" width="37.28515625" customWidth="1"/>
    <col min="2" max="2" width="23.28515625" hidden="1" customWidth="1"/>
    <col min="3" max="3" width="26.140625" hidden="1" customWidth="1"/>
    <col min="4" max="4" width="33" customWidth="1"/>
    <col min="5" max="5" width="20.140625" customWidth="1"/>
    <col min="6" max="6" width="9.140625" customWidth="1"/>
    <col min="7" max="12" width="11.42578125" style="2" hidden="1" customWidth="1"/>
    <col min="13" max="18" width="8.7109375" hidden="1" customWidth="1"/>
    <col min="19" max="19" width="6.5703125" style="66" hidden="1" customWidth="1"/>
    <col min="20" max="21" width="6.5703125" hidden="1" customWidth="1"/>
    <col min="22" max="22" width="6.5703125" customWidth="1"/>
    <col min="23" max="23" width="10.42578125" customWidth="1"/>
    <col min="24" max="24" width="11.42578125" style="189" customWidth="1"/>
    <col min="25" max="25" width="11.42578125" style="178" customWidth="1"/>
    <col min="26" max="26" width="11.42578125" style="189" customWidth="1"/>
    <col min="27" max="27" width="12.7109375" style="189" customWidth="1"/>
    <col min="28" max="28" width="11.42578125" style="2" customWidth="1"/>
    <col min="29" max="29" width="13.7109375" style="2" customWidth="1"/>
    <col min="30" max="30" width="11" style="2" customWidth="1"/>
    <col min="31" max="37" width="11.42578125" style="2" customWidth="1"/>
    <col min="38" max="38" width="11.42578125" customWidth="1"/>
    <col min="39" max="39" width="16.85546875" customWidth="1"/>
  </cols>
  <sheetData>
    <row r="1" spans="1:40" ht="21.75" thickBot="1" x14ac:dyDescent="0.3">
      <c r="D1" s="204" t="s">
        <v>300</v>
      </c>
      <c r="G1" s="300" t="s">
        <v>296</v>
      </c>
      <c r="H1" s="301"/>
      <c r="I1" s="302"/>
      <c r="J1" s="303" t="s">
        <v>297</v>
      </c>
      <c r="K1" s="304"/>
      <c r="L1" s="304"/>
      <c r="M1" s="303" t="s">
        <v>298</v>
      </c>
      <c r="N1" s="304"/>
      <c r="O1" s="305"/>
      <c r="P1" s="303" t="s">
        <v>298</v>
      </c>
      <c r="Q1" s="304"/>
      <c r="R1" s="305"/>
      <c r="AC1" s="2">
        <v>5</v>
      </c>
      <c r="AD1" s="2">
        <v>6</v>
      </c>
      <c r="AE1" s="2">
        <v>7</v>
      </c>
      <c r="AF1" s="2">
        <v>8</v>
      </c>
      <c r="AG1" s="2">
        <v>9</v>
      </c>
      <c r="AH1" s="2">
        <v>10</v>
      </c>
      <c r="AI1" s="2">
        <v>11</v>
      </c>
      <c r="AJ1" s="2">
        <v>12</v>
      </c>
    </row>
    <row r="2" spans="1:40" ht="25.5" customHeight="1" x14ac:dyDescent="0.25">
      <c r="X2"/>
      <c r="Z2"/>
      <c r="AA2"/>
    </row>
    <row r="3" spans="1:40" s="179" customFormat="1" ht="45" x14ac:dyDescent="0.25">
      <c r="A3" s="179" t="s">
        <v>171</v>
      </c>
      <c r="B3" s="179" t="s">
        <v>151</v>
      </c>
      <c r="C3" s="179" t="s">
        <v>108</v>
      </c>
      <c r="D3" s="179" t="s">
        <v>172</v>
      </c>
      <c r="E3" s="179" t="s">
        <v>152</v>
      </c>
      <c r="F3" s="179" t="s">
        <v>58</v>
      </c>
      <c r="G3" s="200" t="s">
        <v>55</v>
      </c>
      <c r="H3" s="200" t="s">
        <v>56</v>
      </c>
      <c r="I3" s="200" t="s">
        <v>57</v>
      </c>
      <c r="J3" s="201" t="s">
        <v>43</v>
      </c>
      <c r="K3" s="201" t="s">
        <v>44</v>
      </c>
      <c r="L3" s="201" t="s">
        <v>45</v>
      </c>
      <c r="M3" s="201" t="s">
        <v>46</v>
      </c>
      <c r="N3" s="201" t="s">
        <v>47</v>
      </c>
      <c r="O3" s="201" t="s">
        <v>48</v>
      </c>
      <c r="P3" s="201" t="s">
        <v>49</v>
      </c>
      <c r="Q3" s="201" t="s">
        <v>50</v>
      </c>
      <c r="R3" s="201" t="s">
        <v>51</v>
      </c>
      <c r="S3" s="202" t="s">
        <v>197</v>
      </c>
      <c r="T3" s="199" t="s">
        <v>75</v>
      </c>
      <c r="U3" s="199" t="s">
        <v>279</v>
      </c>
      <c r="V3" s="199" t="s">
        <v>218</v>
      </c>
      <c r="W3" s="185" t="s">
        <v>275</v>
      </c>
      <c r="X3" s="185" t="s">
        <v>280</v>
      </c>
      <c r="Y3" s="186" t="s">
        <v>267</v>
      </c>
      <c r="Z3" s="187" t="s">
        <v>276</v>
      </c>
      <c r="AA3" s="185" t="s">
        <v>268</v>
      </c>
      <c r="AB3" s="220" t="s">
        <v>110</v>
      </c>
      <c r="AC3" s="221" t="s">
        <v>53</v>
      </c>
      <c r="AD3" s="221" t="s">
        <v>269</v>
      </c>
      <c r="AE3" s="221" t="s">
        <v>270</v>
      </c>
      <c r="AF3" s="221" t="s">
        <v>271</v>
      </c>
      <c r="AG3" s="221" t="s">
        <v>272</v>
      </c>
      <c r="AH3" s="221" t="s">
        <v>273</v>
      </c>
      <c r="AI3" s="221" t="s">
        <v>274</v>
      </c>
      <c r="AJ3" s="221" t="s">
        <v>54</v>
      </c>
      <c r="AK3" s="221" t="s">
        <v>281</v>
      </c>
      <c r="AL3" s="188" t="s">
        <v>282</v>
      </c>
      <c r="AM3" s="179" t="s">
        <v>287</v>
      </c>
      <c r="AN3" s="179" t="s">
        <v>288</v>
      </c>
    </row>
    <row r="4" spans="1:40" x14ac:dyDescent="0.25">
      <c r="A4" t="s">
        <v>80</v>
      </c>
      <c r="B4">
        <f>VLOOKUP(LEFT(A4,3),'Table corresp.'!$A$4:$D$63,3,FALSE)</f>
        <v>0</v>
      </c>
      <c r="C4" t="str">
        <f>VLOOKUP(A4,'Table corresp.'!$M$4:$P$63,4,FALSE)</f>
        <v>Production et transformation de produits bois</v>
      </c>
      <c r="D4" t="s">
        <v>81</v>
      </c>
      <c r="E4" t="str">
        <f>VLOOKUP(LEFT(D4,3),'Table corresp.'!$A$4:$D$63,4,FALSE)</f>
        <v>Transformation</v>
      </c>
      <c r="F4" t="str">
        <f t="shared" ref="F4:F67" si="0">LEFT(A4,3)&amp;" - "&amp;LEFT(D4,3)</f>
        <v xml:space="preserve">01  - 05 </v>
      </c>
      <c r="G4" s="1">
        <v>13012.003903701829</v>
      </c>
      <c r="H4" s="1">
        <v>4109.6224099999999</v>
      </c>
      <c r="I4" s="1">
        <v>17121.626313701829</v>
      </c>
      <c r="J4" s="1">
        <v>0</v>
      </c>
      <c r="K4" s="1">
        <v>0</v>
      </c>
      <c r="L4" s="1">
        <v>0</v>
      </c>
      <c r="M4" s="1">
        <v>0</v>
      </c>
      <c r="N4" s="1">
        <v>0</v>
      </c>
      <c r="O4" s="1">
        <v>0</v>
      </c>
      <c r="P4" s="1">
        <v>0</v>
      </c>
      <c r="Q4" s="1">
        <v>0</v>
      </c>
      <c r="R4" s="1">
        <v>0</v>
      </c>
      <c r="S4" s="67"/>
      <c r="T4">
        <f>VLOOKUP(A4,'Groupe de branches'!$Z$27:$AM$86,14,FALSE)</f>
        <v>0</v>
      </c>
      <c r="U4">
        <f>VLOOKUP(D4,'Groupe de branches'!$Z$27:$AM$86,14,FALSE)</f>
        <v>0</v>
      </c>
      <c r="V4">
        <v>2016</v>
      </c>
      <c r="W4">
        <f>VLOOKUP(D4,'Table corresp.'!$M$4:$S$63,7,FALSE)</f>
        <v>0</v>
      </c>
      <c r="X4" s="167">
        <f>IFERROR(G4/SUMIFS('Comp2016-2017 (3)'!$I$5:$I$289,'Comp2016-2017 (3)'!$A$5:$A$289,A4,'Comp2016-2017 (3)'!$R$5:$R$289,V4),0)</f>
        <v>0.50140645386498683</v>
      </c>
      <c r="Y4" s="178">
        <f>IFERROR(IF(RIGHT(F4,3)="Exp",VLOOKUP(F4,#REF!,2,FALSE),VLOOKUP(F4,#REF!,9,FALSE)),1)</f>
        <v>1</v>
      </c>
      <c r="Z4" s="167">
        <f t="shared" ref="Z4:Z35" si="1">Y4/SUMIFS($Y$4:$Y$1116,$V$4:$V$1116,V4,$A$4:$A$1116,A4)</f>
        <v>0.25</v>
      </c>
      <c r="AA4" s="189">
        <f>X4*Z4</f>
        <v>0.12535161346624671</v>
      </c>
      <c r="AB4" s="2">
        <f>IFERROR(SUMIFS('Comp2016-2017 (3)'!$G$5:$G$289,'Comp2016-2017 (3)'!$A$5:$A$289,A4,'Comp2016-2017 (3)'!$R$5:$R$289,V4)*AA4/SUMIFS($AA$4:$AA$1116,$A$4:$A$1116,A4,$V$4:$V$1116,V4),0)</f>
        <v>6766.2581006713435</v>
      </c>
      <c r="AC4" s="2">
        <f>IF($W4=AC$3,$AB4,IF(NOT($W4=0),"",SUMIFS('Val-Vol (2)'!AC$4:AC$1116,'Val-Vol (2)'!$A$4:$A$1116,$D4,'Val-Vol (2)'!$V$4:$V$1116,$V4)/SUMIFS('Comp2016-2017 (3)'!$G$5:$G$289,'Comp2016-2017 (3)'!$A$5:$A$289,$D4,'Comp2016-2017 (3)'!$R$5:$R$289,$V4)*$AB4))</f>
        <v>1610.2650434598181</v>
      </c>
      <c r="AD4" s="2">
        <f>IF($W4=AD$3,$AB4,IF(NOT($W4=0),"",SUMIFS('Val-Vol (2)'!AD$4:AD$1116,'Val-Vol (2)'!$A$4:$A$1116,$D4,'Val-Vol (2)'!$V$4:$V$1116,$V4)/SUMIFS('Comp2016-2017 (3)'!$G$5:$G$289,'Comp2016-2017 (3)'!$A$5:$A$289,$D4,'Comp2016-2017 (3)'!$R$5:$R$289,$V4)*$AB4))</f>
        <v>1480.4592627544353</v>
      </c>
      <c r="AE4" s="2">
        <f>IF($W4=AE$3,$AB4,IF(NOT($W4=0),"",SUMIFS('Val-Vol (2)'!AE$4:AE$1116,'Val-Vol (2)'!$A$4:$A$1116,$D4,'Val-Vol (2)'!$V$4:$V$1116,$V4)/SUMIFS('Comp2016-2017 (3)'!$G$5:$G$289,'Comp2016-2017 (3)'!$A$5:$A$289,$D4,'Comp2016-2017 (3)'!$R$5:$R$289,$V4)*$AB4))</f>
        <v>206.9680622741823</v>
      </c>
      <c r="AF4" s="2">
        <f>IF($W4=AF$3,$AB4,IF(NOT($W4=0),"",SUMIFS('Val-Vol (2)'!AF$4:AF$1116,'Val-Vol (2)'!$A$4:$A$1116,$D4,'Val-Vol (2)'!$V$4:$V$1116,$V4)/SUMIFS('Comp2016-2017 (3)'!$G$5:$G$289,'Comp2016-2017 (3)'!$A$5:$A$289,$D4,'Comp2016-2017 (3)'!$R$5:$R$289,$V4)*$AB4))</f>
        <v>504.17634034047114</v>
      </c>
      <c r="AG4" s="2">
        <f>IF($W4=AG$3,$AB4,IF(NOT($W4=0),"",SUMIFS('Val-Vol (2)'!AG$4:AG$1116,'Val-Vol (2)'!$A$4:$A$1116,$D4,'Val-Vol (2)'!$V$4:$V$1116,$V4)/SUMIFS('Comp2016-2017 (3)'!$G$5:$G$289,'Comp2016-2017 (3)'!$A$5:$A$289,$D4,'Comp2016-2017 (3)'!$R$5:$R$289,$V4)*$AB4))</f>
        <v>1115.3761193163923</v>
      </c>
      <c r="AH4" s="2">
        <f>IF($W4=AH$3,$AB4,IF(NOT($W4=0),"",SUMIFS('Val-Vol (2)'!AH$4:AH$1116,'Val-Vol (2)'!$A$4:$A$1116,$D4,'Val-Vol (2)'!$V$4:$V$1116,$V4)/SUMIFS('Comp2016-2017 (3)'!$G$5:$G$289,'Comp2016-2017 (3)'!$A$5:$A$289,$D4,'Comp2016-2017 (3)'!$R$5:$R$289,$V4)*$AB4))</f>
        <v>1016.6998124435747</v>
      </c>
      <c r="AI4" s="2">
        <f>IF($W4=AI$3,$AB4,IF(NOT($W4=0),"",SUMIFS('Val-Vol (2)'!AI$4:AI$1116,'Val-Vol (2)'!$A$4:$A$1116,$D4,'Val-Vol (2)'!$V$4:$V$1116,$V4)/SUMIFS('Comp2016-2017 (3)'!$G$5:$G$289,'Comp2016-2017 (3)'!$A$5:$A$289,$D4,'Comp2016-2017 (3)'!$R$5:$R$289,$V4)*$AB4))</f>
        <v>302.27463598779985</v>
      </c>
      <c r="AJ4" s="2">
        <f>IF($W4=AJ$3,$AB4,IF(NOT($W4=0),"",SUMIFS('Val-Vol (2)'!AJ$4:AJ$1116,'Val-Vol (2)'!$A$4:$A$1116,$D4,'Val-Vol (2)'!$V$4:$V$1116,$V4)/SUMIFS('Comp2016-2017 (3)'!$G$5:$G$289,'Comp2016-2017 (3)'!$A$5:$A$289,$D4,'Comp2016-2017 (3)'!$R$5:$R$289,$V4)*$AB4))</f>
        <v>530.03882409466951</v>
      </c>
      <c r="AK4" s="2">
        <f>SUM(AC4:AJ4)-AB4</f>
        <v>0</v>
      </c>
      <c r="AL4" t="str">
        <f t="shared" ref="AL4:AL67" si="2">IF(A4=D4,"remplir à la main","")</f>
        <v/>
      </c>
      <c r="AM4" t="str">
        <f>VLOOKUP(A4,'Table corresp.'!$M$4:$U$63,8,FALSE)</f>
        <v>Forêt</v>
      </c>
      <c r="AN4" t="str">
        <f>VLOOKUP(D4,'Table corresp.'!$M$4:$U$63,9,FALSE)</f>
        <v>Production intermédiaire</v>
      </c>
    </row>
    <row r="5" spans="1:40" x14ac:dyDescent="0.25">
      <c r="A5" t="s">
        <v>80</v>
      </c>
      <c r="B5">
        <f>VLOOKUP(LEFT(A5,3),'Table corresp.'!$A$4:$D$63,3,FALSE)</f>
        <v>0</v>
      </c>
      <c r="C5" t="str">
        <f>VLOOKUP(A5,'Table corresp.'!$M$4:$P$63,4,FALSE)</f>
        <v>Production et transformation de produits bois</v>
      </c>
      <c r="D5" t="s">
        <v>3</v>
      </c>
      <c r="E5" t="str">
        <f>VLOOKUP(LEFT(D5,3),'Table corresp.'!$A$4:$D$63,4,FALSE)</f>
        <v>Transformation</v>
      </c>
      <c r="F5" t="str">
        <f t="shared" si="0"/>
        <v xml:space="preserve">01  - 06 </v>
      </c>
      <c r="G5" s="1">
        <v>9657.5954700050424</v>
      </c>
      <c r="H5" s="1">
        <v>2809</v>
      </c>
      <c r="I5" s="1">
        <v>12466.595470005042</v>
      </c>
      <c r="J5" s="1">
        <v>0</v>
      </c>
      <c r="K5" s="1">
        <v>0</v>
      </c>
      <c r="L5" s="1">
        <v>0</v>
      </c>
      <c r="M5" s="1">
        <v>0</v>
      </c>
      <c r="N5" s="1">
        <v>0</v>
      </c>
      <c r="O5" s="1">
        <v>0</v>
      </c>
      <c r="P5" s="1">
        <v>0</v>
      </c>
      <c r="Q5" s="1">
        <v>0</v>
      </c>
      <c r="R5" s="1">
        <v>0</v>
      </c>
      <c r="S5" s="67"/>
      <c r="T5">
        <f>VLOOKUP(A5,'Groupe de branches'!$Z$27:$AM$86,14,FALSE)</f>
        <v>0</v>
      </c>
      <c r="U5">
        <f>VLOOKUP(D5,'Groupe de branches'!$Z$27:$AM$86,14,FALSE)</f>
        <v>0</v>
      </c>
      <c r="V5">
        <v>2016</v>
      </c>
      <c r="W5">
        <f>VLOOKUP(D5,'Table corresp.'!$M$4:$S$63,7,FALSE)</f>
        <v>0</v>
      </c>
      <c r="X5" s="167">
        <f>IFERROR(G5/SUMIFS('Comp2016-2017 (3)'!$I$5:$I$289,'Comp2016-2017 (3)'!$A$5:$A$289,A5,'Comp2016-2017 (3)'!$R$5:$R$289,V5),0)</f>
        <v>0.3721471906491024</v>
      </c>
      <c r="Y5" s="178">
        <f>IFERROR(IF(RIGHT(F5,3)="Exp",VLOOKUP(F5,#REF!,2,FALSE),VLOOKUP(F5,#REF!,9,FALSE)),1)</f>
        <v>1</v>
      </c>
      <c r="Z5" s="167">
        <f t="shared" si="1"/>
        <v>0.25</v>
      </c>
      <c r="AA5" s="189">
        <f t="shared" ref="AA5:AA68" si="3">X5*Z5</f>
        <v>9.30367976622756E-2</v>
      </c>
      <c r="AB5" s="2">
        <f>IFERROR(SUMIFS('Comp2016-2017 (3)'!$G$5:$G$289,'Comp2016-2017 (3)'!$A$5:$A$289,A5,'Comp2016-2017 (3)'!$R$5:$R$289,V5)*AA5/SUMIFS($AA$4:$AA$1116,$A$4:$A$1116,A5,$V$4:$V$1116,V5),0)</f>
        <v>5021.9615722170238</v>
      </c>
      <c r="AC5" s="2">
        <f>IF($W5=AC$3,$AB5,IF(NOT($W5=0),"",SUMIFS('Val-Vol (2)'!AC$4:AC$1116,'Val-Vol (2)'!$A$4:$A$1116,$D5,'Val-Vol (2)'!$V$4:$V$1116,$V5)/SUMIFS('Comp2016-2017 (3)'!$G$5:$G$289,'Comp2016-2017 (3)'!$A$5:$A$289,$D5,'Comp2016-2017 (3)'!$R$5:$R$289,$V5)*$AB5))</f>
        <v>1310.5554371042574</v>
      </c>
      <c r="AD5" s="2">
        <f>IF($W5=AD$3,$AB5,IF(NOT($W5=0),"",SUMIFS('Val-Vol (2)'!AD$4:AD$1116,'Val-Vol (2)'!$A$4:$A$1116,$D5,'Val-Vol (2)'!$V$4:$V$1116,$V5)/SUMIFS('Comp2016-2017 (3)'!$G$5:$G$289,'Comp2016-2017 (3)'!$A$5:$A$289,$D5,'Comp2016-2017 (3)'!$R$5:$R$289,$V5)*$AB5))</f>
        <v>1352.0493877494641</v>
      </c>
      <c r="AE5" s="2">
        <f>IF($W5=AE$3,$AB5,IF(NOT($W5=0),"",SUMIFS('Val-Vol (2)'!AE$4:AE$1116,'Val-Vol (2)'!$A$4:$A$1116,$D5,'Val-Vol (2)'!$V$4:$V$1116,$V5)/SUMIFS('Comp2016-2017 (3)'!$G$5:$G$289,'Comp2016-2017 (3)'!$A$5:$A$289,$D5,'Comp2016-2017 (3)'!$R$5:$R$289,$V5)*$AB5))</f>
        <v>163.19852485707284</v>
      </c>
      <c r="AF5" s="2">
        <f>IF($W5=AF$3,$AB5,IF(NOT($W5=0),"",SUMIFS('Val-Vol (2)'!AF$4:AF$1116,'Val-Vol (2)'!$A$4:$A$1116,$D5,'Val-Vol (2)'!$V$4:$V$1116,$V5)/SUMIFS('Comp2016-2017 (3)'!$G$5:$G$289,'Comp2016-2017 (3)'!$A$5:$A$289,$D5,'Comp2016-2017 (3)'!$R$5:$R$289,$V5)*$AB5))</f>
        <v>100.20421700134219</v>
      </c>
      <c r="AG5" s="2">
        <f>IF($W5=AG$3,$AB5,IF(NOT($W5=0),"",SUMIFS('Val-Vol (2)'!AG$4:AG$1116,'Val-Vol (2)'!$A$4:$A$1116,$D5,'Val-Vol (2)'!$V$4:$V$1116,$V5)/SUMIFS('Comp2016-2017 (3)'!$G$5:$G$289,'Comp2016-2017 (3)'!$A$5:$A$289,$D5,'Comp2016-2017 (3)'!$R$5:$R$289,$V5)*$AB5))</f>
        <v>1124.9883529434308</v>
      </c>
      <c r="AH5" s="2">
        <f>IF($W5=AH$3,$AB5,IF(NOT($W5=0),"",SUMIFS('Val-Vol (2)'!AH$4:AH$1116,'Val-Vol (2)'!$A$4:$A$1116,$D5,'Val-Vol (2)'!$V$4:$V$1116,$V5)/SUMIFS('Comp2016-2017 (3)'!$G$5:$G$289,'Comp2016-2017 (3)'!$A$5:$A$289,$D5,'Comp2016-2017 (3)'!$R$5:$R$289,$V5)*$AB5))</f>
        <v>202.06741268842916</v>
      </c>
      <c r="AI5" s="2">
        <f>IF($W5=AI$3,$AB5,IF(NOT($W5=0),"",SUMIFS('Val-Vol (2)'!AI$4:AI$1116,'Val-Vol (2)'!$A$4:$A$1116,$D5,'Val-Vol (2)'!$V$4:$V$1116,$V5)/SUMIFS('Comp2016-2017 (3)'!$G$5:$G$289,'Comp2016-2017 (3)'!$A$5:$A$289,$D5,'Comp2016-2017 (3)'!$R$5:$R$289,$V5)*$AB5))</f>
        <v>262.9512003907505</v>
      </c>
      <c r="AJ5" s="2">
        <f>IF($W5=AJ$3,$AB5,IF(NOT($W5=0),"",SUMIFS('Val-Vol (2)'!AJ$4:AJ$1116,'Val-Vol (2)'!$A$4:$A$1116,$D5,'Val-Vol (2)'!$V$4:$V$1116,$V5)/SUMIFS('Comp2016-2017 (3)'!$G$5:$G$289,'Comp2016-2017 (3)'!$A$5:$A$289,$D5,'Comp2016-2017 (3)'!$R$5:$R$289,$V5)*$AB5))</f>
        <v>505.94703948227641</v>
      </c>
      <c r="AK5" s="2">
        <f t="shared" ref="AK5:AK68" si="4">SUM(AC5:AJ5)-AB5</f>
        <v>0</v>
      </c>
      <c r="AL5" t="str">
        <f t="shared" si="2"/>
        <v/>
      </c>
      <c r="AM5" t="str">
        <f>VLOOKUP(A5,'Table corresp.'!$M$4:$U$63,8,FALSE)</f>
        <v>Forêt</v>
      </c>
      <c r="AN5" t="str">
        <f>VLOOKUP(D5,'Table corresp.'!$M$4:$U$63,9,FALSE)</f>
        <v>Production intermédiaire</v>
      </c>
    </row>
    <row r="6" spans="1:40" x14ac:dyDescent="0.25">
      <c r="A6" t="s">
        <v>80</v>
      </c>
      <c r="B6">
        <f>VLOOKUP(LEFT(A6,3),'Table corresp.'!$A$4:$D$63,3,FALSE)</f>
        <v>0</v>
      </c>
      <c r="C6" t="str">
        <f>VLOOKUP(A6,'Table corresp.'!$M$4:$P$63,4,FALSE)</f>
        <v>Production et transformation de produits bois</v>
      </c>
      <c r="D6" t="s">
        <v>54</v>
      </c>
      <c r="E6" t="str">
        <f>VLOOKUP(LEFT(D6,3),'Table corresp.'!$A$4:$D$63,4,FALSE)</f>
        <v>Consommation finale</v>
      </c>
      <c r="F6" t="str">
        <f t="shared" si="0"/>
        <v>01  - Con</v>
      </c>
      <c r="G6" s="1">
        <v>600</v>
      </c>
      <c r="H6" s="1">
        <v>301</v>
      </c>
      <c r="I6" s="1">
        <v>901</v>
      </c>
      <c r="J6" s="1">
        <v>0</v>
      </c>
      <c r="K6" s="1">
        <v>0</v>
      </c>
      <c r="L6" s="1">
        <v>0</v>
      </c>
      <c r="M6" s="1">
        <v>0</v>
      </c>
      <c r="N6" s="1">
        <v>0</v>
      </c>
      <c r="O6" s="1">
        <v>0</v>
      </c>
      <c r="P6" s="1">
        <v>0</v>
      </c>
      <c r="Q6" s="1">
        <v>0</v>
      </c>
      <c r="R6" s="1">
        <v>0</v>
      </c>
      <c r="S6" s="67"/>
      <c r="T6">
        <f>VLOOKUP(A6,'Groupe de branches'!$Z$27:$AM$86,14,FALSE)</f>
        <v>0</v>
      </c>
      <c r="U6">
        <f>VLOOKUP(D6,'Groupe de branches'!$Z$27:$AM$86,14,FALSE)</f>
        <v>0</v>
      </c>
      <c r="V6">
        <v>2016</v>
      </c>
      <c r="W6" t="str">
        <f>VLOOKUP(D6,'Table corresp.'!$M$4:$S$63,7,FALSE)</f>
        <v>Consommation finale</v>
      </c>
      <c r="X6" s="167">
        <f>IFERROR(G6/SUMIFS('Comp2016-2017 (3)'!$I$5:$I$289,'Comp2016-2017 (3)'!$A$5:$A$289,A6,'Comp2016-2017 (3)'!$R$5:$R$289,V6),0)</f>
        <v>2.3120487401129968E-2</v>
      </c>
      <c r="Y6" s="178">
        <f>IFERROR(IF(RIGHT(F6,3)="Exp",VLOOKUP(F6,#REF!,2,FALSE),VLOOKUP(F6,#REF!,9,FALSE)),1)</f>
        <v>1</v>
      </c>
      <c r="Z6" s="167">
        <f t="shared" si="1"/>
        <v>0.25</v>
      </c>
      <c r="AA6" s="189">
        <f t="shared" si="3"/>
        <v>5.780121850282492E-3</v>
      </c>
      <c r="AB6" s="2">
        <f>IFERROR(SUMIFS('Comp2016-2017 (3)'!$G$5:$G$289,'Comp2016-2017 (3)'!$A$5:$A$289,A6,'Comp2016-2017 (3)'!$R$5:$R$289,V6)*AA6/SUMIFS($AA$4:$AA$1116,$A$4:$A$1116,A6,$V$4:$V$1116,V6),0)</f>
        <v>312.00074104249484</v>
      </c>
      <c r="AC6" s="2" t="str">
        <f>IF($W6=AC$3,$AB6,IF(NOT($W6=0),"",SUMIFS('Val-Vol (2)'!AC$4:AC$1116,'Val-Vol (2)'!$A$4:$A$1116,$D6,'Val-Vol (2)'!$V$4:$V$1116,$V6)/SUMIFS('Comp2016-2017 (3)'!$G$5:$G$289,'Comp2016-2017 (3)'!$A$5:$A$289,$D6,'Comp2016-2017 (3)'!$R$5:$R$289,$V6)*$AB6))</f>
        <v/>
      </c>
      <c r="AD6" s="2" t="str">
        <f>IF($W6=AD$3,$AB6,IF(NOT($W6=0),"",SUMIFS('Val-Vol (2)'!AD$4:AD$1116,'Val-Vol (2)'!$A$4:$A$1116,$D6,'Val-Vol (2)'!$V$4:$V$1116,$V6)/SUMIFS('Comp2016-2017 (3)'!$G$5:$G$289,'Comp2016-2017 (3)'!$A$5:$A$289,$D6,'Comp2016-2017 (3)'!$R$5:$R$289,$V6)*$AB6))</f>
        <v/>
      </c>
      <c r="AE6" s="2" t="str">
        <f>IF($W6=AE$3,$AB6,IF(NOT($W6=0),"",SUMIFS('Val-Vol (2)'!AE$4:AE$1116,'Val-Vol (2)'!$A$4:$A$1116,$D6,'Val-Vol (2)'!$V$4:$V$1116,$V6)/SUMIFS('Comp2016-2017 (3)'!$G$5:$G$289,'Comp2016-2017 (3)'!$A$5:$A$289,$D6,'Comp2016-2017 (3)'!$R$5:$R$289,$V6)*$AB6))</f>
        <v/>
      </c>
      <c r="AF6" s="2" t="str">
        <f>IF($W6=AF$3,$AB6,IF(NOT($W6=0),"",SUMIFS('Val-Vol (2)'!AF$4:AF$1116,'Val-Vol (2)'!$A$4:$A$1116,$D6,'Val-Vol (2)'!$V$4:$V$1116,$V6)/SUMIFS('Comp2016-2017 (3)'!$G$5:$G$289,'Comp2016-2017 (3)'!$A$5:$A$289,$D6,'Comp2016-2017 (3)'!$R$5:$R$289,$V6)*$AB6))</f>
        <v/>
      </c>
      <c r="AG6" s="2" t="str">
        <f>IF($W6=AG$3,$AB6,IF(NOT($W6=0),"",SUMIFS('Val-Vol (2)'!AG$4:AG$1116,'Val-Vol (2)'!$A$4:$A$1116,$D6,'Val-Vol (2)'!$V$4:$V$1116,$V6)/SUMIFS('Comp2016-2017 (3)'!$G$5:$G$289,'Comp2016-2017 (3)'!$A$5:$A$289,$D6,'Comp2016-2017 (3)'!$R$5:$R$289,$V6)*$AB6))</f>
        <v/>
      </c>
      <c r="AH6" s="2" t="str">
        <f>IF($W6=AH$3,$AB6,IF(NOT($W6=0),"",SUMIFS('Val-Vol (2)'!AH$4:AH$1116,'Val-Vol (2)'!$A$4:$A$1116,$D6,'Val-Vol (2)'!$V$4:$V$1116,$V6)/SUMIFS('Comp2016-2017 (3)'!$G$5:$G$289,'Comp2016-2017 (3)'!$A$5:$A$289,$D6,'Comp2016-2017 (3)'!$R$5:$R$289,$V6)*$AB6))</f>
        <v/>
      </c>
      <c r="AI6" s="2" t="str">
        <f>IF($W6=AI$3,$AB6,IF(NOT($W6=0),"",SUMIFS('Val-Vol (2)'!AI$4:AI$1116,'Val-Vol (2)'!$A$4:$A$1116,$D6,'Val-Vol (2)'!$V$4:$V$1116,$V6)/SUMIFS('Comp2016-2017 (3)'!$G$5:$G$289,'Comp2016-2017 (3)'!$A$5:$A$289,$D6,'Comp2016-2017 (3)'!$R$5:$R$289,$V6)*$AB6))</f>
        <v/>
      </c>
      <c r="AJ6" s="2">
        <f>IF($W6=AJ$3,$AB6,IF(NOT($W6=0),"",SUMIFS('Val-Vol (2)'!AJ$4:AJ$1116,'Val-Vol (2)'!$A$4:$A$1116,$D6,'Val-Vol (2)'!$V$4:$V$1116,$V6)/SUMIFS('Comp2016-2017 (3)'!$G$5:$G$289,'Comp2016-2017 (3)'!$A$5:$A$289,$D6,'Comp2016-2017 (3)'!$R$5:$R$289,$V6)*$AB6))</f>
        <v>312.00074104249484</v>
      </c>
      <c r="AK6" s="2">
        <f t="shared" si="4"/>
        <v>0</v>
      </c>
      <c r="AL6" t="str">
        <f t="shared" si="2"/>
        <v/>
      </c>
      <c r="AM6" t="str">
        <f>VLOOKUP(A6,'Table corresp.'!$M$4:$U$63,8,FALSE)</f>
        <v>Forêt</v>
      </c>
      <c r="AN6" t="str">
        <f>VLOOKUP(D6,'Table corresp.'!$M$4:$U$63,9,FALSE)</f>
        <v>Consommation finale française</v>
      </c>
    </row>
    <row r="7" spans="1:40" x14ac:dyDescent="0.25">
      <c r="A7" t="s">
        <v>80</v>
      </c>
      <c r="B7">
        <f>VLOOKUP(LEFT(A7,3),'Table corresp.'!$A$4:$D$63,3,FALSE)</f>
        <v>0</v>
      </c>
      <c r="C7" t="str">
        <f>VLOOKUP(A7,'Table corresp.'!$M$4:$P$63,4,FALSE)</f>
        <v>Production et transformation de produits bois</v>
      </c>
      <c r="D7" t="s">
        <v>53</v>
      </c>
      <c r="E7" t="str">
        <f>VLOOKUP(LEFT(D7,3),'Table corresp.'!$A$4:$D$63,4,FALSE)</f>
        <v>Exportation</v>
      </c>
      <c r="F7" t="str">
        <f t="shared" si="0"/>
        <v>01  - Exp</v>
      </c>
      <c r="G7" s="1">
        <v>2681.3490000000002</v>
      </c>
      <c r="H7" s="1">
        <v>0</v>
      </c>
      <c r="I7" s="1">
        <v>2681.3490000000002</v>
      </c>
      <c r="J7" s="1">
        <v>0</v>
      </c>
      <c r="K7" s="1">
        <v>0</v>
      </c>
      <c r="L7" s="1">
        <v>0</v>
      </c>
      <c r="M7" s="1">
        <v>0</v>
      </c>
      <c r="N7" s="1">
        <v>0</v>
      </c>
      <c r="O7" s="1">
        <v>0</v>
      </c>
      <c r="P7" s="1">
        <v>0</v>
      </c>
      <c r="Q7" s="1">
        <v>0</v>
      </c>
      <c r="R7" s="1">
        <v>0</v>
      </c>
      <c r="S7" s="67"/>
      <c r="T7">
        <f>VLOOKUP(A7,'Groupe de branches'!$Z$27:$AM$86,14,FALSE)</f>
        <v>0</v>
      </c>
      <c r="U7">
        <f>VLOOKUP(D7,'Groupe de branches'!$Z$27:$AM$86,14,FALSE)</f>
        <v>0</v>
      </c>
      <c r="V7">
        <v>2016</v>
      </c>
      <c r="W7" t="str">
        <f>VLOOKUP(D7,'Table corresp.'!$M$4:$S$63,7,FALSE)</f>
        <v>Exportation</v>
      </c>
      <c r="X7" s="167">
        <f>IFERROR(G7/SUMIFS('Comp2016-2017 (3)'!$I$5:$I$289,'Comp2016-2017 (3)'!$A$5:$A$289,A7,'Comp2016-2017 (3)'!$R$5:$R$289,V7),0)</f>
        <v>0.10332349295422075</v>
      </c>
      <c r="Y7" s="178">
        <f>IFERROR(IF(RIGHT(F7,3)="Exp",VLOOKUP(F7,#REF!,2,FALSE),VLOOKUP(F7,#REF!,9,FALSE)),1)</f>
        <v>1</v>
      </c>
      <c r="Z7" s="167">
        <f t="shared" si="1"/>
        <v>0.25</v>
      </c>
      <c r="AA7" s="189">
        <f t="shared" si="3"/>
        <v>2.5830873238555187E-2</v>
      </c>
      <c r="AB7" s="2">
        <f>IFERROR(SUMIFS('Comp2016-2017 (3)'!$G$5:$G$289,'Comp2016-2017 (3)'!$A$5:$A$289,A7,'Comp2016-2017 (3)'!$R$5:$R$289,V7)*AA7/SUMIFS($AA$4:$AA$1116,$A$4:$A$1116,A7,$V$4:$V$1116,V7),0)</f>
        <v>1394.3047916559208</v>
      </c>
      <c r="AC7" s="2">
        <f>IF($W7=AC$3,$AB7,IF(NOT($W7=0),"",SUMIFS('Val-Vol (2)'!AC$4:AC$1116,'Val-Vol (2)'!$A$4:$A$1116,$D7,'Val-Vol (2)'!$V$4:$V$1116,$V7)/SUMIFS('Comp2016-2017 (3)'!$G$5:$G$289,'Comp2016-2017 (3)'!$A$5:$A$289,$D7,'Comp2016-2017 (3)'!$R$5:$R$289,$V7)*$AB7))</f>
        <v>1394.3047916559208</v>
      </c>
      <c r="AD7" s="2" t="str">
        <f>IF($W7=AD$3,$AB7,IF(NOT($W7=0),"",SUMIFS('Val-Vol (2)'!AD$4:AD$1116,'Val-Vol (2)'!$A$4:$A$1116,$D7,'Val-Vol (2)'!$V$4:$V$1116,$V7)/SUMIFS('Comp2016-2017 (3)'!$G$5:$G$289,'Comp2016-2017 (3)'!$A$5:$A$289,$D7,'Comp2016-2017 (3)'!$R$5:$R$289,$V7)*$AB7))</f>
        <v/>
      </c>
      <c r="AE7" s="2" t="str">
        <f>IF($W7=AE$3,$AB7,IF(NOT($W7=0),"",SUMIFS('Val-Vol (2)'!AE$4:AE$1116,'Val-Vol (2)'!$A$4:$A$1116,$D7,'Val-Vol (2)'!$V$4:$V$1116,$V7)/SUMIFS('Comp2016-2017 (3)'!$G$5:$G$289,'Comp2016-2017 (3)'!$A$5:$A$289,$D7,'Comp2016-2017 (3)'!$R$5:$R$289,$V7)*$AB7))</f>
        <v/>
      </c>
      <c r="AF7" s="2" t="str">
        <f>IF($W7=AF$3,$AB7,IF(NOT($W7=0),"",SUMIFS('Val-Vol (2)'!AF$4:AF$1116,'Val-Vol (2)'!$A$4:$A$1116,$D7,'Val-Vol (2)'!$V$4:$V$1116,$V7)/SUMIFS('Comp2016-2017 (3)'!$G$5:$G$289,'Comp2016-2017 (3)'!$A$5:$A$289,$D7,'Comp2016-2017 (3)'!$R$5:$R$289,$V7)*$AB7))</f>
        <v/>
      </c>
      <c r="AG7" s="2" t="str">
        <f>IF($W7=AG$3,$AB7,IF(NOT($W7=0),"",SUMIFS('Val-Vol (2)'!AG$4:AG$1116,'Val-Vol (2)'!$A$4:$A$1116,$D7,'Val-Vol (2)'!$V$4:$V$1116,$V7)/SUMIFS('Comp2016-2017 (3)'!$G$5:$G$289,'Comp2016-2017 (3)'!$A$5:$A$289,$D7,'Comp2016-2017 (3)'!$R$5:$R$289,$V7)*$AB7))</f>
        <v/>
      </c>
      <c r="AH7" s="2" t="str">
        <f>IF($W7=AH$3,$AB7,IF(NOT($W7=0),"",SUMIFS('Val-Vol (2)'!AH$4:AH$1116,'Val-Vol (2)'!$A$4:$A$1116,$D7,'Val-Vol (2)'!$V$4:$V$1116,$V7)/SUMIFS('Comp2016-2017 (3)'!$G$5:$G$289,'Comp2016-2017 (3)'!$A$5:$A$289,$D7,'Comp2016-2017 (3)'!$R$5:$R$289,$V7)*$AB7))</f>
        <v/>
      </c>
      <c r="AI7" s="2" t="str">
        <f>IF($W7=AI$3,$AB7,IF(NOT($W7=0),"",SUMIFS('Val-Vol (2)'!AI$4:AI$1116,'Val-Vol (2)'!$A$4:$A$1116,$D7,'Val-Vol (2)'!$V$4:$V$1116,$V7)/SUMIFS('Comp2016-2017 (3)'!$G$5:$G$289,'Comp2016-2017 (3)'!$A$5:$A$289,$D7,'Comp2016-2017 (3)'!$R$5:$R$289,$V7)*$AB7))</f>
        <v/>
      </c>
      <c r="AJ7" s="2" t="str">
        <f>IF($W7=AJ$3,$AB7,IF(NOT($W7=0),"",SUMIFS('Val-Vol (2)'!AJ$4:AJ$1116,'Val-Vol (2)'!$A$4:$A$1116,$D7,'Val-Vol (2)'!$V$4:$V$1116,$V7)/SUMIFS('Comp2016-2017 (3)'!$G$5:$G$289,'Comp2016-2017 (3)'!$A$5:$A$289,$D7,'Comp2016-2017 (3)'!$R$5:$R$289,$V7)*$AB7))</f>
        <v/>
      </c>
      <c r="AK7" s="2">
        <f t="shared" si="4"/>
        <v>0</v>
      </c>
      <c r="AL7" t="str">
        <f t="shared" si="2"/>
        <v/>
      </c>
      <c r="AM7" t="str">
        <f>VLOOKUP(A7,'Table corresp.'!$M$4:$U$63,8,FALSE)</f>
        <v>Forêt</v>
      </c>
      <c r="AN7" t="str">
        <f>VLOOKUP(D7,'Table corresp.'!$M$4:$U$63,9,FALSE)</f>
        <v>Exportation</v>
      </c>
    </row>
    <row r="8" spans="1:40" x14ac:dyDescent="0.25">
      <c r="A8" t="s">
        <v>0</v>
      </c>
      <c r="B8" t="str">
        <f>VLOOKUP(LEFT(A8,3),'Table corresp.'!$A$4:$D$63,3,FALSE)</f>
        <v>Forêt</v>
      </c>
      <c r="C8" t="str">
        <f>VLOOKUP(A8,'Table corresp.'!$M$4:$P$63,4,FALSE)</f>
        <v>Production et transformation de produits bois</v>
      </c>
      <c r="D8" t="s">
        <v>4</v>
      </c>
      <c r="E8" t="str">
        <f>VLOOKUP(LEFT(D8,3),'Table corresp.'!$A$4:$D$63,4,FALSE)</f>
        <v>Transformation</v>
      </c>
      <c r="F8" t="str">
        <f t="shared" si="0"/>
        <v xml:space="preserve">02  - 08 </v>
      </c>
      <c r="G8" s="58">
        <v>193975.18279684309</v>
      </c>
      <c r="H8" s="58">
        <v>6453.3019999999997</v>
      </c>
      <c r="I8" s="58">
        <v>200428.48479684308</v>
      </c>
      <c r="J8" s="58">
        <v>1442.7325759655082</v>
      </c>
      <c r="K8" s="58">
        <v>12.870193688046877</v>
      </c>
      <c r="L8" s="58">
        <v>1455.602769653555</v>
      </c>
      <c r="M8" s="1">
        <v>0</v>
      </c>
      <c r="N8" s="1">
        <v>0</v>
      </c>
      <c r="O8" s="1">
        <v>0</v>
      </c>
      <c r="P8" s="1">
        <v>0</v>
      </c>
      <c r="Q8" s="1">
        <v>0</v>
      </c>
      <c r="R8" s="1">
        <v>0</v>
      </c>
      <c r="S8" s="67"/>
      <c r="T8">
        <f>VLOOKUP(A8,'Groupe de branches'!$Z$27:$AM$86,14,FALSE)</f>
        <v>0</v>
      </c>
      <c r="U8">
        <f>VLOOKUP(D8,'Groupe de branches'!$Z$27:$AM$86,14,FALSE)</f>
        <v>0</v>
      </c>
      <c r="V8">
        <v>2016</v>
      </c>
      <c r="W8">
        <f>VLOOKUP(D8,'Table corresp.'!$M$4:$S$63,7,FALSE)</f>
        <v>0</v>
      </c>
      <c r="X8" s="167">
        <f>IFERROR(G8/SUMIFS('Comp2016-2017 (3)'!$I$5:$I$289,'Comp2016-2017 (3)'!$A$5:$A$289,A8,'Comp2016-2017 (3)'!$R$5:$R$289,V8),0)</f>
        <v>0.17859279352356672</v>
      </c>
      <c r="Y8" s="178">
        <f>IFERROR(IF(RIGHT(F8,3)="Exp",VLOOKUP(F8,#REF!,2,FALSE),VLOOKUP(F8,#REF!,9,FALSE)),1)</f>
        <v>1</v>
      </c>
      <c r="Z8" s="167">
        <f t="shared" si="1"/>
        <v>6.25E-2</v>
      </c>
      <c r="AA8" s="189">
        <f t="shared" si="3"/>
        <v>1.116204959522292E-2</v>
      </c>
      <c r="AB8" s="2">
        <f>IFERROR(SUMIFS('Comp2016-2017 (3)'!$G$5:$G$289,'Comp2016-2017 (3)'!$A$5:$A$289,A8,'Comp2016-2017 (3)'!$R$5:$R$289,V8)*AA8/SUMIFS($AA$4:$AA$1116,$A$4:$A$1116,A8,$V$4:$V$1116,V8),0)</f>
        <v>114362.96152713783</v>
      </c>
      <c r="AC8" s="2">
        <f>IF($W8=AC$3,$AB8,IF(NOT($W8=0),"",SUMIFS('Val-Vol (2)'!AC$4:AC$1116,'Val-Vol (2)'!$A$4:$A$1116,$D8,'Val-Vol (2)'!$V$4:$V$1116,$V8)/SUMIFS('Comp2016-2017 (3)'!$G$5:$G$289,'Comp2016-2017 (3)'!$A$5:$A$289,$D8,'Comp2016-2017 (3)'!$R$5:$R$289,$V8)*$AB8))</f>
        <v>33326.297868265232</v>
      </c>
      <c r="AD8" s="2">
        <f>IF($W8=AD$3,$AB8,IF(NOT($W8=0),"",SUMIFS('Val-Vol (2)'!AD$4:AD$1116,'Val-Vol (2)'!$A$4:$A$1116,$D8,'Val-Vol (2)'!$V$4:$V$1116,$V8)/SUMIFS('Comp2016-2017 (3)'!$G$5:$G$289,'Comp2016-2017 (3)'!$A$5:$A$289,$D8,'Comp2016-2017 (3)'!$R$5:$R$289,$V8)*$AB8))</f>
        <v>33560.192191582028</v>
      </c>
      <c r="AE8" s="2">
        <f>IF($W8=AE$3,$AB8,IF(NOT($W8=0),"",SUMIFS('Val-Vol (2)'!AE$4:AE$1116,'Val-Vol (2)'!$A$4:$A$1116,$D8,'Val-Vol (2)'!$V$4:$V$1116,$V8)/SUMIFS('Comp2016-2017 (3)'!$G$5:$G$289,'Comp2016-2017 (3)'!$A$5:$A$289,$D8,'Comp2016-2017 (3)'!$R$5:$R$289,$V8)*$AB8))</f>
        <v>16974.470255734373</v>
      </c>
      <c r="AF8" s="2">
        <f>IF($W8=AF$3,$AB8,IF(NOT($W8=0),"",SUMIFS('Val-Vol (2)'!AF$4:AF$1116,'Val-Vol (2)'!$A$4:$A$1116,$D8,'Val-Vol (2)'!$V$4:$V$1116,$V8)/SUMIFS('Comp2016-2017 (3)'!$G$5:$G$289,'Comp2016-2017 (3)'!$A$5:$A$289,$D8,'Comp2016-2017 (3)'!$R$5:$R$289,$V8)*$AB8))</f>
        <v>0</v>
      </c>
      <c r="AG8" s="2">
        <f>IF($W8=AG$3,$AB8,IF(NOT($W8=0),"",SUMIFS('Val-Vol (2)'!AG$4:AG$1116,'Val-Vol (2)'!$A$4:$A$1116,$D8,'Val-Vol (2)'!$V$4:$V$1116,$V8)/SUMIFS('Comp2016-2017 (3)'!$G$5:$G$289,'Comp2016-2017 (3)'!$A$5:$A$289,$D8,'Comp2016-2017 (3)'!$R$5:$R$289,$V8)*$AB8))</f>
        <v>0</v>
      </c>
      <c r="AH8" s="2">
        <f>IF($W8=AH$3,$AB8,IF(NOT($W8=0),"",SUMIFS('Val-Vol (2)'!AH$4:AH$1116,'Val-Vol (2)'!$A$4:$A$1116,$D8,'Val-Vol (2)'!$V$4:$V$1116,$V8)/SUMIFS('Comp2016-2017 (3)'!$G$5:$G$289,'Comp2016-2017 (3)'!$A$5:$A$289,$D8,'Comp2016-2017 (3)'!$R$5:$R$289,$V8)*$AB8))</f>
        <v>0</v>
      </c>
      <c r="AI8" s="2">
        <f>IF($W8=AI$3,$AB8,IF(NOT($W8=0),"",SUMIFS('Val-Vol (2)'!AI$4:AI$1116,'Val-Vol (2)'!$A$4:$A$1116,$D8,'Val-Vol (2)'!$V$4:$V$1116,$V8)/SUMIFS('Comp2016-2017 (3)'!$G$5:$G$289,'Comp2016-2017 (3)'!$A$5:$A$289,$D8,'Comp2016-2017 (3)'!$R$5:$R$289,$V8)*$AB8))</f>
        <v>11741.751337547472</v>
      </c>
      <c r="AJ8" s="2">
        <f>IF($W8=AJ$3,$AB8,IF(NOT($W8=0),"",SUMIFS('Val-Vol (2)'!AJ$4:AJ$1116,'Val-Vol (2)'!$A$4:$A$1116,$D8,'Val-Vol (2)'!$V$4:$V$1116,$V8)/SUMIFS('Comp2016-2017 (3)'!$G$5:$G$289,'Comp2016-2017 (3)'!$A$5:$A$289,$D8,'Comp2016-2017 (3)'!$R$5:$R$289,$V8)*$AB8))</f>
        <v>18760.249874008721</v>
      </c>
      <c r="AK8" s="2">
        <f t="shared" si="4"/>
        <v>0</v>
      </c>
      <c r="AL8" t="str">
        <f t="shared" si="2"/>
        <v/>
      </c>
      <c r="AM8" t="str">
        <f>VLOOKUP(A8,'Table corresp.'!$M$4:$U$63,8,FALSE)</f>
        <v>Forêt</v>
      </c>
      <c r="AN8" t="str">
        <f>VLOOKUP(D8,'Table corresp.'!$M$4:$U$63,9,FALSE)</f>
        <v>Production intermédiaire</v>
      </c>
    </row>
    <row r="9" spans="1:40" x14ac:dyDescent="0.25">
      <c r="A9" t="s">
        <v>0</v>
      </c>
      <c r="B9" t="str">
        <f>VLOOKUP(LEFT(A9,3),'Table corresp.'!$A$4:$D$63,3,FALSE)</f>
        <v>Forêt</v>
      </c>
      <c r="C9" t="str">
        <f>VLOOKUP(A9,'Table corresp.'!$M$4:$P$63,4,FALSE)</f>
        <v>Production et transformation de produits bois</v>
      </c>
      <c r="D9" t="s">
        <v>5</v>
      </c>
      <c r="E9" t="str">
        <f>VLOOKUP(LEFT(D9,3),'Table corresp.'!$A$4:$D$63,4,FALSE)</f>
        <v>Transformation</v>
      </c>
      <c r="F9" t="str">
        <f t="shared" si="0"/>
        <v xml:space="preserve">02  - 09 </v>
      </c>
      <c r="G9" s="1">
        <v>33374.928411702123</v>
      </c>
      <c r="H9" s="1">
        <v>810.899</v>
      </c>
      <c r="I9" s="1">
        <v>34185.827411702121</v>
      </c>
      <c r="J9" s="1">
        <v>793.54585201106556</v>
      </c>
      <c r="K9" s="1">
        <v>1.6172228095699728</v>
      </c>
      <c r="L9" s="1">
        <v>795.16307482063553</v>
      </c>
      <c r="M9" s="1">
        <v>0</v>
      </c>
      <c r="N9" s="1">
        <v>0</v>
      </c>
      <c r="O9" s="1">
        <v>0</v>
      </c>
      <c r="P9" s="1">
        <v>0</v>
      </c>
      <c r="Q9" s="1">
        <v>0</v>
      </c>
      <c r="R9" s="1">
        <v>0</v>
      </c>
      <c r="S9" s="67"/>
      <c r="T9">
        <f>VLOOKUP(A9,'Groupe de branches'!$Z$27:$AM$86,14,FALSE)</f>
        <v>0</v>
      </c>
      <c r="U9">
        <f>VLOOKUP(D9,'Groupe de branches'!$Z$27:$AM$86,14,FALSE)</f>
        <v>0</v>
      </c>
      <c r="V9">
        <v>2016</v>
      </c>
      <c r="W9">
        <f>VLOOKUP(D9,'Table corresp.'!$M$4:$S$63,7,FALSE)</f>
        <v>0</v>
      </c>
      <c r="X9" s="167">
        <f>IFERROR(G9/SUMIFS('Comp2016-2017 (3)'!$I$5:$I$289,'Comp2016-2017 (3)'!$A$5:$A$289,A9,'Comp2016-2017 (3)'!$R$5:$R$289,V9),0)</f>
        <v>3.0728269527847789E-2</v>
      </c>
      <c r="Y9" s="178">
        <f>IFERROR(IF(RIGHT(F9,3)="Exp",VLOOKUP(F9,#REF!,2,FALSE),VLOOKUP(F9,#REF!,9,FALSE)),1)</f>
        <v>1</v>
      </c>
      <c r="Z9" s="167">
        <f t="shared" si="1"/>
        <v>6.25E-2</v>
      </c>
      <c r="AA9" s="189">
        <f t="shared" si="3"/>
        <v>1.9205168454904868E-3</v>
      </c>
      <c r="AB9" s="2">
        <f>IFERROR(SUMIFS('Comp2016-2017 (3)'!$G$5:$G$289,'Comp2016-2017 (3)'!$A$5:$A$289,A9,'Comp2016-2017 (3)'!$R$5:$R$289,V9)*AA9/SUMIFS($AA$4:$AA$1116,$A$4:$A$1116,A9,$V$4:$V$1116,V9),0)</f>
        <v>19677.030839125408</v>
      </c>
      <c r="AC9" s="2">
        <f>IF($W9=AC$3,$AB9,IF(NOT($W9=0),"",SUMIFS('Val-Vol (2)'!AC$4:AC$1116,'Val-Vol (2)'!$A$4:$A$1116,$D9,'Val-Vol (2)'!$V$4:$V$1116,$V9)/SUMIFS('Comp2016-2017 (3)'!$G$5:$G$289,'Comp2016-2017 (3)'!$A$5:$A$289,$D9,'Comp2016-2017 (3)'!$R$5:$R$289,$V9)*$AB9))</f>
        <v>6219.0614045590692</v>
      </c>
      <c r="AD9" s="2">
        <f>IF($W9=AD$3,$AB9,IF(NOT($W9=0),"",SUMIFS('Val-Vol (2)'!AD$4:AD$1116,'Val-Vol (2)'!$A$4:$A$1116,$D9,'Val-Vol (2)'!$V$4:$V$1116,$V9)/SUMIFS('Comp2016-2017 (3)'!$G$5:$G$289,'Comp2016-2017 (3)'!$A$5:$A$289,$D9,'Comp2016-2017 (3)'!$R$5:$R$289,$V9)*$AB9))</f>
        <v>6678.4478823230802</v>
      </c>
      <c r="AE9" s="2">
        <f>IF($W9=AE$3,$AB9,IF(NOT($W9=0),"",SUMIFS('Val-Vol (2)'!AE$4:AE$1116,'Val-Vol (2)'!$A$4:$A$1116,$D9,'Val-Vol (2)'!$V$4:$V$1116,$V9)/SUMIFS('Comp2016-2017 (3)'!$G$5:$G$289,'Comp2016-2017 (3)'!$A$5:$A$289,$D9,'Comp2016-2017 (3)'!$R$5:$R$289,$V9)*$AB9))</f>
        <v>116.40531369039806</v>
      </c>
      <c r="AF9" s="2">
        <f>IF($W9=AF$3,$AB9,IF(NOT($W9=0),"",SUMIFS('Val-Vol (2)'!AF$4:AF$1116,'Val-Vol (2)'!$A$4:$A$1116,$D9,'Val-Vol (2)'!$V$4:$V$1116,$V9)/SUMIFS('Comp2016-2017 (3)'!$G$5:$G$289,'Comp2016-2017 (3)'!$A$5:$A$289,$D9,'Comp2016-2017 (3)'!$R$5:$R$289,$V9)*$AB9))</f>
        <v>0</v>
      </c>
      <c r="AG9" s="2">
        <f>IF($W9=AG$3,$AB9,IF(NOT($W9=0),"",SUMIFS('Val-Vol (2)'!AG$4:AG$1116,'Val-Vol (2)'!$A$4:$A$1116,$D9,'Val-Vol (2)'!$V$4:$V$1116,$V9)/SUMIFS('Comp2016-2017 (3)'!$G$5:$G$289,'Comp2016-2017 (3)'!$A$5:$A$289,$D9,'Comp2016-2017 (3)'!$R$5:$R$289,$V9)*$AB9))</f>
        <v>2449.123721258668</v>
      </c>
      <c r="AH9" s="2">
        <f>IF($W9=AH$3,$AB9,IF(NOT($W9=0),"",SUMIFS('Val-Vol (2)'!AH$4:AH$1116,'Val-Vol (2)'!$A$4:$A$1116,$D9,'Val-Vol (2)'!$V$4:$V$1116,$V9)/SUMIFS('Comp2016-2017 (3)'!$G$5:$G$289,'Comp2016-2017 (3)'!$A$5:$A$289,$D9,'Comp2016-2017 (3)'!$R$5:$R$289,$V9)*$AB9))</f>
        <v>0</v>
      </c>
      <c r="AI9" s="2">
        <f>IF($W9=AI$3,$AB9,IF(NOT($W9=0),"",SUMIFS('Val-Vol (2)'!AI$4:AI$1116,'Val-Vol (2)'!$A$4:$A$1116,$D9,'Val-Vol (2)'!$V$4:$V$1116,$V9)/SUMIFS('Comp2016-2017 (3)'!$G$5:$G$289,'Comp2016-2017 (3)'!$A$5:$A$289,$D9,'Comp2016-2017 (3)'!$R$5:$R$289,$V9)*$AB9))</f>
        <v>3776.90756166439</v>
      </c>
      <c r="AJ9" s="2">
        <f>IF($W9=AJ$3,$AB9,IF(NOT($W9=0),"",SUMIFS('Val-Vol (2)'!AJ$4:AJ$1116,'Val-Vol (2)'!$A$4:$A$1116,$D9,'Val-Vol (2)'!$V$4:$V$1116,$V9)/SUMIFS('Comp2016-2017 (3)'!$G$5:$G$289,'Comp2016-2017 (3)'!$A$5:$A$289,$D9,'Comp2016-2017 (3)'!$R$5:$R$289,$V9)*$AB9))</f>
        <v>437.08495562979994</v>
      </c>
      <c r="AK9" s="2">
        <f t="shared" si="4"/>
        <v>0</v>
      </c>
      <c r="AL9" t="str">
        <f t="shared" si="2"/>
        <v/>
      </c>
      <c r="AM9" t="str">
        <f>VLOOKUP(A9,'Table corresp.'!$M$4:$U$63,8,FALSE)</f>
        <v>Forêt</v>
      </c>
      <c r="AN9" t="str">
        <f>VLOOKUP(D9,'Table corresp.'!$M$4:$U$63,9,FALSE)</f>
        <v>Production intermédiaire</v>
      </c>
    </row>
    <row r="10" spans="1:40" x14ac:dyDescent="0.25">
      <c r="A10" t="s">
        <v>0</v>
      </c>
      <c r="B10" t="str">
        <f>VLOOKUP(LEFT(A10,3),'Table corresp.'!$A$4:$D$63,3,FALSE)</f>
        <v>Forêt</v>
      </c>
      <c r="C10" t="str">
        <f>VLOOKUP(A10,'Table corresp.'!$M$4:$P$63,4,FALSE)</f>
        <v>Production et transformation de produits bois</v>
      </c>
      <c r="D10" t="s">
        <v>82</v>
      </c>
      <c r="E10" t="str">
        <f>VLOOKUP(LEFT(D10,3),'Table corresp.'!$A$4:$D$63,4,FALSE)</f>
        <v>Transformation</v>
      </c>
      <c r="F10" t="str">
        <f t="shared" si="0"/>
        <v xml:space="preserve">02  - 10 </v>
      </c>
      <c r="G10" s="1">
        <v>29155.344365649195</v>
      </c>
      <c r="H10" s="1">
        <v>0</v>
      </c>
      <c r="I10" s="1">
        <v>29155.344365649195</v>
      </c>
      <c r="J10" s="1">
        <v>633.23215590736049</v>
      </c>
      <c r="K10" s="1">
        <v>0</v>
      </c>
      <c r="L10" s="1">
        <v>633.23215590736049</v>
      </c>
      <c r="M10" s="1">
        <v>0</v>
      </c>
      <c r="N10" s="1">
        <v>0</v>
      </c>
      <c r="O10" s="1">
        <v>0</v>
      </c>
      <c r="P10" s="1">
        <v>0</v>
      </c>
      <c r="Q10" s="1">
        <v>0</v>
      </c>
      <c r="R10" s="1">
        <v>0</v>
      </c>
      <c r="S10" s="67"/>
      <c r="T10">
        <f>VLOOKUP(A10,'Groupe de branches'!$Z$27:$AM$86,14,FALSE)</f>
        <v>0</v>
      </c>
      <c r="U10">
        <f>VLOOKUP(D10,'Groupe de branches'!$Z$27:$AM$86,14,FALSE)</f>
        <v>0</v>
      </c>
      <c r="V10">
        <v>2016</v>
      </c>
      <c r="W10">
        <f>VLOOKUP(D10,'Table corresp.'!$M$4:$S$63,7,FALSE)</f>
        <v>0</v>
      </c>
      <c r="X10" s="167">
        <f>IFERROR(G10/SUMIFS('Comp2016-2017 (3)'!$I$5:$I$289,'Comp2016-2017 (3)'!$A$5:$A$289,A10,'Comp2016-2017 (3)'!$R$5:$R$289,V10),0)</f>
        <v>2.6843301917937993E-2</v>
      </c>
      <c r="Y10" s="178">
        <f>IFERROR(IF(RIGHT(F10,3)="Exp",VLOOKUP(F10,#REF!,2,FALSE),VLOOKUP(F10,#REF!,9,FALSE)),1)</f>
        <v>1</v>
      </c>
      <c r="Z10" s="167">
        <f t="shared" si="1"/>
        <v>6.25E-2</v>
      </c>
      <c r="AA10" s="189">
        <f t="shared" si="3"/>
        <v>1.6777063698711246E-3</v>
      </c>
      <c r="AB10" s="2">
        <f>IFERROR(SUMIFS('Comp2016-2017 (3)'!$G$5:$G$289,'Comp2016-2017 (3)'!$A$5:$A$289,A10,'Comp2016-2017 (3)'!$R$5:$R$289,V10)*AA10/SUMIFS($AA$4:$AA$1116,$A$4:$A$1116,A10,$V$4:$V$1116,V10),0)</f>
        <v>17189.268636964309</v>
      </c>
      <c r="AC10" s="2">
        <f>IF($W10=AC$3,$AB10,IF(NOT($W10=0),"",SUMIFS('Val-Vol (2)'!AC$4:AC$1116,'Val-Vol (2)'!$A$4:$A$1116,$D10,'Val-Vol (2)'!$V$4:$V$1116,$V10)/SUMIFS('Comp2016-2017 (3)'!$G$5:$G$289,'Comp2016-2017 (3)'!$A$5:$A$289,$D10,'Comp2016-2017 (3)'!$R$5:$R$289,$V10)*$AB10))</f>
        <v>3323.9170619463357</v>
      </c>
      <c r="AD10" s="2">
        <f>IF($W10=AD$3,$AB10,IF(NOT($W10=0),"",SUMIFS('Val-Vol (2)'!AD$4:AD$1116,'Val-Vol (2)'!$A$4:$A$1116,$D10,'Val-Vol (2)'!$V$4:$V$1116,$V10)/SUMIFS('Comp2016-2017 (3)'!$G$5:$G$289,'Comp2016-2017 (3)'!$A$5:$A$289,$D10,'Comp2016-2017 (3)'!$R$5:$R$289,$V10)*$AB10))</f>
        <v>4903.7267577153143</v>
      </c>
      <c r="AE10" s="2">
        <f>IF($W10=AE$3,$AB10,IF(NOT($W10=0),"",SUMIFS('Val-Vol (2)'!AE$4:AE$1116,'Val-Vol (2)'!$A$4:$A$1116,$D10,'Val-Vol (2)'!$V$4:$V$1116,$V10)/SUMIFS('Comp2016-2017 (3)'!$G$5:$G$289,'Comp2016-2017 (3)'!$A$5:$A$289,$D10,'Comp2016-2017 (3)'!$R$5:$R$289,$V10)*$AB10))</f>
        <v>1027.950417205426</v>
      </c>
      <c r="AF10" s="2">
        <f>IF($W10=AF$3,$AB10,IF(NOT($W10=0),"",SUMIFS('Val-Vol (2)'!AF$4:AF$1116,'Val-Vol (2)'!$A$4:$A$1116,$D10,'Val-Vol (2)'!$V$4:$V$1116,$V10)/SUMIFS('Comp2016-2017 (3)'!$G$5:$G$289,'Comp2016-2017 (3)'!$A$5:$A$289,$D10,'Comp2016-2017 (3)'!$R$5:$R$289,$V10)*$AB10))</f>
        <v>0</v>
      </c>
      <c r="AG10" s="2">
        <f>IF($W10=AG$3,$AB10,IF(NOT($W10=0),"",SUMIFS('Val-Vol (2)'!AG$4:AG$1116,'Val-Vol (2)'!$A$4:$A$1116,$D10,'Val-Vol (2)'!$V$4:$V$1116,$V10)/SUMIFS('Comp2016-2017 (3)'!$G$5:$G$289,'Comp2016-2017 (3)'!$A$5:$A$289,$D10,'Comp2016-2017 (3)'!$R$5:$R$289,$V10)*$AB10))</f>
        <v>3532.987557101575</v>
      </c>
      <c r="AH10" s="2">
        <f>IF($W10=AH$3,$AB10,IF(NOT($W10=0),"",SUMIFS('Val-Vol (2)'!AH$4:AH$1116,'Val-Vol (2)'!$A$4:$A$1116,$D10,'Val-Vol (2)'!$V$4:$V$1116,$V10)/SUMIFS('Comp2016-2017 (3)'!$G$5:$G$289,'Comp2016-2017 (3)'!$A$5:$A$289,$D10,'Comp2016-2017 (3)'!$R$5:$R$289,$V10)*$AB10))</f>
        <v>0</v>
      </c>
      <c r="AI10" s="2">
        <f>IF($W10=AI$3,$AB10,IF(NOT($W10=0),"",SUMIFS('Val-Vol (2)'!AI$4:AI$1116,'Val-Vol (2)'!$A$4:$A$1116,$D10,'Val-Vol (2)'!$V$4:$V$1116,$V10)/SUMIFS('Comp2016-2017 (3)'!$G$5:$G$289,'Comp2016-2017 (3)'!$A$5:$A$289,$D10,'Comp2016-2017 (3)'!$R$5:$R$289,$V10)*$AB10))</f>
        <v>3958.4232527521513</v>
      </c>
      <c r="AJ10" s="2">
        <f>IF($W10=AJ$3,$AB10,IF(NOT($W10=0),"",SUMIFS('Val-Vol (2)'!AJ$4:AJ$1116,'Val-Vol (2)'!$A$4:$A$1116,$D10,'Val-Vol (2)'!$V$4:$V$1116,$V10)/SUMIFS('Comp2016-2017 (3)'!$G$5:$G$289,'Comp2016-2017 (3)'!$A$5:$A$289,$D10,'Comp2016-2017 (3)'!$R$5:$R$289,$V10)*$AB10))</f>
        <v>442.26359024350717</v>
      </c>
      <c r="AK10" s="2">
        <f t="shared" si="4"/>
        <v>0</v>
      </c>
      <c r="AL10" t="str">
        <f t="shared" si="2"/>
        <v/>
      </c>
      <c r="AM10" t="str">
        <f>VLOOKUP(A10,'Table corresp.'!$M$4:$U$63,8,FALSE)</f>
        <v>Forêt</v>
      </c>
      <c r="AN10" t="str">
        <f>VLOOKUP(D10,'Table corresp.'!$M$4:$U$63,9,FALSE)</f>
        <v>Production intermédiaire</v>
      </c>
    </row>
    <row r="11" spans="1:40" x14ac:dyDescent="0.25">
      <c r="A11" t="s">
        <v>0</v>
      </c>
      <c r="B11" t="str">
        <f>VLOOKUP(LEFT(A11,3),'Table corresp.'!$A$4:$D$63,3,FALSE)</f>
        <v>Forêt</v>
      </c>
      <c r="C11" t="str">
        <f>VLOOKUP(A11,'Table corresp.'!$M$4:$P$63,4,FALSE)</f>
        <v>Production et transformation de produits bois</v>
      </c>
      <c r="D11" t="s">
        <v>6</v>
      </c>
      <c r="E11" t="str">
        <f>VLOOKUP(LEFT(D11,3),'Table corresp.'!$A$4:$D$63,4,FALSE)</f>
        <v>Transformation</v>
      </c>
      <c r="F11" t="str">
        <f t="shared" si="0"/>
        <v xml:space="preserve">02  - 11 </v>
      </c>
      <c r="G11" s="1">
        <v>647.13116677056314</v>
      </c>
      <c r="H11" s="1">
        <v>12941.145358048594</v>
      </c>
      <c r="I11" s="1">
        <v>13588.276524819157</v>
      </c>
      <c r="J11" s="1">
        <v>11.775260596730689</v>
      </c>
      <c r="K11" s="1">
        <v>13.067369305010288</v>
      </c>
      <c r="L11" s="1">
        <v>24.842629901740978</v>
      </c>
      <c r="M11" s="1">
        <v>0</v>
      </c>
      <c r="N11" s="1">
        <v>0</v>
      </c>
      <c r="O11" s="1">
        <v>0</v>
      </c>
      <c r="P11" s="1">
        <v>0</v>
      </c>
      <c r="Q11" s="1">
        <v>0</v>
      </c>
      <c r="R11" s="1">
        <v>0</v>
      </c>
      <c r="S11" s="67"/>
      <c r="T11">
        <f>VLOOKUP(A11,'Groupe de branches'!$Z$27:$AM$86,14,FALSE)</f>
        <v>0</v>
      </c>
      <c r="U11">
        <f>VLOOKUP(D11,'Groupe de branches'!$Z$27:$AM$86,14,FALSE)</f>
        <v>0</v>
      </c>
      <c r="V11">
        <v>2016</v>
      </c>
      <c r="W11">
        <f>VLOOKUP(D11,'Table corresp.'!$M$4:$S$63,7,FALSE)</f>
        <v>0</v>
      </c>
      <c r="X11" s="167">
        <f>IFERROR(G11/SUMIFS('Comp2016-2017 (3)'!$I$5:$I$289,'Comp2016-2017 (3)'!$A$5:$A$289,A11,'Comp2016-2017 (3)'!$R$5:$R$289,V11),0)</f>
        <v>5.9581314054367234E-4</v>
      </c>
      <c r="Y11" s="178">
        <f>IFERROR(IF(RIGHT(F11,3)="Exp",VLOOKUP(F11,#REF!,2,FALSE),VLOOKUP(F11,#REF!,9,FALSE)),1)</f>
        <v>1</v>
      </c>
      <c r="Z11" s="167">
        <f t="shared" si="1"/>
        <v>6.25E-2</v>
      </c>
      <c r="AA11" s="189">
        <f t="shared" si="3"/>
        <v>3.7238321283979522E-5</v>
      </c>
      <c r="AB11" s="2">
        <f>IFERROR(SUMIFS('Comp2016-2017 (3)'!$G$5:$G$289,'Comp2016-2017 (3)'!$A$5:$A$289,A11,'Comp2016-2017 (3)'!$R$5:$R$289,V11)*AA11/SUMIFS($AA$4:$AA$1116,$A$4:$A$1116,A11,$V$4:$V$1116,V11),0)</f>
        <v>381.53250153605831</v>
      </c>
      <c r="AC11" s="2">
        <f>IF($W11=AC$3,$AB11,IF(NOT($W11=0),"",SUMIFS('Val-Vol (2)'!AC$4:AC$1116,'Val-Vol (2)'!$A$4:$A$1116,$D11,'Val-Vol (2)'!$V$4:$V$1116,$V11)/SUMIFS('Comp2016-2017 (3)'!$G$5:$G$289,'Comp2016-2017 (3)'!$A$5:$A$289,$D11,'Comp2016-2017 (3)'!$R$5:$R$289,$V11)*$AB11))</f>
        <v>51.128951012052326</v>
      </c>
      <c r="AD11" s="2">
        <f>IF($W11=AD$3,$AB11,IF(NOT($W11=0),"",SUMIFS('Val-Vol (2)'!AD$4:AD$1116,'Val-Vol (2)'!$A$4:$A$1116,$D11,'Val-Vol (2)'!$V$4:$V$1116,$V11)/SUMIFS('Comp2016-2017 (3)'!$G$5:$G$289,'Comp2016-2017 (3)'!$A$5:$A$289,$D11,'Comp2016-2017 (3)'!$R$5:$R$289,$V11)*$AB11))</f>
        <v>109.61151053752195</v>
      </c>
      <c r="AE11" s="2">
        <f>IF($W11=AE$3,$AB11,IF(NOT($W11=0),"",SUMIFS('Val-Vol (2)'!AE$4:AE$1116,'Val-Vol (2)'!$A$4:$A$1116,$D11,'Val-Vol (2)'!$V$4:$V$1116,$V11)/SUMIFS('Comp2016-2017 (3)'!$G$5:$G$289,'Comp2016-2017 (3)'!$A$5:$A$289,$D11,'Comp2016-2017 (3)'!$R$5:$R$289,$V11)*$AB11))</f>
        <v>0</v>
      </c>
      <c r="AF11" s="2">
        <f>IF($W11=AF$3,$AB11,IF(NOT($W11=0),"",SUMIFS('Val-Vol (2)'!AF$4:AF$1116,'Val-Vol (2)'!$A$4:$A$1116,$D11,'Val-Vol (2)'!$V$4:$V$1116,$V11)/SUMIFS('Comp2016-2017 (3)'!$G$5:$G$289,'Comp2016-2017 (3)'!$A$5:$A$289,$D11,'Comp2016-2017 (3)'!$R$5:$R$289,$V11)*$AB11))</f>
        <v>0</v>
      </c>
      <c r="AG11" s="2">
        <f>IF($W11=AG$3,$AB11,IF(NOT($W11=0),"",SUMIFS('Val-Vol (2)'!AG$4:AG$1116,'Val-Vol (2)'!$A$4:$A$1116,$D11,'Val-Vol (2)'!$V$4:$V$1116,$V11)/SUMIFS('Comp2016-2017 (3)'!$G$5:$G$289,'Comp2016-2017 (3)'!$A$5:$A$289,$D11,'Comp2016-2017 (3)'!$R$5:$R$289,$V11)*$AB11))</f>
        <v>0</v>
      </c>
      <c r="AH11" s="2">
        <f>IF($W11=AH$3,$AB11,IF(NOT($W11=0),"",SUMIFS('Val-Vol (2)'!AH$4:AH$1116,'Val-Vol (2)'!$A$4:$A$1116,$D11,'Val-Vol (2)'!$V$4:$V$1116,$V11)/SUMIFS('Comp2016-2017 (3)'!$G$5:$G$289,'Comp2016-2017 (3)'!$A$5:$A$289,$D11,'Comp2016-2017 (3)'!$R$5:$R$289,$V11)*$AB11))</f>
        <v>0</v>
      </c>
      <c r="AI11" s="2">
        <f>IF($W11=AI$3,$AB11,IF(NOT($W11=0),"",SUMIFS('Val-Vol (2)'!AI$4:AI$1116,'Val-Vol (2)'!$A$4:$A$1116,$D11,'Val-Vol (2)'!$V$4:$V$1116,$V11)/SUMIFS('Comp2016-2017 (3)'!$G$5:$G$289,'Comp2016-2017 (3)'!$A$5:$A$289,$D11,'Comp2016-2017 (3)'!$R$5:$R$289,$V11)*$AB11))</f>
        <v>171.43290674164786</v>
      </c>
      <c r="AJ11" s="2">
        <f>IF($W11=AJ$3,$AB11,IF(NOT($W11=0),"",SUMIFS('Val-Vol (2)'!AJ$4:AJ$1116,'Val-Vol (2)'!$A$4:$A$1116,$D11,'Val-Vol (2)'!$V$4:$V$1116,$V11)/SUMIFS('Comp2016-2017 (3)'!$G$5:$G$289,'Comp2016-2017 (3)'!$A$5:$A$289,$D11,'Comp2016-2017 (3)'!$R$5:$R$289,$V11)*$AB11))</f>
        <v>49.35913324483613</v>
      </c>
      <c r="AK11" s="2">
        <f t="shared" si="4"/>
        <v>0</v>
      </c>
      <c r="AL11" t="str">
        <f t="shared" si="2"/>
        <v/>
      </c>
      <c r="AM11" t="str">
        <f>VLOOKUP(A11,'Table corresp.'!$M$4:$U$63,8,FALSE)</f>
        <v>Forêt</v>
      </c>
      <c r="AN11" t="str">
        <f>VLOOKUP(D11,'Table corresp.'!$M$4:$U$63,9,FALSE)</f>
        <v>Production intermédiaire</v>
      </c>
    </row>
    <row r="12" spans="1:40" x14ac:dyDescent="0.25">
      <c r="A12" t="s">
        <v>0</v>
      </c>
      <c r="B12" t="str">
        <f>VLOOKUP(LEFT(A12,3),'Table corresp.'!$A$4:$D$63,3,FALSE)</f>
        <v>Forêt</v>
      </c>
      <c r="C12" t="str">
        <f>VLOOKUP(A12,'Table corresp.'!$M$4:$P$63,4,FALSE)</f>
        <v>Production et transformation de produits bois</v>
      </c>
      <c r="D12" t="s">
        <v>7</v>
      </c>
      <c r="E12" t="str">
        <f>VLOOKUP(LEFT(D12,3),'Table corresp.'!$A$4:$D$63,4,FALSE)</f>
        <v>Transformation</v>
      </c>
      <c r="F12" t="str">
        <f t="shared" si="0"/>
        <v xml:space="preserve">02  - 12 </v>
      </c>
      <c r="G12" s="1">
        <v>234626.48836807598</v>
      </c>
      <c r="H12" s="1">
        <v>25760.115000000009</v>
      </c>
      <c r="I12" s="1">
        <v>260386.603368076</v>
      </c>
      <c r="J12" s="1">
        <v>5914.7761436940782</v>
      </c>
      <c r="K12" s="1">
        <v>148.15567121914111</v>
      </c>
      <c r="L12" s="1">
        <v>6062.9318149132196</v>
      </c>
      <c r="M12" s="1">
        <v>0</v>
      </c>
      <c r="N12" s="1">
        <v>0</v>
      </c>
      <c r="O12" s="1">
        <v>0</v>
      </c>
      <c r="P12" s="1">
        <v>0</v>
      </c>
      <c r="Q12" s="1">
        <v>0</v>
      </c>
      <c r="R12" s="1">
        <v>0</v>
      </c>
      <c r="S12" s="67"/>
      <c r="T12">
        <f>VLOOKUP(A12,'Groupe de branches'!$Z$27:$AM$86,14,FALSE)</f>
        <v>0</v>
      </c>
      <c r="U12">
        <f>VLOOKUP(D12,'Groupe de branches'!$Z$27:$AM$86,14,FALSE)</f>
        <v>0</v>
      </c>
      <c r="V12">
        <v>2016</v>
      </c>
      <c r="W12">
        <f>VLOOKUP(D12,'Table corresp.'!$M$4:$S$63,7,FALSE)</f>
        <v>0</v>
      </c>
      <c r="X12" s="167">
        <f>IFERROR(G12/SUMIFS('Comp2016-2017 (3)'!$I$5:$I$289,'Comp2016-2017 (3)'!$A$5:$A$289,A12,'Comp2016-2017 (3)'!$R$5:$R$289,V12),0)</f>
        <v>0.21602041760241755</v>
      </c>
      <c r="Y12" s="178">
        <f>IFERROR(IF(RIGHT(F12,3)="Exp",VLOOKUP(F12,#REF!,2,FALSE),VLOOKUP(F12,#REF!,9,FALSE)),1)</f>
        <v>1</v>
      </c>
      <c r="Z12" s="167">
        <f t="shared" si="1"/>
        <v>6.25E-2</v>
      </c>
      <c r="AA12" s="189">
        <f t="shared" si="3"/>
        <v>1.3501276100151097E-2</v>
      </c>
      <c r="AB12" s="2">
        <f>IFERROR(SUMIFS('Comp2016-2017 (3)'!$G$5:$G$289,'Comp2016-2017 (3)'!$A$5:$A$289,A12,'Comp2016-2017 (3)'!$R$5:$R$289,V12)*AA12/SUMIFS($AA$4:$AA$1116,$A$4:$A$1116,A12,$V$4:$V$1116,V12),0)</f>
        <v>138329.96404797008</v>
      </c>
      <c r="AC12" s="2">
        <f>IF($W12=AC$3,$AB12,IF(NOT($W12=0),"",SUMIFS('Val-Vol (2)'!AC$4:AC$1116,'Val-Vol (2)'!$A$4:$A$1116,$D12,'Val-Vol (2)'!$V$4:$V$1116,$V12)/SUMIFS('Comp2016-2017 (3)'!$G$5:$G$289,'Comp2016-2017 (3)'!$A$5:$A$289,$D12,'Comp2016-2017 (3)'!$R$5:$R$289,$V12)*$AB12))</f>
        <v>8702.7276822266012</v>
      </c>
      <c r="AD12" s="2">
        <f>IF($W12=AD$3,$AB12,IF(NOT($W12=0),"",SUMIFS('Val-Vol (2)'!AD$4:AD$1116,'Val-Vol (2)'!$A$4:$A$1116,$D12,'Val-Vol (2)'!$V$4:$V$1116,$V12)/SUMIFS('Comp2016-2017 (3)'!$G$5:$G$289,'Comp2016-2017 (3)'!$A$5:$A$289,$D12,'Comp2016-2017 (3)'!$R$5:$R$289,$V12)*$AB12))</f>
        <v>89833.149963625008</v>
      </c>
      <c r="AE12" s="2">
        <f>IF($W12=AE$3,$AB12,IF(NOT($W12=0),"",SUMIFS('Val-Vol (2)'!AE$4:AE$1116,'Val-Vol (2)'!$A$4:$A$1116,$D12,'Val-Vol (2)'!$V$4:$V$1116,$V12)/SUMIFS('Comp2016-2017 (3)'!$G$5:$G$289,'Comp2016-2017 (3)'!$A$5:$A$289,$D12,'Comp2016-2017 (3)'!$R$5:$R$289,$V12)*$AB12))</f>
        <v>2574.0610573238318</v>
      </c>
      <c r="AF12" s="2">
        <f>IF($W12=AF$3,$AB12,IF(NOT($W12=0),"",SUMIFS('Val-Vol (2)'!AF$4:AF$1116,'Val-Vol (2)'!$A$4:$A$1116,$D12,'Val-Vol (2)'!$V$4:$V$1116,$V12)/SUMIFS('Comp2016-2017 (3)'!$G$5:$G$289,'Comp2016-2017 (3)'!$A$5:$A$289,$D12,'Comp2016-2017 (3)'!$R$5:$R$289,$V12)*$AB12))</f>
        <v>0</v>
      </c>
      <c r="AG12" s="2">
        <f>IF($W12=AG$3,$AB12,IF(NOT($W12=0),"",SUMIFS('Val-Vol (2)'!AG$4:AG$1116,'Val-Vol (2)'!$A$4:$A$1116,$D12,'Val-Vol (2)'!$V$4:$V$1116,$V12)/SUMIFS('Comp2016-2017 (3)'!$G$5:$G$289,'Comp2016-2017 (3)'!$A$5:$A$289,$D12,'Comp2016-2017 (3)'!$R$5:$R$289,$V12)*$AB12))</f>
        <v>16780.973932060886</v>
      </c>
      <c r="AH12" s="2">
        <f>IF($W12=AH$3,$AB12,IF(NOT($W12=0),"",SUMIFS('Val-Vol (2)'!AH$4:AH$1116,'Val-Vol (2)'!$A$4:$A$1116,$D12,'Val-Vol (2)'!$V$4:$V$1116,$V12)/SUMIFS('Comp2016-2017 (3)'!$G$5:$G$289,'Comp2016-2017 (3)'!$A$5:$A$289,$D12,'Comp2016-2017 (3)'!$R$5:$R$289,$V12)*$AB12))</f>
        <v>0</v>
      </c>
      <c r="AI12" s="2">
        <f>IF($W12=AI$3,$AB12,IF(NOT($W12=0),"",SUMIFS('Val-Vol (2)'!AI$4:AI$1116,'Val-Vol (2)'!$A$4:$A$1116,$D12,'Val-Vol (2)'!$V$4:$V$1116,$V12)/SUMIFS('Comp2016-2017 (3)'!$G$5:$G$289,'Comp2016-2017 (3)'!$A$5:$A$289,$D12,'Comp2016-2017 (3)'!$R$5:$R$289,$V12)*$AB12))</f>
        <v>4284.0802347087792</v>
      </c>
      <c r="AJ12" s="2">
        <f>IF($W12=AJ$3,$AB12,IF(NOT($W12=0),"",SUMIFS('Val-Vol (2)'!AJ$4:AJ$1116,'Val-Vol (2)'!$A$4:$A$1116,$D12,'Val-Vol (2)'!$V$4:$V$1116,$V12)/SUMIFS('Comp2016-2017 (3)'!$G$5:$G$289,'Comp2016-2017 (3)'!$A$5:$A$289,$D12,'Comp2016-2017 (3)'!$R$5:$R$289,$V12)*$AB12))</f>
        <v>16154.971178024964</v>
      </c>
      <c r="AK12" s="2">
        <f t="shared" si="4"/>
        <v>0</v>
      </c>
      <c r="AL12" t="str">
        <f t="shared" si="2"/>
        <v/>
      </c>
      <c r="AM12" t="str">
        <f>VLOOKUP(A12,'Table corresp.'!$M$4:$U$63,8,FALSE)</f>
        <v>Forêt</v>
      </c>
      <c r="AN12" t="str">
        <f>VLOOKUP(D12,'Table corresp.'!$M$4:$U$63,9,FALSE)</f>
        <v>Production intermédiaire</v>
      </c>
    </row>
    <row r="13" spans="1:40" x14ac:dyDescent="0.25">
      <c r="A13" t="s">
        <v>0</v>
      </c>
      <c r="B13" t="str">
        <f>VLOOKUP(LEFT(A13,3),'Table corresp.'!$A$4:$D$63,3,FALSE)</f>
        <v>Forêt</v>
      </c>
      <c r="C13" t="str">
        <f>VLOOKUP(A13,'Table corresp.'!$M$4:$P$63,4,FALSE)</f>
        <v>Production et transformation de produits bois</v>
      </c>
      <c r="D13" t="s">
        <v>8</v>
      </c>
      <c r="E13" t="str">
        <f>VLOOKUP(LEFT(D13,3),'Table corresp.'!$A$4:$D$63,4,FALSE)</f>
        <v>Transformation</v>
      </c>
      <c r="F13" t="str">
        <f t="shared" si="0"/>
        <v xml:space="preserve">02  - 13 </v>
      </c>
      <c r="G13" s="1">
        <v>75251.539999999994</v>
      </c>
      <c r="H13" s="1">
        <v>0</v>
      </c>
      <c r="I13" s="1">
        <v>75251.539999999994</v>
      </c>
      <c r="J13" s="1">
        <v>1613.2753249530454</v>
      </c>
      <c r="K13" s="1">
        <v>0</v>
      </c>
      <c r="L13" s="1">
        <v>1613.2753249530454</v>
      </c>
      <c r="M13" s="1">
        <v>0</v>
      </c>
      <c r="N13" s="1">
        <v>0</v>
      </c>
      <c r="O13" s="1">
        <v>0</v>
      </c>
      <c r="P13" s="1">
        <v>0</v>
      </c>
      <c r="Q13" s="1">
        <v>0</v>
      </c>
      <c r="R13" s="1">
        <v>0</v>
      </c>
      <c r="S13" s="67"/>
      <c r="T13">
        <f>VLOOKUP(A13,'Groupe de branches'!$Z$27:$AM$86,14,FALSE)</f>
        <v>0</v>
      </c>
      <c r="U13">
        <f>VLOOKUP(D13,'Groupe de branches'!$Z$27:$AM$86,14,FALSE)</f>
        <v>0</v>
      </c>
      <c r="V13">
        <v>2016</v>
      </c>
      <c r="W13">
        <f>VLOOKUP(D13,'Table corresp.'!$M$4:$S$63,7,FALSE)</f>
        <v>0</v>
      </c>
      <c r="X13" s="167">
        <f>IFERROR(G13/SUMIFS('Comp2016-2017 (3)'!$I$5:$I$289,'Comp2016-2017 (3)'!$A$5:$A$289,A13,'Comp2016-2017 (3)'!$R$5:$R$289,V13),0)</f>
        <v>6.9284031863117004E-2</v>
      </c>
      <c r="Y13" s="178">
        <f>IFERROR(IF(RIGHT(F13,3)="Exp",VLOOKUP(F13,#REF!,2,FALSE),VLOOKUP(F13,#REF!,9,FALSE)),1)</f>
        <v>1</v>
      </c>
      <c r="Z13" s="167">
        <f t="shared" si="1"/>
        <v>6.25E-2</v>
      </c>
      <c r="AA13" s="189">
        <f t="shared" si="3"/>
        <v>4.3302519914448128E-3</v>
      </c>
      <c r="AB13" s="2">
        <f>IFERROR(SUMIFS('Comp2016-2017 (3)'!$G$5:$G$289,'Comp2016-2017 (3)'!$A$5:$A$289,A13,'Comp2016-2017 (3)'!$R$5:$R$289,V13)*AA13/SUMIFS($AA$4:$AA$1116,$A$4:$A$1116,A13,$V$4:$V$1116,V13),0)</f>
        <v>44366.443427411141</v>
      </c>
      <c r="AC13" s="2">
        <f>IF($W13=AC$3,$AB13,IF(NOT($W13=0),"",SUMIFS('Val-Vol (2)'!AC$4:AC$1116,'Val-Vol (2)'!$A$4:$A$1116,$D13,'Val-Vol (2)'!$V$4:$V$1116,$V13)/SUMIFS('Comp2016-2017 (3)'!$G$5:$G$289,'Comp2016-2017 (3)'!$A$5:$A$289,$D13,'Comp2016-2017 (3)'!$R$5:$R$289,$V13)*$AB13))</f>
        <v>6380.8457661134316</v>
      </c>
      <c r="AD13" s="2">
        <f>IF($W13=AD$3,$AB13,IF(NOT($W13=0),"",SUMIFS('Val-Vol (2)'!AD$4:AD$1116,'Val-Vol (2)'!$A$4:$A$1116,$D13,'Val-Vol (2)'!$V$4:$V$1116,$V13)/SUMIFS('Comp2016-2017 (3)'!$G$5:$G$289,'Comp2016-2017 (3)'!$A$5:$A$289,$D13,'Comp2016-2017 (3)'!$R$5:$R$289,$V13)*$AB13))</f>
        <v>14305.657017151219</v>
      </c>
      <c r="AE13" s="2">
        <f>IF($W13=AE$3,$AB13,IF(NOT($W13=0),"",SUMIFS('Val-Vol (2)'!AE$4:AE$1116,'Val-Vol (2)'!$A$4:$A$1116,$D13,'Val-Vol (2)'!$V$4:$V$1116,$V13)/SUMIFS('Comp2016-2017 (3)'!$G$5:$G$289,'Comp2016-2017 (3)'!$A$5:$A$289,$D13,'Comp2016-2017 (3)'!$R$5:$R$289,$V13)*$AB13))</f>
        <v>2.4073200240585813</v>
      </c>
      <c r="AF13" s="2">
        <f>IF($W13=AF$3,$AB13,IF(NOT($W13=0),"",SUMIFS('Val-Vol (2)'!AF$4:AF$1116,'Val-Vol (2)'!$A$4:$A$1116,$D13,'Val-Vol (2)'!$V$4:$V$1116,$V13)/SUMIFS('Comp2016-2017 (3)'!$G$5:$G$289,'Comp2016-2017 (3)'!$A$5:$A$289,$D13,'Comp2016-2017 (3)'!$R$5:$R$289,$V13)*$AB13))</f>
        <v>0</v>
      </c>
      <c r="AG13" s="2">
        <f>IF($W13=AG$3,$AB13,IF(NOT($W13=0),"",SUMIFS('Val-Vol (2)'!AG$4:AG$1116,'Val-Vol (2)'!$A$4:$A$1116,$D13,'Val-Vol (2)'!$V$4:$V$1116,$V13)/SUMIFS('Comp2016-2017 (3)'!$G$5:$G$289,'Comp2016-2017 (3)'!$A$5:$A$289,$D13,'Comp2016-2017 (3)'!$R$5:$R$289,$V13)*$AB13))</f>
        <v>11196.55924487731</v>
      </c>
      <c r="AH13" s="2">
        <f>IF($W13=AH$3,$AB13,IF(NOT($W13=0),"",SUMIFS('Val-Vol (2)'!AH$4:AH$1116,'Val-Vol (2)'!$A$4:$A$1116,$D13,'Val-Vol (2)'!$V$4:$V$1116,$V13)/SUMIFS('Comp2016-2017 (3)'!$G$5:$G$289,'Comp2016-2017 (3)'!$A$5:$A$289,$D13,'Comp2016-2017 (3)'!$R$5:$R$289,$V13)*$AB13))</f>
        <v>0</v>
      </c>
      <c r="AI13" s="2">
        <f>IF($W13=AI$3,$AB13,IF(NOT($W13=0),"",SUMIFS('Val-Vol (2)'!AI$4:AI$1116,'Val-Vol (2)'!$A$4:$A$1116,$D13,'Val-Vol (2)'!$V$4:$V$1116,$V13)/SUMIFS('Comp2016-2017 (3)'!$G$5:$G$289,'Comp2016-2017 (3)'!$A$5:$A$289,$D13,'Comp2016-2017 (3)'!$R$5:$R$289,$V13)*$AB13))</f>
        <v>0</v>
      </c>
      <c r="AJ13" s="2">
        <f>IF($W13=AJ$3,$AB13,IF(NOT($W13=0),"",SUMIFS('Val-Vol (2)'!AJ$4:AJ$1116,'Val-Vol (2)'!$A$4:$A$1116,$D13,'Val-Vol (2)'!$V$4:$V$1116,$V13)/SUMIFS('Comp2016-2017 (3)'!$G$5:$G$289,'Comp2016-2017 (3)'!$A$5:$A$289,$D13,'Comp2016-2017 (3)'!$R$5:$R$289,$V13)*$AB13))</f>
        <v>12480.974079245118</v>
      </c>
      <c r="AK13" s="2">
        <f t="shared" si="4"/>
        <v>0</v>
      </c>
      <c r="AL13" t="str">
        <f t="shared" si="2"/>
        <v/>
      </c>
      <c r="AM13" t="str">
        <f>VLOOKUP(A13,'Table corresp.'!$M$4:$U$63,8,FALSE)</f>
        <v>Forêt</v>
      </c>
      <c r="AN13" t="str">
        <f>VLOOKUP(D13,'Table corresp.'!$M$4:$U$63,9,FALSE)</f>
        <v>Production intermédiaire</v>
      </c>
    </row>
    <row r="14" spans="1:40" x14ac:dyDescent="0.25">
      <c r="A14" t="s">
        <v>0</v>
      </c>
      <c r="B14" t="str">
        <f>VLOOKUP(LEFT(A14,3),'Table corresp.'!$A$4:$D$63,3,FALSE)</f>
        <v>Forêt</v>
      </c>
      <c r="C14" t="str">
        <f>VLOOKUP(A14,'Table corresp.'!$M$4:$P$63,4,FALSE)</f>
        <v>Production et transformation de produits bois</v>
      </c>
      <c r="D14" t="s">
        <v>83</v>
      </c>
      <c r="E14" t="str">
        <f>VLOOKUP(LEFT(D14,3),'Table corresp.'!$A$4:$D$63,4,FALSE)</f>
        <v>Transformation</v>
      </c>
      <c r="F14" t="str">
        <f t="shared" si="0"/>
        <v xml:space="preserve">02  - 14 </v>
      </c>
      <c r="G14" s="1">
        <v>44213.454272827934</v>
      </c>
      <c r="H14" s="1">
        <v>3725.0640000000003</v>
      </c>
      <c r="I14" s="1">
        <v>47938.518272827932</v>
      </c>
      <c r="J14" s="1">
        <v>1252.0048139173118</v>
      </c>
      <c r="K14" s="1">
        <v>21.687017799427153</v>
      </c>
      <c r="L14" s="1">
        <v>1273.691831716739</v>
      </c>
      <c r="M14" s="1">
        <v>0</v>
      </c>
      <c r="N14" s="1">
        <v>0</v>
      </c>
      <c r="O14" s="1">
        <v>0</v>
      </c>
      <c r="P14" s="1">
        <v>0</v>
      </c>
      <c r="Q14" s="1">
        <v>0</v>
      </c>
      <c r="R14" s="1">
        <v>0</v>
      </c>
      <c r="S14" s="67"/>
      <c r="T14">
        <f>VLOOKUP(A14,'Groupe de branches'!$Z$27:$AM$86,14,FALSE)</f>
        <v>0</v>
      </c>
      <c r="U14">
        <f>VLOOKUP(D14,'Groupe de branches'!$Z$27:$AM$86,14,FALSE)</f>
        <v>0</v>
      </c>
      <c r="V14">
        <v>2016</v>
      </c>
      <c r="W14">
        <f>VLOOKUP(D14,'Table corresp.'!$M$4:$S$63,7,FALSE)</f>
        <v>0</v>
      </c>
      <c r="X14" s="167">
        <f>IFERROR(G14/SUMIFS('Comp2016-2017 (3)'!$I$5:$I$289,'Comp2016-2017 (3)'!$A$5:$A$289,A14,'Comp2016-2017 (3)'!$R$5:$R$289,V14),0)</f>
        <v>4.0707291500174977E-2</v>
      </c>
      <c r="Y14" s="178">
        <f>IFERROR(IF(RIGHT(F14,3)="Exp",VLOOKUP(F14,#REF!,2,FALSE),VLOOKUP(F14,#REF!,9,FALSE)),1)</f>
        <v>1</v>
      </c>
      <c r="Z14" s="167">
        <f t="shared" si="1"/>
        <v>6.25E-2</v>
      </c>
      <c r="AA14" s="189">
        <f t="shared" si="3"/>
        <v>2.5442057187609361E-3</v>
      </c>
      <c r="AB14" s="2">
        <f>IFERROR(SUMIFS('Comp2016-2017 (3)'!$G$5:$G$289,'Comp2016-2017 (3)'!$A$5:$A$289,A14,'Comp2016-2017 (3)'!$R$5:$R$289,V14)*AA14/SUMIFS($AA$4:$AA$1116,$A$4:$A$1116,A14,$V$4:$V$1116,V14),0)</f>
        <v>26067.157133606168</v>
      </c>
      <c r="AC14" s="2">
        <f>IF($W14=AC$3,$AB14,IF(NOT($W14=0),"",SUMIFS('Val-Vol (2)'!AC$4:AC$1116,'Val-Vol (2)'!$A$4:$A$1116,$D14,'Val-Vol (2)'!$V$4:$V$1116,$V14)/SUMIFS('Comp2016-2017 (3)'!$G$5:$G$289,'Comp2016-2017 (3)'!$A$5:$A$289,$D14,'Comp2016-2017 (3)'!$R$5:$R$289,$V14)*$AB14))</f>
        <v>16336.52868441879</v>
      </c>
      <c r="AD14" s="2">
        <f>IF($W14=AD$3,$AB14,IF(NOT($W14=0),"",SUMIFS('Val-Vol (2)'!AD$4:AD$1116,'Val-Vol (2)'!$A$4:$A$1116,$D14,'Val-Vol (2)'!$V$4:$V$1116,$V14)/SUMIFS('Comp2016-2017 (3)'!$G$5:$G$289,'Comp2016-2017 (3)'!$A$5:$A$289,$D14,'Comp2016-2017 (3)'!$R$5:$R$289,$V14)*$AB14))</f>
        <v>4401.9637123675848</v>
      </c>
      <c r="AE14" s="2">
        <f>IF($W14=AE$3,$AB14,IF(NOT($W14=0),"",SUMIFS('Val-Vol (2)'!AE$4:AE$1116,'Val-Vol (2)'!$A$4:$A$1116,$D14,'Val-Vol (2)'!$V$4:$V$1116,$V14)/SUMIFS('Comp2016-2017 (3)'!$G$5:$G$289,'Comp2016-2017 (3)'!$A$5:$A$289,$D14,'Comp2016-2017 (3)'!$R$5:$R$289,$V14)*$AB14))</f>
        <v>164.31521685066306</v>
      </c>
      <c r="AF14" s="2">
        <f>IF($W14=AF$3,$AB14,IF(NOT($W14=0),"",SUMIFS('Val-Vol (2)'!AF$4:AF$1116,'Val-Vol (2)'!$A$4:$A$1116,$D14,'Val-Vol (2)'!$V$4:$V$1116,$V14)/SUMIFS('Comp2016-2017 (3)'!$G$5:$G$289,'Comp2016-2017 (3)'!$A$5:$A$289,$D14,'Comp2016-2017 (3)'!$R$5:$R$289,$V14)*$AB14))</f>
        <v>0</v>
      </c>
      <c r="AG14" s="2">
        <f>IF($W14=AG$3,$AB14,IF(NOT($W14=0),"",SUMIFS('Val-Vol (2)'!AG$4:AG$1116,'Val-Vol (2)'!$A$4:$A$1116,$D14,'Val-Vol (2)'!$V$4:$V$1116,$V14)/SUMIFS('Comp2016-2017 (3)'!$G$5:$G$289,'Comp2016-2017 (3)'!$A$5:$A$289,$D14,'Comp2016-2017 (3)'!$R$5:$R$289,$V14)*$AB14))</f>
        <v>4781.7953897785301</v>
      </c>
      <c r="AH14" s="2">
        <f>IF($W14=AH$3,$AB14,IF(NOT($W14=0),"",SUMIFS('Val-Vol (2)'!AH$4:AH$1116,'Val-Vol (2)'!$A$4:$A$1116,$D14,'Val-Vol (2)'!$V$4:$V$1116,$V14)/SUMIFS('Comp2016-2017 (3)'!$G$5:$G$289,'Comp2016-2017 (3)'!$A$5:$A$289,$D14,'Comp2016-2017 (3)'!$R$5:$R$289,$V14)*$AB14))</f>
        <v>0</v>
      </c>
      <c r="AI14" s="2">
        <f>IF($W14=AI$3,$AB14,IF(NOT($W14=0),"",SUMIFS('Val-Vol (2)'!AI$4:AI$1116,'Val-Vol (2)'!$A$4:$A$1116,$D14,'Val-Vol (2)'!$V$4:$V$1116,$V14)/SUMIFS('Comp2016-2017 (3)'!$G$5:$G$289,'Comp2016-2017 (3)'!$A$5:$A$289,$D14,'Comp2016-2017 (3)'!$R$5:$R$289,$V14)*$AB14))</f>
        <v>0</v>
      </c>
      <c r="AJ14" s="2">
        <f>IF($W14=AJ$3,$AB14,IF(NOT($W14=0),"",SUMIFS('Val-Vol (2)'!AJ$4:AJ$1116,'Val-Vol (2)'!$A$4:$A$1116,$D14,'Val-Vol (2)'!$V$4:$V$1116,$V14)/SUMIFS('Comp2016-2017 (3)'!$G$5:$G$289,'Comp2016-2017 (3)'!$A$5:$A$289,$D14,'Comp2016-2017 (3)'!$R$5:$R$289,$V14)*$AB14))</f>
        <v>382.55413019059438</v>
      </c>
      <c r="AK14" s="2">
        <f t="shared" si="4"/>
        <v>0</v>
      </c>
      <c r="AL14" t="str">
        <f t="shared" si="2"/>
        <v/>
      </c>
      <c r="AM14" t="str">
        <f>VLOOKUP(A14,'Table corresp.'!$M$4:$U$63,8,FALSE)</f>
        <v>Forêt</v>
      </c>
      <c r="AN14" t="str">
        <f>VLOOKUP(D14,'Table corresp.'!$M$4:$U$63,9,FALSE)</f>
        <v>Production intermédiaire</v>
      </c>
    </row>
    <row r="15" spans="1:40" x14ac:dyDescent="0.25">
      <c r="A15" t="s">
        <v>0</v>
      </c>
      <c r="B15" t="str">
        <f>VLOOKUP(LEFT(A15,3),'Table corresp.'!$A$4:$D$63,3,FALSE)</f>
        <v>Forêt</v>
      </c>
      <c r="C15" t="str">
        <f>VLOOKUP(A15,'Table corresp.'!$M$4:$P$63,4,FALSE)</f>
        <v>Production et transformation de produits bois</v>
      </c>
      <c r="D15" t="s">
        <v>9</v>
      </c>
      <c r="E15" t="str">
        <f>VLOOKUP(LEFT(D15,3),'Table corresp.'!$A$4:$D$63,4,FALSE)</f>
        <v>Transformation</v>
      </c>
      <c r="F15" t="str">
        <f t="shared" si="0"/>
        <v xml:space="preserve">02  - 15 </v>
      </c>
      <c r="G15" s="1">
        <v>100867.46570898687</v>
      </c>
      <c r="H15" s="1">
        <v>0</v>
      </c>
      <c r="I15" s="1">
        <v>100867.46570898687</v>
      </c>
      <c r="J15" s="1">
        <v>3075.6929721035513</v>
      </c>
      <c r="K15" s="1">
        <v>0</v>
      </c>
      <c r="L15" s="1">
        <v>3075.6929721035513</v>
      </c>
      <c r="M15" s="1">
        <v>0</v>
      </c>
      <c r="N15" s="1">
        <v>0</v>
      </c>
      <c r="O15" s="1">
        <v>0</v>
      </c>
      <c r="P15" s="1">
        <v>0</v>
      </c>
      <c r="Q15" s="1">
        <v>0</v>
      </c>
      <c r="R15" s="1">
        <v>0</v>
      </c>
      <c r="S15" s="67"/>
      <c r="T15">
        <f>VLOOKUP(A15,'Groupe de branches'!$Z$27:$AM$86,14,FALSE)</f>
        <v>0</v>
      </c>
      <c r="U15">
        <f>VLOOKUP(D15,'Groupe de branches'!$Z$27:$AM$86,14,FALSE)</f>
        <v>0</v>
      </c>
      <c r="V15">
        <v>2016</v>
      </c>
      <c r="W15">
        <f>VLOOKUP(D15,'Table corresp.'!$M$4:$S$63,7,FALSE)</f>
        <v>0</v>
      </c>
      <c r="X15" s="167">
        <f>IFERROR(G15/SUMIFS('Comp2016-2017 (3)'!$I$5:$I$289,'Comp2016-2017 (3)'!$A$5:$A$289,A15,'Comp2016-2017 (3)'!$R$5:$R$289,V15),0)</f>
        <v>9.2868593893670595E-2</v>
      </c>
      <c r="Y15" s="178">
        <f>IFERROR(IF(RIGHT(F15,3)="Exp",VLOOKUP(F15,#REF!,2,FALSE),VLOOKUP(F15,#REF!,9,FALSE)),1)</f>
        <v>1</v>
      </c>
      <c r="Z15" s="167">
        <f t="shared" si="1"/>
        <v>6.25E-2</v>
      </c>
      <c r="AA15" s="189">
        <f t="shared" si="3"/>
        <v>5.8042871183544122E-3</v>
      </c>
      <c r="AB15" s="2">
        <f>IFERROR(SUMIFS('Comp2016-2017 (3)'!$G$5:$G$289,'Comp2016-2017 (3)'!$A$5:$A$289,A15,'Comp2016-2017 (3)'!$R$5:$R$289,V15)*AA15/SUMIFS($AA$4:$AA$1116,$A$4:$A$1116,A15,$V$4:$V$1116,V15),0)</f>
        <v>59468.958522896668</v>
      </c>
      <c r="AC15" s="2">
        <f>IF($W15=AC$3,$AB15,IF(NOT($W15=0),"",SUMIFS('Val-Vol (2)'!AC$4:AC$1116,'Val-Vol (2)'!$A$4:$A$1116,$D15,'Val-Vol (2)'!$V$4:$V$1116,$V15)/SUMIFS('Comp2016-2017 (3)'!$G$5:$G$289,'Comp2016-2017 (3)'!$A$5:$A$289,$D15,'Comp2016-2017 (3)'!$R$5:$R$289,$V15)*$AB15))</f>
        <v>2003.7521833039352</v>
      </c>
      <c r="AD15" s="2">
        <f>IF($W15=AD$3,$AB15,IF(NOT($W15=0),"",SUMIFS('Val-Vol (2)'!AD$4:AD$1116,'Val-Vol (2)'!$A$4:$A$1116,$D15,'Val-Vol (2)'!$V$4:$V$1116,$V15)/SUMIFS('Comp2016-2017 (3)'!$G$5:$G$289,'Comp2016-2017 (3)'!$A$5:$A$289,$D15,'Comp2016-2017 (3)'!$R$5:$R$289,$V15)*$AB15))</f>
        <v>11414.162576269431</v>
      </c>
      <c r="AE15" s="2">
        <f>IF($W15=AE$3,$AB15,IF(NOT($W15=0),"",SUMIFS('Val-Vol (2)'!AE$4:AE$1116,'Val-Vol (2)'!$A$4:$A$1116,$D15,'Val-Vol (2)'!$V$4:$V$1116,$V15)/SUMIFS('Comp2016-2017 (3)'!$G$5:$G$289,'Comp2016-2017 (3)'!$A$5:$A$289,$D15,'Comp2016-2017 (3)'!$R$5:$R$289,$V15)*$AB15))</f>
        <v>1.359310389330121</v>
      </c>
      <c r="AF15" s="2">
        <f>IF($W15=AF$3,$AB15,IF(NOT($W15=0),"",SUMIFS('Val-Vol (2)'!AF$4:AF$1116,'Val-Vol (2)'!$A$4:$A$1116,$D15,'Val-Vol (2)'!$V$4:$V$1116,$V15)/SUMIFS('Comp2016-2017 (3)'!$G$5:$G$289,'Comp2016-2017 (3)'!$A$5:$A$289,$D15,'Comp2016-2017 (3)'!$R$5:$R$289,$V15)*$AB15))</f>
        <v>0</v>
      </c>
      <c r="AG15" s="2">
        <f>IF($W15=AG$3,$AB15,IF(NOT($W15=0),"",SUMIFS('Val-Vol (2)'!AG$4:AG$1116,'Val-Vol (2)'!$A$4:$A$1116,$D15,'Val-Vol (2)'!$V$4:$V$1116,$V15)/SUMIFS('Comp2016-2017 (3)'!$G$5:$G$289,'Comp2016-2017 (3)'!$A$5:$A$289,$D15,'Comp2016-2017 (3)'!$R$5:$R$289,$V15)*$AB15))</f>
        <v>26486.555699647477</v>
      </c>
      <c r="AH15" s="2">
        <f>IF($W15=AH$3,$AB15,IF(NOT($W15=0),"",SUMIFS('Val-Vol (2)'!AH$4:AH$1116,'Val-Vol (2)'!$A$4:$A$1116,$D15,'Val-Vol (2)'!$V$4:$V$1116,$V15)/SUMIFS('Comp2016-2017 (3)'!$G$5:$G$289,'Comp2016-2017 (3)'!$A$5:$A$289,$D15,'Comp2016-2017 (3)'!$R$5:$R$289,$V15)*$AB15))</f>
        <v>0</v>
      </c>
      <c r="AI15" s="2">
        <f>IF($W15=AI$3,$AB15,IF(NOT($W15=0),"",SUMIFS('Val-Vol (2)'!AI$4:AI$1116,'Val-Vol (2)'!$A$4:$A$1116,$D15,'Val-Vol (2)'!$V$4:$V$1116,$V15)/SUMIFS('Comp2016-2017 (3)'!$G$5:$G$289,'Comp2016-2017 (3)'!$A$5:$A$289,$D15,'Comp2016-2017 (3)'!$R$5:$R$289,$V15)*$AB15))</f>
        <v>0</v>
      </c>
      <c r="AJ15" s="2">
        <f>IF($W15=AJ$3,$AB15,IF(NOT($W15=0),"",SUMIFS('Val-Vol (2)'!AJ$4:AJ$1116,'Val-Vol (2)'!$A$4:$A$1116,$D15,'Val-Vol (2)'!$V$4:$V$1116,$V15)/SUMIFS('Comp2016-2017 (3)'!$G$5:$G$289,'Comp2016-2017 (3)'!$A$5:$A$289,$D15,'Comp2016-2017 (3)'!$R$5:$R$289,$V15)*$AB15))</f>
        <v>19563.128753286492</v>
      </c>
      <c r="AK15" s="2">
        <f t="shared" si="4"/>
        <v>0</v>
      </c>
      <c r="AL15" t="str">
        <f t="shared" si="2"/>
        <v/>
      </c>
      <c r="AM15" t="str">
        <f>VLOOKUP(A15,'Table corresp.'!$M$4:$U$63,8,FALSE)</f>
        <v>Forêt</v>
      </c>
      <c r="AN15" t="str">
        <f>VLOOKUP(D15,'Table corresp.'!$M$4:$U$63,9,FALSE)</f>
        <v>Production intermédiaire</v>
      </c>
    </row>
    <row r="16" spans="1:40" x14ac:dyDescent="0.25">
      <c r="A16" t="s">
        <v>0</v>
      </c>
      <c r="B16" t="str">
        <f>VLOOKUP(LEFT(A16,3),'Table corresp.'!$A$4:$D$63,3,FALSE)</f>
        <v>Forêt</v>
      </c>
      <c r="C16" t="str">
        <f>VLOOKUP(A16,'Table corresp.'!$M$4:$P$63,4,FALSE)</f>
        <v>Production et transformation de produits bois</v>
      </c>
      <c r="D16" t="s">
        <v>10</v>
      </c>
      <c r="E16" t="str">
        <f>VLOOKUP(LEFT(D16,3),'Table corresp.'!$A$4:$D$63,4,FALSE)</f>
        <v>Transformation</v>
      </c>
      <c r="F16" t="str">
        <f t="shared" si="0"/>
        <v xml:space="preserve">02  - 16 </v>
      </c>
      <c r="G16" s="1">
        <v>116583.45087623937</v>
      </c>
      <c r="H16" s="1">
        <v>0</v>
      </c>
      <c r="I16" s="1">
        <v>116583.45087623937</v>
      </c>
      <c r="J16" s="1">
        <v>307.6930260588943</v>
      </c>
      <c r="K16" s="1">
        <v>0</v>
      </c>
      <c r="L16" s="1">
        <v>307.6930260588943</v>
      </c>
      <c r="M16" s="1">
        <v>0</v>
      </c>
      <c r="N16" s="1">
        <v>0</v>
      </c>
      <c r="O16" s="1">
        <v>0</v>
      </c>
      <c r="P16" s="1">
        <v>0</v>
      </c>
      <c r="Q16" s="1">
        <v>0</v>
      </c>
      <c r="R16" s="1">
        <v>0</v>
      </c>
      <c r="S16" s="67"/>
      <c r="T16">
        <f>VLOOKUP(A16,'Groupe de branches'!$Z$27:$AM$86,14,FALSE)</f>
        <v>0</v>
      </c>
      <c r="U16">
        <f>VLOOKUP(D16,'Groupe de branches'!$Z$27:$AM$86,14,FALSE)</f>
        <v>0</v>
      </c>
      <c r="V16">
        <v>2016</v>
      </c>
      <c r="W16" t="str">
        <f>VLOOKUP(D16,'Table corresp.'!$M$4:$S$63,7,FALSE)</f>
        <v>Emballage bois et carton</v>
      </c>
      <c r="X16" s="167">
        <f>IFERROR(G16/SUMIFS('Comp2016-2017 (3)'!$I$5:$I$289,'Comp2016-2017 (3)'!$A$5:$A$289,A16,'Comp2016-2017 (3)'!$R$5:$R$289,V16),0)</f>
        <v>0.10733828869444406</v>
      </c>
      <c r="Y16" s="178">
        <f>IFERROR(IF(RIGHT(F16,3)="Exp",VLOOKUP(F16,#REF!,2,FALSE),VLOOKUP(F16,#REF!,9,FALSE)),1)</f>
        <v>1</v>
      </c>
      <c r="Z16" s="167">
        <f t="shared" si="1"/>
        <v>6.25E-2</v>
      </c>
      <c r="AA16" s="189">
        <f t="shared" si="3"/>
        <v>6.7086430434027539E-3</v>
      </c>
      <c r="AB16" s="2">
        <f>IFERROR(SUMIFS('Comp2016-2017 (3)'!$G$5:$G$289,'Comp2016-2017 (3)'!$A$5:$A$289,A16,'Comp2016-2017 (3)'!$R$5:$R$289,V16)*AA16/SUMIFS($AA$4:$AA$1116,$A$4:$A$1116,A16,$V$4:$V$1116,V16),0)</f>
        <v>68734.71397227273</v>
      </c>
      <c r="AC16" s="2" t="str">
        <f>IF($W16=AC$3,$AB16,IF(NOT($W16=0),"",SUMIFS('Val-Vol (2)'!AC$4:AC$1116,'Val-Vol (2)'!$A$4:$A$1116,$D16,'Val-Vol (2)'!$V$4:$V$1116,$V16)/SUMIFS('Comp2016-2017 (3)'!$G$5:$G$289,'Comp2016-2017 (3)'!$A$5:$A$289,$D16,'Comp2016-2017 (3)'!$R$5:$R$289,$V16)*$AB16))</f>
        <v/>
      </c>
      <c r="AD16" s="2" t="str">
        <f>IF($W16=AD$3,$AB16,IF(NOT($W16=0),"",SUMIFS('Val-Vol (2)'!AD$4:AD$1116,'Val-Vol (2)'!$A$4:$A$1116,$D16,'Val-Vol (2)'!$V$4:$V$1116,$V16)/SUMIFS('Comp2016-2017 (3)'!$G$5:$G$289,'Comp2016-2017 (3)'!$A$5:$A$289,$D16,'Comp2016-2017 (3)'!$R$5:$R$289,$V16)*$AB16))</f>
        <v/>
      </c>
      <c r="AE16" s="2" t="str">
        <f>IF($W16=AE$3,$AB16,IF(NOT($W16=0),"",SUMIFS('Val-Vol (2)'!AE$4:AE$1116,'Val-Vol (2)'!$A$4:$A$1116,$D16,'Val-Vol (2)'!$V$4:$V$1116,$V16)/SUMIFS('Comp2016-2017 (3)'!$G$5:$G$289,'Comp2016-2017 (3)'!$A$5:$A$289,$D16,'Comp2016-2017 (3)'!$R$5:$R$289,$V16)*$AB16))</f>
        <v/>
      </c>
      <c r="AF16" s="2" t="str">
        <f>IF($W16=AF$3,$AB16,IF(NOT($W16=0),"",SUMIFS('Val-Vol (2)'!AF$4:AF$1116,'Val-Vol (2)'!$A$4:$A$1116,$D16,'Val-Vol (2)'!$V$4:$V$1116,$V16)/SUMIFS('Comp2016-2017 (3)'!$G$5:$G$289,'Comp2016-2017 (3)'!$A$5:$A$289,$D16,'Comp2016-2017 (3)'!$R$5:$R$289,$V16)*$AB16))</f>
        <v/>
      </c>
      <c r="AG16" s="2">
        <f>IF($W16=AG$3,$AB16,IF(NOT($W16=0),"",SUMIFS('Val-Vol (2)'!AG$4:AG$1116,'Val-Vol (2)'!$A$4:$A$1116,$D16,'Val-Vol (2)'!$V$4:$V$1116,$V16)/SUMIFS('Comp2016-2017 (3)'!$G$5:$G$289,'Comp2016-2017 (3)'!$A$5:$A$289,$D16,'Comp2016-2017 (3)'!$R$5:$R$289,$V16)*$AB16))</f>
        <v>68734.71397227273</v>
      </c>
      <c r="AH16" s="2" t="str">
        <f>IF($W16=AH$3,$AB16,IF(NOT($W16=0),"",SUMIFS('Val-Vol (2)'!AH$4:AH$1116,'Val-Vol (2)'!$A$4:$A$1116,$D16,'Val-Vol (2)'!$V$4:$V$1116,$V16)/SUMIFS('Comp2016-2017 (3)'!$G$5:$G$289,'Comp2016-2017 (3)'!$A$5:$A$289,$D16,'Comp2016-2017 (3)'!$R$5:$R$289,$V16)*$AB16))</f>
        <v/>
      </c>
      <c r="AI16" s="2" t="str">
        <f>IF($W16=AI$3,$AB16,IF(NOT($W16=0),"",SUMIFS('Val-Vol (2)'!AI$4:AI$1116,'Val-Vol (2)'!$A$4:$A$1116,$D16,'Val-Vol (2)'!$V$4:$V$1116,$V16)/SUMIFS('Comp2016-2017 (3)'!$G$5:$G$289,'Comp2016-2017 (3)'!$A$5:$A$289,$D16,'Comp2016-2017 (3)'!$R$5:$R$289,$V16)*$AB16))</f>
        <v/>
      </c>
      <c r="AJ16" s="2" t="str">
        <f>IF($W16=AJ$3,$AB16,IF(NOT($W16=0),"",SUMIFS('Val-Vol (2)'!AJ$4:AJ$1116,'Val-Vol (2)'!$A$4:$A$1116,$D16,'Val-Vol (2)'!$V$4:$V$1116,$V16)/SUMIFS('Comp2016-2017 (3)'!$G$5:$G$289,'Comp2016-2017 (3)'!$A$5:$A$289,$D16,'Comp2016-2017 (3)'!$R$5:$R$289,$V16)*$AB16))</f>
        <v/>
      </c>
      <c r="AK16" s="2">
        <f t="shared" si="4"/>
        <v>0</v>
      </c>
      <c r="AL16" t="str">
        <f t="shared" si="2"/>
        <v/>
      </c>
      <c r="AM16" t="str">
        <f>VLOOKUP(A16,'Table corresp.'!$M$4:$U$63,8,FALSE)</f>
        <v>Forêt</v>
      </c>
      <c r="AN16" t="str">
        <f>VLOOKUP(D16,'Table corresp.'!$M$4:$U$63,9,FALSE)</f>
        <v>Production intermédiaire</v>
      </c>
    </row>
    <row r="17" spans="1:40" x14ac:dyDescent="0.25">
      <c r="A17" t="s">
        <v>0</v>
      </c>
      <c r="B17" t="str">
        <f>VLOOKUP(LEFT(A17,3),'Table corresp.'!$A$4:$D$63,3,FALSE)</f>
        <v>Forêt</v>
      </c>
      <c r="C17" t="str">
        <f>VLOOKUP(A17,'Table corresp.'!$M$4:$P$63,4,FALSE)</f>
        <v>Production et transformation de produits bois</v>
      </c>
      <c r="D17" t="s">
        <v>84</v>
      </c>
      <c r="E17" t="str">
        <f>VLOOKUP(LEFT(D17,3),'Table corresp.'!$A$4:$D$63,4,FALSE)</f>
        <v>Transformation</v>
      </c>
      <c r="F17" t="str">
        <f t="shared" si="0"/>
        <v xml:space="preserve">02  - 17 </v>
      </c>
      <c r="G17" s="1">
        <v>18754.849488</v>
      </c>
      <c r="H17" s="1">
        <v>0</v>
      </c>
      <c r="I17" s="1">
        <v>18754.849488</v>
      </c>
      <c r="J17" s="1">
        <v>375.36591225588165</v>
      </c>
      <c r="K17" s="1">
        <v>0</v>
      </c>
      <c r="L17" s="1">
        <v>375.36591225588165</v>
      </c>
      <c r="M17" s="1">
        <v>0</v>
      </c>
      <c r="N17" s="1">
        <v>0</v>
      </c>
      <c r="O17" s="1">
        <v>0</v>
      </c>
      <c r="P17" s="1">
        <v>0</v>
      </c>
      <c r="Q17" s="1">
        <v>0</v>
      </c>
      <c r="R17" s="1">
        <v>0</v>
      </c>
      <c r="S17" s="67"/>
      <c r="T17">
        <f>VLOOKUP(A17,'Groupe de branches'!$Z$27:$AM$86,14,FALSE)</f>
        <v>0</v>
      </c>
      <c r="U17">
        <f>VLOOKUP(D17,'Groupe de branches'!$Z$27:$AM$86,14,FALSE)</f>
        <v>0</v>
      </c>
      <c r="V17">
        <v>2016</v>
      </c>
      <c r="W17" t="str">
        <f>VLOOKUP(D17,'Table corresp.'!$M$4:$S$63,7,FALSE)</f>
        <v>Construction</v>
      </c>
      <c r="X17" s="167">
        <f>IFERROR(G17/SUMIFS('Comp2016-2017 (3)'!$I$5:$I$289,'Comp2016-2017 (3)'!$A$5:$A$289,A17,'Comp2016-2017 (3)'!$R$5:$R$289,V17),0)</f>
        <v>1.7267574716936764E-2</v>
      </c>
      <c r="Y17" s="178">
        <f>IFERROR(IF(RIGHT(F17,3)="Exp",VLOOKUP(F17,#REF!,2,FALSE),VLOOKUP(F17,#REF!,9,FALSE)),1)</f>
        <v>1</v>
      </c>
      <c r="Z17" s="167">
        <f t="shared" si="1"/>
        <v>6.25E-2</v>
      </c>
      <c r="AA17" s="189">
        <f t="shared" si="3"/>
        <v>1.0792234198085478E-3</v>
      </c>
      <c r="AB17" s="2">
        <f>IFERROR(SUMIFS('Comp2016-2017 (3)'!$G$5:$G$289,'Comp2016-2017 (3)'!$A$5:$A$289,A17,'Comp2016-2017 (3)'!$R$5:$R$289,V17)*AA17/SUMIFS($AA$4:$AA$1116,$A$4:$A$1116,A17,$V$4:$V$1116,V17),0)</f>
        <v>11057.394556961395</v>
      </c>
      <c r="AC17" s="2" t="str">
        <f>IF($W17=AC$3,$AB17,IF(NOT($W17=0),"",SUMIFS('Val-Vol (2)'!AC$4:AC$1116,'Val-Vol (2)'!$A$4:$A$1116,$D17,'Val-Vol (2)'!$V$4:$V$1116,$V17)/SUMIFS('Comp2016-2017 (3)'!$G$5:$G$289,'Comp2016-2017 (3)'!$A$5:$A$289,$D17,'Comp2016-2017 (3)'!$R$5:$R$289,$V17)*$AB17))</f>
        <v/>
      </c>
      <c r="AD17" s="2">
        <f>IF($W17=AD$3,$AB17,IF(NOT($W17=0),"",SUMIFS('Val-Vol (2)'!AD$4:AD$1116,'Val-Vol (2)'!$A$4:$A$1116,$D17,'Val-Vol (2)'!$V$4:$V$1116,$V17)/SUMIFS('Comp2016-2017 (3)'!$G$5:$G$289,'Comp2016-2017 (3)'!$A$5:$A$289,$D17,'Comp2016-2017 (3)'!$R$5:$R$289,$V17)*$AB17))</f>
        <v>11057.394556961395</v>
      </c>
      <c r="AE17" s="2" t="str">
        <f>IF($W17=AE$3,$AB17,IF(NOT($W17=0),"",SUMIFS('Val-Vol (2)'!AE$4:AE$1116,'Val-Vol (2)'!$A$4:$A$1116,$D17,'Val-Vol (2)'!$V$4:$V$1116,$V17)/SUMIFS('Comp2016-2017 (3)'!$G$5:$G$289,'Comp2016-2017 (3)'!$A$5:$A$289,$D17,'Comp2016-2017 (3)'!$R$5:$R$289,$V17)*$AB17))</f>
        <v/>
      </c>
      <c r="AF17" s="2" t="str">
        <f>IF($W17=AF$3,$AB17,IF(NOT($W17=0),"",SUMIFS('Val-Vol (2)'!AF$4:AF$1116,'Val-Vol (2)'!$A$4:$A$1116,$D17,'Val-Vol (2)'!$V$4:$V$1116,$V17)/SUMIFS('Comp2016-2017 (3)'!$G$5:$G$289,'Comp2016-2017 (3)'!$A$5:$A$289,$D17,'Comp2016-2017 (3)'!$R$5:$R$289,$V17)*$AB17))</f>
        <v/>
      </c>
      <c r="AG17" s="2" t="str">
        <f>IF($W17=AG$3,$AB17,IF(NOT($W17=0),"",SUMIFS('Val-Vol (2)'!AG$4:AG$1116,'Val-Vol (2)'!$A$4:$A$1116,$D17,'Val-Vol (2)'!$V$4:$V$1116,$V17)/SUMIFS('Comp2016-2017 (3)'!$G$5:$G$289,'Comp2016-2017 (3)'!$A$5:$A$289,$D17,'Comp2016-2017 (3)'!$R$5:$R$289,$V17)*$AB17))</f>
        <v/>
      </c>
      <c r="AH17" s="2" t="str">
        <f>IF($W17=AH$3,$AB17,IF(NOT($W17=0),"",SUMIFS('Val-Vol (2)'!AH$4:AH$1116,'Val-Vol (2)'!$A$4:$A$1116,$D17,'Val-Vol (2)'!$V$4:$V$1116,$V17)/SUMIFS('Comp2016-2017 (3)'!$G$5:$G$289,'Comp2016-2017 (3)'!$A$5:$A$289,$D17,'Comp2016-2017 (3)'!$R$5:$R$289,$V17)*$AB17))</f>
        <v/>
      </c>
      <c r="AI17" s="2" t="str">
        <f>IF($W17=AI$3,$AB17,IF(NOT($W17=0),"",SUMIFS('Val-Vol (2)'!AI$4:AI$1116,'Val-Vol (2)'!$A$4:$A$1116,$D17,'Val-Vol (2)'!$V$4:$V$1116,$V17)/SUMIFS('Comp2016-2017 (3)'!$G$5:$G$289,'Comp2016-2017 (3)'!$A$5:$A$289,$D17,'Comp2016-2017 (3)'!$R$5:$R$289,$V17)*$AB17))</f>
        <v/>
      </c>
      <c r="AJ17" s="2" t="str">
        <f>IF($W17=AJ$3,$AB17,IF(NOT($W17=0),"",SUMIFS('Val-Vol (2)'!AJ$4:AJ$1116,'Val-Vol (2)'!$A$4:$A$1116,$D17,'Val-Vol (2)'!$V$4:$V$1116,$V17)/SUMIFS('Comp2016-2017 (3)'!$G$5:$G$289,'Comp2016-2017 (3)'!$A$5:$A$289,$D17,'Comp2016-2017 (3)'!$R$5:$R$289,$V17)*$AB17))</f>
        <v/>
      </c>
      <c r="AK17" s="2">
        <f t="shared" si="4"/>
        <v>0</v>
      </c>
      <c r="AL17" t="str">
        <f t="shared" si="2"/>
        <v/>
      </c>
      <c r="AM17" t="str">
        <f>VLOOKUP(A17,'Table corresp.'!$M$4:$U$63,8,FALSE)</f>
        <v>Forêt</v>
      </c>
      <c r="AN17" t="str">
        <f>VLOOKUP(D17,'Table corresp.'!$M$4:$U$63,9,FALSE)</f>
        <v>Production intermédiaire</v>
      </c>
    </row>
    <row r="18" spans="1:40" x14ac:dyDescent="0.25">
      <c r="A18" t="s">
        <v>0</v>
      </c>
      <c r="B18" t="str">
        <f>VLOOKUP(LEFT(A18,3),'Table corresp.'!$A$4:$D$63,3,FALSE)</f>
        <v>Forêt</v>
      </c>
      <c r="C18" t="str">
        <f>VLOOKUP(A18,'Table corresp.'!$M$4:$P$63,4,FALSE)</f>
        <v>Production et transformation de produits bois</v>
      </c>
      <c r="D18" t="s">
        <v>85</v>
      </c>
      <c r="E18" t="str">
        <f>VLOOKUP(LEFT(D18,3),'Table corresp.'!$A$4:$D$63,4,FALSE)</f>
        <v>Transformation</v>
      </c>
      <c r="F18" t="str">
        <f t="shared" si="0"/>
        <v xml:space="preserve">02  - 29 </v>
      </c>
      <c r="G18" s="1">
        <v>13538.461538461537</v>
      </c>
      <c r="H18" s="1">
        <v>0</v>
      </c>
      <c r="I18" s="1">
        <v>13538.461538461537</v>
      </c>
      <c r="J18" s="1">
        <v>188.65823688906301</v>
      </c>
      <c r="K18" s="1">
        <v>0</v>
      </c>
      <c r="L18" s="1">
        <v>188.65823688906301</v>
      </c>
      <c r="M18" s="1">
        <v>0</v>
      </c>
      <c r="N18" s="1">
        <v>0</v>
      </c>
      <c r="O18" s="1">
        <v>0</v>
      </c>
      <c r="P18" s="1">
        <v>0</v>
      </c>
      <c r="Q18" s="1">
        <v>0</v>
      </c>
      <c r="R18" s="1">
        <v>0</v>
      </c>
      <c r="S18" s="67"/>
      <c r="T18">
        <f>VLOOKUP(A18,'Groupe de branches'!$Z$27:$AM$86,14,FALSE)</f>
        <v>0</v>
      </c>
      <c r="U18">
        <f>VLOOKUP(D18,'Groupe de branches'!$Z$27:$AM$86,14,FALSE)</f>
        <v>0</v>
      </c>
      <c r="V18">
        <v>2016</v>
      </c>
      <c r="W18" t="str">
        <f>VLOOKUP(D18,'Table corresp.'!$M$4:$S$63,7,FALSE)</f>
        <v>Construction</v>
      </c>
      <c r="X18" s="167">
        <f>IFERROR(G18/SUMIFS('Comp2016-2017 (3)'!$I$5:$I$289,'Comp2016-2017 (3)'!$A$5:$A$289,A18,'Comp2016-2017 (3)'!$R$5:$R$289,V18),0)</f>
        <v>1.2464850561308822E-2</v>
      </c>
      <c r="Y18" s="178">
        <f>IFERROR(IF(RIGHT(F18,3)="Exp",VLOOKUP(F18,#REF!,2,FALSE),VLOOKUP(F18,#REF!,9,FALSE)),1)</f>
        <v>1</v>
      </c>
      <c r="Z18" s="167">
        <f t="shared" si="1"/>
        <v>6.25E-2</v>
      </c>
      <c r="AA18" s="189">
        <f t="shared" si="3"/>
        <v>7.7905316008180137E-4</v>
      </c>
      <c r="AB18" s="2">
        <f>IFERROR(SUMIFS('Comp2016-2017 (3)'!$G$5:$G$289,'Comp2016-2017 (3)'!$A$5:$A$289,A18,'Comp2016-2017 (3)'!$R$5:$R$289,V18)*AA18/SUMIFS($AA$4:$AA$1116,$A$4:$A$1116,A18,$V$4:$V$1116,V18),0)</f>
        <v>7981.9414717670288</v>
      </c>
      <c r="AC18" s="2" t="str">
        <f>IF($W18=AC$3,$AB18,IF(NOT($W18=0),"",SUMIFS('Val-Vol (2)'!AC$4:AC$1116,'Val-Vol (2)'!$A$4:$A$1116,$D18,'Val-Vol (2)'!$V$4:$V$1116,$V18)/SUMIFS('Comp2016-2017 (3)'!$G$5:$G$289,'Comp2016-2017 (3)'!$A$5:$A$289,$D18,'Comp2016-2017 (3)'!$R$5:$R$289,$V18)*$AB18))</f>
        <v/>
      </c>
      <c r="AD18" s="2">
        <f>IF($W18=AD$3,$AB18,IF(NOT($W18=0),"",SUMIFS('Val-Vol (2)'!AD$4:AD$1116,'Val-Vol (2)'!$A$4:$A$1116,$D18,'Val-Vol (2)'!$V$4:$V$1116,$V18)/SUMIFS('Comp2016-2017 (3)'!$G$5:$G$289,'Comp2016-2017 (3)'!$A$5:$A$289,$D18,'Comp2016-2017 (3)'!$R$5:$R$289,$V18)*$AB18))</f>
        <v>7981.9414717670288</v>
      </c>
      <c r="AE18" s="2" t="str">
        <f>IF($W18=AE$3,$AB18,IF(NOT($W18=0),"",SUMIFS('Val-Vol (2)'!AE$4:AE$1116,'Val-Vol (2)'!$A$4:$A$1116,$D18,'Val-Vol (2)'!$V$4:$V$1116,$V18)/SUMIFS('Comp2016-2017 (3)'!$G$5:$G$289,'Comp2016-2017 (3)'!$A$5:$A$289,$D18,'Comp2016-2017 (3)'!$R$5:$R$289,$V18)*$AB18))</f>
        <v/>
      </c>
      <c r="AF18" s="2" t="str">
        <f>IF($W18=AF$3,$AB18,IF(NOT($W18=0),"",SUMIFS('Val-Vol (2)'!AF$4:AF$1116,'Val-Vol (2)'!$A$4:$A$1116,$D18,'Val-Vol (2)'!$V$4:$V$1116,$V18)/SUMIFS('Comp2016-2017 (3)'!$G$5:$G$289,'Comp2016-2017 (3)'!$A$5:$A$289,$D18,'Comp2016-2017 (3)'!$R$5:$R$289,$V18)*$AB18))</f>
        <v/>
      </c>
      <c r="AG18" s="2" t="str">
        <f>IF($W18=AG$3,$AB18,IF(NOT($W18=0),"",SUMIFS('Val-Vol (2)'!AG$4:AG$1116,'Val-Vol (2)'!$A$4:$A$1116,$D18,'Val-Vol (2)'!$V$4:$V$1116,$V18)/SUMIFS('Comp2016-2017 (3)'!$G$5:$G$289,'Comp2016-2017 (3)'!$A$5:$A$289,$D18,'Comp2016-2017 (3)'!$R$5:$R$289,$V18)*$AB18))</f>
        <v/>
      </c>
      <c r="AH18" s="2" t="str">
        <f>IF($W18=AH$3,$AB18,IF(NOT($W18=0),"",SUMIFS('Val-Vol (2)'!AH$4:AH$1116,'Val-Vol (2)'!$A$4:$A$1116,$D18,'Val-Vol (2)'!$V$4:$V$1116,$V18)/SUMIFS('Comp2016-2017 (3)'!$G$5:$G$289,'Comp2016-2017 (3)'!$A$5:$A$289,$D18,'Comp2016-2017 (3)'!$R$5:$R$289,$V18)*$AB18))</f>
        <v/>
      </c>
      <c r="AI18" s="2" t="str">
        <f>IF($W18=AI$3,$AB18,IF(NOT($W18=0),"",SUMIFS('Val-Vol (2)'!AI$4:AI$1116,'Val-Vol (2)'!$A$4:$A$1116,$D18,'Val-Vol (2)'!$V$4:$V$1116,$V18)/SUMIFS('Comp2016-2017 (3)'!$G$5:$G$289,'Comp2016-2017 (3)'!$A$5:$A$289,$D18,'Comp2016-2017 (3)'!$R$5:$R$289,$V18)*$AB18))</f>
        <v/>
      </c>
      <c r="AJ18" s="2" t="str">
        <f>IF($W18=AJ$3,$AB18,IF(NOT($W18=0),"",SUMIFS('Val-Vol (2)'!AJ$4:AJ$1116,'Val-Vol (2)'!$A$4:$A$1116,$D18,'Val-Vol (2)'!$V$4:$V$1116,$V18)/SUMIFS('Comp2016-2017 (3)'!$G$5:$G$289,'Comp2016-2017 (3)'!$A$5:$A$289,$D18,'Comp2016-2017 (3)'!$R$5:$R$289,$V18)*$AB18))</f>
        <v/>
      </c>
      <c r="AK18" s="2">
        <f t="shared" si="4"/>
        <v>0</v>
      </c>
      <c r="AL18" t="str">
        <f t="shared" si="2"/>
        <v/>
      </c>
      <c r="AM18" t="str">
        <f>VLOOKUP(A18,'Table corresp.'!$M$4:$U$63,8,FALSE)</f>
        <v>Forêt</v>
      </c>
      <c r="AN18" t="str">
        <f>VLOOKUP(D18,'Table corresp.'!$M$4:$U$63,9,FALSE)</f>
        <v>Production intermédiaire</v>
      </c>
    </row>
    <row r="19" spans="1:40" x14ac:dyDescent="0.25">
      <c r="A19" t="s">
        <v>0</v>
      </c>
      <c r="B19" t="str">
        <f>VLOOKUP(LEFT(A19,3),'Table corresp.'!$A$4:$D$63,3,FALSE)</f>
        <v>Forêt</v>
      </c>
      <c r="C19" t="str">
        <f>VLOOKUP(A19,'Table corresp.'!$M$4:$P$63,4,FALSE)</f>
        <v>Production et transformation de produits bois</v>
      </c>
      <c r="D19" t="s">
        <v>87</v>
      </c>
      <c r="E19" t="str">
        <f>VLOOKUP(LEFT(D19,3),'Table corresp.'!$A$4:$D$63,4,FALSE)</f>
        <v>Transformation</v>
      </c>
      <c r="F19" t="str">
        <f t="shared" si="0"/>
        <v xml:space="preserve">02  - 31 </v>
      </c>
      <c r="G19" s="1">
        <v>5060.3133580485919</v>
      </c>
      <c r="H19" s="1">
        <v>12136.186641951408</v>
      </c>
      <c r="I19" s="1">
        <v>17196.5</v>
      </c>
      <c r="J19" s="1">
        <v>161.72632179576965</v>
      </c>
      <c r="K19" s="1">
        <v>182.30463423930209</v>
      </c>
      <c r="L19" s="1">
        <v>344.03095603507177</v>
      </c>
      <c r="M19" s="1">
        <v>0</v>
      </c>
      <c r="N19" s="1">
        <v>0</v>
      </c>
      <c r="O19" s="1">
        <v>0</v>
      </c>
      <c r="P19" s="1">
        <v>0</v>
      </c>
      <c r="Q19" s="1">
        <v>0</v>
      </c>
      <c r="R19" s="1">
        <v>0</v>
      </c>
      <c r="S19" s="67"/>
      <c r="T19">
        <f>VLOOKUP(A19,'Groupe de branches'!$Z$27:$AM$86,14,FALSE)</f>
        <v>0</v>
      </c>
      <c r="U19">
        <f>VLOOKUP(D19,'Groupe de branches'!$Z$27:$AM$86,14,FALSE)</f>
        <v>0</v>
      </c>
      <c r="V19">
        <v>2016</v>
      </c>
      <c r="W19">
        <f>VLOOKUP(D19,'Table corresp.'!$M$4:$S$63,7,FALSE)</f>
        <v>0</v>
      </c>
      <c r="X19" s="167">
        <f>IFERROR(G19/SUMIFS('Comp2016-2017 (3)'!$I$5:$I$289,'Comp2016-2017 (3)'!$A$5:$A$289,A19,'Comp2016-2017 (3)'!$R$5:$R$289,V19),0)</f>
        <v>4.6590264057904361E-3</v>
      </c>
      <c r="Y19" s="178">
        <f>IFERROR(IF(RIGHT(F19,3)="Exp",VLOOKUP(F19,#REF!,2,FALSE),VLOOKUP(F19,#REF!,9,FALSE)),1)</f>
        <v>1</v>
      </c>
      <c r="Z19" s="167">
        <f t="shared" si="1"/>
        <v>6.25E-2</v>
      </c>
      <c r="AA19" s="189">
        <f t="shared" si="3"/>
        <v>2.9118915036190226E-4</v>
      </c>
      <c r="AB19" s="2">
        <f>IFERROR(SUMIFS('Comp2016-2017 (3)'!$G$5:$G$289,'Comp2016-2017 (3)'!$A$5:$A$289,A19,'Comp2016-2017 (3)'!$R$5:$R$289,V19)*AA19/SUMIFS($AA$4:$AA$1116,$A$4:$A$1116,A19,$V$4:$V$1116,V19),0)</f>
        <v>2983.4353732140994</v>
      </c>
      <c r="AC19" s="2">
        <f>IF($W19=AC$3,$AB19,IF(NOT($W19=0),"",SUMIFS('Val-Vol (2)'!AC$4:AC$1116,'Val-Vol (2)'!$A$4:$A$1116,$D19,'Val-Vol (2)'!$V$4:$V$1116,$V19)/SUMIFS('Comp2016-2017 (3)'!$G$5:$G$289,'Comp2016-2017 (3)'!$A$5:$A$289,$D19,'Comp2016-2017 (3)'!$R$5:$R$289,$V19)*$AB19))</f>
        <v>1636.9213958124362</v>
      </c>
      <c r="AD19" s="2">
        <f>IF($W19=AD$3,$AB19,IF(NOT($W19=0),"",SUMIFS('Val-Vol (2)'!AD$4:AD$1116,'Val-Vol (2)'!$A$4:$A$1116,$D19,'Val-Vol (2)'!$V$4:$V$1116,$V19)/SUMIFS('Comp2016-2017 (3)'!$G$5:$G$289,'Comp2016-2017 (3)'!$A$5:$A$289,$D19,'Comp2016-2017 (3)'!$R$5:$R$289,$V19)*$AB19))</f>
        <v>451.92038092201125</v>
      </c>
      <c r="AE19" s="2">
        <f>IF($W19=AE$3,$AB19,IF(NOT($W19=0),"",SUMIFS('Val-Vol (2)'!AE$4:AE$1116,'Val-Vol (2)'!$A$4:$A$1116,$D19,'Val-Vol (2)'!$V$4:$V$1116,$V19)/SUMIFS('Comp2016-2017 (3)'!$G$5:$G$289,'Comp2016-2017 (3)'!$A$5:$A$289,$D19,'Comp2016-2017 (3)'!$R$5:$R$289,$V19)*$AB19))</f>
        <v>564.95430303510057</v>
      </c>
      <c r="AF19" s="2">
        <f>IF($W19=AF$3,$AB19,IF(NOT($W19=0),"",SUMIFS('Val-Vol (2)'!AF$4:AF$1116,'Val-Vol (2)'!$A$4:$A$1116,$D19,'Val-Vol (2)'!$V$4:$V$1116,$V19)/SUMIFS('Comp2016-2017 (3)'!$G$5:$G$289,'Comp2016-2017 (3)'!$A$5:$A$289,$D19,'Comp2016-2017 (3)'!$R$5:$R$289,$V19)*$AB19))</f>
        <v>0</v>
      </c>
      <c r="AG19" s="2">
        <f>IF($W19=AG$3,$AB19,IF(NOT($W19=0),"",SUMIFS('Val-Vol (2)'!AG$4:AG$1116,'Val-Vol (2)'!$A$4:$A$1116,$D19,'Val-Vol (2)'!$V$4:$V$1116,$V19)/SUMIFS('Comp2016-2017 (3)'!$G$5:$G$289,'Comp2016-2017 (3)'!$A$5:$A$289,$D19,'Comp2016-2017 (3)'!$R$5:$R$289,$V19)*$AB19))</f>
        <v>243.6941973001822</v>
      </c>
      <c r="AH19" s="2">
        <f>IF($W19=AH$3,$AB19,IF(NOT($W19=0),"",SUMIFS('Val-Vol (2)'!AH$4:AH$1116,'Val-Vol (2)'!$A$4:$A$1116,$D19,'Val-Vol (2)'!$V$4:$V$1116,$V19)/SUMIFS('Comp2016-2017 (3)'!$G$5:$G$289,'Comp2016-2017 (3)'!$A$5:$A$289,$D19,'Comp2016-2017 (3)'!$R$5:$R$289,$V19)*$AB19))</f>
        <v>0</v>
      </c>
      <c r="AI19" s="2">
        <f>IF($W19=AI$3,$AB19,IF(NOT($W19=0),"",SUMIFS('Val-Vol (2)'!AI$4:AI$1116,'Val-Vol (2)'!$A$4:$A$1116,$D19,'Val-Vol (2)'!$V$4:$V$1116,$V19)/SUMIFS('Comp2016-2017 (3)'!$G$5:$G$289,'Comp2016-2017 (3)'!$A$5:$A$289,$D19,'Comp2016-2017 (3)'!$R$5:$R$289,$V19)*$AB19))</f>
        <v>0</v>
      </c>
      <c r="AJ19" s="2">
        <f>IF($W19=AJ$3,$AB19,IF(NOT($W19=0),"",SUMIFS('Val-Vol (2)'!AJ$4:AJ$1116,'Val-Vol (2)'!$A$4:$A$1116,$D19,'Val-Vol (2)'!$V$4:$V$1116,$V19)/SUMIFS('Comp2016-2017 (3)'!$G$5:$G$289,'Comp2016-2017 (3)'!$A$5:$A$289,$D19,'Comp2016-2017 (3)'!$R$5:$R$289,$V19)*$AB19))</f>
        <v>85.945096144369444</v>
      </c>
      <c r="AK19" s="2">
        <f t="shared" si="4"/>
        <v>0</v>
      </c>
      <c r="AL19" t="str">
        <f t="shared" si="2"/>
        <v/>
      </c>
      <c r="AM19" t="str">
        <f>VLOOKUP(A19,'Table corresp.'!$M$4:$U$63,8,FALSE)</f>
        <v>Forêt</v>
      </c>
      <c r="AN19" t="str">
        <f>VLOOKUP(D19,'Table corresp.'!$M$4:$U$63,9,FALSE)</f>
        <v>Production intermédiaire</v>
      </c>
    </row>
    <row r="20" spans="1:40" x14ac:dyDescent="0.25">
      <c r="A20" t="s">
        <v>0</v>
      </c>
      <c r="B20" t="str">
        <f>VLOOKUP(LEFT(A20,3),'Table corresp.'!$A$4:$D$63,3,FALSE)</f>
        <v>Forêt</v>
      </c>
      <c r="C20" t="str">
        <f>VLOOKUP(A20,'Table corresp.'!$M$4:$P$63,4,FALSE)</f>
        <v>Production et transformation de produits bois</v>
      </c>
      <c r="D20" t="s">
        <v>91</v>
      </c>
      <c r="E20" t="str">
        <f>VLOOKUP(LEFT(D20,3),'Table corresp.'!$A$4:$D$63,4,FALSE)</f>
        <v>Transformation</v>
      </c>
      <c r="F20" t="str">
        <f t="shared" si="0"/>
        <v xml:space="preserve">02  - 37 </v>
      </c>
      <c r="G20" s="1">
        <v>37445.627999999997</v>
      </c>
      <c r="H20" s="1">
        <v>0</v>
      </c>
      <c r="I20" s="1">
        <v>37445.627999999997</v>
      </c>
      <c r="J20" s="1">
        <v>1264.9798904943318</v>
      </c>
      <c r="K20" s="1">
        <v>0</v>
      </c>
      <c r="L20" s="1">
        <v>1264.9798904943318</v>
      </c>
      <c r="M20" s="1">
        <v>0</v>
      </c>
      <c r="N20" s="1">
        <v>0</v>
      </c>
      <c r="O20" s="1">
        <v>0</v>
      </c>
      <c r="P20" s="1">
        <v>0</v>
      </c>
      <c r="Q20" s="1">
        <v>0</v>
      </c>
      <c r="R20" s="1">
        <v>0</v>
      </c>
      <c r="S20" s="67"/>
      <c r="T20">
        <f>VLOOKUP(A20,'Groupe de branches'!$Z$27:$AM$86,14,FALSE)</f>
        <v>0</v>
      </c>
      <c r="U20">
        <f>VLOOKUP(D20,'Groupe de branches'!$Z$27:$AM$86,14,FALSE)</f>
        <v>0</v>
      </c>
      <c r="V20">
        <v>2016</v>
      </c>
      <c r="W20" t="str">
        <f>VLOOKUP(D20,'Table corresp.'!$M$4:$S$63,7,FALSE)</f>
        <v>Emballage bois et carton</v>
      </c>
      <c r="X20" s="167">
        <f>IFERROR(G20/SUMIFS('Comp2016-2017 (3)'!$I$5:$I$289,'Comp2016-2017 (3)'!$A$5:$A$289,A20,'Comp2016-2017 (3)'!$R$5:$R$289,V20),0)</f>
        <v>3.4476159338219868E-2</v>
      </c>
      <c r="Y20" s="178">
        <f>IFERROR(IF(RIGHT(F20,3)="Exp",VLOOKUP(F20,#REF!,2,FALSE),VLOOKUP(F20,#REF!,9,FALSE)),1)</f>
        <v>1</v>
      </c>
      <c r="Z20" s="167">
        <f t="shared" si="1"/>
        <v>6.25E-2</v>
      </c>
      <c r="AA20" s="189">
        <f t="shared" si="3"/>
        <v>2.1547599586387418E-3</v>
      </c>
      <c r="AB20" s="2">
        <f>IFERROR(SUMIFS('Comp2016-2017 (3)'!$G$5:$G$289,'Comp2016-2017 (3)'!$A$5:$A$289,A20,'Comp2016-2017 (3)'!$R$5:$R$289,V20)*AA20/SUMIFS($AA$4:$AA$1116,$A$4:$A$1116,A20,$V$4:$V$1116,V20),0)</f>
        <v>22077.014454001634</v>
      </c>
      <c r="AC20" s="2" t="str">
        <f>IF($W20=AC$3,$AB20,IF(NOT($W20=0),"",SUMIFS('Val-Vol (2)'!AC$4:AC$1116,'Val-Vol (2)'!$A$4:$A$1116,$D20,'Val-Vol (2)'!$V$4:$V$1116,$V20)/SUMIFS('Comp2016-2017 (3)'!$G$5:$G$289,'Comp2016-2017 (3)'!$A$5:$A$289,$D20,'Comp2016-2017 (3)'!$R$5:$R$289,$V20)*$AB20))</f>
        <v/>
      </c>
      <c r="AD20" s="2" t="str">
        <f>IF($W20=AD$3,$AB20,IF(NOT($W20=0),"",SUMIFS('Val-Vol (2)'!AD$4:AD$1116,'Val-Vol (2)'!$A$4:$A$1116,$D20,'Val-Vol (2)'!$V$4:$V$1116,$V20)/SUMIFS('Comp2016-2017 (3)'!$G$5:$G$289,'Comp2016-2017 (3)'!$A$5:$A$289,$D20,'Comp2016-2017 (3)'!$R$5:$R$289,$V20)*$AB20))</f>
        <v/>
      </c>
      <c r="AE20" s="2" t="str">
        <f>IF($W20=AE$3,$AB20,IF(NOT($W20=0),"",SUMIFS('Val-Vol (2)'!AE$4:AE$1116,'Val-Vol (2)'!$A$4:$A$1116,$D20,'Val-Vol (2)'!$V$4:$V$1116,$V20)/SUMIFS('Comp2016-2017 (3)'!$G$5:$G$289,'Comp2016-2017 (3)'!$A$5:$A$289,$D20,'Comp2016-2017 (3)'!$R$5:$R$289,$V20)*$AB20))</f>
        <v/>
      </c>
      <c r="AF20" s="2" t="str">
        <f>IF($W20=AF$3,$AB20,IF(NOT($W20=0),"",SUMIFS('Val-Vol (2)'!AF$4:AF$1116,'Val-Vol (2)'!$A$4:$A$1116,$D20,'Val-Vol (2)'!$V$4:$V$1116,$V20)/SUMIFS('Comp2016-2017 (3)'!$G$5:$G$289,'Comp2016-2017 (3)'!$A$5:$A$289,$D20,'Comp2016-2017 (3)'!$R$5:$R$289,$V20)*$AB20))</f>
        <v/>
      </c>
      <c r="AG20" s="2">
        <f>IF($W20=AG$3,$AB20,IF(NOT($W20=0),"",SUMIFS('Val-Vol (2)'!AG$4:AG$1116,'Val-Vol (2)'!$A$4:$A$1116,$D20,'Val-Vol (2)'!$V$4:$V$1116,$V20)/SUMIFS('Comp2016-2017 (3)'!$G$5:$G$289,'Comp2016-2017 (3)'!$A$5:$A$289,$D20,'Comp2016-2017 (3)'!$R$5:$R$289,$V20)*$AB20))</f>
        <v>22077.014454001634</v>
      </c>
      <c r="AH20" s="2" t="str">
        <f>IF($W20=AH$3,$AB20,IF(NOT($W20=0),"",SUMIFS('Val-Vol (2)'!AH$4:AH$1116,'Val-Vol (2)'!$A$4:$A$1116,$D20,'Val-Vol (2)'!$V$4:$V$1116,$V20)/SUMIFS('Comp2016-2017 (3)'!$G$5:$G$289,'Comp2016-2017 (3)'!$A$5:$A$289,$D20,'Comp2016-2017 (3)'!$R$5:$R$289,$V20)*$AB20))</f>
        <v/>
      </c>
      <c r="AI20" s="2" t="str">
        <f>IF($W20=AI$3,$AB20,IF(NOT($W20=0),"",SUMIFS('Val-Vol (2)'!AI$4:AI$1116,'Val-Vol (2)'!$A$4:$A$1116,$D20,'Val-Vol (2)'!$V$4:$V$1116,$V20)/SUMIFS('Comp2016-2017 (3)'!$G$5:$G$289,'Comp2016-2017 (3)'!$A$5:$A$289,$D20,'Comp2016-2017 (3)'!$R$5:$R$289,$V20)*$AB20))</f>
        <v/>
      </c>
      <c r="AJ20" s="2" t="str">
        <f>IF($W20=AJ$3,$AB20,IF(NOT($W20=0),"",SUMIFS('Val-Vol (2)'!AJ$4:AJ$1116,'Val-Vol (2)'!$A$4:$A$1116,$D20,'Val-Vol (2)'!$V$4:$V$1116,$V20)/SUMIFS('Comp2016-2017 (3)'!$G$5:$G$289,'Comp2016-2017 (3)'!$A$5:$A$289,$D20,'Comp2016-2017 (3)'!$R$5:$R$289,$V20)*$AB20))</f>
        <v/>
      </c>
      <c r="AK20" s="2">
        <f t="shared" si="4"/>
        <v>0</v>
      </c>
      <c r="AL20" t="str">
        <f t="shared" si="2"/>
        <v/>
      </c>
      <c r="AM20" t="str">
        <f>VLOOKUP(A20,'Table corresp.'!$M$4:$U$63,8,FALSE)</f>
        <v>Forêt</v>
      </c>
      <c r="AN20" t="str">
        <f>VLOOKUP(D20,'Table corresp.'!$M$4:$U$63,9,FALSE)</f>
        <v>Production finale</v>
      </c>
    </row>
    <row r="21" spans="1:40" x14ac:dyDescent="0.25">
      <c r="A21" t="s">
        <v>0</v>
      </c>
      <c r="B21" t="str">
        <f>VLOOKUP(LEFT(A21,3),'Table corresp.'!$A$4:$D$63,3,FALSE)</f>
        <v>Forêt</v>
      </c>
      <c r="C21" t="str">
        <f>VLOOKUP(A21,'Table corresp.'!$M$4:$P$63,4,FALSE)</f>
        <v>Production et transformation de produits bois</v>
      </c>
      <c r="D21" t="s">
        <v>94</v>
      </c>
      <c r="E21" t="str">
        <f>VLOOKUP(LEFT(D21,3),'Table corresp.'!$A$4:$D$63,4,FALSE)</f>
        <v>Transformation</v>
      </c>
      <c r="F21" t="str">
        <f t="shared" si="0"/>
        <v xml:space="preserve">02  - 42 </v>
      </c>
      <c r="G21" s="1">
        <v>19807.886693096872</v>
      </c>
      <c r="H21" s="1">
        <v>0</v>
      </c>
      <c r="I21" s="1">
        <v>19807.886693096872</v>
      </c>
      <c r="J21" s="1">
        <v>20.269066773205111</v>
      </c>
      <c r="K21" s="1">
        <v>0</v>
      </c>
      <c r="L21" s="1">
        <v>20.269066773205111</v>
      </c>
      <c r="M21" s="1">
        <v>0</v>
      </c>
      <c r="N21" s="1">
        <v>0</v>
      </c>
      <c r="O21" s="1">
        <v>0</v>
      </c>
      <c r="P21" s="1">
        <v>0</v>
      </c>
      <c r="Q21" s="1">
        <v>0</v>
      </c>
      <c r="R21" s="1">
        <v>0</v>
      </c>
      <c r="S21" s="67"/>
      <c r="T21">
        <f>VLOOKUP(A21,'Groupe de branches'!$Z$27:$AM$86,14,FALSE)</f>
        <v>0</v>
      </c>
      <c r="U21">
        <f>VLOOKUP(D21,'Groupe de branches'!$Z$27:$AM$86,14,FALSE)</f>
        <v>0</v>
      </c>
      <c r="V21">
        <v>2016</v>
      </c>
      <c r="W21" t="str">
        <f>VLOOKUP(D21,'Table corresp.'!$M$4:$S$63,7,FALSE)</f>
        <v>Produits de consommation courante</v>
      </c>
      <c r="X21" s="167">
        <f>IFERROR(G21/SUMIFS('Comp2016-2017 (3)'!$I$5:$I$289,'Comp2016-2017 (3)'!$A$5:$A$289,A21,'Comp2016-2017 (3)'!$R$5:$R$289,V21),0)</f>
        <v>1.8237105217853815E-2</v>
      </c>
      <c r="Y21" s="178">
        <f>IFERROR(IF(RIGHT(F21,3)="Exp",VLOOKUP(F21,#REF!,2,FALSE),VLOOKUP(F21,#REF!,9,FALSE)),1)</f>
        <v>1</v>
      </c>
      <c r="Z21" s="167">
        <f t="shared" si="1"/>
        <v>6.25E-2</v>
      </c>
      <c r="AA21" s="189">
        <f t="shared" si="3"/>
        <v>1.1398190761158634E-3</v>
      </c>
      <c r="AB21" s="2">
        <f>IFERROR(SUMIFS('Comp2016-2017 (3)'!$G$5:$G$289,'Comp2016-2017 (3)'!$A$5:$A$289,A21,'Comp2016-2017 (3)'!$R$5:$R$289,V21)*AA21/SUMIFS($AA$4:$AA$1116,$A$4:$A$1116,A21,$V$4:$V$1116,V21),0)</f>
        <v>11678.239201295446</v>
      </c>
      <c r="AC21" s="2" t="str">
        <f>IF($W21=AC$3,$AB21,IF(NOT($W21=0),"",SUMIFS('Val-Vol (2)'!AC$4:AC$1116,'Val-Vol (2)'!$A$4:$A$1116,$D21,'Val-Vol (2)'!$V$4:$V$1116,$V21)/SUMIFS('Comp2016-2017 (3)'!$G$5:$G$289,'Comp2016-2017 (3)'!$A$5:$A$289,$D21,'Comp2016-2017 (3)'!$R$5:$R$289,$V21)*$AB21))</f>
        <v/>
      </c>
      <c r="AD21" s="2" t="str">
        <f>IF($W21=AD$3,$AB21,IF(NOT($W21=0),"",SUMIFS('Val-Vol (2)'!AD$4:AD$1116,'Val-Vol (2)'!$A$4:$A$1116,$D21,'Val-Vol (2)'!$V$4:$V$1116,$V21)/SUMIFS('Comp2016-2017 (3)'!$G$5:$G$289,'Comp2016-2017 (3)'!$A$5:$A$289,$D21,'Comp2016-2017 (3)'!$R$5:$R$289,$V21)*$AB21))</f>
        <v/>
      </c>
      <c r="AE21" s="2" t="str">
        <f>IF($W21=AE$3,$AB21,IF(NOT($W21=0),"",SUMIFS('Val-Vol (2)'!AE$4:AE$1116,'Val-Vol (2)'!$A$4:$A$1116,$D21,'Val-Vol (2)'!$V$4:$V$1116,$V21)/SUMIFS('Comp2016-2017 (3)'!$G$5:$G$289,'Comp2016-2017 (3)'!$A$5:$A$289,$D21,'Comp2016-2017 (3)'!$R$5:$R$289,$V21)*$AB21))</f>
        <v/>
      </c>
      <c r="AF21" s="2" t="str">
        <f>IF($W21=AF$3,$AB21,IF(NOT($W21=0),"",SUMIFS('Val-Vol (2)'!AF$4:AF$1116,'Val-Vol (2)'!$A$4:$A$1116,$D21,'Val-Vol (2)'!$V$4:$V$1116,$V21)/SUMIFS('Comp2016-2017 (3)'!$G$5:$G$289,'Comp2016-2017 (3)'!$A$5:$A$289,$D21,'Comp2016-2017 (3)'!$R$5:$R$289,$V21)*$AB21))</f>
        <v/>
      </c>
      <c r="AG21" s="2" t="str">
        <f>IF($W21=AG$3,$AB21,IF(NOT($W21=0),"",SUMIFS('Val-Vol (2)'!AG$4:AG$1116,'Val-Vol (2)'!$A$4:$A$1116,$D21,'Val-Vol (2)'!$V$4:$V$1116,$V21)/SUMIFS('Comp2016-2017 (3)'!$G$5:$G$289,'Comp2016-2017 (3)'!$A$5:$A$289,$D21,'Comp2016-2017 (3)'!$R$5:$R$289,$V21)*$AB21))</f>
        <v/>
      </c>
      <c r="AH21" s="2" t="str">
        <f>IF($W21=AH$3,$AB21,IF(NOT($W21=0),"",SUMIFS('Val-Vol (2)'!AH$4:AH$1116,'Val-Vol (2)'!$A$4:$A$1116,$D21,'Val-Vol (2)'!$V$4:$V$1116,$V21)/SUMIFS('Comp2016-2017 (3)'!$G$5:$G$289,'Comp2016-2017 (3)'!$A$5:$A$289,$D21,'Comp2016-2017 (3)'!$R$5:$R$289,$V21)*$AB21))</f>
        <v/>
      </c>
      <c r="AI21" s="2">
        <f>IF($W21=AI$3,$AB21,IF(NOT($W21=0),"",SUMIFS('Val-Vol (2)'!AI$4:AI$1116,'Val-Vol (2)'!$A$4:$A$1116,$D21,'Val-Vol (2)'!$V$4:$V$1116,$V21)/SUMIFS('Comp2016-2017 (3)'!$G$5:$G$289,'Comp2016-2017 (3)'!$A$5:$A$289,$D21,'Comp2016-2017 (3)'!$R$5:$R$289,$V21)*$AB21))</f>
        <v>11678.239201295446</v>
      </c>
      <c r="AJ21" s="2" t="str">
        <f>IF($W21=AJ$3,$AB21,IF(NOT($W21=0),"",SUMIFS('Val-Vol (2)'!AJ$4:AJ$1116,'Val-Vol (2)'!$A$4:$A$1116,$D21,'Val-Vol (2)'!$V$4:$V$1116,$V21)/SUMIFS('Comp2016-2017 (3)'!$G$5:$G$289,'Comp2016-2017 (3)'!$A$5:$A$289,$D21,'Comp2016-2017 (3)'!$R$5:$R$289,$V21)*$AB21))</f>
        <v/>
      </c>
      <c r="AK21" s="2">
        <f t="shared" si="4"/>
        <v>0</v>
      </c>
      <c r="AL21" t="str">
        <f t="shared" si="2"/>
        <v/>
      </c>
      <c r="AM21" t="str">
        <f>VLOOKUP(A21,'Table corresp.'!$M$4:$U$63,8,FALSE)</f>
        <v>Forêt</v>
      </c>
      <c r="AN21" t="str">
        <f>VLOOKUP(D21,'Table corresp.'!$M$4:$U$63,9,FALSE)</f>
        <v>Production finale</v>
      </c>
    </row>
    <row r="22" spans="1:40" x14ac:dyDescent="0.25">
      <c r="A22" t="s">
        <v>0</v>
      </c>
      <c r="B22" t="str">
        <f>VLOOKUP(LEFT(A22,3),'Table corresp.'!$A$4:$D$63,3,FALSE)</f>
        <v>Forêt</v>
      </c>
      <c r="C22" t="str">
        <f>VLOOKUP(A22,'Table corresp.'!$M$4:$P$63,4,FALSE)</f>
        <v>Production et transformation de produits bois</v>
      </c>
      <c r="D22" t="s">
        <v>54</v>
      </c>
      <c r="E22" t="str">
        <f>VLOOKUP(LEFT(D22,3),'Table corresp.'!$A$4:$D$63,4,FALSE)</f>
        <v>Consommation finale</v>
      </c>
      <c r="F22" t="str">
        <f t="shared" si="0"/>
        <v>02  - Con</v>
      </c>
      <c r="G22" s="1">
        <v>485.77000000000004</v>
      </c>
      <c r="H22" s="1">
        <v>0</v>
      </c>
      <c r="I22" s="1">
        <v>485.77000000000004</v>
      </c>
      <c r="J22" s="1">
        <v>8.8391173749507974</v>
      </c>
      <c r="K22" s="1">
        <v>0</v>
      </c>
      <c r="L22" s="1">
        <v>8.8391173749507974</v>
      </c>
      <c r="M22" s="1">
        <v>0</v>
      </c>
      <c r="N22" s="1">
        <v>0</v>
      </c>
      <c r="O22" s="1">
        <v>0</v>
      </c>
      <c r="P22" s="1">
        <v>0</v>
      </c>
      <c r="Q22" s="1">
        <v>0</v>
      </c>
      <c r="R22" s="1">
        <v>0</v>
      </c>
      <c r="S22" s="67"/>
      <c r="T22">
        <f>VLOOKUP(A22,'Groupe de branches'!$Z$27:$AM$86,14,FALSE)</f>
        <v>0</v>
      </c>
      <c r="U22">
        <f>VLOOKUP(D22,'Groupe de branches'!$Z$27:$AM$86,14,FALSE)</f>
        <v>0</v>
      </c>
      <c r="V22">
        <v>2016</v>
      </c>
      <c r="W22" t="str">
        <f>VLOOKUP(D22,'Table corresp.'!$M$4:$S$63,7,FALSE)</f>
        <v>Consommation finale</v>
      </c>
      <c r="X22" s="167">
        <f>IFERROR(G22/SUMIFS('Comp2016-2017 (3)'!$I$5:$I$289,'Comp2016-2017 (3)'!$A$5:$A$289,A22,'Comp2016-2017 (3)'!$R$5:$R$289,V22),0)</f>
        <v>4.4724804513165245E-4</v>
      </c>
      <c r="Y22" s="178">
        <f>IFERROR(IF(RIGHT(F22,3)="Exp",VLOOKUP(F22,#REF!,2,FALSE),VLOOKUP(F22,#REF!,9,FALSE)),1)</f>
        <v>1</v>
      </c>
      <c r="Z22" s="167">
        <f t="shared" si="1"/>
        <v>6.25E-2</v>
      </c>
      <c r="AA22" s="189">
        <f t="shared" si="3"/>
        <v>2.7953002820728278E-5</v>
      </c>
      <c r="AB22" s="2">
        <f>IFERROR(SUMIFS('Comp2016-2017 (3)'!$G$5:$G$289,'Comp2016-2017 (3)'!$A$5:$A$289,A22,'Comp2016-2017 (3)'!$R$5:$R$289,V22)*AA22/SUMIFS($AA$4:$AA$1116,$A$4:$A$1116,A22,$V$4:$V$1116,V22),0)</f>
        <v>286.39795575922449</v>
      </c>
      <c r="AC22" s="2" t="str">
        <f>IF($W22=AC$3,$AB22,IF(NOT($W22=0),"",SUMIFS('Val-Vol (2)'!AC$4:AC$1116,'Val-Vol (2)'!$A$4:$A$1116,$D22,'Val-Vol (2)'!$V$4:$V$1116,$V22)/SUMIFS('Comp2016-2017 (3)'!$G$5:$G$289,'Comp2016-2017 (3)'!$A$5:$A$289,$D22,'Comp2016-2017 (3)'!$R$5:$R$289,$V22)*$AB22))</f>
        <v/>
      </c>
      <c r="AD22" s="2" t="str">
        <f>IF($W22=AD$3,$AB22,IF(NOT($W22=0),"",SUMIFS('Val-Vol (2)'!AD$4:AD$1116,'Val-Vol (2)'!$A$4:$A$1116,$D22,'Val-Vol (2)'!$V$4:$V$1116,$V22)/SUMIFS('Comp2016-2017 (3)'!$G$5:$G$289,'Comp2016-2017 (3)'!$A$5:$A$289,$D22,'Comp2016-2017 (3)'!$R$5:$R$289,$V22)*$AB22))</f>
        <v/>
      </c>
      <c r="AE22" s="2" t="str">
        <f>IF($W22=AE$3,$AB22,IF(NOT($W22=0),"",SUMIFS('Val-Vol (2)'!AE$4:AE$1116,'Val-Vol (2)'!$A$4:$A$1116,$D22,'Val-Vol (2)'!$V$4:$V$1116,$V22)/SUMIFS('Comp2016-2017 (3)'!$G$5:$G$289,'Comp2016-2017 (3)'!$A$5:$A$289,$D22,'Comp2016-2017 (3)'!$R$5:$R$289,$V22)*$AB22))</f>
        <v/>
      </c>
      <c r="AF22" s="2" t="str">
        <f>IF($W22=AF$3,$AB22,IF(NOT($W22=0),"",SUMIFS('Val-Vol (2)'!AF$4:AF$1116,'Val-Vol (2)'!$A$4:$A$1116,$D22,'Val-Vol (2)'!$V$4:$V$1116,$V22)/SUMIFS('Comp2016-2017 (3)'!$G$5:$G$289,'Comp2016-2017 (3)'!$A$5:$A$289,$D22,'Comp2016-2017 (3)'!$R$5:$R$289,$V22)*$AB22))</f>
        <v/>
      </c>
      <c r="AG22" s="2" t="str">
        <f>IF($W22=AG$3,$AB22,IF(NOT($W22=0),"",SUMIFS('Val-Vol (2)'!AG$4:AG$1116,'Val-Vol (2)'!$A$4:$A$1116,$D22,'Val-Vol (2)'!$V$4:$V$1116,$V22)/SUMIFS('Comp2016-2017 (3)'!$G$5:$G$289,'Comp2016-2017 (3)'!$A$5:$A$289,$D22,'Comp2016-2017 (3)'!$R$5:$R$289,$V22)*$AB22))</f>
        <v/>
      </c>
      <c r="AH22" s="2" t="str">
        <f>IF($W22=AH$3,$AB22,IF(NOT($W22=0),"",SUMIFS('Val-Vol (2)'!AH$4:AH$1116,'Val-Vol (2)'!$A$4:$A$1116,$D22,'Val-Vol (2)'!$V$4:$V$1116,$V22)/SUMIFS('Comp2016-2017 (3)'!$G$5:$G$289,'Comp2016-2017 (3)'!$A$5:$A$289,$D22,'Comp2016-2017 (3)'!$R$5:$R$289,$V22)*$AB22))</f>
        <v/>
      </c>
      <c r="AI22" s="2" t="str">
        <f>IF($W22=AI$3,$AB22,IF(NOT($W22=0),"",SUMIFS('Val-Vol (2)'!AI$4:AI$1116,'Val-Vol (2)'!$A$4:$A$1116,$D22,'Val-Vol (2)'!$V$4:$V$1116,$V22)/SUMIFS('Comp2016-2017 (3)'!$G$5:$G$289,'Comp2016-2017 (3)'!$A$5:$A$289,$D22,'Comp2016-2017 (3)'!$R$5:$R$289,$V22)*$AB22))</f>
        <v/>
      </c>
      <c r="AJ22" s="2">
        <f>IF($W22=AJ$3,$AB22,IF(NOT($W22=0),"",SUMIFS('Val-Vol (2)'!AJ$4:AJ$1116,'Val-Vol (2)'!$A$4:$A$1116,$D22,'Val-Vol (2)'!$V$4:$V$1116,$V22)/SUMIFS('Comp2016-2017 (3)'!$G$5:$G$289,'Comp2016-2017 (3)'!$A$5:$A$289,$D22,'Comp2016-2017 (3)'!$R$5:$R$289,$V22)*$AB22))</f>
        <v>286.39795575922449</v>
      </c>
      <c r="AK22" s="2">
        <f t="shared" si="4"/>
        <v>0</v>
      </c>
      <c r="AL22" t="str">
        <f t="shared" si="2"/>
        <v/>
      </c>
      <c r="AM22" t="str">
        <f>VLOOKUP(A22,'Table corresp.'!$M$4:$U$63,8,FALSE)</f>
        <v>Forêt</v>
      </c>
      <c r="AN22" t="str">
        <f>VLOOKUP(D22,'Table corresp.'!$M$4:$U$63,9,FALSE)</f>
        <v>Consommation finale française</v>
      </c>
    </row>
    <row r="23" spans="1:40" x14ac:dyDescent="0.25">
      <c r="A23" t="s">
        <v>0</v>
      </c>
      <c r="B23" t="str">
        <f>VLOOKUP(LEFT(A23,3),'Table corresp.'!$A$4:$D$63,3,FALSE)</f>
        <v>Forêt</v>
      </c>
      <c r="C23" t="str">
        <f>VLOOKUP(A23,'Table corresp.'!$M$4:$P$63,4,FALSE)</f>
        <v>Production et transformation de produits bois</v>
      </c>
      <c r="D23" t="s">
        <v>53</v>
      </c>
      <c r="E23" t="str">
        <f>VLOOKUP(LEFT(D23,3),'Table corresp.'!$A$4:$D$63,4,FALSE)</f>
        <v>Exportation</v>
      </c>
      <c r="F23" t="str">
        <f t="shared" si="0"/>
        <v>02  - Exp</v>
      </c>
      <c r="G23" s="1">
        <v>162343.17700000003</v>
      </c>
      <c r="H23" s="1">
        <v>0</v>
      </c>
      <c r="I23" s="1">
        <v>162343.17700000003</v>
      </c>
      <c r="J23" s="1">
        <v>2023.852923007307</v>
      </c>
      <c r="K23" s="1">
        <v>0</v>
      </c>
      <c r="L23" s="1">
        <v>2023.852923007307</v>
      </c>
      <c r="M23" s="1">
        <v>0</v>
      </c>
      <c r="N23" s="1">
        <v>0</v>
      </c>
      <c r="O23" s="1">
        <v>0</v>
      </c>
      <c r="P23" s="1">
        <v>0</v>
      </c>
      <c r="Q23" s="1">
        <v>0</v>
      </c>
      <c r="R23" s="1">
        <v>0</v>
      </c>
      <c r="S23" s="67"/>
      <c r="T23">
        <f>VLOOKUP(A23,'Groupe de branches'!$Z$27:$AM$86,14,FALSE)</f>
        <v>0</v>
      </c>
      <c r="U23">
        <f>VLOOKUP(D23,'Groupe de branches'!$Z$27:$AM$86,14,FALSE)</f>
        <v>0</v>
      </c>
      <c r="V23">
        <v>2016</v>
      </c>
      <c r="W23" t="str">
        <f>VLOOKUP(D23,'Table corresp.'!$M$4:$S$63,7,FALSE)</f>
        <v>Exportation</v>
      </c>
      <c r="X23" s="167">
        <f>IFERROR(G23/SUMIFS('Comp2016-2017 (3)'!$I$5:$I$289,'Comp2016-2017 (3)'!$A$5:$A$289,A23,'Comp2016-2017 (3)'!$R$5:$R$289,V23),0)</f>
        <v>0.14946923143403637</v>
      </c>
      <c r="Y23" s="178">
        <f>IFERROR(IF(RIGHT(F23,3)="Exp",VLOOKUP(F23,#REF!,2,FALSE),VLOOKUP(F23,#REF!,9,FALSE)),1)</f>
        <v>1</v>
      </c>
      <c r="Z23" s="167">
        <f t="shared" si="1"/>
        <v>6.25E-2</v>
      </c>
      <c r="AA23" s="189">
        <f t="shared" si="3"/>
        <v>9.3418269646272731E-3</v>
      </c>
      <c r="AB23" s="2">
        <f>IFERROR(SUMIFS('Comp2016-2017 (3)'!$G$5:$G$289,'Comp2016-2017 (3)'!$A$5:$A$289,A23,'Comp2016-2017 (3)'!$R$5:$R$289,V23)*AA23/SUMIFS($AA$4:$AA$1116,$A$4:$A$1116,A23,$V$4:$V$1116,V23),0)</f>
        <v>95713.514676200561</v>
      </c>
      <c r="AC23" s="2">
        <f>IF($W23=AC$3,$AB23,IF(NOT($W23=0),"",SUMIFS('Val-Vol (2)'!AC$4:AC$1116,'Val-Vol (2)'!$A$4:$A$1116,$D23,'Val-Vol (2)'!$V$4:$V$1116,$V23)/SUMIFS('Comp2016-2017 (3)'!$G$5:$G$289,'Comp2016-2017 (3)'!$A$5:$A$289,$D23,'Comp2016-2017 (3)'!$R$5:$R$289,$V23)*$AB23))</f>
        <v>95713.514676200561</v>
      </c>
      <c r="AD23" s="2" t="str">
        <f>IF($W23=AD$3,$AB23,IF(NOT($W23=0),"",SUMIFS('Val-Vol (2)'!AD$4:AD$1116,'Val-Vol (2)'!$A$4:$A$1116,$D23,'Val-Vol (2)'!$V$4:$V$1116,$V23)/SUMIFS('Comp2016-2017 (3)'!$G$5:$G$289,'Comp2016-2017 (3)'!$A$5:$A$289,$D23,'Comp2016-2017 (3)'!$R$5:$R$289,$V23)*$AB23))</f>
        <v/>
      </c>
      <c r="AE23" s="2" t="str">
        <f>IF($W23=AE$3,$AB23,IF(NOT($W23=0),"",SUMIFS('Val-Vol (2)'!AE$4:AE$1116,'Val-Vol (2)'!$A$4:$A$1116,$D23,'Val-Vol (2)'!$V$4:$V$1116,$V23)/SUMIFS('Comp2016-2017 (3)'!$G$5:$G$289,'Comp2016-2017 (3)'!$A$5:$A$289,$D23,'Comp2016-2017 (3)'!$R$5:$R$289,$V23)*$AB23))</f>
        <v/>
      </c>
      <c r="AF23" s="2" t="str">
        <f>IF($W23=AF$3,$AB23,IF(NOT($W23=0),"",SUMIFS('Val-Vol (2)'!AF$4:AF$1116,'Val-Vol (2)'!$A$4:$A$1116,$D23,'Val-Vol (2)'!$V$4:$V$1116,$V23)/SUMIFS('Comp2016-2017 (3)'!$G$5:$G$289,'Comp2016-2017 (3)'!$A$5:$A$289,$D23,'Comp2016-2017 (3)'!$R$5:$R$289,$V23)*$AB23))</f>
        <v/>
      </c>
      <c r="AG23" s="2" t="str">
        <f>IF($W23=AG$3,$AB23,IF(NOT($W23=0),"",SUMIFS('Val-Vol (2)'!AG$4:AG$1116,'Val-Vol (2)'!$A$4:$A$1116,$D23,'Val-Vol (2)'!$V$4:$V$1116,$V23)/SUMIFS('Comp2016-2017 (3)'!$G$5:$G$289,'Comp2016-2017 (3)'!$A$5:$A$289,$D23,'Comp2016-2017 (3)'!$R$5:$R$289,$V23)*$AB23))</f>
        <v/>
      </c>
      <c r="AH23" s="2" t="str">
        <f>IF($W23=AH$3,$AB23,IF(NOT($W23=0),"",SUMIFS('Val-Vol (2)'!AH$4:AH$1116,'Val-Vol (2)'!$A$4:$A$1116,$D23,'Val-Vol (2)'!$V$4:$V$1116,$V23)/SUMIFS('Comp2016-2017 (3)'!$G$5:$G$289,'Comp2016-2017 (3)'!$A$5:$A$289,$D23,'Comp2016-2017 (3)'!$R$5:$R$289,$V23)*$AB23))</f>
        <v/>
      </c>
      <c r="AI23" s="2" t="str">
        <f>IF($W23=AI$3,$AB23,IF(NOT($W23=0),"",SUMIFS('Val-Vol (2)'!AI$4:AI$1116,'Val-Vol (2)'!$A$4:$A$1116,$D23,'Val-Vol (2)'!$V$4:$V$1116,$V23)/SUMIFS('Comp2016-2017 (3)'!$G$5:$G$289,'Comp2016-2017 (3)'!$A$5:$A$289,$D23,'Comp2016-2017 (3)'!$R$5:$R$289,$V23)*$AB23))</f>
        <v/>
      </c>
      <c r="AJ23" s="2" t="str">
        <f>IF($W23=AJ$3,$AB23,IF(NOT($W23=0),"",SUMIFS('Val-Vol (2)'!AJ$4:AJ$1116,'Val-Vol (2)'!$A$4:$A$1116,$D23,'Val-Vol (2)'!$V$4:$V$1116,$V23)/SUMIFS('Comp2016-2017 (3)'!$G$5:$G$289,'Comp2016-2017 (3)'!$A$5:$A$289,$D23,'Comp2016-2017 (3)'!$R$5:$R$289,$V23)*$AB23))</f>
        <v/>
      </c>
      <c r="AK23" s="2">
        <f t="shared" si="4"/>
        <v>0</v>
      </c>
      <c r="AL23" t="str">
        <f t="shared" si="2"/>
        <v/>
      </c>
      <c r="AM23" t="str">
        <f>VLOOKUP(A23,'Table corresp.'!$M$4:$U$63,8,FALSE)</f>
        <v>Forêt</v>
      </c>
      <c r="AN23" t="str">
        <f>VLOOKUP(D23,'Table corresp.'!$M$4:$U$63,9,FALSE)</f>
        <v>Exportation</v>
      </c>
    </row>
    <row r="24" spans="1:40" x14ac:dyDescent="0.25">
      <c r="A24" t="s">
        <v>1</v>
      </c>
      <c r="B24" t="str">
        <f>VLOOKUP(LEFT(A24,3),'Table corresp.'!$A$4:$D$63,3,FALSE)</f>
        <v>Forêt</v>
      </c>
      <c r="C24" t="str">
        <f>VLOOKUP(A24,'Table corresp.'!$M$4:$P$63,4,FALSE)</f>
        <v>Production et transformation de produits bois</v>
      </c>
      <c r="D24" t="s">
        <v>87</v>
      </c>
      <c r="E24" t="str">
        <f>VLOOKUP(LEFT(D24,3),'Table corresp.'!$A$4:$D$63,4,FALSE)</f>
        <v>Transformation</v>
      </c>
      <c r="F24" t="str">
        <f t="shared" si="0"/>
        <v xml:space="preserve">03  - 31 </v>
      </c>
      <c r="G24" s="1">
        <v>32728.040911138203</v>
      </c>
      <c r="H24" s="1">
        <v>18000</v>
      </c>
      <c r="I24" s="1">
        <v>50728.040911138203</v>
      </c>
      <c r="J24" s="1">
        <v>0</v>
      </c>
      <c r="K24" s="1">
        <v>0</v>
      </c>
      <c r="L24" s="1">
        <v>0</v>
      </c>
      <c r="M24" s="1">
        <v>2562.6988768314268</v>
      </c>
      <c r="N24" s="1">
        <v>432.33320428929437</v>
      </c>
      <c r="O24" s="1">
        <v>2995.0320811207212</v>
      </c>
      <c r="P24" s="1">
        <v>0</v>
      </c>
      <c r="Q24" s="1">
        <v>0</v>
      </c>
      <c r="R24" s="1">
        <v>0</v>
      </c>
      <c r="S24" s="67"/>
      <c r="T24">
        <f>VLOOKUP(A24,'Groupe de branches'!$Z$27:$AM$86,14,FALSE)</f>
        <v>0</v>
      </c>
      <c r="U24">
        <f>VLOOKUP(D24,'Groupe de branches'!$Z$27:$AM$86,14,FALSE)</f>
        <v>0</v>
      </c>
      <c r="V24">
        <v>2016</v>
      </c>
      <c r="W24">
        <f>VLOOKUP(D24,'Table corresp.'!$M$4:$S$63,7,FALSE)</f>
        <v>0</v>
      </c>
      <c r="X24" s="167">
        <f>IFERROR(G24/SUMIFS('Comp2016-2017 (3)'!$I$5:$I$289,'Comp2016-2017 (3)'!$A$5:$A$289,A24,'Comp2016-2017 (3)'!$R$5:$R$289,V24),0)</f>
        <v>0.16814809514589463</v>
      </c>
      <c r="Y24" s="178">
        <f>IFERROR(IF(RIGHT(F24,3)="Exp",VLOOKUP(F24,#REF!,2,FALSE),VLOOKUP(F24,#REF!,9,FALSE)),1)</f>
        <v>1</v>
      </c>
      <c r="Z24" s="167">
        <f t="shared" si="1"/>
        <v>0.25</v>
      </c>
      <c r="AA24" s="189">
        <f t="shared" si="3"/>
        <v>4.2037023786473657E-2</v>
      </c>
      <c r="AB24" s="2">
        <f>IFERROR(SUMIFS('Comp2016-2017 (3)'!$G$5:$G$289,'Comp2016-2017 (3)'!$A$5:$A$289,A24,'Comp2016-2017 (3)'!$R$5:$R$289,V24)*AA24/SUMIFS($AA$4:$AA$1116,$A$4:$A$1116,A24,$V$4:$V$1116,V24),0)</f>
        <v>32728.031812481455</v>
      </c>
      <c r="AC24" s="2">
        <f>IF($W24=AC$3,$AB24,IF(NOT($W24=0),"",SUMIFS('Val-Vol (2)'!AC$4:AC$1116,'Val-Vol (2)'!$A$4:$A$1116,$D24,'Val-Vol (2)'!$V$4:$V$1116,$V24)/SUMIFS('Comp2016-2017 (3)'!$G$5:$G$289,'Comp2016-2017 (3)'!$A$5:$A$289,$D24,'Comp2016-2017 (3)'!$R$5:$R$289,$V24)*$AB24))</f>
        <v>17956.888222775793</v>
      </c>
      <c r="AD24" s="2">
        <f>IF($W24=AD$3,$AB24,IF(NOT($W24=0),"",SUMIFS('Val-Vol (2)'!AD$4:AD$1116,'Val-Vol (2)'!$A$4:$A$1116,$D24,'Val-Vol (2)'!$V$4:$V$1116,$V24)/SUMIFS('Comp2016-2017 (3)'!$G$5:$G$289,'Comp2016-2017 (3)'!$A$5:$A$289,$D24,'Comp2016-2017 (3)'!$R$5:$R$289,$V24)*$AB24))</f>
        <v>4957.5280685870312</v>
      </c>
      <c r="AE24" s="2">
        <f>IF($W24=AE$3,$AB24,IF(NOT($W24=0),"",SUMIFS('Val-Vol (2)'!AE$4:AE$1116,'Val-Vol (2)'!$A$4:$A$1116,$D24,'Val-Vol (2)'!$V$4:$V$1116,$V24)/SUMIFS('Comp2016-2017 (3)'!$G$5:$G$289,'Comp2016-2017 (3)'!$A$5:$A$289,$D24,'Comp2016-2017 (3)'!$R$5:$R$289,$V24)*$AB24))</f>
        <v>6197.5005620489364</v>
      </c>
      <c r="AF24" s="2">
        <f>IF($W24=AF$3,$AB24,IF(NOT($W24=0),"",SUMIFS('Val-Vol (2)'!AF$4:AF$1116,'Val-Vol (2)'!$A$4:$A$1116,$D24,'Val-Vol (2)'!$V$4:$V$1116,$V24)/SUMIFS('Comp2016-2017 (3)'!$G$5:$G$289,'Comp2016-2017 (3)'!$A$5:$A$289,$D24,'Comp2016-2017 (3)'!$R$5:$R$289,$V24)*$AB24))</f>
        <v>0</v>
      </c>
      <c r="AG24" s="2">
        <f>IF($W24=AG$3,$AB24,IF(NOT($W24=0),"",SUMIFS('Val-Vol (2)'!AG$4:AG$1116,'Val-Vol (2)'!$A$4:$A$1116,$D24,'Val-Vol (2)'!$V$4:$V$1116,$V24)/SUMIFS('Comp2016-2017 (3)'!$G$5:$G$289,'Comp2016-2017 (3)'!$A$5:$A$289,$D24,'Comp2016-2017 (3)'!$R$5:$R$289,$V24)*$AB24))</f>
        <v>2673.3045781263995</v>
      </c>
      <c r="AH24" s="2">
        <f>IF($W24=AH$3,$AB24,IF(NOT($W24=0),"",SUMIFS('Val-Vol (2)'!AH$4:AH$1116,'Val-Vol (2)'!$A$4:$A$1116,$D24,'Val-Vol (2)'!$V$4:$V$1116,$V24)/SUMIFS('Comp2016-2017 (3)'!$G$5:$G$289,'Comp2016-2017 (3)'!$A$5:$A$289,$D24,'Comp2016-2017 (3)'!$R$5:$R$289,$V24)*$AB24))</f>
        <v>0</v>
      </c>
      <c r="AI24" s="2">
        <f>IF($W24=AI$3,$AB24,IF(NOT($W24=0),"",SUMIFS('Val-Vol (2)'!AI$4:AI$1116,'Val-Vol (2)'!$A$4:$A$1116,$D24,'Val-Vol (2)'!$V$4:$V$1116,$V24)/SUMIFS('Comp2016-2017 (3)'!$G$5:$G$289,'Comp2016-2017 (3)'!$A$5:$A$289,$D24,'Comp2016-2017 (3)'!$R$5:$R$289,$V24)*$AB24))</f>
        <v>0</v>
      </c>
      <c r="AJ24" s="2">
        <f>IF($W24=AJ$3,$AB24,IF(NOT($W24=0),"",SUMIFS('Val-Vol (2)'!AJ$4:AJ$1116,'Val-Vol (2)'!$A$4:$A$1116,$D24,'Val-Vol (2)'!$V$4:$V$1116,$V24)/SUMIFS('Comp2016-2017 (3)'!$G$5:$G$289,'Comp2016-2017 (3)'!$A$5:$A$289,$D24,'Comp2016-2017 (3)'!$R$5:$R$289,$V24)*$AB24))</f>
        <v>942.81038094329961</v>
      </c>
      <c r="AK24" s="2">
        <f t="shared" si="4"/>
        <v>0</v>
      </c>
      <c r="AL24" t="str">
        <f t="shared" si="2"/>
        <v/>
      </c>
      <c r="AM24" t="str">
        <f>VLOOKUP(A24,'Table corresp.'!$M$4:$U$63,8,FALSE)</f>
        <v>Forêt</v>
      </c>
      <c r="AN24" t="str">
        <f>VLOOKUP(D24,'Table corresp.'!$M$4:$U$63,9,FALSE)</f>
        <v>Production intermédiaire</v>
      </c>
    </row>
    <row r="25" spans="1:40" x14ac:dyDescent="0.25">
      <c r="A25" t="s">
        <v>1</v>
      </c>
      <c r="B25" t="str">
        <f>VLOOKUP(LEFT(A25,3),'Table corresp.'!$A$4:$D$63,3,FALSE)</f>
        <v>Forêt</v>
      </c>
      <c r="C25" t="str">
        <f>VLOOKUP(A25,'Table corresp.'!$M$4:$P$63,4,FALSE)</f>
        <v>Production et transformation de produits bois</v>
      </c>
      <c r="D25" t="s">
        <v>95</v>
      </c>
      <c r="E25" t="str">
        <f>VLOOKUP(LEFT(D25,3),'Table corresp.'!$A$4:$D$63,4,FALSE)</f>
        <v>Transformation</v>
      </c>
      <c r="F25" t="str">
        <f t="shared" si="0"/>
        <v xml:space="preserve">03  - 43 </v>
      </c>
      <c r="G25" s="1">
        <v>49917.542086583679</v>
      </c>
      <c r="H25" s="1">
        <v>28829.933999999994</v>
      </c>
      <c r="I25" s="1">
        <v>78747.476086583672</v>
      </c>
      <c r="J25" s="1">
        <v>0</v>
      </c>
      <c r="K25" s="1">
        <v>0</v>
      </c>
      <c r="L25" s="1">
        <v>0</v>
      </c>
      <c r="M25" s="1">
        <v>3932.2098934235855</v>
      </c>
      <c r="N25" s="1">
        <v>130.82837348672314</v>
      </c>
      <c r="O25" s="1">
        <v>4063.0382669103087</v>
      </c>
      <c r="P25" s="1">
        <v>0</v>
      </c>
      <c r="Q25" s="1">
        <v>0</v>
      </c>
      <c r="R25" s="1">
        <v>0</v>
      </c>
      <c r="S25" s="67"/>
      <c r="T25">
        <f>VLOOKUP(A25,'Groupe de branches'!$Z$27:$AM$86,14,FALSE)</f>
        <v>0</v>
      </c>
      <c r="U25">
        <f>VLOOKUP(D25,'Groupe de branches'!$Z$27:$AM$86,14,FALSE)</f>
        <v>0</v>
      </c>
      <c r="V25">
        <v>2016</v>
      </c>
      <c r="W25" t="str">
        <f>VLOOKUP(D25,'Table corresp.'!$M$4:$S$63,7,FALSE)</f>
        <v>Pate &amp; papier &amp; carton</v>
      </c>
      <c r="X25" s="167">
        <f>IFERROR(G25/SUMIFS('Comp2016-2017 (3)'!$I$5:$I$289,'Comp2016-2017 (3)'!$A$5:$A$289,A25,'Comp2016-2017 (3)'!$R$5:$R$289,V25),0)</f>
        <v>0.25646324627293932</v>
      </c>
      <c r="Y25" s="178">
        <f>IFERROR(IF(RIGHT(F25,3)="Exp",VLOOKUP(F25,#REF!,2,FALSE),VLOOKUP(F25,#REF!,9,FALSE)),1)</f>
        <v>1</v>
      </c>
      <c r="Z25" s="167">
        <f t="shared" si="1"/>
        <v>0.25</v>
      </c>
      <c r="AA25" s="189">
        <f t="shared" si="3"/>
        <v>6.4115811568234829E-2</v>
      </c>
      <c r="AB25" s="2">
        <f>IFERROR(SUMIFS('Comp2016-2017 (3)'!$G$5:$G$289,'Comp2016-2017 (3)'!$A$5:$A$289,A25,'Comp2016-2017 (3)'!$R$5:$R$289,V25)*AA25/SUMIFS($AA$4:$AA$1116,$A$4:$A$1116,A25,$V$4:$V$1116,V25),0)</f>
        <v>49917.528209108314</v>
      </c>
      <c r="AC25" s="2" t="str">
        <f>IF($W25=AC$3,$AB25,IF(NOT($W25=0),"",SUMIFS('Val-Vol (2)'!AC$4:AC$1116,'Val-Vol (2)'!$A$4:$A$1116,$D25,'Val-Vol (2)'!$V$4:$V$1116,$V25)/SUMIFS('Comp2016-2017 (3)'!$G$5:$G$289,'Comp2016-2017 (3)'!$A$5:$A$289,$D25,'Comp2016-2017 (3)'!$R$5:$R$289,$V25)*$AB25))</f>
        <v/>
      </c>
      <c r="AD25" s="2" t="str">
        <f>IF($W25=AD$3,$AB25,IF(NOT($W25=0),"",SUMIFS('Val-Vol (2)'!AD$4:AD$1116,'Val-Vol (2)'!$A$4:$A$1116,$D25,'Val-Vol (2)'!$V$4:$V$1116,$V25)/SUMIFS('Comp2016-2017 (3)'!$G$5:$G$289,'Comp2016-2017 (3)'!$A$5:$A$289,$D25,'Comp2016-2017 (3)'!$R$5:$R$289,$V25)*$AB25))</f>
        <v/>
      </c>
      <c r="AE25" s="2" t="str">
        <f>IF($W25=AE$3,$AB25,IF(NOT($W25=0),"",SUMIFS('Val-Vol (2)'!AE$4:AE$1116,'Val-Vol (2)'!$A$4:$A$1116,$D25,'Val-Vol (2)'!$V$4:$V$1116,$V25)/SUMIFS('Comp2016-2017 (3)'!$G$5:$G$289,'Comp2016-2017 (3)'!$A$5:$A$289,$D25,'Comp2016-2017 (3)'!$R$5:$R$289,$V25)*$AB25))</f>
        <v/>
      </c>
      <c r="AF25" s="2">
        <f>IF($W25=AF$3,$AB25,IF(NOT($W25=0),"",SUMIFS('Val-Vol (2)'!AF$4:AF$1116,'Val-Vol (2)'!$A$4:$A$1116,$D25,'Val-Vol (2)'!$V$4:$V$1116,$V25)/SUMIFS('Comp2016-2017 (3)'!$G$5:$G$289,'Comp2016-2017 (3)'!$A$5:$A$289,$D25,'Comp2016-2017 (3)'!$R$5:$R$289,$V25)*$AB25))</f>
        <v>49917.528209108314</v>
      </c>
      <c r="AG25" s="2" t="str">
        <f>IF($W25=AG$3,$AB25,IF(NOT($W25=0),"",SUMIFS('Val-Vol (2)'!AG$4:AG$1116,'Val-Vol (2)'!$A$4:$A$1116,$D25,'Val-Vol (2)'!$V$4:$V$1116,$V25)/SUMIFS('Comp2016-2017 (3)'!$G$5:$G$289,'Comp2016-2017 (3)'!$A$5:$A$289,$D25,'Comp2016-2017 (3)'!$R$5:$R$289,$V25)*$AB25))</f>
        <v/>
      </c>
      <c r="AH25" s="2" t="str">
        <f>IF($W25=AH$3,$AB25,IF(NOT($W25=0),"",SUMIFS('Val-Vol (2)'!AH$4:AH$1116,'Val-Vol (2)'!$A$4:$A$1116,$D25,'Val-Vol (2)'!$V$4:$V$1116,$V25)/SUMIFS('Comp2016-2017 (3)'!$G$5:$G$289,'Comp2016-2017 (3)'!$A$5:$A$289,$D25,'Comp2016-2017 (3)'!$R$5:$R$289,$V25)*$AB25))</f>
        <v/>
      </c>
      <c r="AI25" s="2" t="str">
        <f>IF($W25=AI$3,$AB25,IF(NOT($W25=0),"",SUMIFS('Val-Vol (2)'!AI$4:AI$1116,'Val-Vol (2)'!$A$4:$A$1116,$D25,'Val-Vol (2)'!$V$4:$V$1116,$V25)/SUMIFS('Comp2016-2017 (3)'!$G$5:$G$289,'Comp2016-2017 (3)'!$A$5:$A$289,$D25,'Comp2016-2017 (3)'!$R$5:$R$289,$V25)*$AB25))</f>
        <v/>
      </c>
      <c r="AJ25" s="2" t="str">
        <f>IF($W25=AJ$3,$AB25,IF(NOT($W25=0),"",SUMIFS('Val-Vol (2)'!AJ$4:AJ$1116,'Val-Vol (2)'!$A$4:$A$1116,$D25,'Val-Vol (2)'!$V$4:$V$1116,$V25)/SUMIFS('Comp2016-2017 (3)'!$G$5:$G$289,'Comp2016-2017 (3)'!$A$5:$A$289,$D25,'Comp2016-2017 (3)'!$R$5:$R$289,$V25)*$AB25))</f>
        <v/>
      </c>
      <c r="AK25" s="2">
        <f t="shared" si="4"/>
        <v>0</v>
      </c>
      <c r="AL25" t="str">
        <f t="shared" si="2"/>
        <v/>
      </c>
      <c r="AM25" t="str">
        <f>VLOOKUP(A25,'Table corresp.'!$M$4:$U$63,8,FALSE)</f>
        <v>Forêt</v>
      </c>
      <c r="AN25" t="str">
        <f>VLOOKUP(D25,'Table corresp.'!$M$4:$U$63,9,FALSE)</f>
        <v>Production intermédiaire</v>
      </c>
    </row>
    <row r="26" spans="1:40" x14ac:dyDescent="0.25">
      <c r="A26" t="s">
        <v>1</v>
      </c>
      <c r="B26" t="str">
        <f>VLOOKUP(LEFT(A26,3),'Table corresp.'!$A$4:$D$63,3,FALSE)</f>
        <v>Forêt</v>
      </c>
      <c r="C26" t="str">
        <f>VLOOKUP(A26,'Table corresp.'!$M$4:$P$63,4,FALSE)</f>
        <v>Production et transformation de produits bois</v>
      </c>
      <c r="D26" t="s">
        <v>98</v>
      </c>
      <c r="E26" t="str">
        <f>VLOOKUP(LEFT(D26,3),'Table corresp.'!$A$4:$D$63,4,FALSE)</f>
        <v>Transformation</v>
      </c>
      <c r="F26" t="str">
        <f t="shared" si="0"/>
        <v xml:space="preserve">03  - 46 </v>
      </c>
      <c r="G26" s="1">
        <v>11606.948232168535</v>
      </c>
      <c r="H26" s="1">
        <v>5000</v>
      </c>
      <c r="I26" s="1">
        <v>16606.948232168535</v>
      </c>
      <c r="J26" s="1">
        <v>0</v>
      </c>
      <c r="K26" s="1">
        <v>0</v>
      </c>
      <c r="L26" s="1">
        <v>0</v>
      </c>
      <c r="M26" s="1">
        <v>650.25186024003665</v>
      </c>
      <c r="N26" s="1">
        <v>22.689676203685238</v>
      </c>
      <c r="O26" s="1">
        <v>672.94153644372193</v>
      </c>
      <c r="P26" s="1">
        <v>0</v>
      </c>
      <c r="Q26" s="1">
        <v>0</v>
      </c>
      <c r="R26" s="1">
        <v>0</v>
      </c>
      <c r="S26" s="67"/>
      <c r="T26">
        <f>VLOOKUP(A26,'Groupe de branches'!$Z$27:$AM$86,14,FALSE)</f>
        <v>0</v>
      </c>
      <c r="U26">
        <f>VLOOKUP(D26,'Groupe de branches'!$Z$27:$AM$86,14,FALSE)</f>
        <v>0</v>
      </c>
      <c r="V26">
        <v>2016</v>
      </c>
      <c r="W26" t="str">
        <f>VLOOKUP(D26,'Table corresp.'!$M$4:$S$63,7,FALSE)</f>
        <v>Produits de consommation courante</v>
      </c>
      <c r="X26" s="167">
        <f>IFERROR(G26/SUMIFS('Comp2016-2017 (3)'!$I$5:$I$289,'Comp2016-2017 (3)'!$A$5:$A$289,A26,'Comp2016-2017 (3)'!$R$5:$R$289,V26),0)</f>
        <v>5.9633457468330729E-2</v>
      </c>
      <c r="Y26" s="178">
        <f>IFERROR(IF(RIGHT(F26,3)="Exp",VLOOKUP(F26,#REF!,2,FALSE),VLOOKUP(F26,#REF!,9,FALSE)),1)</f>
        <v>1</v>
      </c>
      <c r="Z26" s="167">
        <f t="shared" si="1"/>
        <v>0.25</v>
      </c>
      <c r="AA26" s="189">
        <f t="shared" si="3"/>
        <v>1.4908364367082682E-2</v>
      </c>
      <c r="AB26" s="2">
        <f>IFERROR(SUMIFS('Comp2016-2017 (3)'!$G$5:$G$289,'Comp2016-2017 (3)'!$A$5:$A$289,A26,'Comp2016-2017 (3)'!$R$5:$R$289,V26)*AA26/SUMIFS($AA$4:$AA$1116,$A$4:$A$1116,A26,$V$4:$V$1116,V26),0)</f>
        <v>11606.945005344229</v>
      </c>
      <c r="AC26" s="2" t="str">
        <f>IF($W26=AC$3,$AB26,IF(NOT($W26=0),"",SUMIFS('Val-Vol (2)'!AC$4:AC$1116,'Val-Vol (2)'!$A$4:$A$1116,$D26,'Val-Vol (2)'!$V$4:$V$1116,$V26)/SUMIFS('Comp2016-2017 (3)'!$G$5:$G$289,'Comp2016-2017 (3)'!$A$5:$A$289,$D26,'Comp2016-2017 (3)'!$R$5:$R$289,$V26)*$AB26))</f>
        <v/>
      </c>
      <c r="AD26" s="2" t="str">
        <f>IF($W26=AD$3,$AB26,IF(NOT($W26=0),"",SUMIFS('Val-Vol (2)'!AD$4:AD$1116,'Val-Vol (2)'!$A$4:$A$1116,$D26,'Val-Vol (2)'!$V$4:$V$1116,$V26)/SUMIFS('Comp2016-2017 (3)'!$G$5:$G$289,'Comp2016-2017 (3)'!$A$5:$A$289,$D26,'Comp2016-2017 (3)'!$R$5:$R$289,$V26)*$AB26))</f>
        <v/>
      </c>
      <c r="AE26" s="2" t="str">
        <f>IF($W26=AE$3,$AB26,IF(NOT($W26=0),"",SUMIFS('Val-Vol (2)'!AE$4:AE$1116,'Val-Vol (2)'!$A$4:$A$1116,$D26,'Val-Vol (2)'!$V$4:$V$1116,$V26)/SUMIFS('Comp2016-2017 (3)'!$G$5:$G$289,'Comp2016-2017 (3)'!$A$5:$A$289,$D26,'Comp2016-2017 (3)'!$R$5:$R$289,$V26)*$AB26))</f>
        <v/>
      </c>
      <c r="AF26" s="2" t="str">
        <f>IF($W26=AF$3,$AB26,IF(NOT($W26=0),"",SUMIFS('Val-Vol (2)'!AF$4:AF$1116,'Val-Vol (2)'!$A$4:$A$1116,$D26,'Val-Vol (2)'!$V$4:$V$1116,$V26)/SUMIFS('Comp2016-2017 (3)'!$G$5:$G$289,'Comp2016-2017 (3)'!$A$5:$A$289,$D26,'Comp2016-2017 (3)'!$R$5:$R$289,$V26)*$AB26))</f>
        <v/>
      </c>
      <c r="AG26" s="2" t="str">
        <f>IF($W26=AG$3,$AB26,IF(NOT($W26=0),"",SUMIFS('Val-Vol (2)'!AG$4:AG$1116,'Val-Vol (2)'!$A$4:$A$1116,$D26,'Val-Vol (2)'!$V$4:$V$1116,$V26)/SUMIFS('Comp2016-2017 (3)'!$G$5:$G$289,'Comp2016-2017 (3)'!$A$5:$A$289,$D26,'Comp2016-2017 (3)'!$R$5:$R$289,$V26)*$AB26))</f>
        <v/>
      </c>
      <c r="AH26" s="2" t="str">
        <f>IF($W26=AH$3,$AB26,IF(NOT($W26=0),"",SUMIFS('Val-Vol (2)'!AH$4:AH$1116,'Val-Vol (2)'!$A$4:$A$1116,$D26,'Val-Vol (2)'!$V$4:$V$1116,$V26)/SUMIFS('Comp2016-2017 (3)'!$G$5:$G$289,'Comp2016-2017 (3)'!$A$5:$A$289,$D26,'Comp2016-2017 (3)'!$R$5:$R$289,$V26)*$AB26))</f>
        <v/>
      </c>
      <c r="AI26" s="2">
        <f>IF($W26=AI$3,$AB26,IF(NOT($W26=0),"",SUMIFS('Val-Vol (2)'!AI$4:AI$1116,'Val-Vol (2)'!$A$4:$A$1116,$D26,'Val-Vol (2)'!$V$4:$V$1116,$V26)/SUMIFS('Comp2016-2017 (3)'!$G$5:$G$289,'Comp2016-2017 (3)'!$A$5:$A$289,$D26,'Comp2016-2017 (3)'!$R$5:$R$289,$V26)*$AB26))</f>
        <v>11606.945005344229</v>
      </c>
      <c r="AJ26" s="2" t="str">
        <f>IF($W26=AJ$3,$AB26,IF(NOT($W26=0),"",SUMIFS('Val-Vol (2)'!AJ$4:AJ$1116,'Val-Vol (2)'!$A$4:$A$1116,$D26,'Val-Vol (2)'!$V$4:$V$1116,$V26)/SUMIFS('Comp2016-2017 (3)'!$G$5:$G$289,'Comp2016-2017 (3)'!$A$5:$A$289,$D26,'Comp2016-2017 (3)'!$R$5:$R$289,$V26)*$AB26))</f>
        <v/>
      </c>
      <c r="AK26" s="2">
        <f t="shared" si="4"/>
        <v>0</v>
      </c>
      <c r="AL26" t="str">
        <f t="shared" si="2"/>
        <v/>
      </c>
      <c r="AM26" t="str">
        <f>VLOOKUP(A26,'Table corresp.'!$M$4:$U$63,8,FALSE)</f>
        <v>Forêt</v>
      </c>
      <c r="AN26" t="str">
        <f>VLOOKUP(D26,'Table corresp.'!$M$4:$U$63,9,FALSE)</f>
        <v>Production intermédiaire</v>
      </c>
    </row>
    <row r="27" spans="1:40" x14ac:dyDescent="0.25">
      <c r="A27" t="s">
        <v>1</v>
      </c>
      <c r="B27" t="str">
        <f>VLOOKUP(LEFT(A27,3),'Table corresp.'!$A$4:$D$63,3,FALSE)</f>
        <v>Forêt</v>
      </c>
      <c r="C27" t="str">
        <f>VLOOKUP(A27,'Table corresp.'!$M$4:$P$63,4,FALSE)</f>
        <v>Production et transformation de produits bois</v>
      </c>
      <c r="D27" t="s">
        <v>53</v>
      </c>
      <c r="E27" t="str">
        <f>VLOOKUP(LEFT(D27,3),'Table corresp.'!$A$4:$D$63,4,FALSE)</f>
        <v>Exportation</v>
      </c>
      <c r="F27" t="str">
        <f t="shared" si="0"/>
        <v>03  - Exp</v>
      </c>
      <c r="G27" s="1">
        <v>100385.713</v>
      </c>
      <c r="H27" s="1">
        <v>0</v>
      </c>
      <c r="I27" s="1">
        <v>100385.713</v>
      </c>
      <c r="J27" s="1">
        <v>0</v>
      </c>
      <c r="K27" s="1">
        <v>0</v>
      </c>
      <c r="L27" s="1">
        <v>0</v>
      </c>
      <c r="M27" s="1">
        <v>2063.2513751303504</v>
      </c>
      <c r="N27" s="1">
        <v>0</v>
      </c>
      <c r="O27" s="1">
        <v>2063.2513751303504</v>
      </c>
      <c r="P27" s="1">
        <v>0</v>
      </c>
      <c r="Q27" s="1">
        <v>0</v>
      </c>
      <c r="R27" s="1">
        <v>0</v>
      </c>
      <c r="S27" s="67"/>
      <c r="T27">
        <f>VLOOKUP(A27,'Groupe de branches'!$Z$27:$AM$86,14,FALSE)</f>
        <v>0</v>
      </c>
      <c r="U27">
        <f>VLOOKUP(D27,'Groupe de branches'!$Z$27:$AM$86,14,FALSE)</f>
        <v>0</v>
      </c>
      <c r="V27">
        <v>2016</v>
      </c>
      <c r="W27" t="str">
        <f>VLOOKUP(D27,'Table corresp.'!$M$4:$S$63,7,FALSE)</f>
        <v>Exportation</v>
      </c>
      <c r="X27" s="167">
        <f>IFERROR(G27/SUMIFS('Comp2016-2017 (3)'!$I$5:$I$289,'Comp2016-2017 (3)'!$A$5:$A$289,A27,'Comp2016-2017 (3)'!$R$5:$R$289,V27),0)</f>
        <v>0.51575547912089903</v>
      </c>
      <c r="Y27" s="178">
        <f>IFERROR(IF(RIGHT(F27,3)="Exp",VLOOKUP(F27,#REF!,2,FALSE),VLOOKUP(F27,#REF!,9,FALSE)),1)</f>
        <v>1</v>
      </c>
      <c r="Z27" s="167">
        <f t="shared" si="1"/>
        <v>0.25</v>
      </c>
      <c r="AA27" s="189">
        <f t="shared" si="3"/>
        <v>0.12893886978022476</v>
      </c>
      <c r="AB27" s="2">
        <f>IFERROR(SUMIFS('Comp2016-2017 (3)'!$G$5:$G$289,'Comp2016-2017 (3)'!$A$5:$A$289,A27,'Comp2016-2017 (3)'!$R$5:$R$289,V27)*AA27/SUMIFS($AA$4:$AA$1116,$A$4:$A$1116,A27,$V$4:$V$1116,V27),0)</f>
        <v>100385.68509197005</v>
      </c>
      <c r="AC27" s="2">
        <f>IF($W27=AC$3,$AB27,IF(NOT($W27=0),"",SUMIFS('Val-Vol (2)'!AC$4:AC$1116,'Val-Vol (2)'!$A$4:$A$1116,$D27,'Val-Vol (2)'!$V$4:$V$1116,$V27)/SUMIFS('Comp2016-2017 (3)'!$G$5:$G$289,'Comp2016-2017 (3)'!$A$5:$A$289,$D27,'Comp2016-2017 (3)'!$R$5:$R$289,$V27)*$AB27))</f>
        <v>100385.68509197005</v>
      </c>
      <c r="AD27" s="2" t="str">
        <f>IF($W27=AD$3,$AB27,IF(NOT($W27=0),"",SUMIFS('Val-Vol (2)'!AD$4:AD$1116,'Val-Vol (2)'!$A$4:$A$1116,$D27,'Val-Vol (2)'!$V$4:$V$1116,$V27)/SUMIFS('Comp2016-2017 (3)'!$G$5:$G$289,'Comp2016-2017 (3)'!$A$5:$A$289,$D27,'Comp2016-2017 (3)'!$R$5:$R$289,$V27)*$AB27))</f>
        <v/>
      </c>
      <c r="AE27" s="2" t="str">
        <f>IF($W27=AE$3,$AB27,IF(NOT($W27=0),"",SUMIFS('Val-Vol (2)'!AE$4:AE$1116,'Val-Vol (2)'!$A$4:$A$1116,$D27,'Val-Vol (2)'!$V$4:$V$1116,$V27)/SUMIFS('Comp2016-2017 (3)'!$G$5:$G$289,'Comp2016-2017 (3)'!$A$5:$A$289,$D27,'Comp2016-2017 (3)'!$R$5:$R$289,$V27)*$AB27))</f>
        <v/>
      </c>
      <c r="AF27" s="2" t="str">
        <f>IF($W27=AF$3,$AB27,IF(NOT($W27=0),"",SUMIFS('Val-Vol (2)'!AF$4:AF$1116,'Val-Vol (2)'!$A$4:$A$1116,$D27,'Val-Vol (2)'!$V$4:$V$1116,$V27)/SUMIFS('Comp2016-2017 (3)'!$G$5:$G$289,'Comp2016-2017 (3)'!$A$5:$A$289,$D27,'Comp2016-2017 (3)'!$R$5:$R$289,$V27)*$AB27))</f>
        <v/>
      </c>
      <c r="AG27" s="2" t="str">
        <f>IF($W27=AG$3,$AB27,IF(NOT($W27=0),"",SUMIFS('Val-Vol (2)'!AG$4:AG$1116,'Val-Vol (2)'!$A$4:$A$1116,$D27,'Val-Vol (2)'!$V$4:$V$1116,$V27)/SUMIFS('Comp2016-2017 (3)'!$G$5:$G$289,'Comp2016-2017 (3)'!$A$5:$A$289,$D27,'Comp2016-2017 (3)'!$R$5:$R$289,$V27)*$AB27))</f>
        <v/>
      </c>
      <c r="AH27" s="2" t="str">
        <f>IF($W27=AH$3,$AB27,IF(NOT($W27=0),"",SUMIFS('Val-Vol (2)'!AH$4:AH$1116,'Val-Vol (2)'!$A$4:$A$1116,$D27,'Val-Vol (2)'!$V$4:$V$1116,$V27)/SUMIFS('Comp2016-2017 (3)'!$G$5:$G$289,'Comp2016-2017 (3)'!$A$5:$A$289,$D27,'Comp2016-2017 (3)'!$R$5:$R$289,$V27)*$AB27))</f>
        <v/>
      </c>
      <c r="AI27" s="2" t="str">
        <f>IF($W27=AI$3,$AB27,IF(NOT($W27=0),"",SUMIFS('Val-Vol (2)'!AI$4:AI$1116,'Val-Vol (2)'!$A$4:$A$1116,$D27,'Val-Vol (2)'!$V$4:$V$1116,$V27)/SUMIFS('Comp2016-2017 (3)'!$G$5:$G$289,'Comp2016-2017 (3)'!$A$5:$A$289,$D27,'Comp2016-2017 (3)'!$R$5:$R$289,$V27)*$AB27))</f>
        <v/>
      </c>
      <c r="AJ27" s="2" t="str">
        <f>IF($W27=AJ$3,$AB27,IF(NOT($W27=0),"",SUMIFS('Val-Vol (2)'!AJ$4:AJ$1116,'Val-Vol (2)'!$A$4:$A$1116,$D27,'Val-Vol (2)'!$V$4:$V$1116,$V27)/SUMIFS('Comp2016-2017 (3)'!$G$5:$G$289,'Comp2016-2017 (3)'!$A$5:$A$289,$D27,'Comp2016-2017 (3)'!$R$5:$R$289,$V27)*$AB27))</f>
        <v/>
      </c>
      <c r="AK27" s="2">
        <f t="shared" si="4"/>
        <v>0</v>
      </c>
      <c r="AL27" t="str">
        <f t="shared" si="2"/>
        <v/>
      </c>
      <c r="AM27" t="str">
        <f>VLOOKUP(A27,'Table corresp.'!$M$4:$U$63,8,FALSE)</f>
        <v>Forêt</v>
      </c>
      <c r="AN27" t="str">
        <f>VLOOKUP(D27,'Table corresp.'!$M$4:$U$63,9,FALSE)</f>
        <v>Exportation</v>
      </c>
    </row>
    <row r="28" spans="1:40" x14ac:dyDescent="0.25">
      <c r="A28" t="s">
        <v>2</v>
      </c>
      <c r="B28" t="str">
        <f>VLOOKUP(LEFT(A28,3),'Table corresp.'!$A$4:$D$63,3,FALSE)</f>
        <v>Forêt</v>
      </c>
      <c r="C28" t="str">
        <f>VLOOKUP(A28,'Table corresp.'!$M$4:$P$63,4,FALSE)</f>
        <v>Production et transformation de produits bois</v>
      </c>
      <c r="D28" t="s">
        <v>86</v>
      </c>
      <c r="E28" t="str">
        <f>VLOOKUP(LEFT(D28,3),'Table corresp.'!$A$4:$D$63,4,FALSE)</f>
        <v>Transformation</v>
      </c>
      <c r="F28" t="str">
        <f t="shared" si="0"/>
        <v xml:space="preserve">04  - 30 </v>
      </c>
      <c r="G28" s="1">
        <v>56131.391631637191</v>
      </c>
      <c r="H28" s="1">
        <v>0</v>
      </c>
      <c r="I28" s="1">
        <v>56131.391631637191</v>
      </c>
      <c r="J28" s="1">
        <v>0</v>
      </c>
      <c r="K28" s="1">
        <v>0</v>
      </c>
      <c r="L28" s="1">
        <v>0</v>
      </c>
      <c r="M28" s="1">
        <v>0</v>
      </c>
      <c r="N28" s="1">
        <v>0</v>
      </c>
      <c r="O28" s="1">
        <v>0</v>
      </c>
      <c r="P28" s="1">
        <v>2813.0517931032459</v>
      </c>
      <c r="Q28" s="1">
        <v>0</v>
      </c>
      <c r="R28" s="1">
        <v>2813.0517931032459</v>
      </c>
      <c r="S28" s="67" t="s">
        <v>198</v>
      </c>
      <c r="T28">
        <f>VLOOKUP(A28,'Groupe de branches'!$Z$27:$AM$86,14,FALSE)</f>
        <v>0</v>
      </c>
      <c r="U28">
        <f>VLOOKUP(D28,'Groupe de branches'!$Z$27:$AM$86,14,FALSE)</f>
        <v>1</v>
      </c>
      <c r="V28">
        <v>2016</v>
      </c>
      <c r="W28" t="str">
        <f>VLOOKUP(D28,'Table corresp.'!$M$4:$S$63,7,FALSE)</f>
        <v>Energie</v>
      </c>
      <c r="X28" s="167">
        <f>IFERROR(G28/SUMIFS('Comp2016-2017 (3)'!$I$5:$I$289,'Comp2016-2017 (3)'!$A$5:$A$289,A28,'Comp2016-2017 (3)'!$R$5:$R$289,V28),0)</f>
        <v>0.20473825484943392</v>
      </c>
      <c r="Y28" s="178">
        <f>IFERROR(IF(RIGHT(F28,3)="Exp",VLOOKUP(F28,#REF!,2,FALSE),VLOOKUP(F28,#REF!,9,FALSE)),1)</f>
        <v>1</v>
      </c>
      <c r="Z28" s="167">
        <f t="shared" si="1"/>
        <v>0.33333333333333331</v>
      </c>
      <c r="AA28" s="189">
        <f t="shared" si="3"/>
        <v>6.8246084949811298E-2</v>
      </c>
      <c r="AB28" s="2">
        <f>IFERROR(SUMIFS('Comp2016-2017 (3)'!$G$5:$G$289,'Comp2016-2017 (3)'!$A$5:$A$289,A28,'Comp2016-2017 (3)'!$R$5:$R$289,V28)*AA28/SUMIFS($AA$4:$AA$1116,$A$4:$A$1116,A28,$V$4:$V$1116,V28),0)</f>
        <v>26833.372911970015</v>
      </c>
      <c r="AC28" s="2" t="str">
        <f>IF($W28=AC$3,$AB28,IF(NOT($W28=0),"",SUMIFS('Val-Vol (2)'!AC$4:AC$1116,'Val-Vol (2)'!$A$4:$A$1116,$D28,'Val-Vol (2)'!$V$4:$V$1116,$V28)/SUMIFS('Comp2016-2017 (3)'!$G$5:$G$289,'Comp2016-2017 (3)'!$A$5:$A$289,$D28,'Comp2016-2017 (3)'!$R$5:$R$289,$V28)*$AB28))</f>
        <v/>
      </c>
      <c r="AD28" s="2" t="str">
        <f>IF($W28=AD$3,$AB28,IF(NOT($W28=0),"",SUMIFS('Val-Vol (2)'!AD$4:AD$1116,'Val-Vol (2)'!$A$4:$A$1116,$D28,'Val-Vol (2)'!$V$4:$V$1116,$V28)/SUMIFS('Comp2016-2017 (3)'!$G$5:$G$289,'Comp2016-2017 (3)'!$A$5:$A$289,$D28,'Comp2016-2017 (3)'!$R$5:$R$289,$V28)*$AB28))</f>
        <v/>
      </c>
      <c r="AE28" s="2" t="str">
        <f>IF($W28=AE$3,$AB28,IF(NOT($W28=0),"",SUMIFS('Val-Vol (2)'!AE$4:AE$1116,'Val-Vol (2)'!$A$4:$A$1116,$D28,'Val-Vol (2)'!$V$4:$V$1116,$V28)/SUMIFS('Comp2016-2017 (3)'!$G$5:$G$289,'Comp2016-2017 (3)'!$A$5:$A$289,$D28,'Comp2016-2017 (3)'!$R$5:$R$289,$V28)*$AB28))</f>
        <v/>
      </c>
      <c r="AF28" s="2" t="str">
        <f>IF($W28=AF$3,$AB28,IF(NOT($W28=0),"",SUMIFS('Val-Vol (2)'!AF$4:AF$1116,'Val-Vol (2)'!$A$4:$A$1116,$D28,'Val-Vol (2)'!$V$4:$V$1116,$V28)/SUMIFS('Comp2016-2017 (3)'!$G$5:$G$289,'Comp2016-2017 (3)'!$A$5:$A$289,$D28,'Comp2016-2017 (3)'!$R$5:$R$289,$V28)*$AB28))</f>
        <v/>
      </c>
      <c r="AG28" s="2" t="str">
        <f>IF($W28=AG$3,$AB28,IF(NOT($W28=0),"",SUMIFS('Val-Vol (2)'!AG$4:AG$1116,'Val-Vol (2)'!$A$4:$A$1116,$D28,'Val-Vol (2)'!$V$4:$V$1116,$V28)/SUMIFS('Comp2016-2017 (3)'!$G$5:$G$289,'Comp2016-2017 (3)'!$A$5:$A$289,$D28,'Comp2016-2017 (3)'!$R$5:$R$289,$V28)*$AB28))</f>
        <v/>
      </c>
      <c r="AH28" s="2">
        <f>IF($W28=AH$3,$AB28,IF(NOT($W28=0),"",SUMIFS('Val-Vol (2)'!AH$4:AH$1116,'Val-Vol (2)'!$A$4:$A$1116,$D28,'Val-Vol (2)'!$V$4:$V$1116,$V28)/SUMIFS('Comp2016-2017 (3)'!$G$5:$G$289,'Comp2016-2017 (3)'!$A$5:$A$289,$D28,'Comp2016-2017 (3)'!$R$5:$R$289,$V28)*$AB28))</f>
        <v>26833.372911970015</v>
      </c>
      <c r="AI28" s="2" t="str">
        <f>IF($W28=AI$3,$AB28,IF(NOT($W28=0),"",SUMIFS('Val-Vol (2)'!AI$4:AI$1116,'Val-Vol (2)'!$A$4:$A$1116,$D28,'Val-Vol (2)'!$V$4:$V$1116,$V28)/SUMIFS('Comp2016-2017 (3)'!$G$5:$G$289,'Comp2016-2017 (3)'!$A$5:$A$289,$D28,'Comp2016-2017 (3)'!$R$5:$R$289,$V28)*$AB28))</f>
        <v/>
      </c>
      <c r="AJ28" s="2" t="str">
        <f>IF($W28=AJ$3,$AB28,IF(NOT($W28=0),"",SUMIFS('Val-Vol (2)'!AJ$4:AJ$1116,'Val-Vol (2)'!$A$4:$A$1116,$D28,'Val-Vol (2)'!$V$4:$V$1116,$V28)/SUMIFS('Comp2016-2017 (3)'!$G$5:$G$289,'Comp2016-2017 (3)'!$A$5:$A$289,$D28,'Comp2016-2017 (3)'!$R$5:$R$289,$V28)*$AB28))</f>
        <v/>
      </c>
      <c r="AK28" s="2">
        <f t="shared" si="4"/>
        <v>0</v>
      </c>
      <c r="AL28" t="str">
        <f t="shared" si="2"/>
        <v/>
      </c>
      <c r="AM28" t="str">
        <f>VLOOKUP(A28,'Table corresp.'!$M$4:$U$63,8,FALSE)</f>
        <v>Forêt</v>
      </c>
      <c r="AN28" t="str">
        <f>VLOOKUP(D28,'Table corresp.'!$M$4:$U$63,9,FALSE)</f>
        <v>Production intermédiaire</v>
      </c>
    </row>
    <row r="29" spans="1:40" x14ac:dyDescent="0.25">
      <c r="A29" t="s">
        <v>2</v>
      </c>
      <c r="B29" t="str">
        <f>VLOOKUP(LEFT(A29,3),'Table corresp.'!$A$4:$D$63,3,FALSE)</f>
        <v>Forêt</v>
      </c>
      <c r="C29" t="str">
        <f>VLOOKUP(A29,'Table corresp.'!$M$4:$P$63,4,FALSE)</f>
        <v>Production et transformation de produits bois</v>
      </c>
      <c r="D29" t="s">
        <v>54</v>
      </c>
      <c r="E29" t="str">
        <f>VLOOKUP(LEFT(D29,3),'Table corresp.'!$A$4:$D$63,4,FALSE)</f>
        <v>Consommation finale</v>
      </c>
      <c r="F29" t="str">
        <f t="shared" si="0"/>
        <v>04  - Con</v>
      </c>
      <c r="G29" s="1">
        <v>197372.07008407079</v>
      </c>
      <c r="H29" s="1">
        <v>14423.248</v>
      </c>
      <c r="I29" s="1">
        <v>211795.31808407078</v>
      </c>
      <c r="J29" s="1">
        <v>0</v>
      </c>
      <c r="K29" s="1">
        <v>0</v>
      </c>
      <c r="L29" s="1">
        <v>0</v>
      </c>
      <c r="M29" s="1">
        <v>0</v>
      </c>
      <c r="N29" s="1">
        <v>0</v>
      </c>
      <c r="O29" s="1">
        <v>0</v>
      </c>
      <c r="P29" s="1">
        <v>3788.9143523281982</v>
      </c>
      <c r="Q29" s="1">
        <v>175.15701173070789</v>
      </c>
      <c r="R29" s="1">
        <v>3964.0713640589061</v>
      </c>
      <c r="S29" s="67" t="s">
        <v>198</v>
      </c>
      <c r="T29">
        <f>VLOOKUP(A29,'Groupe de branches'!$Z$27:$AM$86,14,FALSE)</f>
        <v>0</v>
      </c>
      <c r="U29">
        <f>VLOOKUP(D29,'Groupe de branches'!$Z$27:$AM$86,14,FALSE)</f>
        <v>0</v>
      </c>
      <c r="V29">
        <v>2016</v>
      </c>
      <c r="W29" t="str">
        <f>VLOOKUP(D29,'Table corresp.'!$M$4:$S$63,7,FALSE)</f>
        <v>Consommation finale</v>
      </c>
      <c r="X29" s="167">
        <f>IFERROR(G29/SUMIFS('Comp2016-2017 (3)'!$I$5:$I$289,'Comp2016-2017 (3)'!$A$5:$A$289,A29,'Comp2016-2017 (3)'!$R$5:$R$289,V29),0)</f>
        <v>0.71991112299907511</v>
      </c>
      <c r="Y29" s="178">
        <f>IFERROR(IF(RIGHT(F29,3)="Exp",VLOOKUP(F29,#REF!,2,FALSE),VLOOKUP(F29,#REF!,9,FALSE)),1)</f>
        <v>1</v>
      </c>
      <c r="Z29" s="167">
        <f t="shared" si="1"/>
        <v>0.33333333333333331</v>
      </c>
      <c r="AA29" s="189">
        <f t="shared" si="3"/>
        <v>0.23997037433302504</v>
      </c>
      <c r="AB29" s="2">
        <f>IFERROR(SUMIFS('Comp2016-2017 (3)'!$G$5:$G$289,'Comp2016-2017 (3)'!$A$5:$A$289,A29,'Comp2016-2017 (3)'!$R$5:$R$289,V29)*AA29/SUMIFS($AA$4:$AA$1116,$A$4:$A$1116,A29,$V$4:$V$1116,V29),0)</f>
        <v>94352.878220612183</v>
      </c>
      <c r="AC29" s="2" t="str">
        <f>IF($W29=AC$3,$AB29,IF(NOT($W29=0),"",SUMIFS('Val-Vol (2)'!AC$4:AC$1116,'Val-Vol (2)'!$A$4:$A$1116,$D29,'Val-Vol (2)'!$V$4:$V$1116,$V29)/SUMIFS('Comp2016-2017 (3)'!$G$5:$G$289,'Comp2016-2017 (3)'!$A$5:$A$289,$D29,'Comp2016-2017 (3)'!$R$5:$R$289,$V29)*$AB29))</f>
        <v/>
      </c>
      <c r="AD29" s="2" t="str">
        <f>IF($W29=AD$3,$AB29,IF(NOT($W29=0),"",SUMIFS('Val-Vol (2)'!AD$4:AD$1116,'Val-Vol (2)'!$A$4:$A$1116,$D29,'Val-Vol (2)'!$V$4:$V$1116,$V29)/SUMIFS('Comp2016-2017 (3)'!$G$5:$G$289,'Comp2016-2017 (3)'!$A$5:$A$289,$D29,'Comp2016-2017 (3)'!$R$5:$R$289,$V29)*$AB29))</f>
        <v/>
      </c>
      <c r="AE29" s="2" t="str">
        <f>IF($W29=AE$3,$AB29,IF(NOT($W29=0),"",SUMIFS('Val-Vol (2)'!AE$4:AE$1116,'Val-Vol (2)'!$A$4:$A$1116,$D29,'Val-Vol (2)'!$V$4:$V$1116,$V29)/SUMIFS('Comp2016-2017 (3)'!$G$5:$G$289,'Comp2016-2017 (3)'!$A$5:$A$289,$D29,'Comp2016-2017 (3)'!$R$5:$R$289,$V29)*$AB29))</f>
        <v/>
      </c>
      <c r="AF29" s="2" t="str">
        <f>IF($W29=AF$3,$AB29,IF(NOT($W29=0),"",SUMIFS('Val-Vol (2)'!AF$4:AF$1116,'Val-Vol (2)'!$A$4:$A$1116,$D29,'Val-Vol (2)'!$V$4:$V$1116,$V29)/SUMIFS('Comp2016-2017 (3)'!$G$5:$G$289,'Comp2016-2017 (3)'!$A$5:$A$289,$D29,'Comp2016-2017 (3)'!$R$5:$R$289,$V29)*$AB29))</f>
        <v/>
      </c>
      <c r="AG29" s="2" t="str">
        <f>IF($W29=AG$3,$AB29,IF(NOT($W29=0),"",SUMIFS('Val-Vol (2)'!AG$4:AG$1116,'Val-Vol (2)'!$A$4:$A$1116,$D29,'Val-Vol (2)'!$V$4:$V$1116,$V29)/SUMIFS('Comp2016-2017 (3)'!$G$5:$G$289,'Comp2016-2017 (3)'!$A$5:$A$289,$D29,'Comp2016-2017 (3)'!$R$5:$R$289,$V29)*$AB29))</f>
        <v/>
      </c>
      <c r="AH29" s="2" t="str">
        <f>IF($W29=AH$3,$AB29,IF(NOT($W29=0),"",SUMIFS('Val-Vol (2)'!AH$4:AH$1116,'Val-Vol (2)'!$A$4:$A$1116,$D29,'Val-Vol (2)'!$V$4:$V$1116,$V29)/SUMIFS('Comp2016-2017 (3)'!$G$5:$G$289,'Comp2016-2017 (3)'!$A$5:$A$289,$D29,'Comp2016-2017 (3)'!$R$5:$R$289,$V29)*$AB29))</f>
        <v/>
      </c>
      <c r="AI29" s="2" t="str">
        <f>IF($W29=AI$3,$AB29,IF(NOT($W29=0),"",SUMIFS('Val-Vol (2)'!AI$4:AI$1116,'Val-Vol (2)'!$A$4:$A$1116,$D29,'Val-Vol (2)'!$V$4:$V$1116,$V29)/SUMIFS('Comp2016-2017 (3)'!$G$5:$G$289,'Comp2016-2017 (3)'!$A$5:$A$289,$D29,'Comp2016-2017 (3)'!$R$5:$R$289,$V29)*$AB29))</f>
        <v/>
      </c>
      <c r="AJ29" s="2">
        <f>IF($W29=AJ$3,$AB29,IF(NOT($W29=0),"",SUMIFS('Val-Vol (2)'!AJ$4:AJ$1116,'Val-Vol (2)'!$A$4:$A$1116,$D29,'Val-Vol (2)'!$V$4:$V$1116,$V29)/SUMIFS('Comp2016-2017 (3)'!$G$5:$G$289,'Comp2016-2017 (3)'!$A$5:$A$289,$D29,'Comp2016-2017 (3)'!$R$5:$R$289,$V29)*$AB29))</f>
        <v>94352.878220612183</v>
      </c>
      <c r="AK29" s="2">
        <f t="shared" si="4"/>
        <v>0</v>
      </c>
      <c r="AL29" t="str">
        <f t="shared" si="2"/>
        <v/>
      </c>
      <c r="AM29" t="str">
        <f>VLOOKUP(A29,'Table corresp.'!$M$4:$U$63,8,FALSE)</f>
        <v>Forêt</v>
      </c>
      <c r="AN29" t="str">
        <f>VLOOKUP(D29,'Table corresp.'!$M$4:$U$63,9,FALSE)</f>
        <v>Consommation finale française</v>
      </c>
    </row>
    <row r="30" spans="1:40" x14ac:dyDescent="0.25">
      <c r="A30" t="s">
        <v>2</v>
      </c>
      <c r="B30" t="str">
        <f>VLOOKUP(LEFT(A30,3),'Table corresp.'!$A$4:$D$63,3,FALSE)</f>
        <v>Forêt</v>
      </c>
      <c r="C30" t="str">
        <f>VLOOKUP(A30,'Table corresp.'!$M$4:$P$63,4,FALSE)</f>
        <v>Production et transformation de produits bois</v>
      </c>
      <c r="D30" t="s">
        <v>53</v>
      </c>
      <c r="E30" t="str">
        <f>VLOOKUP(LEFT(D30,3),'Table corresp.'!$A$4:$D$63,4,FALSE)</f>
        <v>Exportation</v>
      </c>
      <c r="F30" t="str">
        <f t="shared" si="0"/>
        <v>04  - Exp</v>
      </c>
      <c r="G30" s="1">
        <v>20658.256000000001</v>
      </c>
      <c r="H30" s="1">
        <v>0</v>
      </c>
      <c r="I30" s="1">
        <v>20658.256000000001</v>
      </c>
      <c r="J30" s="1">
        <v>0</v>
      </c>
      <c r="K30" s="1">
        <v>0</v>
      </c>
      <c r="L30" s="1">
        <v>0</v>
      </c>
      <c r="M30" s="1">
        <v>0</v>
      </c>
      <c r="N30" s="1">
        <v>0</v>
      </c>
      <c r="O30" s="1">
        <v>0</v>
      </c>
      <c r="P30" s="1">
        <v>431.3976128277119</v>
      </c>
      <c r="Q30" s="1">
        <v>0</v>
      </c>
      <c r="R30" s="1">
        <v>431.3976128277119</v>
      </c>
      <c r="S30" s="67" t="s">
        <v>198</v>
      </c>
      <c r="T30">
        <f>VLOOKUP(A30,'Groupe de branches'!$Z$27:$AM$86,14,FALSE)</f>
        <v>0</v>
      </c>
      <c r="U30">
        <f>VLOOKUP(D30,'Groupe de branches'!$Z$27:$AM$86,14,FALSE)</f>
        <v>0</v>
      </c>
      <c r="V30">
        <v>2016</v>
      </c>
      <c r="W30" t="str">
        <f>VLOOKUP(D30,'Table corresp.'!$M$4:$S$63,7,FALSE)</f>
        <v>Exportation</v>
      </c>
      <c r="X30" s="167">
        <f>IFERROR(G30/SUMIFS('Comp2016-2017 (3)'!$I$5:$I$289,'Comp2016-2017 (3)'!$A$5:$A$289,A30,'Comp2016-2017 (3)'!$R$5:$R$289,V30),0)</f>
        <v>7.5350622151490812E-2</v>
      </c>
      <c r="Y30" s="178">
        <f>IFERROR(IF(RIGHT(F30,3)="Exp",VLOOKUP(F30,#REF!,2,FALSE),VLOOKUP(F30,#REF!,9,FALSE)),1)</f>
        <v>1</v>
      </c>
      <c r="Z30" s="167">
        <f t="shared" si="1"/>
        <v>0.33333333333333331</v>
      </c>
      <c r="AA30" s="189">
        <f t="shared" si="3"/>
        <v>2.5116874050496937E-2</v>
      </c>
      <c r="AB30" s="2">
        <f>IFERROR(SUMIFS('Comp2016-2017 (3)'!$G$5:$G$289,'Comp2016-2017 (3)'!$A$5:$A$289,A30,'Comp2016-2017 (3)'!$R$5:$R$289,V30)*AA30/SUMIFS($AA$4:$AA$1116,$A$4:$A$1116,A30,$V$4:$V$1116,V30),0)</f>
        <v>9875.5913731258042</v>
      </c>
      <c r="AC30" s="2">
        <f>IF($W30=AC$3,$AB30,IF(NOT($W30=0),"",SUMIFS('Val-Vol (2)'!AC$4:AC$1116,'Val-Vol (2)'!$A$4:$A$1116,$D30,'Val-Vol (2)'!$V$4:$V$1116,$V30)/SUMIFS('Comp2016-2017 (3)'!$G$5:$G$289,'Comp2016-2017 (3)'!$A$5:$A$289,$D30,'Comp2016-2017 (3)'!$R$5:$R$289,$V30)*$AB30))</f>
        <v>9875.5913731258042</v>
      </c>
      <c r="AD30" s="2" t="str">
        <f>IF($W30=AD$3,$AB30,IF(NOT($W30=0),"",SUMIFS('Val-Vol (2)'!AD$4:AD$1116,'Val-Vol (2)'!$A$4:$A$1116,$D30,'Val-Vol (2)'!$V$4:$V$1116,$V30)/SUMIFS('Comp2016-2017 (3)'!$G$5:$G$289,'Comp2016-2017 (3)'!$A$5:$A$289,$D30,'Comp2016-2017 (3)'!$R$5:$R$289,$V30)*$AB30))</f>
        <v/>
      </c>
      <c r="AE30" s="2" t="str">
        <f>IF($W30=AE$3,$AB30,IF(NOT($W30=0),"",SUMIFS('Val-Vol (2)'!AE$4:AE$1116,'Val-Vol (2)'!$A$4:$A$1116,$D30,'Val-Vol (2)'!$V$4:$V$1116,$V30)/SUMIFS('Comp2016-2017 (3)'!$G$5:$G$289,'Comp2016-2017 (3)'!$A$5:$A$289,$D30,'Comp2016-2017 (3)'!$R$5:$R$289,$V30)*$AB30))</f>
        <v/>
      </c>
      <c r="AF30" s="2" t="str">
        <f>IF($W30=AF$3,$AB30,IF(NOT($W30=0),"",SUMIFS('Val-Vol (2)'!AF$4:AF$1116,'Val-Vol (2)'!$A$4:$A$1116,$D30,'Val-Vol (2)'!$V$4:$V$1116,$V30)/SUMIFS('Comp2016-2017 (3)'!$G$5:$G$289,'Comp2016-2017 (3)'!$A$5:$A$289,$D30,'Comp2016-2017 (3)'!$R$5:$R$289,$V30)*$AB30))</f>
        <v/>
      </c>
      <c r="AG30" s="2" t="str">
        <f>IF($W30=AG$3,$AB30,IF(NOT($W30=0),"",SUMIFS('Val-Vol (2)'!AG$4:AG$1116,'Val-Vol (2)'!$A$4:$A$1116,$D30,'Val-Vol (2)'!$V$4:$V$1116,$V30)/SUMIFS('Comp2016-2017 (3)'!$G$5:$G$289,'Comp2016-2017 (3)'!$A$5:$A$289,$D30,'Comp2016-2017 (3)'!$R$5:$R$289,$V30)*$AB30))</f>
        <v/>
      </c>
      <c r="AH30" s="2" t="str">
        <f>IF($W30=AH$3,$AB30,IF(NOT($W30=0),"",SUMIFS('Val-Vol (2)'!AH$4:AH$1116,'Val-Vol (2)'!$A$4:$A$1116,$D30,'Val-Vol (2)'!$V$4:$V$1116,$V30)/SUMIFS('Comp2016-2017 (3)'!$G$5:$G$289,'Comp2016-2017 (3)'!$A$5:$A$289,$D30,'Comp2016-2017 (3)'!$R$5:$R$289,$V30)*$AB30))</f>
        <v/>
      </c>
      <c r="AI30" s="2" t="str">
        <f>IF($W30=AI$3,$AB30,IF(NOT($W30=0),"",SUMIFS('Val-Vol (2)'!AI$4:AI$1116,'Val-Vol (2)'!$A$4:$A$1116,$D30,'Val-Vol (2)'!$V$4:$V$1116,$V30)/SUMIFS('Comp2016-2017 (3)'!$G$5:$G$289,'Comp2016-2017 (3)'!$A$5:$A$289,$D30,'Comp2016-2017 (3)'!$R$5:$R$289,$V30)*$AB30))</f>
        <v/>
      </c>
      <c r="AJ30" s="2" t="str">
        <f>IF($W30=AJ$3,$AB30,IF(NOT($W30=0),"",SUMIFS('Val-Vol (2)'!AJ$4:AJ$1116,'Val-Vol (2)'!$A$4:$A$1116,$D30,'Val-Vol (2)'!$V$4:$V$1116,$V30)/SUMIFS('Comp2016-2017 (3)'!$G$5:$G$289,'Comp2016-2017 (3)'!$A$5:$A$289,$D30,'Comp2016-2017 (3)'!$R$5:$R$289,$V30)*$AB30))</f>
        <v/>
      </c>
      <c r="AK30" s="2">
        <f t="shared" si="4"/>
        <v>0</v>
      </c>
      <c r="AL30" t="str">
        <f t="shared" si="2"/>
        <v/>
      </c>
      <c r="AM30" t="str">
        <f>VLOOKUP(A30,'Table corresp.'!$M$4:$U$63,8,FALSE)</f>
        <v>Forêt</v>
      </c>
      <c r="AN30" t="str">
        <f>VLOOKUP(D30,'Table corresp.'!$M$4:$U$63,9,FALSE)</f>
        <v>Exportation</v>
      </c>
    </row>
    <row r="31" spans="1:40" x14ac:dyDescent="0.25">
      <c r="A31" t="s">
        <v>81</v>
      </c>
      <c r="B31" t="str">
        <f>VLOOKUP(LEFT(A31,3),'Table corresp.'!$A$4:$D$63,3,FALSE)</f>
        <v>Transformation</v>
      </c>
      <c r="C31" t="str">
        <f>VLOOKUP(A31,'Table corresp.'!$M$4:$P$63,4,FALSE)</f>
        <v>Production et transformation de produits bois</v>
      </c>
      <c r="D31" t="s">
        <v>0</v>
      </c>
      <c r="E31" t="str">
        <f>VLOOKUP(LEFT(D31,3),'Table corresp.'!$A$4:$D$63,4,FALSE)</f>
        <v>Transformation</v>
      </c>
      <c r="F31" t="str">
        <f t="shared" si="0"/>
        <v xml:space="preserve">05  - 02 </v>
      </c>
      <c r="G31" s="1">
        <v>367200.40300733194</v>
      </c>
      <c r="H31" s="1">
        <v>0</v>
      </c>
      <c r="I31" s="1">
        <v>367200.40300733194</v>
      </c>
      <c r="J31" s="1">
        <v>0</v>
      </c>
      <c r="K31" s="1">
        <v>0</v>
      </c>
      <c r="L31" s="1">
        <v>0</v>
      </c>
      <c r="M31" s="1">
        <v>0</v>
      </c>
      <c r="N31" s="1">
        <v>0</v>
      </c>
      <c r="O31" s="1">
        <v>0</v>
      </c>
      <c r="P31" s="1">
        <v>0</v>
      </c>
      <c r="Q31" s="1">
        <v>0</v>
      </c>
      <c r="R31" s="1">
        <v>0</v>
      </c>
      <c r="S31" s="67"/>
      <c r="T31">
        <f>VLOOKUP(A31,'Groupe de branches'!$Z$27:$AM$86,14,FALSE)</f>
        <v>0</v>
      </c>
      <c r="U31">
        <f>VLOOKUP(D31,'Groupe de branches'!$Z$27:$AM$86,14,FALSE)</f>
        <v>0</v>
      </c>
      <c r="V31">
        <v>2016</v>
      </c>
      <c r="W31">
        <f>VLOOKUP(D31,'Table corresp.'!$M$4:$S$63,7,FALSE)</f>
        <v>0</v>
      </c>
      <c r="X31" s="167">
        <f>IFERROR(G31/SUMIFS('Comp2016-2017 (3)'!$I$5:$I$289,'Comp2016-2017 (3)'!$A$5:$A$289,A31,'Comp2016-2017 (3)'!$R$5:$R$289,V31),0)</f>
        <v>0.32236467464042406</v>
      </c>
      <c r="Y31" s="178">
        <f>IFERROR(IF(RIGHT(F31,3)="Exp",VLOOKUP(F31,#REF!,2,FALSE),VLOOKUP(F31,#REF!,9,FALSE)),1)</f>
        <v>1</v>
      </c>
      <c r="Z31" s="167">
        <f t="shared" si="1"/>
        <v>5.2631578947368418E-2</v>
      </c>
      <c r="AA31" s="189">
        <f t="shared" si="3"/>
        <v>1.6966561823180213E-2</v>
      </c>
      <c r="AB31" s="2">
        <f>IFERROR(SUMIFS('Comp2016-2017 (3)'!$G$5:$G$289,'Comp2016-2017 (3)'!$A$5:$A$289,A31,'Comp2016-2017 (3)'!$R$5:$R$289,V31)*AA31/SUMIFS($AA$4:$AA$1116,$A$4:$A$1116,A31,$V$4:$V$1116,V31),0)</f>
        <v>266374.71097244776</v>
      </c>
      <c r="AC31" s="2">
        <f>IF($W31=AC$3,$AB31,IF(NOT($W31=0),"",SUMIFS('Val-Vol (2)'!AC$4:AC$1116,'Val-Vol (2)'!$A$4:$A$1116,$D31,'Val-Vol (2)'!$V$4:$V$1116,$V31)/SUMIFS('Comp2016-2017 (3)'!$G$5:$G$289,'Comp2016-2017 (3)'!$A$5:$A$289,$D31,'Comp2016-2017 (3)'!$R$5:$R$289,$V31)*$AB31))</f>
        <v>72253.366327697222</v>
      </c>
      <c r="AD31" s="2">
        <f>IF($W31=AD$3,$AB31,IF(NOT($W31=0),"",SUMIFS('Val-Vol (2)'!AD$4:AD$1116,'Val-Vol (2)'!$A$4:$A$1116,$D31,'Val-Vol (2)'!$V$4:$V$1116,$V31)/SUMIFS('Comp2016-2017 (3)'!$G$5:$G$289,'Comp2016-2017 (3)'!$A$5:$A$289,$D31,'Comp2016-2017 (3)'!$R$5:$R$289,$V31)*$AB31))</f>
        <v>76830.581050958193</v>
      </c>
      <c r="AE31" s="2">
        <f>IF($W31=AE$3,$AB31,IF(NOT($W31=0),"",SUMIFS('Val-Vol (2)'!AE$4:AE$1116,'Val-Vol (2)'!$A$4:$A$1116,$D31,'Val-Vol (2)'!$V$4:$V$1116,$V31)/SUMIFS('Comp2016-2017 (3)'!$G$5:$G$289,'Comp2016-2017 (3)'!$A$5:$A$289,$D31,'Comp2016-2017 (3)'!$R$5:$R$289,$V31)*$AB31))</f>
        <v>8912.7366351491455</v>
      </c>
      <c r="AF31" s="2">
        <f>IF($W31=AF$3,$AB31,IF(NOT($W31=0),"",SUMIFS('Val-Vol (2)'!AF$4:AF$1116,'Val-Vol (2)'!$A$4:$A$1116,$D31,'Val-Vol (2)'!$V$4:$V$1116,$V31)/SUMIFS('Comp2016-2017 (3)'!$G$5:$G$289,'Comp2016-2017 (3)'!$A$5:$A$289,$D31,'Comp2016-2017 (3)'!$R$5:$R$289,$V31)*$AB31))</f>
        <v>0</v>
      </c>
      <c r="AG31" s="2">
        <f>IF($W31=AG$3,$AB31,IF(NOT($W31=0),"",SUMIFS('Val-Vol (2)'!AG$4:AG$1116,'Val-Vol (2)'!$A$4:$A$1116,$D31,'Val-Vol (2)'!$V$4:$V$1116,$V31)/SUMIFS('Comp2016-2017 (3)'!$G$5:$G$289,'Comp2016-2017 (3)'!$A$5:$A$289,$D31,'Comp2016-2017 (3)'!$R$5:$R$289,$V31)*$AB31))</f>
        <v>65010.638465675824</v>
      </c>
      <c r="AH31" s="2">
        <f>IF($W31=AH$3,$AB31,IF(NOT($W31=0),"",SUMIFS('Val-Vol (2)'!AH$4:AH$1116,'Val-Vol (2)'!$A$4:$A$1116,$D31,'Val-Vol (2)'!$V$4:$V$1116,$V31)/SUMIFS('Comp2016-2017 (3)'!$G$5:$G$289,'Comp2016-2017 (3)'!$A$5:$A$289,$D31,'Comp2016-2017 (3)'!$R$5:$R$289,$V31)*$AB31))</f>
        <v>0</v>
      </c>
      <c r="AI31" s="2">
        <f>IF($W31=AI$3,$AB31,IF(NOT($W31=0),"",SUMIFS('Val-Vol (2)'!AI$4:AI$1116,'Val-Vol (2)'!$A$4:$A$1116,$D31,'Val-Vol (2)'!$V$4:$V$1116,$V31)/SUMIFS('Comp2016-2017 (3)'!$G$5:$G$289,'Comp2016-2017 (3)'!$A$5:$A$289,$D31,'Comp2016-2017 (3)'!$R$5:$R$289,$V31)*$AB31))</f>
        <v>14813.363528455258</v>
      </c>
      <c r="AJ31" s="2">
        <f>IF($W31=AJ$3,$AB31,IF(NOT($W31=0),"",SUMIFS('Val-Vol (2)'!AJ$4:AJ$1116,'Val-Vol (2)'!$A$4:$A$1116,$D31,'Val-Vol (2)'!$V$4:$V$1116,$V31)/SUMIFS('Comp2016-2017 (3)'!$G$5:$G$289,'Comp2016-2017 (3)'!$A$5:$A$289,$D31,'Comp2016-2017 (3)'!$R$5:$R$289,$V31)*$AB31))</f>
        <v>28554.024964512118</v>
      </c>
      <c r="AK31" s="2">
        <f t="shared" si="4"/>
        <v>0</v>
      </c>
      <c r="AL31" t="str">
        <f t="shared" si="2"/>
        <v/>
      </c>
      <c r="AM31" t="str">
        <f>VLOOKUP(A31,'Table corresp.'!$M$4:$U$63,8,FALSE)</f>
        <v>Production intermédiaire</v>
      </c>
      <c r="AN31" t="str">
        <f>VLOOKUP(D31,'Table corresp.'!$M$4:$U$63,9,FALSE)</f>
        <v>Production intermédiaire</v>
      </c>
    </row>
    <row r="32" spans="1:40" x14ac:dyDescent="0.25">
      <c r="A32" t="s">
        <v>81</v>
      </c>
      <c r="B32" t="str">
        <f>VLOOKUP(LEFT(A32,3),'Table corresp.'!$A$4:$D$63,3,FALSE)</f>
        <v>Transformation</v>
      </c>
      <c r="C32" t="str">
        <f>VLOOKUP(A32,'Table corresp.'!$M$4:$P$63,4,FALSE)</f>
        <v>Production et transformation de produits bois</v>
      </c>
      <c r="D32" t="s">
        <v>2</v>
      </c>
      <c r="E32" t="str">
        <f>VLOOKUP(LEFT(D32,3),'Table corresp.'!$A$4:$D$63,4,FALSE)</f>
        <v>Transformation</v>
      </c>
      <c r="F32" t="str">
        <f t="shared" si="0"/>
        <v xml:space="preserve">05  - 04 </v>
      </c>
      <c r="G32" s="1">
        <v>89615.057703999992</v>
      </c>
      <c r="H32" s="1">
        <v>0</v>
      </c>
      <c r="I32" s="1">
        <v>89615.057703999992</v>
      </c>
      <c r="J32" s="1">
        <v>0</v>
      </c>
      <c r="K32" s="1">
        <v>0</v>
      </c>
      <c r="L32" s="1">
        <v>0</v>
      </c>
      <c r="M32" s="1">
        <v>0</v>
      </c>
      <c r="N32" s="1">
        <v>0</v>
      </c>
      <c r="O32" s="1">
        <v>0</v>
      </c>
      <c r="P32" s="1">
        <v>0</v>
      </c>
      <c r="Q32" s="1">
        <v>0</v>
      </c>
      <c r="R32" s="1">
        <v>0</v>
      </c>
      <c r="S32" s="67"/>
      <c r="T32">
        <f>VLOOKUP(A32,'Groupe de branches'!$Z$27:$AM$86,14,FALSE)</f>
        <v>0</v>
      </c>
      <c r="U32">
        <f>VLOOKUP(D32,'Groupe de branches'!$Z$27:$AM$86,14,FALSE)</f>
        <v>0</v>
      </c>
      <c r="V32">
        <v>2016</v>
      </c>
      <c r="W32" t="str">
        <f>VLOOKUP(D32,'Table corresp.'!$M$4:$S$63,7,FALSE)</f>
        <v>Energie</v>
      </c>
      <c r="X32" s="167">
        <f>IFERROR(G32/SUMIFS('Comp2016-2017 (3)'!$I$5:$I$289,'Comp2016-2017 (3)'!$A$5:$A$289,A32,'Comp2016-2017 (3)'!$R$5:$R$289,V32),0)</f>
        <v>7.8672922695719266E-2</v>
      </c>
      <c r="Y32" s="178">
        <f>IFERROR(IF(RIGHT(F32,3)="Exp",VLOOKUP(F32,#REF!,2,FALSE),VLOOKUP(F32,#REF!,9,FALSE)),1)</f>
        <v>1</v>
      </c>
      <c r="Z32" s="167">
        <f t="shared" si="1"/>
        <v>5.2631578947368418E-2</v>
      </c>
      <c r="AA32" s="189">
        <f t="shared" si="3"/>
        <v>4.1406801418799608E-3</v>
      </c>
      <c r="AB32" s="2">
        <f>IFERROR(SUMIFS('Comp2016-2017 (3)'!$G$5:$G$289,'Comp2016-2017 (3)'!$A$5:$A$289,A32,'Comp2016-2017 (3)'!$R$5:$R$289,V32)*AA32/SUMIFS($AA$4:$AA$1116,$A$4:$A$1116,A32,$V$4:$V$1116,V32),0)</f>
        <v>65008.60265724051</v>
      </c>
      <c r="AC32" s="2" t="str">
        <f>IF($W32=AC$3,$AB32,IF(NOT($W32=0),"",SUMIFS('Val-Vol (2)'!AC$4:AC$1116,'Val-Vol (2)'!$A$4:$A$1116,$D32,'Val-Vol (2)'!$V$4:$V$1116,$V32)/SUMIFS('Comp2016-2017 (3)'!$G$5:$G$289,'Comp2016-2017 (3)'!$A$5:$A$289,$D32,'Comp2016-2017 (3)'!$R$5:$R$289,$V32)*$AB32))</f>
        <v/>
      </c>
      <c r="AD32" s="2" t="str">
        <f>IF($W32=AD$3,$AB32,IF(NOT($W32=0),"",SUMIFS('Val-Vol (2)'!AD$4:AD$1116,'Val-Vol (2)'!$A$4:$A$1116,$D32,'Val-Vol (2)'!$V$4:$V$1116,$V32)/SUMIFS('Comp2016-2017 (3)'!$G$5:$G$289,'Comp2016-2017 (3)'!$A$5:$A$289,$D32,'Comp2016-2017 (3)'!$R$5:$R$289,$V32)*$AB32))</f>
        <v/>
      </c>
      <c r="AE32" s="2" t="str">
        <f>IF($W32=AE$3,$AB32,IF(NOT($W32=0),"",SUMIFS('Val-Vol (2)'!AE$4:AE$1116,'Val-Vol (2)'!$A$4:$A$1116,$D32,'Val-Vol (2)'!$V$4:$V$1116,$V32)/SUMIFS('Comp2016-2017 (3)'!$G$5:$G$289,'Comp2016-2017 (3)'!$A$5:$A$289,$D32,'Comp2016-2017 (3)'!$R$5:$R$289,$V32)*$AB32))</f>
        <v/>
      </c>
      <c r="AF32" s="2" t="str">
        <f>IF($W32=AF$3,$AB32,IF(NOT($W32=0),"",SUMIFS('Val-Vol (2)'!AF$4:AF$1116,'Val-Vol (2)'!$A$4:$A$1116,$D32,'Val-Vol (2)'!$V$4:$V$1116,$V32)/SUMIFS('Comp2016-2017 (3)'!$G$5:$G$289,'Comp2016-2017 (3)'!$A$5:$A$289,$D32,'Comp2016-2017 (3)'!$R$5:$R$289,$V32)*$AB32))</f>
        <v/>
      </c>
      <c r="AG32" s="2" t="str">
        <f>IF($W32=AG$3,$AB32,IF(NOT($W32=0),"",SUMIFS('Val-Vol (2)'!AG$4:AG$1116,'Val-Vol (2)'!$A$4:$A$1116,$D32,'Val-Vol (2)'!$V$4:$V$1116,$V32)/SUMIFS('Comp2016-2017 (3)'!$G$5:$G$289,'Comp2016-2017 (3)'!$A$5:$A$289,$D32,'Comp2016-2017 (3)'!$R$5:$R$289,$V32)*$AB32))</f>
        <v/>
      </c>
      <c r="AH32" s="2">
        <f>IF($W32=AH$3,$AB32,IF(NOT($W32=0),"",SUMIFS('Val-Vol (2)'!AH$4:AH$1116,'Val-Vol (2)'!$A$4:$A$1116,$D32,'Val-Vol (2)'!$V$4:$V$1116,$V32)/SUMIFS('Comp2016-2017 (3)'!$G$5:$G$289,'Comp2016-2017 (3)'!$A$5:$A$289,$D32,'Comp2016-2017 (3)'!$R$5:$R$289,$V32)*$AB32))</f>
        <v>65008.60265724051</v>
      </c>
      <c r="AI32" s="2" t="str">
        <f>IF($W32=AI$3,$AB32,IF(NOT($W32=0),"",SUMIFS('Val-Vol (2)'!AI$4:AI$1116,'Val-Vol (2)'!$A$4:$A$1116,$D32,'Val-Vol (2)'!$V$4:$V$1116,$V32)/SUMIFS('Comp2016-2017 (3)'!$G$5:$G$289,'Comp2016-2017 (3)'!$A$5:$A$289,$D32,'Comp2016-2017 (3)'!$R$5:$R$289,$V32)*$AB32))</f>
        <v/>
      </c>
      <c r="AJ32" s="2" t="str">
        <f>IF($W32=AJ$3,$AB32,IF(NOT($W32=0),"",SUMIFS('Val-Vol (2)'!AJ$4:AJ$1116,'Val-Vol (2)'!$A$4:$A$1116,$D32,'Val-Vol (2)'!$V$4:$V$1116,$V32)/SUMIFS('Comp2016-2017 (3)'!$G$5:$G$289,'Comp2016-2017 (3)'!$A$5:$A$289,$D32,'Comp2016-2017 (3)'!$R$5:$R$289,$V32)*$AB32))</f>
        <v/>
      </c>
      <c r="AK32" s="2">
        <f t="shared" si="4"/>
        <v>0</v>
      </c>
      <c r="AL32" t="str">
        <f t="shared" si="2"/>
        <v/>
      </c>
      <c r="AM32" t="str">
        <f>VLOOKUP(A32,'Table corresp.'!$M$4:$U$63,8,FALSE)</f>
        <v>Production intermédiaire</v>
      </c>
      <c r="AN32" t="str">
        <f>VLOOKUP(D32,'Table corresp.'!$M$4:$U$63,9,FALSE)</f>
        <v>Production intermédiaire</v>
      </c>
    </row>
    <row r="33" spans="1:40" x14ac:dyDescent="0.25">
      <c r="A33" t="s">
        <v>81</v>
      </c>
      <c r="B33" t="str">
        <f>VLOOKUP(LEFT(A33,3),'Table corresp.'!$A$4:$D$63,3,FALSE)</f>
        <v>Transformation</v>
      </c>
      <c r="C33" t="str">
        <f>VLOOKUP(A33,'Table corresp.'!$M$4:$P$63,4,FALSE)</f>
        <v>Production et transformation de produits bois</v>
      </c>
      <c r="D33" t="s">
        <v>3</v>
      </c>
      <c r="E33" t="str">
        <f>VLOOKUP(LEFT(D33,3),'Table corresp.'!$A$4:$D$63,4,FALSE)</f>
        <v>Transformation</v>
      </c>
      <c r="F33" t="str">
        <f t="shared" si="0"/>
        <v xml:space="preserve">05  - 06 </v>
      </c>
      <c r="G33" s="1">
        <v>123530.00000000001</v>
      </c>
      <c r="H33" s="1">
        <v>0</v>
      </c>
      <c r="I33" s="1">
        <v>123530.00000000001</v>
      </c>
      <c r="J33" s="1">
        <v>0</v>
      </c>
      <c r="K33" s="1">
        <v>0</v>
      </c>
      <c r="L33" s="1">
        <v>0</v>
      </c>
      <c r="M33" s="1">
        <v>0</v>
      </c>
      <c r="N33" s="1">
        <v>0</v>
      </c>
      <c r="O33" s="1">
        <v>0</v>
      </c>
      <c r="P33" s="1">
        <v>0</v>
      </c>
      <c r="Q33" s="1">
        <v>0</v>
      </c>
      <c r="R33" s="1">
        <v>0</v>
      </c>
      <c r="S33" s="67"/>
      <c r="T33">
        <f>VLOOKUP(A33,'Groupe de branches'!$Z$27:$AM$86,14,FALSE)</f>
        <v>0</v>
      </c>
      <c r="U33">
        <f>VLOOKUP(D33,'Groupe de branches'!$Z$27:$AM$86,14,FALSE)</f>
        <v>0</v>
      </c>
      <c r="V33">
        <v>2016</v>
      </c>
      <c r="W33">
        <f>VLOOKUP(D33,'Table corresp.'!$M$4:$S$63,7,FALSE)</f>
        <v>0</v>
      </c>
      <c r="X33" s="167">
        <f>IFERROR(G33/SUMIFS('Comp2016-2017 (3)'!$I$5:$I$289,'Comp2016-2017 (3)'!$A$5:$A$289,A33,'Comp2016-2017 (3)'!$R$5:$R$289,V33),0)</f>
        <v>0.10844679889290988</v>
      </c>
      <c r="Y33" s="178">
        <f>IFERROR(IF(RIGHT(F33,3)="Exp",VLOOKUP(F33,#REF!,2,FALSE),VLOOKUP(F33,#REF!,9,FALSE)),1)</f>
        <v>1</v>
      </c>
      <c r="Z33" s="167">
        <f t="shared" si="1"/>
        <v>5.2631578947368418E-2</v>
      </c>
      <c r="AA33" s="189">
        <f t="shared" si="3"/>
        <v>5.7077262575215724E-3</v>
      </c>
      <c r="AB33" s="2">
        <f>IFERROR(SUMIFS('Comp2016-2017 (3)'!$G$5:$G$289,'Comp2016-2017 (3)'!$A$5:$A$289,A33,'Comp2016-2017 (3)'!$R$5:$R$289,V33)*AA33/SUMIFS($AA$4:$AA$1116,$A$4:$A$1116,A33,$V$4:$V$1116,V33),0)</f>
        <v>89611.198073138963</v>
      </c>
      <c r="AC33" s="2">
        <f>IF($W33=AC$3,$AB33,IF(NOT($W33=0),"",SUMIFS('Val-Vol (2)'!AC$4:AC$1116,'Val-Vol (2)'!$A$4:$A$1116,$D33,'Val-Vol (2)'!$V$4:$V$1116,$V33)/SUMIFS('Comp2016-2017 (3)'!$G$5:$G$289,'Comp2016-2017 (3)'!$A$5:$A$289,$D33,'Comp2016-2017 (3)'!$R$5:$R$289,$V33)*$AB33))</f>
        <v>23385.372661928373</v>
      </c>
      <c r="AD33" s="2">
        <f>IF($W33=AD$3,$AB33,IF(NOT($W33=0),"",SUMIFS('Val-Vol (2)'!AD$4:AD$1116,'Val-Vol (2)'!$A$4:$A$1116,$D33,'Val-Vol (2)'!$V$4:$V$1116,$V33)/SUMIFS('Comp2016-2017 (3)'!$G$5:$G$289,'Comp2016-2017 (3)'!$A$5:$A$289,$D33,'Comp2016-2017 (3)'!$R$5:$R$289,$V33)*$AB33))</f>
        <v>24125.785063862215</v>
      </c>
      <c r="AE33" s="2">
        <f>IF($W33=AE$3,$AB33,IF(NOT($W33=0),"",SUMIFS('Val-Vol (2)'!AE$4:AE$1116,'Val-Vol (2)'!$A$4:$A$1116,$D33,'Val-Vol (2)'!$V$4:$V$1116,$V33)/SUMIFS('Comp2016-2017 (3)'!$G$5:$G$289,'Comp2016-2017 (3)'!$A$5:$A$289,$D33,'Comp2016-2017 (3)'!$R$5:$R$289,$V33)*$AB33))</f>
        <v>2912.0922424253181</v>
      </c>
      <c r="AF33" s="2">
        <f>IF($W33=AF$3,$AB33,IF(NOT($W33=0),"",SUMIFS('Val-Vol (2)'!AF$4:AF$1116,'Val-Vol (2)'!$A$4:$A$1116,$D33,'Val-Vol (2)'!$V$4:$V$1116,$V33)/SUMIFS('Comp2016-2017 (3)'!$G$5:$G$289,'Comp2016-2017 (3)'!$A$5:$A$289,$D33,'Comp2016-2017 (3)'!$R$5:$R$289,$V33)*$AB33))</f>
        <v>1788.0303957616641</v>
      </c>
      <c r="AG33" s="2">
        <f>IF($W33=AG$3,$AB33,IF(NOT($W33=0),"",SUMIFS('Val-Vol (2)'!AG$4:AG$1116,'Val-Vol (2)'!$A$4:$A$1116,$D33,'Val-Vol (2)'!$V$4:$V$1116,$V33)/SUMIFS('Comp2016-2017 (3)'!$G$5:$G$289,'Comp2016-2017 (3)'!$A$5:$A$289,$D33,'Comp2016-2017 (3)'!$R$5:$R$289,$V33)*$AB33))</f>
        <v>20074.138894910597</v>
      </c>
      <c r="AH33" s="2">
        <f>IF($W33=AH$3,$AB33,IF(NOT($W33=0),"",SUMIFS('Val-Vol (2)'!AH$4:AH$1116,'Val-Vol (2)'!$A$4:$A$1116,$D33,'Val-Vol (2)'!$V$4:$V$1116,$V33)/SUMIFS('Comp2016-2017 (3)'!$G$5:$G$289,'Comp2016-2017 (3)'!$A$5:$A$289,$D33,'Comp2016-2017 (3)'!$R$5:$R$289,$V33)*$AB33))</f>
        <v>3605.6633811627707</v>
      </c>
      <c r="AI33" s="2">
        <f>IF($W33=AI$3,$AB33,IF(NOT($W33=0),"",SUMIFS('Val-Vol (2)'!AI$4:AI$1116,'Val-Vol (2)'!$A$4:$A$1116,$D33,'Val-Vol (2)'!$V$4:$V$1116,$V33)/SUMIFS('Comp2016-2017 (3)'!$G$5:$G$289,'Comp2016-2017 (3)'!$A$5:$A$289,$D33,'Comp2016-2017 (3)'!$R$5:$R$289,$V33)*$AB33))</f>
        <v>4692.0653937586339</v>
      </c>
      <c r="AJ33" s="2">
        <f>IF($W33=AJ$3,$AB33,IF(NOT($W33=0),"",SUMIFS('Val-Vol (2)'!AJ$4:AJ$1116,'Val-Vol (2)'!$A$4:$A$1116,$D33,'Val-Vol (2)'!$V$4:$V$1116,$V33)/SUMIFS('Comp2016-2017 (3)'!$G$5:$G$289,'Comp2016-2017 (3)'!$A$5:$A$289,$D33,'Comp2016-2017 (3)'!$R$5:$R$289,$V33)*$AB33))</f>
        <v>9028.0500393293787</v>
      </c>
      <c r="AK33" s="2">
        <f t="shared" si="4"/>
        <v>0</v>
      </c>
      <c r="AL33" t="str">
        <f t="shared" si="2"/>
        <v/>
      </c>
      <c r="AM33" t="str">
        <f>VLOOKUP(A33,'Table corresp.'!$M$4:$U$63,8,FALSE)</f>
        <v>Production intermédiaire</v>
      </c>
      <c r="AN33" t="str">
        <f>VLOOKUP(D33,'Table corresp.'!$M$4:$U$63,9,FALSE)</f>
        <v>Production intermédiaire</v>
      </c>
    </row>
    <row r="34" spans="1:40" x14ac:dyDescent="0.25">
      <c r="A34" t="s">
        <v>81</v>
      </c>
      <c r="B34" t="str">
        <f>VLOOKUP(LEFT(A34,3),'Table corresp.'!$A$4:$D$63,3,FALSE)</f>
        <v>Transformation</v>
      </c>
      <c r="C34" t="str">
        <f>VLOOKUP(A34,'Table corresp.'!$M$4:$P$63,4,FALSE)</f>
        <v>Production et transformation de produits bois</v>
      </c>
      <c r="D34" t="s">
        <v>4</v>
      </c>
      <c r="E34" t="str">
        <f>VLOOKUP(LEFT(D34,3),'Table corresp.'!$A$4:$D$63,4,FALSE)</f>
        <v>Transformation</v>
      </c>
      <c r="F34" t="str">
        <f t="shared" si="0"/>
        <v xml:space="preserve">05  - 08 </v>
      </c>
      <c r="G34" s="1">
        <v>22665.868829999999</v>
      </c>
      <c r="H34" s="1">
        <v>0</v>
      </c>
      <c r="I34" s="1">
        <v>22665.868829999999</v>
      </c>
      <c r="J34" s="1">
        <v>0</v>
      </c>
      <c r="K34" s="1">
        <v>0</v>
      </c>
      <c r="L34" s="1">
        <v>0</v>
      </c>
      <c r="M34" s="1">
        <v>0</v>
      </c>
      <c r="N34" s="1">
        <v>0</v>
      </c>
      <c r="O34" s="1">
        <v>0</v>
      </c>
      <c r="P34" s="1">
        <v>0</v>
      </c>
      <c r="Q34" s="1">
        <v>0</v>
      </c>
      <c r="R34" s="1">
        <v>0</v>
      </c>
      <c r="S34" s="67"/>
      <c r="T34">
        <f>VLOOKUP(A34,'Groupe de branches'!$Z$27:$AM$86,14,FALSE)</f>
        <v>0</v>
      </c>
      <c r="U34">
        <f>VLOOKUP(D34,'Groupe de branches'!$Z$27:$AM$86,14,FALSE)</f>
        <v>0</v>
      </c>
      <c r="V34">
        <v>2016</v>
      </c>
      <c r="W34">
        <f>VLOOKUP(D34,'Table corresp.'!$M$4:$S$63,7,FALSE)</f>
        <v>0</v>
      </c>
      <c r="X34" s="167">
        <f>IFERROR(G34/SUMIFS('Comp2016-2017 (3)'!$I$5:$I$289,'Comp2016-2017 (3)'!$A$5:$A$289,A34,'Comp2016-2017 (3)'!$R$5:$R$289,V34),0)</f>
        <v>1.9898331731078151E-2</v>
      </c>
      <c r="Y34" s="178">
        <f>IFERROR(IF(RIGHT(F34,3)="Exp",VLOOKUP(F34,#REF!,2,FALSE),VLOOKUP(F34,#REF!,9,FALSE)),1)</f>
        <v>1</v>
      </c>
      <c r="Z34" s="167">
        <f t="shared" si="1"/>
        <v>5.2631578947368418E-2</v>
      </c>
      <c r="AA34" s="189">
        <f t="shared" si="3"/>
        <v>1.0472806174251657E-3</v>
      </c>
      <c r="AB34" s="2">
        <f>IFERROR(SUMIFS('Comp2016-2017 (3)'!$G$5:$G$289,'Comp2016-2017 (3)'!$A$5:$A$289,A34,'Comp2016-2017 (3)'!$R$5:$R$289,V34)*AA34/SUMIFS($AA$4:$AA$1116,$A$4:$A$1116,A34,$V$4:$V$1116,V34),0)</f>
        <v>16442.286579979893</v>
      </c>
      <c r="AC34" s="2">
        <f>IF($W34=AC$3,$AB34,IF(NOT($W34=0),"",SUMIFS('Val-Vol (2)'!AC$4:AC$1116,'Val-Vol (2)'!$A$4:$A$1116,$D34,'Val-Vol (2)'!$V$4:$V$1116,$V34)/SUMIFS('Comp2016-2017 (3)'!$G$5:$G$289,'Comp2016-2017 (3)'!$A$5:$A$289,$D34,'Comp2016-2017 (3)'!$R$5:$R$289,$V34)*$AB34))</f>
        <v>4791.4161445509726</v>
      </c>
      <c r="AD34" s="2">
        <f>IF($W34=AD$3,$AB34,IF(NOT($W34=0),"",SUMIFS('Val-Vol (2)'!AD$4:AD$1116,'Val-Vol (2)'!$A$4:$A$1116,$D34,'Val-Vol (2)'!$V$4:$V$1116,$V34)/SUMIFS('Comp2016-2017 (3)'!$G$5:$G$289,'Comp2016-2017 (3)'!$A$5:$A$289,$D34,'Comp2016-2017 (3)'!$R$5:$R$289,$V34)*$AB34))</f>
        <v>4825.0437932411705</v>
      </c>
      <c r="AE34" s="2">
        <f>IF($W34=AE$3,$AB34,IF(NOT($W34=0),"",SUMIFS('Val-Vol (2)'!AE$4:AE$1116,'Val-Vol (2)'!$A$4:$A$1116,$D34,'Val-Vol (2)'!$V$4:$V$1116,$V34)/SUMIFS('Comp2016-2017 (3)'!$G$5:$G$289,'Comp2016-2017 (3)'!$A$5:$A$289,$D34,'Comp2016-2017 (3)'!$R$5:$R$289,$V34)*$AB34))</f>
        <v>2440.4676195964034</v>
      </c>
      <c r="AF34" s="2">
        <f>IF($W34=AF$3,$AB34,IF(NOT($W34=0),"",SUMIFS('Val-Vol (2)'!AF$4:AF$1116,'Val-Vol (2)'!$A$4:$A$1116,$D34,'Val-Vol (2)'!$V$4:$V$1116,$V34)/SUMIFS('Comp2016-2017 (3)'!$G$5:$G$289,'Comp2016-2017 (3)'!$A$5:$A$289,$D34,'Comp2016-2017 (3)'!$R$5:$R$289,$V34)*$AB34))</f>
        <v>0</v>
      </c>
      <c r="AG34" s="2">
        <f>IF($W34=AG$3,$AB34,IF(NOT($W34=0),"",SUMIFS('Val-Vol (2)'!AG$4:AG$1116,'Val-Vol (2)'!$A$4:$A$1116,$D34,'Val-Vol (2)'!$V$4:$V$1116,$V34)/SUMIFS('Comp2016-2017 (3)'!$G$5:$G$289,'Comp2016-2017 (3)'!$A$5:$A$289,$D34,'Comp2016-2017 (3)'!$R$5:$R$289,$V34)*$AB34))</f>
        <v>0</v>
      </c>
      <c r="AH34" s="2">
        <f>IF($W34=AH$3,$AB34,IF(NOT($W34=0),"",SUMIFS('Val-Vol (2)'!AH$4:AH$1116,'Val-Vol (2)'!$A$4:$A$1116,$D34,'Val-Vol (2)'!$V$4:$V$1116,$V34)/SUMIFS('Comp2016-2017 (3)'!$G$5:$G$289,'Comp2016-2017 (3)'!$A$5:$A$289,$D34,'Comp2016-2017 (3)'!$R$5:$R$289,$V34)*$AB34))</f>
        <v>0</v>
      </c>
      <c r="AI34" s="2">
        <f>IF($W34=AI$3,$AB34,IF(NOT($W34=0),"",SUMIFS('Val-Vol (2)'!AI$4:AI$1116,'Val-Vol (2)'!$A$4:$A$1116,$D34,'Val-Vol (2)'!$V$4:$V$1116,$V34)/SUMIFS('Comp2016-2017 (3)'!$G$5:$G$289,'Comp2016-2017 (3)'!$A$5:$A$289,$D34,'Comp2016-2017 (3)'!$R$5:$R$289,$V34)*$AB34))</f>
        <v>1688.1448142369518</v>
      </c>
      <c r="AJ34" s="2">
        <f>IF($W34=AJ$3,$AB34,IF(NOT($W34=0),"",SUMIFS('Val-Vol (2)'!AJ$4:AJ$1116,'Val-Vol (2)'!$A$4:$A$1116,$D34,'Val-Vol (2)'!$V$4:$V$1116,$V34)/SUMIFS('Comp2016-2017 (3)'!$G$5:$G$289,'Comp2016-2017 (3)'!$A$5:$A$289,$D34,'Comp2016-2017 (3)'!$R$5:$R$289,$V34)*$AB34))</f>
        <v>2697.214208354394</v>
      </c>
      <c r="AK34" s="2">
        <f t="shared" si="4"/>
        <v>0</v>
      </c>
      <c r="AL34" t="str">
        <f t="shared" si="2"/>
        <v/>
      </c>
      <c r="AM34" t="str">
        <f>VLOOKUP(A34,'Table corresp.'!$M$4:$U$63,8,FALSE)</f>
        <v>Production intermédiaire</v>
      </c>
      <c r="AN34" t="str">
        <f>VLOOKUP(D34,'Table corresp.'!$M$4:$U$63,9,FALSE)</f>
        <v>Production intermédiaire</v>
      </c>
    </row>
    <row r="35" spans="1:40" x14ac:dyDescent="0.25">
      <c r="A35" t="s">
        <v>81</v>
      </c>
      <c r="B35" t="str">
        <f>VLOOKUP(LEFT(A35,3),'Table corresp.'!$A$4:$D$63,3,FALSE)</f>
        <v>Transformation</v>
      </c>
      <c r="C35" t="str">
        <f>VLOOKUP(A35,'Table corresp.'!$M$4:$P$63,4,FALSE)</f>
        <v>Production et transformation de produits bois</v>
      </c>
      <c r="D35" t="s">
        <v>5</v>
      </c>
      <c r="E35" t="str">
        <f>VLOOKUP(LEFT(D35,3),'Table corresp.'!$A$4:$D$63,4,FALSE)</f>
        <v>Transformation</v>
      </c>
      <c r="F35" t="str">
        <f t="shared" si="0"/>
        <v xml:space="preserve">05  - 09 </v>
      </c>
      <c r="G35" s="1">
        <v>12358.650152035256</v>
      </c>
      <c r="H35" s="1">
        <v>0</v>
      </c>
      <c r="I35" s="1">
        <v>12358.650152035256</v>
      </c>
      <c r="J35" s="1">
        <v>0</v>
      </c>
      <c r="K35" s="1">
        <v>0</v>
      </c>
      <c r="L35" s="1">
        <v>0</v>
      </c>
      <c r="M35" s="1">
        <v>0</v>
      </c>
      <c r="N35" s="1">
        <v>0</v>
      </c>
      <c r="O35" s="1">
        <v>0</v>
      </c>
      <c r="P35" s="1">
        <v>0</v>
      </c>
      <c r="Q35" s="1">
        <v>0</v>
      </c>
      <c r="R35" s="1">
        <v>0</v>
      </c>
      <c r="S35" s="67"/>
      <c r="T35">
        <f>VLOOKUP(A35,'Groupe de branches'!$Z$27:$AM$86,14,FALSE)</f>
        <v>0</v>
      </c>
      <c r="U35">
        <f>VLOOKUP(D35,'Groupe de branches'!$Z$27:$AM$86,14,FALSE)</f>
        <v>0</v>
      </c>
      <c r="V35">
        <v>2016</v>
      </c>
      <c r="W35">
        <f>VLOOKUP(D35,'Table corresp.'!$M$4:$S$63,7,FALSE)</f>
        <v>0</v>
      </c>
      <c r="X35" s="167">
        <f>IFERROR(G35/SUMIFS('Comp2016-2017 (3)'!$I$5:$I$289,'Comp2016-2017 (3)'!$A$5:$A$289,A35,'Comp2016-2017 (3)'!$R$5:$R$289,V35),0)</f>
        <v>1.0849640149158887E-2</v>
      </c>
      <c r="Y35" s="178">
        <f>IFERROR(IF(RIGHT(F35,3)="Exp",VLOOKUP(F35,#REF!,2,FALSE),VLOOKUP(F35,#REF!,9,FALSE)),1)</f>
        <v>1</v>
      </c>
      <c r="Z35" s="167">
        <f t="shared" si="1"/>
        <v>5.2631578947368418E-2</v>
      </c>
      <c r="AA35" s="189">
        <f t="shared" si="3"/>
        <v>5.7103369206099399E-4</v>
      </c>
      <c r="AB35" s="2">
        <f>IFERROR(SUMIFS('Comp2016-2017 (3)'!$G$5:$G$289,'Comp2016-2017 (3)'!$A$5:$A$289,A35,'Comp2016-2017 (3)'!$R$5:$R$289,V35)*AA35/SUMIFS($AA$4:$AA$1116,$A$4:$A$1116,A35,$V$4:$V$1116,V35),0)</f>
        <v>8965.2185435979936</v>
      </c>
      <c r="AC35" s="2">
        <f>IF($W35=AC$3,$AB35,IF(NOT($W35=0),"",SUMIFS('Val-Vol (2)'!AC$4:AC$1116,'Val-Vol (2)'!$A$4:$A$1116,$D35,'Val-Vol (2)'!$V$4:$V$1116,$V35)/SUMIFS('Comp2016-2017 (3)'!$G$5:$G$289,'Comp2016-2017 (3)'!$A$5:$A$289,$D35,'Comp2016-2017 (3)'!$R$5:$R$289,$V35)*$AB35))</f>
        <v>2833.5191972695879</v>
      </c>
      <c r="AD35" s="2">
        <f>IF($W35=AD$3,$AB35,IF(NOT($W35=0),"",SUMIFS('Val-Vol (2)'!AD$4:AD$1116,'Val-Vol (2)'!$A$4:$A$1116,$D35,'Val-Vol (2)'!$V$4:$V$1116,$V35)/SUMIFS('Comp2016-2017 (3)'!$G$5:$G$289,'Comp2016-2017 (3)'!$A$5:$A$289,$D35,'Comp2016-2017 (3)'!$R$5:$R$289,$V35)*$AB35))</f>
        <v>3042.8241581043771</v>
      </c>
      <c r="AE35" s="2">
        <f>IF($W35=AE$3,$AB35,IF(NOT($W35=0),"",SUMIFS('Val-Vol (2)'!AE$4:AE$1116,'Val-Vol (2)'!$A$4:$A$1116,$D35,'Val-Vol (2)'!$V$4:$V$1116,$V35)/SUMIFS('Comp2016-2017 (3)'!$G$5:$G$289,'Comp2016-2017 (3)'!$A$5:$A$289,$D35,'Comp2016-2017 (3)'!$R$5:$R$289,$V35)*$AB35))</f>
        <v>53.03641008659838</v>
      </c>
      <c r="AF35" s="2">
        <f>IF($W35=AF$3,$AB35,IF(NOT($W35=0),"",SUMIFS('Val-Vol (2)'!AF$4:AF$1116,'Val-Vol (2)'!$A$4:$A$1116,$D35,'Val-Vol (2)'!$V$4:$V$1116,$V35)/SUMIFS('Comp2016-2017 (3)'!$G$5:$G$289,'Comp2016-2017 (3)'!$A$5:$A$289,$D35,'Comp2016-2017 (3)'!$R$5:$R$289,$V35)*$AB35))</f>
        <v>0</v>
      </c>
      <c r="AG35" s="2">
        <f>IF($W35=AG$3,$AB35,IF(NOT($W35=0),"",SUMIFS('Val-Vol (2)'!AG$4:AG$1116,'Val-Vol (2)'!$A$4:$A$1116,$D35,'Val-Vol (2)'!$V$4:$V$1116,$V35)/SUMIFS('Comp2016-2017 (3)'!$G$5:$G$289,'Comp2016-2017 (3)'!$A$5:$A$289,$D35,'Comp2016-2017 (3)'!$R$5:$R$289,$V35)*$AB35))</f>
        <v>1115.8659851127145</v>
      </c>
      <c r="AH35" s="2">
        <f>IF($W35=AH$3,$AB35,IF(NOT($W35=0),"",SUMIFS('Val-Vol (2)'!AH$4:AH$1116,'Val-Vol (2)'!$A$4:$A$1116,$D35,'Val-Vol (2)'!$V$4:$V$1116,$V35)/SUMIFS('Comp2016-2017 (3)'!$G$5:$G$289,'Comp2016-2017 (3)'!$A$5:$A$289,$D35,'Comp2016-2017 (3)'!$R$5:$R$289,$V35)*$AB35))</f>
        <v>0</v>
      </c>
      <c r="AI35" s="2">
        <f>IF($W35=AI$3,$AB35,IF(NOT($W35=0),"",SUMIFS('Val-Vol (2)'!AI$4:AI$1116,'Val-Vol (2)'!$A$4:$A$1116,$D35,'Val-Vol (2)'!$V$4:$V$1116,$V35)/SUMIFS('Comp2016-2017 (3)'!$G$5:$G$289,'Comp2016-2017 (3)'!$A$5:$A$289,$D35,'Comp2016-2017 (3)'!$R$5:$R$289,$V35)*$AB35))</f>
        <v>1720.8288174230506</v>
      </c>
      <c r="AJ35" s="2">
        <f>IF($W35=AJ$3,$AB35,IF(NOT($W35=0),"",SUMIFS('Val-Vol (2)'!AJ$4:AJ$1116,'Val-Vol (2)'!$A$4:$A$1116,$D35,'Val-Vol (2)'!$V$4:$V$1116,$V35)/SUMIFS('Comp2016-2017 (3)'!$G$5:$G$289,'Comp2016-2017 (3)'!$A$5:$A$289,$D35,'Comp2016-2017 (3)'!$R$5:$R$289,$V35)*$AB35))</f>
        <v>199.14397560166444</v>
      </c>
      <c r="AK35" s="2">
        <f t="shared" si="4"/>
        <v>0</v>
      </c>
      <c r="AL35" t="str">
        <f t="shared" si="2"/>
        <v/>
      </c>
      <c r="AM35" t="str">
        <f>VLOOKUP(A35,'Table corresp.'!$M$4:$U$63,8,FALSE)</f>
        <v>Production intermédiaire</v>
      </c>
      <c r="AN35" t="str">
        <f>VLOOKUP(D35,'Table corresp.'!$M$4:$U$63,9,FALSE)</f>
        <v>Production intermédiaire</v>
      </c>
    </row>
    <row r="36" spans="1:40" x14ac:dyDescent="0.25">
      <c r="A36" t="s">
        <v>81</v>
      </c>
      <c r="B36" t="str">
        <f>VLOOKUP(LEFT(A36,3),'Table corresp.'!$A$4:$D$63,3,FALSE)</f>
        <v>Transformation</v>
      </c>
      <c r="C36" t="str">
        <f>VLOOKUP(A36,'Table corresp.'!$M$4:$P$63,4,FALSE)</f>
        <v>Production et transformation de produits bois</v>
      </c>
      <c r="D36" t="s">
        <v>82</v>
      </c>
      <c r="E36" t="str">
        <f>VLOOKUP(LEFT(D36,3),'Table corresp.'!$A$4:$D$63,4,FALSE)</f>
        <v>Transformation</v>
      </c>
      <c r="F36" t="str">
        <f t="shared" si="0"/>
        <v xml:space="preserve">05  - 10 </v>
      </c>
      <c r="G36" s="1">
        <v>9640.8404084279973</v>
      </c>
      <c r="H36" s="1">
        <v>0</v>
      </c>
      <c r="I36" s="1">
        <v>9640.8404084279973</v>
      </c>
      <c r="J36" s="1">
        <v>0</v>
      </c>
      <c r="K36" s="1">
        <v>0</v>
      </c>
      <c r="L36" s="1">
        <v>0</v>
      </c>
      <c r="M36" s="1">
        <v>0</v>
      </c>
      <c r="N36" s="1">
        <v>0</v>
      </c>
      <c r="O36" s="1">
        <v>0</v>
      </c>
      <c r="P36" s="1">
        <v>0</v>
      </c>
      <c r="Q36" s="1">
        <v>0</v>
      </c>
      <c r="R36" s="1">
        <v>0</v>
      </c>
      <c r="S36" s="67"/>
      <c r="T36">
        <f>VLOOKUP(A36,'Groupe de branches'!$Z$27:$AM$86,14,FALSE)</f>
        <v>0</v>
      </c>
      <c r="U36">
        <f>VLOOKUP(D36,'Groupe de branches'!$Z$27:$AM$86,14,FALSE)</f>
        <v>0</v>
      </c>
      <c r="V36">
        <v>2016</v>
      </c>
      <c r="W36">
        <f>VLOOKUP(D36,'Table corresp.'!$M$4:$S$63,7,FALSE)</f>
        <v>0</v>
      </c>
      <c r="X36" s="167">
        <f>IFERROR(G36/SUMIFS('Comp2016-2017 (3)'!$I$5:$I$289,'Comp2016-2017 (3)'!$A$5:$A$289,A36,'Comp2016-2017 (3)'!$R$5:$R$289,V36),0)</f>
        <v>8.4636791138300825E-3</v>
      </c>
      <c r="Y36" s="178">
        <f>IFERROR(IF(RIGHT(F36,3)="Exp",VLOOKUP(F36,#REF!,2,FALSE),VLOOKUP(F36,#REF!,9,FALSE)),1)</f>
        <v>1</v>
      </c>
      <c r="Z36" s="167">
        <f t="shared" ref="Z36:Z66" si="5">Y36/SUMIFS($Y$4:$Y$1116,$V$4:$V$1116,V36,$A$4:$A$1116,A36)</f>
        <v>5.2631578947368418E-2</v>
      </c>
      <c r="AA36" s="189">
        <f t="shared" si="3"/>
        <v>4.4545679546474117E-4</v>
      </c>
      <c r="AB36" s="2">
        <f>IFERROR(SUMIFS('Comp2016-2017 (3)'!$G$5:$G$289,'Comp2016-2017 (3)'!$A$5:$A$289,A36,'Comp2016-2017 (3)'!$R$5:$R$289,V36)*AA36/SUMIFS($AA$4:$AA$1116,$A$4:$A$1116,A36,$V$4:$V$1116,V36),0)</f>
        <v>6993.6635589019925</v>
      </c>
      <c r="AC36" s="2">
        <f>IF($W36=AC$3,$AB36,IF(NOT($W36=0),"",SUMIFS('Val-Vol (2)'!AC$4:AC$1116,'Val-Vol (2)'!$A$4:$A$1116,$D36,'Val-Vol (2)'!$V$4:$V$1116,$V36)/SUMIFS('Comp2016-2017 (3)'!$G$5:$G$289,'Comp2016-2017 (3)'!$A$5:$A$289,$D36,'Comp2016-2017 (3)'!$R$5:$R$289,$V36)*$AB36))</f>
        <v>1352.3761900466791</v>
      </c>
      <c r="AD36" s="2">
        <f>IF($W36=AD$3,$AB36,IF(NOT($W36=0),"",SUMIFS('Val-Vol (2)'!AD$4:AD$1116,'Val-Vol (2)'!$A$4:$A$1116,$D36,'Val-Vol (2)'!$V$4:$V$1116,$V36)/SUMIFS('Comp2016-2017 (3)'!$G$5:$G$289,'Comp2016-2017 (3)'!$A$5:$A$289,$D36,'Comp2016-2017 (3)'!$R$5:$R$289,$V36)*$AB36))</f>
        <v>1995.1410297060111</v>
      </c>
      <c r="AE36" s="2">
        <f>IF($W36=AE$3,$AB36,IF(NOT($W36=0),"",SUMIFS('Val-Vol (2)'!AE$4:AE$1116,'Val-Vol (2)'!$A$4:$A$1116,$D36,'Val-Vol (2)'!$V$4:$V$1116,$V36)/SUMIFS('Comp2016-2017 (3)'!$G$5:$G$289,'Comp2016-2017 (3)'!$A$5:$A$289,$D36,'Comp2016-2017 (3)'!$R$5:$R$289,$V36)*$AB36))</f>
        <v>418.23416254650596</v>
      </c>
      <c r="AF36" s="2">
        <f>IF($W36=AF$3,$AB36,IF(NOT($W36=0),"",SUMIFS('Val-Vol (2)'!AF$4:AF$1116,'Val-Vol (2)'!$A$4:$A$1116,$D36,'Val-Vol (2)'!$V$4:$V$1116,$V36)/SUMIFS('Comp2016-2017 (3)'!$G$5:$G$289,'Comp2016-2017 (3)'!$A$5:$A$289,$D36,'Comp2016-2017 (3)'!$R$5:$R$289,$V36)*$AB36))</f>
        <v>0</v>
      </c>
      <c r="AG36" s="2">
        <f>IF($W36=AG$3,$AB36,IF(NOT($W36=0),"",SUMIFS('Val-Vol (2)'!AG$4:AG$1116,'Val-Vol (2)'!$A$4:$A$1116,$D36,'Val-Vol (2)'!$V$4:$V$1116,$V36)/SUMIFS('Comp2016-2017 (3)'!$G$5:$G$289,'Comp2016-2017 (3)'!$A$5:$A$289,$D36,'Comp2016-2017 (3)'!$R$5:$R$289,$V36)*$AB36))</f>
        <v>1437.4390705036465</v>
      </c>
      <c r="AH36" s="2">
        <f>IF($W36=AH$3,$AB36,IF(NOT($W36=0),"",SUMIFS('Val-Vol (2)'!AH$4:AH$1116,'Val-Vol (2)'!$A$4:$A$1116,$D36,'Val-Vol (2)'!$V$4:$V$1116,$V36)/SUMIFS('Comp2016-2017 (3)'!$G$5:$G$289,'Comp2016-2017 (3)'!$A$5:$A$289,$D36,'Comp2016-2017 (3)'!$R$5:$R$289,$V36)*$AB36))</f>
        <v>0</v>
      </c>
      <c r="AI36" s="2">
        <f>IF($W36=AI$3,$AB36,IF(NOT($W36=0),"",SUMIFS('Val-Vol (2)'!AI$4:AI$1116,'Val-Vol (2)'!$A$4:$A$1116,$D36,'Val-Vol (2)'!$V$4:$V$1116,$V36)/SUMIFS('Comp2016-2017 (3)'!$G$5:$G$289,'Comp2016-2017 (3)'!$A$5:$A$289,$D36,'Comp2016-2017 (3)'!$R$5:$R$289,$V36)*$AB36))</f>
        <v>1610.5327712402366</v>
      </c>
      <c r="AJ36" s="2">
        <f>IF($W36=AJ$3,$AB36,IF(NOT($W36=0),"",SUMIFS('Val-Vol (2)'!AJ$4:AJ$1116,'Val-Vol (2)'!$A$4:$A$1116,$D36,'Val-Vol (2)'!$V$4:$V$1116,$V36)/SUMIFS('Comp2016-2017 (3)'!$G$5:$G$289,'Comp2016-2017 (3)'!$A$5:$A$289,$D36,'Comp2016-2017 (3)'!$R$5:$R$289,$V36)*$AB36))</f>
        <v>179.94033485891359</v>
      </c>
      <c r="AK36" s="2">
        <f t="shared" si="4"/>
        <v>0</v>
      </c>
      <c r="AL36" t="str">
        <f t="shared" si="2"/>
        <v/>
      </c>
      <c r="AM36" t="str">
        <f>VLOOKUP(A36,'Table corresp.'!$M$4:$U$63,8,FALSE)</f>
        <v>Production intermédiaire</v>
      </c>
      <c r="AN36" t="str">
        <f>VLOOKUP(D36,'Table corresp.'!$M$4:$U$63,9,FALSE)</f>
        <v>Production intermédiaire</v>
      </c>
    </row>
    <row r="37" spans="1:40" x14ac:dyDescent="0.25">
      <c r="A37" t="s">
        <v>81</v>
      </c>
      <c r="B37" t="str">
        <f>VLOOKUP(LEFT(A37,3),'Table corresp.'!$A$4:$D$63,3,FALSE)</f>
        <v>Transformation</v>
      </c>
      <c r="C37" t="str">
        <f>VLOOKUP(A37,'Table corresp.'!$M$4:$P$63,4,FALSE)</f>
        <v>Production et transformation de produits bois</v>
      </c>
      <c r="D37" t="s">
        <v>7</v>
      </c>
      <c r="E37" t="str">
        <f>VLOOKUP(LEFT(D37,3),'Table corresp.'!$A$4:$D$63,4,FALSE)</f>
        <v>Transformation</v>
      </c>
      <c r="F37" t="str">
        <f t="shared" si="0"/>
        <v xml:space="preserve">05  - 12 </v>
      </c>
      <c r="G37" s="1">
        <v>95812.991727149158</v>
      </c>
      <c r="H37" s="1">
        <v>0</v>
      </c>
      <c r="I37" s="1">
        <v>95812.991727149158</v>
      </c>
      <c r="J37" s="1">
        <v>0</v>
      </c>
      <c r="K37" s="1">
        <v>0</v>
      </c>
      <c r="L37" s="1">
        <v>0</v>
      </c>
      <c r="M37" s="1">
        <v>0</v>
      </c>
      <c r="N37" s="1">
        <v>0</v>
      </c>
      <c r="O37" s="1">
        <v>0</v>
      </c>
      <c r="P37" s="1">
        <v>0</v>
      </c>
      <c r="Q37" s="1">
        <v>0</v>
      </c>
      <c r="R37" s="1">
        <v>0</v>
      </c>
      <c r="S37" s="67"/>
      <c r="T37">
        <f>VLOOKUP(A37,'Groupe de branches'!$Z$27:$AM$86,14,FALSE)</f>
        <v>0</v>
      </c>
      <c r="U37">
        <f>VLOOKUP(D37,'Groupe de branches'!$Z$27:$AM$86,14,FALSE)</f>
        <v>0</v>
      </c>
      <c r="V37">
        <v>2016</v>
      </c>
      <c r="W37">
        <f>VLOOKUP(D37,'Table corresp.'!$M$4:$S$63,7,FALSE)</f>
        <v>0</v>
      </c>
      <c r="X37" s="167">
        <f>IFERROR(G37/SUMIFS('Comp2016-2017 (3)'!$I$5:$I$289,'Comp2016-2017 (3)'!$A$5:$A$289,A37,'Comp2016-2017 (3)'!$R$5:$R$289,V37),0)</f>
        <v>8.4114079536648442E-2</v>
      </c>
      <c r="Y37" s="178">
        <f>IFERROR(IF(RIGHT(F37,3)="Exp",VLOOKUP(F37,#REF!,2,FALSE),VLOOKUP(F37,#REF!,9,FALSE)),1)</f>
        <v>1</v>
      </c>
      <c r="Z37" s="167">
        <f t="shared" si="5"/>
        <v>5.2631578947368418E-2</v>
      </c>
      <c r="AA37" s="189">
        <f t="shared" si="3"/>
        <v>4.4270568177183387E-3</v>
      </c>
      <c r="AB37" s="2">
        <f>IFERROR(SUMIFS('Comp2016-2017 (3)'!$G$5:$G$289,'Comp2016-2017 (3)'!$A$5:$A$289,A37,'Comp2016-2017 (3)'!$R$5:$R$289,V37)*AA37/SUMIFS($AA$4:$AA$1116,$A$4:$A$1116,A37,$V$4:$V$1116,V37),0)</f>
        <v>69504.711241330748</v>
      </c>
      <c r="AC37" s="2">
        <f>IF($W37=AC$3,$AB37,IF(NOT($W37=0),"",SUMIFS('Val-Vol (2)'!AC$4:AC$1116,'Val-Vol (2)'!$A$4:$A$1116,$D37,'Val-Vol (2)'!$V$4:$V$1116,$V37)/SUMIFS('Comp2016-2017 (3)'!$G$5:$G$289,'Comp2016-2017 (3)'!$A$5:$A$289,$D37,'Comp2016-2017 (3)'!$R$5:$R$289,$V37)*$AB37))</f>
        <v>4372.737163116265</v>
      </c>
      <c r="AD37" s="2">
        <f>IF($W37=AD$3,$AB37,IF(NOT($W37=0),"",SUMIFS('Val-Vol (2)'!AD$4:AD$1116,'Val-Vol (2)'!$A$4:$A$1116,$D37,'Val-Vol (2)'!$V$4:$V$1116,$V37)/SUMIFS('Comp2016-2017 (3)'!$G$5:$G$289,'Comp2016-2017 (3)'!$A$5:$A$289,$D37,'Comp2016-2017 (3)'!$R$5:$R$289,$V37)*$AB37))</f>
        <v>45137.199240185466</v>
      </c>
      <c r="AE37" s="2">
        <f>IF($W37=AE$3,$AB37,IF(NOT($W37=0),"",SUMIFS('Val-Vol (2)'!AE$4:AE$1116,'Val-Vol (2)'!$A$4:$A$1116,$D37,'Val-Vol (2)'!$V$4:$V$1116,$V37)/SUMIFS('Comp2016-2017 (3)'!$G$5:$G$289,'Comp2016-2017 (3)'!$A$5:$A$289,$D37,'Comp2016-2017 (3)'!$R$5:$R$289,$V37)*$AB37))</f>
        <v>1293.3522519011517</v>
      </c>
      <c r="AF37" s="2">
        <f>IF($W37=AF$3,$AB37,IF(NOT($W37=0),"",SUMIFS('Val-Vol (2)'!AF$4:AF$1116,'Val-Vol (2)'!$A$4:$A$1116,$D37,'Val-Vol (2)'!$V$4:$V$1116,$V37)/SUMIFS('Comp2016-2017 (3)'!$G$5:$G$289,'Comp2016-2017 (3)'!$A$5:$A$289,$D37,'Comp2016-2017 (3)'!$R$5:$R$289,$V37)*$AB37))</f>
        <v>0</v>
      </c>
      <c r="AG37" s="2">
        <f>IF($W37=AG$3,$AB37,IF(NOT($W37=0),"",SUMIFS('Val-Vol (2)'!AG$4:AG$1116,'Val-Vol (2)'!$A$4:$A$1116,$D37,'Val-Vol (2)'!$V$4:$V$1116,$V37)/SUMIFS('Comp2016-2017 (3)'!$G$5:$G$289,'Comp2016-2017 (3)'!$A$5:$A$289,$D37,'Comp2016-2017 (3)'!$R$5:$R$289,$V37)*$AB37))</f>
        <v>8431.6999250554363</v>
      </c>
      <c r="AH37" s="2">
        <f>IF($W37=AH$3,$AB37,IF(NOT($W37=0),"",SUMIFS('Val-Vol (2)'!AH$4:AH$1116,'Val-Vol (2)'!$A$4:$A$1116,$D37,'Val-Vol (2)'!$V$4:$V$1116,$V37)/SUMIFS('Comp2016-2017 (3)'!$G$5:$G$289,'Comp2016-2017 (3)'!$A$5:$A$289,$D37,'Comp2016-2017 (3)'!$R$5:$R$289,$V37)*$AB37))</f>
        <v>0</v>
      </c>
      <c r="AI37" s="2">
        <f>IF($W37=AI$3,$AB37,IF(NOT($W37=0),"",SUMIFS('Val-Vol (2)'!AI$4:AI$1116,'Val-Vol (2)'!$A$4:$A$1116,$D37,'Val-Vol (2)'!$V$4:$V$1116,$V37)/SUMIFS('Comp2016-2017 (3)'!$G$5:$G$289,'Comp2016-2017 (3)'!$A$5:$A$289,$D37,'Comp2016-2017 (3)'!$R$5:$R$289,$V37)*$AB37))</f>
        <v>2152.5615342809433</v>
      </c>
      <c r="AJ37" s="2">
        <f>IF($W37=AJ$3,$AB37,IF(NOT($W37=0),"",SUMIFS('Val-Vol (2)'!AJ$4:AJ$1116,'Val-Vol (2)'!$A$4:$A$1116,$D37,'Val-Vol (2)'!$V$4:$V$1116,$V37)/SUMIFS('Comp2016-2017 (3)'!$G$5:$G$289,'Comp2016-2017 (3)'!$A$5:$A$289,$D37,'Comp2016-2017 (3)'!$R$5:$R$289,$V37)*$AB37))</f>
        <v>8117.1611267914814</v>
      </c>
      <c r="AK37" s="2">
        <f t="shared" si="4"/>
        <v>0</v>
      </c>
      <c r="AL37" t="str">
        <f t="shared" si="2"/>
        <v/>
      </c>
      <c r="AM37" t="str">
        <f>VLOOKUP(A37,'Table corresp.'!$M$4:$U$63,8,FALSE)</f>
        <v>Production intermédiaire</v>
      </c>
      <c r="AN37" t="str">
        <f>VLOOKUP(D37,'Table corresp.'!$M$4:$U$63,9,FALSE)</f>
        <v>Production intermédiaire</v>
      </c>
    </row>
    <row r="38" spans="1:40" x14ac:dyDescent="0.25">
      <c r="A38" t="s">
        <v>81</v>
      </c>
      <c r="B38" t="str">
        <f>VLOOKUP(LEFT(A38,3),'Table corresp.'!$A$4:$D$63,3,FALSE)</f>
        <v>Transformation</v>
      </c>
      <c r="C38" t="str">
        <f>VLOOKUP(A38,'Table corresp.'!$M$4:$P$63,4,FALSE)</f>
        <v>Production et transformation de produits bois</v>
      </c>
      <c r="D38" t="s">
        <v>8</v>
      </c>
      <c r="E38" t="str">
        <f>VLOOKUP(LEFT(D38,3),'Table corresp.'!$A$4:$D$63,4,FALSE)</f>
        <v>Transformation</v>
      </c>
      <c r="F38" t="str">
        <f t="shared" si="0"/>
        <v xml:space="preserve">05  - 13 </v>
      </c>
      <c r="G38" s="1">
        <v>23547.943439999995</v>
      </c>
      <c r="H38" s="1">
        <v>0</v>
      </c>
      <c r="I38" s="1">
        <v>23547.943439999995</v>
      </c>
      <c r="J38" s="1">
        <v>0</v>
      </c>
      <c r="K38" s="1">
        <v>0</v>
      </c>
      <c r="L38" s="1">
        <v>0</v>
      </c>
      <c r="M38" s="1">
        <v>0</v>
      </c>
      <c r="N38" s="1">
        <v>0</v>
      </c>
      <c r="O38" s="1">
        <v>0</v>
      </c>
      <c r="P38" s="1">
        <v>0</v>
      </c>
      <c r="Q38" s="1">
        <v>0</v>
      </c>
      <c r="R38" s="1">
        <v>0</v>
      </c>
      <c r="S38" s="67"/>
      <c r="T38">
        <f>VLOOKUP(A38,'Groupe de branches'!$Z$27:$AM$86,14,FALSE)</f>
        <v>0</v>
      </c>
      <c r="U38">
        <f>VLOOKUP(D38,'Groupe de branches'!$Z$27:$AM$86,14,FALSE)</f>
        <v>0</v>
      </c>
      <c r="V38">
        <v>2016</v>
      </c>
      <c r="W38">
        <f>VLOOKUP(D38,'Table corresp.'!$M$4:$S$63,7,FALSE)</f>
        <v>0</v>
      </c>
      <c r="X38" s="167">
        <f>IFERROR(G38/SUMIFS('Comp2016-2017 (3)'!$I$5:$I$289,'Comp2016-2017 (3)'!$A$5:$A$289,A38,'Comp2016-2017 (3)'!$R$5:$R$289,V38),0)</f>
        <v>2.067270368800531E-2</v>
      </c>
      <c r="Y38" s="178">
        <f>IFERROR(IF(RIGHT(F38,3)="Exp",VLOOKUP(F38,#REF!,2,FALSE),VLOOKUP(F38,#REF!,9,FALSE)),1)</f>
        <v>1</v>
      </c>
      <c r="Z38" s="167">
        <f t="shared" si="5"/>
        <v>5.2631578947368418E-2</v>
      </c>
      <c r="AA38" s="189">
        <f t="shared" si="3"/>
        <v>1.0880370362108057E-3</v>
      </c>
      <c r="AB38" s="2">
        <f>IFERROR(SUMIFS('Comp2016-2017 (3)'!$G$5:$G$289,'Comp2016-2017 (3)'!$A$5:$A$289,A38,'Comp2016-2017 (3)'!$R$5:$R$289,V38)*AA38/SUMIFS($AA$4:$AA$1116,$A$4:$A$1116,A38,$V$4:$V$1116,V38),0)</f>
        <v>17082.161611081621</v>
      </c>
      <c r="AC38" s="2">
        <f>IF($W38=AC$3,$AB38,IF(NOT($W38=0),"",SUMIFS('Val-Vol (2)'!AC$4:AC$1116,'Val-Vol (2)'!$A$4:$A$1116,$D38,'Val-Vol (2)'!$V$4:$V$1116,$V38)/SUMIFS('Comp2016-2017 (3)'!$G$5:$G$289,'Comp2016-2017 (3)'!$A$5:$A$289,$D38,'Comp2016-2017 (3)'!$R$5:$R$289,$V38)*$AB38))</f>
        <v>2456.781075329387</v>
      </c>
      <c r="AD38" s="2">
        <f>IF($W38=AD$3,$AB38,IF(NOT($W38=0),"",SUMIFS('Val-Vol (2)'!AD$4:AD$1116,'Val-Vol (2)'!$A$4:$A$1116,$D38,'Val-Vol (2)'!$V$4:$V$1116,$V38)/SUMIFS('Comp2016-2017 (3)'!$G$5:$G$289,'Comp2016-2017 (3)'!$A$5:$A$289,$D38,'Comp2016-2017 (3)'!$R$5:$R$289,$V38)*$AB38))</f>
        <v>5508.0264777027332</v>
      </c>
      <c r="AE38" s="2">
        <f>IF($W38=AE$3,$AB38,IF(NOT($W38=0),"",SUMIFS('Val-Vol (2)'!AE$4:AE$1116,'Val-Vol (2)'!$A$4:$A$1116,$D38,'Val-Vol (2)'!$V$4:$V$1116,$V38)/SUMIFS('Comp2016-2017 (3)'!$G$5:$G$289,'Comp2016-2017 (3)'!$A$5:$A$289,$D38,'Comp2016-2017 (3)'!$R$5:$R$289,$V38)*$AB38))</f>
        <v>0.9268768583590099</v>
      </c>
      <c r="AF38" s="2">
        <f>IF($W38=AF$3,$AB38,IF(NOT($W38=0),"",SUMIFS('Val-Vol (2)'!AF$4:AF$1116,'Val-Vol (2)'!$A$4:$A$1116,$D38,'Val-Vol (2)'!$V$4:$V$1116,$V38)/SUMIFS('Comp2016-2017 (3)'!$G$5:$G$289,'Comp2016-2017 (3)'!$A$5:$A$289,$D38,'Comp2016-2017 (3)'!$R$5:$R$289,$V38)*$AB38))</f>
        <v>0</v>
      </c>
      <c r="AG38" s="2">
        <f>IF($W38=AG$3,$AB38,IF(NOT($W38=0),"",SUMIFS('Val-Vol (2)'!AG$4:AG$1116,'Val-Vol (2)'!$A$4:$A$1116,$D38,'Val-Vol (2)'!$V$4:$V$1116,$V38)/SUMIFS('Comp2016-2017 (3)'!$G$5:$G$289,'Comp2016-2017 (3)'!$A$5:$A$289,$D38,'Comp2016-2017 (3)'!$R$5:$R$289,$V38)*$AB38))</f>
        <v>4310.948088998186</v>
      </c>
      <c r="AH38" s="2">
        <f>IF($W38=AH$3,$AB38,IF(NOT($W38=0),"",SUMIFS('Val-Vol (2)'!AH$4:AH$1116,'Val-Vol (2)'!$A$4:$A$1116,$D38,'Val-Vol (2)'!$V$4:$V$1116,$V38)/SUMIFS('Comp2016-2017 (3)'!$G$5:$G$289,'Comp2016-2017 (3)'!$A$5:$A$289,$D38,'Comp2016-2017 (3)'!$R$5:$R$289,$V38)*$AB38))</f>
        <v>0</v>
      </c>
      <c r="AI38" s="2">
        <f>IF($W38=AI$3,$AB38,IF(NOT($W38=0),"",SUMIFS('Val-Vol (2)'!AI$4:AI$1116,'Val-Vol (2)'!$A$4:$A$1116,$D38,'Val-Vol (2)'!$V$4:$V$1116,$V38)/SUMIFS('Comp2016-2017 (3)'!$G$5:$G$289,'Comp2016-2017 (3)'!$A$5:$A$289,$D38,'Comp2016-2017 (3)'!$R$5:$R$289,$V38)*$AB38))</f>
        <v>0</v>
      </c>
      <c r="AJ38" s="2">
        <f>IF($W38=AJ$3,$AB38,IF(NOT($W38=0),"",SUMIFS('Val-Vol (2)'!AJ$4:AJ$1116,'Val-Vol (2)'!$A$4:$A$1116,$D38,'Val-Vol (2)'!$V$4:$V$1116,$V38)/SUMIFS('Comp2016-2017 (3)'!$G$5:$G$289,'Comp2016-2017 (3)'!$A$5:$A$289,$D38,'Comp2016-2017 (3)'!$R$5:$R$289,$V38)*$AB38))</f>
        <v>4805.4790921929534</v>
      </c>
      <c r="AK38" s="2">
        <f t="shared" si="4"/>
        <v>0</v>
      </c>
      <c r="AL38" t="str">
        <f t="shared" si="2"/>
        <v/>
      </c>
      <c r="AM38" t="str">
        <f>VLOOKUP(A38,'Table corresp.'!$M$4:$U$63,8,FALSE)</f>
        <v>Production intermédiaire</v>
      </c>
      <c r="AN38" t="str">
        <f>VLOOKUP(D38,'Table corresp.'!$M$4:$U$63,9,FALSE)</f>
        <v>Production intermédiaire</v>
      </c>
    </row>
    <row r="39" spans="1:40" x14ac:dyDescent="0.25">
      <c r="A39" t="s">
        <v>81</v>
      </c>
      <c r="B39" t="str">
        <f>VLOOKUP(LEFT(A39,3),'Table corresp.'!$A$4:$D$63,3,FALSE)</f>
        <v>Transformation</v>
      </c>
      <c r="C39" t="str">
        <f>VLOOKUP(A39,'Table corresp.'!$M$4:$P$63,4,FALSE)</f>
        <v>Production et transformation de produits bois</v>
      </c>
      <c r="D39" t="s">
        <v>83</v>
      </c>
      <c r="E39" t="str">
        <f>VLOOKUP(LEFT(D39,3),'Table corresp.'!$A$4:$D$63,4,FALSE)</f>
        <v>Transformation</v>
      </c>
      <c r="F39" t="str">
        <f t="shared" si="0"/>
        <v xml:space="preserve">05  - 14 </v>
      </c>
      <c r="G39" s="1">
        <v>18801.759023999995</v>
      </c>
      <c r="H39" s="1">
        <v>0</v>
      </c>
      <c r="I39" s="1">
        <v>18801.759023999995</v>
      </c>
      <c r="J39" s="1">
        <v>0</v>
      </c>
      <c r="K39" s="1">
        <v>0</v>
      </c>
      <c r="L39" s="1">
        <v>0</v>
      </c>
      <c r="M39" s="1">
        <v>0</v>
      </c>
      <c r="N39" s="1">
        <v>0</v>
      </c>
      <c r="O39" s="1">
        <v>0</v>
      </c>
      <c r="P39" s="1">
        <v>0</v>
      </c>
      <c r="Q39" s="1">
        <v>0</v>
      </c>
      <c r="R39" s="1">
        <v>0</v>
      </c>
      <c r="S39" s="67"/>
      <c r="T39">
        <f>VLOOKUP(A39,'Groupe de branches'!$Z$27:$AM$86,14,FALSE)</f>
        <v>0</v>
      </c>
      <c r="U39">
        <f>VLOOKUP(D39,'Groupe de branches'!$Z$27:$AM$86,14,FALSE)</f>
        <v>0</v>
      </c>
      <c r="V39">
        <v>2016</v>
      </c>
      <c r="W39">
        <f>VLOOKUP(D39,'Table corresp.'!$M$4:$S$63,7,FALSE)</f>
        <v>0</v>
      </c>
      <c r="X39" s="167">
        <f>IFERROR(G39/SUMIFS('Comp2016-2017 (3)'!$I$5:$I$289,'Comp2016-2017 (3)'!$A$5:$A$289,A39,'Comp2016-2017 (3)'!$R$5:$R$289,V39),0)</f>
        <v>1.6506035616519719E-2</v>
      </c>
      <c r="Y39" s="178">
        <f>IFERROR(IF(RIGHT(F39,3)="Exp",VLOOKUP(F39,#REF!,2,FALSE),VLOOKUP(F39,#REF!,9,FALSE)),1)</f>
        <v>1</v>
      </c>
      <c r="Z39" s="167">
        <f t="shared" si="5"/>
        <v>5.2631578947368418E-2</v>
      </c>
      <c r="AA39" s="189">
        <f t="shared" si="3"/>
        <v>8.6873871665893259E-4</v>
      </c>
      <c r="AB39" s="2">
        <f>IFERROR(SUMIFS('Comp2016-2017 (3)'!$G$5:$G$289,'Comp2016-2017 (3)'!$A$5:$A$289,A39,'Comp2016-2017 (3)'!$R$5:$R$289,V39)*AA39/SUMIFS($AA$4:$AA$1116,$A$4:$A$1116,A39,$V$4:$V$1116,V39),0)</f>
        <v>13639.18199646314</v>
      </c>
      <c r="AC39" s="2">
        <f>IF($W39=AC$3,$AB39,IF(NOT($W39=0),"",SUMIFS('Val-Vol (2)'!AC$4:AC$1116,'Val-Vol (2)'!$A$4:$A$1116,$D39,'Val-Vol (2)'!$V$4:$V$1116,$V39)/SUMIFS('Comp2016-2017 (3)'!$G$5:$G$289,'Comp2016-2017 (3)'!$A$5:$A$289,$D39,'Comp2016-2017 (3)'!$R$5:$R$289,$V39)*$AB39))</f>
        <v>8547.8016177671161</v>
      </c>
      <c r="AD39" s="2">
        <f>IF($W39=AD$3,$AB39,IF(NOT($W39=0),"",SUMIFS('Val-Vol (2)'!AD$4:AD$1116,'Val-Vol (2)'!$A$4:$A$1116,$D39,'Val-Vol (2)'!$V$4:$V$1116,$V39)/SUMIFS('Comp2016-2017 (3)'!$G$5:$G$289,'Comp2016-2017 (3)'!$A$5:$A$289,$D39,'Comp2016-2017 (3)'!$R$5:$R$289,$V39)*$AB39))</f>
        <v>2303.250174427521</v>
      </c>
      <c r="AE39" s="2">
        <f>IF($W39=AE$3,$AB39,IF(NOT($W39=0),"",SUMIFS('Val-Vol (2)'!AE$4:AE$1116,'Val-Vol (2)'!$A$4:$A$1116,$D39,'Val-Vol (2)'!$V$4:$V$1116,$V39)/SUMIFS('Comp2016-2017 (3)'!$G$5:$G$289,'Comp2016-2017 (3)'!$A$5:$A$289,$D39,'Comp2016-2017 (3)'!$R$5:$R$289,$V39)*$AB39))</f>
        <v>85.975050364245831</v>
      </c>
      <c r="AF39" s="2">
        <f>IF($W39=AF$3,$AB39,IF(NOT($W39=0),"",SUMIFS('Val-Vol (2)'!AF$4:AF$1116,'Val-Vol (2)'!$A$4:$A$1116,$D39,'Val-Vol (2)'!$V$4:$V$1116,$V39)/SUMIFS('Comp2016-2017 (3)'!$G$5:$G$289,'Comp2016-2017 (3)'!$A$5:$A$289,$D39,'Comp2016-2017 (3)'!$R$5:$R$289,$V39)*$AB39))</f>
        <v>0</v>
      </c>
      <c r="AG39" s="2">
        <f>IF($W39=AG$3,$AB39,IF(NOT($W39=0),"",SUMIFS('Val-Vol (2)'!AG$4:AG$1116,'Val-Vol (2)'!$A$4:$A$1116,$D39,'Val-Vol (2)'!$V$4:$V$1116,$V39)/SUMIFS('Comp2016-2017 (3)'!$G$5:$G$289,'Comp2016-2017 (3)'!$A$5:$A$289,$D39,'Comp2016-2017 (3)'!$R$5:$R$289,$V39)*$AB39))</f>
        <v>2501.9904263727881</v>
      </c>
      <c r="AH39" s="2">
        <f>IF($W39=AH$3,$AB39,IF(NOT($W39=0),"",SUMIFS('Val-Vol (2)'!AH$4:AH$1116,'Val-Vol (2)'!$A$4:$A$1116,$D39,'Val-Vol (2)'!$V$4:$V$1116,$V39)/SUMIFS('Comp2016-2017 (3)'!$G$5:$G$289,'Comp2016-2017 (3)'!$A$5:$A$289,$D39,'Comp2016-2017 (3)'!$R$5:$R$289,$V39)*$AB39))</f>
        <v>0</v>
      </c>
      <c r="AI39" s="2">
        <f>IF($W39=AI$3,$AB39,IF(NOT($W39=0),"",SUMIFS('Val-Vol (2)'!AI$4:AI$1116,'Val-Vol (2)'!$A$4:$A$1116,$D39,'Val-Vol (2)'!$V$4:$V$1116,$V39)/SUMIFS('Comp2016-2017 (3)'!$G$5:$G$289,'Comp2016-2017 (3)'!$A$5:$A$289,$D39,'Comp2016-2017 (3)'!$R$5:$R$289,$V39)*$AB39))</f>
        <v>0</v>
      </c>
      <c r="AJ39" s="2">
        <f>IF($W39=AJ$3,$AB39,IF(NOT($W39=0),"",SUMIFS('Val-Vol (2)'!AJ$4:AJ$1116,'Val-Vol (2)'!$A$4:$A$1116,$D39,'Val-Vol (2)'!$V$4:$V$1116,$V39)/SUMIFS('Comp2016-2017 (3)'!$G$5:$G$289,'Comp2016-2017 (3)'!$A$5:$A$289,$D39,'Comp2016-2017 (3)'!$R$5:$R$289,$V39)*$AB39))</f>
        <v>200.1647275314653</v>
      </c>
      <c r="AK39" s="2">
        <f t="shared" si="4"/>
        <v>0</v>
      </c>
      <c r="AL39" t="str">
        <f t="shared" si="2"/>
        <v/>
      </c>
      <c r="AM39" t="str">
        <f>VLOOKUP(A39,'Table corresp.'!$M$4:$U$63,8,FALSE)</f>
        <v>Production intermédiaire</v>
      </c>
      <c r="AN39" t="str">
        <f>VLOOKUP(D39,'Table corresp.'!$M$4:$U$63,9,FALSE)</f>
        <v>Production intermédiaire</v>
      </c>
    </row>
    <row r="40" spans="1:40" x14ac:dyDescent="0.25">
      <c r="A40" t="s">
        <v>81</v>
      </c>
      <c r="B40" t="str">
        <f>VLOOKUP(LEFT(A40,3),'Table corresp.'!$A$4:$D$63,3,FALSE)</f>
        <v>Transformation</v>
      </c>
      <c r="C40" t="str">
        <f>VLOOKUP(A40,'Table corresp.'!$M$4:$P$63,4,FALSE)</f>
        <v>Production et transformation de produits bois</v>
      </c>
      <c r="D40" t="s">
        <v>9</v>
      </c>
      <c r="E40" t="str">
        <f>VLOOKUP(LEFT(D40,3),'Table corresp.'!$A$4:$D$63,4,FALSE)</f>
        <v>Transformation</v>
      </c>
      <c r="F40" t="str">
        <f t="shared" si="0"/>
        <v xml:space="preserve">05  - 15 </v>
      </c>
      <c r="G40" s="1">
        <v>39962.919365030415</v>
      </c>
      <c r="H40" s="1">
        <v>0</v>
      </c>
      <c r="I40" s="1">
        <v>39962.919365030415</v>
      </c>
      <c r="J40" s="1">
        <v>0</v>
      </c>
      <c r="K40" s="1">
        <v>0</v>
      </c>
      <c r="L40" s="1">
        <v>0</v>
      </c>
      <c r="M40" s="1">
        <v>0</v>
      </c>
      <c r="N40" s="1">
        <v>0</v>
      </c>
      <c r="O40" s="1">
        <v>0</v>
      </c>
      <c r="P40" s="1">
        <v>0</v>
      </c>
      <c r="Q40" s="1">
        <v>0</v>
      </c>
      <c r="R40" s="1">
        <v>0</v>
      </c>
      <c r="S40" s="67"/>
      <c r="T40">
        <f>VLOOKUP(A40,'Groupe de branches'!$Z$27:$AM$86,14,FALSE)</f>
        <v>0</v>
      </c>
      <c r="U40">
        <f>VLOOKUP(D40,'Groupe de branches'!$Z$27:$AM$86,14,FALSE)</f>
        <v>0</v>
      </c>
      <c r="V40">
        <v>2016</v>
      </c>
      <c r="W40">
        <f>VLOOKUP(D40,'Table corresp.'!$M$4:$S$63,7,FALSE)</f>
        <v>0</v>
      </c>
      <c r="X40" s="167">
        <f>IFERROR(G40/SUMIFS('Comp2016-2017 (3)'!$I$5:$I$289,'Comp2016-2017 (3)'!$A$5:$A$289,A40,'Comp2016-2017 (3)'!$R$5:$R$289,V40),0)</f>
        <v>3.5083386056448042E-2</v>
      </c>
      <c r="Y40" s="178">
        <f>IFERROR(IF(RIGHT(F40,3)="Exp",VLOOKUP(F40,#REF!,2,FALSE),VLOOKUP(F40,#REF!,9,FALSE)),1)</f>
        <v>1</v>
      </c>
      <c r="Z40" s="167">
        <f t="shared" si="5"/>
        <v>5.2631578947368418E-2</v>
      </c>
      <c r="AA40" s="189">
        <f t="shared" si="3"/>
        <v>1.8464940029709494E-3</v>
      </c>
      <c r="AB40" s="2">
        <f>IFERROR(SUMIFS('Comp2016-2017 (3)'!$G$5:$G$289,'Comp2016-2017 (3)'!$A$5:$A$289,A40,'Comp2016-2017 (3)'!$R$5:$R$289,V40)*AA40/SUMIFS($AA$4:$AA$1116,$A$4:$A$1116,A40,$V$4:$V$1116,V40),0)</f>
        <v>28989.922146851946</v>
      </c>
      <c r="AC40" s="2">
        <f>IF($W40=AC$3,$AB40,IF(NOT($W40=0),"",SUMIFS('Val-Vol (2)'!AC$4:AC$1116,'Val-Vol (2)'!$A$4:$A$1116,$D40,'Val-Vol (2)'!$V$4:$V$1116,$V40)/SUMIFS('Comp2016-2017 (3)'!$G$5:$G$289,'Comp2016-2017 (3)'!$A$5:$A$289,$D40,'Comp2016-2017 (3)'!$R$5:$R$289,$V40)*$AB40))</f>
        <v>976.7889204449491</v>
      </c>
      <c r="AD40" s="2">
        <f>IF($W40=AD$3,$AB40,IF(NOT($W40=0),"",SUMIFS('Val-Vol (2)'!AD$4:AD$1116,'Val-Vol (2)'!$A$4:$A$1116,$D40,'Val-Vol (2)'!$V$4:$V$1116,$V40)/SUMIFS('Comp2016-2017 (3)'!$G$5:$G$289,'Comp2016-2017 (3)'!$A$5:$A$289,$D40,'Comp2016-2017 (3)'!$R$5:$R$289,$V40)*$AB40))</f>
        <v>5564.1748683081569</v>
      </c>
      <c r="AE40" s="2">
        <f>IF($W40=AE$3,$AB40,IF(NOT($W40=0),"",SUMIFS('Val-Vol (2)'!AE$4:AE$1116,'Val-Vol (2)'!$A$4:$A$1116,$D40,'Val-Vol (2)'!$V$4:$V$1116,$V40)/SUMIFS('Comp2016-2017 (3)'!$G$5:$G$289,'Comp2016-2017 (3)'!$A$5:$A$289,$D40,'Comp2016-2017 (3)'!$R$5:$R$289,$V40)*$AB40))</f>
        <v>0.66263649707124173</v>
      </c>
      <c r="AF40" s="2">
        <f>IF($W40=AF$3,$AB40,IF(NOT($W40=0),"",SUMIFS('Val-Vol (2)'!AF$4:AF$1116,'Val-Vol (2)'!$A$4:$A$1116,$D40,'Val-Vol (2)'!$V$4:$V$1116,$V40)/SUMIFS('Comp2016-2017 (3)'!$G$5:$G$289,'Comp2016-2017 (3)'!$A$5:$A$289,$D40,'Comp2016-2017 (3)'!$R$5:$R$289,$V40)*$AB40))</f>
        <v>0</v>
      </c>
      <c r="AG40" s="2">
        <f>IF($W40=AG$3,$AB40,IF(NOT($W40=0),"",SUMIFS('Val-Vol (2)'!AG$4:AG$1116,'Val-Vol (2)'!$A$4:$A$1116,$D40,'Val-Vol (2)'!$V$4:$V$1116,$V40)/SUMIFS('Comp2016-2017 (3)'!$G$5:$G$289,'Comp2016-2017 (3)'!$A$5:$A$289,$D40,'Comp2016-2017 (3)'!$R$5:$R$289,$V40)*$AB40))</f>
        <v>12911.663609770532</v>
      </c>
      <c r="AH40" s="2">
        <f>IF($W40=AH$3,$AB40,IF(NOT($W40=0),"",SUMIFS('Val-Vol (2)'!AH$4:AH$1116,'Val-Vol (2)'!$A$4:$A$1116,$D40,'Val-Vol (2)'!$V$4:$V$1116,$V40)/SUMIFS('Comp2016-2017 (3)'!$G$5:$G$289,'Comp2016-2017 (3)'!$A$5:$A$289,$D40,'Comp2016-2017 (3)'!$R$5:$R$289,$V40)*$AB40))</f>
        <v>0</v>
      </c>
      <c r="AI40" s="2">
        <f>IF($W40=AI$3,$AB40,IF(NOT($W40=0),"",SUMIFS('Val-Vol (2)'!AI$4:AI$1116,'Val-Vol (2)'!$A$4:$A$1116,$D40,'Val-Vol (2)'!$V$4:$V$1116,$V40)/SUMIFS('Comp2016-2017 (3)'!$G$5:$G$289,'Comp2016-2017 (3)'!$A$5:$A$289,$D40,'Comp2016-2017 (3)'!$R$5:$R$289,$V40)*$AB40))</f>
        <v>0</v>
      </c>
      <c r="AJ40" s="2">
        <f>IF($W40=AJ$3,$AB40,IF(NOT($W40=0),"",SUMIFS('Val-Vol (2)'!AJ$4:AJ$1116,'Val-Vol (2)'!$A$4:$A$1116,$D40,'Val-Vol (2)'!$V$4:$V$1116,$V40)/SUMIFS('Comp2016-2017 (3)'!$G$5:$G$289,'Comp2016-2017 (3)'!$A$5:$A$289,$D40,'Comp2016-2017 (3)'!$R$5:$R$289,$V40)*$AB40))</f>
        <v>9536.6321118312353</v>
      </c>
      <c r="AK40" s="2">
        <f t="shared" si="4"/>
        <v>0</v>
      </c>
      <c r="AL40" t="str">
        <f t="shared" si="2"/>
        <v/>
      </c>
      <c r="AM40" t="str">
        <f>VLOOKUP(A40,'Table corresp.'!$M$4:$U$63,8,FALSE)</f>
        <v>Production intermédiaire</v>
      </c>
      <c r="AN40" t="str">
        <f>VLOOKUP(D40,'Table corresp.'!$M$4:$U$63,9,FALSE)</f>
        <v>Production intermédiaire</v>
      </c>
    </row>
    <row r="41" spans="1:40" x14ac:dyDescent="0.25">
      <c r="A41" t="s">
        <v>81</v>
      </c>
      <c r="B41" t="str">
        <f>VLOOKUP(LEFT(A41,3),'Table corresp.'!$A$4:$D$63,3,FALSE)</f>
        <v>Transformation</v>
      </c>
      <c r="C41" t="str">
        <f>VLOOKUP(A41,'Table corresp.'!$M$4:$P$63,4,FALSE)</f>
        <v>Production et transformation de produits bois</v>
      </c>
      <c r="D41" t="s">
        <v>10</v>
      </c>
      <c r="E41" t="str">
        <f>VLOOKUP(LEFT(D41,3),'Table corresp.'!$A$4:$D$63,4,FALSE)</f>
        <v>Transformation</v>
      </c>
      <c r="F41" t="str">
        <f t="shared" si="0"/>
        <v xml:space="preserve">05  - 16 </v>
      </c>
      <c r="G41" s="1">
        <v>4237.4999999999991</v>
      </c>
      <c r="H41" s="1">
        <v>0</v>
      </c>
      <c r="I41" s="1">
        <v>4237.4999999999991</v>
      </c>
      <c r="J41" s="1">
        <v>0</v>
      </c>
      <c r="K41" s="1">
        <v>0</v>
      </c>
      <c r="L41" s="1">
        <v>0</v>
      </c>
      <c r="M41" s="1">
        <v>0</v>
      </c>
      <c r="N41" s="1">
        <v>0</v>
      </c>
      <c r="O41" s="1">
        <v>0</v>
      </c>
      <c r="P41" s="1">
        <v>0</v>
      </c>
      <c r="Q41" s="1">
        <v>0</v>
      </c>
      <c r="R41" s="1">
        <v>0</v>
      </c>
      <c r="S41" s="67"/>
      <c r="T41">
        <f>VLOOKUP(A41,'Groupe de branches'!$Z$27:$AM$86,14,FALSE)</f>
        <v>0</v>
      </c>
      <c r="U41">
        <f>VLOOKUP(D41,'Groupe de branches'!$Z$27:$AM$86,14,FALSE)</f>
        <v>0</v>
      </c>
      <c r="V41">
        <v>2016</v>
      </c>
      <c r="W41" t="str">
        <f>VLOOKUP(D41,'Table corresp.'!$M$4:$S$63,7,FALSE)</f>
        <v>Emballage bois et carton</v>
      </c>
      <c r="X41" s="167">
        <f>IFERROR(G41/SUMIFS('Comp2016-2017 (3)'!$I$5:$I$289,'Comp2016-2017 (3)'!$A$5:$A$289,A41,'Comp2016-2017 (3)'!$R$5:$R$289,V41),0)</f>
        <v>3.7200947972857237E-3</v>
      </c>
      <c r="Y41" s="178">
        <f>IFERROR(IF(RIGHT(F41,3)="Exp",VLOOKUP(F41,#REF!,2,FALSE),VLOOKUP(F41,#REF!,9,FALSE)),1)</f>
        <v>1</v>
      </c>
      <c r="Z41" s="167">
        <f t="shared" si="5"/>
        <v>5.2631578947368418E-2</v>
      </c>
      <c r="AA41" s="189">
        <f t="shared" si="3"/>
        <v>1.9579446301503807E-4</v>
      </c>
      <c r="AB41" s="2">
        <f>IFERROR(SUMIFS('Comp2016-2017 (3)'!$G$5:$G$289,'Comp2016-2017 (3)'!$A$5:$A$289,A41,'Comp2016-2017 (3)'!$R$5:$R$289,V41)*AA41/SUMIFS($AA$4:$AA$1116,$A$4:$A$1116,A41,$V$4:$V$1116,V41),0)</f>
        <v>3073.9694959518029</v>
      </c>
      <c r="AC41" s="2" t="str">
        <f>IF($W41=AC$3,$AB41,IF(NOT($W41=0),"",SUMIFS('Val-Vol (2)'!AC$4:AC$1116,'Val-Vol (2)'!$A$4:$A$1116,$D41,'Val-Vol (2)'!$V$4:$V$1116,$V41)/SUMIFS('Comp2016-2017 (3)'!$G$5:$G$289,'Comp2016-2017 (3)'!$A$5:$A$289,$D41,'Comp2016-2017 (3)'!$R$5:$R$289,$V41)*$AB41))</f>
        <v/>
      </c>
      <c r="AD41" s="2" t="str">
        <f>IF($W41=AD$3,$AB41,IF(NOT($W41=0),"",SUMIFS('Val-Vol (2)'!AD$4:AD$1116,'Val-Vol (2)'!$A$4:$A$1116,$D41,'Val-Vol (2)'!$V$4:$V$1116,$V41)/SUMIFS('Comp2016-2017 (3)'!$G$5:$G$289,'Comp2016-2017 (3)'!$A$5:$A$289,$D41,'Comp2016-2017 (3)'!$R$5:$R$289,$V41)*$AB41))</f>
        <v/>
      </c>
      <c r="AE41" s="2" t="str">
        <f>IF($W41=AE$3,$AB41,IF(NOT($W41=0),"",SUMIFS('Val-Vol (2)'!AE$4:AE$1116,'Val-Vol (2)'!$A$4:$A$1116,$D41,'Val-Vol (2)'!$V$4:$V$1116,$V41)/SUMIFS('Comp2016-2017 (3)'!$G$5:$G$289,'Comp2016-2017 (3)'!$A$5:$A$289,$D41,'Comp2016-2017 (3)'!$R$5:$R$289,$V41)*$AB41))</f>
        <v/>
      </c>
      <c r="AF41" s="2" t="str">
        <f>IF($W41=AF$3,$AB41,IF(NOT($W41=0),"",SUMIFS('Val-Vol (2)'!AF$4:AF$1116,'Val-Vol (2)'!$A$4:$A$1116,$D41,'Val-Vol (2)'!$V$4:$V$1116,$V41)/SUMIFS('Comp2016-2017 (3)'!$G$5:$G$289,'Comp2016-2017 (3)'!$A$5:$A$289,$D41,'Comp2016-2017 (3)'!$R$5:$R$289,$V41)*$AB41))</f>
        <v/>
      </c>
      <c r="AG41" s="2">
        <f>IF($W41=AG$3,$AB41,IF(NOT($W41=0),"",SUMIFS('Val-Vol (2)'!AG$4:AG$1116,'Val-Vol (2)'!$A$4:$A$1116,$D41,'Val-Vol (2)'!$V$4:$V$1116,$V41)/SUMIFS('Comp2016-2017 (3)'!$G$5:$G$289,'Comp2016-2017 (3)'!$A$5:$A$289,$D41,'Comp2016-2017 (3)'!$R$5:$R$289,$V41)*$AB41))</f>
        <v>3073.9694959518029</v>
      </c>
      <c r="AH41" s="2" t="str">
        <f>IF($W41=AH$3,$AB41,IF(NOT($W41=0),"",SUMIFS('Val-Vol (2)'!AH$4:AH$1116,'Val-Vol (2)'!$A$4:$A$1116,$D41,'Val-Vol (2)'!$V$4:$V$1116,$V41)/SUMIFS('Comp2016-2017 (3)'!$G$5:$G$289,'Comp2016-2017 (3)'!$A$5:$A$289,$D41,'Comp2016-2017 (3)'!$R$5:$R$289,$V41)*$AB41))</f>
        <v/>
      </c>
      <c r="AI41" s="2" t="str">
        <f>IF($W41=AI$3,$AB41,IF(NOT($W41=0),"",SUMIFS('Val-Vol (2)'!AI$4:AI$1116,'Val-Vol (2)'!$A$4:$A$1116,$D41,'Val-Vol (2)'!$V$4:$V$1116,$V41)/SUMIFS('Comp2016-2017 (3)'!$G$5:$G$289,'Comp2016-2017 (3)'!$A$5:$A$289,$D41,'Comp2016-2017 (3)'!$R$5:$R$289,$V41)*$AB41))</f>
        <v/>
      </c>
      <c r="AJ41" s="2" t="str">
        <f>IF($W41=AJ$3,$AB41,IF(NOT($W41=0),"",SUMIFS('Val-Vol (2)'!AJ$4:AJ$1116,'Val-Vol (2)'!$A$4:$A$1116,$D41,'Val-Vol (2)'!$V$4:$V$1116,$V41)/SUMIFS('Comp2016-2017 (3)'!$G$5:$G$289,'Comp2016-2017 (3)'!$A$5:$A$289,$D41,'Comp2016-2017 (3)'!$R$5:$R$289,$V41)*$AB41))</f>
        <v/>
      </c>
      <c r="AK41" s="2">
        <f t="shared" si="4"/>
        <v>0</v>
      </c>
      <c r="AL41" t="str">
        <f t="shared" si="2"/>
        <v/>
      </c>
      <c r="AM41" t="str">
        <f>VLOOKUP(A41,'Table corresp.'!$M$4:$U$63,8,FALSE)</f>
        <v>Production intermédiaire</v>
      </c>
      <c r="AN41" t="str">
        <f>VLOOKUP(D41,'Table corresp.'!$M$4:$U$63,9,FALSE)</f>
        <v>Production intermédiaire</v>
      </c>
    </row>
    <row r="42" spans="1:40" x14ac:dyDescent="0.25">
      <c r="A42" t="s">
        <v>81</v>
      </c>
      <c r="B42" t="str">
        <f>VLOOKUP(LEFT(A42,3),'Table corresp.'!$A$4:$D$63,3,FALSE)</f>
        <v>Transformation</v>
      </c>
      <c r="C42" t="str">
        <f>VLOOKUP(A42,'Table corresp.'!$M$4:$P$63,4,FALSE)</f>
        <v>Production et transformation de produits bois</v>
      </c>
      <c r="D42" t="s">
        <v>84</v>
      </c>
      <c r="E42" t="str">
        <f>VLOOKUP(LEFT(D42,3),'Table corresp.'!$A$4:$D$63,4,FALSE)</f>
        <v>Transformation</v>
      </c>
      <c r="F42" t="str">
        <f t="shared" si="0"/>
        <v xml:space="preserve">05  - 17 </v>
      </c>
      <c r="G42" s="1">
        <v>5707.2656879999995</v>
      </c>
      <c r="H42" s="1">
        <v>0</v>
      </c>
      <c r="I42" s="1">
        <v>5707.2656879999995</v>
      </c>
      <c r="J42" s="1">
        <v>0</v>
      </c>
      <c r="K42" s="1">
        <v>0</v>
      </c>
      <c r="L42" s="1">
        <v>0</v>
      </c>
      <c r="M42" s="1">
        <v>0</v>
      </c>
      <c r="N42" s="1">
        <v>0</v>
      </c>
      <c r="O42" s="1">
        <v>0</v>
      </c>
      <c r="P42" s="1">
        <v>0</v>
      </c>
      <c r="Q42" s="1">
        <v>0</v>
      </c>
      <c r="R42" s="1">
        <v>0</v>
      </c>
      <c r="S42" s="67"/>
      <c r="T42">
        <f>VLOOKUP(A42,'Groupe de branches'!$Z$27:$AM$86,14,FALSE)</f>
        <v>0</v>
      </c>
      <c r="U42">
        <f>VLOOKUP(D42,'Groupe de branches'!$Z$27:$AM$86,14,FALSE)</f>
        <v>0</v>
      </c>
      <c r="V42">
        <v>2016</v>
      </c>
      <c r="W42" t="str">
        <f>VLOOKUP(D42,'Table corresp.'!$M$4:$S$63,7,FALSE)</f>
        <v>Construction</v>
      </c>
      <c r="X42" s="167">
        <f>IFERROR(G42/SUMIFS('Comp2016-2017 (3)'!$I$5:$I$289,'Comp2016-2017 (3)'!$A$5:$A$289,A42,'Comp2016-2017 (3)'!$R$5:$R$289,V42),0)</f>
        <v>5.0103998566740126E-3</v>
      </c>
      <c r="Y42" s="178">
        <f>IFERROR(IF(RIGHT(F42,3)="Exp",VLOOKUP(F42,#REF!,2,FALSE),VLOOKUP(F42,#REF!,9,FALSE)),1)</f>
        <v>1</v>
      </c>
      <c r="Z42" s="167">
        <f t="shared" si="5"/>
        <v>5.2631578947368418E-2</v>
      </c>
      <c r="AA42" s="189">
        <f t="shared" si="3"/>
        <v>2.637052556144217E-4</v>
      </c>
      <c r="AB42" s="2">
        <f>IFERROR(SUMIFS('Comp2016-2017 (3)'!$G$5:$G$289,'Comp2016-2017 (3)'!$A$5:$A$289,A42,'Comp2016-2017 (3)'!$R$5:$R$289,V42)*AA42/SUMIFS($AA$4:$AA$1116,$A$4:$A$1116,A42,$V$4:$V$1116,V42),0)</f>
        <v>4140.1677003432169</v>
      </c>
      <c r="AC42" s="2" t="str">
        <f>IF($W42=AC$3,$AB42,IF(NOT($W42=0),"",SUMIFS('Val-Vol (2)'!AC$4:AC$1116,'Val-Vol (2)'!$A$4:$A$1116,$D42,'Val-Vol (2)'!$V$4:$V$1116,$V42)/SUMIFS('Comp2016-2017 (3)'!$G$5:$G$289,'Comp2016-2017 (3)'!$A$5:$A$289,$D42,'Comp2016-2017 (3)'!$R$5:$R$289,$V42)*$AB42))</f>
        <v/>
      </c>
      <c r="AD42" s="2">
        <f>IF($W42=AD$3,$AB42,IF(NOT($W42=0),"",SUMIFS('Val-Vol (2)'!AD$4:AD$1116,'Val-Vol (2)'!$A$4:$A$1116,$D42,'Val-Vol (2)'!$V$4:$V$1116,$V42)/SUMIFS('Comp2016-2017 (3)'!$G$5:$G$289,'Comp2016-2017 (3)'!$A$5:$A$289,$D42,'Comp2016-2017 (3)'!$R$5:$R$289,$V42)*$AB42))</f>
        <v>4140.1677003432169</v>
      </c>
      <c r="AE42" s="2" t="str">
        <f>IF($W42=AE$3,$AB42,IF(NOT($W42=0),"",SUMIFS('Val-Vol (2)'!AE$4:AE$1116,'Val-Vol (2)'!$A$4:$A$1116,$D42,'Val-Vol (2)'!$V$4:$V$1116,$V42)/SUMIFS('Comp2016-2017 (3)'!$G$5:$G$289,'Comp2016-2017 (3)'!$A$5:$A$289,$D42,'Comp2016-2017 (3)'!$R$5:$R$289,$V42)*$AB42))</f>
        <v/>
      </c>
      <c r="AF42" s="2" t="str">
        <f>IF($W42=AF$3,$AB42,IF(NOT($W42=0),"",SUMIFS('Val-Vol (2)'!AF$4:AF$1116,'Val-Vol (2)'!$A$4:$A$1116,$D42,'Val-Vol (2)'!$V$4:$V$1116,$V42)/SUMIFS('Comp2016-2017 (3)'!$G$5:$G$289,'Comp2016-2017 (3)'!$A$5:$A$289,$D42,'Comp2016-2017 (3)'!$R$5:$R$289,$V42)*$AB42))</f>
        <v/>
      </c>
      <c r="AG42" s="2" t="str">
        <f>IF($W42=AG$3,$AB42,IF(NOT($W42=0),"",SUMIFS('Val-Vol (2)'!AG$4:AG$1116,'Val-Vol (2)'!$A$4:$A$1116,$D42,'Val-Vol (2)'!$V$4:$V$1116,$V42)/SUMIFS('Comp2016-2017 (3)'!$G$5:$G$289,'Comp2016-2017 (3)'!$A$5:$A$289,$D42,'Comp2016-2017 (3)'!$R$5:$R$289,$V42)*$AB42))</f>
        <v/>
      </c>
      <c r="AH42" s="2" t="str">
        <f>IF($W42=AH$3,$AB42,IF(NOT($W42=0),"",SUMIFS('Val-Vol (2)'!AH$4:AH$1116,'Val-Vol (2)'!$A$4:$A$1116,$D42,'Val-Vol (2)'!$V$4:$V$1116,$V42)/SUMIFS('Comp2016-2017 (3)'!$G$5:$G$289,'Comp2016-2017 (3)'!$A$5:$A$289,$D42,'Comp2016-2017 (3)'!$R$5:$R$289,$V42)*$AB42))</f>
        <v/>
      </c>
      <c r="AI42" s="2" t="str">
        <f>IF($W42=AI$3,$AB42,IF(NOT($W42=0),"",SUMIFS('Val-Vol (2)'!AI$4:AI$1116,'Val-Vol (2)'!$A$4:$A$1116,$D42,'Val-Vol (2)'!$V$4:$V$1116,$V42)/SUMIFS('Comp2016-2017 (3)'!$G$5:$G$289,'Comp2016-2017 (3)'!$A$5:$A$289,$D42,'Comp2016-2017 (3)'!$R$5:$R$289,$V42)*$AB42))</f>
        <v/>
      </c>
      <c r="AJ42" s="2" t="str">
        <f>IF($W42=AJ$3,$AB42,IF(NOT($W42=0),"",SUMIFS('Val-Vol (2)'!AJ$4:AJ$1116,'Val-Vol (2)'!$A$4:$A$1116,$D42,'Val-Vol (2)'!$V$4:$V$1116,$V42)/SUMIFS('Comp2016-2017 (3)'!$G$5:$G$289,'Comp2016-2017 (3)'!$A$5:$A$289,$D42,'Comp2016-2017 (3)'!$R$5:$R$289,$V42)*$AB42))</f>
        <v/>
      </c>
      <c r="AK42" s="2">
        <f t="shared" si="4"/>
        <v>0</v>
      </c>
      <c r="AL42" t="str">
        <f t="shared" si="2"/>
        <v/>
      </c>
      <c r="AM42" t="str">
        <f>VLOOKUP(A42,'Table corresp.'!$M$4:$U$63,8,FALSE)</f>
        <v>Production intermédiaire</v>
      </c>
      <c r="AN42" t="str">
        <f>VLOOKUP(D42,'Table corresp.'!$M$4:$U$63,9,FALSE)</f>
        <v>Production intermédiaire</v>
      </c>
    </row>
    <row r="43" spans="1:40" x14ac:dyDescent="0.25">
      <c r="A43" t="s">
        <v>81</v>
      </c>
      <c r="B43" t="str">
        <f>VLOOKUP(LEFT(A43,3),'Table corresp.'!$A$4:$D$63,3,FALSE)</f>
        <v>Transformation</v>
      </c>
      <c r="C43" t="str">
        <f>VLOOKUP(A43,'Table corresp.'!$M$4:$P$63,4,FALSE)</f>
        <v>Production et transformation de produits bois</v>
      </c>
      <c r="D43" t="s">
        <v>86</v>
      </c>
      <c r="E43" t="str">
        <f>VLOOKUP(LEFT(D43,3),'Table corresp.'!$A$4:$D$63,4,FALSE)</f>
        <v>Transformation</v>
      </c>
      <c r="F43" t="str">
        <f t="shared" si="0"/>
        <v xml:space="preserve">05  - 30 </v>
      </c>
      <c r="G43" s="1">
        <v>76573.562120000002</v>
      </c>
      <c r="H43" s="1">
        <v>0</v>
      </c>
      <c r="I43" s="1">
        <v>76573.562120000002</v>
      </c>
      <c r="J43" s="1">
        <v>0</v>
      </c>
      <c r="K43" s="1">
        <v>0</v>
      </c>
      <c r="L43" s="1">
        <v>0</v>
      </c>
      <c r="M43" s="1">
        <v>0</v>
      </c>
      <c r="N43" s="1">
        <v>0</v>
      </c>
      <c r="O43" s="1">
        <v>0</v>
      </c>
      <c r="P43" s="1">
        <v>0</v>
      </c>
      <c r="Q43" s="1">
        <v>0</v>
      </c>
      <c r="R43" s="1">
        <v>0</v>
      </c>
      <c r="S43" s="67"/>
      <c r="T43">
        <f>VLOOKUP(A43,'Groupe de branches'!$Z$27:$AM$86,14,FALSE)</f>
        <v>0</v>
      </c>
      <c r="U43">
        <f>VLOOKUP(D43,'Groupe de branches'!$Z$27:$AM$86,14,FALSE)</f>
        <v>1</v>
      </c>
      <c r="V43">
        <v>2016</v>
      </c>
      <c r="W43" t="str">
        <f>VLOOKUP(D43,'Table corresp.'!$M$4:$S$63,7,FALSE)</f>
        <v>Energie</v>
      </c>
      <c r="X43" s="167">
        <f>IFERROR(G43/SUMIFS('Comp2016-2017 (3)'!$I$5:$I$289,'Comp2016-2017 (3)'!$A$5:$A$289,A43,'Comp2016-2017 (3)'!$R$5:$R$289,V43),0)</f>
        <v>6.7223813581651262E-2</v>
      </c>
      <c r="Y43" s="178">
        <f>IFERROR(IF(RIGHT(F43,3)="Exp",VLOOKUP(F43,#REF!,2,FALSE),VLOOKUP(F43,#REF!,9,FALSE)),1)</f>
        <v>1</v>
      </c>
      <c r="Z43" s="167">
        <f t="shared" si="5"/>
        <v>5.2631578947368418E-2</v>
      </c>
      <c r="AA43" s="189">
        <f t="shared" si="3"/>
        <v>3.5380954516658555E-3</v>
      </c>
      <c r="AB43" s="2">
        <f>IFERROR(SUMIFS('Comp2016-2017 (3)'!$G$5:$G$289,'Comp2016-2017 (3)'!$A$5:$A$289,A43,'Comp2016-2017 (3)'!$R$5:$R$289,V43)*AA43/SUMIFS($AA$4:$AA$1116,$A$4:$A$1116,A43,$V$4:$V$1116,V43),0)</f>
        <v>55548.034018466191</v>
      </c>
      <c r="AC43" s="2" t="str">
        <f>IF($W43=AC$3,$AB43,IF(NOT($W43=0),"",SUMIFS('Val-Vol (2)'!AC$4:AC$1116,'Val-Vol (2)'!$A$4:$A$1116,$D43,'Val-Vol (2)'!$V$4:$V$1116,$V43)/SUMIFS('Comp2016-2017 (3)'!$G$5:$G$289,'Comp2016-2017 (3)'!$A$5:$A$289,$D43,'Comp2016-2017 (3)'!$R$5:$R$289,$V43)*$AB43))</f>
        <v/>
      </c>
      <c r="AD43" s="2" t="str">
        <f>IF($W43=AD$3,$AB43,IF(NOT($W43=0),"",SUMIFS('Val-Vol (2)'!AD$4:AD$1116,'Val-Vol (2)'!$A$4:$A$1116,$D43,'Val-Vol (2)'!$V$4:$V$1116,$V43)/SUMIFS('Comp2016-2017 (3)'!$G$5:$G$289,'Comp2016-2017 (3)'!$A$5:$A$289,$D43,'Comp2016-2017 (3)'!$R$5:$R$289,$V43)*$AB43))</f>
        <v/>
      </c>
      <c r="AE43" s="2" t="str">
        <f>IF($W43=AE$3,$AB43,IF(NOT($W43=0),"",SUMIFS('Val-Vol (2)'!AE$4:AE$1116,'Val-Vol (2)'!$A$4:$A$1116,$D43,'Val-Vol (2)'!$V$4:$V$1116,$V43)/SUMIFS('Comp2016-2017 (3)'!$G$5:$G$289,'Comp2016-2017 (3)'!$A$5:$A$289,$D43,'Comp2016-2017 (3)'!$R$5:$R$289,$V43)*$AB43))</f>
        <v/>
      </c>
      <c r="AF43" s="2" t="str">
        <f>IF($W43=AF$3,$AB43,IF(NOT($W43=0),"",SUMIFS('Val-Vol (2)'!AF$4:AF$1116,'Val-Vol (2)'!$A$4:$A$1116,$D43,'Val-Vol (2)'!$V$4:$V$1116,$V43)/SUMIFS('Comp2016-2017 (3)'!$G$5:$G$289,'Comp2016-2017 (3)'!$A$5:$A$289,$D43,'Comp2016-2017 (3)'!$R$5:$R$289,$V43)*$AB43))</f>
        <v/>
      </c>
      <c r="AG43" s="2" t="str">
        <f>IF($W43=AG$3,$AB43,IF(NOT($W43=0),"",SUMIFS('Val-Vol (2)'!AG$4:AG$1116,'Val-Vol (2)'!$A$4:$A$1116,$D43,'Val-Vol (2)'!$V$4:$V$1116,$V43)/SUMIFS('Comp2016-2017 (3)'!$G$5:$G$289,'Comp2016-2017 (3)'!$A$5:$A$289,$D43,'Comp2016-2017 (3)'!$R$5:$R$289,$V43)*$AB43))</f>
        <v/>
      </c>
      <c r="AH43" s="2">
        <f>IF($W43=AH$3,$AB43,IF(NOT($W43=0),"",SUMIFS('Val-Vol (2)'!AH$4:AH$1116,'Val-Vol (2)'!$A$4:$A$1116,$D43,'Val-Vol (2)'!$V$4:$V$1116,$V43)/SUMIFS('Comp2016-2017 (3)'!$G$5:$G$289,'Comp2016-2017 (3)'!$A$5:$A$289,$D43,'Comp2016-2017 (3)'!$R$5:$R$289,$V43)*$AB43))</f>
        <v>55548.034018466191</v>
      </c>
      <c r="AI43" s="2" t="str">
        <f>IF($W43=AI$3,$AB43,IF(NOT($W43=0),"",SUMIFS('Val-Vol (2)'!AI$4:AI$1116,'Val-Vol (2)'!$A$4:$A$1116,$D43,'Val-Vol (2)'!$V$4:$V$1116,$V43)/SUMIFS('Comp2016-2017 (3)'!$G$5:$G$289,'Comp2016-2017 (3)'!$A$5:$A$289,$D43,'Comp2016-2017 (3)'!$R$5:$R$289,$V43)*$AB43))</f>
        <v/>
      </c>
      <c r="AJ43" s="2" t="str">
        <f>IF($W43=AJ$3,$AB43,IF(NOT($W43=0),"",SUMIFS('Val-Vol (2)'!AJ$4:AJ$1116,'Val-Vol (2)'!$A$4:$A$1116,$D43,'Val-Vol (2)'!$V$4:$V$1116,$V43)/SUMIFS('Comp2016-2017 (3)'!$G$5:$G$289,'Comp2016-2017 (3)'!$A$5:$A$289,$D43,'Comp2016-2017 (3)'!$R$5:$R$289,$V43)*$AB43))</f>
        <v/>
      </c>
      <c r="AK43" s="2">
        <f t="shared" si="4"/>
        <v>0</v>
      </c>
      <c r="AL43" t="str">
        <f t="shared" si="2"/>
        <v/>
      </c>
      <c r="AM43" t="str">
        <f>VLOOKUP(A43,'Table corresp.'!$M$4:$U$63,8,FALSE)</f>
        <v>Production intermédiaire</v>
      </c>
      <c r="AN43" t="str">
        <f>VLOOKUP(D43,'Table corresp.'!$M$4:$U$63,9,FALSE)</f>
        <v>Production intermédiaire</v>
      </c>
    </row>
    <row r="44" spans="1:40" x14ac:dyDescent="0.25">
      <c r="A44" t="s">
        <v>81</v>
      </c>
      <c r="B44" t="str">
        <f>VLOOKUP(LEFT(A44,3),'Table corresp.'!$A$4:$D$63,3,FALSE)</f>
        <v>Transformation</v>
      </c>
      <c r="C44" t="str">
        <f>VLOOKUP(A44,'Table corresp.'!$M$4:$P$63,4,FALSE)</f>
        <v>Production et transformation de produits bois</v>
      </c>
      <c r="D44" t="s">
        <v>87</v>
      </c>
      <c r="E44" t="str">
        <f>VLOOKUP(LEFT(D44,3),'Table corresp.'!$A$4:$D$63,4,FALSE)</f>
        <v>Transformation</v>
      </c>
      <c r="F44" t="str">
        <f t="shared" si="0"/>
        <v xml:space="preserve">05  - 31 </v>
      </c>
      <c r="G44" s="1">
        <v>66667.855582857141</v>
      </c>
      <c r="H44" s="1">
        <v>0</v>
      </c>
      <c r="I44" s="1">
        <v>66667.855582857141</v>
      </c>
      <c r="J44" s="1">
        <v>0</v>
      </c>
      <c r="K44" s="1">
        <v>0</v>
      </c>
      <c r="L44" s="1">
        <v>0</v>
      </c>
      <c r="M44" s="1">
        <v>0</v>
      </c>
      <c r="N44" s="1">
        <v>0</v>
      </c>
      <c r="O44" s="1">
        <v>0</v>
      </c>
      <c r="P44" s="1">
        <v>0</v>
      </c>
      <c r="Q44" s="1">
        <v>0</v>
      </c>
      <c r="R44" s="1">
        <v>0</v>
      </c>
      <c r="S44" s="67"/>
      <c r="T44">
        <f>VLOOKUP(A44,'Groupe de branches'!$Z$27:$AM$86,14,FALSE)</f>
        <v>0</v>
      </c>
      <c r="U44">
        <f>VLOOKUP(D44,'Groupe de branches'!$Z$27:$AM$86,14,FALSE)</f>
        <v>0</v>
      </c>
      <c r="V44">
        <v>2016</v>
      </c>
      <c r="W44">
        <f>VLOOKUP(D44,'Table corresp.'!$M$4:$S$63,7,FALSE)</f>
        <v>0</v>
      </c>
      <c r="X44" s="167">
        <f>IFERROR(G44/SUMIFS('Comp2016-2017 (3)'!$I$5:$I$289,'Comp2016-2017 (3)'!$A$5:$A$289,A44,'Comp2016-2017 (3)'!$R$5:$R$289,V44),0)</f>
        <v>5.8527608896751127E-2</v>
      </c>
      <c r="Y44" s="178">
        <f>IFERROR(IF(RIGHT(F44,3)="Exp",VLOOKUP(F44,#REF!,2,FALSE),VLOOKUP(F44,#REF!,9,FALSE)),1)</f>
        <v>1</v>
      </c>
      <c r="Z44" s="167">
        <f t="shared" si="5"/>
        <v>5.2631578947368418E-2</v>
      </c>
      <c r="AA44" s="189">
        <f t="shared" si="3"/>
        <v>3.080400468250059E-3</v>
      </c>
      <c r="AB44" s="2">
        <f>IFERROR(SUMIFS('Comp2016-2017 (3)'!$G$5:$G$289,'Comp2016-2017 (3)'!$A$5:$A$289,A44,'Comp2016-2017 (3)'!$R$5:$R$289,V44)*AA44/SUMIFS($AA$4:$AA$1116,$A$4:$A$1116,A44,$V$4:$V$1116,V44),0)</f>
        <v>48362.231132088025</v>
      </c>
      <c r="AC44" s="2">
        <f>IF($W44=AC$3,$AB44,IF(NOT($W44=0),"",SUMIFS('Val-Vol (2)'!AC$4:AC$1116,'Val-Vol (2)'!$A$4:$A$1116,$D44,'Val-Vol (2)'!$V$4:$V$1116,$V44)/SUMIFS('Comp2016-2017 (3)'!$G$5:$G$289,'Comp2016-2017 (3)'!$A$5:$A$289,$D44,'Comp2016-2017 (3)'!$R$5:$R$289,$V44)*$AB44))</f>
        <v>26534.903889691221</v>
      </c>
      <c r="AD44" s="2">
        <f>IF($W44=AD$3,$AB44,IF(NOT($W44=0),"",SUMIFS('Val-Vol (2)'!AD$4:AD$1116,'Val-Vol (2)'!$A$4:$A$1116,$D44,'Val-Vol (2)'!$V$4:$V$1116,$V44)/SUMIFS('Comp2016-2017 (3)'!$G$5:$G$289,'Comp2016-2017 (3)'!$A$5:$A$289,$D44,'Comp2016-2017 (3)'!$R$5:$R$289,$V44)*$AB44))</f>
        <v>7325.7420327177761</v>
      </c>
      <c r="AE44" s="2">
        <f>IF($W44=AE$3,$AB44,IF(NOT($W44=0),"",SUMIFS('Val-Vol (2)'!AE$4:AE$1116,'Val-Vol (2)'!$A$4:$A$1116,$D44,'Val-Vol (2)'!$V$4:$V$1116,$V44)/SUMIFS('Comp2016-2017 (3)'!$G$5:$G$289,'Comp2016-2017 (3)'!$A$5:$A$289,$D44,'Comp2016-2017 (3)'!$R$5:$R$289,$V44)*$AB44))</f>
        <v>9158.0500880823001</v>
      </c>
      <c r="AF44" s="2">
        <f>IF($W44=AF$3,$AB44,IF(NOT($W44=0),"",SUMIFS('Val-Vol (2)'!AF$4:AF$1116,'Val-Vol (2)'!$A$4:$A$1116,$D44,'Val-Vol (2)'!$V$4:$V$1116,$V44)/SUMIFS('Comp2016-2017 (3)'!$G$5:$G$289,'Comp2016-2017 (3)'!$A$5:$A$289,$D44,'Comp2016-2017 (3)'!$R$5:$R$289,$V44)*$AB44))</f>
        <v>0</v>
      </c>
      <c r="AG44" s="2">
        <f>IF($W44=AG$3,$AB44,IF(NOT($W44=0),"",SUMIFS('Val-Vol (2)'!AG$4:AG$1116,'Val-Vol (2)'!$A$4:$A$1116,$D44,'Val-Vol (2)'!$V$4:$V$1116,$V44)/SUMIFS('Comp2016-2017 (3)'!$G$5:$G$289,'Comp2016-2017 (3)'!$A$5:$A$289,$D44,'Comp2016-2017 (3)'!$R$5:$R$289,$V44)*$AB44))</f>
        <v>3950.3436880830686</v>
      </c>
      <c r="AH44" s="2">
        <f>IF($W44=AH$3,$AB44,IF(NOT($W44=0),"",SUMIFS('Val-Vol (2)'!AH$4:AH$1116,'Val-Vol (2)'!$A$4:$A$1116,$D44,'Val-Vol (2)'!$V$4:$V$1116,$V44)/SUMIFS('Comp2016-2017 (3)'!$G$5:$G$289,'Comp2016-2017 (3)'!$A$5:$A$289,$D44,'Comp2016-2017 (3)'!$R$5:$R$289,$V44)*$AB44))</f>
        <v>0</v>
      </c>
      <c r="AI44" s="2">
        <f>IF($W44=AI$3,$AB44,IF(NOT($W44=0),"",SUMIFS('Val-Vol (2)'!AI$4:AI$1116,'Val-Vol (2)'!$A$4:$A$1116,$D44,'Val-Vol (2)'!$V$4:$V$1116,$V44)/SUMIFS('Comp2016-2017 (3)'!$G$5:$G$289,'Comp2016-2017 (3)'!$A$5:$A$289,$D44,'Comp2016-2017 (3)'!$R$5:$R$289,$V44)*$AB44))</f>
        <v>0</v>
      </c>
      <c r="AJ44" s="2">
        <f>IF($W44=AJ$3,$AB44,IF(NOT($W44=0),"",SUMIFS('Val-Vol (2)'!AJ$4:AJ$1116,'Val-Vol (2)'!$A$4:$A$1116,$D44,'Val-Vol (2)'!$V$4:$V$1116,$V44)/SUMIFS('Comp2016-2017 (3)'!$G$5:$G$289,'Comp2016-2017 (3)'!$A$5:$A$289,$D44,'Comp2016-2017 (3)'!$R$5:$R$289,$V44)*$AB44))</f>
        <v>1393.1914335136635</v>
      </c>
      <c r="AK44" s="2">
        <f t="shared" si="4"/>
        <v>0</v>
      </c>
      <c r="AL44" t="str">
        <f t="shared" si="2"/>
        <v/>
      </c>
      <c r="AM44" t="str">
        <f>VLOOKUP(A44,'Table corresp.'!$M$4:$U$63,8,FALSE)</f>
        <v>Production intermédiaire</v>
      </c>
      <c r="AN44" t="str">
        <f>VLOOKUP(D44,'Table corresp.'!$M$4:$U$63,9,FALSE)</f>
        <v>Production intermédiaire</v>
      </c>
    </row>
    <row r="45" spans="1:40" x14ac:dyDescent="0.25">
      <c r="A45" t="s">
        <v>81</v>
      </c>
      <c r="B45" t="str">
        <f>VLOOKUP(LEFT(A45,3),'Table corresp.'!$A$4:$D$63,3,FALSE)</f>
        <v>Transformation</v>
      </c>
      <c r="C45" t="str">
        <f>VLOOKUP(A45,'Table corresp.'!$M$4:$P$63,4,FALSE)</f>
        <v>Production et transformation de produits bois</v>
      </c>
      <c r="D45" t="s">
        <v>91</v>
      </c>
      <c r="E45" t="str">
        <f>VLOOKUP(LEFT(D45,3),'Table corresp.'!$A$4:$D$63,4,FALSE)</f>
        <v>Transformation</v>
      </c>
      <c r="F45" t="str">
        <f t="shared" si="0"/>
        <v xml:space="preserve">05  - 37 </v>
      </c>
      <c r="G45" s="1">
        <v>18464.098751999994</v>
      </c>
      <c r="H45" s="1">
        <v>0</v>
      </c>
      <c r="I45" s="1">
        <v>18464.098751999994</v>
      </c>
      <c r="J45" s="1">
        <v>0</v>
      </c>
      <c r="K45" s="1">
        <v>0</v>
      </c>
      <c r="L45" s="1">
        <v>0</v>
      </c>
      <c r="M45" s="1">
        <v>0</v>
      </c>
      <c r="N45" s="1">
        <v>0</v>
      </c>
      <c r="O45" s="1">
        <v>0</v>
      </c>
      <c r="P45" s="1">
        <v>0</v>
      </c>
      <c r="Q45" s="1">
        <v>0</v>
      </c>
      <c r="R45" s="1">
        <v>0</v>
      </c>
      <c r="S45" s="67"/>
      <c r="T45">
        <f>VLOOKUP(A45,'Groupe de branches'!$Z$27:$AM$86,14,FALSE)</f>
        <v>0</v>
      </c>
      <c r="U45">
        <f>VLOOKUP(D45,'Groupe de branches'!$Z$27:$AM$86,14,FALSE)</f>
        <v>0</v>
      </c>
      <c r="V45">
        <v>2016</v>
      </c>
      <c r="W45" t="str">
        <f>VLOOKUP(D45,'Table corresp.'!$M$4:$S$63,7,FALSE)</f>
        <v>Emballage bois et carton</v>
      </c>
      <c r="X45" s="167">
        <f>IFERROR(G45/SUMIFS('Comp2016-2017 (3)'!$I$5:$I$289,'Comp2016-2017 (3)'!$A$5:$A$289,A45,'Comp2016-2017 (3)'!$R$5:$R$289,V45),0)</f>
        <v>1.6209604177907969E-2</v>
      </c>
      <c r="Y45" s="178">
        <f>IFERROR(IF(RIGHT(F45,3)="Exp",VLOOKUP(F45,#REF!,2,FALSE),VLOOKUP(F45,#REF!,9,FALSE)),1)</f>
        <v>1</v>
      </c>
      <c r="Z45" s="167">
        <f t="shared" si="5"/>
        <v>5.2631578947368418E-2</v>
      </c>
      <c r="AA45" s="189">
        <f t="shared" si="3"/>
        <v>8.531370619951562E-4</v>
      </c>
      <c r="AB45" s="2">
        <f>IFERROR(SUMIFS('Comp2016-2017 (3)'!$G$5:$G$289,'Comp2016-2017 (3)'!$A$5:$A$289,A45,'Comp2016-2017 (3)'!$R$5:$R$289,V45)*AA45/SUMIFS($AA$4:$AA$1116,$A$4:$A$1116,A45,$V$4:$V$1116,V45),0)</f>
        <v>13394.23630298283</v>
      </c>
      <c r="AC45" s="2" t="str">
        <f>IF($W45=AC$3,$AB45,IF(NOT($W45=0),"",SUMIFS('Val-Vol (2)'!AC$4:AC$1116,'Val-Vol (2)'!$A$4:$A$1116,$D45,'Val-Vol (2)'!$V$4:$V$1116,$V45)/SUMIFS('Comp2016-2017 (3)'!$G$5:$G$289,'Comp2016-2017 (3)'!$A$5:$A$289,$D45,'Comp2016-2017 (3)'!$R$5:$R$289,$V45)*$AB45))</f>
        <v/>
      </c>
      <c r="AD45" s="2" t="str">
        <f>IF($W45=AD$3,$AB45,IF(NOT($W45=0),"",SUMIFS('Val-Vol (2)'!AD$4:AD$1116,'Val-Vol (2)'!$A$4:$A$1116,$D45,'Val-Vol (2)'!$V$4:$V$1116,$V45)/SUMIFS('Comp2016-2017 (3)'!$G$5:$G$289,'Comp2016-2017 (3)'!$A$5:$A$289,$D45,'Comp2016-2017 (3)'!$R$5:$R$289,$V45)*$AB45))</f>
        <v/>
      </c>
      <c r="AE45" s="2" t="str">
        <f>IF($W45=AE$3,$AB45,IF(NOT($W45=0),"",SUMIFS('Val-Vol (2)'!AE$4:AE$1116,'Val-Vol (2)'!$A$4:$A$1116,$D45,'Val-Vol (2)'!$V$4:$V$1116,$V45)/SUMIFS('Comp2016-2017 (3)'!$G$5:$G$289,'Comp2016-2017 (3)'!$A$5:$A$289,$D45,'Comp2016-2017 (3)'!$R$5:$R$289,$V45)*$AB45))</f>
        <v/>
      </c>
      <c r="AF45" s="2" t="str">
        <f>IF($W45=AF$3,$AB45,IF(NOT($W45=0),"",SUMIFS('Val-Vol (2)'!AF$4:AF$1116,'Val-Vol (2)'!$A$4:$A$1116,$D45,'Val-Vol (2)'!$V$4:$V$1116,$V45)/SUMIFS('Comp2016-2017 (3)'!$G$5:$G$289,'Comp2016-2017 (3)'!$A$5:$A$289,$D45,'Comp2016-2017 (3)'!$R$5:$R$289,$V45)*$AB45))</f>
        <v/>
      </c>
      <c r="AG45" s="2">
        <f>IF($W45=AG$3,$AB45,IF(NOT($W45=0),"",SUMIFS('Val-Vol (2)'!AG$4:AG$1116,'Val-Vol (2)'!$A$4:$A$1116,$D45,'Val-Vol (2)'!$V$4:$V$1116,$V45)/SUMIFS('Comp2016-2017 (3)'!$G$5:$G$289,'Comp2016-2017 (3)'!$A$5:$A$289,$D45,'Comp2016-2017 (3)'!$R$5:$R$289,$V45)*$AB45))</f>
        <v>13394.23630298283</v>
      </c>
      <c r="AH45" s="2" t="str">
        <f>IF($W45=AH$3,$AB45,IF(NOT($W45=0),"",SUMIFS('Val-Vol (2)'!AH$4:AH$1116,'Val-Vol (2)'!$A$4:$A$1116,$D45,'Val-Vol (2)'!$V$4:$V$1116,$V45)/SUMIFS('Comp2016-2017 (3)'!$G$5:$G$289,'Comp2016-2017 (3)'!$A$5:$A$289,$D45,'Comp2016-2017 (3)'!$R$5:$R$289,$V45)*$AB45))</f>
        <v/>
      </c>
      <c r="AI45" s="2" t="str">
        <f>IF($W45=AI$3,$AB45,IF(NOT($W45=0),"",SUMIFS('Val-Vol (2)'!AI$4:AI$1116,'Val-Vol (2)'!$A$4:$A$1116,$D45,'Val-Vol (2)'!$V$4:$V$1116,$V45)/SUMIFS('Comp2016-2017 (3)'!$G$5:$G$289,'Comp2016-2017 (3)'!$A$5:$A$289,$D45,'Comp2016-2017 (3)'!$R$5:$R$289,$V45)*$AB45))</f>
        <v/>
      </c>
      <c r="AJ45" s="2" t="str">
        <f>IF($W45=AJ$3,$AB45,IF(NOT($W45=0),"",SUMIFS('Val-Vol (2)'!AJ$4:AJ$1116,'Val-Vol (2)'!$A$4:$A$1116,$D45,'Val-Vol (2)'!$V$4:$V$1116,$V45)/SUMIFS('Comp2016-2017 (3)'!$G$5:$G$289,'Comp2016-2017 (3)'!$A$5:$A$289,$D45,'Comp2016-2017 (3)'!$R$5:$R$289,$V45)*$AB45))</f>
        <v/>
      </c>
      <c r="AK45" s="2">
        <f t="shared" si="4"/>
        <v>0</v>
      </c>
      <c r="AL45" t="str">
        <f t="shared" si="2"/>
        <v/>
      </c>
      <c r="AM45" t="str">
        <f>VLOOKUP(A45,'Table corresp.'!$M$4:$U$63,8,FALSE)</f>
        <v>Production intermédiaire</v>
      </c>
      <c r="AN45" t="str">
        <f>VLOOKUP(D45,'Table corresp.'!$M$4:$U$63,9,FALSE)</f>
        <v>Production finale</v>
      </c>
    </row>
    <row r="46" spans="1:40" x14ac:dyDescent="0.25">
      <c r="A46" t="s">
        <v>81</v>
      </c>
      <c r="B46" t="str">
        <f>VLOOKUP(LEFT(A46,3),'Table corresp.'!$A$4:$D$63,3,FALSE)</f>
        <v>Transformation</v>
      </c>
      <c r="C46" t="str">
        <f>VLOOKUP(A46,'Table corresp.'!$M$4:$P$63,4,FALSE)</f>
        <v>Production et transformation de produits bois</v>
      </c>
      <c r="D46" t="s">
        <v>95</v>
      </c>
      <c r="E46" t="str">
        <f>VLOOKUP(LEFT(D46,3),'Table corresp.'!$A$4:$D$63,4,FALSE)</f>
        <v>Transformation</v>
      </c>
      <c r="F46" t="str">
        <f t="shared" si="0"/>
        <v xml:space="preserve">05  - 43 </v>
      </c>
      <c r="G46" s="1">
        <v>82412.103477936151</v>
      </c>
      <c r="H46" s="1">
        <v>0</v>
      </c>
      <c r="I46" s="1">
        <v>82412.103477936151</v>
      </c>
      <c r="J46" s="1">
        <v>0</v>
      </c>
      <c r="K46" s="1">
        <v>0</v>
      </c>
      <c r="L46" s="1">
        <v>0</v>
      </c>
      <c r="M46" s="1">
        <v>0</v>
      </c>
      <c r="N46" s="1">
        <v>0</v>
      </c>
      <c r="O46" s="1">
        <v>0</v>
      </c>
      <c r="P46" s="1">
        <v>0</v>
      </c>
      <c r="Q46" s="1">
        <v>0</v>
      </c>
      <c r="R46" s="1">
        <v>0</v>
      </c>
      <c r="S46" s="67"/>
      <c r="T46">
        <f>VLOOKUP(A46,'Groupe de branches'!$Z$27:$AM$86,14,FALSE)</f>
        <v>0</v>
      </c>
      <c r="U46">
        <f>VLOOKUP(D46,'Groupe de branches'!$Z$27:$AM$86,14,FALSE)</f>
        <v>0</v>
      </c>
      <c r="V46">
        <v>2016</v>
      </c>
      <c r="W46" t="str">
        <f>VLOOKUP(D46,'Table corresp.'!$M$4:$S$63,7,FALSE)</f>
        <v>Pate &amp; papier &amp; carton</v>
      </c>
      <c r="X46" s="167">
        <f>IFERROR(G46/SUMIFS('Comp2016-2017 (3)'!$I$5:$I$289,'Comp2016-2017 (3)'!$A$5:$A$289,A46,'Comp2016-2017 (3)'!$R$5:$R$289,V46),0)</f>
        <v>7.234946014906031E-2</v>
      </c>
      <c r="Y46" s="178">
        <f>IFERROR(IF(RIGHT(F46,3)="Exp",VLOOKUP(F46,#REF!,2,FALSE),VLOOKUP(F46,#REF!,9,FALSE)),1)</f>
        <v>1</v>
      </c>
      <c r="Z46" s="167">
        <f t="shared" si="5"/>
        <v>5.2631578947368418E-2</v>
      </c>
      <c r="AA46" s="189">
        <f t="shared" si="3"/>
        <v>3.8078663236347531E-3</v>
      </c>
      <c r="AB46" s="2">
        <f>IFERROR(SUMIFS('Comp2016-2017 (3)'!$G$5:$G$289,'Comp2016-2017 (3)'!$A$5:$A$289,A46,'Comp2016-2017 (3)'!$R$5:$R$289,V46)*AA46/SUMIFS($AA$4:$AA$1116,$A$4:$A$1116,A46,$V$4:$V$1116,V46),0)</f>
        <v>59783.431784872999</v>
      </c>
      <c r="AC46" s="2" t="str">
        <f>IF($W46=AC$3,$AB46,IF(NOT($W46=0),"",SUMIFS('Val-Vol (2)'!AC$4:AC$1116,'Val-Vol (2)'!$A$4:$A$1116,$D46,'Val-Vol (2)'!$V$4:$V$1116,$V46)/SUMIFS('Comp2016-2017 (3)'!$G$5:$G$289,'Comp2016-2017 (3)'!$A$5:$A$289,$D46,'Comp2016-2017 (3)'!$R$5:$R$289,$V46)*$AB46))</f>
        <v/>
      </c>
      <c r="AD46" s="2" t="str">
        <f>IF($W46=AD$3,$AB46,IF(NOT($W46=0),"",SUMIFS('Val-Vol (2)'!AD$4:AD$1116,'Val-Vol (2)'!$A$4:$A$1116,$D46,'Val-Vol (2)'!$V$4:$V$1116,$V46)/SUMIFS('Comp2016-2017 (3)'!$G$5:$G$289,'Comp2016-2017 (3)'!$A$5:$A$289,$D46,'Comp2016-2017 (3)'!$R$5:$R$289,$V46)*$AB46))</f>
        <v/>
      </c>
      <c r="AE46" s="2" t="str">
        <f>IF($W46=AE$3,$AB46,IF(NOT($W46=0),"",SUMIFS('Val-Vol (2)'!AE$4:AE$1116,'Val-Vol (2)'!$A$4:$A$1116,$D46,'Val-Vol (2)'!$V$4:$V$1116,$V46)/SUMIFS('Comp2016-2017 (3)'!$G$5:$G$289,'Comp2016-2017 (3)'!$A$5:$A$289,$D46,'Comp2016-2017 (3)'!$R$5:$R$289,$V46)*$AB46))</f>
        <v/>
      </c>
      <c r="AF46" s="2">
        <f>IF($W46=AF$3,$AB46,IF(NOT($W46=0),"",SUMIFS('Val-Vol (2)'!AF$4:AF$1116,'Val-Vol (2)'!$A$4:$A$1116,$D46,'Val-Vol (2)'!$V$4:$V$1116,$V46)/SUMIFS('Comp2016-2017 (3)'!$G$5:$G$289,'Comp2016-2017 (3)'!$A$5:$A$289,$D46,'Comp2016-2017 (3)'!$R$5:$R$289,$V46)*$AB46))</f>
        <v>59783.431784872999</v>
      </c>
      <c r="AG46" s="2" t="str">
        <f>IF($W46=AG$3,$AB46,IF(NOT($W46=0),"",SUMIFS('Val-Vol (2)'!AG$4:AG$1116,'Val-Vol (2)'!$A$4:$A$1116,$D46,'Val-Vol (2)'!$V$4:$V$1116,$V46)/SUMIFS('Comp2016-2017 (3)'!$G$5:$G$289,'Comp2016-2017 (3)'!$A$5:$A$289,$D46,'Comp2016-2017 (3)'!$R$5:$R$289,$V46)*$AB46))</f>
        <v/>
      </c>
      <c r="AH46" s="2" t="str">
        <f>IF($W46=AH$3,$AB46,IF(NOT($W46=0),"",SUMIFS('Val-Vol (2)'!AH$4:AH$1116,'Val-Vol (2)'!$A$4:$A$1116,$D46,'Val-Vol (2)'!$V$4:$V$1116,$V46)/SUMIFS('Comp2016-2017 (3)'!$G$5:$G$289,'Comp2016-2017 (3)'!$A$5:$A$289,$D46,'Comp2016-2017 (3)'!$R$5:$R$289,$V46)*$AB46))</f>
        <v/>
      </c>
      <c r="AI46" s="2" t="str">
        <f>IF($W46=AI$3,$AB46,IF(NOT($W46=0),"",SUMIFS('Val-Vol (2)'!AI$4:AI$1116,'Val-Vol (2)'!$A$4:$A$1116,$D46,'Val-Vol (2)'!$V$4:$V$1116,$V46)/SUMIFS('Comp2016-2017 (3)'!$G$5:$G$289,'Comp2016-2017 (3)'!$A$5:$A$289,$D46,'Comp2016-2017 (3)'!$R$5:$R$289,$V46)*$AB46))</f>
        <v/>
      </c>
      <c r="AJ46" s="2" t="str">
        <f>IF($W46=AJ$3,$AB46,IF(NOT($W46=0),"",SUMIFS('Val-Vol (2)'!AJ$4:AJ$1116,'Val-Vol (2)'!$A$4:$A$1116,$D46,'Val-Vol (2)'!$V$4:$V$1116,$V46)/SUMIFS('Comp2016-2017 (3)'!$G$5:$G$289,'Comp2016-2017 (3)'!$A$5:$A$289,$D46,'Comp2016-2017 (3)'!$R$5:$R$289,$V46)*$AB46))</f>
        <v/>
      </c>
      <c r="AK46" s="2">
        <f t="shared" si="4"/>
        <v>0</v>
      </c>
      <c r="AL46" t="str">
        <f t="shared" si="2"/>
        <v/>
      </c>
      <c r="AM46" t="str">
        <f>VLOOKUP(A46,'Table corresp.'!$M$4:$U$63,8,FALSE)</f>
        <v>Production intermédiaire</v>
      </c>
      <c r="AN46" t="str">
        <f>VLOOKUP(D46,'Table corresp.'!$M$4:$U$63,9,FALSE)</f>
        <v>Production intermédiaire</v>
      </c>
    </row>
    <row r="47" spans="1:40" x14ac:dyDescent="0.25">
      <c r="A47" t="s">
        <v>81</v>
      </c>
      <c r="B47" t="str">
        <f>VLOOKUP(LEFT(A47,3),'Table corresp.'!$A$4:$D$63,3,FALSE)</f>
        <v>Transformation</v>
      </c>
      <c r="C47" t="str">
        <f>VLOOKUP(A47,'Table corresp.'!$M$4:$P$63,4,FALSE)</f>
        <v>Production et transformation de produits bois</v>
      </c>
      <c r="D47" t="s">
        <v>98</v>
      </c>
      <c r="E47" t="str">
        <f>VLOOKUP(LEFT(D47,3),'Table corresp.'!$A$4:$D$63,4,FALSE)</f>
        <v>Transformation</v>
      </c>
      <c r="F47" t="str">
        <f t="shared" si="0"/>
        <v xml:space="preserve">05  - 46 </v>
      </c>
      <c r="G47" s="1">
        <v>14112.020681914606</v>
      </c>
      <c r="H47" s="1">
        <v>0</v>
      </c>
      <c r="I47" s="1">
        <v>14112.020681914606</v>
      </c>
      <c r="J47" s="1">
        <v>0</v>
      </c>
      <c r="K47" s="1">
        <v>0</v>
      </c>
      <c r="L47" s="1">
        <v>0</v>
      </c>
      <c r="M47" s="1">
        <v>0</v>
      </c>
      <c r="N47" s="1">
        <v>0</v>
      </c>
      <c r="O47" s="1">
        <v>0</v>
      </c>
      <c r="P47" s="1">
        <v>0</v>
      </c>
      <c r="Q47" s="1">
        <v>0</v>
      </c>
      <c r="R47" s="1">
        <v>0</v>
      </c>
      <c r="S47" s="67"/>
      <c r="T47">
        <f>VLOOKUP(A47,'Groupe de branches'!$Z$27:$AM$86,14,FALSE)</f>
        <v>0</v>
      </c>
      <c r="U47">
        <f>VLOOKUP(D47,'Groupe de branches'!$Z$27:$AM$86,14,FALSE)</f>
        <v>0</v>
      </c>
      <c r="V47">
        <v>2016</v>
      </c>
      <c r="W47" t="str">
        <f>VLOOKUP(D47,'Table corresp.'!$M$4:$S$63,7,FALSE)</f>
        <v>Produits de consommation courante</v>
      </c>
      <c r="X47" s="167">
        <f>IFERROR(G47/SUMIFS('Comp2016-2017 (3)'!$I$5:$I$289,'Comp2016-2017 (3)'!$A$5:$A$289,A47,'Comp2016-2017 (3)'!$R$5:$R$289,V47),0)</f>
        <v>1.2388921467369692E-2</v>
      </c>
      <c r="Y47" s="178">
        <f>IFERROR(IF(RIGHT(F47,3)="Exp",VLOOKUP(F47,#REF!,2,FALSE),VLOOKUP(F47,#REF!,9,FALSE)),1)</f>
        <v>1</v>
      </c>
      <c r="Z47" s="167">
        <f t="shared" si="5"/>
        <v>5.2631578947368418E-2</v>
      </c>
      <c r="AA47" s="189">
        <f t="shared" si="3"/>
        <v>6.5204849828261538E-4</v>
      </c>
      <c r="AB47" s="2">
        <f>IFERROR(SUMIFS('Comp2016-2017 (3)'!$G$5:$G$289,'Comp2016-2017 (3)'!$A$5:$A$289,A47,'Comp2016-2017 (3)'!$R$5:$R$289,V47)*AA47/SUMIFS($AA$4:$AA$1116,$A$4:$A$1116,A47,$V$4:$V$1116,V47),0)</f>
        <v>10237.149522701233</v>
      </c>
      <c r="AC47" s="2" t="str">
        <f>IF($W47=AC$3,$AB47,IF(NOT($W47=0),"",SUMIFS('Val-Vol (2)'!AC$4:AC$1116,'Val-Vol (2)'!$A$4:$A$1116,$D47,'Val-Vol (2)'!$V$4:$V$1116,$V47)/SUMIFS('Comp2016-2017 (3)'!$G$5:$G$289,'Comp2016-2017 (3)'!$A$5:$A$289,$D47,'Comp2016-2017 (3)'!$R$5:$R$289,$V47)*$AB47))</f>
        <v/>
      </c>
      <c r="AD47" s="2" t="str">
        <f>IF($W47=AD$3,$AB47,IF(NOT($W47=0),"",SUMIFS('Val-Vol (2)'!AD$4:AD$1116,'Val-Vol (2)'!$A$4:$A$1116,$D47,'Val-Vol (2)'!$V$4:$V$1116,$V47)/SUMIFS('Comp2016-2017 (3)'!$G$5:$G$289,'Comp2016-2017 (3)'!$A$5:$A$289,$D47,'Comp2016-2017 (3)'!$R$5:$R$289,$V47)*$AB47))</f>
        <v/>
      </c>
      <c r="AE47" s="2" t="str">
        <f>IF($W47=AE$3,$AB47,IF(NOT($W47=0),"",SUMIFS('Val-Vol (2)'!AE$4:AE$1116,'Val-Vol (2)'!$A$4:$A$1116,$D47,'Val-Vol (2)'!$V$4:$V$1116,$V47)/SUMIFS('Comp2016-2017 (3)'!$G$5:$G$289,'Comp2016-2017 (3)'!$A$5:$A$289,$D47,'Comp2016-2017 (3)'!$R$5:$R$289,$V47)*$AB47))</f>
        <v/>
      </c>
      <c r="AF47" s="2" t="str">
        <f>IF($W47=AF$3,$AB47,IF(NOT($W47=0),"",SUMIFS('Val-Vol (2)'!AF$4:AF$1116,'Val-Vol (2)'!$A$4:$A$1116,$D47,'Val-Vol (2)'!$V$4:$V$1116,$V47)/SUMIFS('Comp2016-2017 (3)'!$G$5:$G$289,'Comp2016-2017 (3)'!$A$5:$A$289,$D47,'Comp2016-2017 (3)'!$R$5:$R$289,$V47)*$AB47))</f>
        <v/>
      </c>
      <c r="AG47" s="2" t="str">
        <f>IF($W47=AG$3,$AB47,IF(NOT($W47=0),"",SUMIFS('Val-Vol (2)'!AG$4:AG$1116,'Val-Vol (2)'!$A$4:$A$1116,$D47,'Val-Vol (2)'!$V$4:$V$1116,$V47)/SUMIFS('Comp2016-2017 (3)'!$G$5:$G$289,'Comp2016-2017 (3)'!$A$5:$A$289,$D47,'Comp2016-2017 (3)'!$R$5:$R$289,$V47)*$AB47))</f>
        <v/>
      </c>
      <c r="AH47" s="2" t="str">
        <f>IF($W47=AH$3,$AB47,IF(NOT($W47=0),"",SUMIFS('Val-Vol (2)'!AH$4:AH$1116,'Val-Vol (2)'!$A$4:$A$1116,$D47,'Val-Vol (2)'!$V$4:$V$1116,$V47)/SUMIFS('Comp2016-2017 (3)'!$G$5:$G$289,'Comp2016-2017 (3)'!$A$5:$A$289,$D47,'Comp2016-2017 (3)'!$R$5:$R$289,$V47)*$AB47))</f>
        <v/>
      </c>
      <c r="AI47" s="2">
        <f>IF($W47=AI$3,$AB47,IF(NOT($W47=0),"",SUMIFS('Val-Vol (2)'!AI$4:AI$1116,'Val-Vol (2)'!$A$4:$A$1116,$D47,'Val-Vol (2)'!$V$4:$V$1116,$V47)/SUMIFS('Comp2016-2017 (3)'!$G$5:$G$289,'Comp2016-2017 (3)'!$A$5:$A$289,$D47,'Comp2016-2017 (3)'!$R$5:$R$289,$V47)*$AB47))</f>
        <v>10237.149522701233</v>
      </c>
      <c r="AJ47" s="2" t="str">
        <f>IF($W47=AJ$3,$AB47,IF(NOT($W47=0),"",SUMIFS('Val-Vol (2)'!AJ$4:AJ$1116,'Val-Vol (2)'!$A$4:$A$1116,$D47,'Val-Vol (2)'!$V$4:$V$1116,$V47)/SUMIFS('Comp2016-2017 (3)'!$G$5:$G$289,'Comp2016-2017 (3)'!$A$5:$A$289,$D47,'Comp2016-2017 (3)'!$R$5:$R$289,$V47)*$AB47))</f>
        <v/>
      </c>
      <c r="AK47" s="2">
        <f t="shared" si="4"/>
        <v>0</v>
      </c>
      <c r="AL47" t="str">
        <f t="shared" si="2"/>
        <v/>
      </c>
      <c r="AM47" t="str">
        <f>VLOOKUP(A47,'Table corresp.'!$M$4:$U$63,8,FALSE)</f>
        <v>Production intermédiaire</v>
      </c>
      <c r="AN47" t="str">
        <f>VLOOKUP(D47,'Table corresp.'!$M$4:$U$63,9,FALSE)</f>
        <v>Production intermédiaire</v>
      </c>
    </row>
    <row r="48" spans="1:40" x14ac:dyDescent="0.25">
      <c r="A48" t="s">
        <v>81</v>
      </c>
      <c r="B48" t="str">
        <f>VLOOKUP(LEFT(A48,3),'Table corresp.'!$A$4:$D$63,3,FALSE)</f>
        <v>Transformation</v>
      </c>
      <c r="C48" t="str">
        <f>VLOOKUP(A48,'Table corresp.'!$M$4:$P$63,4,FALSE)</f>
        <v>Production et transformation de produits bois</v>
      </c>
      <c r="D48" t="s">
        <v>54</v>
      </c>
      <c r="E48" t="str">
        <f>VLOOKUP(LEFT(D48,3),'Table corresp.'!$A$4:$D$63,4,FALSE)</f>
        <v>Consommation finale</v>
      </c>
      <c r="F48" t="str">
        <f t="shared" si="0"/>
        <v>05  - Con</v>
      </c>
      <c r="G48" s="1">
        <v>26</v>
      </c>
      <c r="H48" s="1">
        <v>0</v>
      </c>
      <c r="I48" s="1">
        <v>26</v>
      </c>
      <c r="J48" s="1">
        <v>0</v>
      </c>
      <c r="K48" s="1">
        <v>0</v>
      </c>
      <c r="L48" s="1">
        <v>0</v>
      </c>
      <c r="M48" s="1">
        <v>0</v>
      </c>
      <c r="N48" s="1">
        <v>0</v>
      </c>
      <c r="O48" s="1">
        <v>0</v>
      </c>
      <c r="P48" s="1">
        <v>0</v>
      </c>
      <c r="Q48" s="1">
        <v>0</v>
      </c>
      <c r="R48" s="1">
        <v>0</v>
      </c>
      <c r="S48" s="67"/>
      <c r="T48">
        <f>VLOOKUP(A48,'Groupe de branches'!$Z$27:$AM$86,14,FALSE)</f>
        <v>0</v>
      </c>
      <c r="U48">
        <f>VLOOKUP(D48,'Groupe de branches'!$Z$27:$AM$86,14,FALSE)</f>
        <v>0</v>
      </c>
      <c r="V48">
        <v>2016</v>
      </c>
      <c r="W48" t="str">
        <f>VLOOKUP(D48,'Table corresp.'!$M$4:$S$63,7,FALSE)</f>
        <v>Consommation finale</v>
      </c>
      <c r="X48" s="167">
        <f>IFERROR(G48/SUMIFS('Comp2016-2017 (3)'!$I$5:$I$289,'Comp2016-2017 (3)'!$A$5:$A$289,A48,'Comp2016-2017 (3)'!$R$5:$R$289,V48),0)</f>
        <v>2.2825360408124801E-5</v>
      </c>
      <c r="Y48" s="178">
        <f>IFERROR(IF(RIGHT(F48,3)="Exp",VLOOKUP(F48,#REF!,2,FALSE),VLOOKUP(F48,#REF!,9,FALSE)),1)</f>
        <v>1</v>
      </c>
      <c r="Z48" s="167">
        <f t="shared" si="5"/>
        <v>5.2631578947368418E-2</v>
      </c>
      <c r="AA48" s="189">
        <f t="shared" si="3"/>
        <v>1.201334758322358E-6</v>
      </c>
      <c r="AB48" s="2">
        <f>IFERROR(SUMIFS('Comp2016-2017 (3)'!$G$5:$G$289,'Comp2016-2017 (3)'!$A$5:$A$289,A48,'Comp2016-2017 (3)'!$R$5:$R$289,V48)*AA48/SUMIFS($AA$4:$AA$1116,$A$4:$A$1116,A48,$V$4:$V$1116,V48),0)</f>
        <v>18.860933780471246</v>
      </c>
      <c r="AC48" s="2" t="str">
        <f>IF($W48=AC$3,$AB48,IF(NOT($W48=0),"",SUMIFS('Val-Vol (2)'!AC$4:AC$1116,'Val-Vol (2)'!$A$4:$A$1116,$D48,'Val-Vol (2)'!$V$4:$V$1116,$V48)/SUMIFS('Comp2016-2017 (3)'!$G$5:$G$289,'Comp2016-2017 (3)'!$A$5:$A$289,$D48,'Comp2016-2017 (3)'!$R$5:$R$289,$V48)*$AB48))</f>
        <v/>
      </c>
      <c r="AD48" s="2" t="str">
        <f>IF($W48=AD$3,$AB48,IF(NOT($W48=0),"",SUMIFS('Val-Vol (2)'!AD$4:AD$1116,'Val-Vol (2)'!$A$4:$A$1116,$D48,'Val-Vol (2)'!$V$4:$V$1116,$V48)/SUMIFS('Comp2016-2017 (3)'!$G$5:$G$289,'Comp2016-2017 (3)'!$A$5:$A$289,$D48,'Comp2016-2017 (3)'!$R$5:$R$289,$V48)*$AB48))</f>
        <v/>
      </c>
      <c r="AE48" s="2" t="str">
        <f>IF($W48=AE$3,$AB48,IF(NOT($W48=0),"",SUMIFS('Val-Vol (2)'!AE$4:AE$1116,'Val-Vol (2)'!$A$4:$A$1116,$D48,'Val-Vol (2)'!$V$4:$V$1116,$V48)/SUMIFS('Comp2016-2017 (3)'!$G$5:$G$289,'Comp2016-2017 (3)'!$A$5:$A$289,$D48,'Comp2016-2017 (3)'!$R$5:$R$289,$V48)*$AB48))</f>
        <v/>
      </c>
      <c r="AF48" s="2" t="str">
        <f>IF($W48=AF$3,$AB48,IF(NOT($W48=0),"",SUMIFS('Val-Vol (2)'!AF$4:AF$1116,'Val-Vol (2)'!$A$4:$A$1116,$D48,'Val-Vol (2)'!$V$4:$V$1116,$V48)/SUMIFS('Comp2016-2017 (3)'!$G$5:$G$289,'Comp2016-2017 (3)'!$A$5:$A$289,$D48,'Comp2016-2017 (3)'!$R$5:$R$289,$V48)*$AB48))</f>
        <v/>
      </c>
      <c r="AG48" s="2" t="str">
        <f>IF($W48=AG$3,$AB48,IF(NOT($W48=0),"",SUMIFS('Val-Vol (2)'!AG$4:AG$1116,'Val-Vol (2)'!$A$4:$A$1116,$D48,'Val-Vol (2)'!$V$4:$V$1116,$V48)/SUMIFS('Comp2016-2017 (3)'!$G$5:$G$289,'Comp2016-2017 (3)'!$A$5:$A$289,$D48,'Comp2016-2017 (3)'!$R$5:$R$289,$V48)*$AB48))</f>
        <v/>
      </c>
      <c r="AH48" s="2" t="str">
        <f>IF($W48=AH$3,$AB48,IF(NOT($W48=0),"",SUMIFS('Val-Vol (2)'!AH$4:AH$1116,'Val-Vol (2)'!$A$4:$A$1116,$D48,'Val-Vol (2)'!$V$4:$V$1116,$V48)/SUMIFS('Comp2016-2017 (3)'!$G$5:$G$289,'Comp2016-2017 (3)'!$A$5:$A$289,$D48,'Comp2016-2017 (3)'!$R$5:$R$289,$V48)*$AB48))</f>
        <v/>
      </c>
      <c r="AI48" s="2" t="str">
        <f>IF($W48=AI$3,$AB48,IF(NOT($W48=0),"",SUMIFS('Val-Vol (2)'!AI$4:AI$1116,'Val-Vol (2)'!$A$4:$A$1116,$D48,'Val-Vol (2)'!$V$4:$V$1116,$V48)/SUMIFS('Comp2016-2017 (3)'!$G$5:$G$289,'Comp2016-2017 (3)'!$A$5:$A$289,$D48,'Comp2016-2017 (3)'!$R$5:$R$289,$V48)*$AB48))</f>
        <v/>
      </c>
      <c r="AJ48" s="2">
        <f>IF($W48=AJ$3,$AB48,IF(NOT($W48=0),"",SUMIFS('Val-Vol (2)'!AJ$4:AJ$1116,'Val-Vol (2)'!$A$4:$A$1116,$D48,'Val-Vol (2)'!$V$4:$V$1116,$V48)/SUMIFS('Comp2016-2017 (3)'!$G$5:$G$289,'Comp2016-2017 (3)'!$A$5:$A$289,$D48,'Comp2016-2017 (3)'!$R$5:$R$289,$V48)*$AB48))</f>
        <v>18.860933780471246</v>
      </c>
      <c r="AK48" s="2">
        <f t="shared" si="4"/>
        <v>0</v>
      </c>
      <c r="AL48" t="str">
        <f t="shared" si="2"/>
        <v/>
      </c>
      <c r="AM48" t="str">
        <f>VLOOKUP(A48,'Table corresp.'!$M$4:$U$63,8,FALSE)</f>
        <v>Production intermédiaire</v>
      </c>
      <c r="AN48" t="str">
        <f>VLOOKUP(D48,'Table corresp.'!$M$4:$U$63,9,FALSE)</f>
        <v>Consommation finale française</v>
      </c>
    </row>
    <row r="49" spans="1:40" x14ac:dyDescent="0.25">
      <c r="A49" t="s">
        <v>81</v>
      </c>
      <c r="B49" t="str">
        <f>VLOOKUP(LEFT(A49,3),'Table corresp.'!$A$4:$D$63,3,FALSE)</f>
        <v>Transformation</v>
      </c>
      <c r="C49" t="str">
        <f>VLOOKUP(A49,'Table corresp.'!$M$4:$P$63,4,FALSE)</f>
        <v>Production et transformation de produits bois</v>
      </c>
      <c r="D49" t="s">
        <v>53</v>
      </c>
      <c r="E49" t="str">
        <f>VLOOKUP(LEFT(D49,3),'Table corresp.'!$A$4:$D$63,4,FALSE)</f>
        <v>Exportation</v>
      </c>
      <c r="F49" t="str">
        <f t="shared" si="0"/>
        <v>05  - Exp</v>
      </c>
      <c r="G49" s="1">
        <v>67747.085976020404</v>
      </c>
      <c r="H49" s="1">
        <v>0</v>
      </c>
      <c r="I49" s="1">
        <v>67747.085976020404</v>
      </c>
      <c r="J49" s="1">
        <v>0</v>
      </c>
      <c r="K49" s="1">
        <v>0</v>
      </c>
      <c r="L49" s="1">
        <v>0</v>
      </c>
      <c r="M49" s="1">
        <v>0</v>
      </c>
      <c r="N49" s="1">
        <v>0</v>
      </c>
      <c r="O49" s="1">
        <v>0</v>
      </c>
      <c r="P49" s="1">
        <v>0</v>
      </c>
      <c r="Q49" s="1">
        <v>0</v>
      </c>
      <c r="R49" s="1">
        <v>0</v>
      </c>
      <c r="S49" s="67"/>
      <c r="T49">
        <f>VLOOKUP(A49,'Groupe de branches'!$Z$27:$AM$86,14,FALSE)</f>
        <v>0</v>
      </c>
      <c r="U49">
        <f>VLOOKUP(D49,'Groupe de branches'!$Z$27:$AM$86,14,FALSE)</f>
        <v>0</v>
      </c>
      <c r="V49">
        <v>2016</v>
      </c>
      <c r="W49" t="str">
        <f>VLOOKUP(D49,'Table corresp.'!$M$4:$S$63,7,FALSE)</f>
        <v>Exportation</v>
      </c>
      <c r="X49" s="167">
        <f>IFERROR(G49/SUMIFS('Comp2016-2017 (3)'!$I$5:$I$289,'Comp2016-2017 (3)'!$A$5:$A$289,A49,'Comp2016-2017 (3)'!$R$5:$R$289,V49),0)</f>
        <v>5.9475063615495503E-2</v>
      </c>
      <c r="Y49" s="178">
        <f>IFERROR(IF(RIGHT(F49,3)="Exp",VLOOKUP(F49,#REF!,2,FALSE),VLOOKUP(F49,#REF!,9,FALSE)),1)</f>
        <v>1</v>
      </c>
      <c r="Z49" s="167">
        <f t="shared" si="5"/>
        <v>5.2631578947368418E-2</v>
      </c>
      <c r="AA49" s="189">
        <f t="shared" si="3"/>
        <v>3.1302665060787107E-3</v>
      </c>
      <c r="AB49" s="2">
        <f>IFERROR(SUMIFS('Comp2016-2017 (3)'!$G$5:$G$289,'Comp2016-2017 (3)'!$A$5:$A$289,A49,'Comp2016-2017 (3)'!$R$5:$R$289,V49)*AA49/SUMIFS($AA$4:$AA$1116,$A$4:$A$1116,A49,$V$4:$V$1116,V49),0)</f>
        <v>49145.127015908191</v>
      </c>
      <c r="AC49" s="2">
        <f>IF($W49=AC$3,$AB49,IF(NOT($W49=0),"",SUMIFS('Val-Vol (2)'!AC$4:AC$1116,'Val-Vol (2)'!$A$4:$A$1116,$D49,'Val-Vol (2)'!$V$4:$V$1116,$V49)/SUMIFS('Comp2016-2017 (3)'!$G$5:$G$289,'Comp2016-2017 (3)'!$A$5:$A$289,$D49,'Comp2016-2017 (3)'!$R$5:$R$289,$V49)*$AB49))</f>
        <v>49145.127015908191</v>
      </c>
      <c r="AD49" s="2" t="str">
        <f>IF($W49=AD$3,$AB49,IF(NOT($W49=0),"",SUMIFS('Val-Vol (2)'!AD$4:AD$1116,'Val-Vol (2)'!$A$4:$A$1116,$D49,'Val-Vol (2)'!$V$4:$V$1116,$V49)/SUMIFS('Comp2016-2017 (3)'!$G$5:$G$289,'Comp2016-2017 (3)'!$A$5:$A$289,$D49,'Comp2016-2017 (3)'!$R$5:$R$289,$V49)*$AB49))</f>
        <v/>
      </c>
      <c r="AE49" s="2" t="str">
        <f>IF($W49=AE$3,$AB49,IF(NOT($W49=0),"",SUMIFS('Val-Vol (2)'!AE$4:AE$1116,'Val-Vol (2)'!$A$4:$A$1116,$D49,'Val-Vol (2)'!$V$4:$V$1116,$V49)/SUMIFS('Comp2016-2017 (3)'!$G$5:$G$289,'Comp2016-2017 (3)'!$A$5:$A$289,$D49,'Comp2016-2017 (3)'!$R$5:$R$289,$V49)*$AB49))</f>
        <v/>
      </c>
      <c r="AF49" s="2" t="str">
        <f>IF($W49=AF$3,$AB49,IF(NOT($W49=0),"",SUMIFS('Val-Vol (2)'!AF$4:AF$1116,'Val-Vol (2)'!$A$4:$A$1116,$D49,'Val-Vol (2)'!$V$4:$V$1116,$V49)/SUMIFS('Comp2016-2017 (3)'!$G$5:$G$289,'Comp2016-2017 (3)'!$A$5:$A$289,$D49,'Comp2016-2017 (3)'!$R$5:$R$289,$V49)*$AB49))</f>
        <v/>
      </c>
      <c r="AG49" s="2" t="str">
        <f>IF($W49=AG$3,$AB49,IF(NOT($W49=0),"",SUMIFS('Val-Vol (2)'!AG$4:AG$1116,'Val-Vol (2)'!$A$4:$A$1116,$D49,'Val-Vol (2)'!$V$4:$V$1116,$V49)/SUMIFS('Comp2016-2017 (3)'!$G$5:$G$289,'Comp2016-2017 (3)'!$A$5:$A$289,$D49,'Comp2016-2017 (3)'!$R$5:$R$289,$V49)*$AB49))</f>
        <v/>
      </c>
      <c r="AH49" s="2" t="str">
        <f>IF($W49=AH$3,$AB49,IF(NOT($W49=0),"",SUMIFS('Val-Vol (2)'!AH$4:AH$1116,'Val-Vol (2)'!$A$4:$A$1116,$D49,'Val-Vol (2)'!$V$4:$V$1116,$V49)/SUMIFS('Comp2016-2017 (3)'!$G$5:$G$289,'Comp2016-2017 (3)'!$A$5:$A$289,$D49,'Comp2016-2017 (3)'!$R$5:$R$289,$V49)*$AB49))</f>
        <v/>
      </c>
      <c r="AI49" s="2" t="str">
        <f>IF($W49=AI$3,$AB49,IF(NOT($W49=0),"",SUMIFS('Val-Vol (2)'!AI$4:AI$1116,'Val-Vol (2)'!$A$4:$A$1116,$D49,'Val-Vol (2)'!$V$4:$V$1116,$V49)/SUMIFS('Comp2016-2017 (3)'!$G$5:$G$289,'Comp2016-2017 (3)'!$A$5:$A$289,$D49,'Comp2016-2017 (3)'!$R$5:$R$289,$V49)*$AB49))</f>
        <v/>
      </c>
      <c r="AJ49" s="2" t="str">
        <f>IF($W49=AJ$3,$AB49,IF(NOT($W49=0),"",SUMIFS('Val-Vol (2)'!AJ$4:AJ$1116,'Val-Vol (2)'!$A$4:$A$1116,$D49,'Val-Vol (2)'!$V$4:$V$1116,$V49)/SUMIFS('Comp2016-2017 (3)'!$G$5:$G$289,'Comp2016-2017 (3)'!$A$5:$A$289,$D49,'Comp2016-2017 (3)'!$R$5:$R$289,$V49)*$AB49))</f>
        <v/>
      </c>
      <c r="AK49" s="2">
        <f t="shared" si="4"/>
        <v>0</v>
      </c>
      <c r="AL49" t="str">
        <f t="shared" si="2"/>
        <v/>
      </c>
      <c r="AM49" t="str">
        <f>VLOOKUP(A49,'Table corresp.'!$M$4:$U$63,8,FALSE)</f>
        <v>Production intermédiaire</v>
      </c>
      <c r="AN49" t="str">
        <f>VLOOKUP(D49,'Table corresp.'!$M$4:$U$63,9,FALSE)</f>
        <v>Exportation</v>
      </c>
    </row>
    <row r="50" spans="1:40" x14ac:dyDescent="0.25">
      <c r="A50" t="s">
        <v>3</v>
      </c>
      <c r="B50" t="str">
        <f>VLOOKUP(LEFT(A50,3),'Table corresp.'!$A$4:$D$63,3,FALSE)</f>
        <v>Transformation</v>
      </c>
      <c r="C50" t="str">
        <f>VLOOKUP(A50,'Table corresp.'!$M$4:$P$63,4,FALSE)</f>
        <v>Production et transformation de produits bois</v>
      </c>
      <c r="D50" t="s">
        <v>0</v>
      </c>
      <c r="E50" t="str">
        <f>VLOOKUP(LEFT(D50,3),'Table corresp.'!$A$4:$D$63,4,FALSE)</f>
        <v>Transformation</v>
      </c>
      <c r="F50" t="str">
        <f t="shared" si="0"/>
        <v xml:space="preserve">06  - 02 </v>
      </c>
      <c r="G50" s="1">
        <v>78574.703581657464</v>
      </c>
      <c r="H50" s="1">
        <v>0</v>
      </c>
      <c r="I50" s="1">
        <v>78574.703581657464</v>
      </c>
      <c r="J50" s="1">
        <v>0</v>
      </c>
      <c r="K50" s="1">
        <v>0</v>
      </c>
      <c r="L50" s="1">
        <v>0</v>
      </c>
      <c r="M50" s="1">
        <v>0</v>
      </c>
      <c r="N50" s="1">
        <v>0</v>
      </c>
      <c r="O50" s="1">
        <v>0</v>
      </c>
      <c r="P50" s="1">
        <v>0</v>
      </c>
      <c r="Q50" s="1">
        <v>0</v>
      </c>
      <c r="R50" s="1">
        <v>0</v>
      </c>
      <c r="S50" s="67"/>
      <c r="T50">
        <f>VLOOKUP(A50,'Groupe de branches'!$Z$27:$AM$86,14,FALSE)</f>
        <v>0</v>
      </c>
      <c r="U50">
        <f>VLOOKUP(D50,'Groupe de branches'!$Z$27:$AM$86,14,FALSE)</f>
        <v>0</v>
      </c>
      <c r="V50">
        <v>2016</v>
      </c>
      <c r="W50">
        <f>VLOOKUP(D50,'Table corresp.'!$M$4:$S$63,7,FALSE)</f>
        <v>0</v>
      </c>
      <c r="X50" s="167">
        <f>IFERROR(G50/SUMIFS('Comp2016-2017 (3)'!$I$5:$I$289,'Comp2016-2017 (3)'!$A$5:$A$289,A50,'Comp2016-2017 (3)'!$R$5:$R$289,V50),0)</f>
        <v>0.3183477804784231</v>
      </c>
      <c r="Y50" s="178">
        <v>11</v>
      </c>
      <c r="Z50" s="167">
        <f t="shared" si="5"/>
        <v>0.40740740740740738</v>
      </c>
      <c r="AA50" s="189">
        <f t="shared" si="3"/>
        <v>0.12969724389861681</v>
      </c>
      <c r="AB50" s="2">
        <f>IFERROR(SUMIFS('Comp2016-2017 (3)'!$G$5:$G$289,'Comp2016-2017 (3)'!$A$5:$A$289,A50,'Comp2016-2017 (3)'!$R$5:$R$289,V50)*AA50/SUMIFS($AA$4:$AA$1116,$A$4:$A$1116,A50,$V$4:$V$1116,V50),0)</f>
        <v>39350.036347369612</v>
      </c>
      <c r="AC50" s="2">
        <f>IF($W50=AC$3,$AB50,IF(NOT($W50=0),"",SUMIFS('Val-Vol (2)'!AC$4:AC$1116,'Val-Vol (2)'!$A$4:$A$1116,$D50,'Val-Vol (2)'!$V$4:$V$1116,$V50)/SUMIFS('Comp2016-2017 (3)'!$G$5:$G$289,'Comp2016-2017 (3)'!$A$5:$A$289,$D50,'Comp2016-2017 (3)'!$R$5:$R$289,$V50)*$AB50))</f>
        <v>10673.583017078445</v>
      </c>
      <c r="AD50" s="2">
        <f>IF($W50=AD$3,$AB50,IF(NOT($W50=0),"",SUMIFS('Val-Vol (2)'!AD$4:AD$1116,'Val-Vol (2)'!$A$4:$A$1116,$D50,'Val-Vol (2)'!$V$4:$V$1116,$V50)/SUMIFS('Comp2016-2017 (3)'!$G$5:$G$289,'Comp2016-2017 (3)'!$A$5:$A$289,$D50,'Comp2016-2017 (3)'!$R$5:$R$289,$V50)*$AB50))</f>
        <v>11349.749178169706</v>
      </c>
      <c r="AE50" s="2">
        <f>IF($W50=AE$3,$AB50,IF(NOT($W50=0),"",SUMIFS('Val-Vol (2)'!AE$4:AE$1116,'Val-Vol (2)'!$A$4:$A$1116,$D50,'Val-Vol (2)'!$V$4:$V$1116,$V50)/SUMIFS('Comp2016-2017 (3)'!$G$5:$G$289,'Comp2016-2017 (3)'!$A$5:$A$289,$D50,'Comp2016-2017 (3)'!$R$5:$R$289,$V50)*$AB50))</f>
        <v>1316.6284039025297</v>
      </c>
      <c r="AF50" s="2">
        <f>IF($W50=AF$3,$AB50,IF(NOT($W50=0),"",SUMIFS('Val-Vol (2)'!AF$4:AF$1116,'Val-Vol (2)'!$A$4:$A$1116,$D50,'Val-Vol (2)'!$V$4:$V$1116,$V50)/SUMIFS('Comp2016-2017 (3)'!$G$5:$G$289,'Comp2016-2017 (3)'!$A$5:$A$289,$D50,'Comp2016-2017 (3)'!$R$5:$R$289,$V50)*$AB50))</f>
        <v>0</v>
      </c>
      <c r="AG50" s="2">
        <f>IF($W50=AG$3,$AB50,IF(NOT($W50=0),"",SUMIFS('Val-Vol (2)'!AG$4:AG$1116,'Val-Vol (2)'!$A$4:$A$1116,$D50,'Val-Vol (2)'!$V$4:$V$1116,$V50)/SUMIFS('Comp2016-2017 (3)'!$G$5:$G$289,'Comp2016-2017 (3)'!$A$5:$A$289,$D50,'Comp2016-2017 (3)'!$R$5:$R$289,$V50)*$AB50))</f>
        <v>9603.6556069868457</v>
      </c>
      <c r="AH50" s="2">
        <f>IF($W50=AH$3,$AB50,IF(NOT($W50=0),"",SUMIFS('Val-Vol (2)'!AH$4:AH$1116,'Val-Vol (2)'!$A$4:$A$1116,$D50,'Val-Vol (2)'!$V$4:$V$1116,$V50)/SUMIFS('Comp2016-2017 (3)'!$G$5:$G$289,'Comp2016-2017 (3)'!$A$5:$A$289,$D50,'Comp2016-2017 (3)'!$R$5:$R$289,$V50)*$AB50))</f>
        <v>0</v>
      </c>
      <c r="AI50" s="2">
        <f>IF($W50=AI$3,$AB50,IF(NOT($W50=0),"",SUMIFS('Val-Vol (2)'!AI$4:AI$1116,'Val-Vol (2)'!$A$4:$A$1116,$D50,'Val-Vol (2)'!$V$4:$V$1116,$V50)/SUMIFS('Comp2016-2017 (3)'!$G$5:$G$289,'Comp2016-2017 (3)'!$A$5:$A$289,$D50,'Comp2016-2017 (3)'!$R$5:$R$289,$V50)*$AB50))</f>
        <v>2188.2947939896826</v>
      </c>
      <c r="AJ50" s="2">
        <f>IF($W50=AJ$3,$AB50,IF(NOT($W50=0),"",SUMIFS('Val-Vol (2)'!AJ$4:AJ$1116,'Val-Vol (2)'!$A$4:$A$1116,$D50,'Val-Vol (2)'!$V$4:$V$1116,$V50)/SUMIFS('Comp2016-2017 (3)'!$G$5:$G$289,'Comp2016-2017 (3)'!$A$5:$A$289,$D50,'Comp2016-2017 (3)'!$R$5:$R$289,$V50)*$AB50))</f>
        <v>4218.1253472424032</v>
      </c>
      <c r="AK50" s="2">
        <f t="shared" si="4"/>
        <v>0</v>
      </c>
      <c r="AL50" t="str">
        <f t="shared" si="2"/>
        <v/>
      </c>
      <c r="AM50" t="str">
        <f>VLOOKUP(A50,'Table corresp.'!$M$4:$U$63,8,FALSE)</f>
        <v>Production intermédiaire</v>
      </c>
      <c r="AN50" t="str">
        <f>VLOOKUP(D50,'Table corresp.'!$M$4:$U$63,9,FALSE)</f>
        <v>Production intermédiaire</v>
      </c>
    </row>
    <row r="51" spans="1:40" x14ac:dyDescent="0.25">
      <c r="A51" t="s">
        <v>3</v>
      </c>
      <c r="B51" t="str">
        <f>VLOOKUP(LEFT(A51,3),'Table corresp.'!$A$4:$D$63,3,FALSE)</f>
        <v>Transformation</v>
      </c>
      <c r="C51" t="str">
        <f>VLOOKUP(A51,'Table corresp.'!$M$4:$P$63,4,FALSE)</f>
        <v>Production et transformation de produits bois</v>
      </c>
      <c r="D51" t="s">
        <v>2</v>
      </c>
      <c r="E51" t="str">
        <f>VLOOKUP(LEFT(D51,3),'Table corresp.'!$A$4:$D$63,4,FALSE)</f>
        <v>Transformation</v>
      </c>
      <c r="F51" t="str">
        <f t="shared" si="0"/>
        <v xml:space="preserve">06  - 04 </v>
      </c>
      <c r="G51" s="1">
        <v>22403.764425999998</v>
      </c>
      <c r="H51" s="1">
        <v>0</v>
      </c>
      <c r="I51" s="1">
        <v>22403.764425999998</v>
      </c>
      <c r="J51" s="1">
        <v>0</v>
      </c>
      <c r="K51" s="1">
        <v>0</v>
      </c>
      <c r="L51" s="1">
        <v>0</v>
      </c>
      <c r="M51" s="1">
        <v>0</v>
      </c>
      <c r="N51" s="1">
        <v>0</v>
      </c>
      <c r="O51" s="1">
        <v>0</v>
      </c>
      <c r="P51" s="1">
        <v>0</v>
      </c>
      <c r="Q51" s="1">
        <v>0</v>
      </c>
      <c r="R51" s="1">
        <v>0</v>
      </c>
      <c r="S51" s="67"/>
      <c r="T51">
        <f>VLOOKUP(A51,'Groupe de branches'!$Z$27:$AM$86,14,FALSE)</f>
        <v>0</v>
      </c>
      <c r="U51">
        <f>VLOOKUP(D51,'Groupe de branches'!$Z$27:$AM$86,14,FALSE)</f>
        <v>0</v>
      </c>
      <c r="V51">
        <v>2016</v>
      </c>
      <c r="W51" t="str">
        <f>VLOOKUP(D51,'Table corresp.'!$M$4:$S$63,7,FALSE)</f>
        <v>Energie</v>
      </c>
      <c r="X51" s="167">
        <f>IFERROR(G51/SUMIFS('Comp2016-2017 (3)'!$I$5:$I$289,'Comp2016-2017 (3)'!$A$5:$A$289,A51,'Comp2016-2017 (3)'!$R$5:$R$289,V51),0)</f>
        <v>9.076952701407956E-2</v>
      </c>
      <c r="Y51" s="178">
        <f>IFERROR(IF(RIGHT(F51,3)="Exp",VLOOKUP(F51,#REF!,2,FALSE),VLOOKUP(F51,#REF!,9,FALSE)),1)</f>
        <v>1</v>
      </c>
      <c r="Z51" s="167">
        <f t="shared" si="5"/>
        <v>3.7037037037037035E-2</v>
      </c>
      <c r="AA51" s="189">
        <f t="shared" si="3"/>
        <v>3.3618343338547981E-3</v>
      </c>
      <c r="AB51" s="2">
        <f>IFERROR(SUMIFS('Comp2016-2017 (3)'!$G$5:$G$289,'Comp2016-2017 (3)'!$A$5:$A$289,A51,'Comp2016-2017 (3)'!$R$5:$R$289,V51)*AA51/SUMIFS($AA$4:$AA$1116,$A$4:$A$1116,A51,$V$4:$V$1116,V51),0)</f>
        <v>1019.9777516816781</v>
      </c>
      <c r="AC51" s="2" t="str">
        <f>IF($W51=AC$3,$AB51,IF(NOT($W51=0),"",SUMIFS('Val-Vol (2)'!AC$4:AC$1116,'Val-Vol (2)'!$A$4:$A$1116,$D51,'Val-Vol (2)'!$V$4:$V$1116,$V51)/SUMIFS('Comp2016-2017 (3)'!$G$5:$G$289,'Comp2016-2017 (3)'!$A$5:$A$289,$D51,'Comp2016-2017 (3)'!$R$5:$R$289,$V51)*$AB51))</f>
        <v/>
      </c>
      <c r="AD51" s="2" t="str">
        <f>IF($W51=AD$3,$AB51,IF(NOT($W51=0),"",SUMIFS('Val-Vol (2)'!AD$4:AD$1116,'Val-Vol (2)'!$A$4:$A$1116,$D51,'Val-Vol (2)'!$V$4:$V$1116,$V51)/SUMIFS('Comp2016-2017 (3)'!$G$5:$G$289,'Comp2016-2017 (3)'!$A$5:$A$289,$D51,'Comp2016-2017 (3)'!$R$5:$R$289,$V51)*$AB51))</f>
        <v/>
      </c>
      <c r="AE51" s="2" t="str">
        <f>IF($W51=AE$3,$AB51,IF(NOT($W51=0),"",SUMIFS('Val-Vol (2)'!AE$4:AE$1116,'Val-Vol (2)'!$A$4:$A$1116,$D51,'Val-Vol (2)'!$V$4:$V$1116,$V51)/SUMIFS('Comp2016-2017 (3)'!$G$5:$G$289,'Comp2016-2017 (3)'!$A$5:$A$289,$D51,'Comp2016-2017 (3)'!$R$5:$R$289,$V51)*$AB51))</f>
        <v/>
      </c>
      <c r="AF51" s="2" t="str">
        <f>IF($W51=AF$3,$AB51,IF(NOT($W51=0),"",SUMIFS('Val-Vol (2)'!AF$4:AF$1116,'Val-Vol (2)'!$A$4:$A$1116,$D51,'Val-Vol (2)'!$V$4:$V$1116,$V51)/SUMIFS('Comp2016-2017 (3)'!$G$5:$G$289,'Comp2016-2017 (3)'!$A$5:$A$289,$D51,'Comp2016-2017 (3)'!$R$5:$R$289,$V51)*$AB51))</f>
        <v/>
      </c>
      <c r="AG51" s="2" t="str">
        <f>IF($W51=AG$3,$AB51,IF(NOT($W51=0),"",SUMIFS('Val-Vol (2)'!AG$4:AG$1116,'Val-Vol (2)'!$A$4:$A$1116,$D51,'Val-Vol (2)'!$V$4:$V$1116,$V51)/SUMIFS('Comp2016-2017 (3)'!$G$5:$G$289,'Comp2016-2017 (3)'!$A$5:$A$289,$D51,'Comp2016-2017 (3)'!$R$5:$R$289,$V51)*$AB51))</f>
        <v/>
      </c>
      <c r="AH51" s="2">
        <f>IF($W51=AH$3,$AB51,IF(NOT($W51=0),"",SUMIFS('Val-Vol (2)'!AH$4:AH$1116,'Val-Vol (2)'!$A$4:$A$1116,$D51,'Val-Vol (2)'!$V$4:$V$1116,$V51)/SUMIFS('Comp2016-2017 (3)'!$G$5:$G$289,'Comp2016-2017 (3)'!$A$5:$A$289,$D51,'Comp2016-2017 (3)'!$R$5:$R$289,$V51)*$AB51))</f>
        <v>1019.9777516816781</v>
      </c>
      <c r="AI51" s="2" t="str">
        <f>IF($W51=AI$3,$AB51,IF(NOT($W51=0),"",SUMIFS('Val-Vol (2)'!AI$4:AI$1116,'Val-Vol (2)'!$A$4:$A$1116,$D51,'Val-Vol (2)'!$V$4:$V$1116,$V51)/SUMIFS('Comp2016-2017 (3)'!$G$5:$G$289,'Comp2016-2017 (3)'!$A$5:$A$289,$D51,'Comp2016-2017 (3)'!$R$5:$R$289,$V51)*$AB51))</f>
        <v/>
      </c>
      <c r="AJ51" s="2" t="str">
        <f>IF($W51=AJ$3,$AB51,IF(NOT($W51=0),"",SUMIFS('Val-Vol (2)'!AJ$4:AJ$1116,'Val-Vol (2)'!$A$4:$A$1116,$D51,'Val-Vol (2)'!$V$4:$V$1116,$V51)/SUMIFS('Comp2016-2017 (3)'!$G$5:$G$289,'Comp2016-2017 (3)'!$A$5:$A$289,$D51,'Comp2016-2017 (3)'!$R$5:$R$289,$V51)*$AB51))</f>
        <v/>
      </c>
      <c r="AK51" s="2">
        <f t="shared" si="4"/>
        <v>0</v>
      </c>
      <c r="AL51" t="str">
        <f t="shared" si="2"/>
        <v/>
      </c>
      <c r="AM51" t="str">
        <f>VLOOKUP(A51,'Table corresp.'!$M$4:$U$63,8,FALSE)</f>
        <v>Production intermédiaire</v>
      </c>
      <c r="AN51" t="str">
        <f>VLOOKUP(D51,'Table corresp.'!$M$4:$U$63,9,FALSE)</f>
        <v>Production intermédiaire</v>
      </c>
    </row>
    <row r="52" spans="1:40" x14ac:dyDescent="0.25">
      <c r="A52" t="s">
        <v>3</v>
      </c>
      <c r="B52" t="str">
        <f>VLOOKUP(LEFT(A52,3),'Table corresp.'!$A$4:$D$63,3,FALSE)</f>
        <v>Transformation</v>
      </c>
      <c r="C52" t="str">
        <f>VLOOKUP(A52,'Table corresp.'!$M$4:$P$63,4,FALSE)</f>
        <v>Production et transformation de produits bois</v>
      </c>
      <c r="D52" t="s">
        <v>4</v>
      </c>
      <c r="E52" t="str">
        <f>VLOOKUP(LEFT(D52,3),'Table corresp.'!$A$4:$D$63,4,FALSE)</f>
        <v>Transformation</v>
      </c>
      <c r="F52" t="str">
        <f t="shared" si="0"/>
        <v xml:space="preserve">06  - 08 </v>
      </c>
      <c r="G52" s="1">
        <v>5666.4672074999999</v>
      </c>
      <c r="H52" s="1">
        <v>0</v>
      </c>
      <c r="I52" s="1">
        <v>5666.4672074999999</v>
      </c>
      <c r="J52" s="1">
        <v>0</v>
      </c>
      <c r="K52" s="1">
        <v>0</v>
      </c>
      <c r="L52" s="1">
        <v>0</v>
      </c>
      <c r="M52" s="1">
        <v>0</v>
      </c>
      <c r="N52" s="1">
        <v>0</v>
      </c>
      <c r="O52" s="1">
        <v>0</v>
      </c>
      <c r="P52" s="1">
        <v>0</v>
      </c>
      <c r="Q52" s="1">
        <v>0</v>
      </c>
      <c r="R52" s="1">
        <v>0</v>
      </c>
      <c r="S52" s="67"/>
      <c r="T52">
        <f>VLOOKUP(A52,'Groupe de branches'!$Z$27:$AM$86,14,FALSE)</f>
        <v>0</v>
      </c>
      <c r="U52">
        <f>VLOOKUP(D52,'Groupe de branches'!$Z$27:$AM$86,14,FALSE)</f>
        <v>0</v>
      </c>
      <c r="V52">
        <v>2016</v>
      </c>
      <c r="W52">
        <f>VLOOKUP(D52,'Table corresp.'!$M$4:$S$63,7,FALSE)</f>
        <v>0</v>
      </c>
      <c r="X52" s="167">
        <f>IFERROR(G52/SUMIFS('Comp2016-2017 (3)'!$I$5:$I$289,'Comp2016-2017 (3)'!$A$5:$A$289,A52,'Comp2016-2017 (3)'!$R$5:$R$289,V52),0)</f>
        <v>2.2957862727241627E-2</v>
      </c>
      <c r="Y52" s="178">
        <f>IFERROR(IF(RIGHT(F52,3)="Exp",VLOOKUP(F52,#REF!,2,FALSE),VLOOKUP(F52,#REF!,9,FALSE)),1)</f>
        <v>1</v>
      </c>
      <c r="Z52" s="167">
        <f t="shared" si="5"/>
        <v>3.7037037037037035E-2</v>
      </c>
      <c r="AA52" s="189">
        <f t="shared" si="3"/>
        <v>8.5029121212006021E-4</v>
      </c>
      <c r="AB52" s="2">
        <f>IFERROR(SUMIFS('Comp2016-2017 (3)'!$G$5:$G$289,'Comp2016-2017 (3)'!$A$5:$A$289,A52,'Comp2016-2017 (3)'!$R$5:$R$289,V52)*AA52/SUMIFS($AA$4:$AA$1116,$A$4:$A$1116,A52,$V$4:$V$1116,V52),0)</f>
        <v>257.97764930863087</v>
      </c>
      <c r="AC52" s="2">
        <f>IF($W52=AC$3,$AB52,IF(NOT($W52=0),"",SUMIFS('Val-Vol (2)'!AC$4:AC$1116,'Val-Vol (2)'!$A$4:$A$1116,$D52,'Val-Vol (2)'!$V$4:$V$1116,$V52)/SUMIFS('Comp2016-2017 (3)'!$G$5:$G$289,'Comp2016-2017 (3)'!$A$5:$A$289,$D52,'Comp2016-2017 (3)'!$R$5:$R$289,$V52)*$AB52))</f>
        <v>75.176786867085156</v>
      </c>
      <c r="AD52" s="2">
        <f>IF($W52=AD$3,$AB52,IF(NOT($W52=0),"",SUMIFS('Val-Vol (2)'!AD$4:AD$1116,'Val-Vol (2)'!$A$4:$A$1116,$D52,'Val-Vol (2)'!$V$4:$V$1116,$V52)/SUMIFS('Comp2016-2017 (3)'!$G$5:$G$289,'Comp2016-2017 (3)'!$A$5:$A$289,$D52,'Comp2016-2017 (3)'!$R$5:$R$289,$V52)*$AB52))</f>
        <v>75.704400938198404</v>
      </c>
      <c r="AE52" s="2">
        <f>IF($W52=AE$3,$AB52,IF(NOT($W52=0),"",SUMIFS('Val-Vol (2)'!AE$4:AE$1116,'Val-Vol (2)'!$A$4:$A$1116,$D52,'Val-Vol (2)'!$V$4:$V$1116,$V52)/SUMIFS('Comp2016-2017 (3)'!$G$5:$G$289,'Comp2016-2017 (3)'!$A$5:$A$289,$D52,'Comp2016-2017 (3)'!$R$5:$R$289,$V52)*$AB52))</f>
        <v>38.29066575715165</v>
      </c>
      <c r="AF52" s="2">
        <f>IF($W52=AF$3,$AB52,IF(NOT($W52=0),"",SUMIFS('Val-Vol (2)'!AF$4:AF$1116,'Val-Vol (2)'!$A$4:$A$1116,$D52,'Val-Vol (2)'!$V$4:$V$1116,$V52)/SUMIFS('Comp2016-2017 (3)'!$G$5:$G$289,'Comp2016-2017 (3)'!$A$5:$A$289,$D52,'Comp2016-2017 (3)'!$R$5:$R$289,$V52)*$AB52))</f>
        <v>0</v>
      </c>
      <c r="AG52" s="2">
        <f>IF($W52=AG$3,$AB52,IF(NOT($W52=0),"",SUMIFS('Val-Vol (2)'!AG$4:AG$1116,'Val-Vol (2)'!$A$4:$A$1116,$D52,'Val-Vol (2)'!$V$4:$V$1116,$V52)/SUMIFS('Comp2016-2017 (3)'!$G$5:$G$289,'Comp2016-2017 (3)'!$A$5:$A$289,$D52,'Comp2016-2017 (3)'!$R$5:$R$289,$V52)*$AB52))</f>
        <v>0</v>
      </c>
      <c r="AH52" s="2">
        <f>IF($W52=AH$3,$AB52,IF(NOT($W52=0),"",SUMIFS('Val-Vol (2)'!AH$4:AH$1116,'Val-Vol (2)'!$A$4:$A$1116,$D52,'Val-Vol (2)'!$V$4:$V$1116,$V52)/SUMIFS('Comp2016-2017 (3)'!$G$5:$G$289,'Comp2016-2017 (3)'!$A$5:$A$289,$D52,'Comp2016-2017 (3)'!$R$5:$R$289,$V52)*$AB52))</f>
        <v>0</v>
      </c>
      <c r="AI52" s="2">
        <f>IF($W52=AI$3,$AB52,IF(NOT($W52=0),"",SUMIFS('Val-Vol (2)'!AI$4:AI$1116,'Val-Vol (2)'!$A$4:$A$1116,$D52,'Val-Vol (2)'!$V$4:$V$1116,$V52)/SUMIFS('Comp2016-2017 (3)'!$G$5:$G$289,'Comp2016-2017 (3)'!$A$5:$A$289,$D52,'Comp2016-2017 (3)'!$R$5:$R$289,$V52)*$AB52))</f>
        <v>26.486804542117202</v>
      </c>
      <c r="AJ52" s="2">
        <f>IF($W52=AJ$3,$AB52,IF(NOT($W52=0),"",SUMIFS('Val-Vol (2)'!AJ$4:AJ$1116,'Val-Vol (2)'!$A$4:$A$1116,$D52,'Val-Vol (2)'!$V$4:$V$1116,$V52)/SUMIFS('Comp2016-2017 (3)'!$G$5:$G$289,'Comp2016-2017 (3)'!$A$5:$A$289,$D52,'Comp2016-2017 (3)'!$R$5:$R$289,$V52)*$AB52))</f>
        <v>42.318991204078458</v>
      </c>
      <c r="AK52" s="2">
        <f t="shared" si="4"/>
        <v>0</v>
      </c>
      <c r="AL52" t="str">
        <f t="shared" si="2"/>
        <v/>
      </c>
      <c r="AM52" t="str">
        <f>VLOOKUP(A52,'Table corresp.'!$M$4:$U$63,8,FALSE)</f>
        <v>Production intermédiaire</v>
      </c>
      <c r="AN52" t="str">
        <f>VLOOKUP(D52,'Table corresp.'!$M$4:$U$63,9,FALSE)</f>
        <v>Production intermédiaire</v>
      </c>
    </row>
    <row r="53" spans="1:40" x14ac:dyDescent="0.25">
      <c r="A53" t="s">
        <v>3</v>
      </c>
      <c r="B53" t="str">
        <f>VLOOKUP(LEFT(A53,3),'Table corresp.'!$A$4:$D$63,3,FALSE)</f>
        <v>Transformation</v>
      </c>
      <c r="C53" t="str">
        <f>VLOOKUP(A53,'Table corresp.'!$M$4:$P$63,4,FALSE)</f>
        <v>Production et transformation de produits bois</v>
      </c>
      <c r="D53" t="s">
        <v>5</v>
      </c>
      <c r="E53" t="str">
        <f>VLOOKUP(LEFT(D53,3),'Table corresp.'!$A$4:$D$63,4,FALSE)</f>
        <v>Transformation</v>
      </c>
      <c r="F53" t="str">
        <f t="shared" si="0"/>
        <v xml:space="preserve">06  - 09 </v>
      </c>
      <c r="G53" s="1">
        <v>3089.662538008814</v>
      </c>
      <c r="H53" s="1">
        <v>0</v>
      </c>
      <c r="I53" s="1">
        <v>3089.662538008814</v>
      </c>
      <c r="J53" s="1">
        <v>0</v>
      </c>
      <c r="K53" s="1">
        <v>0</v>
      </c>
      <c r="L53" s="1">
        <v>0</v>
      </c>
      <c r="M53" s="1">
        <v>0</v>
      </c>
      <c r="N53" s="1">
        <v>0</v>
      </c>
      <c r="O53" s="1">
        <v>0</v>
      </c>
      <c r="P53" s="1">
        <v>0</v>
      </c>
      <c r="Q53" s="1">
        <v>0</v>
      </c>
      <c r="R53" s="1">
        <v>0</v>
      </c>
      <c r="S53" s="67"/>
      <c r="T53">
        <f>VLOOKUP(A53,'Groupe de branches'!$Z$27:$AM$86,14,FALSE)</f>
        <v>0</v>
      </c>
      <c r="U53">
        <f>VLOOKUP(D53,'Groupe de branches'!$Z$27:$AM$86,14,FALSE)</f>
        <v>0</v>
      </c>
      <c r="V53">
        <v>2016</v>
      </c>
      <c r="W53">
        <f>VLOOKUP(D53,'Table corresp.'!$M$4:$S$63,7,FALSE)</f>
        <v>0</v>
      </c>
      <c r="X53" s="167">
        <f>IFERROR(G53/SUMIFS('Comp2016-2017 (3)'!$I$5:$I$289,'Comp2016-2017 (3)'!$A$5:$A$289,A53,'Comp2016-2017 (3)'!$R$5:$R$289,V53),0)</f>
        <v>1.2517860921743862E-2</v>
      </c>
      <c r="Y53" s="178">
        <f>IFERROR(IF(RIGHT(F53,3)="Exp",VLOOKUP(F53,#REF!,2,FALSE),VLOOKUP(F53,#REF!,9,FALSE)),1)</f>
        <v>1</v>
      </c>
      <c r="Z53" s="167">
        <f t="shared" si="5"/>
        <v>3.7037037037037035E-2</v>
      </c>
      <c r="AA53" s="189">
        <f t="shared" si="3"/>
        <v>4.6362447858310597E-4</v>
      </c>
      <c r="AB53" s="2">
        <f>IFERROR(SUMIFS('Comp2016-2017 (3)'!$G$5:$G$289,'Comp2016-2017 (3)'!$A$5:$A$289,A53,'Comp2016-2017 (3)'!$R$5:$R$289,V53)*AA53/SUMIFS($AA$4:$AA$1116,$A$4:$A$1116,A53,$V$4:$V$1116,V53),0)</f>
        <v>140.6632826988706</v>
      </c>
      <c r="AC53" s="2">
        <f>IF($W53=AC$3,$AB53,IF(NOT($W53=0),"",SUMIFS('Val-Vol (2)'!AC$4:AC$1116,'Val-Vol (2)'!$A$4:$A$1116,$D53,'Val-Vol (2)'!$V$4:$V$1116,$V53)/SUMIFS('Comp2016-2017 (3)'!$G$5:$G$289,'Comp2016-2017 (3)'!$A$5:$A$289,$D53,'Comp2016-2017 (3)'!$R$5:$R$289,$V53)*$AB53))</f>
        <v>44.457601333413876</v>
      </c>
      <c r="AD53" s="2">
        <f>IF($W53=AD$3,$AB53,IF(NOT($W53=0),"",SUMIFS('Val-Vol (2)'!AD$4:AD$1116,'Val-Vol (2)'!$A$4:$A$1116,$D53,'Val-Vol (2)'!$V$4:$V$1116,$V53)/SUMIFS('Comp2016-2017 (3)'!$G$5:$G$289,'Comp2016-2017 (3)'!$A$5:$A$289,$D53,'Comp2016-2017 (3)'!$R$5:$R$289,$V53)*$AB53))</f>
        <v>47.741572910125072</v>
      </c>
      <c r="AE53" s="2">
        <f>IF($W53=AE$3,$AB53,IF(NOT($W53=0),"",SUMIFS('Val-Vol (2)'!AE$4:AE$1116,'Val-Vol (2)'!$A$4:$A$1116,$D53,'Val-Vol (2)'!$V$4:$V$1116,$V53)/SUMIFS('Comp2016-2017 (3)'!$G$5:$G$289,'Comp2016-2017 (3)'!$A$5:$A$289,$D53,'Comp2016-2017 (3)'!$R$5:$R$289,$V53)*$AB53))</f>
        <v>0.83213538064521086</v>
      </c>
      <c r="AF53" s="2">
        <f>IF($W53=AF$3,$AB53,IF(NOT($W53=0),"",SUMIFS('Val-Vol (2)'!AF$4:AF$1116,'Val-Vol (2)'!$A$4:$A$1116,$D53,'Val-Vol (2)'!$V$4:$V$1116,$V53)/SUMIFS('Comp2016-2017 (3)'!$G$5:$G$289,'Comp2016-2017 (3)'!$A$5:$A$289,$D53,'Comp2016-2017 (3)'!$R$5:$R$289,$V53)*$AB53))</f>
        <v>0</v>
      </c>
      <c r="AG53" s="2">
        <f>IF($W53=AG$3,$AB53,IF(NOT($W53=0),"",SUMIFS('Val-Vol (2)'!AG$4:AG$1116,'Val-Vol (2)'!$A$4:$A$1116,$D53,'Val-Vol (2)'!$V$4:$V$1116,$V53)/SUMIFS('Comp2016-2017 (3)'!$G$5:$G$289,'Comp2016-2017 (3)'!$A$5:$A$289,$D53,'Comp2016-2017 (3)'!$R$5:$R$289,$V53)*$AB53))</f>
        <v>17.507813307021792</v>
      </c>
      <c r="AH53" s="2">
        <f>IF($W53=AH$3,$AB53,IF(NOT($W53=0),"",SUMIFS('Val-Vol (2)'!AH$4:AH$1116,'Val-Vol (2)'!$A$4:$A$1116,$D53,'Val-Vol (2)'!$V$4:$V$1116,$V53)/SUMIFS('Comp2016-2017 (3)'!$G$5:$G$289,'Comp2016-2017 (3)'!$A$5:$A$289,$D53,'Comp2016-2017 (3)'!$R$5:$R$289,$V53)*$AB53))</f>
        <v>0</v>
      </c>
      <c r="AI53" s="2">
        <f>IF($W53=AI$3,$AB53,IF(NOT($W53=0),"",SUMIFS('Val-Vol (2)'!AI$4:AI$1116,'Val-Vol (2)'!$A$4:$A$1116,$D53,'Val-Vol (2)'!$V$4:$V$1116,$V53)/SUMIFS('Comp2016-2017 (3)'!$G$5:$G$289,'Comp2016-2017 (3)'!$A$5:$A$289,$D53,'Comp2016-2017 (3)'!$R$5:$R$289,$V53)*$AB53))</f>
        <v>26.999612920132712</v>
      </c>
      <c r="AJ53" s="2">
        <f>IF($W53=AJ$3,$AB53,IF(NOT($W53=0),"",SUMIFS('Val-Vol (2)'!AJ$4:AJ$1116,'Val-Vol (2)'!$A$4:$A$1116,$D53,'Val-Vol (2)'!$V$4:$V$1116,$V53)/SUMIFS('Comp2016-2017 (3)'!$G$5:$G$289,'Comp2016-2017 (3)'!$A$5:$A$289,$D53,'Comp2016-2017 (3)'!$R$5:$R$289,$V53)*$AB53))</f>
        <v>3.1245468475319305</v>
      </c>
      <c r="AK53" s="2">
        <f t="shared" si="4"/>
        <v>0</v>
      </c>
      <c r="AL53" t="str">
        <f t="shared" si="2"/>
        <v/>
      </c>
      <c r="AM53" t="str">
        <f>VLOOKUP(A53,'Table corresp.'!$M$4:$U$63,8,FALSE)</f>
        <v>Production intermédiaire</v>
      </c>
      <c r="AN53" t="str">
        <f>VLOOKUP(D53,'Table corresp.'!$M$4:$U$63,9,FALSE)</f>
        <v>Production intermédiaire</v>
      </c>
    </row>
    <row r="54" spans="1:40" x14ac:dyDescent="0.25">
      <c r="A54" t="s">
        <v>3</v>
      </c>
      <c r="B54" t="str">
        <f>VLOOKUP(LEFT(A54,3),'Table corresp.'!$A$4:$D$63,3,FALSE)</f>
        <v>Transformation</v>
      </c>
      <c r="C54" t="str">
        <f>VLOOKUP(A54,'Table corresp.'!$M$4:$P$63,4,FALSE)</f>
        <v>Production et transformation de produits bois</v>
      </c>
      <c r="D54" t="s">
        <v>82</v>
      </c>
      <c r="E54" t="str">
        <f>VLOOKUP(LEFT(D54,3),'Table corresp.'!$A$4:$D$63,4,FALSE)</f>
        <v>Transformation</v>
      </c>
      <c r="F54" t="str">
        <f t="shared" si="0"/>
        <v xml:space="preserve">06  - 10 </v>
      </c>
      <c r="G54" s="1">
        <v>2410.2101021069993</v>
      </c>
      <c r="H54" s="1">
        <v>0</v>
      </c>
      <c r="I54" s="1">
        <v>2410.2101021069993</v>
      </c>
      <c r="J54" s="1">
        <v>0</v>
      </c>
      <c r="K54" s="1">
        <v>0</v>
      </c>
      <c r="L54" s="1">
        <v>0</v>
      </c>
      <c r="M54" s="1">
        <v>0</v>
      </c>
      <c r="N54" s="1">
        <v>0</v>
      </c>
      <c r="O54" s="1">
        <v>0</v>
      </c>
      <c r="P54" s="1">
        <v>0</v>
      </c>
      <c r="Q54" s="1">
        <v>0</v>
      </c>
      <c r="R54" s="1">
        <v>0</v>
      </c>
      <c r="S54" s="67"/>
      <c r="T54">
        <f>VLOOKUP(A54,'Groupe de branches'!$Z$27:$AM$86,14,FALSE)</f>
        <v>0</v>
      </c>
      <c r="U54">
        <f>VLOOKUP(D54,'Groupe de branches'!$Z$27:$AM$86,14,FALSE)</f>
        <v>0</v>
      </c>
      <c r="V54">
        <v>2016</v>
      </c>
      <c r="W54">
        <f>VLOOKUP(D54,'Table corresp.'!$M$4:$S$63,7,FALSE)</f>
        <v>0</v>
      </c>
      <c r="X54" s="167">
        <f>IFERROR(G54/SUMIFS('Comp2016-2017 (3)'!$I$5:$I$289,'Comp2016-2017 (3)'!$A$5:$A$289,A54,'Comp2016-2017 (3)'!$R$5:$R$289,V54),0)</f>
        <v>9.7650388931476966E-3</v>
      </c>
      <c r="Y54" s="178">
        <f>IFERROR(IF(RIGHT(F54,3)="Exp",VLOOKUP(F54,#REF!,2,FALSE),VLOOKUP(F54,#REF!,9,FALSE)),1)</f>
        <v>1</v>
      </c>
      <c r="Z54" s="167">
        <f t="shared" si="5"/>
        <v>3.7037037037037035E-2</v>
      </c>
      <c r="AA54" s="189">
        <f t="shared" si="3"/>
        <v>3.6166810715361838E-4</v>
      </c>
      <c r="AB54" s="2">
        <f>IFERROR(SUMIFS('Comp2016-2017 (3)'!$G$5:$G$289,'Comp2016-2017 (3)'!$A$5:$A$289,A54,'Comp2016-2017 (3)'!$R$5:$R$289,V54)*AA54/SUMIFS($AA$4:$AA$1116,$A$4:$A$1116,A54,$V$4:$V$1116,V54),0)</f>
        <v>109.72980407589854</v>
      </c>
      <c r="AC54" s="2">
        <f>IF($W54=AC$3,$AB54,IF(NOT($W54=0),"",SUMIFS('Val-Vol (2)'!AC$4:AC$1116,'Val-Vol (2)'!$A$4:$A$1116,$D54,'Val-Vol (2)'!$V$4:$V$1116,$V54)/SUMIFS('Comp2016-2017 (3)'!$G$5:$G$289,'Comp2016-2017 (3)'!$A$5:$A$289,$D54,'Comp2016-2017 (3)'!$R$5:$R$289,$V54)*$AB54))</f>
        <v>21.218632140495824</v>
      </c>
      <c r="AD54" s="2">
        <f>IF($W54=AD$3,$AB54,IF(NOT($W54=0),"",SUMIFS('Val-Vol (2)'!AD$4:AD$1116,'Val-Vol (2)'!$A$4:$A$1116,$D54,'Val-Vol (2)'!$V$4:$V$1116,$V54)/SUMIFS('Comp2016-2017 (3)'!$G$5:$G$289,'Comp2016-2017 (3)'!$A$5:$A$289,$D54,'Comp2016-2017 (3)'!$R$5:$R$289,$V54)*$AB54))</f>
        <v>31.303541048205439</v>
      </c>
      <c r="AE54" s="2">
        <f>IF($W54=AE$3,$AB54,IF(NOT($W54=0),"",SUMIFS('Val-Vol (2)'!AE$4:AE$1116,'Val-Vol (2)'!$A$4:$A$1116,$D54,'Val-Vol (2)'!$V$4:$V$1116,$V54)/SUMIFS('Comp2016-2017 (3)'!$G$5:$G$289,'Comp2016-2017 (3)'!$A$5:$A$289,$D54,'Comp2016-2017 (3)'!$R$5:$R$289,$V54)*$AB54))</f>
        <v>6.5620475345372178</v>
      </c>
      <c r="AF54" s="2">
        <f>IF($W54=AF$3,$AB54,IF(NOT($W54=0),"",SUMIFS('Val-Vol (2)'!AF$4:AF$1116,'Val-Vol (2)'!$A$4:$A$1116,$D54,'Val-Vol (2)'!$V$4:$V$1116,$V54)/SUMIFS('Comp2016-2017 (3)'!$G$5:$G$289,'Comp2016-2017 (3)'!$A$5:$A$289,$D54,'Comp2016-2017 (3)'!$R$5:$R$289,$V54)*$AB54))</f>
        <v>0</v>
      </c>
      <c r="AG54" s="2">
        <f>IF($W54=AG$3,$AB54,IF(NOT($W54=0),"",SUMIFS('Val-Vol (2)'!AG$4:AG$1116,'Val-Vol (2)'!$A$4:$A$1116,$D54,'Val-Vol (2)'!$V$4:$V$1116,$V54)/SUMIFS('Comp2016-2017 (3)'!$G$5:$G$289,'Comp2016-2017 (3)'!$A$5:$A$289,$D54,'Comp2016-2017 (3)'!$R$5:$R$289,$V54)*$AB54))</f>
        <v>22.553259282345358</v>
      </c>
      <c r="AH54" s="2">
        <f>IF($W54=AH$3,$AB54,IF(NOT($W54=0),"",SUMIFS('Val-Vol (2)'!AH$4:AH$1116,'Val-Vol (2)'!$A$4:$A$1116,$D54,'Val-Vol (2)'!$V$4:$V$1116,$V54)/SUMIFS('Comp2016-2017 (3)'!$G$5:$G$289,'Comp2016-2017 (3)'!$A$5:$A$289,$D54,'Comp2016-2017 (3)'!$R$5:$R$289,$V54)*$AB54))</f>
        <v>0</v>
      </c>
      <c r="AI54" s="2">
        <f>IF($W54=AI$3,$AB54,IF(NOT($W54=0),"",SUMIFS('Val-Vol (2)'!AI$4:AI$1116,'Val-Vol (2)'!$A$4:$A$1116,$D54,'Val-Vol (2)'!$V$4:$V$1116,$V54)/SUMIFS('Comp2016-2017 (3)'!$G$5:$G$289,'Comp2016-2017 (3)'!$A$5:$A$289,$D54,'Comp2016-2017 (3)'!$R$5:$R$289,$V54)*$AB54))</f>
        <v>25.269080212052796</v>
      </c>
      <c r="AJ54" s="2">
        <f>IF($W54=AJ$3,$AB54,IF(NOT($W54=0),"",SUMIFS('Val-Vol (2)'!AJ$4:AJ$1116,'Val-Vol (2)'!$A$4:$A$1116,$D54,'Val-Vol (2)'!$V$4:$V$1116,$V54)/SUMIFS('Comp2016-2017 (3)'!$G$5:$G$289,'Comp2016-2017 (3)'!$A$5:$A$289,$D54,'Comp2016-2017 (3)'!$R$5:$R$289,$V54)*$AB54))</f>
        <v>2.8232438582619075</v>
      </c>
      <c r="AK54" s="2">
        <f t="shared" si="4"/>
        <v>0</v>
      </c>
      <c r="AL54" t="str">
        <f t="shared" si="2"/>
        <v/>
      </c>
      <c r="AM54" t="str">
        <f>VLOOKUP(A54,'Table corresp.'!$M$4:$U$63,8,FALSE)</f>
        <v>Production intermédiaire</v>
      </c>
      <c r="AN54" t="str">
        <f>VLOOKUP(D54,'Table corresp.'!$M$4:$U$63,9,FALSE)</f>
        <v>Production intermédiaire</v>
      </c>
    </row>
    <row r="55" spans="1:40" x14ac:dyDescent="0.25">
      <c r="A55" t="s">
        <v>3</v>
      </c>
      <c r="B55" t="str">
        <f>VLOOKUP(LEFT(A55,3),'Table corresp.'!$A$4:$D$63,3,FALSE)</f>
        <v>Transformation</v>
      </c>
      <c r="C55" t="str">
        <f>VLOOKUP(A55,'Table corresp.'!$M$4:$P$63,4,FALSE)</f>
        <v>Production et transformation de produits bois</v>
      </c>
      <c r="D55" t="s">
        <v>7</v>
      </c>
      <c r="E55" t="str">
        <f>VLOOKUP(LEFT(D55,3),'Table corresp.'!$A$4:$D$63,4,FALSE)</f>
        <v>Transformation</v>
      </c>
      <c r="F55" t="str">
        <f t="shared" si="0"/>
        <v xml:space="preserve">06  - 12 </v>
      </c>
      <c r="G55" s="1">
        <v>23953.247931787289</v>
      </c>
      <c r="H55" s="1">
        <v>0</v>
      </c>
      <c r="I55" s="1">
        <v>23953.247931787289</v>
      </c>
      <c r="J55" s="1">
        <v>0</v>
      </c>
      <c r="K55" s="1">
        <v>0</v>
      </c>
      <c r="L55" s="1">
        <v>0</v>
      </c>
      <c r="M55" s="1">
        <v>0</v>
      </c>
      <c r="N55" s="1">
        <v>0</v>
      </c>
      <c r="O55" s="1">
        <v>0</v>
      </c>
      <c r="P55" s="1">
        <v>0</v>
      </c>
      <c r="Q55" s="1">
        <v>0</v>
      </c>
      <c r="R55" s="1">
        <v>0</v>
      </c>
      <c r="S55" s="67"/>
      <c r="T55">
        <f>VLOOKUP(A55,'Groupe de branches'!$Z$27:$AM$86,14,FALSE)</f>
        <v>0</v>
      </c>
      <c r="U55">
        <f>VLOOKUP(D55,'Groupe de branches'!$Z$27:$AM$86,14,FALSE)</f>
        <v>0</v>
      </c>
      <c r="V55">
        <v>2016</v>
      </c>
      <c r="W55">
        <f>VLOOKUP(D55,'Table corresp.'!$M$4:$S$63,7,FALSE)</f>
        <v>0</v>
      </c>
      <c r="X55" s="167">
        <f>IFERROR(G55/SUMIFS('Comp2016-2017 (3)'!$I$5:$I$289,'Comp2016-2017 (3)'!$A$5:$A$289,A55,'Comp2016-2017 (3)'!$R$5:$R$289,V55),0)</f>
        <v>9.7047306152535776E-2</v>
      </c>
      <c r="Y55" s="178">
        <f>IFERROR(IF(RIGHT(F55,3)="Exp",VLOOKUP(F55,#REF!,2,FALSE),VLOOKUP(F55,#REF!,9,FALSE)),1)</f>
        <v>1</v>
      </c>
      <c r="Z55" s="167">
        <f t="shared" si="5"/>
        <v>3.7037037037037035E-2</v>
      </c>
      <c r="AA55" s="189">
        <f t="shared" si="3"/>
        <v>3.5943446723161396E-3</v>
      </c>
      <c r="AB55" s="2">
        <f>IFERROR(SUMIFS('Comp2016-2017 (3)'!$G$5:$G$289,'Comp2016-2017 (3)'!$A$5:$A$289,A55,'Comp2016-2017 (3)'!$R$5:$R$289,V55)*AA55/SUMIFS($AA$4:$AA$1116,$A$4:$A$1116,A55,$V$4:$V$1116,V55),0)</f>
        <v>1090.5211957408667</v>
      </c>
      <c r="AC55" s="2">
        <f>IF($W55=AC$3,$AB55,IF(NOT($W55=0),"",SUMIFS('Val-Vol (2)'!AC$4:AC$1116,'Val-Vol (2)'!$A$4:$A$1116,$D55,'Val-Vol (2)'!$V$4:$V$1116,$V55)/SUMIFS('Comp2016-2017 (3)'!$G$5:$G$289,'Comp2016-2017 (3)'!$A$5:$A$289,$D55,'Comp2016-2017 (3)'!$R$5:$R$289,$V55)*$AB55))</f>
        <v>68.607760173622083</v>
      </c>
      <c r="AD55" s="2">
        <f>IF($W55=AD$3,$AB55,IF(NOT($W55=0),"",SUMIFS('Val-Vol (2)'!AD$4:AD$1116,'Val-Vol (2)'!$A$4:$A$1116,$D55,'Val-Vol (2)'!$V$4:$V$1116,$V55)/SUMIFS('Comp2016-2017 (3)'!$G$5:$G$289,'Comp2016-2017 (3)'!$A$5:$A$289,$D55,'Comp2016-2017 (3)'!$R$5:$R$289,$V55)*$AB55))</f>
        <v>708.19764025622567</v>
      </c>
      <c r="AE55" s="2">
        <f>IF($W55=AE$3,$AB55,IF(NOT($W55=0),"",SUMIFS('Val-Vol (2)'!AE$4:AE$1116,'Val-Vol (2)'!$A$4:$A$1116,$D55,'Val-Vol (2)'!$V$4:$V$1116,$V55)/SUMIFS('Comp2016-2017 (3)'!$G$5:$G$289,'Comp2016-2017 (3)'!$A$5:$A$289,$D55,'Comp2016-2017 (3)'!$R$5:$R$289,$V55)*$AB55))</f>
        <v>20.292553109963578</v>
      </c>
      <c r="AF55" s="2">
        <f>IF($W55=AF$3,$AB55,IF(NOT($W55=0),"",SUMIFS('Val-Vol (2)'!AF$4:AF$1116,'Val-Vol (2)'!$A$4:$A$1116,$D55,'Val-Vol (2)'!$V$4:$V$1116,$V55)/SUMIFS('Comp2016-2017 (3)'!$G$5:$G$289,'Comp2016-2017 (3)'!$A$5:$A$289,$D55,'Comp2016-2017 (3)'!$R$5:$R$289,$V55)*$AB55))</f>
        <v>0</v>
      </c>
      <c r="AG55" s="2">
        <f>IF($W55=AG$3,$AB55,IF(NOT($W55=0),"",SUMIFS('Val-Vol (2)'!AG$4:AG$1116,'Val-Vol (2)'!$A$4:$A$1116,$D55,'Val-Vol (2)'!$V$4:$V$1116,$V55)/SUMIFS('Comp2016-2017 (3)'!$G$5:$G$289,'Comp2016-2017 (3)'!$A$5:$A$289,$D55,'Comp2016-2017 (3)'!$R$5:$R$289,$V55)*$AB55))</f>
        <v>132.2924348606154</v>
      </c>
      <c r="AH55" s="2">
        <f>IF($W55=AH$3,$AB55,IF(NOT($W55=0),"",SUMIFS('Val-Vol (2)'!AH$4:AH$1116,'Val-Vol (2)'!$A$4:$A$1116,$D55,'Val-Vol (2)'!$V$4:$V$1116,$V55)/SUMIFS('Comp2016-2017 (3)'!$G$5:$G$289,'Comp2016-2017 (3)'!$A$5:$A$289,$D55,'Comp2016-2017 (3)'!$R$5:$R$289,$V55)*$AB55))</f>
        <v>0</v>
      </c>
      <c r="AI55" s="2">
        <f>IF($W55=AI$3,$AB55,IF(NOT($W55=0),"",SUMIFS('Val-Vol (2)'!AI$4:AI$1116,'Val-Vol (2)'!$A$4:$A$1116,$D55,'Val-Vol (2)'!$V$4:$V$1116,$V55)/SUMIFS('Comp2016-2017 (3)'!$G$5:$G$289,'Comp2016-2017 (3)'!$A$5:$A$289,$D55,'Comp2016-2017 (3)'!$R$5:$R$289,$V55)*$AB55))</f>
        <v>33.773451271803381</v>
      </c>
      <c r="AJ55" s="2">
        <f>IF($W55=AJ$3,$AB55,IF(NOT($W55=0),"",SUMIFS('Val-Vol (2)'!AJ$4:AJ$1116,'Val-Vol (2)'!$A$4:$A$1116,$D55,'Val-Vol (2)'!$V$4:$V$1116,$V55)/SUMIFS('Comp2016-2017 (3)'!$G$5:$G$289,'Comp2016-2017 (3)'!$A$5:$A$289,$D55,'Comp2016-2017 (3)'!$R$5:$R$289,$V55)*$AB55))</f>
        <v>127.35735606863658</v>
      </c>
      <c r="AK55" s="2">
        <f t="shared" si="4"/>
        <v>0</v>
      </c>
      <c r="AL55" t="str">
        <f t="shared" si="2"/>
        <v/>
      </c>
      <c r="AM55" t="str">
        <f>VLOOKUP(A55,'Table corresp.'!$M$4:$U$63,8,FALSE)</f>
        <v>Production intermédiaire</v>
      </c>
      <c r="AN55" t="str">
        <f>VLOOKUP(D55,'Table corresp.'!$M$4:$U$63,9,FALSE)</f>
        <v>Production intermédiaire</v>
      </c>
    </row>
    <row r="56" spans="1:40" x14ac:dyDescent="0.25">
      <c r="A56" t="s">
        <v>3</v>
      </c>
      <c r="B56" t="str">
        <f>VLOOKUP(LEFT(A56,3),'Table corresp.'!$A$4:$D$63,3,FALSE)</f>
        <v>Transformation</v>
      </c>
      <c r="C56" t="str">
        <f>VLOOKUP(A56,'Table corresp.'!$M$4:$P$63,4,FALSE)</f>
        <v>Production et transformation de produits bois</v>
      </c>
      <c r="D56" t="s">
        <v>8</v>
      </c>
      <c r="E56" t="str">
        <f>VLOOKUP(LEFT(D56,3),'Table corresp.'!$A$4:$D$63,4,FALSE)</f>
        <v>Transformation</v>
      </c>
      <c r="F56" t="str">
        <f t="shared" si="0"/>
        <v xml:space="preserve">06  - 13 </v>
      </c>
      <c r="G56" s="1">
        <v>5886.9858599999989</v>
      </c>
      <c r="H56" s="1">
        <v>0</v>
      </c>
      <c r="I56" s="1">
        <v>5886.9858599999989</v>
      </c>
      <c r="J56" s="1">
        <v>0</v>
      </c>
      <c r="K56" s="1">
        <v>0</v>
      </c>
      <c r="L56" s="1">
        <v>0</v>
      </c>
      <c r="M56" s="1">
        <v>0</v>
      </c>
      <c r="N56" s="1">
        <v>0</v>
      </c>
      <c r="O56" s="1">
        <v>0</v>
      </c>
      <c r="P56" s="1">
        <v>0</v>
      </c>
      <c r="Q56" s="1">
        <v>0</v>
      </c>
      <c r="R56" s="1">
        <v>0</v>
      </c>
      <c r="S56" s="67"/>
      <c r="T56">
        <f>VLOOKUP(A56,'Groupe de branches'!$Z$27:$AM$86,14,FALSE)</f>
        <v>0</v>
      </c>
      <c r="U56">
        <f>VLOOKUP(D56,'Groupe de branches'!$Z$27:$AM$86,14,FALSE)</f>
        <v>0</v>
      </c>
      <c r="V56">
        <v>2016</v>
      </c>
      <c r="W56">
        <f>VLOOKUP(D56,'Table corresp.'!$M$4:$S$63,7,FALSE)</f>
        <v>0</v>
      </c>
      <c r="X56" s="167">
        <f>IFERROR(G56/SUMIFS('Comp2016-2017 (3)'!$I$5:$I$289,'Comp2016-2017 (3)'!$A$5:$A$289,A56,'Comp2016-2017 (3)'!$R$5:$R$289,V56),0)</f>
        <v>2.3851300696174103E-2</v>
      </c>
      <c r="Y56" s="178">
        <f>IFERROR(IF(RIGHT(F56,3)="Exp",VLOOKUP(F56,#REF!,2,FALSE),VLOOKUP(F56,#REF!,9,FALSE)),1)</f>
        <v>1</v>
      </c>
      <c r="Z56" s="167">
        <f t="shared" si="5"/>
        <v>3.7037037037037035E-2</v>
      </c>
      <c r="AA56" s="189">
        <f t="shared" si="3"/>
        <v>8.8338150726570744E-4</v>
      </c>
      <c r="AB56" s="2">
        <f>IFERROR(SUMIFS('Comp2016-2017 (3)'!$G$5:$G$289,'Comp2016-2017 (3)'!$A$5:$A$289,A56,'Comp2016-2017 (3)'!$R$5:$R$289,V56)*AA56/SUMIFS($AA$4:$AA$1116,$A$4:$A$1116,A56,$V$4:$V$1116,V56),0)</f>
        <v>268.01721744119857</v>
      </c>
      <c r="AC56" s="2">
        <f>IF($W56=AC$3,$AB56,IF(NOT($W56=0),"",SUMIFS('Val-Vol (2)'!AC$4:AC$1116,'Val-Vol (2)'!$A$4:$A$1116,$D56,'Val-Vol (2)'!$V$4:$V$1116,$V56)/SUMIFS('Comp2016-2017 (3)'!$G$5:$G$289,'Comp2016-2017 (3)'!$A$5:$A$289,$D56,'Comp2016-2017 (3)'!$R$5:$R$289,$V56)*$AB56))</f>
        <v>38.546622064787101</v>
      </c>
      <c r="AD56" s="2">
        <f>IF($W56=AD$3,$AB56,IF(NOT($W56=0),"",SUMIFS('Val-Vol (2)'!AD$4:AD$1116,'Val-Vol (2)'!$A$4:$A$1116,$D56,'Val-Vol (2)'!$V$4:$V$1116,$V56)/SUMIFS('Comp2016-2017 (3)'!$G$5:$G$289,'Comp2016-2017 (3)'!$A$5:$A$289,$D56,'Comp2016-2017 (3)'!$R$5:$R$289,$V56)*$AB56))</f>
        <v>86.420323361690677</v>
      </c>
      <c r="AE56" s="2">
        <f>IF($W56=AE$3,$AB56,IF(NOT($W56=0),"",SUMIFS('Val-Vol (2)'!AE$4:AE$1116,'Val-Vol (2)'!$A$4:$A$1116,$D56,'Val-Vol (2)'!$V$4:$V$1116,$V56)/SUMIFS('Comp2016-2017 (3)'!$G$5:$G$289,'Comp2016-2017 (3)'!$A$5:$A$289,$D56,'Comp2016-2017 (3)'!$R$5:$R$289,$V56)*$AB56))</f>
        <v>1.4542594909467795E-2</v>
      </c>
      <c r="AF56" s="2">
        <f>IF($W56=AF$3,$AB56,IF(NOT($W56=0),"",SUMIFS('Val-Vol (2)'!AF$4:AF$1116,'Val-Vol (2)'!$A$4:$A$1116,$D56,'Val-Vol (2)'!$V$4:$V$1116,$V56)/SUMIFS('Comp2016-2017 (3)'!$G$5:$G$289,'Comp2016-2017 (3)'!$A$5:$A$289,$D56,'Comp2016-2017 (3)'!$R$5:$R$289,$V56)*$AB56))</f>
        <v>0</v>
      </c>
      <c r="AG56" s="2">
        <f>IF($W56=AG$3,$AB56,IF(NOT($W56=0),"",SUMIFS('Val-Vol (2)'!AG$4:AG$1116,'Val-Vol (2)'!$A$4:$A$1116,$D56,'Val-Vol (2)'!$V$4:$V$1116,$V56)/SUMIFS('Comp2016-2017 (3)'!$G$5:$G$289,'Comp2016-2017 (3)'!$A$5:$A$289,$D56,'Comp2016-2017 (3)'!$R$5:$R$289,$V56)*$AB56))</f>
        <v>67.63829646695325</v>
      </c>
      <c r="AH56" s="2">
        <f>IF($W56=AH$3,$AB56,IF(NOT($W56=0),"",SUMIFS('Val-Vol (2)'!AH$4:AH$1116,'Val-Vol (2)'!$A$4:$A$1116,$D56,'Val-Vol (2)'!$V$4:$V$1116,$V56)/SUMIFS('Comp2016-2017 (3)'!$G$5:$G$289,'Comp2016-2017 (3)'!$A$5:$A$289,$D56,'Comp2016-2017 (3)'!$R$5:$R$289,$V56)*$AB56))</f>
        <v>0</v>
      </c>
      <c r="AI56" s="2">
        <f>IF($W56=AI$3,$AB56,IF(NOT($W56=0),"",SUMIFS('Val-Vol (2)'!AI$4:AI$1116,'Val-Vol (2)'!$A$4:$A$1116,$D56,'Val-Vol (2)'!$V$4:$V$1116,$V56)/SUMIFS('Comp2016-2017 (3)'!$G$5:$G$289,'Comp2016-2017 (3)'!$A$5:$A$289,$D56,'Comp2016-2017 (3)'!$R$5:$R$289,$V56)*$AB56))</f>
        <v>0</v>
      </c>
      <c r="AJ56" s="2">
        <f>IF($W56=AJ$3,$AB56,IF(NOT($W56=0),"",SUMIFS('Val-Vol (2)'!AJ$4:AJ$1116,'Val-Vol (2)'!$A$4:$A$1116,$D56,'Val-Vol (2)'!$V$4:$V$1116,$V56)/SUMIFS('Comp2016-2017 (3)'!$G$5:$G$289,'Comp2016-2017 (3)'!$A$5:$A$289,$D56,'Comp2016-2017 (3)'!$R$5:$R$289,$V56)*$AB56))</f>
        <v>75.397432952858054</v>
      </c>
      <c r="AK56" s="2">
        <f t="shared" si="4"/>
        <v>0</v>
      </c>
      <c r="AL56" t="str">
        <f t="shared" si="2"/>
        <v/>
      </c>
      <c r="AM56" t="str">
        <f>VLOOKUP(A56,'Table corresp.'!$M$4:$U$63,8,FALSE)</f>
        <v>Production intermédiaire</v>
      </c>
      <c r="AN56" t="str">
        <f>VLOOKUP(D56,'Table corresp.'!$M$4:$U$63,9,FALSE)</f>
        <v>Production intermédiaire</v>
      </c>
    </row>
    <row r="57" spans="1:40" x14ac:dyDescent="0.25">
      <c r="A57" t="s">
        <v>3</v>
      </c>
      <c r="B57" t="str">
        <f>VLOOKUP(LEFT(A57,3),'Table corresp.'!$A$4:$D$63,3,FALSE)</f>
        <v>Transformation</v>
      </c>
      <c r="C57" t="str">
        <f>VLOOKUP(A57,'Table corresp.'!$M$4:$P$63,4,FALSE)</f>
        <v>Production et transformation de produits bois</v>
      </c>
      <c r="D57" t="s">
        <v>83</v>
      </c>
      <c r="E57" t="str">
        <f>VLOOKUP(LEFT(D57,3),'Table corresp.'!$A$4:$D$63,4,FALSE)</f>
        <v>Transformation</v>
      </c>
      <c r="F57" t="str">
        <f t="shared" si="0"/>
        <v xml:space="preserve">06  - 14 </v>
      </c>
      <c r="G57" s="1">
        <v>4700.4397559999989</v>
      </c>
      <c r="H57" s="1">
        <v>0</v>
      </c>
      <c r="I57" s="1">
        <v>4700.4397559999989</v>
      </c>
      <c r="J57" s="1">
        <v>0</v>
      </c>
      <c r="K57" s="1">
        <v>0</v>
      </c>
      <c r="L57" s="1">
        <v>0</v>
      </c>
      <c r="M57" s="1">
        <v>0</v>
      </c>
      <c r="N57" s="1">
        <v>0</v>
      </c>
      <c r="O57" s="1">
        <v>0</v>
      </c>
      <c r="P57" s="1">
        <v>0</v>
      </c>
      <c r="Q57" s="1">
        <v>0</v>
      </c>
      <c r="R57" s="1">
        <v>0</v>
      </c>
      <c r="S57" s="67"/>
      <c r="T57">
        <f>VLOOKUP(A57,'Groupe de branches'!$Z$27:$AM$86,14,FALSE)</f>
        <v>0</v>
      </c>
      <c r="U57">
        <f>VLOOKUP(D57,'Groupe de branches'!$Z$27:$AM$86,14,FALSE)</f>
        <v>0</v>
      </c>
      <c r="V57">
        <v>2016</v>
      </c>
      <c r="W57">
        <f>VLOOKUP(D57,'Table corresp.'!$M$4:$S$63,7,FALSE)</f>
        <v>0</v>
      </c>
      <c r="X57" s="167">
        <f>IFERROR(G57/SUMIFS('Comp2016-2017 (3)'!$I$5:$I$289,'Comp2016-2017 (3)'!$A$5:$A$289,A57,'Comp2016-2017 (3)'!$R$5:$R$289,V57),0)</f>
        <v>1.9043973383113786E-2</v>
      </c>
      <c r="Y57" s="178">
        <f>IFERROR(IF(RIGHT(F57,3)="Exp",VLOOKUP(F57,#REF!,2,FALSE),VLOOKUP(F57,#REF!,9,FALSE)),1)</f>
        <v>1</v>
      </c>
      <c r="Z57" s="167">
        <f t="shared" si="5"/>
        <v>3.7037037037037035E-2</v>
      </c>
      <c r="AA57" s="189">
        <f t="shared" si="3"/>
        <v>7.0533234752273273E-4</v>
      </c>
      <c r="AB57" s="2">
        <f>IFERROR(SUMIFS('Comp2016-2017 (3)'!$G$5:$G$289,'Comp2016-2017 (3)'!$A$5:$A$289,A57,'Comp2016-2017 (3)'!$R$5:$R$289,V57)*AA57/SUMIFS($AA$4:$AA$1116,$A$4:$A$1116,A57,$V$4:$V$1116,V57),0)</f>
        <v>213.99724988520799</v>
      </c>
      <c r="AC57" s="2">
        <f>IF($W57=AC$3,$AB57,IF(NOT($W57=0),"",SUMIFS('Val-Vol (2)'!AC$4:AC$1116,'Val-Vol (2)'!$A$4:$A$1116,$D57,'Val-Vol (2)'!$V$4:$V$1116,$V57)/SUMIFS('Comp2016-2017 (3)'!$G$5:$G$289,'Comp2016-2017 (3)'!$A$5:$A$289,$D57,'Comp2016-2017 (3)'!$R$5:$R$289,$V57)*$AB57))</f>
        <v>134.11405751758701</v>
      </c>
      <c r="AD57" s="2">
        <f>IF($W57=AD$3,$AB57,IF(NOT($W57=0),"",SUMIFS('Val-Vol (2)'!AD$4:AD$1116,'Val-Vol (2)'!$A$4:$A$1116,$D57,'Val-Vol (2)'!$V$4:$V$1116,$V57)/SUMIFS('Comp2016-2017 (3)'!$G$5:$G$289,'Comp2016-2017 (3)'!$A$5:$A$289,$D57,'Comp2016-2017 (3)'!$R$5:$R$289,$V57)*$AB57))</f>
        <v>36.137739290591568</v>
      </c>
      <c r="AE57" s="2">
        <f>IF($W57=AE$3,$AB57,IF(NOT($W57=0),"",SUMIFS('Val-Vol (2)'!AE$4:AE$1116,'Val-Vol (2)'!$A$4:$A$1116,$D57,'Val-Vol (2)'!$V$4:$V$1116,$V57)/SUMIFS('Comp2016-2017 (3)'!$G$5:$G$289,'Comp2016-2017 (3)'!$A$5:$A$289,$D57,'Comp2016-2017 (3)'!$R$5:$R$289,$V57)*$AB57))</f>
        <v>1.3489389863308421</v>
      </c>
      <c r="AF57" s="2">
        <f>IF($W57=AF$3,$AB57,IF(NOT($W57=0),"",SUMIFS('Val-Vol (2)'!AF$4:AF$1116,'Val-Vol (2)'!$A$4:$A$1116,$D57,'Val-Vol (2)'!$V$4:$V$1116,$V57)/SUMIFS('Comp2016-2017 (3)'!$G$5:$G$289,'Comp2016-2017 (3)'!$A$5:$A$289,$D57,'Comp2016-2017 (3)'!$R$5:$R$289,$V57)*$AB57))</f>
        <v>0</v>
      </c>
      <c r="AG57" s="2">
        <f>IF($W57=AG$3,$AB57,IF(NOT($W57=0),"",SUMIFS('Val-Vol (2)'!AG$4:AG$1116,'Val-Vol (2)'!$A$4:$A$1116,$D57,'Val-Vol (2)'!$V$4:$V$1116,$V57)/SUMIFS('Comp2016-2017 (3)'!$G$5:$G$289,'Comp2016-2017 (3)'!$A$5:$A$289,$D57,'Comp2016-2017 (3)'!$R$5:$R$289,$V57)*$AB57))</f>
        <v>39.255951758817979</v>
      </c>
      <c r="AH57" s="2">
        <f>IF($W57=AH$3,$AB57,IF(NOT($W57=0),"",SUMIFS('Val-Vol (2)'!AH$4:AH$1116,'Val-Vol (2)'!$A$4:$A$1116,$D57,'Val-Vol (2)'!$V$4:$V$1116,$V57)/SUMIFS('Comp2016-2017 (3)'!$G$5:$G$289,'Comp2016-2017 (3)'!$A$5:$A$289,$D57,'Comp2016-2017 (3)'!$R$5:$R$289,$V57)*$AB57))</f>
        <v>0</v>
      </c>
      <c r="AI57" s="2">
        <f>IF($W57=AI$3,$AB57,IF(NOT($W57=0),"",SUMIFS('Val-Vol (2)'!AI$4:AI$1116,'Val-Vol (2)'!$A$4:$A$1116,$D57,'Val-Vol (2)'!$V$4:$V$1116,$V57)/SUMIFS('Comp2016-2017 (3)'!$G$5:$G$289,'Comp2016-2017 (3)'!$A$5:$A$289,$D57,'Comp2016-2017 (3)'!$R$5:$R$289,$V57)*$AB57))</f>
        <v>0</v>
      </c>
      <c r="AJ57" s="2">
        <f>IF($W57=AJ$3,$AB57,IF(NOT($W57=0),"",SUMIFS('Val-Vol (2)'!AJ$4:AJ$1116,'Val-Vol (2)'!$A$4:$A$1116,$D57,'Val-Vol (2)'!$V$4:$V$1116,$V57)/SUMIFS('Comp2016-2017 (3)'!$G$5:$G$289,'Comp2016-2017 (3)'!$A$5:$A$289,$D57,'Comp2016-2017 (3)'!$R$5:$R$289,$V57)*$AB57))</f>
        <v>3.1405623318805542</v>
      </c>
      <c r="AK57" s="2">
        <f t="shared" si="4"/>
        <v>0</v>
      </c>
      <c r="AL57" t="str">
        <f t="shared" si="2"/>
        <v/>
      </c>
      <c r="AM57" t="str">
        <f>VLOOKUP(A57,'Table corresp.'!$M$4:$U$63,8,FALSE)</f>
        <v>Production intermédiaire</v>
      </c>
      <c r="AN57" t="str">
        <f>VLOOKUP(D57,'Table corresp.'!$M$4:$U$63,9,FALSE)</f>
        <v>Production intermédiaire</v>
      </c>
    </row>
    <row r="58" spans="1:40" x14ac:dyDescent="0.25">
      <c r="A58" t="s">
        <v>3</v>
      </c>
      <c r="B58" t="str">
        <f>VLOOKUP(LEFT(A58,3),'Table corresp.'!$A$4:$D$63,3,FALSE)</f>
        <v>Transformation</v>
      </c>
      <c r="C58" t="str">
        <f>VLOOKUP(A58,'Table corresp.'!$M$4:$P$63,4,FALSE)</f>
        <v>Production et transformation de produits bois</v>
      </c>
      <c r="D58" t="s">
        <v>9</v>
      </c>
      <c r="E58" t="str">
        <f>VLOOKUP(LEFT(D58,3),'Table corresp.'!$A$4:$D$63,4,FALSE)</f>
        <v>Transformation</v>
      </c>
      <c r="F58" t="str">
        <f t="shared" si="0"/>
        <v xml:space="preserve">06  - 15 </v>
      </c>
      <c r="G58" s="1">
        <v>16154.473482969572</v>
      </c>
      <c r="H58" s="1">
        <v>0</v>
      </c>
      <c r="I58" s="1">
        <v>16154.473482969572</v>
      </c>
      <c r="J58" s="1">
        <v>0</v>
      </c>
      <c r="K58" s="1">
        <v>0</v>
      </c>
      <c r="L58" s="1">
        <v>0</v>
      </c>
      <c r="M58" s="1">
        <v>0</v>
      </c>
      <c r="N58" s="1">
        <v>0</v>
      </c>
      <c r="O58" s="1">
        <v>0</v>
      </c>
      <c r="P58" s="1">
        <v>0</v>
      </c>
      <c r="Q58" s="1">
        <v>0</v>
      </c>
      <c r="R58" s="1">
        <v>0</v>
      </c>
      <c r="S58" s="67"/>
      <c r="T58">
        <f>VLOOKUP(A58,'Groupe de branches'!$Z$27:$AM$86,14,FALSE)</f>
        <v>0</v>
      </c>
      <c r="U58">
        <f>VLOOKUP(D58,'Groupe de branches'!$Z$27:$AM$86,14,FALSE)</f>
        <v>0</v>
      </c>
      <c r="V58">
        <v>2016</v>
      </c>
      <c r="W58">
        <f>VLOOKUP(D58,'Table corresp.'!$M$4:$S$63,7,FALSE)</f>
        <v>0</v>
      </c>
      <c r="X58" s="167">
        <f>IFERROR(G58/SUMIFS('Comp2016-2017 (3)'!$I$5:$I$289,'Comp2016-2017 (3)'!$A$5:$A$289,A58,'Comp2016-2017 (3)'!$R$5:$R$289,V58),0)</f>
        <v>6.5450336351016519E-2</v>
      </c>
      <c r="Y58" s="178">
        <f>IFERROR(IF(RIGHT(F58,3)="Exp",VLOOKUP(F58,#REF!,2,FALSE),VLOOKUP(F58,#REF!,9,FALSE)),1)</f>
        <v>1</v>
      </c>
      <c r="Z58" s="167">
        <f t="shared" si="5"/>
        <v>3.7037037037037035E-2</v>
      </c>
      <c r="AA58" s="189">
        <f t="shared" si="3"/>
        <v>2.4240865315191301E-3</v>
      </c>
      <c r="AB58" s="2">
        <f>IFERROR(SUMIFS('Comp2016-2017 (3)'!$G$5:$G$289,'Comp2016-2017 (3)'!$A$5:$A$289,A58,'Comp2016-2017 (3)'!$R$5:$R$289,V58)*AA58/SUMIFS($AA$4:$AA$1116,$A$4:$A$1116,A58,$V$4:$V$1116,V58),0)</f>
        <v>735.46584535759894</v>
      </c>
      <c r="AC58" s="2">
        <f>IF($W58=AC$3,$AB58,IF(NOT($W58=0),"",SUMIFS('Val-Vol (2)'!AC$4:AC$1116,'Val-Vol (2)'!$A$4:$A$1116,$D58,'Val-Vol (2)'!$V$4:$V$1116,$V58)/SUMIFS('Comp2016-2017 (3)'!$G$5:$G$289,'Comp2016-2017 (3)'!$A$5:$A$289,$D58,'Comp2016-2017 (3)'!$R$5:$R$289,$V58)*$AB58))</f>
        <v>24.780849202418171</v>
      </c>
      <c r="AD58" s="2">
        <f>IF($W58=AD$3,$AB58,IF(NOT($W58=0),"",SUMIFS('Val-Vol (2)'!AD$4:AD$1116,'Val-Vol (2)'!$A$4:$A$1116,$D58,'Val-Vol (2)'!$V$4:$V$1116,$V58)/SUMIFS('Comp2016-2017 (3)'!$G$5:$G$289,'Comp2016-2017 (3)'!$A$5:$A$289,$D58,'Comp2016-2017 (3)'!$R$5:$R$289,$V58)*$AB58))</f>
        <v>141.16148889631114</v>
      </c>
      <c r="AE58" s="2">
        <f>IF($W58=AE$3,$AB58,IF(NOT($W58=0),"",SUMIFS('Val-Vol (2)'!AE$4:AE$1116,'Val-Vol (2)'!$A$4:$A$1116,$D58,'Val-Vol (2)'!$V$4:$V$1116,$V58)/SUMIFS('Comp2016-2017 (3)'!$G$5:$G$289,'Comp2016-2017 (3)'!$A$5:$A$289,$D58,'Comp2016-2017 (3)'!$R$5:$R$289,$V58)*$AB58))</f>
        <v>1.6810894110532153E-2</v>
      </c>
      <c r="AF58" s="2">
        <f>IF($W58=AF$3,$AB58,IF(NOT($W58=0),"",SUMIFS('Val-Vol (2)'!AF$4:AF$1116,'Val-Vol (2)'!$A$4:$A$1116,$D58,'Val-Vol (2)'!$V$4:$V$1116,$V58)/SUMIFS('Comp2016-2017 (3)'!$G$5:$G$289,'Comp2016-2017 (3)'!$A$5:$A$289,$D58,'Comp2016-2017 (3)'!$R$5:$R$289,$V58)*$AB58))</f>
        <v>0</v>
      </c>
      <c r="AG58" s="2">
        <f>IF($W58=AG$3,$AB58,IF(NOT($W58=0),"",SUMIFS('Val-Vol (2)'!AG$4:AG$1116,'Val-Vol (2)'!$A$4:$A$1116,$D58,'Val-Vol (2)'!$V$4:$V$1116,$V58)/SUMIFS('Comp2016-2017 (3)'!$G$5:$G$289,'Comp2016-2017 (3)'!$A$5:$A$289,$D58,'Comp2016-2017 (3)'!$R$5:$R$289,$V58)*$AB58))</f>
        <v>327.56512913795541</v>
      </c>
      <c r="AH58" s="2">
        <f>IF($W58=AH$3,$AB58,IF(NOT($W58=0),"",SUMIFS('Val-Vol (2)'!AH$4:AH$1116,'Val-Vol (2)'!$A$4:$A$1116,$D58,'Val-Vol (2)'!$V$4:$V$1116,$V58)/SUMIFS('Comp2016-2017 (3)'!$G$5:$G$289,'Comp2016-2017 (3)'!$A$5:$A$289,$D58,'Comp2016-2017 (3)'!$R$5:$R$289,$V58)*$AB58))</f>
        <v>0</v>
      </c>
      <c r="AI58" s="2">
        <f>IF($W58=AI$3,$AB58,IF(NOT($W58=0),"",SUMIFS('Val-Vol (2)'!AI$4:AI$1116,'Val-Vol (2)'!$A$4:$A$1116,$D58,'Val-Vol (2)'!$V$4:$V$1116,$V58)/SUMIFS('Comp2016-2017 (3)'!$G$5:$G$289,'Comp2016-2017 (3)'!$A$5:$A$289,$D58,'Comp2016-2017 (3)'!$R$5:$R$289,$V58)*$AB58))</f>
        <v>0</v>
      </c>
      <c r="AJ58" s="2">
        <f>IF($W58=AJ$3,$AB58,IF(NOT($W58=0),"",SUMIFS('Val-Vol (2)'!AJ$4:AJ$1116,'Val-Vol (2)'!$A$4:$A$1116,$D58,'Val-Vol (2)'!$V$4:$V$1116,$V58)/SUMIFS('Comp2016-2017 (3)'!$G$5:$G$289,'Comp2016-2017 (3)'!$A$5:$A$289,$D58,'Comp2016-2017 (3)'!$R$5:$R$289,$V58)*$AB58))</f>
        <v>241.94156722680361</v>
      </c>
      <c r="AK58" s="2">
        <f t="shared" si="4"/>
        <v>0</v>
      </c>
      <c r="AL58" t="str">
        <f t="shared" si="2"/>
        <v/>
      </c>
      <c r="AM58" t="str">
        <f>VLOOKUP(A58,'Table corresp.'!$M$4:$U$63,8,FALSE)</f>
        <v>Production intermédiaire</v>
      </c>
      <c r="AN58" t="str">
        <f>VLOOKUP(D58,'Table corresp.'!$M$4:$U$63,9,FALSE)</f>
        <v>Production intermédiaire</v>
      </c>
    </row>
    <row r="59" spans="1:40" x14ac:dyDescent="0.25">
      <c r="A59" t="s">
        <v>3</v>
      </c>
      <c r="B59" t="str">
        <f>VLOOKUP(LEFT(A59,3),'Table corresp.'!$A$4:$D$63,3,FALSE)</f>
        <v>Transformation</v>
      </c>
      <c r="C59" t="str">
        <f>VLOOKUP(A59,'Table corresp.'!$M$4:$P$63,4,FALSE)</f>
        <v>Production et transformation de produits bois</v>
      </c>
      <c r="D59" t="s">
        <v>10</v>
      </c>
      <c r="E59" t="str">
        <f>VLOOKUP(LEFT(D59,3),'Table corresp.'!$A$4:$D$63,4,FALSE)</f>
        <v>Transformation</v>
      </c>
      <c r="F59" t="str">
        <f t="shared" si="0"/>
        <v xml:space="preserve">06  - 16 </v>
      </c>
      <c r="G59" s="1">
        <v>1059.3749999999998</v>
      </c>
      <c r="H59" s="1">
        <v>0</v>
      </c>
      <c r="I59" s="1">
        <v>1059.3749999999998</v>
      </c>
      <c r="J59" s="1">
        <v>0</v>
      </c>
      <c r="K59" s="1">
        <v>0</v>
      </c>
      <c r="L59" s="1">
        <v>0</v>
      </c>
      <c r="M59" s="1">
        <v>0</v>
      </c>
      <c r="N59" s="1">
        <v>0</v>
      </c>
      <c r="O59" s="1">
        <v>0</v>
      </c>
      <c r="P59" s="1">
        <v>0</v>
      </c>
      <c r="Q59" s="1">
        <v>0</v>
      </c>
      <c r="R59" s="1">
        <v>0</v>
      </c>
      <c r="S59" s="67"/>
      <c r="T59">
        <f>VLOOKUP(A59,'Groupe de branches'!$Z$27:$AM$86,14,FALSE)</f>
        <v>0</v>
      </c>
      <c r="U59">
        <f>VLOOKUP(D59,'Groupe de branches'!$Z$27:$AM$86,14,FALSE)</f>
        <v>0</v>
      </c>
      <c r="V59">
        <v>2016</v>
      </c>
      <c r="W59" t="str">
        <f>VLOOKUP(D59,'Table corresp.'!$M$4:$S$63,7,FALSE)</f>
        <v>Emballage bois et carton</v>
      </c>
      <c r="X59" s="167">
        <f>IFERROR(G59/SUMIFS('Comp2016-2017 (3)'!$I$5:$I$289,'Comp2016-2017 (3)'!$A$5:$A$289,A59,'Comp2016-2017 (3)'!$R$5:$R$289,V59),0)</f>
        <v>4.2920897511735216E-3</v>
      </c>
      <c r="Y59" s="178">
        <f>IFERROR(IF(RIGHT(F59,3)="Exp",VLOOKUP(F59,#REF!,2,FALSE),VLOOKUP(F59,#REF!,9,FALSE)),1)</f>
        <v>1</v>
      </c>
      <c r="Z59" s="167">
        <f t="shared" si="5"/>
        <v>3.7037037037037035E-2</v>
      </c>
      <c r="AA59" s="189">
        <f t="shared" si="3"/>
        <v>1.5896628708050078E-4</v>
      </c>
      <c r="AB59" s="2">
        <f>IFERROR(SUMIFS('Comp2016-2017 (3)'!$G$5:$G$289,'Comp2016-2017 (3)'!$A$5:$A$289,A59,'Comp2016-2017 (3)'!$R$5:$R$289,V59)*AA59/SUMIFS($AA$4:$AA$1116,$A$4:$A$1116,A59,$V$4:$V$1116,V59),0)</f>
        <v>48.230239799959307</v>
      </c>
      <c r="AC59" s="2" t="str">
        <f>IF($W59=AC$3,$AB59,IF(NOT($W59=0),"",SUMIFS('Val-Vol (2)'!AC$4:AC$1116,'Val-Vol (2)'!$A$4:$A$1116,$D59,'Val-Vol (2)'!$V$4:$V$1116,$V59)/SUMIFS('Comp2016-2017 (3)'!$G$5:$G$289,'Comp2016-2017 (3)'!$A$5:$A$289,$D59,'Comp2016-2017 (3)'!$R$5:$R$289,$V59)*$AB59))</f>
        <v/>
      </c>
      <c r="AD59" s="2" t="str">
        <f>IF($W59=AD$3,$AB59,IF(NOT($W59=0),"",SUMIFS('Val-Vol (2)'!AD$4:AD$1116,'Val-Vol (2)'!$A$4:$A$1116,$D59,'Val-Vol (2)'!$V$4:$V$1116,$V59)/SUMIFS('Comp2016-2017 (3)'!$G$5:$G$289,'Comp2016-2017 (3)'!$A$5:$A$289,$D59,'Comp2016-2017 (3)'!$R$5:$R$289,$V59)*$AB59))</f>
        <v/>
      </c>
      <c r="AE59" s="2" t="str">
        <f>IF($W59=AE$3,$AB59,IF(NOT($W59=0),"",SUMIFS('Val-Vol (2)'!AE$4:AE$1116,'Val-Vol (2)'!$A$4:$A$1116,$D59,'Val-Vol (2)'!$V$4:$V$1116,$V59)/SUMIFS('Comp2016-2017 (3)'!$G$5:$G$289,'Comp2016-2017 (3)'!$A$5:$A$289,$D59,'Comp2016-2017 (3)'!$R$5:$R$289,$V59)*$AB59))</f>
        <v/>
      </c>
      <c r="AF59" s="2" t="str">
        <f>IF($W59=AF$3,$AB59,IF(NOT($W59=0),"",SUMIFS('Val-Vol (2)'!AF$4:AF$1116,'Val-Vol (2)'!$A$4:$A$1116,$D59,'Val-Vol (2)'!$V$4:$V$1116,$V59)/SUMIFS('Comp2016-2017 (3)'!$G$5:$G$289,'Comp2016-2017 (3)'!$A$5:$A$289,$D59,'Comp2016-2017 (3)'!$R$5:$R$289,$V59)*$AB59))</f>
        <v/>
      </c>
      <c r="AG59" s="2">
        <f>IF($W59=AG$3,$AB59,IF(NOT($W59=0),"",SUMIFS('Val-Vol (2)'!AG$4:AG$1116,'Val-Vol (2)'!$A$4:$A$1116,$D59,'Val-Vol (2)'!$V$4:$V$1116,$V59)/SUMIFS('Comp2016-2017 (3)'!$G$5:$G$289,'Comp2016-2017 (3)'!$A$5:$A$289,$D59,'Comp2016-2017 (3)'!$R$5:$R$289,$V59)*$AB59))</f>
        <v>48.230239799959307</v>
      </c>
      <c r="AH59" s="2" t="str">
        <f>IF($W59=AH$3,$AB59,IF(NOT($W59=0),"",SUMIFS('Val-Vol (2)'!AH$4:AH$1116,'Val-Vol (2)'!$A$4:$A$1116,$D59,'Val-Vol (2)'!$V$4:$V$1116,$V59)/SUMIFS('Comp2016-2017 (3)'!$G$5:$G$289,'Comp2016-2017 (3)'!$A$5:$A$289,$D59,'Comp2016-2017 (3)'!$R$5:$R$289,$V59)*$AB59))</f>
        <v/>
      </c>
      <c r="AI59" s="2" t="str">
        <f>IF($W59=AI$3,$AB59,IF(NOT($W59=0),"",SUMIFS('Val-Vol (2)'!AI$4:AI$1116,'Val-Vol (2)'!$A$4:$A$1116,$D59,'Val-Vol (2)'!$V$4:$V$1116,$V59)/SUMIFS('Comp2016-2017 (3)'!$G$5:$G$289,'Comp2016-2017 (3)'!$A$5:$A$289,$D59,'Comp2016-2017 (3)'!$R$5:$R$289,$V59)*$AB59))</f>
        <v/>
      </c>
      <c r="AJ59" s="2" t="str">
        <f>IF($W59=AJ$3,$AB59,IF(NOT($W59=0),"",SUMIFS('Val-Vol (2)'!AJ$4:AJ$1116,'Val-Vol (2)'!$A$4:$A$1116,$D59,'Val-Vol (2)'!$V$4:$V$1116,$V59)/SUMIFS('Comp2016-2017 (3)'!$G$5:$G$289,'Comp2016-2017 (3)'!$A$5:$A$289,$D59,'Comp2016-2017 (3)'!$R$5:$R$289,$V59)*$AB59))</f>
        <v/>
      </c>
      <c r="AK59" s="2">
        <f t="shared" si="4"/>
        <v>0</v>
      </c>
      <c r="AL59" t="str">
        <f t="shared" si="2"/>
        <v/>
      </c>
      <c r="AM59" t="str">
        <f>VLOOKUP(A59,'Table corresp.'!$M$4:$U$63,8,FALSE)</f>
        <v>Production intermédiaire</v>
      </c>
      <c r="AN59" t="str">
        <f>VLOOKUP(D59,'Table corresp.'!$M$4:$U$63,9,FALSE)</f>
        <v>Production intermédiaire</v>
      </c>
    </row>
    <row r="60" spans="1:40" x14ac:dyDescent="0.25">
      <c r="A60" t="s">
        <v>3</v>
      </c>
      <c r="B60" t="str">
        <f>VLOOKUP(LEFT(A60,3),'Table corresp.'!$A$4:$D$63,3,FALSE)</f>
        <v>Transformation</v>
      </c>
      <c r="C60" t="str">
        <f>VLOOKUP(A60,'Table corresp.'!$M$4:$P$63,4,FALSE)</f>
        <v>Production et transformation de produits bois</v>
      </c>
      <c r="D60" t="s">
        <v>84</v>
      </c>
      <c r="E60" t="str">
        <f>VLOOKUP(LEFT(D60,3),'Table corresp.'!$A$4:$D$63,4,FALSE)</f>
        <v>Transformation</v>
      </c>
      <c r="F60" t="str">
        <f t="shared" si="0"/>
        <v xml:space="preserve">06  - 17 </v>
      </c>
      <c r="G60" s="1">
        <v>1426.8164219999999</v>
      </c>
      <c r="H60" s="1">
        <v>0</v>
      </c>
      <c r="I60" s="1">
        <v>1426.8164219999999</v>
      </c>
      <c r="J60" s="1">
        <v>0</v>
      </c>
      <c r="K60" s="1">
        <v>0</v>
      </c>
      <c r="L60" s="1">
        <v>0</v>
      </c>
      <c r="M60" s="1">
        <v>0</v>
      </c>
      <c r="N60" s="1">
        <v>0</v>
      </c>
      <c r="O60" s="1">
        <v>0</v>
      </c>
      <c r="P60" s="1">
        <v>0</v>
      </c>
      <c r="Q60" s="1">
        <v>0</v>
      </c>
      <c r="R60" s="1">
        <v>0</v>
      </c>
      <c r="S60" s="67"/>
      <c r="T60">
        <f>VLOOKUP(A60,'Groupe de branches'!$Z$27:$AM$86,14,FALSE)</f>
        <v>0</v>
      </c>
      <c r="U60">
        <f>VLOOKUP(D60,'Groupe de branches'!$Z$27:$AM$86,14,FALSE)</f>
        <v>0</v>
      </c>
      <c r="V60">
        <v>2016</v>
      </c>
      <c r="W60" t="str">
        <f>VLOOKUP(D60,'Table corresp.'!$M$4:$S$63,7,FALSE)</f>
        <v>Construction</v>
      </c>
      <c r="X60" s="167">
        <f>IFERROR(G60/SUMIFS('Comp2016-2017 (3)'!$I$5:$I$289,'Comp2016-2017 (3)'!$A$5:$A$289,A60,'Comp2016-2017 (3)'!$R$5:$R$289,V60),0)</f>
        <v>5.7807897502511144E-3</v>
      </c>
      <c r="Y60" s="178">
        <f>IFERROR(IF(RIGHT(F60,3)="Exp",VLOOKUP(F60,#REF!,2,FALSE),VLOOKUP(F60,#REF!,9,FALSE)),1)</f>
        <v>1</v>
      </c>
      <c r="Z60" s="167">
        <f t="shared" si="5"/>
        <v>3.7037037037037035E-2</v>
      </c>
      <c r="AA60" s="189">
        <f t="shared" si="3"/>
        <v>2.141033240833746E-4</v>
      </c>
      <c r="AB60" s="2">
        <f>IFERROR(SUMIFS('Comp2016-2017 (3)'!$G$5:$G$289,'Comp2016-2017 (3)'!$A$5:$A$289,A60,'Comp2016-2017 (3)'!$R$5:$R$289,V60)*AA60/SUMIFS($AA$4:$AA$1116,$A$4:$A$1116,A60,$V$4:$V$1116,V60),0)</f>
        <v>64.958771146742123</v>
      </c>
      <c r="AC60" s="2" t="str">
        <f>IF($W60=AC$3,$AB60,IF(NOT($W60=0),"",SUMIFS('Val-Vol (2)'!AC$4:AC$1116,'Val-Vol (2)'!$A$4:$A$1116,$D60,'Val-Vol (2)'!$V$4:$V$1116,$V60)/SUMIFS('Comp2016-2017 (3)'!$G$5:$G$289,'Comp2016-2017 (3)'!$A$5:$A$289,$D60,'Comp2016-2017 (3)'!$R$5:$R$289,$V60)*$AB60))</f>
        <v/>
      </c>
      <c r="AD60" s="2">
        <f>IF($W60=AD$3,$AB60,IF(NOT($W60=0),"",SUMIFS('Val-Vol (2)'!AD$4:AD$1116,'Val-Vol (2)'!$A$4:$A$1116,$D60,'Val-Vol (2)'!$V$4:$V$1116,$V60)/SUMIFS('Comp2016-2017 (3)'!$G$5:$G$289,'Comp2016-2017 (3)'!$A$5:$A$289,$D60,'Comp2016-2017 (3)'!$R$5:$R$289,$V60)*$AB60))</f>
        <v>64.958771146742123</v>
      </c>
      <c r="AE60" s="2" t="str">
        <f>IF($W60=AE$3,$AB60,IF(NOT($W60=0),"",SUMIFS('Val-Vol (2)'!AE$4:AE$1116,'Val-Vol (2)'!$A$4:$A$1116,$D60,'Val-Vol (2)'!$V$4:$V$1116,$V60)/SUMIFS('Comp2016-2017 (3)'!$G$5:$G$289,'Comp2016-2017 (3)'!$A$5:$A$289,$D60,'Comp2016-2017 (3)'!$R$5:$R$289,$V60)*$AB60))</f>
        <v/>
      </c>
      <c r="AF60" s="2" t="str">
        <f>IF($W60=AF$3,$AB60,IF(NOT($W60=0),"",SUMIFS('Val-Vol (2)'!AF$4:AF$1116,'Val-Vol (2)'!$A$4:$A$1116,$D60,'Val-Vol (2)'!$V$4:$V$1116,$V60)/SUMIFS('Comp2016-2017 (3)'!$G$5:$G$289,'Comp2016-2017 (3)'!$A$5:$A$289,$D60,'Comp2016-2017 (3)'!$R$5:$R$289,$V60)*$AB60))</f>
        <v/>
      </c>
      <c r="AG60" s="2" t="str">
        <f>IF($W60=AG$3,$AB60,IF(NOT($W60=0),"",SUMIFS('Val-Vol (2)'!AG$4:AG$1116,'Val-Vol (2)'!$A$4:$A$1116,$D60,'Val-Vol (2)'!$V$4:$V$1116,$V60)/SUMIFS('Comp2016-2017 (3)'!$G$5:$G$289,'Comp2016-2017 (3)'!$A$5:$A$289,$D60,'Comp2016-2017 (3)'!$R$5:$R$289,$V60)*$AB60))</f>
        <v/>
      </c>
      <c r="AH60" s="2" t="str">
        <f>IF($W60=AH$3,$AB60,IF(NOT($W60=0),"",SUMIFS('Val-Vol (2)'!AH$4:AH$1116,'Val-Vol (2)'!$A$4:$A$1116,$D60,'Val-Vol (2)'!$V$4:$V$1116,$V60)/SUMIFS('Comp2016-2017 (3)'!$G$5:$G$289,'Comp2016-2017 (3)'!$A$5:$A$289,$D60,'Comp2016-2017 (3)'!$R$5:$R$289,$V60)*$AB60))</f>
        <v/>
      </c>
      <c r="AI60" s="2" t="str">
        <f>IF($W60=AI$3,$AB60,IF(NOT($W60=0),"",SUMIFS('Val-Vol (2)'!AI$4:AI$1116,'Val-Vol (2)'!$A$4:$A$1116,$D60,'Val-Vol (2)'!$V$4:$V$1116,$V60)/SUMIFS('Comp2016-2017 (3)'!$G$5:$G$289,'Comp2016-2017 (3)'!$A$5:$A$289,$D60,'Comp2016-2017 (3)'!$R$5:$R$289,$V60)*$AB60))</f>
        <v/>
      </c>
      <c r="AJ60" s="2" t="str">
        <f>IF($W60=AJ$3,$AB60,IF(NOT($W60=0),"",SUMIFS('Val-Vol (2)'!AJ$4:AJ$1116,'Val-Vol (2)'!$A$4:$A$1116,$D60,'Val-Vol (2)'!$V$4:$V$1116,$V60)/SUMIFS('Comp2016-2017 (3)'!$G$5:$G$289,'Comp2016-2017 (3)'!$A$5:$A$289,$D60,'Comp2016-2017 (3)'!$R$5:$R$289,$V60)*$AB60))</f>
        <v/>
      </c>
      <c r="AK60" s="2">
        <f t="shared" si="4"/>
        <v>0</v>
      </c>
      <c r="AL60" t="str">
        <f t="shared" si="2"/>
        <v/>
      </c>
      <c r="AM60" t="str">
        <f>VLOOKUP(A60,'Table corresp.'!$M$4:$U$63,8,FALSE)</f>
        <v>Production intermédiaire</v>
      </c>
      <c r="AN60" t="str">
        <f>VLOOKUP(D60,'Table corresp.'!$M$4:$U$63,9,FALSE)</f>
        <v>Production intermédiaire</v>
      </c>
    </row>
    <row r="61" spans="1:40" x14ac:dyDescent="0.25">
      <c r="A61" t="s">
        <v>3</v>
      </c>
      <c r="B61" t="str">
        <f>VLOOKUP(LEFT(A61,3),'Table corresp.'!$A$4:$D$63,3,FALSE)</f>
        <v>Transformation</v>
      </c>
      <c r="C61" t="str">
        <f>VLOOKUP(A61,'Table corresp.'!$M$4:$P$63,4,FALSE)</f>
        <v>Production et transformation de produits bois</v>
      </c>
      <c r="D61" t="s">
        <v>86</v>
      </c>
      <c r="E61" t="str">
        <f>VLOOKUP(LEFT(D61,3),'Table corresp.'!$A$4:$D$63,4,FALSE)</f>
        <v>Transformation</v>
      </c>
      <c r="F61" t="str">
        <f t="shared" si="0"/>
        <v xml:space="preserve">06  - 30 </v>
      </c>
      <c r="G61" s="1">
        <v>19143.390530000001</v>
      </c>
      <c r="H61" s="1">
        <v>0</v>
      </c>
      <c r="I61" s="1">
        <v>19143.390530000001</v>
      </c>
      <c r="J61" s="1">
        <v>0</v>
      </c>
      <c r="K61" s="1">
        <v>0</v>
      </c>
      <c r="L61" s="1">
        <v>0</v>
      </c>
      <c r="M61" s="1">
        <v>0</v>
      </c>
      <c r="N61" s="1">
        <v>0</v>
      </c>
      <c r="O61" s="1">
        <v>0</v>
      </c>
      <c r="P61" s="1">
        <v>0</v>
      </c>
      <c r="Q61" s="1">
        <v>0</v>
      </c>
      <c r="R61" s="1">
        <v>0</v>
      </c>
      <c r="S61" s="67"/>
      <c r="T61">
        <f>VLOOKUP(A61,'Groupe de branches'!$Z$27:$AM$86,14,FALSE)</f>
        <v>0</v>
      </c>
      <c r="U61">
        <f>VLOOKUP(D61,'Groupe de branches'!$Z$27:$AM$86,14,FALSE)</f>
        <v>1</v>
      </c>
      <c r="V61">
        <v>2016</v>
      </c>
      <c r="W61" t="str">
        <f>VLOOKUP(D61,'Table corresp.'!$M$4:$S$63,7,FALSE)</f>
        <v>Energie</v>
      </c>
      <c r="X61" s="167">
        <f>IFERROR(G61/SUMIFS('Comp2016-2017 (3)'!$I$5:$I$289,'Comp2016-2017 (3)'!$A$5:$A$289,A61,'Comp2016-2017 (3)'!$R$5:$R$289,V61),0)</f>
        <v>7.7560023878725917E-2</v>
      </c>
      <c r="Y61" s="178">
        <f>IFERROR(IF(RIGHT(F61,3)="Exp",VLOOKUP(F61,#REF!,2,FALSE),VLOOKUP(F61,#REF!,9,FALSE)),1)</f>
        <v>1</v>
      </c>
      <c r="Z61" s="167">
        <f t="shared" si="5"/>
        <v>3.7037037037037035E-2</v>
      </c>
      <c r="AA61" s="189">
        <f t="shared" si="3"/>
        <v>2.8725934769898488E-3</v>
      </c>
      <c r="AB61" s="2">
        <f>IFERROR(SUMIFS('Comp2016-2017 (3)'!$G$5:$G$289,'Comp2016-2017 (3)'!$A$5:$A$289,A61,'Comp2016-2017 (3)'!$R$5:$R$289,V61)*AA61/SUMIFS($AA$4:$AA$1116,$A$4:$A$1116,A61,$V$4:$V$1116,V61),0)</f>
        <v>871.5424810347331</v>
      </c>
      <c r="AC61" s="2" t="str">
        <f>IF($W61=AC$3,$AB61,IF(NOT($W61=0),"",SUMIFS('Val-Vol (2)'!AC$4:AC$1116,'Val-Vol (2)'!$A$4:$A$1116,$D61,'Val-Vol (2)'!$V$4:$V$1116,$V61)/SUMIFS('Comp2016-2017 (3)'!$G$5:$G$289,'Comp2016-2017 (3)'!$A$5:$A$289,$D61,'Comp2016-2017 (3)'!$R$5:$R$289,$V61)*$AB61))</f>
        <v/>
      </c>
      <c r="AD61" s="2" t="str">
        <f>IF($W61=AD$3,$AB61,IF(NOT($W61=0),"",SUMIFS('Val-Vol (2)'!AD$4:AD$1116,'Val-Vol (2)'!$A$4:$A$1116,$D61,'Val-Vol (2)'!$V$4:$V$1116,$V61)/SUMIFS('Comp2016-2017 (3)'!$G$5:$G$289,'Comp2016-2017 (3)'!$A$5:$A$289,$D61,'Comp2016-2017 (3)'!$R$5:$R$289,$V61)*$AB61))</f>
        <v/>
      </c>
      <c r="AE61" s="2" t="str">
        <f>IF($W61=AE$3,$AB61,IF(NOT($W61=0),"",SUMIFS('Val-Vol (2)'!AE$4:AE$1116,'Val-Vol (2)'!$A$4:$A$1116,$D61,'Val-Vol (2)'!$V$4:$V$1116,$V61)/SUMIFS('Comp2016-2017 (3)'!$G$5:$G$289,'Comp2016-2017 (3)'!$A$5:$A$289,$D61,'Comp2016-2017 (3)'!$R$5:$R$289,$V61)*$AB61))</f>
        <v/>
      </c>
      <c r="AF61" s="2" t="str">
        <f>IF($W61=AF$3,$AB61,IF(NOT($W61=0),"",SUMIFS('Val-Vol (2)'!AF$4:AF$1116,'Val-Vol (2)'!$A$4:$A$1116,$D61,'Val-Vol (2)'!$V$4:$V$1116,$V61)/SUMIFS('Comp2016-2017 (3)'!$G$5:$G$289,'Comp2016-2017 (3)'!$A$5:$A$289,$D61,'Comp2016-2017 (3)'!$R$5:$R$289,$V61)*$AB61))</f>
        <v/>
      </c>
      <c r="AG61" s="2" t="str">
        <f>IF($W61=AG$3,$AB61,IF(NOT($W61=0),"",SUMIFS('Val-Vol (2)'!AG$4:AG$1116,'Val-Vol (2)'!$A$4:$A$1116,$D61,'Val-Vol (2)'!$V$4:$V$1116,$V61)/SUMIFS('Comp2016-2017 (3)'!$G$5:$G$289,'Comp2016-2017 (3)'!$A$5:$A$289,$D61,'Comp2016-2017 (3)'!$R$5:$R$289,$V61)*$AB61))</f>
        <v/>
      </c>
      <c r="AH61" s="2">
        <f>IF($W61=AH$3,$AB61,IF(NOT($W61=0),"",SUMIFS('Val-Vol (2)'!AH$4:AH$1116,'Val-Vol (2)'!$A$4:$A$1116,$D61,'Val-Vol (2)'!$V$4:$V$1116,$V61)/SUMIFS('Comp2016-2017 (3)'!$G$5:$G$289,'Comp2016-2017 (3)'!$A$5:$A$289,$D61,'Comp2016-2017 (3)'!$R$5:$R$289,$V61)*$AB61))</f>
        <v>871.5424810347331</v>
      </c>
      <c r="AI61" s="2" t="str">
        <f>IF($W61=AI$3,$AB61,IF(NOT($W61=0),"",SUMIFS('Val-Vol (2)'!AI$4:AI$1116,'Val-Vol (2)'!$A$4:$A$1116,$D61,'Val-Vol (2)'!$V$4:$V$1116,$V61)/SUMIFS('Comp2016-2017 (3)'!$G$5:$G$289,'Comp2016-2017 (3)'!$A$5:$A$289,$D61,'Comp2016-2017 (3)'!$R$5:$R$289,$V61)*$AB61))</f>
        <v/>
      </c>
      <c r="AJ61" s="2" t="str">
        <f>IF($W61=AJ$3,$AB61,IF(NOT($W61=0),"",SUMIFS('Val-Vol (2)'!AJ$4:AJ$1116,'Val-Vol (2)'!$A$4:$A$1116,$D61,'Val-Vol (2)'!$V$4:$V$1116,$V61)/SUMIFS('Comp2016-2017 (3)'!$G$5:$G$289,'Comp2016-2017 (3)'!$A$5:$A$289,$D61,'Comp2016-2017 (3)'!$R$5:$R$289,$V61)*$AB61))</f>
        <v/>
      </c>
      <c r="AK61" s="2">
        <f t="shared" si="4"/>
        <v>0</v>
      </c>
      <c r="AL61" t="str">
        <f t="shared" si="2"/>
        <v/>
      </c>
      <c r="AM61" t="str">
        <f>VLOOKUP(A61,'Table corresp.'!$M$4:$U$63,8,FALSE)</f>
        <v>Production intermédiaire</v>
      </c>
      <c r="AN61" t="str">
        <f>VLOOKUP(D61,'Table corresp.'!$M$4:$U$63,9,FALSE)</f>
        <v>Production intermédiaire</v>
      </c>
    </row>
    <row r="62" spans="1:40" x14ac:dyDescent="0.25">
      <c r="A62" t="s">
        <v>3</v>
      </c>
      <c r="B62" t="str">
        <f>VLOOKUP(LEFT(A62,3),'Table corresp.'!$A$4:$D$63,3,FALSE)</f>
        <v>Transformation</v>
      </c>
      <c r="C62" t="str">
        <f>VLOOKUP(A62,'Table corresp.'!$M$4:$P$63,4,FALSE)</f>
        <v>Production et transformation de produits bois</v>
      </c>
      <c r="D62" t="s">
        <v>87</v>
      </c>
      <c r="E62" t="str">
        <f>VLOOKUP(LEFT(D62,3),'Table corresp.'!$A$4:$D$63,4,FALSE)</f>
        <v>Transformation</v>
      </c>
      <c r="F62" t="str">
        <f t="shared" si="0"/>
        <v xml:space="preserve">06  - 31 </v>
      </c>
      <c r="G62" s="1">
        <v>16666.963895714285</v>
      </c>
      <c r="H62" s="1">
        <v>0</v>
      </c>
      <c r="I62" s="1">
        <v>16666.963895714285</v>
      </c>
      <c r="J62" s="1">
        <v>0</v>
      </c>
      <c r="K62" s="1">
        <v>0</v>
      </c>
      <c r="L62" s="1">
        <v>0</v>
      </c>
      <c r="M62" s="1">
        <v>0</v>
      </c>
      <c r="N62" s="1">
        <v>0</v>
      </c>
      <c r="O62" s="1">
        <v>0</v>
      </c>
      <c r="P62" s="1">
        <v>0</v>
      </c>
      <c r="Q62" s="1">
        <v>0</v>
      </c>
      <c r="R62" s="1">
        <v>0</v>
      </c>
      <c r="S62" s="67"/>
      <c r="T62">
        <f>VLOOKUP(A62,'Groupe de branches'!$Z$27:$AM$86,14,FALSE)</f>
        <v>0</v>
      </c>
      <c r="U62">
        <f>VLOOKUP(D62,'Groupe de branches'!$Z$27:$AM$86,14,FALSE)</f>
        <v>0</v>
      </c>
      <c r="V62">
        <v>2016</v>
      </c>
      <c r="W62">
        <f>VLOOKUP(D62,'Table corresp.'!$M$4:$S$63,7,FALSE)</f>
        <v>0</v>
      </c>
      <c r="X62" s="167">
        <f>IFERROR(G62/SUMIFS('Comp2016-2017 (3)'!$I$5:$I$289,'Comp2016-2017 (3)'!$A$5:$A$289,A62,'Comp2016-2017 (3)'!$R$5:$R$289,V62),0)</f>
        <v>6.7526706709120379E-2</v>
      </c>
      <c r="Y62" s="178">
        <f>IFERROR(IF(RIGHT(F62,3)="Exp",VLOOKUP(F62,#REF!,2,FALSE),VLOOKUP(F62,#REF!,9,FALSE)),1)</f>
        <v>1</v>
      </c>
      <c r="Z62" s="167">
        <f t="shared" si="5"/>
        <v>3.7037037037037035E-2</v>
      </c>
      <c r="AA62" s="189">
        <f t="shared" si="3"/>
        <v>2.5009891373748289E-3</v>
      </c>
      <c r="AB62" s="2">
        <f>IFERROR(SUMIFS('Comp2016-2017 (3)'!$G$5:$G$289,'Comp2016-2017 (3)'!$A$5:$A$289,A62,'Comp2016-2017 (3)'!$R$5:$R$289,V62)*AA62/SUMIFS($AA$4:$AA$1116,$A$4:$A$1116,A62,$V$4:$V$1116,V62),0)</f>
        <v>758.7980322620075</v>
      </c>
      <c r="AC62" s="2">
        <f>IF($W62=AC$3,$AB62,IF(NOT($W62=0),"",SUMIFS('Val-Vol (2)'!AC$4:AC$1116,'Val-Vol (2)'!$A$4:$A$1116,$D62,'Val-Vol (2)'!$V$4:$V$1116,$V62)/SUMIFS('Comp2016-2017 (3)'!$G$5:$G$289,'Comp2016-2017 (3)'!$A$5:$A$289,$D62,'Comp2016-2017 (3)'!$R$5:$R$289,$V62)*$AB62))</f>
        <v>416.32969336685522</v>
      </c>
      <c r="AD62" s="2">
        <f>IF($W62=AD$3,$AB62,IF(NOT($W62=0),"",SUMIFS('Val-Vol (2)'!AD$4:AD$1116,'Val-Vol (2)'!$A$4:$A$1116,$D62,'Val-Vol (2)'!$V$4:$V$1116,$V62)/SUMIFS('Comp2016-2017 (3)'!$G$5:$G$289,'Comp2016-2017 (3)'!$A$5:$A$289,$D62,'Comp2016-2017 (3)'!$R$5:$R$289,$V62)*$AB62))</f>
        <v>114.94007842820814</v>
      </c>
      <c r="AE62" s="2">
        <f>IF($W62=AE$3,$AB62,IF(NOT($W62=0),"",SUMIFS('Val-Vol (2)'!AE$4:AE$1116,'Val-Vol (2)'!$A$4:$A$1116,$D62,'Val-Vol (2)'!$V$4:$V$1116,$V62)/SUMIFS('Comp2016-2017 (3)'!$G$5:$G$289,'Comp2016-2017 (3)'!$A$5:$A$289,$D62,'Comp2016-2017 (3)'!$R$5:$R$289,$V62)*$AB62))</f>
        <v>143.68878820363324</v>
      </c>
      <c r="AF62" s="2">
        <f>IF($W62=AF$3,$AB62,IF(NOT($W62=0),"",SUMIFS('Val-Vol (2)'!AF$4:AF$1116,'Val-Vol (2)'!$A$4:$A$1116,$D62,'Val-Vol (2)'!$V$4:$V$1116,$V62)/SUMIFS('Comp2016-2017 (3)'!$G$5:$G$289,'Comp2016-2017 (3)'!$A$5:$A$289,$D62,'Comp2016-2017 (3)'!$R$5:$R$289,$V62)*$AB62))</f>
        <v>0</v>
      </c>
      <c r="AG62" s="2">
        <f>IF($W62=AG$3,$AB62,IF(NOT($W62=0),"",SUMIFS('Val-Vol (2)'!AG$4:AG$1116,'Val-Vol (2)'!$A$4:$A$1116,$D62,'Val-Vol (2)'!$V$4:$V$1116,$V62)/SUMIFS('Comp2016-2017 (3)'!$G$5:$G$289,'Comp2016-2017 (3)'!$A$5:$A$289,$D62,'Comp2016-2017 (3)'!$R$5:$R$289,$V62)*$AB62))</f>
        <v>61.980453488367779</v>
      </c>
      <c r="AH62" s="2">
        <f>IF($W62=AH$3,$AB62,IF(NOT($W62=0),"",SUMIFS('Val-Vol (2)'!AH$4:AH$1116,'Val-Vol (2)'!$A$4:$A$1116,$D62,'Val-Vol (2)'!$V$4:$V$1116,$V62)/SUMIFS('Comp2016-2017 (3)'!$G$5:$G$289,'Comp2016-2017 (3)'!$A$5:$A$289,$D62,'Comp2016-2017 (3)'!$R$5:$R$289,$V62)*$AB62))</f>
        <v>0</v>
      </c>
      <c r="AI62" s="2">
        <f>IF($W62=AI$3,$AB62,IF(NOT($W62=0),"",SUMIFS('Val-Vol (2)'!AI$4:AI$1116,'Val-Vol (2)'!$A$4:$A$1116,$D62,'Val-Vol (2)'!$V$4:$V$1116,$V62)/SUMIFS('Comp2016-2017 (3)'!$G$5:$G$289,'Comp2016-2017 (3)'!$A$5:$A$289,$D62,'Comp2016-2017 (3)'!$R$5:$R$289,$V62)*$AB62))</f>
        <v>0</v>
      </c>
      <c r="AJ62" s="2">
        <f>IF($W62=AJ$3,$AB62,IF(NOT($W62=0),"",SUMIFS('Val-Vol (2)'!AJ$4:AJ$1116,'Val-Vol (2)'!$A$4:$A$1116,$D62,'Val-Vol (2)'!$V$4:$V$1116,$V62)/SUMIFS('Comp2016-2017 (3)'!$G$5:$G$289,'Comp2016-2017 (3)'!$A$5:$A$289,$D62,'Comp2016-2017 (3)'!$R$5:$R$289,$V62)*$AB62))</f>
        <v>21.85901877494317</v>
      </c>
      <c r="AK62" s="2">
        <f t="shared" si="4"/>
        <v>0</v>
      </c>
      <c r="AL62" t="str">
        <f t="shared" si="2"/>
        <v/>
      </c>
      <c r="AM62" t="str">
        <f>VLOOKUP(A62,'Table corresp.'!$M$4:$U$63,8,FALSE)</f>
        <v>Production intermédiaire</v>
      </c>
      <c r="AN62" t="str">
        <f>VLOOKUP(D62,'Table corresp.'!$M$4:$U$63,9,FALSE)</f>
        <v>Production intermédiaire</v>
      </c>
    </row>
    <row r="63" spans="1:40" x14ac:dyDescent="0.25">
      <c r="A63" t="s">
        <v>3</v>
      </c>
      <c r="B63" t="str">
        <f>VLOOKUP(LEFT(A63,3),'Table corresp.'!$A$4:$D$63,3,FALSE)</f>
        <v>Transformation</v>
      </c>
      <c r="C63" t="str">
        <f>VLOOKUP(A63,'Table corresp.'!$M$4:$P$63,4,FALSE)</f>
        <v>Production et transformation de produits bois</v>
      </c>
      <c r="D63" t="s">
        <v>91</v>
      </c>
      <c r="E63" t="str">
        <f>VLOOKUP(LEFT(D63,3),'Table corresp.'!$A$4:$D$63,4,FALSE)</f>
        <v>Transformation</v>
      </c>
      <c r="F63" t="str">
        <f t="shared" si="0"/>
        <v xml:space="preserve">06  - 37 </v>
      </c>
      <c r="G63" s="1">
        <v>4616.0246879999986</v>
      </c>
      <c r="H63" s="1">
        <v>0</v>
      </c>
      <c r="I63" s="1">
        <v>4616.0246879999986</v>
      </c>
      <c r="J63" s="1">
        <v>0</v>
      </c>
      <c r="K63" s="1">
        <v>0</v>
      </c>
      <c r="L63" s="1">
        <v>0</v>
      </c>
      <c r="M63" s="1">
        <v>0</v>
      </c>
      <c r="N63" s="1">
        <v>0</v>
      </c>
      <c r="O63" s="1">
        <v>0</v>
      </c>
      <c r="P63" s="1">
        <v>0</v>
      </c>
      <c r="Q63" s="1">
        <v>0</v>
      </c>
      <c r="R63" s="1">
        <v>0</v>
      </c>
      <c r="S63" s="67"/>
      <c r="T63">
        <f>VLOOKUP(A63,'Groupe de branches'!$Z$27:$AM$86,14,FALSE)</f>
        <v>0</v>
      </c>
      <c r="U63">
        <f>VLOOKUP(D63,'Groupe de branches'!$Z$27:$AM$86,14,FALSE)</f>
        <v>0</v>
      </c>
      <c r="V63">
        <v>2016</v>
      </c>
      <c r="W63" t="str">
        <f>VLOOKUP(D63,'Table corresp.'!$M$4:$S$63,7,FALSE)</f>
        <v>Emballage bois et carton</v>
      </c>
      <c r="X63" s="167">
        <f>IFERROR(G63/SUMIFS('Comp2016-2017 (3)'!$I$5:$I$289,'Comp2016-2017 (3)'!$A$5:$A$289,A63,'Comp2016-2017 (3)'!$R$5:$R$289,V63),0)</f>
        <v>1.8701963190115634E-2</v>
      </c>
      <c r="Y63" s="178">
        <f>IFERROR(IF(RIGHT(F63,3)="Exp",VLOOKUP(F63,#REF!,2,FALSE),VLOOKUP(F63,#REF!,9,FALSE)),1)</f>
        <v>1</v>
      </c>
      <c r="Z63" s="167">
        <f t="shared" si="5"/>
        <v>3.7037037037037035E-2</v>
      </c>
      <c r="AA63" s="189">
        <f t="shared" si="3"/>
        <v>6.9266530333761606E-4</v>
      </c>
      <c r="AB63" s="2">
        <f>IFERROR(SUMIFS('Comp2016-2017 (3)'!$G$5:$G$289,'Comp2016-2017 (3)'!$A$5:$A$289,A63,'Comp2016-2017 (3)'!$R$5:$R$289,V63)*AA63/SUMIFS($AA$4:$AA$1116,$A$4:$A$1116,A63,$V$4:$V$1116,V63),0)</f>
        <v>210.15407917382643</v>
      </c>
      <c r="AC63" s="2" t="str">
        <f>IF($W63=AC$3,$AB63,IF(NOT($W63=0),"",SUMIFS('Val-Vol (2)'!AC$4:AC$1116,'Val-Vol (2)'!$A$4:$A$1116,$D63,'Val-Vol (2)'!$V$4:$V$1116,$V63)/SUMIFS('Comp2016-2017 (3)'!$G$5:$G$289,'Comp2016-2017 (3)'!$A$5:$A$289,$D63,'Comp2016-2017 (3)'!$R$5:$R$289,$V63)*$AB63))</f>
        <v/>
      </c>
      <c r="AD63" s="2" t="str">
        <f>IF($W63=AD$3,$AB63,IF(NOT($W63=0),"",SUMIFS('Val-Vol (2)'!AD$4:AD$1116,'Val-Vol (2)'!$A$4:$A$1116,$D63,'Val-Vol (2)'!$V$4:$V$1116,$V63)/SUMIFS('Comp2016-2017 (3)'!$G$5:$G$289,'Comp2016-2017 (3)'!$A$5:$A$289,$D63,'Comp2016-2017 (3)'!$R$5:$R$289,$V63)*$AB63))</f>
        <v/>
      </c>
      <c r="AE63" s="2" t="str">
        <f>IF($W63=AE$3,$AB63,IF(NOT($W63=0),"",SUMIFS('Val-Vol (2)'!AE$4:AE$1116,'Val-Vol (2)'!$A$4:$A$1116,$D63,'Val-Vol (2)'!$V$4:$V$1116,$V63)/SUMIFS('Comp2016-2017 (3)'!$G$5:$G$289,'Comp2016-2017 (3)'!$A$5:$A$289,$D63,'Comp2016-2017 (3)'!$R$5:$R$289,$V63)*$AB63))</f>
        <v/>
      </c>
      <c r="AF63" s="2" t="str">
        <f>IF($W63=AF$3,$AB63,IF(NOT($W63=0),"",SUMIFS('Val-Vol (2)'!AF$4:AF$1116,'Val-Vol (2)'!$A$4:$A$1116,$D63,'Val-Vol (2)'!$V$4:$V$1116,$V63)/SUMIFS('Comp2016-2017 (3)'!$G$5:$G$289,'Comp2016-2017 (3)'!$A$5:$A$289,$D63,'Comp2016-2017 (3)'!$R$5:$R$289,$V63)*$AB63))</f>
        <v/>
      </c>
      <c r="AG63" s="2">
        <f>IF($W63=AG$3,$AB63,IF(NOT($W63=0),"",SUMIFS('Val-Vol (2)'!AG$4:AG$1116,'Val-Vol (2)'!$A$4:$A$1116,$D63,'Val-Vol (2)'!$V$4:$V$1116,$V63)/SUMIFS('Comp2016-2017 (3)'!$G$5:$G$289,'Comp2016-2017 (3)'!$A$5:$A$289,$D63,'Comp2016-2017 (3)'!$R$5:$R$289,$V63)*$AB63))</f>
        <v>210.15407917382643</v>
      </c>
      <c r="AH63" s="2" t="str">
        <f>IF($W63=AH$3,$AB63,IF(NOT($W63=0),"",SUMIFS('Val-Vol (2)'!AH$4:AH$1116,'Val-Vol (2)'!$A$4:$A$1116,$D63,'Val-Vol (2)'!$V$4:$V$1116,$V63)/SUMIFS('Comp2016-2017 (3)'!$G$5:$G$289,'Comp2016-2017 (3)'!$A$5:$A$289,$D63,'Comp2016-2017 (3)'!$R$5:$R$289,$V63)*$AB63))</f>
        <v/>
      </c>
      <c r="AI63" s="2" t="str">
        <f>IF($W63=AI$3,$AB63,IF(NOT($W63=0),"",SUMIFS('Val-Vol (2)'!AI$4:AI$1116,'Val-Vol (2)'!$A$4:$A$1116,$D63,'Val-Vol (2)'!$V$4:$V$1116,$V63)/SUMIFS('Comp2016-2017 (3)'!$G$5:$G$289,'Comp2016-2017 (3)'!$A$5:$A$289,$D63,'Comp2016-2017 (3)'!$R$5:$R$289,$V63)*$AB63))</f>
        <v/>
      </c>
      <c r="AJ63" s="2" t="str">
        <f>IF($W63=AJ$3,$AB63,IF(NOT($W63=0),"",SUMIFS('Val-Vol (2)'!AJ$4:AJ$1116,'Val-Vol (2)'!$A$4:$A$1116,$D63,'Val-Vol (2)'!$V$4:$V$1116,$V63)/SUMIFS('Comp2016-2017 (3)'!$G$5:$G$289,'Comp2016-2017 (3)'!$A$5:$A$289,$D63,'Comp2016-2017 (3)'!$R$5:$R$289,$V63)*$AB63))</f>
        <v/>
      </c>
      <c r="AK63" s="2">
        <f t="shared" si="4"/>
        <v>0</v>
      </c>
      <c r="AL63" t="str">
        <f t="shared" si="2"/>
        <v/>
      </c>
      <c r="AM63" t="str">
        <f>VLOOKUP(A63,'Table corresp.'!$M$4:$U$63,8,FALSE)</f>
        <v>Production intermédiaire</v>
      </c>
      <c r="AN63" t="str">
        <f>VLOOKUP(D63,'Table corresp.'!$M$4:$U$63,9,FALSE)</f>
        <v>Production finale</v>
      </c>
    </row>
    <row r="64" spans="1:40" x14ac:dyDescent="0.25">
      <c r="A64" t="s">
        <v>3</v>
      </c>
      <c r="B64" t="str">
        <f>VLOOKUP(LEFT(A64,3),'Table corresp.'!$A$4:$D$63,3,FALSE)</f>
        <v>Transformation</v>
      </c>
      <c r="C64" t="str">
        <f>VLOOKUP(A64,'Table corresp.'!$M$4:$P$63,4,FALSE)</f>
        <v>Production et transformation de produits bois</v>
      </c>
      <c r="D64" t="s">
        <v>95</v>
      </c>
      <c r="E64" t="str">
        <f>VLOOKUP(LEFT(D64,3),'Table corresp.'!$A$4:$D$63,4,FALSE)</f>
        <v>Transformation</v>
      </c>
      <c r="F64" t="str">
        <f t="shared" si="0"/>
        <v xml:space="preserve">06  - 43 </v>
      </c>
      <c r="G64" s="1">
        <v>20603.025869484038</v>
      </c>
      <c r="H64" s="1">
        <v>0</v>
      </c>
      <c r="I64" s="1">
        <v>20603.025869484038</v>
      </c>
      <c r="J64" s="1">
        <v>0</v>
      </c>
      <c r="K64" s="1">
        <v>0</v>
      </c>
      <c r="L64" s="1">
        <v>0</v>
      </c>
      <c r="M64" s="1">
        <v>0</v>
      </c>
      <c r="N64" s="1">
        <v>0</v>
      </c>
      <c r="O64" s="1">
        <v>0</v>
      </c>
      <c r="P64" s="1">
        <v>0</v>
      </c>
      <c r="Q64" s="1">
        <v>0</v>
      </c>
      <c r="R64" s="1">
        <v>0</v>
      </c>
      <c r="S64" s="67"/>
      <c r="T64">
        <f>VLOOKUP(A64,'Groupe de branches'!$Z$27:$AM$86,14,FALSE)</f>
        <v>0</v>
      </c>
      <c r="U64">
        <f>VLOOKUP(D64,'Groupe de branches'!$Z$27:$AM$86,14,FALSE)</f>
        <v>0</v>
      </c>
      <c r="V64">
        <v>2016</v>
      </c>
      <c r="W64" t="str">
        <f>VLOOKUP(D64,'Table corresp.'!$M$4:$S$63,7,FALSE)</f>
        <v>Pate &amp; papier &amp; carton</v>
      </c>
      <c r="X64" s="167">
        <f>IFERROR(G64/SUMIFS('Comp2016-2017 (3)'!$I$5:$I$289,'Comp2016-2017 (3)'!$A$5:$A$289,A64,'Comp2016-2017 (3)'!$R$5:$R$289,V64),0)</f>
        <v>8.3473780462608033E-2</v>
      </c>
      <c r="Y64" s="178">
        <f>IFERROR(IF(RIGHT(F64,3)="Exp",VLOOKUP(F64,#REF!,2,FALSE),VLOOKUP(F64,#REF!,9,FALSE)),1)</f>
        <v>1</v>
      </c>
      <c r="Z64" s="167">
        <f t="shared" si="5"/>
        <v>3.7037037037037035E-2</v>
      </c>
      <c r="AA64" s="189">
        <f t="shared" si="3"/>
        <v>3.091621498615112E-3</v>
      </c>
      <c r="AB64" s="2">
        <f>IFERROR(SUMIFS('Comp2016-2017 (3)'!$G$5:$G$289,'Comp2016-2017 (3)'!$A$5:$A$289,A64,'Comp2016-2017 (3)'!$R$5:$R$289,V64)*AA64/SUMIFS($AA$4:$AA$1116,$A$4:$A$1116,A64,$V$4:$V$1116,V64),0)</f>
        <v>937.99540133567473</v>
      </c>
      <c r="AC64" s="2" t="str">
        <f>IF($W64=AC$3,$AB64,IF(NOT($W64=0),"",SUMIFS('Val-Vol (2)'!AC$4:AC$1116,'Val-Vol (2)'!$A$4:$A$1116,$D64,'Val-Vol (2)'!$V$4:$V$1116,$V64)/SUMIFS('Comp2016-2017 (3)'!$G$5:$G$289,'Comp2016-2017 (3)'!$A$5:$A$289,$D64,'Comp2016-2017 (3)'!$R$5:$R$289,$V64)*$AB64))</f>
        <v/>
      </c>
      <c r="AD64" s="2" t="str">
        <f>IF($W64=AD$3,$AB64,IF(NOT($W64=0),"",SUMIFS('Val-Vol (2)'!AD$4:AD$1116,'Val-Vol (2)'!$A$4:$A$1116,$D64,'Val-Vol (2)'!$V$4:$V$1116,$V64)/SUMIFS('Comp2016-2017 (3)'!$G$5:$G$289,'Comp2016-2017 (3)'!$A$5:$A$289,$D64,'Comp2016-2017 (3)'!$R$5:$R$289,$V64)*$AB64))</f>
        <v/>
      </c>
      <c r="AE64" s="2" t="str">
        <f>IF($W64=AE$3,$AB64,IF(NOT($W64=0),"",SUMIFS('Val-Vol (2)'!AE$4:AE$1116,'Val-Vol (2)'!$A$4:$A$1116,$D64,'Val-Vol (2)'!$V$4:$V$1116,$V64)/SUMIFS('Comp2016-2017 (3)'!$G$5:$G$289,'Comp2016-2017 (3)'!$A$5:$A$289,$D64,'Comp2016-2017 (3)'!$R$5:$R$289,$V64)*$AB64))</f>
        <v/>
      </c>
      <c r="AF64" s="2">
        <f>IF($W64=AF$3,$AB64,IF(NOT($W64=0),"",SUMIFS('Val-Vol (2)'!AF$4:AF$1116,'Val-Vol (2)'!$A$4:$A$1116,$D64,'Val-Vol (2)'!$V$4:$V$1116,$V64)/SUMIFS('Comp2016-2017 (3)'!$G$5:$G$289,'Comp2016-2017 (3)'!$A$5:$A$289,$D64,'Comp2016-2017 (3)'!$R$5:$R$289,$V64)*$AB64))</f>
        <v>937.99540133567473</v>
      </c>
      <c r="AG64" s="2" t="str">
        <f>IF($W64=AG$3,$AB64,IF(NOT($W64=0),"",SUMIFS('Val-Vol (2)'!AG$4:AG$1116,'Val-Vol (2)'!$A$4:$A$1116,$D64,'Val-Vol (2)'!$V$4:$V$1116,$V64)/SUMIFS('Comp2016-2017 (3)'!$G$5:$G$289,'Comp2016-2017 (3)'!$A$5:$A$289,$D64,'Comp2016-2017 (3)'!$R$5:$R$289,$V64)*$AB64))</f>
        <v/>
      </c>
      <c r="AH64" s="2" t="str">
        <f>IF($W64=AH$3,$AB64,IF(NOT($W64=0),"",SUMIFS('Val-Vol (2)'!AH$4:AH$1116,'Val-Vol (2)'!$A$4:$A$1116,$D64,'Val-Vol (2)'!$V$4:$V$1116,$V64)/SUMIFS('Comp2016-2017 (3)'!$G$5:$G$289,'Comp2016-2017 (3)'!$A$5:$A$289,$D64,'Comp2016-2017 (3)'!$R$5:$R$289,$V64)*$AB64))</f>
        <v/>
      </c>
      <c r="AI64" s="2" t="str">
        <f>IF($W64=AI$3,$AB64,IF(NOT($W64=0),"",SUMIFS('Val-Vol (2)'!AI$4:AI$1116,'Val-Vol (2)'!$A$4:$A$1116,$D64,'Val-Vol (2)'!$V$4:$V$1116,$V64)/SUMIFS('Comp2016-2017 (3)'!$G$5:$G$289,'Comp2016-2017 (3)'!$A$5:$A$289,$D64,'Comp2016-2017 (3)'!$R$5:$R$289,$V64)*$AB64))</f>
        <v/>
      </c>
      <c r="AJ64" s="2" t="str">
        <f>IF($W64=AJ$3,$AB64,IF(NOT($W64=0),"",SUMIFS('Val-Vol (2)'!AJ$4:AJ$1116,'Val-Vol (2)'!$A$4:$A$1116,$D64,'Val-Vol (2)'!$V$4:$V$1116,$V64)/SUMIFS('Comp2016-2017 (3)'!$G$5:$G$289,'Comp2016-2017 (3)'!$A$5:$A$289,$D64,'Comp2016-2017 (3)'!$R$5:$R$289,$V64)*$AB64))</f>
        <v/>
      </c>
      <c r="AK64" s="2">
        <f t="shared" si="4"/>
        <v>0</v>
      </c>
      <c r="AL64" t="str">
        <f t="shared" si="2"/>
        <v/>
      </c>
      <c r="AM64" t="str">
        <f>VLOOKUP(A64,'Table corresp.'!$M$4:$U$63,8,FALSE)</f>
        <v>Production intermédiaire</v>
      </c>
      <c r="AN64" t="str">
        <f>VLOOKUP(D64,'Table corresp.'!$M$4:$U$63,9,FALSE)</f>
        <v>Production intermédiaire</v>
      </c>
    </row>
    <row r="65" spans="1:40" x14ac:dyDescent="0.25">
      <c r="A65" t="s">
        <v>3</v>
      </c>
      <c r="B65" t="str">
        <f>VLOOKUP(LEFT(A65,3),'Table corresp.'!$A$4:$D$63,3,FALSE)</f>
        <v>Transformation</v>
      </c>
      <c r="C65" t="str">
        <f>VLOOKUP(A65,'Table corresp.'!$M$4:$P$63,4,FALSE)</f>
        <v>Production et transformation de produits bois</v>
      </c>
      <c r="D65" t="s">
        <v>98</v>
      </c>
      <c r="E65" t="str">
        <f>VLOOKUP(LEFT(D65,3),'Table corresp.'!$A$4:$D$63,4,FALSE)</f>
        <v>Transformation</v>
      </c>
      <c r="F65" t="str">
        <f t="shared" si="0"/>
        <v xml:space="preserve">06  - 46 </v>
      </c>
      <c r="G65" s="1">
        <v>3528.0051704786515</v>
      </c>
      <c r="H65" s="1">
        <v>0</v>
      </c>
      <c r="I65" s="1">
        <v>3528.0051704786515</v>
      </c>
      <c r="J65" s="1">
        <v>0</v>
      </c>
      <c r="K65" s="1">
        <v>0</v>
      </c>
      <c r="L65" s="1">
        <v>0</v>
      </c>
      <c r="M65" s="1">
        <v>0</v>
      </c>
      <c r="N65" s="1">
        <v>0</v>
      </c>
      <c r="O65" s="1">
        <v>0</v>
      </c>
      <c r="P65" s="1">
        <v>0</v>
      </c>
      <c r="Q65" s="1">
        <v>0</v>
      </c>
      <c r="R65" s="1">
        <v>0</v>
      </c>
      <c r="S65" s="67"/>
      <c r="T65">
        <f>VLOOKUP(A65,'Groupe de branches'!$Z$27:$AM$86,14,FALSE)</f>
        <v>0</v>
      </c>
      <c r="U65">
        <f>VLOOKUP(D65,'Groupe de branches'!$Z$27:$AM$86,14,FALSE)</f>
        <v>0</v>
      </c>
      <c r="V65">
        <v>2016</v>
      </c>
      <c r="W65" t="str">
        <f>VLOOKUP(D65,'Table corresp.'!$M$4:$S$63,7,FALSE)</f>
        <v>Produits de consommation courante</v>
      </c>
      <c r="X65" s="167">
        <f>IFERROR(G65/SUMIFS('Comp2016-2017 (3)'!$I$5:$I$289,'Comp2016-2017 (3)'!$A$5:$A$289,A65,'Comp2016-2017 (3)'!$R$5:$R$289,V65),0)</f>
        <v>1.4293819312612262E-2</v>
      </c>
      <c r="Y65" s="178">
        <f>IFERROR(IF(RIGHT(F65,3)="Exp",VLOOKUP(F65,#REF!,2,FALSE),VLOOKUP(F65,#REF!,9,FALSE)),1)</f>
        <v>1</v>
      </c>
      <c r="Z65" s="167">
        <f t="shared" si="5"/>
        <v>3.7037037037037035E-2</v>
      </c>
      <c r="AA65" s="189">
        <f t="shared" si="3"/>
        <v>5.2940071528193564E-4</v>
      </c>
      <c r="AB65" s="2">
        <f>IFERROR(SUMIFS('Comp2016-2017 (3)'!$G$5:$G$289,'Comp2016-2017 (3)'!$A$5:$A$289,A65,'Comp2016-2017 (3)'!$R$5:$R$289,V65)*AA65/SUMIFS($AA$4:$AA$1116,$A$4:$A$1116,A65,$V$4:$V$1116,V65),0)</f>
        <v>160.61973841905061</v>
      </c>
      <c r="AC65" s="2" t="str">
        <f>IF($W65=AC$3,$AB65,IF(NOT($W65=0),"",SUMIFS('Val-Vol (2)'!AC$4:AC$1116,'Val-Vol (2)'!$A$4:$A$1116,$D65,'Val-Vol (2)'!$V$4:$V$1116,$V65)/SUMIFS('Comp2016-2017 (3)'!$G$5:$G$289,'Comp2016-2017 (3)'!$A$5:$A$289,$D65,'Comp2016-2017 (3)'!$R$5:$R$289,$V65)*$AB65))</f>
        <v/>
      </c>
      <c r="AD65" s="2" t="str">
        <f>IF($W65=AD$3,$AB65,IF(NOT($W65=0),"",SUMIFS('Val-Vol (2)'!AD$4:AD$1116,'Val-Vol (2)'!$A$4:$A$1116,$D65,'Val-Vol (2)'!$V$4:$V$1116,$V65)/SUMIFS('Comp2016-2017 (3)'!$G$5:$G$289,'Comp2016-2017 (3)'!$A$5:$A$289,$D65,'Comp2016-2017 (3)'!$R$5:$R$289,$V65)*$AB65))</f>
        <v/>
      </c>
      <c r="AE65" s="2" t="str">
        <f>IF($W65=AE$3,$AB65,IF(NOT($W65=0),"",SUMIFS('Val-Vol (2)'!AE$4:AE$1116,'Val-Vol (2)'!$A$4:$A$1116,$D65,'Val-Vol (2)'!$V$4:$V$1116,$V65)/SUMIFS('Comp2016-2017 (3)'!$G$5:$G$289,'Comp2016-2017 (3)'!$A$5:$A$289,$D65,'Comp2016-2017 (3)'!$R$5:$R$289,$V65)*$AB65))</f>
        <v/>
      </c>
      <c r="AF65" s="2" t="str">
        <f>IF($W65=AF$3,$AB65,IF(NOT($W65=0),"",SUMIFS('Val-Vol (2)'!AF$4:AF$1116,'Val-Vol (2)'!$A$4:$A$1116,$D65,'Val-Vol (2)'!$V$4:$V$1116,$V65)/SUMIFS('Comp2016-2017 (3)'!$G$5:$G$289,'Comp2016-2017 (3)'!$A$5:$A$289,$D65,'Comp2016-2017 (3)'!$R$5:$R$289,$V65)*$AB65))</f>
        <v/>
      </c>
      <c r="AG65" s="2" t="str">
        <f>IF($W65=AG$3,$AB65,IF(NOT($W65=0),"",SUMIFS('Val-Vol (2)'!AG$4:AG$1116,'Val-Vol (2)'!$A$4:$A$1116,$D65,'Val-Vol (2)'!$V$4:$V$1116,$V65)/SUMIFS('Comp2016-2017 (3)'!$G$5:$G$289,'Comp2016-2017 (3)'!$A$5:$A$289,$D65,'Comp2016-2017 (3)'!$R$5:$R$289,$V65)*$AB65))</f>
        <v/>
      </c>
      <c r="AH65" s="2" t="str">
        <f>IF($W65=AH$3,$AB65,IF(NOT($W65=0),"",SUMIFS('Val-Vol (2)'!AH$4:AH$1116,'Val-Vol (2)'!$A$4:$A$1116,$D65,'Val-Vol (2)'!$V$4:$V$1116,$V65)/SUMIFS('Comp2016-2017 (3)'!$G$5:$G$289,'Comp2016-2017 (3)'!$A$5:$A$289,$D65,'Comp2016-2017 (3)'!$R$5:$R$289,$V65)*$AB65))</f>
        <v/>
      </c>
      <c r="AI65" s="2">
        <f>IF($W65=AI$3,$AB65,IF(NOT($W65=0),"",SUMIFS('Val-Vol (2)'!AI$4:AI$1116,'Val-Vol (2)'!$A$4:$A$1116,$D65,'Val-Vol (2)'!$V$4:$V$1116,$V65)/SUMIFS('Comp2016-2017 (3)'!$G$5:$G$289,'Comp2016-2017 (3)'!$A$5:$A$289,$D65,'Comp2016-2017 (3)'!$R$5:$R$289,$V65)*$AB65))</f>
        <v>160.61973841905061</v>
      </c>
      <c r="AJ65" s="2" t="str">
        <f>IF($W65=AJ$3,$AB65,IF(NOT($W65=0),"",SUMIFS('Val-Vol (2)'!AJ$4:AJ$1116,'Val-Vol (2)'!$A$4:$A$1116,$D65,'Val-Vol (2)'!$V$4:$V$1116,$V65)/SUMIFS('Comp2016-2017 (3)'!$G$5:$G$289,'Comp2016-2017 (3)'!$A$5:$A$289,$D65,'Comp2016-2017 (3)'!$R$5:$R$289,$V65)*$AB65))</f>
        <v/>
      </c>
      <c r="AK65" s="2">
        <f t="shared" si="4"/>
        <v>0</v>
      </c>
      <c r="AL65" t="str">
        <f t="shared" si="2"/>
        <v/>
      </c>
      <c r="AM65" t="str">
        <f>VLOOKUP(A65,'Table corresp.'!$M$4:$U$63,8,FALSE)</f>
        <v>Production intermédiaire</v>
      </c>
      <c r="AN65" t="str">
        <f>VLOOKUP(D65,'Table corresp.'!$M$4:$U$63,9,FALSE)</f>
        <v>Production intermédiaire</v>
      </c>
    </row>
    <row r="66" spans="1:40" x14ac:dyDescent="0.25">
      <c r="A66" t="s">
        <v>3</v>
      </c>
      <c r="B66" t="str">
        <f>VLOOKUP(LEFT(A66,3),'Table corresp.'!$A$4:$D$63,3,FALSE)</f>
        <v>Transformation</v>
      </c>
      <c r="C66" t="str">
        <f>VLOOKUP(A66,'Table corresp.'!$M$4:$P$63,4,FALSE)</f>
        <v>Production et transformation de produits bois</v>
      </c>
      <c r="D66" t="s">
        <v>53</v>
      </c>
      <c r="E66" t="str">
        <f>VLOOKUP(LEFT(D66,3),'Table corresp.'!$A$4:$D$63,4,FALSE)</f>
        <v>Exportation</v>
      </c>
      <c r="F66" t="str">
        <f t="shared" si="0"/>
        <v>06  - Exp</v>
      </c>
      <c r="G66" s="1">
        <v>16936.771494005105</v>
      </c>
      <c r="H66" s="1">
        <v>0</v>
      </c>
      <c r="I66" s="1">
        <v>16936.771494005105</v>
      </c>
      <c r="J66" s="1">
        <v>0</v>
      </c>
      <c r="K66" s="1">
        <v>0</v>
      </c>
      <c r="L66" s="1">
        <v>0</v>
      </c>
      <c r="M66" s="1">
        <v>0</v>
      </c>
      <c r="N66" s="1">
        <v>0</v>
      </c>
      <c r="O66" s="1">
        <v>0</v>
      </c>
      <c r="P66" s="1">
        <v>0</v>
      </c>
      <c r="Q66" s="1">
        <v>0</v>
      </c>
      <c r="R66" s="1">
        <v>0</v>
      </c>
      <c r="S66" s="67"/>
      <c r="T66">
        <f>VLOOKUP(A66,'Groupe de branches'!$Z$27:$AM$86,14,FALSE)</f>
        <v>0</v>
      </c>
      <c r="U66">
        <f>VLOOKUP(D66,'Groupe de branches'!$Z$27:$AM$86,14,FALSE)</f>
        <v>0</v>
      </c>
      <c r="V66">
        <v>2016</v>
      </c>
      <c r="W66" t="str">
        <f>VLOOKUP(D66,'Table corresp.'!$M$4:$S$63,7,FALSE)</f>
        <v>Exportation</v>
      </c>
      <c r="X66" s="167">
        <f>IFERROR(G66/SUMIFS('Comp2016-2017 (3)'!$I$5:$I$289,'Comp2016-2017 (3)'!$A$5:$A$289,A66,'Comp2016-2017 (3)'!$R$5:$R$289,V66),0)</f>
        <v>6.8619840327917098E-2</v>
      </c>
      <c r="Y66" s="178">
        <f>IFERROR(IF(RIGHT(F66,3)="Exp",VLOOKUP(F66,#REF!,2,FALSE),VLOOKUP(F66,#REF!,9,FALSE)),1)</f>
        <v>1</v>
      </c>
      <c r="Z66" s="167">
        <f t="shared" si="5"/>
        <v>3.7037037037037035E-2</v>
      </c>
      <c r="AA66" s="189">
        <f t="shared" si="3"/>
        <v>2.5414755677006331E-3</v>
      </c>
      <c r="AB66" s="2">
        <f>IFERROR(SUMIFS('Comp2016-2017 (3)'!$G$5:$G$289,'Comp2016-2017 (3)'!$A$5:$A$289,A66,'Comp2016-2017 (3)'!$R$5:$R$289,V66)*AA66/SUMIFS($AA$4:$AA$1116,$A$4:$A$1116,A66,$V$4:$V$1116,V66),0)</f>
        <v>771.08158168069042</v>
      </c>
      <c r="AC66" s="2">
        <f>IF($W66=AC$3,$AB66,IF(NOT($W66=0),"",SUMIFS('Val-Vol (2)'!AC$4:AC$1116,'Val-Vol (2)'!$A$4:$A$1116,$D66,'Val-Vol (2)'!$V$4:$V$1116,$V66)/SUMIFS('Comp2016-2017 (3)'!$G$5:$G$289,'Comp2016-2017 (3)'!$A$5:$A$289,$D66,'Comp2016-2017 (3)'!$R$5:$R$289,$V66)*$AB66))</f>
        <v>771.08158168069042</v>
      </c>
      <c r="AD66" s="2" t="str">
        <f>IF($W66=AD$3,$AB66,IF(NOT($W66=0),"",SUMIFS('Val-Vol (2)'!AD$4:AD$1116,'Val-Vol (2)'!$A$4:$A$1116,$D66,'Val-Vol (2)'!$V$4:$V$1116,$V66)/SUMIFS('Comp2016-2017 (3)'!$G$5:$G$289,'Comp2016-2017 (3)'!$A$5:$A$289,$D66,'Comp2016-2017 (3)'!$R$5:$R$289,$V66)*$AB66))</f>
        <v/>
      </c>
      <c r="AE66" s="2" t="str">
        <f>IF($W66=AE$3,$AB66,IF(NOT($W66=0),"",SUMIFS('Val-Vol (2)'!AE$4:AE$1116,'Val-Vol (2)'!$A$4:$A$1116,$D66,'Val-Vol (2)'!$V$4:$V$1116,$V66)/SUMIFS('Comp2016-2017 (3)'!$G$5:$G$289,'Comp2016-2017 (3)'!$A$5:$A$289,$D66,'Comp2016-2017 (3)'!$R$5:$R$289,$V66)*$AB66))</f>
        <v/>
      </c>
      <c r="AF66" s="2" t="str">
        <f>IF($W66=AF$3,$AB66,IF(NOT($W66=0),"",SUMIFS('Val-Vol (2)'!AF$4:AF$1116,'Val-Vol (2)'!$A$4:$A$1116,$D66,'Val-Vol (2)'!$V$4:$V$1116,$V66)/SUMIFS('Comp2016-2017 (3)'!$G$5:$G$289,'Comp2016-2017 (3)'!$A$5:$A$289,$D66,'Comp2016-2017 (3)'!$R$5:$R$289,$V66)*$AB66))</f>
        <v/>
      </c>
      <c r="AG66" s="2" t="str">
        <f>IF($W66=AG$3,$AB66,IF(NOT($W66=0),"",SUMIFS('Val-Vol (2)'!AG$4:AG$1116,'Val-Vol (2)'!$A$4:$A$1116,$D66,'Val-Vol (2)'!$V$4:$V$1116,$V66)/SUMIFS('Comp2016-2017 (3)'!$G$5:$G$289,'Comp2016-2017 (3)'!$A$5:$A$289,$D66,'Comp2016-2017 (3)'!$R$5:$R$289,$V66)*$AB66))</f>
        <v/>
      </c>
      <c r="AH66" s="2" t="str">
        <f>IF($W66=AH$3,$AB66,IF(NOT($W66=0),"",SUMIFS('Val-Vol (2)'!AH$4:AH$1116,'Val-Vol (2)'!$A$4:$A$1116,$D66,'Val-Vol (2)'!$V$4:$V$1116,$V66)/SUMIFS('Comp2016-2017 (3)'!$G$5:$G$289,'Comp2016-2017 (3)'!$A$5:$A$289,$D66,'Comp2016-2017 (3)'!$R$5:$R$289,$V66)*$AB66))</f>
        <v/>
      </c>
      <c r="AI66" s="2" t="str">
        <f>IF($W66=AI$3,$AB66,IF(NOT($W66=0),"",SUMIFS('Val-Vol (2)'!AI$4:AI$1116,'Val-Vol (2)'!$A$4:$A$1116,$D66,'Val-Vol (2)'!$V$4:$V$1116,$V66)/SUMIFS('Comp2016-2017 (3)'!$G$5:$G$289,'Comp2016-2017 (3)'!$A$5:$A$289,$D66,'Comp2016-2017 (3)'!$R$5:$R$289,$V66)*$AB66))</f>
        <v/>
      </c>
      <c r="AJ66" s="2" t="str">
        <f>IF($W66=AJ$3,$AB66,IF(NOT($W66=0),"",SUMIFS('Val-Vol (2)'!AJ$4:AJ$1116,'Val-Vol (2)'!$A$4:$A$1116,$D66,'Val-Vol (2)'!$V$4:$V$1116,$V66)/SUMIFS('Comp2016-2017 (3)'!$G$5:$G$289,'Comp2016-2017 (3)'!$A$5:$A$289,$D66,'Comp2016-2017 (3)'!$R$5:$R$289,$V66)*$AB66))</f>
        <v/>
      </c>
      <c r="AK66" s="2">
        <f t="shared" si="4"/>
        <v>0</v>
      </c>
      <c r="AL66" t="str">
        <f t="shared" si="2"/>
        <v/>
      </c>
      <c r="AM66" t="str">
        <f>VLOOKUP(A66,'Table corresp.'!$M$4:$U$63,8,FALSE)</f>
        <v>Production intermédiaire</v>
      </c>
      <c r="AN66" t="str">
        <f>VLOOKUP(D66,'Table corresp.'!$M$4:$U$63,9,FALSE)</f>
        <v>Exportation</v>
      </c>
    </row>
    <row r="67" spans="1:40" x14ac:dyDescent="0.25">
      <c r="A67" t="s">
        <v>59</v>
      </c>
      <c r="B67" t="str">
        <f>VLOOKUP(LEFT(A67,3),'Table corresp.'!$A$4:$D$63,3,FALSE)</f>
        <v>Transformation</v>
      </c>
      <c r="C67" t="str">
        <f>VLOOKUP(A67,'Table corresp.'!$M$4:$P$63,4,FALSE)</f>
        <v>Production et transformation de produits bois</v>
      </c>
      <c r="D67" t="s">
        <v>54</v>
      </c>
      <c r="E67" t="str">
        <f>VLOOKUP(LEFT(D67,3),'Table corresp.'!$A$4:$D$63,4,FALSE)</f>
        <v>Consommation finale</v>
      </c>
      <c r="F67" t="str">
        <f t="shared" si="0"/>
        <v>07  - Con</v>
      </c>
      <c r="G67" s="1">
        <v>0</v>
      </c>
      <c r="H67" s="1">
        <v>58436.694000000003</v>
      </c>
      <c r="I67" s="1">
        <v>58439.694000000003</v>
      </c>
      <c r="J67" s="1">
        <v>0</v>
      </c>
      <c r="K67" s="1">
        <v>0</v>
      </c>
      <c r="L67" s="1">
        <v>0</v>
      </c>
      <c r="M67" s="1">
        <v>0</v>
      </c>
      <c r="N67" s="1">
        <v>0</v>
      </c>
      <c r="O67" s="1">
        <v>0</v>
      </c>
      <c r="P67" s="1">
        <v>0</v>
      </c>
      <c r="Q67" s="1">
        <v>0</v>
      </c>
      <c r="R67" s="1">
        <v>0</v>
      </c>
      <c r="S67" s="67"/>
      <c r="T67">
        <f>VLOOKUP(A67,'Groupe de branches'!$Z$27:$AM$86,14,FALSE)</f>
        <v>0</v>
      </c>
      <c r="U67">
        <f>VLOOKUP(D67,'Groupe de branches'!$Z$27:$AM$86,14,FALSE)</f>
        <v>0</v>
      </c>
      <c r="V67">
        <v>2016</v>
      </c>
      <c r="W67" t="str">
        <f>VLOOKUP(D67,'Table corresp.'!$M$4:$S$63,7,FALSE)</f>
        <v>Consommation finale</v>
      </c>
      <c r="X67" s="167">
        <f>IFERROR(G67/SUMIFS('Comp2016-2017 (3)'!$I$5:$I$289,'Comp2016-2017 (3)'!$A$5:$A$289,A67,'Comp2016-2017 (3)'!$R$5:$R$289,V67),0)</f>
        <v>0</v>
      </c>
      <c r="Y67" s="232"/>
      <c r="Z67" s="233"/>
      <c r="AA67" s="189">
        <f t="shared" si="3"/>
        <v>0</v>
      </c>
      <c r="AB67" s="2">
        <f>IFERROR(SUMIFS('Comp2016-2017 (3)'!$G$5:$G$289,'Comp2016-2017 (3)'!$A$5:$A$289,A67,'Comp2016-2017 (3)'!$R$5:$R$289,V67)*AA67/SUMIFS($AA$4:$AA$1116,$A$4:$A$1116,A67,$V$4:$V$1116,V67),0)</f>
        <v>0</v>
      </c>
      <c r="AC67" s="2" t="str">
        <f>IF($W67=AC$3,$AB67,IF(NOT($W67=0),"",SUMIFS('Val-Vol (2)'!AC$4:AC$1116,'Val-Vol (2)'!$A$4:$A$1116,$D67,'Val-Vol (2)'!$V$4:$V$1116,$V67)/SUMIFS('Comp2016-2017 (3)'!$G$5:$G$289,'Comp2016-2017 (3)'!$A$5:$A$289,$D67,'Comp2016-2017 (3)'!$R$5:$R$289,$V67)*$AB67))</f>
        <v/>
      </c>
      <c r="AD67" s="2" t="str">
        <f>IF($W67=AD$3,$AB67,IF(NOT($W67=0),"",SUMIFS('Val-Vol (2)'!AD$4:AD$1116,'Val-Vol (2)'!$A$4:$A$1116,$D67,'Val-Vol (2)'!$V$4:$V$1116,$V67)/SUMIFS('Comp2016-2017 (3)'!$G$5:$G$289,'Comp2016-2017 (3)'!$A$5:$A$289,$D67,'Comp2016-2017 (3)'!$R$5:$R$289,$V67)*$AB67))</f>
        <v/>
      </c>
      <c r="AE67" s="2" t="str">
        <f>IF($W67=AE$3,$AB67,IF(NOT($W67=0),"",SUMIFS('Val-Vol (2)'!AE$4:AE$1116,'Val-Vol (2)'!$A$4:$A$1116,$D67,'Val-Vol (2)'!$V$4:$V$1116,$V67)/SUMIFS('Comp2016-2017 (3)'!$G$5:$G$289,'Comp2016-2017 (3)'!$A$5:$A$289,$D67,'Comp2016-2017 (3)'!$R$5:$R$289,$V67)*$AB67))</f>
        <v/>
      </c>
      <c r="AF67" s="2" t="str">
        <f>IF($W67=AF$3,$AB67,IF(NOT($W67=0),"",SUMIFS('Val-Vol (2)'!AF$4:AF$1116,'Val-Vol (2)'!$A$4:$A$1116,$D67,'Val-Vol (2)'!$V$4:$V$1116,$V67)/SUMIFS('Comp2016-2017 (3)'!$G$5:$G$289,'Comp2016-2017 (3)'!$A$5:$A$289,$D67,'Comp2016-2017 (3)'!$R$5:$R$289,$V67)*$AB67))</f>
        <v/>
      </c>
      <c r="AG67" s="2" t="str">
        <f>IF($W67=AG$3,$AB67,IF(NOT($W67=0),"",SUMIFS('Val-Vol (2)'!AG$4:AG$1116,'Val-Vol (2)'!$A$4:$A$1116,$D67,'Val-Vol (2)'!$V$4:$V$1116,$V67)/SUMIFS('Comp2016-2017 (3)'!$G$5:$G$289,'Comp2016-2017 (3)'!$A$5:$A$289,$D67,'Comp2016-2017 (3)'!$R$5:$R$289,$V67)*$AB67))</f>
        <v/>
      </c>
      <c r="AH67" s="2" t="str">
        <f>IF($W67=AH$3,$AB67,IF(NOT($W67=0),"",SUMIFS('Val-Vol (2)'!AH$4:AH$1116,'Val-Vol (2)'!$A$4:$A$1116,$D67,'Val-Vol (2)'!$V$4:$V$1116,$V67)/SUMIFS('Comp2016-2017 (3)'!$G$5:$G$289,'Comp2016-2017 (3)'!$A$5:$A$289,$D67,'Comp2016-2017 (3)'!$R$5:$R$289,$V67)*$AB67))</f>
        <v/>
      </c>
      <c r="AI67" s="2" t="str">
        <f>IF($W67=AI$3,$AB67,IF(NOT($W67=0),"",SUMIFS('Val-Vol (2)'!AI$4:AI$1116,'Val-Vol (2)'!$A$4:$A$1116,$D67,'Val-Vol (2)'!$V$4:$V$1116,$V67)/SUMIFS('Comp2016-2017 (3)'!$G$5:$G$289,'Comp2016-2017 (3)'!$A$5:$A$289,$D67,'Comp2016-2017 (3)'!$R$5:$R$289,$V67)*$AB67))</f>
        <v/>
      </c>
      <c r="AJ67" s="2">
        <f>IF($W67=AJ$3,$AB67,IF(NOT($W67=0),"",SUMIFS('Val-Vol (2)'!AJ$4:AJ$1116,'Val-Vol (2)'!$A$4:$A$1116,$D67,'Val-Vol (2)'!$V$4:$V$1116,$V67)/SUMIFS('Comp2016-2017 (3)'!$G$5:$G$289,'Comp2016-2017 (3)'!$A$5:$A$289,$D67,'Comp2016-2017 (3)'!$R$5:$R$289,$V67)*$AB67))</f>
        <v>0</v>
      </c>
      <c r="AK67" s="2">
        <f t="shared" si="4"/>
        <v>0</v>
      </c>
      <c r="AL67" t="str">
        <f t="shared" si="2"/>
        <v/>
      </c>
      <c r="AM67" t="str">
        <f>VLOOKUP(A67,'Table corresp.'!$M$4:$U$63,8,FALSE)</f>
        <v>Production intermédiaire</v>
      </c>
      <c r="AN67" t="str">
        <f>VLOOKUP(D67,'Table corresp.'!$M$4:$U$63,9,FALSE)</f>
        <v>Consommation finale française</v>
      </c>
    </row>
    <row r="68" spans="1:40" x14ac:dyDescent="0.25">
      <c r="A68" t="s">
        <v>59</v>
      </c>
      <c r="B68" t="str">
        <f>VLOOKUP(LEFT(A68,3),'Table corresp.'!$A$4:$D$63,3,FALSE)</f>
        <v>Transformation</v>
      </c>
      <c r="C68" t="str">
        <f>VLOOKUP(A68,'Table corresp.'!$M$4:$P$63,4,FALSE)</f>
        <v>Production et transformation de produits bois</v>
      </c>
      <c r="D68" t="s">
        <v>53</v>
      </c>
      <c r="E68" t="str">
        <f>VLOOKUP(LEFT(D68,3),'Table corresp.'!$A$4:$D$63,4,FALSE)</f>
        <v>Exportation</v>
      </c>
      <c r="F68" t="str">
        <f t="shared" ref="F68:F131" si="6">LEFT(A68,3)&amp;" - "&amp;LEFT(D68,3)</f>
        <v>07  - Exp</v>
      </c>
      <c r="G68" s="1">
        <v>0</v>
      </c>
      <c r="H68" s="1">
        <v>0</v>
      </c>
      <c r="I68" s="1">
        <v>0</v>
      </c>
      <c r="J68" s="1">
        <v>0</v>
      </c>
      <c r="K68" s="1">
        <v>0</v>
      </c>
      <c r="L68" s="1">
        <v>0</v>
      </c>
      <c r="M68" s="1">
        <v>0</v>
      </c>
      <c r="N68" s="1">
        <v>0</v>
      </c>
      <c r="O68" s="1">
        <v>0</v>
      </c>
      <c r="P68" s="1">
        <v>0</v>
      </c>
      <c r="Q68" s="1">
        <v>0</v>
      </c>
      <c r="R68" s="1">
        <v>0</v>
      </c>
      <c r="S68" s="67"/>
      <c r="T68">
        <f>VLOOKUP(A68,'Groupe de branches'!$Z$27:$AM$86,14,FALSE)</f>
        <v>0</v>
      </c>
      <c r="U68">
        <f>VLOOKUP(D68,'Groupe de branches'!$Z$27:$AM$86,14,FALSE)</f>
        <v>0</v>
      </c>
      <c r="V68">
        <v>2016</v>
      </c>
      <c r="W68" t="str">
        <f>VLOOKUP(D68,'Table corresp.'!$M$4:$S$63,7,FALSE)</f>
        <v>Exportation</v>
      </c>
      <c r="X68" s="167">
        <f>IFERROR(G68/SUMIFS('Comp2016-2017 (3)'!$I$5:$I$289,'Comp2016-2017 (3)'!$A$5:$A$289,A68,'Comp2016-2017 (3)'!$R$5:$R$289,V68),0)</f>
        <v>0</v>
      </c>
      <c r="Y68" s="232"/>
      <c r="Z68" s="233"/>
      <c r="AA68" s="189">
        <f t="shared" si="3"/>
        <v>0</v>
      </c>
      <c r="AB68" s="2">
        <f>IFERROR(SUMIFS('Comp2016-2017 (3)'!$G$5:$G$289,'Comp2016-2017 (3)'!$A$5:$A$289,A68,'Comp2016-2017 (3)'!$R$5:$R$289,V68)*AA68/SUMIFS($AA$4:$AA$1116,$A$4:$A$1116,A68,$V$4:$V$1116,V68),0)</f>
        <v>0</v>
      </c>
      <c r="AC68" s="2">
        <f>IF($W68=AC$3,$AB68,IF(NOT($W68=0),"",SUMIFS('Val-Vol (2)'!AC$4:AC$1116,'Val-Vol (2)'!$A$4:$A$1116,$D68,'Val-Vol (2)'!$V$4:$V$1116,$V68)/SUMIFS('Comp2016-2017 (3)'!$G$5:$G$289,'Comp2016-2017 (3)'!$A$5:$A$289,$D68,'Comp2016-2017 (3)'!$R$5:$R$289,$V68)*$AB68))</f>
        <v>0</v>
      </c>
      <c r="AD68" s="2" t="str">
        <f>IF($W68=AD$3,$AB68,IF(NOT($W68=0),"",SUMIFS('Val-Vol (2)'!AD$4:AD$1116,'Val-Vol (2)'!$A$4:$A$1116,$D68,'Val-Vol (2)'!$V$4:$V$1116,$V68)/SUMIFS('Comp2016-2017 (3)'!$G$5:$G$289,'Comp2016-2017 (3)'!$A$5:$A$289,$D68,'Comp2016-2017 (3)'!$R$5:$R$289,$V68)*$AB68))</f>
        <v/>
      </c>
      <c r="AE68" s="2" t="str">
        <f>IF($W68=AE$3,$AB68,IF(NOT($W68=0),"",SUMIFS('Val-Vol (2)'!AE$4:AE$1116,'Val-Vol (2)'!$A$4:$A$1116,$D68,'Val-Vol (2)'!$V$4:$V$1116,$V68)/SUMIFS('Comp2016-2017 (3)'!$G$5:$G$289,'Comp2016-2017 (3)'!$A$5:$A$289,$D68,'Comp2016-2017 (3)'!$R$5:$R$289,$V68)*$AB68))</f>
        <v/>
      </c>
      <c r="AF68" s="2" t="str">
        <f>IF($W68=AF$3,$AB68,IF(NOT($W68=0),"",SUMIFS('Val-Vol (2)'!AF$4:AF$1116,'Val-Vol (2)'!$A$4:$A$1116,$D68,'Val-Vol (2)'!$V$4:$V$1116,$V68)/SUMIFS('Comp2016-2017 (3)'!$G$5:$G$289,'Comp2016-2017 (3)'!$A$5:$A$289,$D68,'Comp2016-2017 (3)'!$R$5:$R$289,$V68)*$AB68))</f>
        <v/>
      </c>
      <c r="AG68" s="2" t="str">
        <f>IF($W68=AG$3,$AB68,IF(NOT($W68=0),"",SUMIFS('Val-Vol (2)'!AG$4:AG$1116,'Val-Vol (2)'!$A$4:$A$1116,$D68,'Val-Vol (2)'!$V$4:$V$1116,$V68)/SUMIFS('Comp2016-2017 (3)'!$G$5:$G$289,'Comp2016-2017 (3)'!$A$5:$A$289,$D68,'Comp2016-2017 (3)'!$R$5:$R$289,$V68)*$AB68))</f>
        <v/>
      </c>
      <c r="AH68" s="2" t="str">
        <f>IF($W68=AH$3,$AB68,IF(NOT($W68=0),"",SUMIFS('Val-Vol (2)'!AH$4:AH$1116,'Val-Vol (2)'!$A$4:$A$1116,$D68,'Val-Vol (2)'!$V$4:$V$1116,$V68)/SUMIFS('Comp2016-2017 (3)'!$G$5:$G$289,'Comp2016-2017 (3)'!$A$5:$A$289,$D68,'Comp2016-2017 (3)'!$R$5:$R$289,$V68)*$AB68))</f>
        <v/>
      </c>
      <c r="AI68" s="2" t="str">
        <f>IF($W68=AI$3,$AB68,IF(NOT($W68=0),"",SUMIFS('Val-Vol (2)'!AI$4:AI$1116,'Val-Vol (2)'!$A$4:$A$1116,$D68,'Val-Vol (2)'!$V$4:$V$1116,$V68)/SUMIFS('Comp2016-2017 (3)'!$G$5:$G$289,'Comp2016-2017 (3)'!$A$5:$A$289,$D68,'Comp2016-2017 (3)'!$R$5:$R$289,$V68)*$AB68))</f>
        <v/>
      </c>
      <c r="AJ68" s="2" t="str">
        <f>IF($W68=AJ$3,$AB68,IF(NOT($W68=0),"",SUMIFS('Val-Vol (2)'!AJ$4:AJ$1116,'Val-Vol (2)'!$A$4:$A$1116,$D68,'Val-Vol (2)'!$V$4:$V$1116,$V68)/SUMIFS('Comp2016-2017 (3)'!$G$5:$G$289,'Comp2016-2017 (3)'!$A$5:$A$289,$D68,'Comp2016-2017 (3)'!$R$5:$R$289,$V68)*$AB68))</f>
        <v/>
      </c>
      <c r="AK68" s="2">
        <f t="shared" si="4"/>
        <v>0</v>
      </c>
      <c r="AL68" t="str">
        <f t="shared" ref="AL68:AL131" si="7">IF(A68=D68,"remplir à la main","")</f>
        <v/>
      </c>
      <c r="AM68" t="str">
        <f>VLOOKUP(A68,'Table corresp.'!$M$4:$U$63,8,FALSE)</f>
        <v>Production intermédiaire</v>
      </c>
      <c r="AN68" t="str">
        <f>VLOOKUP(D68,'Table corresp.'!$M$4:$U$63,9,FALSE)</f>
        <v>Exportation</v>
      </c>
    </row>
    <row r="69" spans="1:40" x14ac:dyDescent="0.25">
      <c r="A69" t="s">
        <v>4</v>
      </c>
      <c r="B69" t="str">
        <f>VLOOKUP(LEFT(A69,3),'Table corresp.'!$A$4:$D$63,3,FALSE)</f>
        <v>Transformation</v>
      </c>
      <c r="C69" t="str">
        <f>VLOOKUP(A69,'Table corresp.'!$M$4:$P$63,4,FALSE)</f>
        <v>Production et transformation de produits bois</v>
      </c>
      <c r="D69" t="s">
        <v>13</v>
      </c>
      <c r="E69" t="str">
        <f>VLOOKUP(LEFT(D69,3),'Table corresp.'!$A$4:$D$63,4,FALSE)</f>
        <v>Transformation</v>
      </c>
      <c r="F69" t="str">
        <f t="shared" si="6"/>
        <v xml:space="preserve">08  - 20 </v>
      </c>
      <c r="G69" s="1">
        <v>45603.803720000004</v>
      </c>
      <c r="H69" s="1">
        <v>971.19628</v>
      </c>
      <c r="I69" s="1">
        <v>46575</v>
      </c>
      <c r="J69" s="1">
        <v>183.22046404059751</v>
      </c>
      <c r="K69" s="1">
        <v>3.1303731335627516</v>
      </c>
      <c r="L69" s="1">
        <v>186.35083717416026</v>
      </c>
      <c r="M69" s="1">
        <v>0</v>
      </c>
      <c r="N69" s="1">
        <v>0</v>
      </c>
      <c r="O69" s="1">
        <v>0</v>
      </c>
      <c r="P69" s="1">
        <v>0</v>
      </c>
      <c r="Q69" s="1">
        <v>0</v>
      </c>
      <c r="R69" s="1">
        <v>0</v>
      </c>
      <c r="S69" s="67"/>
      <c r="T69">
        <f>VLOOKUP(A69,'Groupe de branches'!$Z$27:$AM$86,14,FALSE)</f>
        <v>0</v>
      </c>
      <c r="U69">
        <f>VLOOKUP(D69,'Groupe de branches'!$Z$27:$AM$86,14,FALSE)</f>
        <v>0</v>
      </c>
      <c r="V69">
        <v>2016</v>
      </c>
      <c r="W69">
        <f>VLOOKUP(D69,'Table corresp.'!$M$4:$S$63,7,FALSE)</f>
        <v>0</v>
      </c>
      <c r="X69" s="167">
        <f>IFERROR(G69/SUMIFS('Comp2016-2017 (3)'!$I$5:$I$289,'Comp2016-2017 (3)'!$A$5:$A$289,A69,'Comp2016-2017 (3)'!$R$5:$R$289,V69),0)</f>
        <v>0.11152157733497708</v>
      </c>
      <c r="Y69" s="178">
        <f>IFERROR(IF(RIGHT(F69,3)="Exp",VLOOKUP(F69,#REF!,2,FALSE),VLOOKUP(F69,#REF!,9,FALSE)),1)</f>
        <v>1</v>
      </c>
      <c r="Z69" s="167">
        <f t="shared" ref="Z69:Z100" si="8">Y69/SUMIFS($Y$4:$Y$1116,$V$4:$V$1116,V69,$A$4:$A$1116,A69)</f>
        <v>7.1428571428571425E-2</v>
      </c>
      <c r="AA69" s="189">
        <f t="shared" ref="AA69:AA132" si="9">X69*Z69</f>
        <v>7.9658269524983619E-3</v>
      </c>
      <c r="AB69" s="2">
        <f>IFERROR(SUMIFS('Comp2016-2017 (3)'!$G$5:$G$289,'Comp2016-2017 (3)'!$A$5:$A$289,A69,'Comp2016-2017 (3)'!$R$5:$R$289,V69)*AA69/SUMIFS($AA$4:$AA$1116,$A$4:$A$1116,A69,$V$4:$V$1116,V69),0)</f>
        <v>11736.986747877647</v>
      </c>
      <c r="AC69" s="2">
        <f>IF($W69=AC$3,$AB69,IF(NOT($W69=0),"",SUMIFS('Val-Vol (2)'!AC$4:AC$1116,'Val-Vol (2)'!$A$4:$A$1116,$D69,'Val-Vol (2)'!$V$4:$V$1116,$V69)/SUMIFS('Comp2016-2017 (3)'!$G$5:$G$289,'Comp2016-2017 (3)'!$A$5:$A$289,$D69,'Comp2016-2017 (3)'!$R$5:$R$289,$V69)*$AB69))</f>
        <v>1329.9908887063934</v>
      </c>
      <c r="AD69" s="2">
        <f>IF($W69=AD$3,$AB69,IF(NOT($W69=0),"",SUMIFS('Val-Vol (2)'!AD$4:AD$1116,'Val-Vol (2)'!$A$4:$A$1116,$D69,'Val-Vol (2)'!$V$4:$V$1116,$V69)/SUMIFS('Comp2016-2017 (3)'!$G$5:$G$289,'Comp2016-2017 (3)'!$A$5:$A$289,$D69,'Comp2016-2017 (3)'!$R$5:$R$289,$V69)*$AB69))</f>
        <v>6322.5570192818468</v>
      </c>
      <c r="AE69" s="2">
        <f>IF($W69=AE$3,$AB69,IF(NOT($W69=0),"",SUMIFS('Val-Vol (2)'!AE$4:AE$1116,'Val-Vol (2)'!$A$4:$A$1116,$D69,'Val-Vol (2)'!$V$4:$V$1116,$V69)/SUMIFS('Comp2016-2017 (3)'!$G$5:$G$289,'Comp2016-2017 (3)'!$A$5:$A$289,$D69,'Comp2016-2017 (3)'!$R$5:$R$289,$V69)*$AB69))</f>
        <v>0</v>
      </c>
      <c r="AF69" s="2">
        <f>IF($W69=AF$3,$AB69,IF(NOT($W69=0),"",SUMIFS('Val-Vol (2)'!AF$4:AF$1116,'Val-Vol (2)'!$A$4:$A$1116,$D69,'Val-Vol (2)'!$V$4:$V$1116,$V69)/SUMIFS('Comp2016-2017 (3)'!$G$5:$G$289,'Comp2016-2017 (3)'!$A$5:$A$289,$D69,'Comp2016-2017 (3)'!$R$5:$R$289,$V69)*$AB69))</f>
        <v>0</v>
      </c>
      <c r="AG69" s="2">
        <f>IF($W69=AG$3,$AB69,IF(NOT($W69=0),"",SUMIFS('Val-Vol (2)'!AG$4:AG$1116,'Val-Vol (2)'!$A$4:$A$1116,$D69,'Val-Vol (2)'!$V$4:$V$1116,$V69)/SUMIFS('Comp2016-2017 (3)'!$G$5:$G$289,'Comp2016-2017 (3)'!$A$5:$A$289,$D69,'Comp2016-2017 (3)'!$R$5:$R$289,$V69)*$AB69))</f>
        <v>0</v>
      </c>
      <c r="AH69" s="2">
        <f>IF($W69=AH$3,$AB69,IF(NOT($W69=0),"",SUMIFS('Val-Vol (2)'!AH$4:AH$1116,'Val-Vol (2)'!$A$4:$A$1116,$D69,'Val-Vol (2)'!$V$4:$V$1116,$V69)/SUMIFS('Comp2016-2017 (3)'!$G$5:$G$289,'Comp2016-2017 (3)'!$A$5:$A$289,$D69,'Comp2016-2017 (3)'!$R$5:$R$289,$V69)*$AB69))</f>
        <v>0</v>
      </c>
      <c r="AI69" s="2">
        <f>IF($W69=AI$3,$AB69,IF(NOT($W69=0),"",SUMIFS('Val-Vol (2)'!AI$4:AI$1116,'Val-Vol (2)'!$A$4:$A$1116,$D69,'Val-Vol (2)'!$V$4:$V$1116,$V69)/SUMIFS('Comp2016-2017 (3)'!$G$5:$G$289,'Comp2016-2017 (3)'!$A$5:$A$289,$D69,'Comp2016-2017 (3)'!$R$5:$R$289,$V69)*$AB69))</f>
        <v>0</v>
      </c>
      <c r="AJ69" s="2">
        <f>IF($W69=AJ$3,$AB69,IF(NOT($W69=0),"",SUMIFS('Val-Vol (2)'!AJ$4:AJ$1116,'Val-Vol (2)'!$A$4:$A$1116,$D69,'Val-Vol (2)'!$V$4:$V$1116,$V69)/SUMIFS('Comp2016-2017 (3)'!$G$5:$G$289,'Comp2016-2017 (3)'!$A$5:$A$289,$D69,'Comp2016-2017 (3)'!$R$5:$R$289,$V69)*$AB69))</f>
        <v>4084.438839889408</v>
      </c>
      <c r="AK69" s="2">
        <f t="shared" ref="AK69:AK132" si="10">SUM(AC69:AJ69)-AB69</f>
        <v>0</v>
      </c>
      <c r="AL69" t="str">
        <f t="shared" si="7"/>
        <v/>
      </c>
      <c r="AM69" t="str">
        <f>VLOOKUP(A69,'Table corresp.'!$M$4:$U$63,8,FALSE)</f>
        <v>Production intermédiaire</v>
      </c>
      <c r="AN69" t="str">
        <f>VLOOKUP(D69,'Table corresp.'!$M$4:$U$63,9,FALSE)</f>
        <v>Production intermédiaire</v>
      </c>
    </row>
    <row r="70" spans="1:40" x14ac:dyDescent="0.25">
      <c r="A70" t="s">
        <v>4</v>
      </c>
      <c r="B70" t="str">
        <f>VLOOKUP(LEFT(A70,3),'Table corresp.'!$A$4:$D$63,3,FALSE)</f>
        <v>Transformation</v>
      </c>
      <c r="C70" t="str">
        <f>VLOOKUP(A70,'Table corresp.'!$M$4:$P$63,4,FALSE)</f>
        <v>Production et transformation de produits bois</v>
      </c>
      <c r="D70" t="s">
        <v>14</v>
      </c>
      <c r="E70" t="str">
        <f>VLOOKUP(LEFT(D70,3),'Table corresp.'!$A$4:$D$63,4,FALSE)</f>
        <v>Transformation</v>
      </c>
      <c r="F70" t="str">
        <f t="shared" si="6"/>
        <v>08  - 20b</v>
      </c>
      <c r="G70" s="1">
        <v>1772.3652279365083</v>
      </c>
      <c r="H70" s="1">
        <v>971.19628</v>
      </c>
      <c r="I70" s="1">
        <v>2743.5615079365084</v>
      </c>
      <c r="J70" s="1">
        <v>10.681134675928293</v>
      </c>
      <c r="K70" s="1">
        <v>4.695559700344127</v>
      </c>
      <c r="L70" s="1">
        <v>15.37669437627242</v>
      </c>
      <c r="M70" s="1">
        <v>0</v>
      </c>
      <c r="N70" s="1">
        <v>0</v>
      </c>
      <c r="O70" s="1">
        <v>0</v>
      </c>
      <c r="P70" s="1">
        <v>0</v>
      </c>
      <c r="Q70" s="1">
        <v>0</v>
      </c>
      <c r="R70" s="1">
        <v>0</v>
      </c>
      <c r="S70" s="67"/>
      <c r="T70">
        <f>VLOOKUP(A70,'Groupe de branches'!$Z$27:$AM$86,14,FALSE)</f>
        <v>0</v>
      </c>
      <c r="U70">
        <f>VLOOKUP(D70,'Groupe de branches'!$Z$27:$AM$86,14,FALSE)</f>
        <v>0</v>
      </c>
      <c r="V70">
        <v>2016</v>
      </c>
      <c r="W70">
        <f>VLOOKUP(D70,'Table corresp.'!$M$4:$S$63,7,FALSE)</f>
        <v>0</v>
      </c>
      <c r="X70" s="167">
        <f>IFERROR(G70/SUMIFS('Comp2016-2017 (3)'!$I$5:$I$289,'Comp2016-2017 (3)'!$A$5:$A$289,A70,'Comp2016-2017 (3)'!$R$5:$R$289,V70),0)</f>
        <v>4.3342210453919039E-3</v>
      </c>
      <c r="Y70" s="178">
        <f>IFERROR(IF(RIGHT(F70,3)="Exp",VLOOKUP(F70,#REF!,2,FALSE),VLOOKUP(F70,#REF!,9,FALSE)),1)</f>
        <v>1</v>
      </c>
      <c r="Z70" s="167">
        <f t="shared" si="8"/>
        <v>7.1428571428571425E-2</v>
      </c>
      <c r="AA70" s="189">
        <f t="shared" si="9"/>
        <v>3.0958721752799312E-4</v>
      </c>
      <c r="AB70" s="2">
        <f>IFERROR(SUMIFS('Comp2016-2017 (3)'!$G$5:$G$289,'Comp2016-2017 (3)'!$A$5:$A$289,A70,'Comp2016-2017 (3)'!$R$5:$R$289,V70)*AA70/SUMIFS($AA$4:$AA$1116,$A$4:$A$1116,A70,$V$4:$V$1116,V70),0)</f>
        <v>456.15114301456663</v>
      </c>
      <c r="AC70" s="2">
        <f>IF($W70=AC$3,$AB70,IF(NOT($W70=0),"",SUMIFS('Val-Vol (2)'!AC$4:AC$1116,'Val-Vol (2)'!$A$4:$A$1116,$D70,'Val-Vol (2)'!$V$4:$V$1116,$V70)/SUMIFS('Comp2016-2017 (3)'!$G$5:$G$289,'Comp2016-2017 (3)'!$A$5:$A$289,$D70,'Comp2016-2017 (3)'!$R$5:$R$289,$V70)*$AB70))</f>
        <v>116.40037626636375</v>
      </c>
      <c r="AD70" s="2">
        <f>IF($W70=AD$3,$AB70,IF(NOT($W70=0),"",SUMIFS('Val-Vol (2)'!AD$4:AD$1116,'Val-Vol (2)'!$A$4:$A$1116,$D70,'Val-Vol (2)'!$V$4:$V$1116,$V70)/SUMIFS('Comp2016-2017 (3)'!$G$5:$G$289,'Comp2016-2017 (3)'!$A$5:$A$289,$D70,'Comp2016-2017 (3)'!$R$5:$R$289,$V70)*$AB70))</f>
        <v>338.75304923734836</v>
      </c>
      <c r="AE70" s="2">
        <f>IF($W70=AE$3,$AB70,IF(NOT($W70=0),"",SUMIFS('Val-Vol (2)'!AE$4:AE$1116,'Val-Vol (2)'!$A$4:$A$1116,$D70,'Val-Vol (2)'!$V$4:$V$1116,$V70)/SUMIFS('Comp2016-2017 (3)'!$G$5:$G$289,'Comp2016-2017 (3)'!$A$5:$A$289,$D70,'Comp2016-2017 (3)'!$R$5:$R$289,$V70)*$AB70))</f>
        <v>0.99771751085454652</v>
      </c>
      <c r="AF70" s="2">
        <f>IF($W70=AF$3,$AB70,IF(NOT($W70=0),"",SUMIFS('Val-Vol (2)'!AF$4:AF$1116,'Val-Vol (2)'!$A$4:$A$1116,$D70,'Val-Vol (2)'!$V$4:$V$1116,$V70)/SUMIFS('Comp2016-2017 (3)'!$G$5:$G$289,'Comp2016-2017 (3)'!$A$5:$A$289,$D70,'Comp2016-2017 (3)'!$R$5:$R$289,$V70)*$AB70))</f>
        <v>0</v>
      </c>
      <c r="AG70" s="2">
        <f>IF($W70=AG$3,$AB70,IF(NOT($W70=0),"",SUMIFS('Val-Vol (2)'!AG$4:AG$1116,'Val-Vol (2)'!$A$4:$A$1116,$D70,'Val-Vol (2)'!$V$4:$V$1116,$V70)/SUMIFS('Comp2016-2017 (3)'!$G$5:$G$289,'Comp2016-2017 (3)'!$A$5:$A$289,$D70,'Comp2016-2017 (3)'!$R$5:$R$289,$V70)*$AB70))</f>
        <v>0</v>
      </c>
      <c r="AH70" s="2">
        <f>IF($W70=AH$3,$AB70,IF(NOT($W70=0),"",SUMIFS('Val-Vol (2)'!AH$4:AH$1116,'Val-Vol (2)'!$A$4:$A$1116,$D70,'Val-Vol (2)'!$V$4:$V$1116,$V70)/SUMIFS('Comp2016-2017 (3)'!$G$5:$G$289,'Comp2016-2017 (3)'!$A$5:$A$289,$D70,'Comp2016-2017 (3)'!$R$5:$R$289,$V70)*$AB70))</f>
        <v>0</v>
      </c>
      <c r="AI70" s="2">
        <f>IF($W70=AI$3,$AB70,IF(NOT($W70=0),"",SUMIFS('Val-Vol (2)'!AI$4:AI$1116,'Val-Vol (2)'!$A$4:$A$1116,$D70,'Val-Vol (2)'!$V$4:$V$1116,$V70)/SUMIFS('Comp2016-2017 (3)'!$G$5:$G$289,'Comp2016-2017 (3)'!$A$5:$A$289,$D70,'Comp2016-2017 (3)'!$R$5:$R$289,$V70)*$AB70))</f>
        <v>0</v>
      </c>
      <c r="AJ70" s="2">
        <f>IF($W70=AJ$3,$AB70,IF(NOT($W70=0),"",SUMIFS('Val-Vol (2)'!AJ$4:AJ$1116,'Val-Vol (2)'!$A$4:$A$1116,$D70,'Val-Vol (2)'!$V$4:$V$1116,$V70)/SUMIFS('Comp2016-2017 (3)'!$G$5:$G$289,'Comp2016-2017 (3)'!$A$5:$A$289,$D70,'Comp2016-2017 (3)'!$R$5:$R$289,$V70)*$AB70))</f>
        <v>0</v>
      </c>
      <c r="AK70" s="2">
        <f t="shared" si="10"/>
        <v>0</v>
      </c>
      <c r="AL70" t="str">
        <f t="shared" si="7"/>
        <v/>
      </c>
      <c r="AM70" t="str">
        <f>VLOOKUP(A70,'Table corresp.'!$M$4:$U$63,8,FALSE)</f>
        <v>Production intermédiaire</v>
      </c>
      <c r="AN70" t="str">
        <f>VLOOKUP(D70,'Table corresp.'!$M$4:$U$63,9,FALSE)</f>
        <v>Production intermédiaire</v>
      </c>
    </row>
    <row r="71" spans="1:40" x14ac:dyDescent="0.25">
      <c r="A71" t="s">
        <v>4</v>
      </c>
      <c r="B71" t="str">
        <f>VLOOKUP(LEFT(A71,3),'Table corresp.'!$A$4:$D$63,3,FALSE)</f>
        <v>Transformation</v>
      </c>
      <c r="C71" t="str">
        <f>VLOOKUP(A71,'Table corresp.'!$M$4:$P$63,4,FALSE)</f>
        <v>Production et transformation de produits bois</v>
      </c>
      <c r="D71" t="s">
        <v>89</v>
      </c>
      <c r="E71" t="str">
        <f>VLOOKUP(LEFT(D71,3),'Table corresp.'!$A$4:$D$63,4,FALSE)</f>
        <v>Transformation</v>
      </c>
      <c r="F71" t="str">
        <f t="shared" si="6"/>
        <v xml:space="preserve">08  - 33 </v>
      </c>
      <c r="G71" s="1">
        <v>755.80372</v>
      </c>
      <c r="H71" s="1">
        <v>971.19628</v>
      </c>
      <c r="I71" s="1">
        <v>1727</v>
      </c>
      <c r="J71" s="1">
        <v>3.0365604841264284</v>
      </c>
      <c r="K71" s="1">
        <v>3.1303731335627516</v>
      </c>
      <c r="L71" s="1">
        <v>6.16693361768918</v>
      </c>
      <c r="M71" s="1">
        <v>0</v>
      </c>
      <c r="N71" s="1">
        <v>0</v>
      </c>
      <c r="O71" s="1">
        <v>0</v>
      </c>
      <c r="P71" s="1">
        <v>0</v>
      </c>
      <c r="Q71" s="1">
        <v>0</v>
      </c>
      <c r="R71" s="1">
        <v>0</v>
      </c>
      <c r="S71" s="67"/>
      <c r="T71">
        <f>VLOOKUP(A71,'Groupe de branches'!$Z$27:$AM$86,14,FALSE)</f>
        <v>0</v>
      </c>
      <c r="U71">
        <f>VLOOKUP(D71,'Groupe de branches'!$Z$27:$AM$86,14,FALSE)</f>
        <v>0</v>
      </c>
      <c r="V71">
        <v>2016</v>
      </c>
      <c r="W71" t="str">
        <f>VLOOKUP(D71,'Table corresp.'!$M$4:$S$63,7,FALSE)</f>
        <v>Construction</v>
      </c>
      <c r="X71" s="167">
        <f>IFERROR(G71/SUMIFS('Comp2016-2017 (3)'!$I$5:$I$289,'Comp2016-2017 (3)'!$A$5:$A$289,A71,'Comp2016-2017 (3)'!$R$5:$R$289,V71),0)</f>
        <v>1.8482761553742465E-3</v>
      </c>
      <c r="Y71" s="178">
        <f>IFERROR(IF(RIGHT(F71,3)="Exp",VLOOKUP(F71,#REF!,2,FALSE),VLOOKUP(F71,#REF!,9,FALSE)),1)</f>
        <v>1</v>
      </c>
      <c r="Z71" s="167">
        <f t="shared" si="8"/>
        <v>7.1428571428571425E-2</v>
      </c>
      <c r="AA71" s="189">
        <f t="shared" si="9"/>
        <v>1.3201972538387475E-4</v>
      </c>
      <c r="AB71" s="2">
        <f>IFERROR(SUMIFS('Comp2016-2017 (3)'!$G$5:$G$289,'Comp2016-2017 (3)'!$A$5:$A$289,A71,'Comp2016-2017 (3)'!$R$5:$R$289,V71)*AA71/SUMIFS($AA$4:$AA$1116,$A$4:$A$1116,A71,$V$4:$V$1116,V71),0)</f>
        <v>194.5201391555465</v>
      </c>
      <c r="AC71" s="2" t="str">
        <f>IF($W71=AC$3,$AB71,IF(NOT($W71=0),"",SUMIFS('Val-Vol (2)'!AC$4:AC$1116,'Val-Vol (2)'!$A$4:$A$1116,$D71,'Val-Vol (2)'!$V$4:$V$1116,$V71)/SUMIFS('Comp2016-2017 (3)'!$G$5:$G$289,'Comp2016-2017 (3)'!$A$5:$A$289,$D71,'Comp2016-2017 (3)'!$R$5:$R$289,$V71)*$AB71))</f>
        <v/>
      </c>
      <c r="AD71" s="2">
        <f>IF($W71=AD$3,$AB71,IF(NOT($W71=0),"",SUMIFS('Val-Vol (2)'!AD$4:AD$1116,'Val-Vol (2)'!$A$4:$A$1116,$D71,'Val-Vol (2)'!$V$4:$V$1116,$V71)/SUMIFS('Comp2016-2017 (3)'!$G$5:$G$289,'Comp2016-2017 (3)'!$A$5:$A$289,$D71,'Comp2016-2017 (3)'!$R$5:$R$289,$V71)*$AB71))</f>
        <v>194.5201391555465</v>
      </c>
      <c r="AE71" s="2" t="str">
        <f>IF($W71=AE$3,$AB71,IF(NOT($W71=0),"",SUMIFS('Val-Vol (2)'!AE$4:AE$1116,'Val-Vol (2)'!$A$4:$A$1116,$D71,'Val-Vol (2)'!$V$4:$V$1116,$V71)/SUMIFS('Comp2016-2017 (3)'!$G$5:$G$289,'Comp2016-2017 (3)'!$A$5:$A$289,$D71,'Comp2016-2017 (3)'!$R$5:$R$289,$V71)*$AB71))</f>
        <v/>
      </c>
      <c r="AF71" s="2" t="str">
        <f>IF($W71=AF$3,$AB71,IF(NOT($W71=0),"",SUMIFS('Val-Vol (2)'!AF$4:AF$1116,'Val-Vol (2)'!$A$4:$A$1116,$D71,'Val-Vol (2)'!$V$4:$V$1116,$V71)/SUMIFS('Comp2016-2017 (3)'!$G$5:$G$289,'Comp2016-2017 (3)'!$A$5:$A$289,$D71,'Comp2016-2017 (3)'!$R$5:$R$289,$V71)*$AB71))</f>
        <v/>
      </c>
      <c r="AG71" s="2" t="str">
        <f>IF($W71=AG$3,$AB71,IF(NOT($W71=0),"",SUMIFS('Val-Vol (2)'!AG$4:AG$1116,'Val-Vol (2)'!$A$4:$A$1116,$D71,'Val-Vol (2)'!$V$4:$V$1116,$V71)/SUMIFS('Comp2016-2017 (3)'!$G$5:$G$289,'Comp2016-2017 (3)'!$A$5:$A$289,$D71,'Comp2016-2017 (3)'!$R$5:$R$289,$V71)*$AB71))</f>
        <v/>
      </c>
      <c r="AH71" s="2" t="str">
        <f>IF($W71=AH$3,$AB71,IF(NOT($W71=0),"",SUMIFS('Val-Vol (2)'!AH$4:AH$1116,'Val-Vol (2)'!$A$4:$A$1116,$D71,'Val-Vol (2)'!$V$4:$V$1116,$V71)/SUMIFS('Comp2016-2017 (3)'!$G$5:$G$289,'Comp2016-2017 (3)'!$A$5:$A$289,$D71,'Comp2016-2017 (3)'!$R$5:$R$289,$V71)*$AB71))</f>
        <v/>
      </c>
      <c r="AI71" s="2" t="str">
        <f>IF($W71=AI$3,$AB71,IF(NOT($W71=0),"",SUMIFS('Val-Vol (2)'!AI$4:AI$1116,'Val-Vol (2)'!$A$4:$A$1116,$D71,'Val-Vol (2)'!$V$4:$V$1116,$V71)/SUMIFS('Comp2016-2017 (3)'!$G$5:$G$289,'Comp2016-2017 (3)'!$A$5:$A$289,$D71,'Comp2016-2017 (3)'!$R$5:$R$289,$V71)*$AB71))</f>
        <v/>
      </c>
      <c r="AJ71" s="2" t="str">
        <f>IF($W71=AJ$3,$AB71,IF(NOT($W71=0),"",SUMIFS('Val-Vol (2)'!AJ$4:AJ$1116,'Val-Vol (2)'!$A$4:$A$1116,$D71,'Val-Vol (2)'!$V$4:$V$1116,$V71)/SUMIFS('Comp2016-2017 (3)'!$G$5:$G$289,'Comp2016-2017 (3)'!$A$5:$A$289,$D71,'Comp2016-2017 (3)'!$R$5:$R$289,$V71)*$AB71))</f>
        <v/>
      </c>
      <c r="AK71" s="2">
        <f t="shared" si="10"/>
        <v>0</v>
      </c>
      <c r="AL71" t="str">
        <f t="shared" si="7"/>
        <v/>
      </c>
      <c r="AM71" t="str">
        <f>VLOOKUP(A71,'Table corresp.'!$M$4:$U$63,8,FALSE)</f>
        <v>Production intermédiaire</v>
      </c>
      <c r="AN71" t="str">
        <f>VLOOKUP(D71,'Table corresp.'!$M$4:$U$63,9,FALSE)</f>
        <v>Production finale</v>
      </c>
    </row>
    <row r="72" spans="1:40" x14ac:dyDescent="0.25">
      <c r="A72" t="s">
        <v>4</v>
      </c>
      <c r="B72" t="str">
        <f>VLOOKUP(LEFT(A72,3),'Table corresp.'!$A$4:$D$63,3,FALSE)</f>
        <v>Transformation</v>
      </c>
      <c r="C72" t="str">
        <f>VLOOKUP(A72,'Table corresp.'!$M$4:$P$63,4,FALSE)</f>
        <v>Production et transformation de produits bois</v>
      </c>
      <c r="D72" t="s">
        <v>15</v>
      </c>
      <c r="E72" t="str">
        <f>VLOOKUP(LEFT(D72,3),'Table corresp.'!$A$4:$D$63,4,FALSE)</f>
        <v>Transformation</v>
      </c>
      <c r="F72" t="str">
        <f t="shared" si="6"/>
        <v xml:space="preserve">08  - 35 </v>
      </c>
      <c r="G72" s="1">
        <v>11611.490143999999</v>
      </c>
      <c r="H72" s="1">
        <v>971.19628</v>
      </c>
      <c r="I72" s="1">
        <v>12582.686424</v>
      </c>
      <c r="J72" s="1">
        <v>31.100660308202677</v>
      </c>
      <c r="K72" s="1">
        <v>2.0869154223751676</v>
      </c>
      <c r="L72" s="1">
        <v>33.187575730577848</v>
      </c>
      <c r="M72" s="1">
        <v>0</v>
      </c>
      <c r="N72" s="1">
        <v>0</v>
      </c>
      <c r="O72" s="1">
        <v>0</v>
      </c>
      <c r="P72" s="1">
        <v>0</v>
      </c>
      <c r="Q72" s="1">
        <v>0</v>
      </c>
      <c r="R72" s="1">
        <v>0</v>
      </c>
      <c r="S72" s="67"/>
      <c r="T72">
        <f>VLOOKUP(A72,'Groupe de branches'!$Z$27:$AM$86,14,FALSE)</f>
        <v>0</v>
      </c>
      <c r="U72">
        <f>VLOOKUP(D72,'Groupe de branches'!$Z$27:$AM$86,14,FALSE)</f>
        <v>0</v>
      </c>
      <c r="V72">
        <v>2016</v>
      </c>
      <c r="W72" t="str">
        <f>VLOOKUP(D72,'Table corresp.'!$M$4:$S$63,7,FALSE)</f>
        <v>Construction</v>
      </c>
      <c r="X72" s="167">
        <f>IFERROR(G72/SUMIFS('Comp2016-2017 (3)'!$I$5:$I$289,'Comp2016-2017 (3)'!$A$5:$A$289,A72,'Comp2016-2017 (3)'!$R$5:$R$289,V72),0)</f>
        <v>2.8395256325965523E-2</v>
      </c>
      <c r="Y72" s="178">
        <f>IFERROR(IF(RIGHT(F72,3)="Exp",VLOOKUP(F72,#REF!,2,FALSE),VLOOKUP(F72,#REF!,9,FALSE)),1)</f>
        <v>1</v>
      </c>
      <c r="Z72" s="167">
        <f t="shared" si="8"/>
        <v>7.1428571428571425E-2</v>
      </c>
      <c r="AA72" s="189">
        <f t="shared" si="9"/>
        <v>2.0282325947118228E-3</v>
      </c>
      <c r="AB72" s="2">
        <f>IFERROR(SUMIFS('Comp2016-2017 (3)'!$G$5:$G$289,'Comp2016-2017 (3)'!$A$5:$A$289,A72,'Comp2016-2017 (3)'!$R$5:$R$289,V72)*AA72/SUMIFS($AA$4:$AA$1116,$A$4:$A$1116,A72,$V$4:$V$1116,V72),0)</f>
        <v>2988.4328680125263</v>
      </c>
      <c r="AC72" s="2" t="str">
        <f>IF($W72=AC$3,$AB72,IF(NOT($W72=0),"",SUMIFS('Val-Vol (2)'!AC$4:AC$1116,'Val-Vol (2)'!$A$4:$A$1116,$D72,'Val-Vol (2)'!$V$4:$V$1116,$V72)/SUMIFS('Comp2016-2017 (3)'!$G$5:$G$289,'Comp2016-2017 (3)'!$A$5:$A$289,$D72,'Comp2016-2017 (3)'!$R$5:$R$289,$V72)*$AB72))</f>
        <v/>
      </c>
      <c r="AD72" s="2">
        <f>IF($W72=AD$3,$AB72,IF(NOT($W72=0),"",SUMIFS('Val-Vol (2)'!AD$4:AD$1116,'Val-Vol (2)'!$A$4:$A$1116,$D72,'Val-Vol (2)'!$V$4:$V$1116,$V72)/SUMIFS('Comp2016-2017 (3)'!$G$5:$G$289,'Comp2016-2017 (3)'!$A$5:$A$289,$D72,'Comp2016-2017 (3)'!$R$5:$R$289,$V72)*$AB72))</f>
        <v>2988.4328680125263</v>
      </c>
      <c r="AE72" s="2" t="str">
        <f>IF($W72=AE$3,$AB72,IF(NOT($W72=0),"",SUMIFS('Val-Vol (2)'!AE$4:AE$1116,'Val-Vol (2)'!$A$4:$A$1116,$D72,'Val-Vol (2)'!$V$4:$V$1116,$V72)/SUMIFS('Comp2016-2017 (3)'!$G$5:$G$289,'Comp2016-2017 (3)'!$A$5:$A$289,$D72,'Comp2016-2017 (3)'!$R$5:$R$289,$V72)*$AB72))</f>
        <v/>
      </c>
      <c r="AF72" s="2" t="str">
        <f>IF($W72=AF$3,$AB72,IF(NOT($W72=0),"",SUMIFS('Val-Vol (2)'!AF$4:AF$1116,'Val-Vol (2)'!$A$4:$A$1116,$D72,'Val-Vol (2)'!$V$4:$V$1116,$V72)/SUMIFS('Comp2016-2017 (3)'!$G$5:$G$289,'Comp2016-2017 (3)'!$A$5:$A$289,$D72,'Comp2016-2017 (3)'!$R$5:$R$289,$V72)*$AB72))</f>
        <v/>
      </c>
      <c r="AG72" s="2" t="str">
        <f>IF($W72=AG$3,$AB72,IF(NOT($W72=0),"",SUMIFS('Val-Vol (2)'!AG$4:AG$1116,'Val-Vol (2)'!$A$4:$A$1116,$D72,'Val-Vol (2)'!$V$4:$V$1116,$V72)/SUMIFS('Comp2016-2017 (3)'!$G$5:$G$289,'Comp2016-2017 (3)'!$A$5:$A$289,$D72,'Comp2016-2017 (3)'!$R$5:$R$289,$V72)*$AB72))</f>
        <v/>
      </c>
      <c r="AH72" s="2" t="str">
        <f>IF($W72=AH$3,$AB72,IF(NOT($W72=0),"",SUMIFS('Val-Vol (2)'!AH$4:AH$1116,'Val-Vol (2)'!$A$4:$A$1116,$D72,'Val-Vol (2)'!$V$4:$V$1116,$V72)/SUMIFS('Comp2016-2017 (3)'!$G$5:$G$289,'Comp2016-2017 (3)'!$A$5:$A$289,$D72,'Comp2016-2017 (3)'!$R$5:$R$289,$V72)*$AB72))</f>
        <v/>
      </c>
      <c r="AI72" s="2" t="str">
        <f>IF($W72=AI$3,$AB72,IF(NOT($W72=0),"",SUMIFS('Val-Vol (2)'!AI$4:AI$1116,'Val-Vol (2)'!$A$4:$A$1116,$D72,'Val-Vol (2)'!$V$4:$V$1116,$V72)/SUMIFS('Comp2016-2017 (3)'!$G$5:$G$289,'Comp2016-2017 (3)'!$A$5:$A$289,$D72,'Comp2016-2017 (3)'!$R$5:$R$289,$V72)*$AB72))</f>
        <v/>
      </c>
      <c r="AJ72" s="2" t="str">
        <f>IF($W72=AJ$3,$AB72,IF(NOT($W72=0),"",SUMIFS('Val-Vol (2)'!AJ$4:AJ$1116,'Val-Vol (2)'!$A$4:$A$1116,$D72,'Val-Vol (2)'!$V$4:$V$1116,$V72)/SUMIFS('Comp2016-2017 (3)'!$G$5:$G$289,'Comp2016-2017 (3)'!$A$5:$A$289,$D72,'Comp2016-2017 (3)'!$R$5:$R$289,$V72)*$AB72))</f>
        <v/>
      </c>
      <c r="AK72" s="2">
        <f t="shared" si="10"/>
        <v>0</v>
      </c>
      <c r="AL72" t="str">
        <f t="shared" si="7"/>
        <v/>
      </c>
      <c r="AM72" t="str">
        <f>VLOOKUP(A72,'Table corresp.'!$M$4:$U$63,8,FALSE)</f>
        <v>Production intermédiaire</v>
      </c>
      <c r="AN72" t="str">
        <f>VLOOKUP(D72,'Table corresp.'!$M$4:$U$63,9,FALSE)</f>
        <v>Production finale</v>
      </c>
    </row>
    <row r="73" spans="1:40" x14ac:dyDescent="0.25">
      <c r="A73" t="s">
        <v>4</v>
      </c>
      <c r="B73" t="str">
        <f>VLOOKUP(LEFT(A73,3),'Table corresp.'!$A$4:$D$63,3,FALSE)</f>
        <v>Transformation</v>
      </c>
      <c r="C73" t="str">
        <f>VLOOKUP(A73,'Table corresp.'!$M$4:$P$63,4,FALSE)</f>
        <v>Production et transformation de produits bois</v>
      </c>
      <c r="D73" t="s">
        <v>16</v>
      </c>
      <c r="E73" t="str">
        <f>VLOOKUP(LEFT(D73,3),'Table corresp.'!$A$4:$D$63,4,FALSE)</f>
        <v>Transformation</v>
      </c>
      <c r="F73" t="str">
        <f t="shared" si="6"/>
        <v xml:space="preserve">08  - 36 </v>
      </c>
      <c r="G73" s="1">
        <v>4249.9400949999999</v>
      </c>
      <c r="H73" s="1">
        <v>971.19628</v>
      </c>
      <c r="I73" s="1">
        <v>5221.136375</v>
      </c>
      <c r="J73" s="1">
        <v>14.635546025908331</v>
      </c>
      <c r="K73" s="1">
        <v>2.6831769716252154</v>
      </c>
      <c r="L73" s="1">
        <v>17.318722997533548</v>
      </c>
      <c r="M73" s="1">
        <v>0</v>
      </c>
      <c r="N73" s="1">
        <v>0</v>
      </c>
      <c r="O73" s="1">
        <v>0</v>
      </c>
      <c r="P73" s="1">
        <v>0</v>
      </c>
      <c r="Q73" s="1">
        <v>0</v>
      </c>
      <c r="R73" s="1">
        <v>0</v>
      </c>
      <c r="S73" s="67"/>
      <c r="T73">
        <f>VLOOKUP(A73,'Groupe de branches'!$Z$27:$AM$86,14,FALSE)</f>
        <v>0</v>
      </c>
      <c r="U73">
        <f>VLOOKUP(D73,'Groupe de branches'!$Z$27:$AM$86,14,FALSE)</f>
        <v>0</v>
      </c>
      <c r="V73">
        <v>2016</v>
      </c>
      <c r="W73" t="str">
        <f>VLOOKUP(D73,'Table corresp.'!$M$4:$S$63,7,FALSE)</f>
        <v>Construction</v>
      </c>
      <c r="X73" s="167">
        <f>IFERROR(G73/SUMIFS('Comp2016-2017 (3)'!$I$5:$I$289,'Comp2016-2017 (3)'!$A$5:$A$289,A73,'Comp2016-2017 (3)'!$R$5:$R$289,V73),0)</f>
        <v>1.0392993222311025E-2</v>
      </c>
      <c r="Y73" s="178">
        <f>IFERROR(IF(RIGHT(F73,3)="Exp",VLOOKUP(F73,#REF!,2,FALSE),VLOOKUP(F73,#REF!,9,FALSE)),1)</f>
        <v>1</v>
      </c>
      <c r="Z73" s="167">
        <f t="shared" si="8"/>
        <v>7.1428571428571425E-2</v>
      </c>
      <c r="AA73" s="189">
        <f t="shared" si="9"/>
        <v>7.4235665873650177E-4</v>
      </c>
      <c r="AB73" s="2">
        <f>IFERROR(SUMIFS('Comp2016-2017 (3)'!$G$5:$G$289,'Comp2016-2017 (3)'!$A$5:$A$289,A73,'Comp2016-2017 (3)'!$R$5:$R$289,V73)*AA73/SUMIFS($AA$4:$AA$1116,$A$4:$A$1116,A73,$V$4:$V$1116,V73),0)</f>
        <v>1093.8010978328296</v>
      </c>
      <c r="AC73" s="2" t="str">
        <f>IF($W73=AC$3,$AB73,IF(NOT($W73=0),"",SUMIFS('Val-Vol (2)'!AC$4:AC$1116,'Val-Vol (2)'!$A$4:$A$1116,$D73,'Val-Vol (2)'!$V$4:$V$1116,$V73)/SUMIFS('Comp2016-2017 (3)'!$G$5:$G$289,'Comp2016-2017 (3)'!$A$5:$A$289,$D73,'Comp2016-2017 (3)'!$R$5:$R$289,$V73)*$AB73))</f>
        <v/>
      </c>
      <c r="AD73" s="2">
        <f>IF($W73=AD$3,$AB73,IF(NOT($W73=0),"",SUMIFS('Val-Vol (2)'!AD$4:AD$1116,'Val-Vol (2)'!$A$4:$A$1116,$D73,'Val-Vol (2)'!$V$4:$V$1116,$V73)/SUMIFS('Comp2016-2017 (3)'!$G$5:$G$289,'Comp2016-2017 (3)'!$A$5:$A$289,$D73,'Comp2016-2017 (3)'!$R$5:$R$289,$V73)*$AB73))</f>
        <v>1093.8010978328296</v>
      </c>
      <c r="AE73" s="2" t="str">
        <f>IF($W73=AE$3,$AB73,IF(NOT($W73=0),"",SUMIFS('Val-Vol (2)'!AE$4:AE$1116,'Val-Vol (2)'!$A$4:$A$1116,$D73,'Val-Vol (2)'!$V$4:$V$1116,$V73)/SUMIFS('Comp2016-2017 (3)'!$G$5:$G$289,'Comp2016-2017 (3)'!$A$5:$A$289,$D73,'Comp2016-2017 (3)'!$R$5:$R$289,$V73)*$AB73))</f>
        <v/>
      </c>
      <c r="AF73" s="2" t="str">
        <f>IF($W73=AF$3,$AB73,IF(NOT($W73=0),"",SUMIFS('Val-Vol (2)'!AF$4:AF$1116,'Val-Vol (2)'!$A$4:$A$1116,$D73,'Val-Vol (2)'!$V$4:$V$1116,$V73)/SUMIFS('Comp2016-2017 (3)'!$G$5:$G$289,'Comp2016-2017 (3)'!$A$5:$A$289,$D73,'Comp2016-2017 (3)'!$R$5:$R$289,$V73)*$AB73))</f>
        <v/>
      </c>
      <c r="AG73" s="2" t="str">
        <f>IF($W73=AG$3,$AB73,IF(NOT($W73=0),"",SUMIFS('Val-Vol (2)'!AG$4:AG$1116,'Val-Vol (2)'!$A$4:$A$1116,$D73,'Val-Vol (2)'!$V$4:$V$1116,$V73)/SUMIFS('Comp2016-2017 (3)'!$G$5:$G$289,'Comp2016-2017 (3)'!$A$5:$A$289,$D73,'Comp2016-2017 (3)'!$R$5:$R$289,$V73)*$AB73))</f>
        <v/>
      </c>
      <c r="AH73" s="2" t="str">
        <f>IF($W73=AH$3,$AB73,IF(NOT($W73=0),"",SUMIFS('Val-Vol (2)'!AH$4:AH$1116,'Val-Vol (2)'!$A$4:$A$1116,$D73,'Val-Vol (2)'!$V$4:$V$1116,$V73)/SUMIFS('Comp2016-2017 (3)'!$G$5:$G$289,'Comp2016-2017 (3)'!$A$5:$A$289,$D73,'Comp2016-2017 (3)'!$R$5:$R$289,$V73)*$AB73))</f>
        <v/>
      </c>
      <c r="AI73" s="2" t="str">
        <f>IF($W73=AI$3,$AB73,IF(NOT($W73=0),"",SUMIFS('Val-Vol (2)'!AI$4:AI$1116,'Val-Vol (2)'!$A$4:$A$1116,$D73,'Val-Vol (2)'!$V$4:$V$1116,$V73)/SUMIFS('Comp2016-2017 (3)'!$G$5:$G$289,'Comp2016-2017 (3)'!$A$5:$A$289,$D73,'Comp2016-2017 (3)'!$R$5:$R$289,$V73)*$AB73))</f>
        <v/>
      </c>
      <c r="AJ73" s="2" t="str">
        <f>IF($W73=AJ$3,$AB73,IF(NOT($W73=0),"",SUMIFS('Val-Vol (2)'!AJ$4:AJ$1116,'Val-Vol (2)'!$A$4:$A$1116,$D73,'Val-Vol (2)'!$V$4:$V$1116,$V73)/SUMIFS('Comp2016-2017 (3)'!$G$5:$G$289,'Comp2016-2017 (3)'!$A$5:$A$289,$D73,'Comp2016-2017 (3)'!$R$5:$R$289,$V73)*$AB73))</f>
        <v/>
      </c>
      <c r="AK73" s="2">
        <f t="shared" si="10"/>
        <v>0</v>
      </c>
      <c r="AL73" t="str">
        <f t="shared" si="7"/>
        <v/>
      </c>
      <c r="AM73" t="str">
        <f>VLOOKUP(A73,'Table corresp.'!$M$4:$U$63,8,FALSE)</f>
        <v>Production intermédiaire</v>
      </c>
      <c r="AN73" t="str">
        <f>VLOOKUP(D73,'Table corresp.'!$M$4:$U$63,9,FALSE)</f>
        <v>Production finale</v>
      </c>
    </row>
    <row r="74" spans="1:40" x14ac:dyDescent="0.25">
      <c r="A74" t="s">
        <v>4</v>
      </c>
      <c r="B74" t="str">
        <f>VLOOKUP(LEFT(A74,3),'Table corresp.'!$A$4:$D$63,3,FALSE)</f>
        <v>Transformation</v>
      </c>
      <c r="C74" t="str">
        <f>VLOOKUP(A74,'Table corresp.'!$M$4:$P$63,4,FALSE)</f>
        <v>Production et transformation de produits bois</v>
      </c>
      <c r="D74" t="s">
        <v>92</v>
      </c>
      <c r="E74" t="str">
        <f>VLOOKUP(LEFT(D74,3),'Table corresp.'!$A$4:$D$63,4,FALSE)</f>
        <v>Transformation</v>
      </c>
      <c r="F74" t="str">
        <f t="shared" si="6"/>
        <v xml:space="preserve">08  - 40 </v>
      </c>
      <c r="G74" s="1">
        <v>1230.8878312588663</v>
      </c>
      <c r="H74" s="1">
        <v>0</v>
      </c>
      <c r="I74" s="1">
        <v>1230.8878312588663</v>
      </c>
      <c r="J74" s="1">
        <v>5.3948571565298895</v>
      </c>
      <c r="K74" s="1">
        <v>0</v>
      </c>
      <c r="L74" s="1">
        <v>5.3948571565298895</v>
      </c>
      <c r="M74" s="1">
        <v>0</v>
      </c>
      <c r="N74" s="1">
        <v>0</v>
      </c>
      <c r="O74" s="1">
        <v>0</v>
      </c>
      <c r="P74" s="1">
        <v>0</v>
      </c>
      <c r="Q74" s="1">
        <v>0</v>
      </c>
      <c r="R74" s="1">
        <v>0</v>
      </c>
      <c r="S74" s="67"/>
      <c r="T74">
        <f>VLOOKUP(A74,'Groupe de branches'!$Z$27:$AM$86,14,FALSE)</f>
        <v>0</v>
      </c>
      <c r="U74">
        <f>VLOOKUP(D74,'Groupe de branches'!$Z$27:$AM$86,14,FALSE)</f>
        <v>0</v>
      </c>
      <c r="V74">
        <v>2016</v>
      </c>
      <c r="W74" t="str">
        <f>VLOOKUP(D74,'Table corresp.'!$M$4:$S$63,7,FALSE)</f>
        <v>Construction</v>
      </c>
      <c r="X74" s="167">
        <f>IFERROR(G74/SUMIFS('Comp2016-2017 (3)'!$I$5:$I$289,'Comp2016-2017 (3)'!$A$5:$A$289,A74,'Comp2016-2017 (3)'!$R$5:$R$289,V74),0)</f>
        <v>3.0100680484294014E-3</v>
      </c>
      <c r="Y74" s="178">
        <f>IFERROR(IF(RIGHT(F74,3)="Exp",VLOOKUP(F74,#REF!,2,FALSE),VLOOKUP(F74,#REF!,9,FALSE)),1)</f>
        <v>1</v>
      </c>
      <c r="Z74" s="167">
        <f t="shared" si="8"/>
        <v>7.1428571428571425E-2</v>
      </c>
      <c r="AA74" s="189">
        <f t="shared" si="9"/>
        <v>2.1500486060210008E-4</v>
      </c>
      <c r="AB74" s="2">
        <f>IFERROR(SUMIFS('Comp2016-2017 (3)'!$G$5:$G$289,'Comp2016-2017 (3)'!$A$5:$A$289,A74,'Comp2016-2017 (3)'!$R$5:$R$289,V74)*AA74/SUMIFS($AA$4:$AA$1116,$A$4:$A$1116,A74,$V$4:$V$1116,V74),0)</f>
        <v>316.79186789573293</v>
      </c>
      <c r="AC74" s="2" t="str">
        <f>IF($W74=AC$3,$AB74,IF(NOT($W74=0),"",SUMIFS('Val-Vol (2)'!AC$4:AC$1116,'Val-Vol (2)'!$A$4:$A$1116,$D74,'Val-Vol (2)'!$V$4:$V$1116,$V74)/SUMIFS('Comp2016-2017 (3)'!$G$5:$G$289,'Comp2016-2017 (3)'!$A$5:$A$289,$D74,'Comp2016-2017 (3)'!$R$5:$R$289,$V74)*$AB74))</f>
        <v/>
      </c>
      <c r="AD74" s="2">
        <f>IF($W74=AD$3,$AB74,IF(NOT($W74=0),"",SUMIFS('Val-Vol (2)'!AD$4:AD$1116,'Val-Vol (2)'!$A$4:$A$1116,$D74,'Val-Vol (2)'!$V$4:$V$1116,$V74)/SUMIFS('Comp2016-2017 (3)'!$G$5:$G$289,'Comp2016-2017 (3)'!$A$5:$A$289,$D74,'Comp2016-2017 (3)'!$R$5:$R$289,$V74)*$AB74))</f>
        <v>316.79186789573293</v>
      </c>
      <c r="AE74" s="2" t="str">
        <f>IF($W74=AE$3,$AB74,IF(NOT($W74=0),"",SUMIFS('Val-Vol (2)'!AE$4:AE$1116,'Val-Vol (2)'!$A$4:$A$1116,$D74,'Val-Vol (2)'!$V$4:$V$1116,$V74)/SUMIFS('Comp2016-2017 (3)'!$G$5:$G$289,'Comp2016-2017 (3)'!$A$5:$A$289,$D74,'Comp2016-2017 (3)'!$R$5:$R$289,$V74)*$AB74))</f>
        <v/>
      </c>
      <c r="AF74" s="2" t="str">
        <f>IF($W74=AF$3,$AB74,IF(NOT($W74=0),"",SUMIFS('Val-Vol (2)'!AF$4:AF$1116,'Val-Vol (2)'!$A$4:$A$1116,$D74,'Val-Vol (2)'!$V$4:$V$1116,$V74)/SUMIFS('Comp2016-2017 (3)'!$G$5:$G$289,'Comp2016-2017 (3)'!$A$5:$A$289,$D74,'Comp2016-2017 (3)'!$R$5:$R$289,$V74)*$AB74))</f>
        <v/>
      </c>
      <c r="AG74" s="2" t="str">
        <f>IF($W74=AG$3,$AB74,IF(NOT($W74=0),"",SUMIFS('Val-Vol (2)'!AG$4:AG$1116,'Val-Vol (2)'!$A$4:$A$1116,$D74,'Val-Vol (2)'!$V$4:$V$1116,$V74)/SUMIFS('Comp2016-2017 (3)'!$G$5:$G$289,'Comp2016-2017 (3)'!$A$5:$A$289,$D74,'Comp2016-2017 (3)'!$R$5:$R$289,$V74)*$AB74))</f>
        <v/>
      </c>
      <c r="AH74" s="2" t="str">
        <f>IF($W74=AH$3,$AB74,IF(NOT($W74=0),"",SUMIFS('Val-Vol (2)'!AH$4:AH$1116,'Val-Vol (2)'!$A$4:$A$1116,$D74,'Val-Vol (2)'!$V$4:$V$1116,$V74)/SUMIFS('Comp2016-2017 (3)'!$G$5:$G$289,'Comp2016-2017 (3)'!$A$5:$A$289,$D74,'Comp2016-2017 (3)'!$R$5:$R$289,$V74)*$AB74))</f>
        <v/>
      </c>
      <c r="AI74" s="2" t="str">
        <f>IF($W74=AI$3,$AB74,IF(NOT($W74=0),"",SUMIFS('Val-Vol (2)'!AI$4:AI$1116,'Val-Vol (2)'!$A$4:$A$1116,$D74,'Val-Vol (2)'!$V$4:$V$1116,$V74)/SUMIFS('Comp2016-2017 (3)'!$G$5:$G$289,'Comp2016-2017 (3)'!$A$5:$A$289,$D74,'Comp2016-2017 (3)'!$R$5:$R$289,$V74)*$AB74))</f>
        <v/>
      </c>
      <c r="AJ74" s="2" t="str">
        <f>IF($W74=AJ$3,$AB74,IF(NOT($W74=0),"",SUMIFS('Val-Vol (2)'!AJ$4:AJ$1116,'Val-Vol (2)'!$A$4:$A$1116,$D74,'Val-Vol (2)'!$V$4:$V$1116,$V74)/SUMIFS('Comp2016-2017 (3)'!$G$5:$G$289,'Comp2016-2017 (3)'!$A$5:$A$289,$D74,'Comp2016-2017 (3)'!$R$5:$R$289,$V74)*$AB74))</f>
        <v/>
      </c>
      <c r="AK74" s="2">
        <f t="shared" si="10"/>
        <v>0</v>
      </c>
      <c r="AL74" t="str">
        <f t="shared" si="7"/>
        <v/>
      </c>
      <c r="AM74" t="str">
        <f>VLOOKUP(A74,'Table corresp.'!$M$4:$U$63,8,FALSE)</f>
        <v>Production intermédiaire</v>
      </c>
      <c r="AN74" t="str">
        <f>VLOOKUP(D74,'Table corresp.'!$M$4:$U$63,9,FALSE)</f>
        <v>Production finale</v>
      </c>
    </row>
    <row r="75" spans="1:40" x14ac:dyDescent="0.25">
      <c r="A75" t="s">
        <v>4</v>
      </c>
      <c r="B75" t="str">
        <f>VLOOKUP(LEFT(A75,3),'Table corresp.'!$A$4:$D$63,3,FALSE)</f>
        <v>Transformation</v>
      </c>
      <c r="C75" t="str">
        <f>VLOOKUP(A75,'Table corresp.'!$M$4:$P$63,4,FALSE)</f>
        <v>Production et transformation de produits bois</v>
      </c>
      <c r="D75" t="s">
        <v>99</v>
      </c>
      <c r="E75" t="str">
        <f>VLOOKUP(LEFT(D75,3),'Table corresp.'!$A$4:$D$63,4,FALSE)</f>
        <v>Transformation</v>
      </c>
      <c r="F75" t="str">
        <f t="shared" si="6"/>
        <v xml:space="preserve">08  - 47 </v>
      </c>
      <c r="G75" s="1">
        <v>60691.123000000007</v>
      </c>
      <c r="H75" s="1">
        <v>18674</v>
      </c>
      <c r="I75" s="1">
        <v>79365.123000000007</v>
      </c>
      <c r="J75" s="1">
        <v>162.55743033306464</v>
      </c>
      <c r="K75" s="1">
        <v>40.126861479982075</v>
      </c>
      <c r="L75" s="1">
        <v>202.68429181304671</v>
      </c>
      <c r="M75" s="1">
        <v>0</v>
      </c>
      <c r="N75" s="1">
        <v>0</v>
      </c>
      <c r="O75" s="1">
        <v>0</v>
      </c>
      <c r="P75" s="1">
        <v>0</v>
      </c>
      <c r="Q75" s="1">
        <v>0</v>
      </c>
      <c r="R75" s="1">
        <v>0</v>
      </c>
      <c r="S75" s="67"/>
      <c r="T75">
        <f>VLOOKUP(A75,'Groupe de branches'!$Z$27:$AM$86,14,FALSE)</f>
        <v>0</v>
      </c>
      <c r="U75">
        <f>VLOOKUP(D75,'Groupe de branches'!$Z$27:$AM$86,14,FALSE)</f>
        <v>0</v>
      </c>
      <c r="V75">
        <v>2016</v>
      </c>
      <c r="W75" t="str">
        <f>VLOOKUP(D75,'Table corresp.'!$M$4:$S$63,7,FALSE)</f>
        <v>Meuble</v>
      </c>
      <c r="X75" s="167">
        <f>IFERROR(G75/SUMIFS('Comp2016-2017 (3)'!$I$5:$I$289,'Comp2016-2017 (3)'!$A$5:$A$289,A75,'Comp2016-2017 (3)'!$R$5:$R$289,V75),0)</f>
        <v>0.148416781388408</v>
      </c>
      <c r="Y75" s="178">
        <f>IFERROR(IF(RIGHT(F75,3)="Exp",VLOOKUP(F75,#REF!,2,FALSE),VLOOKUP(F75,#REF!,9,FALSE)),1)</f>
        <v>1</v>
      </c>
      <c r="Z75" s="167">
        <f t="shared" si="8"/>
        <v>7.1428571428571425E-2</v>
      </c>
      <c r="AA75" s="189">
        <f t="shared" si="9"/>
        <v>1.0601198670600571E-2</v>
      </c>
      <c r="AB75" s="2">
        <f>IFERROR(SUMIFS('Comp2016-2017 (3)'!$G$5:$G$289,'Comp2016-2017 (3)'!$A$5:$A$289,A75,'Comp2016-2017 (3)'!$R$5:$R$289,V75)*AA75/SUMIFS($AA$4:$AA$1116,$A$4:$A$1116,A75,$V$4:$V$1116,V75),0)</f>
        <v>15619.988866244785</v>
      </c>
      <c r="AC75" s="2" t="str">
        <f>IF($W75=AC$3,$AB75,IF(NOT($W75=0),"",SUMIFS('Val-Vol (2)'!AC$4:AC$1116,'Val-Vol (2)'!$A$4:$A$1116,$D75,'Val-Vol (2)'!$V$4:$V$1116,$V75)/SUMIFS('Comp2016-2017 (3)'!$G$5:$G$289,'Comp2016-2017 (3)'!$A$5:$A$289,$D75,'Comp2016-2017 (3)'!$R$5:$R$289,$V75)*$AB75))</f>
        <v/>
      </c>
      <c r="AD75" s="2" t="str">
        <f>IF($W75=AD$3,$AB75,IF(NOT($W75=0),"",SUMIFS('Val-Vol (2)'!AD$4:AD$1116,'Val-Vol (2)'!$A$4:$A$1116,$D75,'Val-Vol (2)'!$V$4:$V$1116,$V75)/SUMIFS('Comp2016-2017 (3)'!$G$5:$G$289,'Comp2016-2017 (3)'!$A$5:$A$289,$D75,'Comp2016-2017 (3)'!$R$5:$R$289,$V75)*$AB75))</f>
        <v/>
      </c>
      <c r="AE75" s="2">
        <f>IF($W75=AE$3,$AB75,IF(NOT($W75=0),"",SUMIFS('Val-Vol (2)'!AE$4:AE$1116,'Val-Vol (2)'!$A$4:$A$1116,$D75,'Val-Vol (2)'!$V$4:$V$1116,$V75)/SUMIFS('Comp2016-2017 (3)'!$G$5:$G$289,'Comp2016-2017 (3)'!$A$5:$A$289,$D75,'Comp2016-2017 (3)'!$R$5:$R$289,$V75)*$AB75))</f>
        <v>15619.988866244785</v>
      </c>
      <c r="AF75" s="2" t="str">
        <f>IF($W75=AF$3,$AB75,IF(NOT($W75=0),"",SUMIFS('Val-Vol (2)'!AF$4:AF$1116,'Val-Vol (2)'!$A$4:$A$1116,$D75,'Val-Vol (2)'!$V$4:$V$1116,$V75)/SUMIFS('Comp2016-2017 (3)'!$G$5:$G$289,'Comp2016-2017 (3)'!$A$5:$A$289,$D75,'Comp2016-2017 (3)'!$R$5:$R$289,$V75)*$AB75))</f>
        <v/>
      </c>
      <c r="AG75" s="2" t="str">
        <f>IF($W75=AG$3,$AB75,IF(NOT($W75=0),"",SUMIFS('Val-Vol (2)'!AG$4:AG$1116,'Val-Vol (2)'!$A$4:$A$1116,$D75,'Val-Vol (2)'!$V$4:$V$1116,$V75)/SUMIFS('Comp2016-2017 (3)'!$G$5:$G$289,'Comp2016-2017 (3)'!$A$5:$A$289,$D75,'Comp2016-2017 (3)'!$R$5:$R$289,$V75)*$AB75))</f>
        <v/>
      </c>
      <c r="AH75" s="2" t="str">
        <f>IF($W75=AH$3,$AB75,IF(NOT($W75=0),"",SUMIFS('Val-Vol (2)'!AH$4:AH$1116,'Val-Vol (2)'!$A$4:$A$1116,$D75,'Val-Vol (2)'!$V$4:$V$1116,$V75)/SUMIFS('Comp2016-2017 (3)'!$G$5:$G$289,'Comp2016-2017 (3)'!$A$5:$A$289,$D75,'Comp2016-2017 (3)'!$R$5:$R$289,$V75)*$AB75))</f>
        <v/>
      </c>
      <c r="AI75" s="2" t="str">
        <f>IF($W75=AI$3,$AB75,IF(NOT($W75=0),"",SUMIFS('Val-Vol (2)'!AI$4:AI$1116,'Val-Vol (2)'!$A$4:$A$1116,$D75,'Val-Vol (2)'!$V$4:$V$1116,$V75)/SUMIFS('Comp2016-2017 (3)'!$G$5:$G$289,'Comp2016-2017 (3)'!$A$5:$A$289,$D75,'Comp2016-2017 (3)'!$R$5:$R$289,$V75)*$AB75))</f>
        <v/>
      </c>
      <c r="AJ75" s="2" t="str">
        <f>IF($W75=AJ$3,$AB75,IF(NOT($W75=0),"",SUMIFS('Val-Vol (2)'!AJ$4:AJ$1116,'Val-Vol (2)'!$A$4:$A$1116,$D75,'Val-Vol (2)'!$V$4:$V$1116,$V75)/SUMIFS('Comp2016-2017 (3)'!$G$5:$G$289,'Comp2016-2017 (3)'!$A$5:$A$289,$D75,'Comp2016-2017 (3)'!$R$5:$R$289,$V75)*$AB75))</f>
        <v/>
      </c>
      <c r="AK75" s="2">
        <f t="shared" si="10"/>
        <v>0</v>
      </c>
      <c r="AL75" t="str">
        <f t="shared" si="7"/>
        <v/>
      </c>
      <c r="AM75" t="str">
        <f>VLOOKUP(A75,'Table corresp.'!$M$4:$U$63,8,FALSE)</f>
        <v>Production intermédiaire</v>
      </c>
      <c r="AN75" t="str">
        <f>VLOOKUP(D75,'Table corresp.'!$M$4:$U$63,9,FALSE)</f>
        <v>Production finale</v>
      </c>
    </row>
    <row r="76" spans="1:40" x14ac:dyDescent="0.25">
      <c r="A76" t="s">
        <v>4</v>
      </c>
      <c r="B76" t="str">
        <f>VLOOKUP(LEFT(A76,3),'Table corresp.'!$A$4:$D$63,3,FALSE)</f>
        <v>Transformation</v>
      </c>
      <c r="C76" t="str">
        <f>VLOOKUP(A76,'Table corresp.'!$M$4:$P$63,4,FALSE)</f>
        <v>Production et transformation de produits bois</v>
      </c>
      <c r="D76" t="s">
        <v>100</v>
      </c>
      <c r="E76" t="str">
        <f>VLOOKUP(LEFT(D76,3),'Table corresp.'!$A$4:$D$63,4,FALSE)</f>
        <v>Transformation</v>
      </c>
      <c r="F76" t="str">
        <f t="shared" si="6"/>
        <v xml:space="preserve">08  - 48 </v>
      </c>
      <c r="G76" s="1">
        <v>41984.555754000001</v>
      </c>
      <c r="H76" s="1">
        <v>0</v>
      </c>
      <c r="I76" s="1">
        <v>41984.555754000001</v>
      </c>
      <c r="J76" s="1">
        <v>101.2077391835536</v>
      </c>
      <c r="K76" s="1">
        <v>0</v>
      </c>
      <c r="L76" s="1">
        <v>101.2077391835536</v>
      </c>
      <c r="M76" s="1">
        <v>0</v>
      </c>
      <c r="N76" s="1">
        <v>0</v>
      </c>
      <c r="O76" s="1">
        <v>0</v>
      </c>
      <c r="P76" s="1">
        <v>0</v>
      </c>
      <c r="Q76" s="1">
        <v>0</v>
      </c>
      <c r="R76" s="1">
        <v>0</v>
      </c>
      <c r="S76" s="67"/>
      <c r="T76">
        <f>VLOOKUP(A76,'Groupe de branches'!$Z$27:$AM$86,14,FALSE)</f>
        <v>0</v>
      </c>
      <c r="U76">
        <f>VLOOKUP(D76,'Groupe de branches'!$Z$27:$AM$86,14,FALSE)</f>
        <v>0</v>
      </c>
      <c r="V76">
        <v>2016</v>
      </c>
      <c r="W76" t="str">
        <f>VLOOKUP(D76,'Table corresp.'!$M$4:$S$63,7,FALSE)</f>
        <v>Produits de consommation courante</v>
      </c>
      <c r="X76" s="167">
        <f>IFERROR(G76/SUMIFS('Comp2016-2017 (3)'!$I$5:$I$289,'Comp2016-2017 (3)'!$A$5:$A$289,A76,'Comp2016-2017 (3)'!$R$5:$R$289,V76),0)</f>
        <v>0.10267090679852545</v>
      </c>
      <c r="Y76" s="178">
        <f>IFERROR(IF(RIGHT(F76,3)="Exp",VLOOKUP(F76,#REF!,2,FALSE),VLOOKUP(F76,#REF!,9,FALSE)),1)</f>
        <v>1</v>
      </c>
      <c r="Z76" s="167">
        <f t="shared" si="8"/>
        <v>7.1428571428571425E-2</v>
      </c>
      <c r="AA76" s="189">
        <f t="shared" si="9"/>
        <v>7.3336361998946747E-3</v>
      </c>
      <c r="AB76" s="2">
        <f>IFERROR(SUMIFS('Comp2016-2017 (3)'!$G$5:$G$289,'Comp2016-2017 (3)'!$A$5:$A$289,A76,'Comp2016-2017 (3)'!$R$5:$R$289,V76)*AA76/SUMIFS($AA$4:$AA$1116,$A$4:$A$1116,A76,$V$4:$V$1116,V76),0)</f>
        <v>10805.505995196585</v>
      </c>
      <c r="AC76" s="2" t="str">
        <f>IF($W76=AC$3,$AB76,IF(NOT($W76=0),"",SUMIFS('Val-Vol (2)'!AC$4:AC$1116,'Val-Vol (2)'!$A$4:$A$1116,$D76,'Val-Vol (2)'!$V$4:$V$1116,$V76)/SUMIFS('Comp2016-2017 (3)'!$G$5:$G$289,'Comp2016-2017 (3)'!$A$5:$A$289,$D76,'Comp2016-2017 (3)'!$R$5:$R$289,$V76)*$AB76))</f>
        <v/>
      </c>
      <c r="AD76" s="2" t="str">
        <f>IF($W76=AD$3,$AB76,IF(NOT($W76=0),"",SUMIFS('Val-Vol (2)'!AD$4:AD$1116,'Val-Vol (2)'!$A$4:$A$1116,$D76,'Val-Vol (2)'!$V$4:$V$1116,$V76)/SUMIFS('Comp2016-2017 (3)'!$G$5:$G$289,'Comp2016-2017 (3)'!$A$5:$A$289,$D76,'Comp2016-2017 (3)'!$R$5:$R$289,$V76)*$AB76))</f>
        <v/>
      </c>
      <c r="AE76" s="2" t="str">
        <f>IF($W76=AE$3,$AB76,IF(NOT($W76=0),"",SUMIFS('Val-Vol (2)'!AE$4:AE$1116,'Val-Vol (2)'!$A$4:$A$1116,$D76,'Val-Vol (2)'!$V$4:$V$1116,$V76)/SUMIFS('Comp2016-2017 (3)'!$G$5:$G$289,'Comp2016-2017 (3)'!$A$5:$A$289,$D76,'Comp2016-2017 (3)'!$R$5:$R$289,$V76)*$AB76))</f>
        <v/>
      </c>
      <c r="AF76" s="2" t="str">
        <f>IF($W76=AF$3,$AB76,IF(NOT($W76=0),"",SUMIFS('Val-Vol (2)'!AF$4:AF$1116,'Val-Vol (2)'!$A$4:$A$1116,$D76,'Val-Vol (2)'!$V$4:$V$1116,$V76)/SUMIFS('Comp2016-2017 (3)'!$G$5:$G$289,'Comp2016-2017 (3)'!$A$5:$A$289,$D76,'Comp2016-2017 (3)'!$R$5:$R$289,$V76)*$AB76))</f>
        <v/>
      </c>
      <c r="AG76" s="2" t="str">
        <f>IF($W76=AG$3,$AB76,IF(NOT($W76=0),"",SUMIFS('Val-Vol (2)'!AG$4:AG$1116,'Val-Vol (2)'!$A$4:$A$1116,$D76,'Val-Vol (2)'!$V$4:$V$1116,$V76)/SUMIFS('Comp2016-2017 (3)'!$G$5:$G$289,'Comp2016-2017 (3)'!$A$5:$A$289,$D76,'Comp2016-2017 (3)'!$R$5:$R$289,$V76)*$AB76))</f>
        <v/>
      </c>
      <c r="AH76" s="2" t="str">
        <f>IF($W76=AH$3,$AB76,IF(NOT($W76=0),"",SUMIFS('Val-Vol (2)'!AH$4:AH$1116,'Val-Vol (2)'!$A$4:$A$1116,$D76,'Val-Vol (2)'!$V$4:$V$1116,$V76)/SUMIFS('Comp2016-2017 (3)'!$G$5:$G$289,'Comp2016-2017 (3)'!$A$5:$A$289,$D76,'Comp2016-2017 (3)'!$R$5:$R$289,$V76)*$AB76))</f>
        <v/>
      </c>
      <c r="AI76" s="2">
        <f>IF($W76=AI$3,$AB76,IF(NOT($W76=0),"",SUMIFS('Val-Vol (2)'!AI$4:AI$1116,'Val-Vol (2)'!$A$4:$A$1116,$D76,'Val-Vol (2)'!$V$4:$V$1116,$V76)/SUMIFS('Comp2016-2017 (3)'!$G$5:$G$289,'Comp2016-2017 (3)'!$A$5:$A$289,$D76,'Comp2016-2017 (3)'!$R$5:$R$289,$V76)*$AB76))</f>
        <v>10805.505995196585</v>
      </c>
      <c r="AJ76" s="2" t="str">
        <f>IF($W76=AJ$3,$AB76,IF(NOT($W76=0),"",SUMIFS('Val-Vol (2)'!AJ$4:AJ$1116,'Val-Vol (2)'!$A$4:$A$1116,$D76,'Val-Vol (2)'!$V$4:$V$1116,$V76)/SUMIFS('Comp2016-2017 (3)'!$G$5:$G$289,'Comp2016-2017 (3)'!$A$5:$A$289,$D76,'Comp2016-2017 (3)'!$R$5:$R$289,$V76)*$AB76))</f>
        <v/>
      </c>
      <c r="AK76" s="2">
        <f t="shared" si="10"/>
        <v>0</v>
      </c>
      <c r="AL76" t="str">
        <f t="shared" si="7"/>
        <v/>
      </c>
      <c r="AM76" t="str">
        <f>VLOOKUP(A76,'Table corresp.'!$M$4:$U$63,8,FALSE)</f>
        <v>Production intermédiaire</v>
      </c>
      <c r="AN76" t="str">
        <f>VLOOKUP(D76,'Table corresp.'!$M$4:$U$63,9,FALSE)</f>
        <v>Production finale</v>
      </c>
    </row>
    <row r="77" spans="1:40" x14ac:dyDescent="0.25">
      <c r="A77" t="s">
        <v>4</v>
      </c>
      <c r="B77" t="str">
        <f>VLOOKUP(LEFT(A77,3),'Table corresp.'!$A$4:$D$63,3,FALSE)</f>
        <v>Transformation</v>
      </c>
      <c r="C77" t="str">
        <f>VLOOKUP(A77,'Table corresp.'!$M$4:$P$63,4,FALSE)</f>
        <v>Production et transformation de produits bois</v>
      </c>
      <c r="D77" t="s">
        <v>19</v>
      </c>
      <c r="E77" t="str">
        <f>VLOOKUP(LEFT(D77,3),'Table corresp.'!$A$4:$D$63,4,FALSE)</f>
        <v>Transformation</v>
      </c>
      <c r="F77" t="str">
        <f t="shared" si="6"/>
        <v xml:space="preserve">08  - 52 </v>
      </c>
      <c r="G77" s="1">
        <v>25600</v>
      </c>
      <c r="H77" s="1">
        <v>0</v>
      </c>
      <c r="I77" s="1">
        <v>25600</v>
      </c>
      <c r="J77" s="1">
        <v>154.27804799697847</v>
      </c>
      <c r="K77" s="1">
        <v>0</v>
      </c>
      <c r="L77" s="1">
        <v>154.27804799697847</v>
      </c>
      <c r="M77" s="1">
        <v>0</v>
      </c>
      <c r="N77" s="1">
        <v>0</v>
      </c>
      <c r="O77" s="1">
        <v>0</v>
      </c>
      <c r="P77" s="1">
        <v>0</v>
      </c>
      <c r="Q77" s="1">
        <v>0</v>
      </c>
      <c r="R77" s="1">
        <v>0</v>
      </c>
      <c r="S77" s="67"/>
      <c r="T77">
        <f>VLOOKUP(A77,'Groupe de branches'!$Z$27:$AM$86,14,FALSE)</f>
        <v>0</v>
      </c>
      <c r="U77">
        <f>VLOOKUP(D77,'Groupe de branches'!$Z$27:$AM$86,14,FALSE)</f>
        <v>0</v>
      </c>
      <c r="V77">
        <v>2016</v>
      </c>
      <c r="W77" t="str">
        <f>VLOOKUP(D77,'Table corresp.'!$M$4:$S$63,7,FALSE)</f>
        <v>Construction</v>
      </c>
      <c r="X77" s="167">
        <f>IFERROR(G77/SUMIFS('Comp2016-2017 (3)'!$I$5:$I$289,'Comp2016-2017 (3)'!$A$5:$A$289,A77,'Comp2016-2017 (3)'!$R$5:$R$289,V77),0)</f>
        <v>6.2603382763954524E-2</v>
      </c>
      <c r="Y77" s="178">
        <f>IFERROR(IF(RIGHT(F77,3)="Exp",VLOOKUP(F77,#REF!,2,FALSE),VLOOKUP(F77,#REF!,9,FALSE)),1)</f>
        <v>1</v>
      </c>
      <c r="Z77" s="167">
        <f t="shared" si="8"/>
        <v>7.1428571428571425E-2</v>
      </c>
      <c r="AA77" s="189">
        <f t="shared" si="9"/>
        <v>4.4716701974253231E-3</v>
      </c>
      <c r="AB77" s="2">
        <f>IFERROR(SUMIFS('Comp2016-2017 (3)'!$G$5:$G$289,'Comp2016-2017 (3)'!$A$5:$A$289,A77,'Comp2016-2017 (3)'!$R$5:$R$289,V77)*AA77/SUMIFS($AA$4:$AA$1116,$A$4:$A$1116,A77,$V$4:$V$1116,V77),0)</f>
        <v>6588.6359521781533</v>
      </c>
      <c r="AC77" s="2" t="str">
        <f>IF($W77=AC$3,$AB77,IF(NOT($W77=0),"",SUMIFS('Val-Vol (2)'!AC$4:AC$1116,'Val-Vol (2)'!$A$4:$A$1116,$D77,'Val-Vol (2)'!$V$4:$V$1116,$V77)/SUMIFS('Comp2016-2017 (3)'!$G$5:$G$289,'Comp2016-2017 (3)'!$A$5:$A$289,$D77,'Comp2016-2017 (3)'!$R$5:$R$289,$V77)*$AB77))</f>
        <v/>
      </c>
      <c r="AD77" s="2">
        <f>IF($W77=AD$3,$AB77,IF(NOT($W77=0),"",SUMIFS('Val-Vol (2)'!AD$4:AD$1116,'Val-Vol (2)'!$A$4:$A$1116,$D77,'Val-Vol (2)'!$V$4:$V$1116,$V77)/SUMIFS('Comp2016-2017 (3)'!$G$5:$G$289,'Comp2016-2017 (3)'!$A$5:$A$289,$D77,'Comp2016-2017 (3)'!$R$5:$R$289,$V77)*$AB77))</f>
        <v>6588.6359521781533</v>
      </c>
      <c r="AE77" s="2" t="str">
        <f>IF($W77=AE$3,$AB77,IF(NOT($W77=0),"",SUMIFS('Val-Vol (2)'!AE$4:AE$1116,'Val-Vol (2)'!$A$4:$A$1116,$D77,'Val-Vol (2)'!$V$4:$V$1116,$V77)/SUMIFS('Comp2016-2017 (3)'!$G$5:$G$289,'Comp2016-2017 (3)'!$A$5:$A$289,$D77,'Comp2016-2017 (3)'!$R$5:$R$289,$V77)*$AB77))</f>
        <v/>
      </c>
      <c r="AF77" s="2" t="str">
        <f>IF($W77=AF$3,$AB77,IF(NOT($W77=0),"",SUMIFS('Val-Vol (2)'!AF$4:AF$1116,'Val-Vol (2)'!$A$4:$A$1116,$D77,'Val-Vol (2)'!$V$4:$V$1116,$V77)/SUMIFS('Comp2016-2017 (3)'!$G$5:$G$289,'Comp2016-2017 (3)'!$A$5:$A$289,$D77,'Comp2016-2017 (3)'!$R$5:$R$289,$V77)*$AB77))</f>
        <v/>
      </c>
      <c r="AG77" s="2" t="str">
        <f>IF($W77=AG$3,$AB77,IF(NOT($W77=0),"",SUMIFS('Val-Vol (2)'!AG$4:AG$1116,'Val-Vol (2)'!$A$4:$A$1116,$D77,'Val-Vol (2)'!$V$4:$V$1116,$V77)/SUMIFS('Comp2016-2017 (3)'!$G$5:$G$289,'Comp2016-2017 (3)'!$A$5:$A$289,$D77,'Comp2016-2017 (3)'!$R$5:$R$289,$V77)*$AB77))</f>
        <v/>
      </c>
      <c r="AH77" s="2" t="str">
        <f>IF($W77=AH$3,$AB77,IF(NOT($W77=0),"",SUMIFS('Val-Vol (2)'!AH$4:AH$1116,'Val-Vol (2)'!$A$4:$A$1116,$D77,'Val-Vol (2)'!$V$4:$V$1116,$V77)/SUMIFS('Comp2016-2017 (3)'!$G$5:$G$289,'Comp2016-2017 (3)'!$A$5:$A$289,$D77,'Comp2016-2017 (3)'!$R$5:$R$289,$V77)*$AB77))</f>
        <v/>
      </c>
      <c r="AI77" s="2" t="str">
        <f>IF($W77=AI$3,$AB77,IF(NOT($W77=0),"",SUMIFS('Val-Vol (2)'!AI$4:AI$1116,'Val-Vol (2)'!$A$4:$A$1116,$D77,'Val-Vol (2)'!$V$4:$V$1116,$V77)/SUMIFS('Comp2016-2017 (3)'!$G$5:$G$289,'Comp2016-2017 (3)'!$A$5:$A$289,$D77,'Comp2016-2017 (3)'!$R$5:$R$289,$V77)*$AB77))</f>
        <v/>
      </c>
      <c r="AJ77" s="2" t="str">
        <f>IF($W77=AJ$3,$AB77,IF(NOT($W77=0),"",SUMIFS('Val-Vol (2)'!AJ$4:AJ$1116,'Val-Vol (2)'!$A$4:$A$1116,$D77,'Val-Vol (2)'!$V$4:$V$1116,$V77)/SUMIFS('Comp2016-2017 (3)'!$G$5:$G$289,'Comp2016-2017 (3)'!$A$5:$A$289,$D77,'Comp2016-2017 (3)'!$R$5:$R$289,$V77)*$AB77))</f>
        <v/>
      </c>
      <c r="AK77" s="2">
        <f t="shared" si="10"/>
        <v>0</v>
      </c>
      <c r="AL77" t="str">
        <f t="shared" si="7"/>
        <v/>
      </c>
      <c r="AM77" t="str">
        <f>VLOOKUP(A77,'Table corresp.'!$M$4:$U$63,8,FALSE)</f>
        <v>Production intermédiaire</v>
      </c>
      <c r="AN77" t="str">
        <f>VLOOKUP(D77,'Table corresp.'!$M$4:$U$63,9,FALSE)</f>
        <v xml:space="preserve">Mise en œuvre </v>
      </c>
    </row>
    <row r="78" spans="1:40" x14ac:dyDescent="0.25">
      <c r="A78" t="s">
        <v>4</v>
      </c>
      <c r="B78" t="str">
        <f>VLOOKUP(LEFT(A78,3),'Table corresp.'!$A$4:$D$63,3,FALSE)</f>
        <v>Transformation</v>
      </c>
      <c r="C78" t="str">
        <f>VLOOKUP(A78,'Table corresp.'!$M$4:$P$63,4,FALSE)</f>
        <v>Production et transformation de produits bois</v>
      </c>
      <c r="D78" t="s">
        <v>21</v>
      </c>
      <c r="E78" t="str">
        <f>VLOOKUP(LEFT(D78,3),'Table corresp.'!$A$4:$D$63,4,FALSE)</f>
        <v>Transformation</v>
      </c>
      <c r="F78" t="str">
        <f t="shared" si="6"/>
        <v xml:space="preserve">08  - 54 </v>
      </c>
      <c r="G78" s="1">
        <v>36000</v>
      </c>
      <c r="H78" s="1">
        <v>0</v>
      </c>
      <c r="I78" s="1">
        <v>36000</v>
      </c>
      <c r="J78" s="1">
        <v>91.348844208737233</v>
      </c>
      <c r="K78" s="1">
        <v>0</v>
      </c>
      <c r="L78" s="1">
        <v>91.348844208737233</v>
      </c>
      <c r="M78" s="1">
        <v>0</v>
      </c>
      <c r="N78" s="1">
        <v>0</v>
      </c>
      <c r="O78" s="1">
        <v>0</v>
      </c>
      <c r="P78" s="1">
        <v>0</v>
      </c>
      <c r="Q78" s="1">
        <v>0</v>
      </c>
      <c r="R78" s="1">
        <v>0</v>
      </c>
      <c r="S78" s="67"/>
      <c r="T78">
        <f>VLOOKUP(A78,'Groupe de branches'!$Z$27:$AM$86,14,FALSE)</f>
        <v>0</v>
      </c>
      <c r="U78">
        <f>VLOOKUP(D78,'Groupe de branches'!$Z$27:$AM$86,14,FALSE)</f>
        <v>0</v>
      </c>
      <c r="V78">
        <v>2016</v>
      </c>
      <c r="W78" t="str">
        <f>VLOOKUP(D78,'Table corresp.'!$M$4:$S$63,7,FALSE)</f>
        <v>Construction</v>
      </c>
      <c r="X78" s="167">
        <f>IFERROR(G78/SUMIFS('Comp2016-2017 (3)'!$I$5:$I$289,'Comp2016-2017 (3)'!$A$5:$A$289,A78,'Comp2016-2017 (3)'!$R$5:$R$289,V78),0)</f>
        <v>8.8036007011811052E-2</v>
      </c>
      <c r="Y78" s="178">
        <f>IFERROR(IF(RIGHT(F78,3)="Exp",VLOOKUP(F78,#REF!,2,FALSE),VLOOKUP(F78,#REF!,9,FALSE)),1)</f>
        <v>1</v>
      </c>
      <c r="Z78" s="167">
        <f t="shared" si="8"/>
        <v>7.1428571428571425E-2</v>
      </c>
      <c r="AA78" s="189">
        <f t="shared" si="9"/>
        <v>6.2882862151293602E-3</v>
      </c>
      <c r="AB78" s="2">
        <f>IFERROR(SUMIFS('Comp2016-2017 (3)'!$G$5:$G$289,'Comp2016-2017 (3)'!$A$5:$A$289,A78,'Comp2016-2017 (3)'!$R$5:$R$289,V78)*AA78/SUMIFS($AA$4:$AA$1116,$A$4:$A$1116,A78,$V$4:$V$1116,V78),0)</f>
        <v>9265.2693077505282</v>
      </c>
      <c r="AC78" s="2" t="str">
        <f>IF($W78=AC$3,$AB78,IF(NOT($W78=0),"",SUMIFS('Val-Vol (2)'!AC$4:AC$1116,'Val-Vol (2)'!$A$4:$A$1116,$D78,'Val-Vol (2)'!$V$4:$V$1116,$V78)/SUMIFS('Comp2016-2017 (3)'!$G$5:$G$289,'Comp2016-2017 (3)'!$A$5:$A$289,$D78,'Comp2016-2017 (3)'!$R$5:$R$289,$V78)*$AB78))</f>
        <v/>
      </c>
      <c r="AD78" s="2">
        <f>IF($W78=AD$3,$AB78,IF(NOT($W78=0),"",SUMIFS('Val-Vol (2)'!AD$4:AD$1116,'Val-Vol (2)'!$A$4:$A$1116,$D78,'Val-Vol (2)'!$V$4:$V$1116,$V78)/SUMIFS('Comp2016-2017 (3)'!$G$5:$G$289,'Comp2016-2017 (3)'!$A$5:$A$289,$D78,'Comp2016-2017 (3)'!$R$5:$R$289,$V78)*$AB78))</f>
        <v>9265.2693077505282</v>
      </c>
      <c r="AE78" s="2" t="str">
        <f>IF($W78=AE$3,$AB78,IF(NOT($W78=0),"",SUMIFS('Val-Vol (2)'!AE$4:AE$1116,'Val-Vol (2)'!$A$4:$A$1116,$D78,'Val-Vol (2)'!$V$4:$V$1116,$V78)/SUMIFS('Comp2016-2017 (3)'!$G$5:$G$289,'Comp2016-2017 (3)'!$A$5:$A$289,$D78,'Comp2016-2017 (3)'!$R$5:$R$289,$V78)*$AB78))</f>
        <v/>
      </c>
      <c r="AF78" s="2" t="str">
        <f>IF($W78=AF$3,$AB78,IF(NOT($W78=0),"",SUMIFS('Val-Vol (2)'!AF$4:AF$1116,'Val-Vol (2)'!$A$4:$A$1116,$D78,'Val-Vol (2)'!$V$4:$V$1116,$V78)/SUMIFS('Comp2016-2017 (3)'!$G$5:$G$289,'Comp2016-2017 (3)'!$A$5:$A$289,$D78,'Comp2016-2017 (3)'!$R$5:$R$289,$V78)*$AB78))</f>
        <v/>
      </c>
      <c r="AG78" s="2" t="str">
        <f>IF($W78=AG$3,$AB78,IF(NOT($W78=0),"",SUMIFS('Val-Vol (2)'!AG$4:AG$1116,'Val-Vol (2)'!$A$4:$A$1116,$D78,'Val-Vol (2)'!$V$4:$V$1116,$V78)/SUMIFS('Comp2016-2017 (3)'!$G$5:$G$289,'Comp2016-2017 (3)'!$A$5:$A$289,$D78,'Comp2016-2017 (3)'!$R$5:$R$289,$V78)*$AB78))</f>
        <v/>
      </c>
      <c r="AH78" s="2" t="str">
        <f>IF($W78=AH$3,$AB78,IF(NOT($W78=0),"",SUMIFS('Val-Vol (2)'!AH$4:AH$1116,'Val-Vol (2)'!$A$4:$A$1116,$D78,'Val-Vol (2)'!$V$4:$V$1116,$V78)/SUMIFS('Comp2016-2017 (3)'!$G$5:$G$289,'Comp2016-2017 (3)'!$A$5:$A$289,$D78,'Comp2016-2017 (3)'!$R$5:$R$289,$V78)*$AB78))</f>
        <v/>
      </c>
      <c r="AI78" s="2" t="str">
        <f>IF($W78=AI$3,$AB78,IF(NOT($W78=0),"",SUMIFS('Val-Vol (2)'!AI$4:AI$1116,'Val-Vol (2)'!$A$4:$A$1116,$D78,'Val-Vol (2)'!$V$4:$V$1116,$V78)/SUMIFS('Comp2016-2017 (3)'!$G$5:$G$289,'Comp2016-2017 (3)'!$A$5:$A$289,$D78,'Comp2016-2017 (3)'!$R$5:$R$289,$V78)*$AB78))</f>
        <v/>
      </c>
      <c r="AJ78" s="2" t="str">
        <f>IF($W78=AJ$3,$AB78,IF(NOT($W78=0),"",SUMIFS('Val-Vol (2)'!AJ$4:AJ$1116,'Val-Vol (2)'!$A$4:$A$1116,$D78,'Val-Vol (2)'!$V$4:$V$1116,$V78)/SUMIFS('Comp2016-2017 (3)'!$G$5:$G$289,'Comp2016-2017 (3)'!$A$5:$A$289,$D78,'Comp2016-2017 (3)'!$R$5:$R$289,$V78)*$AB78))</f>
        <v/>
      </c>
      <c r="AK78" s="2">
        <f t="shared" si="10"/>
        <v>0</v>
      </c>
      <c r="AL78" t="str">
        <f t="shared" si="7"/>
        <v/>
      </c>
      <c r="AM78" t="str">
        <f>VLOOKUP(A78,'Table corresp.'!$M$4:$U$63,8,FALSE)</f>
        <v>Production intermédiaire</v>
      </c>
      <c r="AN78" t="str">
        <f>VLOOKUP(D78,'Table corresp.'!$M$4:$U$63,9,FALSE)</f>
        <v xml:space="preserve">Mise en œuvre </v>
      </c>
    </row>
    <row r="79" spans="1:40" x14ac:dyDescent="0.25">
      <c r="A79" t="s">
        <v>4</v>
      </c>
      <c r="B79" t="str">
        <f>VLOOKUP(LEFT(A79,3),'Table corresp.'!$A$4:$D$63,3,FALSE)</f>
        <v>Transformation</v>
      </c>
      <c r="C79" t="str">
        <f>VLOOKUP(A79,'Table corresp.'!$M$4:$P$63,4,FALSE)</f>
        <v>Production et transformation de produits bois</v>
      </c>
      <c r="D79" t="s">
        <v>22</v>
      </c>
      <c r="E79" t="str">
        <f>VLOOKUP(LEFT(D79,3),'Table corresp.'!$A$4:$D$63,4,FALSE)</f>
        <v>Transformation</v>
      </c>
      <c r="F79" t="str">
        <f t="shared" si="6"/>
        <v xml:space="preserve">08  - 55 </v>
      </c>
      <c r="G79" s="1">
        <v>3419.4704359944258</v>
      </c>
      <c r="H79" s="1">
        <v>0</v>
      </c>
      <c r="I79" s="1">
        <v>3419.4704359944258</v>
      </c>
      <c r="J79" s="1">
        <v>8.6767964481677122</v>
      </c>
      <c r="K79" s="1">
        <v>0</v>
      </c>
      <c r="L79" s="1">
        <v>8.6767964481677122</v>
      </c>
      <c r="M79" s="1">
        <v>0</v>
      </c>
      <c r="N79" s="1">
        <v>0</v>
      </c>
      <c r="O79" s="1">
        <v>0</v>
      </c>
      <c r="P79" s="1">
        <v>0</v>
      </c>
      <c r="Q79" s="1">
        <v>0</v>
      </c>
      <c r="R79" s="1">
        <v>0</v>
      </c>
      <c r="S79" s="67"/>
      <c r="T79">
        <f>VLOOKUP(A79,'Groupe de branches'!$Z$27:$AM$86,14,FALSE)</f>
        <v>0</v>
      </c>
      <c r="U79">
        <f>VLOOKUP(D79,'Groupe de branches'!$Z$27:$AM$86,14,FALSE)</f>
        <v>0</v>
      </c>
      <c r="V79">
        <v>2016</v>
      </c>
      <c r="W79" t="str">
        <f>VLOOKUP(D79,'Table corresp.'!$M$4:$S$63,7,FALSE)</f>
        <v>Construction</v>
      </c>
      <c r="X79" s="167">
        <f>IFERROR(G79/SUMIFS('Comp2016-2017 (3)'!$I$5:$I$289,'Comp2016-2017 (3)'!$A$5:$A$289,A79,'Comp2016-2017 (3)'!$R$5:$R$289,V79),0)</f>
        <v>8.3621256466634968E-3</v>
      </c>
      <c r="Y79" s="178">
        <f>IFERROR(IF(RIGHT(F79,3)="Exp",VLOOKUP(F79,#REF!,2,FALSE),VLOOKUP(F79,#REF!,9,FALSE)),1)</f>
        <v>1</v>
      </c>
      <c r="Z79" s="167">
        <f t="shared" si="8"/>
        <v>7.1428571428571425E-2</v>
      </c>
      <c r="AA79" s="189">
        <f t="shared" si="9"/>
        <v>5.9729468904739255E-4</v>
      </c>
      <c r="AB79" s="2">
        <f>IFERROR(SUMIFS('Comp2016-2017 (3)'!$G$5:$G$289,'Comp2016-2017 (3)'!$A$5:$A$289,A79,'Comp2016-2017 (3)'!$R$5:$R$289,V79)*AA79/SUMIFS($AA$4:$AA$1116,$A$4:$A$1116,A79,$V$4:$V$1116,V79),0)</f>
        <v>880.0642910938742</v>
      </c>
      <c r="AC79" s="2" t="str">
        <f>IF($W79=AC$3,$AB79,IF(NOT($W79=0),"",SUMIFS('Val-Vol (2)'!AC$4:AC$1116,'Val-Vol (2)'!$A$4:$A$1116,$D79,'Val-Vol (2)'!$V$4:$V$1116,$V79)/SUMIFS('Comp2016-2017 (3)'!$G$5:$G$289,'Comp2016-2017 (3)'!$A$5:$A$289,$D79,'Comp2016-2017 (3)'!$R$5:$R$289,$V79)*$AB79))</f>
        <v/>
      </c>
      <c r="AD79" s="2">
        <f>IF($W79=AD$3,$AB79,IF(NOT($W79=0),"",SUMIFS('Val-Vol (2)'!AD$4:AD$1116,'Val-Vol (2)'!$A$4:$A$1116,$D79,'Val-Vol (2)'!$V$4:$V$1116,$V79)/SUMIFS('Comp2016-2017 (3)'!$G$5:$G$289,'Comp2016-2017 (3)'!$A$5:$A$289,$D79,'Comp2016-2017 (3)'!$R$5:$R$289,$V79)*$AB79))</f>
        <v>880.0642910938742</v>
      </c>
      <c r="AE79" s="2" t="str">
        <f>IF($W79=AE$3,$AB79,IF(NOT($W79=0),"",SUMIFS('Val-Vol (2)'!AE$4:AE$1116,'Val-Vol (2)'!$A$4:$A$1116,$D79,'Val-Vol (2)'!$V$4:$V$1116,$V79)/SUMIFS('Comp2016-2017 (3)'!$G$5:$G$289,'Comp2016-2017 (3)'!$A$5:$A$289,$D79,'Comp2016-2017 (3)'!$R$5:$R$289,$V79)*$AB79))</f>
        <v/>
      </c>
      <c r="AF79" s="2" t="str">
        <f>IF($W79=AF$3,$AB79,IF(NOT($W79=0),"",SUMIFS('Val-Vol (2)'!AF$4:AF$1116,'Val-Vol (2)'!$A$4:$A$1116,$D79,'Val-Vol (2)'!$V$4:$V$1116,$V79)/SUMIFS('Comp2016-2017 (3)'!$G$5:$G$289,'Comp2016-2017 (3)'!$A$5:$A$289,$D79,'Comp2016-2017 (3)'!$R$5:$R$289,$V79)*$AB79))</f>
        <v/>
      </c>
      <c r="AG79" s="2" t="str">
        <f>IF($W79=AG$3,$AB79,IF(NOT($W79=0),"",SUMIFS('Val-Vol (2)'!AG$4:AG$1116,'Val-Vol (2)'!$A$4:$A$1116,$D79,'Val-Vol (2)'!$V$4:$V$1116,$V79)/SUMIFS('Comp2016-2017 (3)'!$G$5:$G$289,'Comp2016-2017 (3)'!$A$5:$A$289,$D79,'Comp2016-2017 (3)'!$R$5:$R$289,$V79)*$AB79))</f>
        <v/>
      </c>
      <c r="AH79" s="2" t="str">
        <f>IF($W79=AH$3,$AB79,IF(NOT($W79=0),"",SUMIFS('Val-Vol (2)'!AH$4:AH$1116,'Val-Vol (2)'!$A$4:$A$1116,$D79,'Val-Vol (2)'!$V$4:$V$1116,$V79)/SUMIFS('Comp2016-2017 (3)'!$G$5:$G$289,'Comp2016-2017 (3)'!$A$5:$A$289,$D79,'Comp2016-2017 (3)'!$R$5:$R$289,$V79)*$AB79))</f>
        <v/>
      </c>
      <c r="AI79" s="2" t="str">
        <f>IF($W79=AI$3,$AB79,IF(NOT($W79=0),"",SUMIFS('Val-Vol (2)'!AI$4:AI$1116,'Val-Vol (2)'!$A$4:$A$1116,$D79,'Val-Vol (2)'!$V$4:$V$1116,$V79)/SUMIFS('Comp2016-2017 (3)'!$G$5:$G$289,'Comp2016-2017 (3)'!$A$5:$A$289,$D79,'Comp2016-2017 (3)'!$R$5:$R$289,$V79)*$AB79))</f>
        <v/>
      </c>
      <c r="AJ79" s="2" t="str">
        <f>IF($W79=AJ$3,$AB79,IF(NOT($W79=0),"",SUMIFS('Val-Vol (2)'!AJ$4:AJ$1116,'Val-Vol (2)'!$A$4:$A$1116,$D79,'Val-Vol (2)'!$V$4:$V$1116,$V79)/SUMIFS('Comp2016-2017 (3)'!$G$5:$G$289,'Comp2016-2017 (3)'!$A$5:$A$289,$D79,'Comp2016-2017 (3)'!$R$5:$R$289,$V79)*$AB79))</f>
        <v/>
      </c>
      <c r="AK79" s="2">
        <f t="shared" si="10"/>
        <v>0</v>
      </c>
      <c r="AL79" t="str">
        <f t="shared" si="7"/>
        <v/>
      </c>
      <c r="AM79" t="str">
        <f>VLOOKUP(A79,'Table corresp.'!$M$4:$U$63,8,FALSE)</f>
        <v>Production intermédiaire</v>
      </c>
      <c r="AN79" t="str">
        <f>VLOOKUP(D79,'Table corresp.'!$M$4:$U$63,9,FALSE)</f>
        <v xml:space="preserve">Mise en œuvre </v>
      </c>
    </row>
    <row r="80" spans="1:40" x14ac:dyDescent="0.25">
      <c r="A80" t="s">
        <v>4</v>
      </c>
      <c r="B80" t="str">
        <f>VLOOKUP(LEFT(A80,3),'Table corresp.'!$A$4:$D$63,3,FALSE)</f>
        <v>Transformation</v>
      </c>
      <c r="C80" t="str">
        <f>VLOOKUP(A80,'Table corresp.'!$M$4:$P$63,4,FALSE)</f>
        <v>Production et transformation de produits bois</v>
      </c>
      <c r="D80" t="s">
        <v>24</v>
      </c>
      <c r="E80" t="str">
        <f>VLOOKUP(LEFT(D80,3),'Table corresp.'!$A$4:$D$63,4,FALSE)</f>
        <v>Transformation</v>
      </c>
      <c r="F80" t="str">
        <f t="shared" si="6"/>
        <v xml:space="preserve">08  - 57 </v>
      </c>
      <c r="G80" s="1">
        <v>11250</v>
      </c>
      <c r="H80" s="1">
        <v>0</v>
      </c>
      <c r="I80" s="1">
        <v>11250</v>
      </c>
      <c r="J80" s="1">
        <v>77.483394641339629</v>
      </c>
      <c r="K80" s="1">
        <v>0</v>
      </c>
      <c r="L80" s="1">
        <v>77.483394641339629</v>
      </c>
      <c r="M80" s="1">
        <v>0</v>
      </c>
      <c r="N80" s="1">
        <v>0</v>
      </c>
      <c r="O80" s="1">
        <v>0</v>
      </c>
      <c r="P80" s="1">
        <v>0</v>
      </c>
      <c r="Q80" s="1">
        <v>0</v>
      </c>
      <c r="R80" s="1">
        <v>0</v>
      </c>
      <c r="S80" s="67"/>
      <c r="T80">
        <f>VLOOKUP(A80,'Groupe de branches'!$Z$27:$AM$86,14,FALSE)</f>
        <v>0</v>
      </c>
      <c r="U80">
        <f>VLOOKUP(D80,'Groupe de branches'!$Z$27:$AM$86,14,FALSE)</f>
        <v>0</v>
      </c>
      <c r="V80">
        <v>2016</v>
      </c>
      <c r="W80" t="str">
        <f>VLOOKUP(D80,'Table corresp.'!$M$4:$S$63,7,FALSE)</f>
        <v>Construction</v>
      </c>
      <c r="X80" s="167">
        <f>IFERROR(G80/SUMIFS('Comp2016-2017 (3)'!$I$5:$I$289,'Comp2016-2017 (3)'!$A$5:$A$289,A80,'Comp2016-2017 (3)'!$R$5:$R$289,V80),0)</f>
        <v>2.7511252191190952E-2</v>
      </c>
      <c r="Y80" s="178">
        <f>IFERROR(IF(RIGHT(F80,3)="Exp",VLOOKUP(F80,#REF!,2,FALSE),VLOOKUP(F80,#REF!,9,FALSE)),1)</f>
        <v>1</v>
      </c>
      <c r="Z80" s="167">
        <f t="shared" si="8"/>
        <v>7.1428571428571425E-2</v>
      </c>
      <c r="AA80" s="189">
        <f t="shared" si="9"/>
        <v>1.965089442227925E-3</v>
      </c>
      <c r="AB80" s="2">
        <f>IFERROR(SUMIFS('Comp2016-2017 (3)'!$G$5:$G$289,'Comp2016-2017 (3)'!$A$5:$A$289,A80,'Comp2016-2017 (3)'!$R$5:$R$289,V80)*AA80/SUMIFS($AA$4:$AA$1116,$A$4:$A$1116,A80,$V$4:$V$1116,V80),0)</f>
        <v>2895.3966586720398</v>
      </c>
      <c r="AC80" s="2" t="str">
        <f>IF($W80=AC$3,$AB80,IF(NOT($W80=0),"",SUMIFS('Val-Vol (2)'!AC$4:AC$1116,'Val-Vol (2)'!$A$4:$A$1116,$D80,'Val-Vol (2)'!$V$4:$V$1116,$V80)/SUMIFS('Comp2016-2017 (3)'!$G$5:$G$289,'Comp2016-2017 (3)'!$A$5:$A$289,$D80,'Comp2016-2017 (3)'!$R$5:$R$289,$V80)*$AB80))</f>
        <v/>
      </c>
      <c r="AD80" s="2">
        <f>IF($W80=AD$3,$AB80,IF(NOT($W80=0),"",SUMIFS('Val-Vol (2)'!AD$4:AD$1116,'Val-Vol (2)'!$A$4:$A$1116,$D80,'Val-Vol (2)'!$V$4:$V$1116,$V80)/SUMIFS('Comp2016-2017 (3)'!$G$5:$G$289,'Comp2016-2017 (3)'!$A$5:$A$289,$D80,'Comp2016-2017 (3)'!$R$5:$R$289,$V80)*$AB80))</f>
        <v>2895.3966586720398</v>
      </c>
      <c r="AE80" s="2" t="str">
        <f>IF($W80=AE$3,$AB80,IF(NOT($W80=0),"",SUMIFS('Val-Vol (2)'!AE$4:AE$1116,'Val-Vol (2)'!$A$4:$A$1116,$D80,'Val-Vol (2)'!$V$4:$V$1116,$V80)/SUMIFS('Comp2016-2017 (3)'!$G$5:$G$289,'Comp2016-2017 (3)'!$A$5:$A$289,$D80,'Comp2016-2017 (3)'!$R$5:$R$289,$V80)*$AB80))</f>
        <v/>
      </c>
      <c r="AF80" s="2" t="str">
        <f>IF($W80=AF$3,$AB80,IF(NOT($W80=0),"",SUMIFS('Val-Vol (2)'!AF$4:AF$1116,'Val-Vol (2)'!$A$4:$A$1116,$D80,'Val-Vol (2)'!$V$4:$V$1116,$V80)/SUMIFS('Comp2016-2017 (3)'!$G$5:$G$289,'Comp2016-2017 (3)'!$A$5:$A$289,$D80,'Comp2016-2017 (3)'!$R$5:$R$289,$V80)*$AB80))</f>
        <v/>
      </c>
      <c r="AG80" s="2" t="str">
        <f>IF($W80=AG$3,$AB80,IF(NOT($W80=0),"",SUMIFS('Val-Vol (2)'!AG$4:AG$1116,'Val-Vol (2)'!$A$4:$A$1116,$D80,'Val-Vol (2)'!$V$4:$V$1116,$V80)/SUMIFS('Comp2016-2017 (3)'!$G$5:$G$289,'Comp2016-2017 (3)'!$A$5:$A$289,$D80,'Comp2016-2017 (3)'!$R$5:$R$289,$V80)*$AB80))</f>
        <v/>
      </c>
      <c r="AH80" s="2" t="str">
        <f>IF($W80=AH$3,$AB80,IF(NOT($W80=0),"",SUMIFS('Val-Vol (2)'!AH$4:AH$1116,'Val-Vol (2)'!$A$4:$A$1116,$D80,'Val-Vol (2)'!$V$4:$V$1116,$V80)/SUMIFS('Comp2016-2017 (3)'!$G$5:$G$289,'Comp2016-2017 (3)'!$A$5:$A$289,$D80,'Comp2016-2017 (3)'!$R$5:$R$289,$V80)*$AB80))</f>
        <v/>
      </c>
      <c r="AI80" s="2" t="str">
        <f>IF($W80=AI$3,$AB80,IF(NOT($W80=0),"",SUMIFS('Val-Vol (2)'!AI$4:AI$1116,'Val-Vol (2)'!$A$4:$A$1116,$D80,'Val-Vol (2)'!$V$4:$V$1116,$V80)/SUMIFS('Comp2016-2017 (3)'!$G$5:$G$289,'Comp2016-2017 (3)'!$A$5:$A$289,$D80,'Comp2016-2017 (3)'!$R$5:$R$289,$V80)*$AB80))</f>
        <v/>
      </c>
      <c r="AJ80" s="2" t="str">
        <f>IF($W80=AJ$3,$AB80,IF(NOT($W80=0),"",SUMIFS('Val-Vol (2)'!AJ$4:AJ$1116,'Val-Vol (2)'!$A$4:$A$1116,$D80,'Val-Vol (2)'!$V$4:$V$1116,$V80)/SUMIFS('Comp2016-2017 (3)'!$G$5:$G$289,'Comp2016-2017 (3)'!$A$5:$A$289,$D80,'Comp2016-2017 (3)'!$R$5:$R$289,$V80)*$AB80))</f>
        <v/>
      </c>
      <c r="AK80" s="2">
        <f t="shared" si="10"/>
        <v>0</v>
      </c>
      <c r="AL80" t="str">
        <f t="shared" si="7"/>
        <v/>
      </c>
      <c r="AM80" t="str">
        <f>VLOOKUP(A80,'Table corresp.'!$M$4:$U$63,8,FALSE)</f>
        <v>Production intermédiaire</v>
      </c>
      <c r="AN80" t="str">
        <f>VLOOKUP(D80,'Table corresp.'!$M$4:$U$63,9,FALSE)</f>
        <v xml:space="preserve">Mise en œuvre </v>
      </c>
    </row>
    <row r="81" spans="1:40" x14ac:dyDescent="0.25">
      <c r="A81" t="s">
        <v>4</v>
      </c>
      <c r="B81" t="str">
        <f>VLOOKUP(LEFT(A81,3),'Table corresp.'!$A$4:$D$63,3,FALSE)</f>
        <v>Transformation</v>
      </c>
      <c r="C81" t="str">
        <f>VLOOKUP(A81,'Table corresp.'!$M$4:$P$63,4,FALSE)</f>
        <v>Production et transformation de produits bois</v>
      </c>
      <c r="D81" t="s">
        <v>54</v>
      </c>
      <c r="E81" t="str">
        <f>VLOOKUP(LEFT(D81,3),'Table corresp.'!$A$4:$D$63,4,FALSE)</f>
        <v>Consommation finale</v>
      </c>
      <c r="F81" t="str">
        <f t="shared" si="6"/>
        <v>08  - Con</v>
      </c>
      <c r="G81" s="1">
        <v>51210.350000000006</v>
      </c>
      <c r="H81" s="1">
        <v>750</v>
      </c>
      <c r="I81" s="1">
        <v>51960.350000000006</v>
      </c>
      <c r="J81" s="1">
        <v>152.91091344802848</v>
      </c>
      <c r="K81" s="1">
        <v>2.1559537222265974</v>
      </c>
      <c r="L81" s="1">
        <v>155.06686717025508</v>
      </c>
      <c r="M81" s="1">
        <v>0</v>
      </c>
      <c r="N81" s="1">
        <v>0</v>
      </c>
      <c r="O81" s="1">
        <v>0</v>
      </c>
      <c r="P81" s="1">
        <v>0</v>
      </c>
      <c r="Q81" s="1">
        <v>0</v>
      </c>
      <c r="R81" s="1">
        <v>0</v>
      </c>
      <c r="S81" s="67"/>
      <c r="T81">
        <f>VLOOKUP(A81,'Groupe de branches'!$Z$27:$AM$86,14,FALSE)</f>
        <v>0</v>
      </c>
      <c r="U81">
        <f>VLOOKUP(D81,'Groupe de branches'!$Z$27:$AM$86,14,FALSE)</f>
        <v>0</v>
      </c>
      <c r="V81">
        <v>2016</v>
      </c>
      <c r="W81" t="str">
        <f>VLOOKUP(D81,'Table corresp.'!$M$4:$S$63,7,FALSE)</f>
        <v>Consommation finale</v>
      </c>
      <c r="X81" s="167">
        <f>IFERROR(G81/SUMIFS('Comp2016-2017 (3)'!$I$5:$I$289,'Comp2016-2017 (3)'!$A$5:$A$289,A81,'Comp2016-2017 (3)'!$R$5:$R$289,V81),0)</f>
        <v>0.12523207587992496</v>
      </c>
      <c r="Y81" s="178">
        <f>IFERROR(IF(RIGHT(F81,3)="Exp",VLOOKUP(F81,#REF!,2,FALSE),VLOOKUP(F81,#REF!,9,FALSE)),1)</f>
        <v>1</v>
      </c>
      <c r="Z81" s="167">
        <f t="shared" si="8"/>
        <v>7.1428571428571425E-2</v>
      </c>
      <c r="AA81" s="189">
        <f t="shared" si="9"/>
        <v>8.945148277137497E-3</v>
      </c>
      <c r="AB81" s="2">
        <f>IFERROR(SUMIFS('Comp2016-2017 (3)'!$G$5:$G$289,'Comp2016-2017 (3)'!$A$5:$A$289,A81,'Comp2016-2017 (3)'!$R$5:$R$289,V81)*AA81/SUMIFS($AA$4:$AA$1116,$A$4:$A$1116,A81,$V$4:$V$1116,V81),0)</f>
        <v>13179.935669282288</v>
      </c>
      <c r="AC81" s="2" t="str">
        <f>IF($W81=AC$3,$AB81,IF(NOT($W81=0),"",SUMIFS('Val-Vol (2)'!AC$4:AC$1116,'Val-Vol (2)'!$A$4:$A$1116,$D81,'Val-Vol (2)'!$V$4:$V$1116,$V81)/SUMIFS('Comp2016-2017 (3)'!$G$5:$G$289,'Comp2016-2017 (3)'!$A$5:$A$289,$D81,'Comp2016-2017 (3)'!$R$5:$R$289,$V81)*$AB81))</f>
        <v/>
      </c>
      <c r="AD81" s="2" t="str">
        <f>IF($W81=AD$3,$AB81,IF(NOT($W81=0),"",SUMIFS('Val-Vol (2)'!AD$4:AD$1116,'Val-Vol (2)'!$A$4:$A$1116,$D81,'Val-Vol (2)'!$V$4:$V$1116,$V81)/SUMIFS('Comp2016-2017 (3)'!$G$5:$G$289,'Comp2016-2017 (3)'!$A$5:$A$289,$D81,'Comp2016-2017 (3)'!$R$5:$R$289,$V81)*$AB81))</f>
        <v/>
      </c>
      <c r="AE81" s="2" t="str">
        <f>IF($W81=AE$3,$AB81,IF(NOT($W81=0),"",SUMIFS('Val-Vol (2)'!AE$4:AE$1116,'Val-Vol (2)'!$A$4:$A$1116,$D81,'Val-Vol (2)'!$V$4:$V$1116,$V81)/SUMIFS('Comp2016-2017 (3)'!$G$5:$G$289,'Comp2016-2017 (3)'!$A$5:$A$289,$D81,'Comp2016-2017 (3)'!$R$5:$R$289,$V81)*$AB81))</f>
        <v/>
      </c>
      <c r="AF81" s="2" t="str">
        <f>IF($W81=AF$3,$AB81,IF(NOT($W81=0),"",SUMIFS('Val-Vol (2)'!AF$4:AF$1116,'Val-Vol (2)'!$A$4:$A$1116,$D81,'Val-Vol (2)'!$V$4:$V$1116,$V81)/SUMIFS('Comp2016-2017 (3)'!$G$5:$G$289,'Comp2016-2017 (3)'!$A$5:$A$289,$D81,'Comp2016-2017 (3)'!$R$5:$R$289,$V81)*$AB81))</f>
        <v/>
      </c>
      <c r="AG81" s="2" t="str">
        <f>IF($W81=AG$3,$AB81,IF(NOT($W81=0),"",SUMIFS('Val-Vol (2)'!AG$4:AG$1116,'Val-Vol (2)'!$A$4:$A$1116,$D81,'Val-Vol (2)'!$V$4:$V$1116,$V81)/SUMIFS('Comp2016-2017 (3)'!$G$5:$G$289,'Comp2016-2017 (3)'!$A$5:$A$289,$D81,'Comp2016-2017 (3)'!$R$5:$R$289,$V81)*$AB81))</f>
        <v/>
      </c>
      <c r="AH81" s="2" t="str">
        <f>IF($W81=AH$3,$AB81,IF(NOT($W81=0),"",SUMIFS('Val-Vol (2)'!AH$4:AH$1116,'Val-Vol (2)'!$A$4:$A$1116,$D81,'Val-Vol (2)'!$V$4:$V$1116,$V81)/SUMIFS('Comp2016-2017 (3)'!$G$5:$G$289,'Comp2016-2017 (3)'!$A$5:$A$289,$D81,'Comp2016-2017 (3)'!$R$5:$R$289,$V81)*$AB81))</f>
        <v/>
      </c>
      <c r="AI81" s="2" t="str">
        <f>IF($W81=AI$3,$AB81,IF(NOT($W81=0),"",SUMIFS('Val-Vol (2)'!AI$4:AI$1116,'Val-Vol (2)'!$A$4:$A$1116,$D81,'Val-Vol (2)'!$V$4:$V$1116,$V81)/SUMIFS('Comp2016-2017 (3)'!$G$5:$G$289,'Comp2016-2017 (3)'!$A$5:$A$289,$D81,'Comp2016-2017 (3)'!$R$5:$R$289,$V81)*$AB81))</f>
        <v/>
      </c>
      <c r="AJ81" s="2">
        <f>IF($W81=AJ$3,$AB81,IF(NOT($W81=0),"",SUMIFS('Val-Vol (2)'!AJ$4:AJ$1116,'Val-Vol (2)'!$A$4:$A$1116,$D81,'Val-Vol (2)'!$V$4:$V$1116,$V81)/SUMIFS('Comp2016-2017 (3)'!$G$5:$G$289,'Comp2016-2017 (3)'!$A$5:$A$289,$D81,'Comp2016-2017 (3)'!$R$5:$R$289,$V81)*$AB81))</f>
        <v>13179.935669282288</v>
      </c>
      <c r="AK81" s="2">
        <f t="shared" si="10"/>
        <v>0</v>
      </c>
      <c r="AL81" t="str">
        <f t="shared" si="7"/>
        <v/>
      </c>
      <c r="AM81" t="str">
        <f>VLOOKUP(A81,'Table corresp.'!$M$4:$U$63,8,FALSE)</f>
        <v>Production intermédiaire</v>
      </c>
      <c r="AN81" t="str">
        <f>VLOOKUP(D81,'Table corresp.'!$M$4:$U$63,9,FALSE)</f>
        <v>Consommation finale française</v>
      </c>
    </row>
    <row r="82" spans="1:40" x14ac:dyDescent="0.25">
      <c r="A82" t="s">
        <v>4</v>
      </c>
      <c r="B82" t="str">
        <f>VLOOKUP(LEFT(A82,3),'Table corresp.'!$A$4:$D$63,3,FALSE)</f>
        <v>Transformation</v>
      </c>
      <c r="C82" t="str">
        <f>VLOOKUP(A82,'Table corresp.'!$M$4:$P$63,4,FALSE)</f>
        <v>Production et transformation de produits bois</v>
      </c>
      <c r="D82" t="s">
        <v>53</v>
      </c>
      <c r="E82" t="str">
        <f>VLOOKUP(LEFT(D82,3),'Table corresp.'!$A$4:$D$63,4,FALSE)</f>
        <v>Exportation</v>
      </c>
      <c r="F82" t="str">
        <f t="shared" si="6"/>
        <v>08  - Exp</v>
      </c>
      <c r="G82" s="1">
        <v>113543.717</v>
      </c>
      <c r="H82" s="1">
        <v>0</v>
      </c>
      <c r="I82" s="1">
        <v>113543.717</v>
      </c>
      <c r="J82" s="1">
        <v>459.07038070239207</v>
      </c>
      <c r="K82" s="1">
        <v>0</v>
      </c>
      <c r="L82" s="1">
        <v>459.07038070239207</v>
      </c>
      <c r="M82" s="1">
        <v>0</v>
      </c>
      <c r="N82" s="1">
        <v>0</v>
      </c>
      <c r="O82" s="1">
        <v>0</v>
      </c>
      <c r="P82" s="1">
        <v>0</v>
      </c>
      <c r="Q82" s="1">
        <v>0</v>
      </c>
      <c r="R82" s="1">
        <v>0</v>
      </c>
      <c r="S82" s="67"/>
      <c r="T82">
        <f>VLOOKUP(A82,'Groupe de branches'!$Z$27:$AM$86,14,FALSE)</f>
        <v>0</v>
      </c>
      <c r="U82">
        <f>VLOOKUP(D82,'Groupe de branches'!$Z$27:$AM$86,14,FALSE)</f>
        <v>0</v>
      </c>
      <c r="V82">
        <v>2016</v>
      </c>
      <c r="W82" t="str">
        <f>VLOOKUP(D82,'Table corresp.'!$M$4:$S$63,7,FALSE)</f>
        <v>Exportation</v>
      </c>
      <c r="X82" s="167">
        <f>IFERROR(G82/SUMIFS('Comp2016-2017 (3)'!$I$5:$I$289,'Comp2016-2017 (3)'!$A$5:$A$289,A82,'Comp2016-2017 (3)'!$R$5:$R$289,V82),0)</f>
        <v>0.27766487405441914</v>
      </c>
      <c r="Y82" s="178">
        <f>IFERROR(IF(RIGHT(F82,3)="Exp",VLOOKUP(F82,#REF!,2,FALSE),VLOOKUP(F82,#REF!,9,FALSE)),1)</f>
        <v>1</v>
      </c>
      <c r="Z82" s="167">
        <f t="shared" si="8"/>
        <v>7.1428571428571425E-2</v>
      </c>
      <c r="AA82" s="189">
        <f t="shared" si="9"/>
        <v>1.9833205289601367E-2</v>
      </c>
      <c r="AB82" s="2">
        <f>IFERROR(SUMIFS('Comp2016-2017 (3)'!$G$5:$G$289,'Comp2016-2017 (3)'!$A$5:$A$289,A82,'Comp2016-2017 (3)'!$R$5:$R$289,V82)*AA82/SUMIFS($AA$4:$AA$1116,$A$4:$A$1116,A82,$V$4:$V$1116,V82),0)</f>
        <v>29222.586561333661</v>
      </c>
      <c r="AC82" s="2">
        <f>IF($W82=AC$3,$AB82,IF(NOT($W82=0),"",SUMIFS('Val-Vol (2)'!AC$4:AC$1116,'Val-Vol (2)'!$A$4:$A$1116,$D82,'Val-Vol (2)'!$V$4:$V$1116,$V82)/SUMIFS('Comp2016-2017 (3)'!$G$5:$G$289,'Comp2016-2017 (3)'!$A$5:$A$289,$D82,'Comp2016-2017 (3)'!$R$5:$R$289,$V82)*$AB82))</f>
        <v>29222.586561333661</v>
      </c>
      <c r="AD82" s="2" t="str">
        <f>IF($W82=AD$3,$AB82,IF(NOT($W82=0),"",SUMIFS('Val-Vol (2)'!AD$4:AD$1116,'Val-Vol (2)'!$A$4:$A$1116,$D82,'Val-Vol (2)'!$V$4:$V$1116,$V82)/SUMIFS('Comp2016-2017 (3)'!$G$5:$G$289,'Comp2016-2017 (3)'!$A$5:$A$289,$D82,'Comp2016-2017 (3)'!$R$5:$R$289,$V82)*$AB82))</f>
        <v/>
      </c>
      <c r="AE82" s="2" t="str">
        <f>IF($W82=AE$3,$AB82,IF(NOT($W82=0),"",SUMIFS('Val-Vol (2)'!AE$4:AE$1116,'Val-Vol (2)'!$A$4:$A$1116,$D82,'Val-Vol (2)'!$V$4:$V$1116,$V82)/SUMIFS('Comp2016-2017 (3)'!$G$5:$G$289,'Comp2016-2017 (3)'!$A$5:$A$289,$D82,'Comp2016-2017 (3)'!$R$5:$R$289,$V82)*$AB82))</f>
        <v/>
      </c>
      <c r="AF82" s="2" t="str">
        <f>IF($W82=AF$3,$AB82,IF(NOT($W82=0),"",SUMIFS('Val-Vol (2)'!AF$4:AF$1116,'Val-Vol (2)'!$A$4:$A$1116,$D82,'Val-Vol (2)'!$V$4:$V$1116,$V82)/SUMIFS('Comp2016-2017 (3)'!$G$5:$G$289,'Comp2016-2017 (3)'!$A$5:$A$289,$D82,'Comp2016-2017 (3)'!$R$5:$R$289,$V82)*$AB82))</f>
        <v/>
      </c>
      <c r="AG82" s="2" t="str">
        <f>IF($W82=AG$3,$AB82,IF(NOT($W82=0),"",SUMIFS('Val-Vol (2)'!AG$4:AG$1116,'Val-Vol (2)'!$A$4:$A$1116,$D82,'Val-Vol (2)'!$V$4:$V$1116,$V82)/SUMIFS('Comp2016-2017 (3)'!$G$5:$G$289,'Comp2016-2017 (3)'!$A$5:$A$289,$D82,'Comp2016-2017 (3)'!$R$5:$R$289,$V82)*$AB82))</f>
        <v/>
      </c>
      <c r="AH82" s="2" t="str">
        <f>IF($W82=AH$3,$AB82,IF(NOT($W82=0),"",SUMIFS('Val-Vol (2)'!AH$4:AH$1116,'Val-Vol (2)'!$A$4:$A$1116,$D82,'Val-Vol (2)'!$V$4:$V$1116,$V82)/SUMIFS('Comp2016-2017 (3)'!$G$5:$G$289,'Comp2016-2017 (3)'!$A$5:$A$289,$D82,'Comp2016-2017 (3)'!$R$5:$R$289,$V82)*$AB82))</f>
        <v/>
      </c>
      <c r="AI82" s="2" t="str">
        <f>IF($W82=AI$3,$AB82,IF(NOT($W82=0),"",SUMIFS('Val-Vol (2)'!AI$4:AI$1116,'Val-Vol (2)'!$A$4:$A$1116,$D82,'Val-Vol (2)'!$V$4:$V$1116,$V82)/SUMIFS('Comp2016-2017 (3)'!$G$5:$G$289,'Comp2016-2017 (3)'!$A$5:$A$289,$D82,'Comp2016-2017 (3)'!$R$5:$R$289,$V82)*$AB82))</f>
        <v/>
      </c>
      <c r="AJ82" s="2" t="str">
        <f>IF($W82=AJ$3,$AB82,IF(NOT($W82=0),"",SUMIFS('Val-Vol (2)'!AJ$4:AJ$1116,'Val-Vol (2)'!$A$4:$A$1116,$D82,'Val-Vol (2)'!$V$4:$V$1116,$V82)/SUMIFS('Comp2016-2017 (3)'!$G$5:$G$289,'Comp2016-2017 (3)'!$A$5:$A$289,$D82,'Comp2016-2017 (3)'!$R$5:$R$289,$V82)*$AB82))</f>
        <v/>
      </c>
      <c r="AK82" s="2">
        <f t="shared" si="10"/>
        <v>0</v>
      </c>
      <c r="AL82" t="str">
        <f t="shared" si="7"/>
        <v/>
      </c>
      <c r="AM82" t="str">
        <f>VLOOKUP(A82,'Table corresp.'!$M$4:$U$63,8,FALSE)</f>
        <v>Production intermédiaire</v>
      </c>
      <c r="AN82" t="str">
        <f>VLOOKUP(D82,'Table corresp.'!$M$4:$U$63,9,FALSE)</f>
        <v>Exportation</v>
      </c>
    </row>
    <row r="83" spans="1:40" x14ac:dyDescent="0.25">
      <c r="A83" t="s">
        <v>5</v>
      </c>
      <c r="B83" t="str">
        <f>VLOOKUP(LEFT(A83,3),'Table corresp.'!$A$4:$D$63,3,FALSE)</f>
        <v>Transformation</v>
      </c>
      <c r="C83" t="str">
        <f>VLOOKUP(A83,'Table corresp.'!$M$4:$P$63,4,FALSE)</f>
        <v>Production et transformation de produits bois</v>
      </c>
      <c r="D83" t="s">
        <v>14</v>
      </c>
      <c r="E83" t="str">
        <f>VLOOKUP(LEFT(D83,3),'Table corresp.'!$A$4:$D$63,4,FALSE)</f>
        <v>Transformation</v>
      </c>
      <c r="F83" t="str">
        <f t="shared" si="6"/>
        <v>09  - 20b</v>
      </c>
      <c r="G83" s="1">
        <v>1261.9268109523812</v>
      </c>
      <c r="H83" s="1">
        <v>795.74432000000002</v>
      </c>
      <c r="I83" s="1">
        <v>2057.6711309523812</v>
      </c>
      <c r="J83" s="1">
        <v>12.165883190156071</v>
      </c>
      <c r="K83" s="1">
        <v>2.952205099543836</v>
      </c>
      <c r="L83" s="1">
        <v>15.118088289699907</v>
      </c>
      <c r="M83" s="1">
        <v>0</v>
      </c>
      <c r="N83" s="1">
        <v>0</v>
      </c>
      <c r="O83" s="1">
        <v>0</v>
      </c>
      <c r="P83" s="1">
        <v>0</v>
      </c>
      <c r="Q83" s="1">
        <v>0</v>
      </c>
      <c r="R83" s="1">
        <v>0</v>
      </c>
      <c r="S83" s="67"/>
      <c r="T83">
        <f>VLOOKUP(A83,'Groupe de branches'!$Z$27:$AM$86,14,FALSE)</f>
        <v>0</v>
      </c>
      <c r="U83">
        <f>VLOOKUP(D83,'Groupe de branches'!$Z$27:$AM$86,14,FALSE)</f>
        <v>0</v>
      </c>
      <c r="V83">
        <v>2016</v>
      </c>
      <c r="W83">
        <f>VLOOKUP(D83,'Table corresp.'!$M$4:$S$63,7,FALSE)</f>
        <v>0</v>
      </c>
      <c r="X83" s="167">
        <f>IFERROR(G83/SUMIFS('Comp2016-2017 (3)'!$I$5:$I$289,'Comp2016-2017 (3)'!$A$5:$A$289,A83,'Comp2016-2017 (3)'!$R$5:$R$289,V83),0)</f>
        <v>1.2769619306048655E-2</v>
      </c>
      <c r="Y83" s="178">
        <f>IFERROR(IF(RIGHT(F83,3)="Exp",VLOOKUP(F83,#REF!,2,FALSE),VLOOKUP(F83,#REF!,9,FALSE)),1)</f>
        <v>1</v>
      </c>
      <c r="Z83" s="167">
        <f t="shared" si="8"/>
        <v>8.3333333333333329E-2</v>
      </c>
      <c r="AA83" s="189">
        <f t="shared" si="9"/>
        <v>1.0641349421707212E-3</v>
      </c>
      <c r="AB83" s="2">
        <f>IFERROR(SUMIFS('Comp2016-2017 (3)'!$G$5:$G$289,'Comp2016-2017 (3)'!$A$5:$A$289,A83,'Comp2016-2017 (3)'!$R$5:$R$289,V83)*AA83/SUMIFS($AA$4:$AA$1116,$A$4:$A$1116,A83,$V$4:$V$1116,V83),0)</f>
        <v>324.31688142343666</v>
      </c>
      <c r="AC83" s="2">
        <f>IF($W83=AC$3,$AB83,IF(NOT($W83=0),"",SUMIFS('Val-Vol (2)'!AC$4:AC$1116,'Val-Vol (2)'!$A$4:$A$1116,$D83,'Val-Vol (2)'!$V$4:$V$1116,$V83)/SUMIFS('Comp2016-2017 (3)'!$G$5:$G$289,'Comp2016-2017 (3)'!$A$5:$A$289,$D83,'Comp2016-2017 (3)'!$R$5:$R$289,$V83)*$AB83))</f>
        <v>82.758988123408443</v>
      </c>
      <c r="AD83" s="2">
        <f>IF($W83=AD$3,$AB83,IF(NOT($W83=0),"",SUMIFS('Val-Vol (2)'!AD$4:AD$1116,'Val-Vol (2)'!$A$4:$A$1116,$D83,'Val-Vol (2)'!$V$4:$V$1116,$V83)/SUMIFS('Comp2016-2017 (3)'!$G$5:$G$289,'Comp2016-2017 (3)'!$A$5:$A$289,$D83,'Comp2016-2017 (3)'!$R$5:$R$289,$V83)*$AB83))</f>
        <v>240.84853054468473</v>
      </c>
      <c r="AE83" s="2">
        <f>IF($W83=AE$3,$AB83,IF(NOT($W83=0),"",SUMIFS('Val-Vol (2)'!AE$4:AE$1116,'Val-Vol (2)'!$A$4:$A$1116,$D83,'Val-Vol (2)'!$V$4:$V$1116,$V83)/SUMIFS('Comp2016-2017 (3)'!$G$5:$G$289,'Comp2016-2017 (3)'!$A$5:$A$289,$D83,'Comp2016-2017 (3)'!$R$5:$R$289,$V83)*$AB83))</f>
        <v>0.70936275534350102</v>
      </c>
      <c r="AF83" s="2">
        <f>IF($W83=AF$3,$AB83,IF(NOT($W83=0),"",SUMIFS('Val-Vol (2)'!AF$4:AF$1116,'Val-Vol (2)'!$A$4:$A$1116,$D83,'Val-Vol (2)'!$V$4:$V$1116,$V83)/SUMIFS('Comp2016-2017 (3)'!$G$5:$G$289,'Comp2016-2017 (3)'!$A$5:$A$289,$D83,'Comp2016-2017 (3)'!$R$5:$R$289,$V83)*$AB83))</f>
        <v>0</v>
      </c>
      <c r="AG83" s="2">
        <f>IF($W83=AG$3,$AB83,IF(NOT($W83=0),"",SUMIFS('Val-Vol (2)'!AG$4:AG$1116,'Val-Vol (2)'!$A$4:$A$1116,$D83,'Val-Vol (2)'!$V$4:$V$1116,$V83)/SUMIFS('Comp2016-2017 (3)'!$G$5:$G$289,'Comp2016-2017 (3)'!$A$5:$A$289,$D83,'Comp2016-2017 (3)'!$R$5:$R$289,$V83)*$AB83))</f>
        <v>0</v>
      </c>
      <c r="AH83" s="2">
        <f>IF($W83=AH$3,$AB83,IF(NOT($W83=0),"",SUMIFS('Val-Vol (2)'!AH$4:AH$1116,'Val-Vol (2)'!$A$4:$A$1116,$D83,'Val-Vol (2)'!$V$4:$V$1116,$V83)/SUMIFS('Comp2016-2017 (3)'!$G$5:$G$289,'Comp2016-2017 (3)'!$A$5:$A$289,$D83,'Comp2016-2017 (3)'!$R$5:$R$289,$V83)*$AB83))</f>
        <v>0</v>
      </c>
      <c r="AI83" s="2">
        <f>IF($W83=AI$3,$AB83,IF(NOT($W83=0),"",SUMIFS('Val-Vol (2)'!AI$4:AI$1116,'Val-Vol (2)'!$A$4:$A$1116,$D83,'Val-Vol (2)'!$V$4:$V$1116,$V83)/SUMIFS('Comp2016-2017 (3)'!$G$5:$G$289,'Comp2016-2017 (3)'!$A$5:$A$289,$D83,'Comp2016-2017 (3)'!$R$5:$R$289,$V83)*$AB83))</f>
        <v>0</v>
      </c>
      <c r="AJ83" s="2">
        <f>IF($W83=AJ$3,$AB83,IF(NOT($W83=0),"",SUMIFS('Val-Vol (2)'!AJ$4:AJ$1116,'Val-Vol (2)'!$A$4:$A$1116,$D83,'Val-Vol (2)'!$V$4:$V$1116,$V83)/SUMIFS('Comp2016-2017 (3)'!$G$5:$G$289,'Comp2016-2017 (3)'!$A$5:$A$289,$D83,'Comp2016-2017 (3)'!$R$5:$R$289,$V83)*$AB83))</f>
        <v>0</v>
      </c>
      <c r="AK83" s="2">
        <f t="shared" si="10"/>
        <v>0</v>
      </c>
      <c r="AL83" t="str">
        <f t="shared" si="7"/>
        <v/>
      </c>
      <c r="AM83" t="str">
        <f>VLOOKUP(A83,'Table corresp.'!$M$4:$U$63,8,FALSE)</f>
        <v>Production intermédiaire</v>
      </c>
      <c r="AN83" t="str">
        <f>VLOOKUP(D83,'Table corresp.'!$M$4:$U$63,9,FALSE)</f>
        <v>Production intermédiaire</v>
      </c>
    </row>
    <row r="84" spans="1:40" x14ac:dyDescent="0.25">
      <c r="A84" t="s">
        <v>5</v>
      </c>
      <c r="B84" t="str">
        <f>VLOOKUP(LEFT(A84,3),'Table corresp.'!$A$4:$D$63,3,FALSE)</f>
        <v>Transformation</v>
      </c>
      <c r="C84" t="str">
        <f>VLOOKUP(A84,'Table corresp.'!$M$4:$P$63,4,FALSE)</f>
        <v>Production et transformation de produits bois</v>
      </c>
      <c r="D84" t="s">
        <v>89</v>
      </c>
      <c r="E84" t="str">
        <f>VLOOKUP(LEFT(D84,3),'Table corresp.'!$A$4:$D$63,4,FALSE)</f>
        <v>Transformation</v>
      </c>
      <c r="F84" t="str">
        <f t="shared" si="6"/>
        <v xml:space="preserve">09  - 33 </v>
      </c>
      <c r="G84" s="1">
        <v>0.25567999999998392</v>
      </c>
      <c r="H84" s="1">
        <v>595.74432000000002</v>
      </c>
      <c r="I84" s="1">
        <v>596</v>
      </c>
      <c r="J84" s="1">
        <v>2.464939319033365E-3</v>
      </c>
      <c r="K84" s="1">
        <v>2.2102066899180315</v>
      </c>
      <c r="L84" s="1">
        <v>2.212671629237065</v>
      </c>
      <c r="M84" s="1">
        <v>0</v>
      </c>
      <c r="N84" s="1">
        <v>0</v>
      </c>
      <c r="O84" s="1">
        <v>0</v>
      </c>
      <c r="P84" s="1">
        <v>0</v>
      </c>
      <c r="Q84" s="1">
        <v>0</v>
      </c>
      <c r="R84" s="1">
        <v>0</v>
      </c>
      <c r="S84" s="67"/>
      <c r="T84">
        <f>VLOOKUP(A84,'Groupe de branches'!$Z$27:$AM$86,14,FALSE)</f>
        <v>0</v>
      </c>
      <c r="U84">
        <f>VLOOKUP(D84,'Groupe de branches'!$Z$27:$AM$86,14,FALSE)</f>
        <v>0</v>
      </c>
      <c r="V84">
        <v>2016</v>
      </c>
      <c r="W84" t="str">
        <f>VLOOKUP(D84,'Table corresp.'!$M$4:$S$63,7,FALSE)</f>
        <v>Construction</v>
      </c>
      <c r="X84" s="167">
        <f>IFERROR(G84/SUMIFS('Comp2016-2017 (3)'!$I$5:$I$289,'Comp2016-2017 (3)'!$A$5:$A$289,A84,'Comp2016-2017 (3)'!$R$5:$R$289,V84),0)</f>
        <v>2.5872627761242782E-6</v>
      </c>
      <c r="Y84" s="178">
        <f>IFERROR(IF(RIGHT(F84,3)="Exp",VLOOKUP(F84,#REF!,2,FALSE),VLOOKUP(F84,#REF!,9,FALSE)),1)</f>
        <v>1</v>
      </c>
      <c r="Z84" s="167">
        <f t="shared" si="8"/>
        <v>8.3333333333333329E-2</v>
      </c>
      <c r="AA84" s="189">
        <f t="shared" si="9"/>
        <v>2.1560523134368983E-7</v>
      </c>
      <c r="AB84" s="2">
        <f>IFERROR(SUMIFS('Comp2016-2017 (3)'!$G$5:$G$289,'Comp2016-2017 (3)'!$A$5:$A$289,A84,'Comp2016-2017 (3)'!$R$5:$R$289,V84)*AA84/SUMIFS($AA$4:$AA$1116,$A$4:$A$1116,A84,$V$4:$V$1116,V84),0)</f>
        <v>6.5710102616615307E-2</v>
      </c>
      <c r="AC84" s="2" t="str">
        <f>IF($W84=AC$3,$AB84,IF(NOT($W84=0),"",SUMIFS('Val-Vol (2)'!AC$4:AC$1116,'Val-Vol (2)'!$A$4:$A$1116,$D84,'Val-Vol (2)'!$V$4:$V$1116,$V84)/SUMIFS('Comp2016-2017 (3)'!$G$5:$G$289,'Comp2016-2017 (3)'!$A$5:$A$289,$D84,'Comp2016-2017 (3)'!$R$5:$R$289,$V84)*$AB84))</f>
        <v/>
      </c>
      <c r="AD84" s="2">
        <f>IF($W84=AD$3,$AB84,IF(NOT($W84=0),"",SUMIFS('Val-Vol (2)'!AD$4:AD$1116,'Val-Vol (2)'!$A$4:$A$1116,$D84,'Val-Vol (2)'!$V$4:$V$1116,$V84)/SUMIFS('Comp2016-2017 (3)'!$G$5:$G$289,'Comp2016-2017 (3)'!$A$5:$A$289,$D84,'Comp2016-2017 (3)'!$R$5:$R$289,$V84)*$AB84))</f>
        <v>6.5710102616615307E-2</v>
      </c>
      <c r="AE84" s="2" t="str">
        <f>IF($W84=AE$3,$AB84,IF(NOT($W84=0),"",SUMIFS('Val-Vol (2)'!AE$4:AE$1116,'Val-Vol (2)'!$A$4:$A$1116,$D84,'Val-Vol (2)'!$V$4:$V$1116,$V84)/SUMIFS('Comp2016-2017 (3)'!$G$5:$G$289,'Comp2016-2017 (3)'!$A$5:$A$289,$D84,'Comp2016-2017 (3)'!$R$5:$R$289,$V84)*$AB84))</f>
        <v/>
      </c>
      <c r="AF84" s="2" t="str">
        <f>IF($W84=AF$3,$AB84,IF(NOT($W84=0),"",SUMIFS('Val-Vol (2)'!AF$4:AF$1116,'Val-Vol (2)'!$A$4:$A$1116,$D84,'Val-Vol (2)'!$V$4:$V$1116,$V84)/SUMIFS('Comp2016-2017 (3)'!$G$5:$G$289,'Comp2016-2017 (3)'!$A$5:$A$289,$D84,'Comp2016-2017 (3)'!$R$5:$R$289,$V84)*$AB84))</f>
        <v/>
      </c>
      <c r="AG84" s="2" t="str">
        <f>IF($W84=AG$3,$AB84,IF(NOT($W84=0),"",SUMIFS('Val-Vol (2)'!AG$4:AG$1116,'Val-Vol (2)'!$A$4:$A$1116,$D84,'Val-Vol (2)'!$V$4:$V$1116,$V84)/SUMIFS('Comp2016-2017 (3)'!$G$5:$G$289,'Comp2016-2017 (3)'!$A$5:$A$289,$D84,'Comp2016-2017 (3)'!$R$5:$R$289,$V84)*$AB84))</f>
        <v/>
      </c>
      <c r="AH84" s="2" t="str">
        <f>IF($W84=AH$3,$AB84,IF(NOT($W84=0),"",SUMIFS('Val-Vol (2)'!AH$4:AH$1116,'Val-Vol (2)'!$A$4:$A$1116,$D84,'Val-Vol (2)'!$V$4:$V$1116,$V84)/SUMIFS('Comp2016-2017 (3)'!$G$5:$G$289,'Comp2016-2017 (3)'!$A$5:$A$289,$D84,'Comp2016-2017 (3)'!$R$5:$R$289,$V84)*$AB84))</f>
        <v/>
      </c>
      <c r="AI84" s="2" t="str">
        <f>IF($W84=AI$3,$AB84,IF(NOT($W84=0),"",SUMIFS('Val-Vol (2)'!AI$4:AI$1116,'Val-Vol (2)'!$A$4:$A$1116,$D84,'Val-Vol (2)'!$V$4:$V$1116,$V84)/SUMIFS('Comp2016-2017 (3)'!$G$5:$G$289,'Comp2016-2017 (3)'!$A$5:$A$289,$D84,'Comp2016-2017 (3)'!$R$5:$R$289,$V84)*$AB84))</f>
        <v/>
      </c>
      <c r="AJ84" s="2" t="str">
        <f>IF($W84=AJ$3,$AB84,IF(NOT($W84=0),"",SUMIFS('Val-Vol (2)'!AJ$4:AJ$1116,'Val-Vol (2)'!$A$4:$A$1116,$D84,'Val-Vol (2)'!$V$4:$V$1116,$V84)/SUMIFS('Comp2016-2017 (3)'!$G$5:$G$289,'Comp2016-2017 (3)'!$A$5:$A$289,$D84,'Comp2016-2017 (3)'!$R$5:$R$289,$V84)*$AB84))</f>
        <v/>
      </c>
      <c r="AK84" s="2">
        <f t="shared" si="10"/>
        <v>0</v>
      </c>
      <c r="AL84" t="str">
        <f t="shared" si="7"/>
        <v/>
      </c>
      <c r="AM84" t="str">
        <f>VLOOKUP(A84,'Table corresp.'!$M$4:$U$63,8,FALSE)</f>
        <v>Production intermédiaire</v>
      </c>
      <c r="AN84" t="str">
        <f>VLOOKUP(D84,'Table corresp.'!$M$4:$U$63,9,FALSE)</f>
        <v>Production finale</v>
      </c>
    </row>
    <row r="85" spans="1:40" x14ac:dyDescent="0.25">
      <c r="A85" t="s">
        <v>5</v>
      </c>
      <c r="B85" t="str">
        <f>VLOOKUP(LEFT(A85,3),'Table corresp.'!$A$4:$D$63,3,FALSE)</f>
        <v>Transformation</v>
      </c>
      <c r="C85" t="str">
        <f>VLOOKUP(A85,'Table corresp.'!$M$4:$P$63,4,FALSE)</f>
        <v>Production et transformation de produits bois</v>
      </c>
      <c r="D85" t="s">
        <v>16</v>
      </c>
      <c r="E85" t="str">
        <f>VLOOKUP(LEFT(D85,3),'Table corresp.'!$A$4:$D$63,4,FALSE)</f>
        <v>Transformation</v>
      </c>
      <c r="F85" t="str">
        <f t="shared" si="6"/>
        <v xml:space="preserve">09  - 36 </v>
      </c>
      <c r="G85" s="1">
        <v>3404.2556800000002</v>
      </c>
      <c r="H85" s="1">
        <v>1595.74432</v>
      </c>
      <c r="I85" s="1">
        <v>5000</v>
      </c>
      <c r="J85" s="1">
        <v>32.819476211182703</v>
      </c>
      <c r="K85" s="1">
        <v>5.9201987380470529</v>
      </c>
      <c r="L85" s="1">
        <v>38.739674949229759</v>
      </c>
      <c r="M85" s="1">
        <v>0</v>
      </c>
      <c r="N85" s="1">
        <v>0</v>
      </c>
      <c r="O85" s="1">
        <v>0</v>
      </c>
      <c r="P85" s="1">
        <v>0</v>
      </c>
      <c r="Q85" s="1">
        <v>0</v>
      </c>
      <c r="R85" s="1">
        <v>0</v>
      </c>
      <c r="S85" s="67"/>
      <c r="T85">
        <f>VLOOKUP(A85,'Groupe de branches'!$Z$27:$AM$86,14,FALSE)</f>
        <v>0</v>
      </c>
      <c r="U85">
        <f>VLOOKUP(D85,'Groupe de branches'!$Z$27:$AM$86,14,FALSE)</f>
        <v>0</v>
      </c>
      <c r="V85">
        <v>2016</v>
      </c>
      <c r="W85" t="str">
        <f>VLOOKUP(D85,'Table corresp.'!$M$4:$S$63,7,FALSE)</f>
        <v>Construction</v>
      </c>
      <c r="X85" s="167">
        <f>IFERROR(G85/SUMIFS('Comp2016-2017 (3)'!$I$5:$I$289,'Comp2016-2017 (3)'!$A$5:$A$289,A85,'Comp2016-2017 (3)'!$R$5:$R$289,V85),0)</f>
        <v>3.4448153947411596E-2</v>
      </c>
      <c r="Y85" s="178">
        <f>IFERROR(IF(RIGHT(F85,3)="Exp",VLOOKUP(F85,#REF!,2,FALSE),VLOOKUP(F85,#REF!,9,FALSE)),1)</f>
        <v>1</v>
      </c>
      <c r="Z85" s="167">
        <f t="shared" si="8"/>
        <v>8.3333333333333329E-2</v>
      </c>
      <c r="AA85" s="189">
        <f t="shared" si="9"/>
        <v>2.870679495617633E-3</v>
      </c>
      <c r="AB85" s="2">
        <f>IFERROR(SUMIFS('Comp2016-2017 (3)'!$G$5:$G$289,'Comp2016-2017 (3)'!$A$5:$A$289,A85,'Comp2016-2017 (3)'!$R$5:$R$289,V85)*AA85/SUMIFS($AA$4:$AA$1116,$A$4:$A$1116,A85,$V$4:$V$1116,V85),0)</f>
        <v>874.89827153476847</v>
      </c>
      <c r="AC85" s="2" t="str">
        <f>IF($W85=AC$3,$AB85,IF(NOT($W85=0),"",SUMIFS('Val-Vol (2)'!AC$4:AC$1116,'Val-Vol (2)'!$A$4:$A$1116,$D85,'Val-Vol (2)'!$V$4:$V$1116,$V85)/SUMIFS('Comp2016-2017 (3)'!$G$5:$G$289,'Comp2016-2017 (3)'!$A$5:$A$289,$D85,'Comp2016-2017 (3)'!$R$5:$R$289,$V85)*$AB85))</f>
        <v/>
      </c>
      <c r="AD85" s="2">
        <f>IF($W85=AD$3,$AB85,IF(NOT($W85=0),"",SUMIFS('Val-Vol (2)'!AD$4:AD$1116,'Val-Vol (2)'!$A$4:$A$1116,$D85,'Val-Vol (2)'!$V$4:$V$1116,$V85)/SUMIFS('Comp2016-2017 (3)'!$G$5:$G$289,'Comp2016-2017 (3)'!$A$5:$A$289,$D85,'Comp2016-2017 (3)'!$R$5:$R$289,$V85)*$AB85))</f>
        <v>874.89827153476847</v>
      </c>
      <c r="AE85" s="2" t="str">
        <f>IF($W85=AE$3,$AB85,IF(NOT($W85=0),"",SUMIFS('Val-Vol (2)'!AE$4:AE$1116,'Val-Vol (2)'!$A$4:$A$1116,$D85,'Val-Vol (2)'!$V$4:$V$1116,$V85)/SUMIFS('Comp2016-2017 (3)'!$G$5:$G$289,'Comp2016-2017 (3)'!$A$5:$A$289,$D85,'Comp2016-2017 (3)'!$R$5:$R$289,$V85)*$AB85))</f>
        <v/>
      </c>
      <c r="AF85" s="2" t="str">
        <f>IF($W85=AF$3,$AB85,IF(NOT($W85=0),"",SUMIFS('Val-Vol (2)'!AF$4:AF$1116,'Val-Vol (2)'!$A$4:$A$1116,$D85,'Val-Vol (2)'!$V$4:$V$1116,$V85)/SUMIFS('Comp2016-2017 (3)'!$G$5:$G$289,'Comp2016-2017 (3)'!$A$5:$A$289,$D85,'Comp2016-2017 (3)'!$R$5:$R$289,$V85)*$AB85))</f>
        <v/>
      </c>
      <c r="AG85" s="2" t="str">
        <f>IF($W85=AG$3,$AB85,IF(NOT($W85=0),"",SUMIFS('Val-Vol (2)'!AG$4:AG$1116,'Val-Vol (2)'!$A$4:$A$1116,$D85,'Val-Vol (2)'!$V$4:$V$1116,$V85)/SUMIFS('Comp2016-2017 (3)'!$G$5:$G$289,'Comp2016-2017 (3)'!$A$5:$A$289,$D85,'Comp2016-2017 (3)'!$R$5:$R$289,$V85)*$AB85))</f>
        <v/>
      </c>
      <c r="AH85" s="2" t="str">
        <f>IF($W85=AH$3,$AB85,IF(NOT($W85=0),"",SUMIFS('Val-Vol (2)'!AH$4:AH$1116,'Val-Vol (2)'!$A$4:$A$1116,$D85,'Val-Vol (2)'!$V$4:$V$1116,$V85)/SUMIFS('Comp2016-2017 (3)'!$G$5:$G$289,'Comp2016-2017 (3)'!$A$5:$A$289,$D85,'Comp2016-2017 (3)'!$R$5:$R$289,$V85)*$AB85))</f>
        <v/>
      </c>
      <c r="AI85" s="2" t="str">
        <f>IF($W85=AI$3,$AB85,IF(NOT($W85=0),"",SUMIFS('Val-Vol (2)'!AI$4:AI$1116,'Val-Vol (2)'!$A$4:$A$1116,$D85,'Val-Vol (2)'!$V$4:$V$1116,$V85)/SUMIFS('Comp2016-2017 (3)'!$G$5:$G$289,'Comp2016-2017 (3)'!$A$5:$A$289,$D85,'Comp2016-2017 (3)'!$R$5:$R$289,$V85)*$AB85))</f>
        <v/>
      </c>
      <c r="AJ85" s="2" t="str">
        <f>IF($W85=AJ$3,$AB85,IF(NOT($W85=0),"",SUMIFS('Val-Vol (2)'!AJ$4:AJ$1116,'Val-Vol (2)'!$A$4:$A$1116,$D85,'Val-Vol (2)'!$V$4:$V$1116,$V85)/SUMIFS('Comp2016-2017 (3)'!$G$5:$G$289,'Comp2016-2017 (3)'!$A$5:$A$289,$D85,'Comp2016-2017 (3)'!$R$5:$R$289,$V85)*$AB85))</f>
        <v/>
      </c>
      <c r="AK85" s="2">
        <f t="shared" si="10"/>
        <v>0</v>
      </c>
      <c r="AL85" t="str">
        <f t="shared" si="7"/>
        <v/>
      </c>
      <c r="AM85" t="str">
        <f>VLOOKUP(A85,'Table corresp.'!$M$4:$U$63,8,FALSE)</f>
        <v>Production intermédiaire</v>
      </c>
      <c r="AN85" t="str">
        <f>VLOOKUP(D85,'Table corresp.'!$M$4:$U$63,9,FALSE)</f>
        <v>Production finale</v>
      </c>
    </row>
    <row r="86" spans="1:40" x14ac:dyDescent="0.25">
      <c r="A86" t="s">
        <v>5</v>
      </c>
      <c r="B86" t="str">
        <f>VLOOKUP(LEFT(A86,3),'Table corresp.'!$A$4:$D$63,3,FALSE)</f>
        <v>Transformation</v>
      </c>
      <c r="C86" t="str">
        <f>VLOOKUP(A86,'Table corresp.'!$M$4:$P$63,4,FALSE)</f>
        <v>Production et transformation de produits bois</v>
      </c>
      <c r="D86" t="s">
        <v>91</v>
      </c>
      <c r="E86" t="str">
        <f>VLOOKUP(LEFT(D86,3),'Table corresp.'!$A$4:$D$63,4,FALSE)</f>
        <v>Transformation</v>
      </c>
      <c r="F86" t="str">
        <f t="shared" si="6"/>
        <v xml:space="preserve">09  - 37 </v>
      </c>
      <c r="G86" s="1">
        <v>12300</v>
      </c>
      <c r="H86" s="1">
        <v>0</v>
      </c>
      <c r="I86" s="1">
        <v>12300</v>
      </c>
      <c r="J86" s="1">
        <v>204.74961380488858</v>
      </c>
      <c r="K86" s="1">
        <v>0</v>
      </c>
      <c r="L86" s="1">
        <v>204.74961380488858</v>
      </c>
      <c r="M86" s="1">
        <v>0</v>
      </c>
      <c r="N86" s="1">
        <v>0</v>
      </c>
      <c r="O86" s="1">
        <v>0</v>
      </c>
      <c r="P86" s="1">
        <v>0</v>
      </c>
      <c r="Q86" s="1">
        <v>0</v>
      </c>
      <c r="R86" s="1">
        <v>0</v>
      </c>
      <c r="S86" s="67"/>
      <c r="T86">
        <f>VLOOKUP(A86,'Groupe de branches'!$Z$27:$AM$86,14,FALSE)</f>
        <v>0</v>
      </c>
      <c r="U86">
        <f>VLOOKUP(D86,'Groupe de branches'!$Z$27:$AM$86,14,FALSE)</f>
        <v>0</v>
      </c>
      <c r="V86">
        <v>2016</v>
      </c>
      <c r="W86" t="str">
        <f>VLOOKUP(D86,'Table corresp.'!$M$4:$S$63,7,FALSE)</f>
        <v>Emballage bois et carton</v>
      </c>
      <c r="X86" s="167">
        <f>IFERROR(G86/SUMIFS('Comp2016-2017 (3)'!$I$5:$I$289,'Comp2016-2017 (3)'!$A$5:$A$289,A86,'Comp2016-2017 (3)'!$R$5:$R$289,V86),0)</f>
        <v>0.12446547303790137</v>
      </c>
      <c r="Y86" s="178">
        <f>IFERROR(IF(RIGHT(F86,3)="Exp",VLOOKUP(F86,#REF!,2,FALSE),VLOOKUP(F86,#REF!,9,FALSE)),1)</f>
        <v>1</v>
      </c>
      <c r="Z86" s="167">
        <f t="shared" si="8"/>
        <v>8.3333333333333329E-2</v>
      </c>
      <c r="AA86" s="189">
        <f t="shared" si="9"/>
        <v>1.0372122753158446E-2</v>
      </c>
      <c r="AB86" s="2">
        <f>IFERROR(SUMIFS('Comp2016-2017 (3)'!$G$5:$G$289,'Comp2016-2017 (3)'!$A$5:$A$289,A86,'Comp2016-2017 (3)'!$R$5:$R$289,V86)*AA86/SUMIFS($AA$4:$AA$1116,$A$4:$A$1116,A86,$V$4:$V$1116,V86),0)</f>
        <v>3161.1164822607129</v>
      </c>
      <c r="AC86" s="2" t="str">
        <f>IF($W86=AC$3,$AB86,IF(NOT($W86=0),"",SUMIFS('Val-Vol (2)'!AC$4:AC$1116,'Val-Vol (2)'!$A$4:$A$1116,$D86,'Val-Vol (2)'!$V$4:$V$1116,$V86)/SUMIFS('Comp2016-2017 (3)'!$G$5:$G$289,'Comp2016-2017 (3)'!$A$5:$A$289,$D86,'Comp2016-2017 (3)'!$R$5:$R$289,$V86)*$AB86))</f>
        <v/>
      </c>
      <c r="AD86" s="2" t="str">
        <f>IF($W86=AD$3,$AB86,IF(NOT($W86=0),"",SUMIFS('Val-Vol (2)'!AD$4:AD$1116,'Val-Vol (2)'!$A$4:$A$1116,$D86,'Val-Vol (2)'!$V$4:$V$1116,$V86)/SUMIFS('Comp2016-2017 (3)'!$G$5:$G$289,'Comp2016-2017 (3)'!$A$5:$A$289,$D86,'Comp2016-2017 (3)'!$R$5:$R$289,$V86)*$AB86))</f>
        <v/>
      </c>
      <c r="AE86" s="2" t="str">
        <f>IF($W86=AE$3,$AB86,IF(NOT($W86=0),"",SUMIFS('Val-Vol (2)'!AE$4:AE$1116,'Val-Vol (2)'!$A$4:$A$1116,$D86,'Val-Vol (2)'!$V$4:$V$1116,$V86)/SUMIFS('Comp2016-2017 (3)'!$G$5:$G$289,'Comp2016-2017 (3)'!$A$5:$A$289,$D86,'Comp2016-2017 (3)'!$R$5:$R$289,$V86)*$AB86))</f>
        <v/>
      </c>
      <c r="AF86" s="2" t="str">
        <f>IF($W86=AF$3,$AB86,IF(NOT($W86=0),"",SUMIFS('Val-Vol (2)'!AF$4:AF$1116,'Val-Vol (2)'!$A$4:$A$1116,$D86,'Val-Vol (2)'!$V$4:$V$1116,$V86)/SUMIFS('Comp2016-2017 (3)'!$G$5:$G$289,'Comp2016-2017 (3)'!$A$5:$A$289,$D86,'Comp2016-2017 (3)'!$R$5:$R$289,$V86)*$AB86))</f>
        <v/>
      </c>
      <c r="AG86" s="2">
        <f>IF($W86=AG$3,$AB86,IF(NOT($W86=0),"",SUMIFS('Val-Vol (2)'!AG$4:AG$1116,'Val-Vol (2)'!$A$4:$A$1116,$D86,'Val-Vol (2)'!$V$4:$V$1116,$V86)/SUMIFS('Comp2016-2017 (3)'!$G$5:$G$289,'Comp2016-2017 (3)'!$A$5:$A$289,$D86,'Comp2016-2017 (3)'!$R$5:$R$289,$V86)*$AB86))</f>
        <v>3161.1164822607129</v>
      </c>
      <c r="AH86" s="2" t="str">
        <f>IF($W86=AH$3,$AB86,IF(NOT($W86=0),"",SUMIFS('Val-Vol (2)'!AH$4:AH$1116,'Val-Vol (2)'!$A$4:$A$1116,$D86,'Val-Vol (2)'!$V$4:$V$1116,$V86)/SUMIFS('Comp2016-2017 (3)'!$G$5:$G$289,'Comp2016-2017 (3)'!$A$5:$A$289,$D86,'Comp2016-2017 (3)'!$R$5:$R$289,$V86)*$AB86))</f>
        <v/>
      </c>
      <c r="AI86" s="2" t="str">
        <f>IF($W86=AI$3,$AB86,IF(NOT($W86=0),"",SUMIFS('Val-Vol (2)'!AI$4:AI$1116,'Val-Vol (2)'!$A$4:$A$1116,$D86,'Val-Vol (2)'!$V$4:$V$1116,$V86)/SUMIFS('Comp2016-2017 (3)'!$G$5:$G$289,'Comp2016-2017 (3)'!$A$5:$A$289,$D86,'Comp2016-2017 (3)'!$R$5:$R$289,$V86)*$AB86))</f>
        <v/>
      </c>
      <c r="AJ86" s="2" t="str">
        <f>IF($W86=AJ$3,$AB86,IF(NOT($W86=0),"",SUMIFS('Val-Vol (2)'!AJ$4:AJ$1116,'Val-Vol (2)'!$A$4:$A$1116,$D86,'Val-Vol (2)'!$V$4:$V$1116,$V86)/SUMIFS('Comp2016-2017 (3)'!$G$5:$G$289,'Comp2016-2017 (3)'!$A$5:$A$289,$D86,'Comp2016-2017 (3)'!$R$5:$R$289,$V86)*$AB86))</f>
        <v/>
      </c>
      <c r="AK86" s="2">
        <f t="shared" si="10"/>
        <v>0</v>
      </c>
      <c r="AL86" t="str">
        <f t="shared" si="7"/>
        <v/>
      </c>
      <c r="AM86" t="str">
        <f>VLOOKUP(A86,'Table corresp.'!$M$4:$U$63,8,FALSE)</f>
        <v>Production intermédiaire</v>
      </c>
      <c r="AN86" t="str">
        <f>VLOOKUP(D86,'Table corresp.'!$M$4:$U$63,9,FALSE)</f>
        <v>Production finale</v>
      </c>
    </row>
    <row r="87" spans="1:40" x14ac:dyDescent="0.25">
      <c r="A87" t="s">
        <v>5</v>
      </c>
      <c r="B87" t="str">
        <f>VLOOKUP(LEFT(A87,3),'Table corresp.'!$A$4:$D$63,3,FALSE)</f>
        <v>Transformation</v>
      </c>
      <c r="C87" t="str">
        <f>VLOOKUP(A87,'Table corresp.'!$M$4:$P$63,4,FALSE)</f>
        <v>Production et transformation de produits bois</v>
      </c>
      <c r="D87" t="s">
        <v>93</v>
      </c>
      <c r="E87" t="str">
        <f>VLOOKUP(LEFT(D87,3),'Table corresp.'!$A$4:$D$63,4,FALSE)</f>
        <v>Transformation</v>
      </c>
      <c r="F87" t="str">
        <f t="shared" si="6"/>
        <v xml:space="preserve">09  - 41 </v>
      </c>
      <c r="G87" s="1">
        <v>2707.2086799999979</v>
      </c>
      <c r="H87" s="1">
        <v>10978.721600000001</v>
      </c>
      <c r="I87" s="1">
        <v>13685.930279999999</v>
      </c>
      <c r="J87" s="1">
        <v>29.390240282038263</v>
      </c>
      <c r="K87" s="1">
        <v>45.866613857248609</v>
      </c>
      <c r="L87" s="1">
        <v>75.256854139286872</v>
      </c>
      <c r="M87" s="1">
        <v>0</v>
      </c>
      <c r="N87" s="1">
        <v>0</v>
      </c>
      <c r="O87" s="1">
        <v>0</v>
      </c>
      <c r="P87" s="1">
        <v>0</v>
      </c>
      <c r="Q87" s="1">
        <v>0</v>
      </c>
      <c r="R87" s="1">
        <v>0</v>
      </c>
      <c r="S87" s="67"/>
      <c r="T87">
        <f>VLOOKUP(A87,'Groupe de branches'!$Z$27:$AM$86,14,FALSE)</f>
        <v>0</v>
      </c>
      <c r="U87">
        <f>VLOOKUP(D87,'Groupe de branches'!$Z$27:$AM$86,14,FALSE)</f>
        <v>0</v>
      </c>
      <c r="V87">
        <v>2016</v>
      </c>
      <c r="W87" t="str">
        <f>VLOOKUP(D87,'Table corresp.'!$M$4:$S$63,7,FALSE)</f>
        <v>Produits de consommation courante</v>
      </c>
      <c r="X87" s="167">
        <f>IFERROR(G87/SUMIFS('Comp2016-2017 (3)'!$I$5:$I$289,'Comp2016-2017 (3)'!$A$5:$A$289,A87,'Comp2016-2017 (3)'!$R$5:$R$289,V87),0)</f>
        <v>2.7394634875488804E-2</v>
      </c>
      <c r="Y87" s="178">
        <f>IFERROR(IF(RIGHT(F87,3)="Exp",VLOOKUP(F87,#REF!,2,FALSE),VLOOKUP(F87,#REF!,9,FALSE)),1)</f>
        <v>1</v>
      </c>
      <c r="Z87" s="167">
        <f t="shared" si="8"/>
        <v>8.3333333333333329E-2</v>
      </c>
      <c r="AA87" s="189">
        <f t="shared" si="9"/>
        <v>2.2828862396240667E-3</v>
      </c>
      <c r="AB87" s="2">
        <f>IFERROR(SUMIFS('Comp2016-2017 (3)'!$G$5:$G$289,'Comp2016-2017 (3)'!$A$5:$A$289,A87,'Comp2016-2017 (3)'!$R$5:$R$289,V87)*AA87/SUMIFS($AA$4:$AA$1116,$A$4:$A$1116,A87,$V$4:$V$1116,V87),0)</f>
        <v>695.75625847701303</v>
      </c>
      <c r="AC87" s="2" t="str">
        <f>IF($W87=AC$3,$AB87,IF(NOT($W87=0),"",SUMIFS('Val-Vol (2)'!AC$4:AC$1116,'Val-Vol (2)'!$A$4:$A$1116,$D87,'Val-Vol (2)'!$V$4:$V$1116,$V87)/SUMIFS('Comp2016-2017 (3)'!$G$5:$G$289,'Comp2016-2017 (3)'!$A$5:$A$289,$D87,'Comp2016-2017 (3)'!$R$5:$R$289,$V87)*$AB87))</f>
        <v/>
      </c>
      <c r="AD87" s="2" t="str">
        <f>IF($W87=AD$3,$AB87,IF(NOT($W87=0),"",SUMIFS('Val-Vol (2)'!AD$4:AD$1116,'Val-Vol (2)'!$A$4:$A$1116,$D87,'Val-Vol (2)'!$V$4:$V$1116,$V87)/SUMIFS('Comp2016-2017 (3)'!$G$5:$G$289,'Comp2016-2017 (3)'!$A$5:$A$289,$D87,'Comp2016-2017 (3)'!$R$5:$R$289,$V87)*$AB87))</f>
        <v/>
      </c>
      <c r="AE87" s="2" t="str">
        <f>IF($W87=AE$3,$AB87,IF(NOT($W87=0),"",SUMIFS('Val-Vol (2)'!AE$4:AE$1116,'Val-Vol (2)'!$A$4:$A$1116,$D87,'Val-Vol (2)'!$V$4:$V$1116,$V87)/SUMIFS('Comp2016-2017 (3)'!$G$5:$G$289,'Comp2016-2017 (3)'!$A$5:$A$289,$D87,'Comp2016-2017 (3)'!$R$5:$R$289,$V87)*$AB87))</f>
        <v/>
      </c>
      <c r="AF87" s="2" t="str">
        <f>IF($W87=AF$3,$AB87,IF(NOT($W87=0),"",SUMIFS('Val-Vol (2)'!AF$4:AF$1116,'Val-Vol (2)'!$A$4:$A$1116,$D87,'Val-Vol (2)'!$V$4:$V$1116,$V87)/SUMIFS('Comp2016-2017 (3)'!$G$5:$G$289,'Comp2016-2017 (3)'!$A$5:$A$289,$D87,'Comp2016-2017 (3)'!$R$5:$R$289,$V87)*$AB87))</f>
        <v/>
      </c>
      <c r="AG87" s="2" t="str">
        <f>IF($W87=AG$3,$AB87,IF(NOT($W87=0),"",SUMIFS('Val-Vol (2)'!AG$4:AG$1116,'Val-Vol (2)'!$A$4:$A$1116,$D87,'Val-Vol (2)'!$V$4:$V$1116,$V87)/SUMIFS('Comp2016-2017 (3)'!$G$5:$G$289,'Comp2016-2017 (3)'!$A$5:$A$289,$D87,'Comp2016-2017 (3)'!$R$5:$R$289,$V87)*$AB87))</f>
        <v/>
      </c>
      <c r="AH87" s="2" t="str">
        <f>IF($W87=AH$3,$AB87,IF(NOT($W87=0),"",SUMIFS('Val-Vol (2)'!AH$4:AH$1116,'Val-Vol (2)'!$A$4:$A$1116,$D87,'Val-Vol (2)'!$V$4:$V$1116,$V87)/SUMIFS('Comp2016-2017 (3)'!$G$5:$G$289,'Comp2016-2017 (3)'!$A$5:$A$289,$D87,'Comp2016-2017 (3)'!$R$5:$R$289,$V87)*$AB87))</f>
        <v/>
      </c>
      <c r="AI87" s="2">
        <f>IF($W87=AI$3,$AB87,IF(NOT($W87=0),"",SUMIFS('Val-Vol (2)'!AI$4:AI$1116,'Val-Vol (2)'!$A$4:$A$1116,$D87,'Val-Vol (2)'!$V$4:$V$1116,$V87)/SUMIFS('Comp2016-2017 (3)'!$G$5:$G$289,'Comp2016-2017 (3)'!$A$5:$A$289,$D87,'Comp2016-2017 (3)'!$R$5:$R$289,$V87)*$AB87))</f>
        <v>695.75625847701303</v>
      </c>
      <c r="AJ87" s="2" t="str">
        <f>IF($W87=AJ$3,$AB87,IF(NOT($W87=0),"",SUMIFS('Val-Vol (2)'!AJ$4:AJ$1116,'Val-Vol (2)'!$A$4:$A$1116,$D87,'Val-Vol (2)'!$V$4:$V$1116,$V87)/SUMIFS('Comp2016-2017 (3)'!$G$5:$G$289,'Comp2016-2017 (3)'!$A$5:$A$289,$D87,'Comp2016-2017 (3)'!$R$5:$R$289,$V87)*$AB87))</f>
        <v/>
      </c>
      <c r="AK87" s="2">
        <f t="shared" si="10"/>
        <v>0</v>
      </c>
      <c r="AL87" t="str">
        <f t="shared" si="7"/>
        <v/>
      </c>
      <c r="AM87" t="str">
        <f>VLOOKUP(A87,'Table corresp.'!$M$4:$U$63,8,FALSE)</f>
        <v>Production intermédiaire</v>
      </c>
      <c r="AN87" t="str">
        <f>VLOOKUP(D87,'Table corresp.'!$M$4:$U$63,9,FALSE)</f>
        <v>Production finale</v>
      </c>
    </row>
    <row r="88" spans="1:40" x14ac:dyDescent="0.25">
      <c r="A88" t="s">
        <v>5</v>
      </c>
      <c r="B88" t="str">
        <f>VLOOKUP(LEFT(A88,3),'Table corresp.'!$A$4:$D$63,3,FALSE)</f>
        <v>Transformation</v>
      </c>
      <c r="C88" t="str">
        <f>VLOOKUP(A88,'Table corresp.'!$M$4:$P$63,4,FALSE)</f>
        <v>Production et transformation de produits bois</v>
      </c>
      <c r="D88" t="s">
        <v>99</v>
      </c>
      <c r="E88" t="str">
        <f>VLOOKUP(LEFT(D88,3),'Table corresp.'!$A$4:$D$63,4,FALSE)</f>
        <v>Transformation</v>
      </c>
      <c r="F88" t="str">
        <f t="shared" si="6"/>
        <v xml:space="preserve">09  - 47 </v>
      </c>
      <c r="G88" s="1">
        <v>581.85113000000001</v>
      </c>
      <c r="H88" s="1">
        <v>6031.9091200000003</v>
      </c>
      <c r="I88" s="1">
        <v>6613.7602500000003</v>
      </c>
      <c r="J88" s="1">
        <v>4.8428371609527643</v>
      </c>
      <c r="K88" s="1">
        <v>19.31996243797121</v>
      </c>
      <c r="L88" s="1">
        <v>24.162799598923975</v>
      </c>
      <c r="M88" s="1">
        <v>0</v>
      </c>
      <c r="N88" s="1">
        <v>0</v>
      </c>
      <c r="O88" s="1">
        <v>0</v>
      </c>
      <c r="P88" s="1">
        <v>0</v>
      </c>
      <c r="Q88" s="1">
        <v>0</v>
      </c>
      <c r="R88" s="1">
        <v>0</v>
      </c>
      <c r="S88" s="67"/>
      <c r="T88">
        <f>VLOOKUP(A88,'Groupe de branches'!$Z$27:$AM$86,14,FALSE)</f>
        <v>0</v>
      </c>
      <c r="U88">
        <f>VLOOKUP(D88,'Groupe de branches'!$Z$27:$AM$86,14,FALSE)</f>
        <v>0</v>
      </c>
      <c r="V88">
        <v>2016</v>
      </c>
      <c r="W88" t="str">
        <f>VLOOKUP(D88,'Table corresp.'!$M$4:$S$63,7,FALSE)</f>
        <v>Meuble</v>
      </c>
      <c r="X88" s="167">
        <f>IFERROR(G88/SUMIFS('Comp2016-2017 (3)'!$I$5:$I$289,'Comp2016-2017 (3)'!$A$5:$A$289,A88,'Comp2016-2017 (3)'!$R$5:$R$289,V88),0)</f>
        <v>5.8878354579745889E-3</v>
      </c>
      <c r="Y88" s="178">
        <f>IFERROR(IF(RIGHT(F88,3)="Exp",VLOOKUP(F88,#REF!,2,FALSE),VLOOKUP(F88,#REF!,9,FALSE)),1)</f>
        <v>1</v>
      </c>
      <c r="Z88" s="167">
        <f t="shared" si="8"/>
        <v>8.3333333333333329E-2</v>
      </c>
      <c r="AA88" s="189">
        <f t="shared" si="9"/>
        <v>4.9065295483121567E-4</v>
      </c>
      <c r="AB88" s="2">
        <f>IFERROR(SUMIFS('Comp2016-2017 (3)'!$G$5:$G$289,'Comp2016-2017 (3)'!$A$5:$A$289,A88,'Comp2016-2017 (3)'!$R$5:$R$289,V88)*AA88/SUMIFS($AA$4:$AA$1116,$A$4:$A$1116,A88,$V$4:$V$1116,V88),0)</f>
        <v>149.53652010284719</v>
      </c>
      <c r="AC88" s="2" t="str">
        <f>IF($W88=AC$3,$AB88,IF(NOT($W88=0),"",SUMIFS('Val-Vol (2)'!AC$4:AC$1116,'Val-Vol (2)'!$A$4:$A$1116,$D88,'Val-Vol (2)'!$V$4:$V$1116,$V88)/SUMIFS('Comp2016-2017 (3)'!$G$5:$G$289,'Comp2016-2017 (3)'!$A$5:$A$289,$D88,'Comp2016-2017 (3)'!$R$5:$R$289,$V88)*$AB88))</f>
        <v/>
      </c>
      <c r="AD88" s="2" t="str">
        <f>IF($W88=AD$3,$AB88,IF(NOT($W88=0),"",SUMIFS('Val-Vol (2)'!AD$4:AD$1116,'Val-Vol (2)'!$A$4:$A$1116,$D88,'Val-Vol (2)'!$V$4:$V$1116,$V88)/SUMIFS('Comp2016-2017 (3)'!$G$5:$G$289,'Comp2016-2017 (3)'!$A$5:$A$289,$D88,'Comp2016-2017 (3)'!$R$5:$R$289,$V88)*$AB88))</f>
        <v/>
      </c>
      <c r="AE88" s="2">
        <f>IF($W88=AE$3,$AB88,IF(NOT($W88=0),"",SUMIFS('Val-Vol (2)'!AE$4:AE$1116,'Val-Vol (2)'!$A$4:$A$1116,$D88,'Val-Vol (2)'!$V$4:$V$1116,$V88)/SUMIFS('Comp2016-2017 (3)'!$G$5:$G$289,'Comp2016-2017 (3)'!$A$5:$A$289,$D88,'Comp2016-2017 (3)'!$R$5:$R$289,$V88)*$AB88))</f>
        <v>149.53652010284719</v>
      </c>
      <c r="AF88" s="2" t="str">
        <f>IF($W88=AF$3,$AB88,IF(NOT($W88=0),"",SUMIFS('Val-Vol (2)'!AF$4:AF$1116,'Val-Vol (2)'!$A$4:$A$1116,$D88,'Val-Vol (2)'!$V$4:$V$1116,$V88)/SUMIFS('Comp2016-2017 (3)'!$G$5:$G$289,'Comp2016-2017 (3)'!$A$5:$A$289,$D88,'Comp2016-2017 (3)'!$R$5:$R$289,$V88)*$AB88))</f>
        <v/>
      </c>
      <c r="AG88" s="2" t="str">
        <f>IF($W88=AG$3,$AB88,IF(NOT($W88=0),"",SUMIFS('Val-Vol (2)'!AG$4:AG$1116,'Val-Vol (2)'!$A$4:$A$1116,$D88,'Val-Vol (2)'!$V$4:$V$1116,$V88)/SUMIFS('Comp2016-2017 (3)'!$G$5:$G$289,'Comp2016-2017 (3)'!$A$5:$A$289,$D88,'Comp2016-2017 (3)'!$R$5:$R$289,$V88)*$AB88))</f>
        <v/>
      </c>
      <c r="AH88" s="2" t="str">
        <f>IF($W88=AH$3,$AB88,IF(NOT($W88=0),"",SUMIFS('Val-Vol (2)'!AH$4:AH$1116,'Val-Vol (2)'!$A$4:$A$1116,$D88,'Val-Vol (2)'!$V$4:$V$1116,$V88)/SUMIFS('Comp2016-2017 (3)'!$G$5:$G$289,'Comp2016-2017 (3)'!$A$5:$A$289,$D88,'Comp2016-2017 (3)'!$R$5:$R$289,$V88)*$AB88))</f>
        <v/>
      </c>
      <c r="AI88" s="2" t="str">
        <f>IF($W88=AI$3,$AB88,IF(NOT($W88=0),"",SUMIFS('Val-Vol (2)'!AI$4:AI$1116,'Val-Vol (2)'!$A$4:$A$1116,$D88,'Val-Vol (2)'!$V$4:$V$1116,$V88)/SUMIFS('Comp2016-2017 (3)'!$G$5:$G$289,'Comp2016-2017 (3)'!$A$5:$A$289,$D88,'Comp2016-2017 (3)'!$R$5:$R$289,$V88)*$AB88))</f>
        <v/>
      </c>
      <c r="AJ88" s="2" t="str">
        <f>IF($W88=AJ$3,$AB88,IF(NOT($W88=0),"",SUMIFS('Val-Vol (2)'!AJ$4:AJ$1116,'Val-Vol (2)'!$A$4:$A$1116,$D88,'Val-Vol (2)'!$V$4:$V$1116,$V88)/SUMIFS('Comp2016-2017 (3)'!$G$5:$G$289,'Comp2016-2017 (3)'!$A$5:$A$289,$D88,'Comp2016-2017 (3)'!$R$5:$R$289,$V88)*$AB88))</f>
        <v/>
      </c>
      <c r="AK88" s="2">
        <f t="shared" si="10"/>
        <v>0</v>
      </c>
      <c r="AL88" t="str">
        <f t="shared" si="7"/>
        <v/>
      </c>
      <c r="AM88" t="str">
        <f>VLOOKUP(A88,'Table corresp.'!$M$4:$U$63,8,FALSE)</f>
        <v>Production intermédiaire</v>
      </c>
      <c r="AN88" t="str">
        <f>VLOOKUP(D88,'Table corresp.'!$M$4:$U$63,9,FALSE)</f>
        <v>Production finale</v>
      </c>
    </row>
    <row r="89" spans="1:40" x14ac:dyDescent="0.25">
      <c r="A89" t="s">
        <v>5</v>
      </c>
      <c r="B89" t="str">
        <f>VLOOKUP(LEFT(A89,3),'Table corresp.'!$A$4:$D$63,3,FALSE)</f>
        <v>Transformation</v>
      </c>
      <c r="C89" t="str">
        <f>VLOOKUP(A89,'Table corresp.'!$M$4:$P$63,4,FALSE)</f>
        <v>Production et transformation de produits bois</v>
      </c>
      <c r="D89" t="s">
        <v>100</v>
      </c>
      <c r="E89" t="str">
        <f>VLOOKUP(LEFT(D89,3),'Table corresp.'!$A$4:$D$63,4,FALSE)</f>
        <v>Transformation</v>
      </c>
      <c r="F89" t="str">
        <f t="shared" si="6"/>
        <v xml:space="preserve">09  - 48 </v>
      </c>
      <c r="G89" s="1">
        <v>16261.193203999999</v>
      </c>
      <c r="H89" s="1">
        <v>0</v>
      </c>
      <c r="I89" s="1">
        <v>16261.193203999999</v>
      </c>
      <c r="J89" s="1">
        <v>73.824235665757811</v>
      </c>
      <c r="K89" s="1">
        <v>0</v>
      </c>
      <c r="L89" s="1">
        <v>73.824235665757811</v>
      </c>
      <c r="M89" s="1">
        <v>0</v>
      </c>
      <c r="N89" s="1">
        <v>0</v>
      </c>
      <c r="O89" s="1">
        <v>0</v>
      </c>
      <c r="P89" s="1">
        <v>0</v>
      </c>
      <c r="Q89" s="1">
        <v>0</v>
      </c>
      <c r="R89" s="1">
        <v>0</v>
      </c>
      <c r="S89" s="67"/>
      <c r="T89">
        <f>VLOOKUP(A89,'Groupe de branches'!$Z$27:$AM$86,14,FALSE)</f>
        <v>0</v>
      </c>
      <c r="U89">
        <f>VLOOKUP(D89,'Groupe de branches'!$Z$27:$AM$86,14,FALSE)</f>
        <v>0</v>
      </c>
      <c r="V89">
        <v>2016</v>
      </c>
      <c r="W89" t="str">
        <f>VLOOKUP(D89,'Table corresp.'!$M$4:$S$63,7,FALSE)</f>
        <v>Produits de consommation courante</v>
      </c>
      <c r="X89" s="167">
        <f>IFERROR(G89/SUMIFS('Comp2016-2017 (3)'!$I$5:$I$289,'Comp2016-2017 (3)'!$A$5:$A$289,A89,'Comp2016-2017 (3)'!$R$5:$R$289,V89),0)</f>
        <v>0.16454935807289162</v>
      </c>
      <c r="Y89" s="178">
        <f>IFERROR(IF(RIGHT(F89,3)="Exp",VLOOKUP(F89,#REF!,2,FALSE),VLOOKUP(F89,#REF!,9,FALSE)),1)</f>
        <v>1</v>
      </c>
      <c r="Z89" s="167">
        <f t="shared" si="8"/>
        <v>8.3333333333333329E-2</v>
      </c>
      <c r="AA89" s="189">
        <f t="shared" si="9"/>
        <v>1.37124465060743E-2</v>
      </c>
      <c r="AB89" s="2">
        <f>IFERROR(SUMIFS('Comp2016-2017 (3)'!$G$5:$G$289,'Comp2016-2017 (3)'!$A$5:$A$289,A89,'Comp2016-2017 (3)'!$R$5:$R$289,V89)*AA89/SUMIFS($AA$4:$AA$1116,$A$4:$A$1116,A89,$V$4:$V$1116,V89),0)</f>
        <v>4179.1484437715681</v>
      </c>
      <c r="AC89" s="2" t="str">
        <f>IF($W89=AC$3,$AB89,IF(NOT($W89=0),"",SUMIFS('Val-Vol (2)'!AC$4:AC$1116,'Val-Vol (2)'!$A$4:$A$1116,$D89,'Val-Vol (2)'!$V$4:$V$1116,$V89)/SUMIFS('Comp2016-2017 (3)'!$G$5:$G$289,'Comp2016-2017 (3)'!$A$5:$A$289,$D89,'Comp2016-2017 (3)'!$R$5:$R$289,$V89)*$AB89))</f>
        <v/>
      </c>
      <c r="AD89" s="2" t="str">
        <f>IF($W89=AD$3,$AB89,IF(NOT($W89=0),"",SUMIFS('Val-Vol (2)'!AD$4:AD$1116,'Val-Vol (2)'!$A$4:$A$1116,$D89,'Val-Vol (2)'!$V$4:$V$1116,$V89)/SUMIFS('Comp2016-2017 (3)'!$G$5:$G$289,'Comp2016-2017 (3)'!$A$5:$A$289,$D89,'Comp2016-2017 (3)'!$R$5:$R$289,$V89)*$AB89))</f>
        <v/>
      </c>
      <c r="AE89" s="2" t="str">
        <f>IF($W89=AE$3,$AB89,IF(NOT($W89=0),"",SUMIFS('Val-Vol (2)'!AE$4:AE$1116,'Val-Vol (2)'!$A$4:$A$1116,$D89,'Val-Vol (2)'!$V$4:$V$1116,$V89)/SUMIFS('Comp2016-2017 (3)'!$G$5:$G$289,'Comp2016-2017 (3)'!$A$5:$A$289,$D89,'Comp2016-2017 (3)'!$R$5:$R$289,$V89)*$AB89))</f>
        <v/>
      </c>
      <c r="AF89" s="2" t="str">
        <f>IF($W89=AF$3,$AB89,IF(NOT($W89=0),"",SUMIFS('Val-Vol (2)'!AF$4:AF$1116,'Val-Vol (2)'!$A$4:$A$1116,$D89,'Val-Vol (2)'!$V$4:$V$1116,$V89)/SUMIFS('Comp2016-2017 (3)'!$G$5:$G$289,'Comp2016-2017 (3)'!$A$5:$A$289,$D89,'Comp2016-2017 (3)'!$R$5:$R$289,$V89)*$AB89))</f>
        <v/>
      </c>
      <c r="AG89" s="2" t="str">
        <f>IF($W89=AG$3,$AB89,IF(NOT($W89=0),"",SUMIFS('Val-Vol (2)'!AG$4:AG$1116,'Val-Vol (2)'!$A$4:$A$1116,$D89,'Val-Vol (2)'!$V$4:$V$1116,$V89)/SUMIFS('Comp2016-2017 (3)'!$G$5:$G$289,'Comp2016-2017 (3)'!$A$5:$A$289,$D89,'Comp2016-2017 (3)'!$R$5:$R$289,$V89)*$AB89))</f>
        <v/>
      </c>
      <c r="AH89" s="2" t="str">
        <f>IF($W89=AH$3,$AB89,IF(NOT($W89=0),"",SUMIFS('Val-Vol (2)'!AH$4:AH$1116,'Val-Vol (2)'!$A$4:$A$1116,$D89,'Val-Vol (2)'!$V$4:$V$1116,$V89)/SUMIFS('Comp2016-2017 (3)'!$G$5:$G$289,'Comp2016-2017 (3)'!$A$5:$A$289,$D89,'Comp2016-2017 (3)'!$R$5:$R$289,$V89)*$AB89))</f>
        <v/>
      </c>
      <c r="AI89" s="2">
        <f>IF($W89=AI$3,$AB89,IF(NOT($W89=0),"",SUMIFS('Val-Vol (2)'!AI$4:AI$1116,'Val-Vol (2)'!$A$4:$A$1116,$D89,'Val-Vol (2)'!$V$4:$V$1116,$V89)/SUMIFS('Comp2016-2017 (3)'!$G$5:$G$289,'Comp2016-2017 (3)'!$A$5:$A$289,$D89,'Comp2016-2017 (3)'!$R$5:$R$289,$V89)*$AB89))</f>
        <v>4179.1484437715681</v>
      </c>
      <c r="AJ89" s="2" t="str">
        <f>IF($W89=AJ$3,$AB89,IF(NOT($W89=0),"",SUMIFS('Val-Vol (2)'!AJ$4:AJ$1116,'Val-Vol (2)'!$A$4:$A$1116,$D89,'Val-Vol (2)'!$V$4:$V$1116,$V89)/SUMIFS('Comp2016-2017 (3)'!$G$5:$G$289,'Comp2016-2017 (3)'!$A$5:$A$289,$D89,'Comp2016-2017 (3)'!$R$5:$R$289,$V89)*$AB89))</f>
        <v/>
      </c>
      <c r="AK89" s="2">
        <f t="shared" si="10"/>
        <v>0</v>
      </c>
      <c r="AL89" t="str">
        <f t="shared" si="7"/>
        <v/>
      </c>
      <c r="AM89" t="str">
        <f>VLOOKUP(A89,'Table corresp.'!$M$4:$U$63,8,FALSE)</f>
        <v>Production intermédiaire</v>
      </c>
      <c r="AN89" t="str">
        <f>VLOOKUP(D89,'Table corresp.'!$M$4:$U$63,9,FALSE)</f>
        <v>Production finale</v>
      </c>
    </row>
    <row r="90" spans="1:40" x14ac:dyDescent="0.25">
      <c r="A90" t="s">
        <v>5</v>
      </c>
      <c r="B90" t="str">
        <f>VLOOKUP(LEFT(A90,3),'Table corresp.'!$A$4:$D$63,3,FALSE)</f>
        <v>Transformation</v>
      </c>
      <c r="C90" t="str">
        <f>VLOOKUP(A90,'Table corresp.'!$M$4:$P$63,4,FALSE)</f>
        <v>Production et transformation de produits bois</v>
      </c>
      <c r="D90" t="s">
        <v>19</v>
      </c>
      <c r="E90" t="str">
        <f>VLOOKUP(LEFT(D90,3),'Table corresp.'!$A$4:$D$63,4,FALSE)</f>
        <v>Transformation</v>
      </c>
      <c r="F90" t="str">
        <f t="shared" si="6"/>
        <v xml:space="preserve">09  - 52 </v>
      </c>
      <c r="G90" s="1">
        <v>10099.619000000001</v>
      </c>
      <c r="H90" s="1">
        <v>400.38099999999997</v>
      </c>
      <c r="I90" s="1">
        <v>10500</v>
      </c>
      <c r="J90" s="1">
        <v>72.052024035767062</v>
      </c>
      <c r="K90" s="1">
        <v>1.0992036414042397</v>
      </c>
      <c r="L90" s="1">
        <v>73.151227677171306</v>
      </c>
      <c r="M90" s="1">
        <v>0</v>
      </c>
      <c r="N90" s="1">
        <v>0</v>
      </c>
      <c r="O90" s="1">
        <v>0</v>
      </c>
      <c r="P90" s="1">
        <v>0</v>
      </c>
      <c r="Q90" s="1">
        <v>0</v>
      </c>
      <c r="R90" s="1">
        <v>0</v>
      </c>
      <c r="S90" s="67"/>
      <c r="T90">
        <f>VLOOKUP(A90,'Groupe de branches'!$Z$27:$AM$86,14,FALSE)</f>
        <v>0</v>
      </c>
      <c r="U90">
        <f>VLOOKUP(D90,'Groupe de branches'!$Z$27:$AM$86,14,FALSE)</f>
        <v>0</v>
      </c>
      <c r="V90">
        <v>2016</v>
      </c>
      <c r="W90" t="str">
        <f>VLOOKUP(D90,'Table corresp.'!$M$4:$S$63,7,FALSE)</f>
        <v>Construction</v>
      </c>
      <c r="X90" s="167">
        <f>IFERROR(G90/SUMIFS('Comp2016-2017 (3)'!$I$5:$I$289,'Comp2016-2017 (3)'!$A$5:$A$289,A90,'Comp2016-2017 (3)'!$R$5:$R$289,V90),0)</f>
        <v>0.10219950051525012</v>
      </c>
      <c r="Y90" s="178">
        <f>IFERROR(IF(RIGHT(F90,3)="Exp",VLOOKUP(F90,#REF!,2,FALSE),VLOOKUP(F90,#REF!,9,FALSE)),1)</f>
        <v>1</v>
      </c>
      <c r="Z90" s="167">
        <f t="shared" si="8"/>
        <v>8.3333333333333329E-2</v>
      </c>
      <c r="AA90" s="189">
        <f t="shared" si="9"/>
        <v>8.5166250429375093E-3</v>
      </c>
      <c r="AB90" s="2">
        <f>IFERROR(SUMIFS('Comp2016-2017 (3)'!$G$5:$G$289,'Comp2016-2017 (3)'!$A$5:$A$289,A90,'Comp2016-2017 (3)'!$R$5:$R$289,V90)*AA90/SUMIFS($AA$4:$AA$1116,$A$4:$A$1116,A90,$V$4:$V$1116,V90),0)</f>
        <v>2595.6156167035333</v>
      </c>
      <c r="AC90" s="2" t="str">
        <f>IF($W90=AC$3,$AB90,IF(NOT($W90=0),"",SUMIFS('Val-Vol (2)'!AC$4:AC$1116,'Val-Vol (2)'!$A$4:$A$1116,$D90,'Val-Vol (2)'!$V$4:$V$1116,$V90)/SUMIFS('Comp2016-2017 (3)'!$G$5:$G$289,'Comp2016-2017 (3)'!$A$5:$A$289,$D90,'Comp2016-2017 (3)'!$R$5:$R$289,$V90)*$AB90))</f>
        <v/>
      </c>
      <c r="AD90" s="2">
        <f>IF($W90=AD$3,$AB90,IF(NOT($W90=0),"",SUMIFS('Val-Vol (2)'!AD$4:AD$1116,'Val-Vol (2)'!$A$4:$A$1116,$D90,'Val-Vol (2)'!$V$4:$V$1116,$V90)/SUMIFS('Comp2016-2017 (3)'!$G$5:$G$289,'Comp2016-2017 (3)'!$A$5:$A$289,$D90,'Comp2016-2017 (3)'!$R$5:$R$289,$V90)*$AB90))</f>
        <v>2595.6156167035333</v>
      </c>
      <c r="AE90" s="2" t="str">
        <f>IF($W90=AE$3,$AB90,IF(NOT($W90=0),"",SUMIFS('Val-Vol (2)'!AE$4:AE$1116,'Val-Vol (2)'!$A$4:$A$1116,$D90,'Val-Vol (2)'!$V$4:$V$1116,$V90)/SUMIFS('Comp2016-2017 (3)'!$G$5:$G$289,'Comp2016-2017 (3)'!$A$5:$A$289,$D90,'Comp2016-2017 (3)'!$R$5:$R$289,$V90)*$AB90))</f>
        <v/>
      </c>
      <c r="AF90" s="2" t="str">
        <f>IF($W90=AF$3,$AB90,IF(NOT($W90=0),"",SUMIFS('Val-Vol (2)'!AF$4:AF$1116,'Val-Vol (2)'!$A$4:$A$1116,$D90,'Val-Vol (2)'!$V$4:$V$1116,$V90)/SUMIFS('Comp2016-2017 (3)'!$G$5:$G$289,'Comp2016-2017 (3)'!$A$5:$A$289,$D90,'Comp2016-2017 (3)'!$R$5:$R$289,$V90)*$AB90))</f>
        <v/>
      </c>
      <c r="AG90" s="2" t="str">
        <f>IF($W90=AG$3,$AB90,IF(NOT($W90=0),"",SUMIFS('Val-Vol (2)'!AG$4:AG$1116,'Val-Vol (2)'!$A$4:$A$1116,$D90,'Val-Vol (2)'!$V$4:$V$1116,$V90)/SUMIFS('Comp2016-2017 (3)'!$G$5:$G$289,'Comp2016-2017 (3)'!$A$5:$A$289,$D90,'Comp2016-2017 (3)'!$R$5:$R$289,$V90)*$AB90))</f>
        <v/>
      </c>
      <c r="AH90" s="2" t="str">
        <f>IF($W90=AH$3,$AB90,IF(NOT($W90=0),"",SUMIFS('Val-Vol (2)'!AH$4:AH$1116,'Val-Vol (2)'!$A$4:$A$1116,$D90,'Val-Vol (2)'!$V$4:$V$1116,$V90)/SUMIFS('Comp2016-2017 (3)'!$G$5:$G$289,'Comp2016-2017 (3)'!$A$5:$A$289,$D90,'Comp2016-2017 (3)'!$R$5:$R$289,$V90)*$AB90))</f>
        <v/>
      </c>
      <c r="AI90" s="2" t="str">
        <f>IF($W90=AI$3,$AB90,IF(NOT($W90=0),"",SUMIFS('Val-Vol (2)'!AI$4:AI$1116,'Val-Vol (2)'!$A$4:$A$1116,$D90,'Val-Vol (2)'!$V$4:$V$1116,$V90)/SUMIFS('Comp2016-2017 (3)'!$G$5:$G$289,'Comp2016-2017 (3)'!$A$5:$A$289,$D90,'Comp2016-2017 (3)'!$R$5:$R$289,$V90)*$AB90))</f>
        <v/>
      </c>
      <c r="AJ90" s="2" t="str">
        <f>IF($W90=AJ$3,$AB90,IF(NOT($W90=0),"",SUMIFS('Val-Vol (2)'!AJ$4:AJ$1116,'Val-Vol (2)'!$A$4:$A$1116,$D90,'Val-Vol (2)'!$V$4:$V$1116,$V90)/SUMIFS('Comp2016-2017 (3)'!$G$5:$G$289,'Comp2016-2017 (3)'!$A$5:$A$289,$D90,'Comp2016-2017 (3)'!$R$5:$R$289,$V90)*$AB90))</f>
        <v/>
      </c>
      <c r="AK90" s="2">
        <f t="shared" si="10"/>
        <v>0</v>
      </c>
      <c r="AL90" t="str">
        <f t="shared" si="7"/>
        <v/>
      </c>
      <c r="AM90" t="str">
        <f>VLOOKUP(A90,'Table corresp.'!$M$4:$U$63,8,FALSE)</f>
        <v>Production intermédiaire</v>
      </c>
      <c r="AN90" t="str">
        <f>VLOOKUP(D90,'Table corresp.'!$M$4:$U$63,9,FALSE)</f>
        <v xml:space="preserve">Mise en œuvre </v>
      </c>
    </row>
    <row r="91" spans="1:40" x14ac:dyDescent="0.25">
      <c r="A91" t="s">
        <v>5</v>
      </c>
      <c r="B91" t="str">
        <f>VLOOKUP(LEFT(A91,3),'Table corresp.'!$A$4:$D$63,3,FALSE)</f>
        <v>Transformation</v>
      </c>
      <c r="C91" t="str">
        <f>VLOOKUP(A91,'Table corresp.'!$M$4:$P$63,4,FALSE)</f>
        <v>Production et transformation de produits bois</v>
      </c>
      <c r="D91" t="s">
        <v>21</v>
      </c>
      <c r="E91" t="str">
        <f>VLOOKUP(LEFT(D91,3),'Table corresp.'!$A$4:$D$63,4,FALSE)</f>
        <v>Transformation</v>
      </c>
      <c r="F91" t="str">
        <f t="shared" si="6"/>
        <v xml:space="preserve">09  - 54 </v>
      </c>
      <c r="G91" s="1">
        <v>17493</v>
      </c>
      <c r="H91" s="1">
        <v>357</v>
      </c>
      <c r="I91" s="1">
        <v>17850</v>
      </c>
      <c r="J91" s="1">
        <v>72.798475493677131</v>
      </c>
      <c r="K91" s="1">
        <v>0.5717283245769228</v>
      </c>
      <c r="L91" s="1">
        <v>73.370203818254055</v>
      </c>
      <c r="M91" s="1">
        <v>0</v>
      </c>
      <c r="N91" s="1">
        <v>0</v>
      </c>
      <c r="O91" s="1">
        <v>0</v>
      </c>
      <c r="P91" s="1">
        <v>0</v>
      </c>
      <c r="Q91" s="1">
        <v>0</v>
      </c>
      <c r="R91" s="1">
        <v>0</v>
      </c>
      <c r="S91" s="67"/>
      <c r="T91">
        <f>VLOOKUP(A91,'Groupe de branches'!$Z$27:$AM$86,14,FALSE)</f>
        <v>0</v>
      </c>
      <c r="U91">
        <f>VLOOKUP(D91,'Groupe de branches'!$Z$27:$AM$86,14,FALSE)</f>
        <v>0</v>
      </c>
      <c r="V91">
        <v>2016</v>
      </c>
      <c r="W91" t="str">
        <f>VLOOKUP(D91,'Table corresp.'!$M$4:$S$63,7,FALSE)</f>
        <v>Construction</v>
      </c>
      <c r="X91" s="167">
        <f>IFERROR(G91/SUMIFS('Comp2016-2017 (3)'!$I$5:$I$289,'Comp2016-2017 (3)'!$A$5:$A$289,A91,'Comp2016-2017 (3)'!$R$5:$R$289,V91),0)</f>
        <v>0.17701418860585436</v>
      </c>
      <c r="Y91" s="178">
        <f>IFERROR(IF(RIGHT(F91,3)="Exp",VLOOKUP(F91,#REF!,2,FALSE),VLOOKUP(F91,#REF!,9,FALSE)),1)</f>
        <v>1</v>
      </c>
      <c r="Z91" s="167">
        <f t="shared" si="8"/>
        <v>8.3333333333333329E-2</v>
      </c>
      <c r="AA91" s="189">
        <f t="shared" si="9"/>
        <v>1.4751182383821195E-2</v>
      </c>
      <c r="AB91" s="2">
        <f>IFERROR(SUMIFS('Comp2016-2017 (3)'!$G$5:$G$289,'Comp2016-2017 (3)'!$A$5:$A$289,A91,'Comp2016-2017 (3)'!$R$5:$R$289,V91)*AA91/SUMIFS($AA$4:$AA$1116,$A$4:$A$1116,A91,$V$4:$V$1116,V91),0)</f>
        <v>4495.7244409907844</v>
      </c>
      <c r="AC91" s="2" t="str">
        <f>IF($W91=AC$3,$AB91,IF(NOT($W91=0),"",SUMIFS('Val-Vol (2)'!AC$4:AC$1116,'Val-Vol (2)'!$A$4:$A$1116,$D91,'Val-Vol (2)'!$V$4:$V$1116,$V91)/SUMIFS('Comp2016-2017 (3)'!$G$5:$G$289,'Comp2016-2017 (3)'!$A$5:$A$289,$D91,'Comp2016-2017 (3)'!$R$5:$R$289,$V91)*$AB91))</f>
        <v/>
      </c>
      <c r="AD91" s="2">
        <f>IF($W91=AD$3,$AB91,IF(NOT($W91=0),"",SUMIFS('Val-Vol (2)'!AD$4:AD$1116,'Val-Vol (2)'!$A$4:$A$1116,$D91,'Val-Vol (2)'!$V$4:$V$1116,$V91)/SUMIFS('Comp2016-2017 (3)'!$G$5:$G$289,'Comp2016-2017 (3)'!$A$5:$A$289,$D91,'Comp2016-2017 (3)'!$R$5:$R$289,$V91)*$AB91))</f>
        <v>4495.7244409907844</v>
      </c>
      <c r="AE91" s="2" t="str">
        <f>IF($W91=AE$3,$AB91,IF(NOT($W91=0),"",SUMIFS('Val-Vol (2)'!AE$4:AE$1116,'Val-Vol (2)'!$A$4:$A$1116,$D91,'Val-Vol (2)'!$V$4:$V$1116,$V91)/SUMIFS('Comp2016-2017 (3)'!$G$5:$G$289,'Comp2016-2017 (3)'!$A$5:$A$289,$D91,'Comp2016-2017 (3)'!$R$5:$R$289,$V91)*$AB91))</f>
        <v/>
      </c>
      <c r="AF91" s="2" t="str">
        <f>IF($W91=AF$3,$AB91,IF(NOT($W91=0),"",SUMIFS('Val-Vol (2)'!AF$4:AF$1116,'Val-Vol (2)'!$A$4:$A$1116,$D91,'Val-Vol (2)'!$V$4:$V$1116,$V91)/SUMIFS('Comp2016-2017 (3)'!$G$5:$G$289,'Comp2016-2017 (3)'!$A$5:$A$289,$D91,'Comp2016-2017 (3)'!$R$5:$R$289,$V91)*$AB91))</f>
        <v/>
      </c>
      <c r="AG91" s="2" t="str">
        <f>IF($W91=AG$3,$AB91,IF(NOT($W91=0),"",SUMIFS('Val-Vol (2)'!AG$4:AG$1116,'Val-Vol (2)'!$A$4:$A$1116,$D91,'Val-Vol (2)'!$V$4:$V$1116,$V91)/SUMIFS('Comp2016-2017 (3)'!$G$5:$G$289,'Comp2016-2017 (3)'!$A$5:$A$289,$D91,'Comp2016-2017 (3)'!$R$5:$R$289,$V91)*$AB91))</f>
        <v/>
      </c>
      <c r="AH91" s="2" t="str">
        <f>IF($W91=AH$3,$AB91,IF(NOT($W91=0),"",SUMIFS('Val-Vol (2)'!AH$4:AH$1116,'Val-Vol (2)'!$A$4:$A$1116,$D91,'Val-Vol (2)'!$V$4:$V$1116,$V91)/SUMIFS('Comp2016-2017 (3)'!$G$5:$G$289,'Comp2016-2017 (3)'!$A$5:$A$289,$D91,'Comp2016-2017 (3)'!$R$5:$R$289,$V91)*$AB91))</f>
        <v/>
      </c>
      <c r="AI91" s="2" t="str">
        <f>IF($W91=AI$3,$AB91,IF(NOT($W91=0),"",SUMIFS('Val-Vol (2)'!AI$4:AI$1116,'Val-Vol (2)'!$A$4:$A$1116,$D91,'Val-Vol (2)'!$V$4:$V$1116,$V91)/SUMIFS('Comp2016-2017 (3)'!$G$5:$G$289,'Comp2016-2017 (3)'!$A$5:$A$289,$D91,'Comp2016-2017 (3)'!$R$5:$R$289,$V91)*$AB91))</f>
        <v/>
      </c>
      <c r="AJ91" s="2" t="str">
        <f>IF($W91=AJ$3,$AB91,IF(NOT($W91=0),"",SUMIFS('Val-Vol (2)'!AJ$4:AJ$1116,'Val-Vol (2)'!$A$4:$A$1116,$D91,'Val-Vol (2)'!$V$4:$V$1116,$V91)/SUMIFS('Comp2016-2017 (3)'!$G$5:$G$289,'Comp2016-2017 (3)'!$A$5:$A$289,$D91,'Comp2016-2017 (3)'!$R$5:$R$289,$V91)*$AB91))</f>
        <v/>
      </c>
      <c r="AK91" s="2">
        <f t="shared" si="10"/>
        <v>0</v>
      </c>
      <c r="AL91" t="str">
        <f t="shared" si="7"/>
        <v/>
      </c>
      <c r="AM91" t="str">
        <f>VLOOKUP(A91,'Table corresp.'!$M$4:$U$63,8,FALSE)</f>
        <v>Production intermédiaire</v>
      </c>
      <c r="AN91" t="str">
        <f>VLOOKUP(D91,'Table corresp.'!$M$4:$U$63,9,FALSE)</f>
        <v xml:space="preserve">Mise en œuvre </v>
      </c>
    </row>
    <row r="92" spans="1:40" x14ac:dyDescent="0.25">
      <c r="A92" t="s">
        <v>5</v>
      </c>
      <c r="B92" t="str">
        <f>VLOOKUP(LEFT(A92,3),'Table corresp.'!$A$4:$D$63,3,FALSE)</f>
        <v>Transformation</v>
      </c>
      <c r="C92" t="str">
        <f>VLOOKUP(A92,'Table corresp.'!$M$4:$P$63,4,FALSE)</f>
        <v>Production et transformation de produits bois</v>
      </c>
      <c r="D92" t="s">
        <v>22</v>
      </c>
      <c r="E92" t="str">
        <f>VLOOKUP(LEFT(D92,3),'Table corresp.'!$A$4:$D$63,4,FALSE)</f>
        <v>Transformation</v>
      </c>
      <c r="F92" t="str">
        <f t="shared" si="6"/>
        <v xml:space="preserve">09  - 55 </v>
      </c>
      <c r="G92" s="1">
        <v>1606.2512442763286</v>
      </c>
      <c r="H92" s="1">
        <v>0</v>
      </c>
      <c r="I92" s="1">
        <v>1606.2512442763286</v>
      </c>
      <c r="J92" s="1">
        <v>6.6845390638048778</v>
      </c>
      <c r="K92" s="1">
        <v>0</v>
      </c>
      <c r="L92" s="1">
        <v>6.6845390638048778</v>
      </c>
      <c r="M92" s="1">
        <v>0</v>
      </c>
      <c r="N92" s="1">
        <v>0</v>
      </c>
      <c r="O92" s="1">
        <v>0</v>
      </c>
      <c r="P92" s="1">
        <v>0</v>
      </c>
      <c r="Q92" s="1">
        <v>0</v>
      </c>
      <c r="R92" s="1">
        <v>0</v>
      </c>
      <c r="S92" s="67"/>
      <c r="T92">
        <f>VLOOKUP(A92,'Groupe de branches'!$Z$27:$AM$86,14,FALSE)</f>
        <v>0</v>
      </c>
      <c r="U92">
        <f>VLOOKUP(D92,'Groupe de branches'!$Z$27:$AM$86,14,FALSE)</f>
        <v>0</v>
      </c>
      <c r="V92">
        <v>2016</v>
      </c>
      <c r="W92" t="str">
        <f>VLOOKUP(D92,'Table corresp.'!$M$4:$S$63,7,FALSE)</f>
        <v>Construction</v>
      </c>
      <c r="X92" s="167">
        <f>IFERROR(G92/SUMIFS('Comp2016-2017 (3)'!$I$5:$I$289,'Comp2016-2017 (3)'!$A$5:$A$289,A92,'Comp2016-2017 (3)'!$R$5:$R$289,V92),0)</f>
        <v>1.6253887881022024E-2</v>
      </c>
      <c r="Y92" s="178">
        <f>IFERROR(IF(RIGHT(F92,3)="Exp",VLOOKUP(F92,#REF!,2,FALSE),VLOOKUP(F92,#REF!,9,FALSE)),1)</f>
        <v>1</v>
      </c>
      <c r="Z92" s="167">
        <f t="shared" si="8"/>
        <v>8.3333333333333329E-2</v>
      </c>
      <c r="AA92" s="189">
        <f t="shared" si="9"/>
        <v>1.3544906567518353E-3</v>
      </c>
      <c r="AB92" s="2">
        <f>IFERROR(SUMIFS('Comp2016-2017 (3)'!$G$5:$G$289,'Comp2016-2017 (3)'!$A$5:$A$289,A92,'Comp2016-2017 (3)'!$R$5:$R$289,V92)*AA92/SUMIFS($AA$4:$AA$1116,$A$4:$A$1116,A92,$V$4:$V$1116,V92),0)</f>
        <v>412.80872218973013</v>
      </c>
      <c r="AC92" s="2" t="str">
        <f>IF($W92=AC$3,$AB92,IF(NOT($W92=0),"",SUMIFS('Val-Vol (2)'!AC$4:AC$1116,'Val-Vol (2)'!$A$4:$A$1116,$D92,'Val-Vol (2)'!$V$4:$V$1116,$V92)/SUMIFS('Comp2016-2017 (3)'!$G$5:$G$289,'Comp2016-2017 (3)'!$A$5:$A$289,$D92,'Comp2016-2017 (3)'!$R$5:$R$289,$V92)*$AB92))</f>
        <v/>
      </c>
      <c r="AD92" s="2">
        <f>IF($W92=AD$3,$AB92,IF(NOT($W92=0),"",SUMIFS('Val-Vol (2)'!AD$4:AD$1116,'Val-Vol (2)'!$A$4:$A$1116,$D92,'Val-Vol (2)'!$V$4:$V$1116,$V92)/SUMIFS('Comp2016-2017 (3)'!$G$5:$G$289,'Comp2016-2017 (3)'!$A$5:$A$289,$D92,'Comp2016-2017 (3)'!$R$5:$R$289,$V92)*$AB92))</f>
        <v>412.80872218973013</v>
      </c>
      <c r="AE92" s="2" t="str">
        <f>IF($W92=AE$3,$AB92,IF(NOT($W92=0),"",SUMIFS('Val-Vol (2)'!AE$4:AE$1116,'Val-Vol (2)'!$A$4:$A$1116,$D92,'Val-Vol (2)'!$V$4:$V$1116,$V92)/SUMIFS('Comp2016-2017 (3)'!$G$5:$G$289,'Comp2016-2017 (3)'!$A$5:$A$289,$D92,'Comp2016-2017 (3)'!$R$5:$R$289,$V92)*$AB92))</f>
        <v/>
      </c>
      <c r="AF92" s="2" t="str">
        <f>IF($W92=AF$3,$AB92,IF(NOT($W92=0),"",SUMIFS('Val-Vol (2)'!AF$4:AF$1116,'Val-Vol (2)'!$A$4:$A$1116,$D92,'Val-Vol (2)'!$V$4:$V$1116,$V92)/SUMIFS('Comp2016-2017 (3)'!$G$5:$G$289,'Comp2016-2017 (3)'!$A$5:$A$289,$D92,'Comp2016-2017 (3)'!$R$5:$R$289,$V92)*$AB92))</f>
        <v/>
      </c>
      <c r="AG92" s="2" t="str">
        <f>IF($W92=AG$3,$AB92,IF(NOT($W92=0),"",SUMIFS('Val-Vol (2)'!AG$4:AG$1116,'Val-Vol (2)'!$A$4:$A$1116,$D92,'Val-Vol (2)'!$V$4:$V$1116,$V92)/SUMIFS('Comp2016-2017 (3)'!$G$5:$G$289,'Comp2016-2017 (3)'!$A$5:$A$289,$D92,'Comp2016-2017 (3)'!$R$5:$R$289,$V92)*$AB92))</f>
        <v/>
      </c>
      <c r="AH92" s="2" t="str">
        <f>IF($W92=AH$3,$AB92,IF(NOT($W92=0),"",SUMIFS('Val-Vol (2)'!AH$4:AH$1116,'Val-Vol (2)'!$A$4:$A$1116,$D92,'Val-Vol (2)'!$V$4:$V$1116,$V92)/SUMIFS('Comp2016-2017 (3)'!$G$5:$G$289,'Comp2016-2017 (3)'!$A$5:$A$289,$D92,'Comp2016-2017 (3)'!$R$5:$R$289,$V92)*$AB92))</f>
        <v/>
      </c>
      <c r="AI92" s="2" t="str">
        <f>IF($W92=AI$3,$AB92,IF(NOT($W92=0),"",SUMIFS('Val-Vol (2)'!AI$4:AI$1116,'Val-Vol (2)'!$A$4:$A$1116,$D92,'Val-Vol (2)'!$V$4:$V$1116,$V92)/SUMIFS('Comp2016-2017 (3)'!$G$5:$G$289,'Comp2016-2017 (3)'!$A$5:$A$289,$D92,'Comp2016-2017 (3)'!$R$5:$R$289,$V92)*$AB92))</f>
        <v/>
      </c>
      <c r="AJ92" s="2" t="str">
        <f>IF($W92=AJ$3,$AB92,IF(NOT($W92=0),"",SUMIFS('Val-Vol (2)'!AJ$4:AJ$1116,'Val-Vol (2)'!$A$4:$A$1116,$D92,'Val-Vol (2)'!$V$4:$V$1116,$V92)/SUMIFS('Comp2016-2017 (3)'!$G$5:$G$289,'Comp2016-2017 (3)'!$A$5:$A$289,$D92,'Comp2016-2017 (3)'!$R$5:$R$289,$V92)*$AB92))</f>
        <v/>
      </c>
      <c r="AK92" s="2">
        <f t="shared" si="10"/>
        <v>0</v>
      </c>
      <c r="AL92" t="str">
        <f t="shared" si="7"/>
        <v/>
      </c>
      <c r="AM92" t="str">
        <f>VLOOKUP(A92,'Table corresp.'!$M$4:$U$63,8,FALSE)</f>
        <v>Production intermédiaire</v>
      </c>
      <c r="AN92" t="str">
        <f>VLOOKUP(D92,'Table corresp.'!$M$4:$U$63,9,FALSE)</f>
        <v xml:space="preserve">Mise en œuvre </v>
      </c>
    </row>
    <row r="93" spans="1:40" x14ac:dyDescent="0.25">
      <c r="A93" t="s">
        <v>5</v>
      </c>
      <c r="B93" t="str">
        <f>VLOOKUP(LEFT(A93,3),'Table corresp.'!$A$4:$D$63,3,FALSE)</f>
        <v>Transformation</v>
      </c>
      <c r="C93" t="str">
        <f>VLOOKUP(A93,'Table corresp.'!$M$4:$P$63,4,FALSE)</f>
        <v>Production et transformation de produits bois</v>
      </c>
      <c r="D93" t="s">
        <v>54</v>
      </c>
      <c r="E93" t="str">
        <f>VLOOKUP(LEFT(D93,3),'Table corresp.'!$A$4:$D$63,4,FALSE)</f>
        <v>Consommation finale</v>
      </c>
      <c r="F93" t="str">
        <f t="shared" si="6"/>
        <v>09  - Con</v>
      </c>
      <c r="G93" s="1">
        <v>2195.13</v>
      </c>
      <c r="H93" s="1">
        <v>696.255</v>
      </c>
      <c r="I93" s="1">
        <v>2891.3850000000002</v>
      </c>
      <c r="J93" s="1">
        <v>19.749850665949108</v>
      </c>
      <c r="K93" s="1">
        <v>3.8990756919554168</v>
      </c>
      <c r="L93" s="1">
        <v>23.648926357904525</v>
      </c>
      <c r="M93" s="1">
        <v>0</v>
      </c>
      <c r="N93" s="1">
        <v>0</v>
      </c>
      <c r="O93" s="1">
        <v>0</v>
      </c>
      <c r="P93" s="1">
        <v>0</v>
      </c>
      <c r="Q93" s="1">
        <v>0</v>
      </c>
      <c r="R93" s="1">
        <v>0</v>
      </c>
      <c r="S93" s="67"/>
      <c r="T93">
        <f>VLOOKUP(A93,'Groupe de branches'!$Z$27:$AM$86,14,FALSE)</f>
        <v>0</v>
      </c>
      <c r="U93">
        <f>VLOOKUP(D93,'Groupe de branches'!$Z$27:$AM$86,14,FALSE)</f>
        <v>0</v>
      </c>
      <c r="V93">
        <v>2016</v>
      </c>
      <c r="W93" t="str">
        <f>VLOOKUP(D93,'Table corresp.'!$M$4:$S$63,7,FALSE)</f>
        <v>Consommation finale</v>
      </c>
      <c r="X93" s="167">
        <f>IFERROR(G93/SUMIFS('Comp2016-2017 (3)'!$I$5:$I$289,'Comp2016-2017 (3)'!$A$5:$A$289,A93,'Comp2016-2017 (3)'!$R$5:$R$289,V93),0)</f>
        <v>2.2212836896722637E-2</v>
      </c>
      <c r="Y93" s="178">
        <f>IFERROR(IF(RIGHT(F93,3)="Exp",VLOOKUP(F93,#REF!,2,FALSE),VLOOKUP(F93,#REF!,9,FALSE)),1)</f>
        <v>1</v>
      </c>
      <c r="Z93" s="167">
        <f t="shared" si="8"/>
        <v>8.3333333333333329E-2</v>
      </c>
      <c r="AA93" s="189">
        <f t="shared" si="9"/>
        <v>1.851069741393553E-3</v>
      </c>
      <c r="AB93" s="2">
        <f>IFERROR(SUMIFS('Comp2016-2017 (3)'!$G$5:$G$289,'Comp2016-2017 (3)'!$A$5:$A$289,A93,'Comp2016-2017 (3)'!$R$5:$R$289,V93)*AA93/SUMIFS($AA$4:$AA$1116,$A$4:$A$1116,A93,$V$4:$V$1116,V93),0)</f>
        <v>564.15135152072833</v>
      </c>
      <c r="AC93" s="2" t="str">
        <f>IF($W93=AC$3,$AB93,IF(NOT($W93=0),"",SUMIFS('Val-Vol (2)'!AC$4:AC$1116,'Val-Vol (2)'!$A$4:$A$1116,$D93,'Val-Vol (2)'!$V$4:$V$1116,$V93)/SUMIFS('Comp2016-2017 (3)'!$G$5:$G$289,'Comp2016-2017 (3)'!$A$5:$A$289,$D93,'Comp2016-2017 (3)'!$R$5:$R$289,$V93)*$AB93))</f>
        <v/>
      </c>
      <c r="AD93" s="2" t="str">
        <f>IF($W93=AD$3,$AB93,IF(NOT($W93=0),"",SUMIFS('Val-Vol (2)'!AD$4:AD$1116,'Val-Vol (2)'!$A$4:$A$1116,$D93,'Val-Vol (2)'!$V$4:$V$1116,$V93)/SUMIFS('Comp2016-2017 (3)'!$G$5:$G$289,'Comp2016-2017 (3)'!$A$5:$A$289,$D93,'Comp2016-2017 (3)'!$R$5:$R$289,$V93)*$AB93))</f>
        <v/>
      </c>
      <c r="AE93" s="2" t="str">
        <f>IF($W93=AE$3,$AB93,IF(NOT($W93=0),"",SUMIFS('Val-Vol (2)'!AE$4:AE$1116,'Val-Vol (2)'!$A$4:$A$1116,$D93,'Val-Vol (2)'!$V$4:$V$1116,$V93)/SUMIFS('Comp2016-2017 (3)'!$G$5:$G$289,'Comp2016-2017 (3)'!$A$5:$A$289,$D93,'Comp2016-2017 (3)'!$R$5:$R$289,$V93)*$AB93))</f>
        <v/>
      </c>
      <c r="AF93" s="2" t="str">
        <f>IF($W93=AF$3,$AB93,IF(NOT($W93=0),"",SUMIFS('Val-Vol (2)'!AF$4:AF$1116,'Val-Vol (2)'!$A$4:$A$1116,$D93,'Val-Vol (2)'!$V$4:$V$1116,$V93)/SUMIFS('Comp2016-2017 (3)'!$G$5:$G$289,'Comp2016-2017 (3)'!$A$5:$A$289,$D93,'Comp2016-2017 (3)'!$R$5:$R$289,$V93)*$AB93))</f>
        <v/>
      </c>
      <c r="AG93" s="2" t="str">
        <f>IF($W93=AG$3,$AB93,IF(NOT($W93=0),"",SUMIFS('Val-Vol (2)'!AG$4:AG$1116,'Val-Vol (2)'!$A$4:$A$1116,$D93,'Val-Vol (2)'!$V$4:$V$1116,$V93)/SUMIFS('Comp2016-2017 (3)'!$G$5:$G$289,'Comp2016-2017 (3)'!$A$5:$A$289,$D93,'Comp2016-2017 (3)'!$R$5:$R$289,$V93)*$AB93))</f>
        <v/>
      </c>
      <c r="AH93" s="2" t="str">
        <f>IF($W93=AH$3,$AB93,IF(NOT($W93=0),"",SUMIFS('Val-Vol (2)'!AH$4:AH$1116,'Val-Vol (2)'!$A$4:$A$1116,$D93,'Val-Vol (2)'!$V$4:$V$1116,$V93)/SUMIFS('Comp2016-2017 (3)'!$G$5:$G$289,'Comp2016-2017 (3)'!$A$5:$A$289,$D93,'Comp2016-2017 (3)'!$R$5:$R$289,$V93)*$AB93))</f>
        <v/>
      </c>
      <c r="AI93" s="2" t="str">
        <f>IF($W93=AI$3,$AB93,IF(NOT($W93=0),"",SUMIFS('Val-Vol (2)'!AI$4:AI$1116,'Val-Vol (2)'!$A$4:$A$1116,$D93,'Val-Vol (2)'!$V$4:$V$1116,$V93)/SUMIFS('Comp2016-2017 (3)'!$G$5:$G$289,'Comp2016-2017 (3)'!$A$5:$A$289,$D93,'Comp2016-2017 (3)'!$R$5:$R$289,$V93)*$AB93))</f>
        <v/>
      </c>
      <c r="AJ93" s="2">
        <f>IF($W93=AJ$3,$AB93,IF(NOT($W93=0),"",SUMIFS('Val-Vol (2)'!AJ$4:AJ$1116,'Val-Vol (2)'!$A$4:$A$1116,$D93,'Val-Vol (2)'!$V$4:$V$1116,$V93)/SUMIFS('Comp2016-2017 (3)'!$G$5:$G$289,'Comp2016-2017 (3)'!$A$5:$A$289,$D93,'Comp2016-2017 (3)'!$R$5:$R$289,$V93)*$AB93))</f>
        <v>564.15135152072833</v>
      </c>
      <c r="AK93" s="2">
        <f t="shared" si="10"/>
        <v>0</v>
      </c>
      <c r="AL93" t="str">
        <f t="shared" si="7"/>
        <v/>
      </c>
      <c r="AM93" t="str">
        <f>VLOOKUP(A93,'Table corresp.'!$M$4:$U$63,8,FALSE)</f>
        <v>Production intermédiaire</v>
      </c>
      <c r="AN93" t="str">
        <f>VLOOKUP(D93,'Table corresp.'!$M$4:$U$63,9,FALSE)</f>
        <v>Consommation finale française</v>
      </c>
    </row>
    <row r="94" spans="1:40" x14ac:dyDescent="0.25">
      <c r="A94" t="s">
        <v>5</v>
      </c>
      <c r="B94" t="str">
        <f>VLOOKUP(LEFT(A94,3),'Table corresp.'!$A$4:$D$63,3,FALSE)</f>
        <v>Transformation</v>
      </c>
      <c r="C94" t="str">
        <f>VLOOKUP(A94,'Table corresp.'!$M$4:$P$63,4,FALSE)</f>
        <v>Production et transformation de produits bois</v>
      </c>
      <c r="D94" t="s">
        <v>53</v>
      </c>
      <c r="E94" t="str">
        <f>VLOOKUP(LEFT(D94,3),'Table corresp.'!$A$4:$D$63,4,FALSE)</f>
        <v>Exportation</v>
      </c>
      <c r="F94" t="str">
        <f t="shared" si="6"/>
        <v>09  - Exp</v>
      </c>
      <c r="G94" s="1">
        <v>30911.38</v>
      </c>
      <c r="H94" s="1">
        <v>0</v>
      </c>
      <c r="I94" s="1">
        <v>30911.38</v>
      </c>
      <c r="J94" s="1">
        <v>266.08343430714211</v>
      </c>
      <c r="K94" s="1">
        <v>0</v>
      </c>
      <c r="L94" s="1">
        <v>266.08343430714211</v>
      </c>
      <c r="M94" s="1">
        <v>0</v>
      </c>
      <c r="N94" s="1">
        <v>0</v>
      </c>
      <c r="O94" s="1">
        <v>0</v>
      </c>
      <c r="P94" s="1">
        <v>0</v>
      </c>
      <c r="Q94" s="1">
        <v>0</v>
      </c>
      <c r="R94" s="1">
        <v>0</v>
      </c>
      <c r="S94" s="67"/>
      <c r="T94">
        <f>VLOOKUP(A94,'Groupe de branches'!$Z$27:$AM$86,14,FALSE)</f>
        <v>0</v>
      </c>
      <c r="U94">
        <f>VLOOKUP(D94,'Groupe de branches'!$Z$27:$AM$86,14,FALSE)</f>
        <v>0</v>
      </c>
      <c r="V94">
        <v>2016</v>
      </c>
      <c r="W94" t="str">
        <f>VLOOKUP(D94,'Table corresp.'!$M$4:$S$63,7,FALSE)</f>
        <v>Exportation</v>
      </c>
      <c r="X94" s="167">
        <f>IFERROR(G94/SUMIFS('Comp2016-2017 (3)'!$I$5:$I$289,'Comp2016-2017 (3)'!$A$5:$A$289,A94,'Comp2016-2017 (3)'!$R$5:$R$289,V94),0)</f>
        <v>0.3127967100775873</v>
      </c>
      <c r="Y94" s="178">
        <f>IFERROR(IF(RIGHT(F94,3)="Exp",VLOOKUP(F94,#REF!,2,FALSE),VLOOKUP(F94,#REF!,9,FALSE)),1)</f>
        <v>1</v>
      </c>
      <c r="Z94" s="167">
        <f t="shared" si="8"/>
        <v>8.3333333333333329E-2</v>
      </c>
      <c r="AA94" s="189">
        <f t="shared" si="9"/>
        <v>2.6066392506465606E-2</v>
      </c>
      <c r="AB94" s="2">
        <f>IFERROR(SUMIFS('Comp2016-2017 (3)'!$G$5:$G$289,'Comp2016-2017 (3)'!$A$5:$A$289,A94,'Comp2016-2017 (3)'!$R$5:$R$289,V94)*AA94/SUMIFS($AA$4:$AA$1116,$A$4:$A$1116,A94,$V$4:$V$1116,V94),0)</f>
        <v>7944.2660819044031</v>
      </c>
      <c r="AC94" s="2">
        <f>IF($W94=AC$3,$AB94,IF(NOT($W94=0),"",SUMIFS('Val-Vol (2)'!AC$4:AC$1116,'Val-Vol (2)'!$A$4:$A$1116,$D94,'Val-Vol (2)'!$V$4:$V$1116,$V94)/SUMIFS('Comp2016-2017 (3)'!$G$5:$G$289,'Comp2016-2017 (3)'!$A$5:$A$289,$D94,'Comp2016-2017 (3)'!$R$5:$R$289,$V94)*$AB94))</f>
        <v>7944.2660819044031</v>
      </c>
      <c r="AD94" s="2" t="str">
        <f>IF($W94=AD$3,$AB94,IF(NOT($W94=0),"",SUMIFS('Val-Vol (2)'!AD$4:AD$1116,'Val-Vol (2)'!$A$4:$A$1116,$D94,'Val-Vol (2)'!$V$4:$V$1116,$V94)/SUMIFS('Comp2016-2017 (3)'!$G$5:$G$289,'Comp2016-2017 (3)'!$A$5:$A$289,$D94,'Comp2016-2017 (3)'!$R$5:$R$289,$V94)*$AB94))</f>
        <v/>
      </c>
      <c r="AE94" s="2" t="str">
        <f>IF($W94=AE$3,$AB94,IF(NOT($W94=0),"",SUMIFS('Val-Vol (2)'!AE$4:AE$1116,'Val-Vol (2)'!$A$4:$A$1116,$D94,'Val-Vol (2)'!$V$4:$V$1116,$V94)/SUMIFS('Comp2016-2017 (3)'!$G$5:$G$289,'Comp2016-2017 (3)'!$A$5:$A$289,$D94,'Comp2016-2017 (3)'!$R$5:$R$289,$V94)*$AB94))</f>
        <v/>
      </c>
      <c r="AF94" s="2" t="str">
        <f>IF($W94=AF$3,$AB94,IF(NOT($W94=0),"",SUMIFS('Val-Vol (2)'!AF$4:AF$1116,'Val-Vol (2)'!$A$4:$A$1116,$D94,'Val-Vol (2)'!$V$4:$V$1116,$V94)/SUMIFS('Comp2016-2017 (3)'!$G$5:$G$289,'Comp2016-2017 (3)'!$A$5:$A$289,$D94,'Comp2016-2017 (3)'!$R$5:$R$289,$V94)*$AB94))</f>
        <v/>
      </c>
      <c r="AG94" s="2" t="str">
        <f>IF($W94=AG$3,$AB94,IF(NOT($W94=0),"",SUMIFS('Val-Vol (2)'!AG$4:AG$1116,'Val-Vol (2)'!$A$4:$A$1116,$D94,'Val-Vol (2)'!$V$4:$V$1116,$V94)/SUMIFS('Comp2016-2017 (3)'!$G$5:$G$289,'Comp2016-2017 (3)'!$A$5:$A$289,$D94,'Comp2016-2017 (3)'!$R$5:$R$289,$V94)*$AB94))</f>
        <v/>
      </c>
      <c r="AH94" s="2" t="str">
        <f>IF($W94=AH$3,$AB94,IF(NOT($W94=0),"",SUMIFS('Val-Vol (2)'!AH$4:AH$1116,'Val-Vol (2)'!$A$4:$A$1116,$D94,'Val-Vol (2)'!$V$4:$V$1116,$V94)/SUMIFS('Comp2016-2017 (3)'!$G$5:$G$289,'Comp2016-2017 (3)'!$A$5:$A$289,$D94,'Comp2016-2017 (3)'!$R$5:$R$289,$V94)*$AB94))</f>
        <v/>
      </c>
      <c r="AI94" s="2" t="str">
        <f>IF($W94=AI$3,$AB94,IF(NOT($W94=0),"",SUMIFS('Val-Vol (2)'!AI$4:AI$1116,'Val-Vol (2)'!$A$4:$A$1116,$D94,'Val-Vol (2)'!$V$4:$V$1116,$V94)/SUMIFS('Comp2016-2017 (3)'!$G$5:$G$289,'Comp2016-2017 (3)'!$A$5:$A$289,$D94,'Comp2016-2017 (3)'!$R$5:$R$289,$V94)*$AB94))</f>
        <v/>
      </c>
      <c r="AJ94" s="2" t="str">
        <f>IF($W94=AJ$3,$AB94,IF(NOT($W94=0),"",SUMIFS('Val-Vol (2)'!AJ$4:AJ$1116,'Val-Vol (2)'!$A$4:$A$1116,$D94,'Val-Vol (2)'!$V$4:$V$1116,$V94)/SUMIFS('Comp2016-2017 (3)'!$G$5:$G$289,'Comp2016-2017 (3)'!$A$5:$A$289,$D94,'Comp2016-2017 (3)'!$R$5:$R$289,$V94)*$AB94))</f>
        <v/>
      </c>
      <c r="AK94" s="2">
        <f t="shared" si="10"/>
        <v>0</v>
      </c>
      <c r="AL94" t="str">
        <f t="shared" si="7"/>
        <v/>
      </c>
      <c r="AM94" t="str">
        <f>VLOOKUP(A94,'Table corresp.'!$M$4:$U$63,8,FALSE)</f>
        <v>Production intermédiaire</v>
      </c>
      <c r="AN94" t="str">
        <f>VLOOKUP(D94,'Table corresp.'!$M$4:$U$63,9,FALSE)</f>
        <v>Exportation</v>
      </c>
    </row>
    <row r="95" spans="1:40" x14ac:dyDescent="0.25">
      <c r="A95" t="s">
        <v>82</v>
      </c>
      <c r="B95" t="str">
        <f>VLOOKUP(LEFT(A95,3),'Table corresp.'!$A$4:$D$63,3,FALSE)</f>
        <v>Transformation</v>
      </c>
      <c r="C95" t="str">
        <f>VLOOKUP(A95,'Table corresp.'!$M$4:$P$63,4,FALSE)</f>
        <v>Production et transformation de produits bois</v>
      </c>
      <c r="D95" t="s">
        <v>13</v>
      </c>
      <c r="E95" t="str">
        <f>VLOOKUP(LEFT(D95,3),'Table corresp.'!$A$4:$D$63,4,FALSE)</f>
        <v>Transformation</v>
      </c>
      <c r="F95" t="str">
        <f t="shared" si="6"/>
        <v xml:space="preserve">10  - 20 </v>
      </c>
      <c r="G95" s="1">
        <v>1744.9820500000001</v>
      </c>
      <c r="H95" s="1">
        <v>842.51795000000004</v>
      </c>
      <c r="I95" s="1">
        <v>2587.5</v>
      </c>
      <c r="J95" s="1">
        <v>10.320735756226101</v>
      </c>
      <c r="K95" s="1">
        <v>2.9571192809153928</v>
      </c>
      <c r="L95" s="1">
        <v>13.277855037141494</v>
      </c>
      <c r="M95" s="1">
        <v>0</v>
      </c>
      <c r="N95" s="1">
        <v>0</v>
      </c>
      <c r="O95" s="1">
        <v>0</v>
      </c>
      <c r="P95" s="1">
        <v>0</v>
      </c>
      <c r="Q95" s="1">
        <v>0</v>
      </c>
      <c r="R95" s="1">
        <v>0</v>
      </c>
      <c r="S95" s="67"/>
      <c r="T95">
        <f>VLOOKUP(A95,'Groupe de branches'!$Z$27:$AM$86,14,FALSE)</f>
        <v>0</v>
      </c>
      <c r="U95">
        <f>VLOOKUP(D95,'Groupe de branches'!$Z$27:$AM$86,14,FALSE)</f>
        <v>0</v>
      </c>
      <c r="V95">
        <v>2016</v>
      </c>
      <c r="W95">
        <f>VLOOKUP(D95,'Table corresp.'!$M$4:$S$63,7,FALSE)</f>
        <v>0</v>
      </c>
      <c r="X95" s="167">
        <f>IFERROR(G95/SUMIFS('Comp2016-2017 (3)'!$I$5:$I$289,'Comp2016-2017 (3)'!$A$5:$A$289,A95,'Comp2016-2017 (3)'!$R$5:$R$289,V95),0)</f>
        <v>2.0802364099548925E-2</v>
      </c>
      <c r="Y95" s="178">
        <f>IFERROR(IF(RIGHT(F95,3)="Exp",VLOOKUP(F95,#REF!,2,FALSE),VLOOKUP(F95,#REF!,9,FALSE)),1)</f>
        <v>1</v>
      </c>
      <c r="Z95" s="167">
        <f t="shared" si="8"/>
        <v>7.6923076923076927E-2</v>
      </c>
      <c r="AA95" s="189">
        <f t="shared" si="9"/>
        <v>1.6001818538114558E-3</v>
      </c>
      <c r="AB95" s="2">
        <f>IFERROR(SUMIFS('Comp2016-2017 (3)'!$G$5:$G$289,'Comp2016-2017 (3)'!$A$5:$A$289,A95,'Comp2016-2017 (3)'!$R$5:$R$289,V95)*AA95/SUMIFS($AA$4:$AA$1116,$A$4:$A$1116,A95,$V$4:$V$1116,V95),0)</f>
        <v>596.31338881381077</v>
      </c>
      <c r="AC95" s="2">
        <f>IF($W95=AC$3,$AB95,IF(NOT($W95=0),"",SUMIFS('Val-Vol (2)'!AC$4:AC$1116,'Val-Vol (2)'!$A$4:$A$1116,$D95,'Val-Vol (2)'!$V$4:$V$1116,$V95)/SUMIFS('Comp2016-2017 (3)'!$G$5:$G$289,'Comp2016-2017 (3)'!$A$5:$A$289,$D95,'Comp2016-2017 (3)'!$R$5:$R$289,$V95)*$AB95))</f>
        <v>67.5719749005777</v>
      </c>
      <c r="AD95" s="2">
        <f>IF($W95=AD$3,$AB95,IF(NOT($W95=0),"",SUMIFS('Val-Vol (2)'!AD$4:AD$1116,'Val-Vol (2)'!$A$4:$A$1116,$D95,'Val-Vol (2)'!$V$4:$V$1116,$V95)/SUMIFS('Comp2016-2017 (3)'!$G$5:$G$289,'Comp2016-2017 (3)'!$A$5:$A$289,$D95,'Comp2016-2017 (3)'!$R$5:$R$289,$V95)*$AB95))</f>
        <v>321.22600826981926</v>
      </c>
      <c r="AE95" s="2">
        <f>IF($W95=AE$3,$AB95,IF(NOT($W95=0),"",SUMIFS('Val-Vol (2)'!AE$4:AE$1116,'Val-Vol (2)'!$A$4:$A$1116,$D95,'Val-Vol (2)'!$V$4:$V$1116,$V95)/SUMIFS('Comp2016-2017 (3)'!$G$5:$G$289,'Comp2016-2017 (3)'!$A$5:$A$289,$D95,'Comp2016-2017 (3)'!$R$5:$R$289,$V95)*$AB95))</f>
        <v>0</v>
      </c>
      <c r="AF95" s="2">
        <f>IF($W95=AF$3,$AB95,IF(NOT($W95=0),"",SUMIFS('Val-Vol (2)'!AF$4:AF$1116,'Val-Vol (2)'!$A$4:$A$1116,$D95,'Val-Vol (2)'!$V$4:$V$1116,$V95)/SUMIFS('Comp2016-2017 (3)'!$G$5:$G$289,'Comp2016-2017 (3)'!$A$5:$A$289,$D95,'Comp2016-2017 (3)'!$R$5:$R$289,$V95)*$AB95))</f>
        <v>0</v>
      </c>
      <c r="AG95" s="2">
        <f>IF($W95=AG$3,$AB95,IF(NOT($W95=0),"",SUMIFS('Val-Vol (2)'!AG$4:AG$1116,'Val-Vol (2)'!$A$4:$A$1116,$D95,'Val-Vol (2)'!$V$4:$V$1116,$V95)/SUMIFS('Comp2016-2017 (3)'!$G$5:$G$289,'Comp2016-2017 (3)'!$A$5:$A$289,$D95,'Comp2016-2017 (3)'!$R$5:$R$289,$V95)*$AB95))</f>
        <v>0</v>
      </c>
      <c r="AH95" s="2">
        <f>IF($W95=AH$3,$AB95,IF(NOT($W95=0),"",SUMIFS('Val-Vol (2)'!AH$4:AH$1116,'Val-Vol (2)'!$A$4:$A$1116,$D95,'Val-Vol (2)'!$V$4:$V$1116,$V95)/SUMIFS('Comp2016-2017 (3)'!$G$5:$G$289,'Comp2016-2017 (3)'!$A$5:$A$289,$D95,'Comp2016-2017 (3)'!$R$5:$R$289,$V95)*$AB95))</f>
        <v>0</v>
      </c>
      <c r="AI95" s="2">
        <f>IF($W95=AI$3,$AB95,IF(NOT($W95=0),"",SUMIFS('Val-Vol (2)'!AI$4:AI$1116,'Val-Vol (2)'!$A$4:$A$1116,$D95,'Val-Vol (2)'!$V$4:$V$1116,$V95)/SUMIFS('Comp2016-2017 (3)'!$G$5:$G$289,'Comp2016-2017 (3)'!$A$5:$A$289,$D95,'Comp2016-2017 (3)'!$R$5:$R$289,$V95)*$AB95))</f>
        <v>0</v>
      </c>
      <c r="AJ95" s="2">
        <f>IF($W95=AJ$3,$AB95,IF(NOT($W95=0),"",SUMIFS('Val-Vol (2)'!AJ$4:AJ$1116,'Val-Vol (2)'!$A$4:$A$1116,$D95,'Val-Vol (2)'!$V$4:$V$1116,$V95)/SUMIFS('Comp2016-2017 (3)'!$G$5:$G$289,'Comp2016-2017 (3)'!$A$5:$A$289,$D95,'Comp2016-2017 (3)'!$R$5:$R$289,$V95)*$AB95))</f>
        <v>207.51540564341386</v>
      </c>
      <c r="AK95" s="2">
        <f t="shared" si="10"/>
        <v>0</v>
      </c>
      <c r="AL95" t="str">
        <f t="shared" si="7"/>
        <v/>
      </c>
      <c r="AM95" t="str">
        <f>VLOOKUP(A95,'Table corresp.'!$M$4:$U$63,8,FALSE)</f>
        <v>Production intermédiaire</v>
      </c>
      <c r="AN95" t="str">
        <f>VLOOKUP(D95,'Table corresp.'!$M$4:$U$63,9,FALSE)</f>
        <v>Production intermédiaire</v>
      </c>
    </row>
    <row r="96" spans="1:40" x14ac:dyDescent="0.25">
      <c r="A96" t="s">
        <v>82</v>
      </c>
      <c r="B96" t="str">
        <f>VLOOKUP(LEFT(A96,3),'Table corresp.'!$A$4:$D$63,3,FALSE)</f>
        <v>Transformation</v>
      </c>
      <c r="C96" t="str">
        <f>VLOOKUP(A96,'Table corresp.'!$M$4:$P$63,4,FALSE)</f>
        <v>Production et transformation de produits bois</v>
      </c>
      <c r="D96" t="s">
        <v>89</v>
      </c>
      <c r="E96" t="str">
        <f>VLOOKUP(LEFT(D96,3),'Table corresp.'!$A$4:$D$63,4,FALSE)</f>
        <v>Transformation</v>
      </c>
      <c r="F96" t="str">
        <f t="shared" si="6"/>
        <v xml:space="preserve">10  - 33 </v>
      </c>
      <c r="G96" s="1">
        <v>0.48204999999995835</v>
      </c>
      <c r="H96" s="1">
        <v>842.51795000000004</v>
      </c>
      <c r="I96" s="1">
        <v>843</v>
      </c>
      <c r="J96" s="1">
        <v>2.8690270341235327E-3</v>
      </c>
      <c r="K96" s="1">
        <v>2.9757175153865583</v>
      </c>
      <c r="L96" s="1">
        <v>2.9785865424206817</v>
      </c>
      <c r="M96" s="1">
        <v>0</v>
      </c>
      <c r="N96" s="1">
        <v>0</v>
      </c>
      <c r="O96" s="1">
        <v>0</v>
      </c>
      <c r="P96" s="1">
        <v>0</v>
      </c>
      <c r="Q96" s="1">
        <v>0</v>
      </c>
      <c r="R96" s="1">
        <v>0</v>
      </c>
      <c r="S96" s="67"/>
      <c r="T96">
        <f>VLOOKUP(A96,'Groupe de branches'!$Z$27:$AM$86,14,FALSE)</f>
        <v>0</v>
      </c>
      <c r="U96">
        <f>VLOOKUP(D96,'Groupe de branches'!$Z$27:$AM$86,14,FALSE)</f>
        <v>0</v>
      </c>
      <c r="V96">
        <v>2016</v>
      </c>
      <c r="W96" t="str">
        <f>VLOOKUP(D96,'Table corresp.'!$M$4:$S$63,7,FALSE)</f>
        <v>Construction</v>
      </c>
      <c r="X96" s="167">
        <f>IFERROR(G96/SUMIFS('Comp2016-2017 (3)'!$I$5:$I$289,'Comp2016-2017 (3)'!$A$5:$A$289,A96,'Comp2016-2017 (3)'!$R$5:$R$289,V96),0)</f>
        <v>5.7466376884430953E-6</v>
      </c>
      <c r="Y96" s="178">
        <f>IFERROR(IF(RIGHT(F96,3)="Exp",VLOOKUP(F96,#REF!,2,FALSE),VLOOKUP(F96,#REF!,9,FALSE)),1)</f>
        <v>1</v>
      </c>
      <c r="Z96" s="167">
        <f t="shared" si="8"/>
        <v>7.6923076923076927E-2</v>
      </c>
      <c r="AA96" s="189">
        <f t="shared" si="9"/>
        <v>4.4204905295716123E-7</v>
      </c>
      <c r="AB96" s="2">
        <f>IFERROR(SUMIFS('Comp2016-2017 (3)'!$G$5:$G$289,'Comp2016-2017 (3)'!$A$5:$A$289,A96,'Comp2016-2017 (3)'!$R$5:$R$289,V96)*AA96/SUMIFS($AA$4:$AA$1116,$A$4:$A$1116,A96,$V$4:$V$1116,V96),0)</f>
        <v>0.16473113237908246</v>
      </c>
      <c r="AC96" s="2" t="str">
        <f>IF($W96=AC$3,$AB96,IF(NOT($W96=0),"",SUMIFS('Val-Vol (2)'!AC$4:AC$1116,'Val-Vol (2)'!$A$4:$A$1116,$D96,'Val-Vol (2)'!$V$4:$V$1116,$V96)/SUMIFS('Comp2016-2017 (3)'!$G$5:$G$289,'Comp2016-2017 (3)'!$A$5:$A$289,$D96,'Comp2016-2017 (3)'!$R$5:$R$289,$V96)*$AB96))</f>
        <v/>
      </c>
      <c r="AD96" s="2">
        <f>IF($W96=AD$3,$AB96,IF(NOT($W96=0),"",SUMIFS('Val-Vol (2)'!AD$4:AD$1116,'Val-Vol (2)'!$A$4:$A$1116,$D96,'Val-Vol (2)'!$V$4:$V$1116,$V96)/SUMIFS('Comp2016-2017 (3)'!$G$5:$G$289,'Comp2016-2017 (3)'!$A$5:$A$289,$D96,'Comp2016-2017 (3)'!$R$5:$R$289,$V96)*$AB96))</f>
        <v>0.16473113237908246</v>
      </c>
      <c r="AE96" s="2" t="str">
        <f>IF($W96=AE$3,$AB96,IF(NOT($W96=0),"",SUMIFS('Val-Vol (2)'!AE$4:AE$1116,'Val-Vol (2)'!$A$4:$A$1116,$D96,'Val-Vol (2)'!$V$4:$V$1116,$V96)/SUMIFS('Comp2016-2017 (3)'!$G$5:$G$289,'Comp2016-2017 (3)'!$A$5:$A$289,$D96,'Comp2016-2017 (3)'!$R$5:$R$289,$V96)*$AB96))</f>
        <v/>
      </c>
      <c r="AF96" s="2" t="str">
        <f>IF($W96=AF$3,$AB96,IF(NOT($W96=0),"",SUMIFS('Val-Vol (2)'!AF$4:AF$1116,'Val-Vol (2)'!$A$4:$A$1116,$D96,'Val-Vol (2)'!$V$4:$V$1116,$V96)/SUMIFS('Comp2016-2017 (3)'!$G$5:$G$289,'Comp2016-2017 (3)'!$A$5:$A$289,$D96,'Comp2016-2017 (3)'!$R$5:$R$289,$V96)*$AB96))</f>
        <v/>
      </c>
      <c r="AG96" s="2" t="str">
        <f>IF($W96=AG$3,$AB96,IF(NOT($W96=0),"",SUMIFS('Val-Vol (2)'!AG$4:AG$1116,'Val-Vol (2)'!$A$4:$A$1116,$D96,'Val-Vol (2)'!$V$4:$V$1116,$V96)/SUMIFS('Comp2016-2017 (3)'!$G$5:$G$289,'Comp2016-2017 (3)'!$A$5:$A$289,$D96,'Comp2016-2017 (3)'!$R$5:$R$289,$V96)*$AB96))</f>
        <v/>
      </c>
      <c r="AH96" s="2" t="str">
        <f>IF($W96=AH$3,$AB96,IF(NOT($W96=0),"",SUMIFS('Val-Vol (2)'!AH$4:AH$1116,'Val-Vol (2)'!$A$4:$A$1116,$D96,'Val-Vol (2)'!$V$4:$V$1116,$V96)/SUMIFS('Comp2016-2017 (3)'!$G$5:$G$289,'Comp2016-2017 (3)'!$A$5:$A$289,$D96,'Comp2016-2017 (3)'!$R$5:$R$289,$V96)*$AB96))</f>
        <v/>
      </c>
      <c r="AI96" s="2" t="str">
        <f>IF($W96=AI$3,$AB96,IF(NOT($W96=0),"",SUMIFS('Val-Vol (2)'!AI$4:AI$1116,'Val-Vol (2)'!$A$4:$A$1116,$D96,'Val-Vol (2)'!$V$4:$V$1116,$V96)/SUMIFS('Comp2016-2017 (3)'!$G$5:$G$289,'Comp2016-2017 (3)'!$A$5:$A$289,$D96,'Comp2016-2017 (3)'!$R$5:$R$289,$V96)*$AB96))</f>
        <v/>
      </c>
      <c r="AJ96" s="2" t="str">
        <f>IF($W96=AJ$3,$AB96,IF(NOT($W96=0),"",SUMIFS('Val-Vol (2)'!AJ$4:AJ$1116,'Val-Vol (2)'!$A$4:$A$1116,$D96,'Val-Vol (2)'!$V$4:$V$1116,$V96)/SUMIFS('Comp2016-2017 (3)'!$G$5:$G$289,'Comp2016-2017 (3)'!$A$5:$A$289,$D96,'Comp2016-2017 (3)'!$R$5:$R$289,$V96)*$AB96))</f>
        <v/>
      </c>
      <c r="AK96" s="2">
        <f t="shared" si="10"/>
        <v>0</v>
      </c>
      <c r="AL96" t="str">
        <f t="shared" si="7"/>
        <v/>
      </c>
      <c r="AM96" t="str">
        <f>VLOOKUP(A96,'Table corresp.'!$M$4:$U$63,8,FALSE)</f>
        <v>Production intermédiaire</v>
      </c>
      <c r="AN96" t="str">
        <f>VLOOKUP(D96,'Table corresp.'!$M$4:$U$63,9,FALSE)</f>
        <v>Production finale</v>
      </c>
    </row>
    <row r="97" spans="1:40" x14ac:dyDescent="0.25">
      <c r="A97" t="s">
        <v>82</v>
      </c>
      <c r="B97" t="str">
        <f>VLOOKUP(LEFT(A97,3),'Table corresp.'!$A$4:$D$63,3,FALSE)</f>
        <v>Transformation</v>
      </c>
      <c r="C97" t="str">
        <f>VLOOKUP(A97,'Table corresp.'!$M$4:$P$63,4,FALSE)</f>
        <v>Production et transformation de produits bois</v>
      </c>
      <c r="D97" t="s">
        <v>91</v>
      </c>
      <c r="E97" t="str">
        <f>VLOOKUP(LEFT(D97,3),'Table corresp.'!$A$4:$D$63,4,FALSE)</f>
        <v>Transformation</v>
      </c>
      <c r="F97" t="str">
        <f t="shared" si="6"/>
        <v xml:space="preserve">10  - 37 </v>
      </c>
      <c r="G97" s="1">
        <v>17241</v>
      </c>
      <c r="H97" s="1">
        <v>0</v>
      </c>
      <c r="I97" s="1">
        <v>17241</v>
      </c>
      <c r="J97" s="1">
        <v>251.00869907070506</v>
      </c>
      <c r="K97" s="1">
        <v>0</v>
      </c>
      <c r="L97" s="1">
        <v>251.00869907070506</v>
      </c>
      <c r="M97" s="1">
        <v>0</v>
      </c>
      <c r="N97" s="1">
        <v>0</v>
      </c>
      <c r="O97" s="1">
        <v>0</v>
      </c>
      <c r="P97" s="1">
        <v>0</v>
      </c>
      <c r="Q97" s="1">
        <v>0</v>
      </c>
      <c r="R97" s="1">
        <v>0</v>
      </c>
      <c r="S97" s="67"/>
      <c r="T97">
        <f>VLOOKUP(A97,'Groupe de branches'!$Z$27:$AM$86,14,FALSE)</f>
        <v>0</v>
      </c>
      <c r="U97">
        <f>VLOOKUP(D97,'Groupe de branches'!$Z$27:$AM$86,14,FALSE)</f>
        <v>0</v>
      </c>
      <c r="V97">
        <v>2016</v>
      </c>
      <c r="W97" t="str">
        <f>VLOOKUP(D97,'Table corresp.'!$M$4:$S$63,7,FALSE)</f>
        <v>Emballage bois et carton</v>
      </c>
      <c r="X97" s="167">
        <f>IFERROR(G97/SUMIFS('Comp2016-2017 (3)'!$I$5:$I$289,'Comp2016-2017 (3)'!$A$5:$A$289,A97,'Comp2016-2017 (3)'!$R$5:$R$289,V97),0)</f>
        <v>0.20553423998849904</v>
      </c>
      <c r="Y97" s="178">
        <f>IFERROR(IF(RIGHT(F97,3)="Exp",VLOOKUP(F97,#REF!,2,FALSE),VLOOKUP(F97,#REF!,9,FALSE)),1)</f>
        <v>1</v>
      </c>
      <c r="Z97" s="167">
        <f t="shared" si="8"/>
        <v>7.6923076923076927E-2</v>
      </c>
      <c r="AA97" s="189">
        <f t="shared" si="9"/>
        <v>1.5810326152961466E-2</v>
      </c>
      <c r="AB97" s="2">
        <f>IFERROR(SUMIFS('Comp2016-2017 (3)'!$G$5:$G$289,'Comp2016-2017 (3)'!$A$5:$A$289,A97,'Comp2016-2017 (3)'!$R$5:$R$289,V97)*AA97/SUMIFS($AA$4:$AA$1116,$A$4:$A$1116,A97,$V$4:$V$1116,V97),0)</f>
        <v>5891.7735781516576</v>
      </c>
      <c r="AC97" s="2" t="str">
        <f>IF($W97=AC$3,$AB97,IF(NOT($W97=0),"",SUMIFS('Val-Vol (2)'!AC$4:AC$1116,'Val-Vol (2)'!$A$4:$A$1116,$D97,'Val-Vol (2)'!$V$4:$V$1116,$V97)/SUMIFS('Comp2016-2017 (3)'!$G$5:$G$289,'Comp2016-2017 (3)'!$A$5:$A$289,$D97,'Comp2016-2017 (3)'!$R$5:$R$289,$V97)*$AB97))</f>
        <v/>
      </c>
      <c r="AD97" s="2" t="str">
        <f>IF($W97=AD$3,$AB97,IF(NOT($W97=0),"",SUMIFS('Val-Vol (2)'!AD$4:AD$1116,'Val-Vol (2)'!$A$4:$A$1116,$D97,'Val-Vol (2)'!$V$4:$V$1116,$V97)/SUMIFS('Comp2016-2017 (3)'!$G$5:$G$289,'Comp2016-2017 (3)'!$A$5:$A$289,$D97,'Comp2016-2017 (3)'!$R$5:$R$289,$V97)*$AB97))</f>
        <v/>
      </c>
      <c r="AE97" s="2" t="str">
        <f>IF($W97=AE$3,$AB97,IF(NOT($W97=0),"",SUMIFS('Val-Vol (2)'!AE$4:AE$1116,'Val-Vol (2)'!$A$4:$A$1116,$D97,'Val-Vol (2)'!$V$4:$V$1116,$V97)/SUMIFS('Comp2016-2017 (3)'!$G$5:$G$289,'Comp2016-2017 (3)'!$A$5:$A$289,$D97,'Comp2016-2017 (3)'!$R$5:$R$289,$V97)*$AB97))</f>
        <v/>
      </c>
      <c r="AF97" s="2" t="str">
        <f>IF($W97=AF$3,$AB97,IF(NOT($W97=0),"",SUMIFS('Val-Vol (2)'!AF$4:AF$1116,'Val-Vol (2)'!$A$4:$A$1116,$D97,'Val-Vol (2)'!$V$4:$V$1116,$V97)/SUMIFS('Comp2016-2017 (3)'!$G$5:$G$289,'Comp2016-2017 (3)'!$A$5:$A$289,$D97,'Comp2016-2017 (3)'!$R$5:$R$289,$V97)*$AB97))</f>
        <v/>
      </c>
      <c r="AG97" s="2">
        <f>IF($W97=AG$3,$AB97,IF(NOT($W97=0),"",SUMIFS('Val-Vol (2)'!AG$4:AG$1116,'Val-Vol (2)'!$A$4:$A$1116,$D97,'Val-Vol (2)'!$V$4:$V$1116,$V97)/SUMIFS('Comp2016-2017 (3)'!$G$5:$G$289,'Comp2016-2017 (3)'!$A$5:$A$289,$D97,'Comp2016-2017 (3)'!$R$5:$R$289,$V97)*$AB97))</f>
        <v>5891.7735781516576</v>
      </c>
      <c r="AH97" s="2" t="str">
        <f>IF($W97=AH$3,$AB97,IF(NOT($W97=0),"",SUMIFS('Val-Vol (2)'!AH$4:AH$1116,'Val-Vol (2)'!$A$4:$A$1116,$D97,'Val-Vol (2)'!$V$4:$V$1116,$V97)/SUMIFS('Comp2016-2017 (3)'!$G$5:$G$289,'Comp2016-2017 (3)'!$A$5:$A$289,$D97,'Comp2016-2017 (3)'!$R$5:$R$289,$V97)*$AB97))</f>
        <v/>
      </c>
      <c r="AI97" s="2" t="str">
        <f>IF($W97=AI$3,$AB97,IF(NOT($W97=0),"",SUMIFS('Val-Vol (2)'!AI$4:AI$1116,'Val-Vol (2)'!$A$4:$A$1116,$D97,'Val-Vol (2)'!$V$4:$V$1116,$V97)/SUMIFS('Comp2016-2017 (3)'!$G$5:$G$289,'Comp2016-2017 (3)'!$A$5:$A$289,$D97,'Comp2016-2017 (3)'!$R$5:$R$289,$V97)*$AB97))</f>
        <v/>
      </c>
      <c r="AJ97" s="2" t="str">
        <f>IF($W97=AJ$3,$AB97,IF(NOT($W97=0),"",SUMIFS('Val-Vol (2)'!AJ$4:AJ$1116,'Val-Vol (2)'!$A$4:$A$1116,$D97,'Val-Vol (2)'!$V$4:$V$1116,$V97)/SUMIFS('Comp2016-2017 (3)'!$G$5:$G$289,'Comp2016-2017 (3)'!$A$5:$A$289,$D97,'Comp2016-2017 (3)'!$R$5:$R$289,$V97)*$AB97))</f>
        <v/>
      </c>
      <c r="AK97" s="2">
        <f t="shared" si="10"/>
        <v>0</v>
      </c>
      <c r="AL97" t="str">
        <f t="shared" si="7"/>
        <v/>
      </c>
      <c r="AM97" t="str">
        <f>VLOOKUP(A97,'Table corresp.'!$M$4:$U$63,8,FALSE)</f>
        <v>Production intermédiaire</v>
      </c>
      <c r="AN97" t="str">
        <f>VLOOKUP(D97,'Table corresp.'!$M$4:$U$63,9,FALSE)</f>
        <v>Production finale</v>
      </c>
    </row>
    <row r="98" spans="1:40" x14ac:dyDescent="0.25">
      <c r="A98" t="s">
        <v>82</v>
      </c>
      <c r="B98" t="str">
        <f>VLOOKUP(LEFT(A98,3),'Table corresp.'!$A$4:$D$63,3,FALSE)</f>
        <v>Transformation</v>
      </c>
      <c r="C98" t="str">
        <f>VLOOKUP(A98,'Table corresp.'!$M$4:$P$63,4,FALSE)</f>
        <v>Production et transformation de produits bois</v>
      </c>
      <c r="D98" t="s">
        <v>92</v>
      </c>
      <c r="E98" t="str">
        <f>VLOOKUP(LEFT(D98,3),'Table corresp.'!$A$4:$D$63,4,FALSE)</f>
        <v>Transformation</v>
      </c>
      <c r="F98" t="str">
        <f t="shared" si="6"/>
        <v xml:space="preserve">10  - 40 </v>
      </c>
      <c r="G98" s="1">
        <v>4923.5513250354652</v>
      </c>
      <c r="H98" s="1">
        <v>0</v>
      </c>
      <c r="I98" s="1">
        <v>4923.5513250354652</v>
      </c>
      <c r="J98" s="1">
        <v>42.357026242321353</v>
      </c>
      <c r="K98" s="1">
        <v>0</v>
      </c>
      <c r="L98" s="1">
        <v>42.357026242321353</v>
      </c>
      <c r="M98" s="1">
        <v>0</v>
      </c>
      <c r="N98" s="1">
        <v>0</v>
      </c>
      <c r="O98" s="1">
        <v>0</v>
      </c>
      <c r="P98" s="1">
        <v>0</v>
      </c>
      <c r="Q98" s="1">
        <v>0</v>
      </c>
      <c r="R98" s="1">
        <v>0</v>
      </c>
      <c r="S98" s="67"/>
      <c r="T98">
        <f>VLOOKUP(A98,'Groupe de branches'!$Z$27:$AM$86,14,FALSE)</f>
        <v>0</v>
      </c>
      <c r="U98">
        <f>VLOOKUP(D98,'Groupe de branches'!$Z$27:$AM$86,14,FALSE)</f>
        <v>0</v>
      </c>
      <c r="V98">
        <v>2016</v>
      </c>
      <c r="W98" t="str">
        <f>VLOOKUP(D98,'Table corresp.'!$M$4:$S$63,7,FALSE)</f>
        <v>Construction</v>
      </c>
      <c r="X98" s="167">
        <f>IFERROR(G98/SUMIFS('Comp2016-2017 (3)'!$I$5:$I$289,'Comp2016-2017 (3)'!$A$5:$A$289,A98,'Comp2016-2017 (3)'!$R$5:$R$289,V98),0)</f>
        <v>5.8694877306161575E-2</v>
      </c>
      <c r="Y98" s="178">
        <f>IFERROR(IF(RIGHT(F98,3)="Exp",VLOOKUP(F98,#REF!,2,FALSE),VLOOKUP(F98,#REF!,9,FALSE)),1)</f>
        <v>1</v>
      </c>
      <c r="Z98" s="167">
        <f t="shared" si="8"/>
        <v>7.6923076923076927E-2</v>
      </c>
      <c r="AA98" s="189">
        <f t="shared" si="9"/>
        <v>4.5149905620124288E-3</v>
      </c>
      <c r="AB98" s="2">
        <f>IFERROR(SUMIFS('Comp2016-2017 (3)'!$G$5:$G$289,'Comp2016-2017 (3)'!$A$5:$A$289,A98,'Comp2016-2017 (3)'!$R$5:$R$289,V98)*AA98/SUMIFS($AA$4:$AA$1116,$A$4:$A$1116,A98,$V$4:$V$1116,V98),0)</f>
        <v>1682.527092832059</v>
      </c>
      <c r="AC98" s="2" t="str">
        <f>IF($W98=AC$3,$AB98,IF(NOT($W98=0),"",SUMIFS('Val-Vol (2)'!AC$4:AC$1116,'Val-Vol (2)'!$A$4:$A$1116,$D98,'Val-Vol (2)'!$V$4:$V$1116,$V98)/SUMIFS('Comp2016-2017 (3)'!$G$5:$G$289,'Comp2016-2017 (3)'!$A$5:$A$289,$D98,'Comp2016-2017 (3)'!$R$5:$R$289,$V98)*$AB98))</f>
        <v/>
      </c>
      <c r="AD98" s="2">
        <f>IF($W98=AD$3,$AB98,IF(NOT($W98=0),"",SUMIFS('Val-Vol (2)'!AD$4:AD$1116,'Val-Vol (2)'!$A$4:$A$1116,$D98,'Val-Vol (2)'!$V$4:$V$1116,$V98)/SUMIFS('Comp2016-2017 (3)'!$G$5:$G$289,'Comp2016-2017 (3)'!$A$5:$A$289,$D98,'Comp2016-2017 (3)'!$R$5:$R$289,$V98)*$AB98))</f>
        <v>1682.527092832059</v>
      </c>
      <c r="AE98" s="2" t="str">
        <f>IF($W98=AE$3,$AB98,IF(NOT($W98=0),"",SUMIFS('Val-Vol (2)'!AE$4:AE$1116,'Val-Vol (2)'!$A$4:$A$1116,$D98,'Val-Vol (2)'!$V$4:$V$1116,$V98)/SUMIFS('Comp2016-2017 (3)'!$G$5:$G$289,'Comp2016-2017 (3)'!$A$5:$A$289,$D98,'Comp2016-2017 (3)'!$R$5:$R$289,$V98)*$AB98))</f>
        <v/>
      </c>
      <c r="AF98" s="2" t="str">
        <f>IF($W98=AF$3,$AB98,IF(NOT($W98=0),"",SUMIFS('Val-Vol (2)'!AF$4:AF$1116,'Val-Vol (2)'!$A$4:$A$1116,$D98,'Val-Vol (2)'!$V$4:$V$1116,$V98)/SUMIFS('Comp2016-2017 (3)'!$G$5:$G$289,'Comp2016-2017 (3)'!$A$5:$A$289,$D98,'Comp2016-2017 (3)'!$R$5:$R$289,$V98)*$AB98))</f>
        <v/>
      </c>
      <c r="AG98" s="2" t="str">
        <f>IF($W98=AG$3,$AB98,IF(NOT($W98=0),"",SUMIFS('Val-Vol (2)'!AG$4:AG$1116,'Val-Vol (2)'!$A$4:$A$1116,$D98,'Val-Vol (2)'!$V$4:$V$1116,$V98)/SUMIFS('Comp2016-2017 (3)'!$G$5:$G$289,'Comp2016-2017 (3)'!$A$5:$A$289,$D98,'Comp2016-2017 (3)'!$R$5:$R$289,$V98)*$AB98))</f>
        <v/>
      </c>
      <c r="AH98" s="2" t="str">
        <f>IF($W98=AH$3,$AB98,IF(NOT($W98=0),"",SUMIFS('Val-Vol (2)'!AH$4:AH$1116,'Val-Vol (2)'!$A$4:$A$1116,$D98,'Val-Vol (2)'!$V$4:$V$1116,$V98)/SUMIFS('Comp2016-2017 (3)'!$G$5:$G$289,'Comp2016-2017 (3)'!$A$5:$A$289,$D98,'Comp2016-2017 (3)'!$R$5:$R$289,$V98)*$AB98))</f>
        <v/>
      </c>
      <c r="AI98" s="2" t="str">
        <f>IF($W98=AI$3,$AB98,IF(NOT($W98=0),"",SUMIFS('Val-Vol (2)'!AI$4:AI$1116,'Val-Vol (2)'!$A$4:$A$1116,$D98,'Val-Vol (2)'!$V$4:$V$1116,$V98)/SUMIFS('Comp2016-2017 (3)'!$G$5:$G$289,'Comp2016-2017 (3)'!$A$5:$A$289,$D98,'Comp2016-2017 (3)'!$R$5:$R$289,$V98)*$AB98))</f>
        <v/>
      </c>
      <c r="AJ98" s="2" t="str">
        <f>IF($W98=AJ$3,$AB98,IF(NOT($W98=0),"",SUMIFS('Val-Vol (2)'!AJ$4:AJ$1116,'Val-Vol (2)'!$A$4:$A$1116,$D98,'Val-Vol (2)'!$V$4:$V$1116,$V98)/SUMIFS('Comp2016-2017 (3)'!$G$5:$G$289,'Comp2016-2017 (3)'!$A$5:$A$289,$D98,'Comp2016-2017 (3)'!$R$5:$R$289,$V98)*$AB98))</f>
        <v/>
      </c>
      <c r="AK98" s="2">
        <f t="shared" si="10"/>
        <v>0</v>
      </c>
      <c r="AL98" t="str">
        <f t="shared" si="7"/>
        <v/>
      </c>
      <c r="AM98" t="str">
        <f>VLOOKUP(A98,'Table corresp.'!$M$4:$U$63,8,FALSE)</f>
        <v>Production intermédiaire</v>
      </c>
      <c r="AN98" t="str">
        <f>VLOOKUP(D98,'Table corresp.'!$M$4:$U$63,9,FALSE)</f>
        <v>Production finale</v>
      </c>
    </row>
    <row r="99" spans="1:40" x14ac:dyDescent="0.25">
      <c r="A99" t="s">
        <v>82</v>
      </c>
      <c r="B99" t="str">
        <f>VLOOKUP(LEFT(A99,3),'Table corresp.'!$A$4:$D$63,3,FALSE)</f>
        <v>Transformation</v>
      </c>
      <c r="C99" t="str">
        <f>VLOOKUP(A99,'Table corresp.'!$M$4:$P$63,4,FALSE)</f>
        <v>Production et transformation de produits bois</v>
      </c>
      <c r="D99" t="s">
        <v>93</v>
      </c>
      <c r="E99" t="str">
        <f>VLOOKUP(LEFT(D99,3),'Table corresp.'!$A$4:$D$63,4,FALSE)</f>
        <v>Transformation</v>
      </c>
      <c r="F99" t="str">
        <f t="shared" si="6"/>
        <v xml:space="preserve">10  - 41 </v>
      </c>
      <c r="G99" s="1">
        <v>11018.621626</v>
      </c>
      <c r="H99" s="1">
        <v>842.51795000000004</v>
      </c>
      <c r="I99" s="1">
        <v>11861.139576</v>
      </c>
      <c r="J99" s="1">
        <v>83.417454761625805</v>
      </c>
      <c r="K99" s="1">
        <v>3.7851126795717032</v>
      </c>
      <c r="L99" s="1">
        <v>87.202567441197502</v>
      </c>
      <c r="M99" s="1">
        <v>0</v>
      </c>
      <c r="N99" s="1">
        <v>0</v>
      </c>
      <c r="O99" s="1">
        <v>0</v>
      </c>
      <c r="P99" s="1">
        <v>0</v>
      </c>
      <c r="Q99" s="1">
        <v>0</v>
      </c>
      <c r="R99" s="1">
        <v>0</v>
      </c>
      <c r="S99" s="67"/>
      <c r="T99">
        <f>VLOOKUP(A99,'Groupe de branches'!$Z$27:$AM$86,14,FALSE)</f>
        <v>0</v>
      </c>
      <c r="U99">
        <f>VLOOKUP(D99,'Groupe de branches'!$Z$27:$AM$86,14,FALSE)</f>
        <v>0</v>
      </c>
      <c r="V99">
        <v>2016</v>
      </c>
      <c r="W99" t="str">
        <f>VLOOKUP(D99,'Table corresp.'!$M$4:$S$63,7,FALSE)</f>
        <v>Produits de consommation courante</v>
      </c>
      <c r="X99" s="167">
        <f>IFERROR(G99/SUMIFS('Comp2016-2017 (3)'!$I$5:$I$289,'Comp2016-2017 (3)'!$A$5:$A$289,A99,'Comp2016-2017 (3)'!$R$5:$R$289,V99),0)</f>
        <v>0.13135572307991122</v>
      </c>
      <c r="Y99" s="178">
        <f>IFERROR(IF(RIGHT(F99,3)="Exp",VLOOKUP(F99,#REF!,2,FALSE),VLOOKUP(F99,#REF!,9,FALSE)),1)</f>
        <v>1</v>
      </c>
      <c r="Z99" s="167">
        <f t="shared" si="8"/>
        <v>7.6923076923076927E-2</v>
      </c>
      <c r="AA99" s="189">
        <f t="shared" si="9"/>
        <v>1.0104286390762402E-2</v>
      </c>
      <c r="AB99" s="2">
        <f>IFERROR(SUMIFS('Comp2016-2017 (3)'!$G$5:$G$289,'Comp2016-2017 (3)'!$A$5:$A$289,A99,'Comp2016-2017 (3)'!$R$5:$R$289,V99)*AA99/SUMIFS($AA$4:$AA$1116,$A$4:$A$1116,A99,$V$4:$V$1116,V99),0)</f>
        <v>3765.3978170475748</v>
      </c>
      <c r="AC99" s="2" t="str">
        <f>IF($W99=AC$3,$AB99,IF(NOT($W99=0),"",SUMIFS('Val-Vol (2)'!AC$4:AC$1116,'Val-Vol (2)'!$A$4:$A$1116,$D99,'Val-Vol (2)'!$V$4:$V$1116,$V99)/SUMIFS('Comp2016-2017 (3)'!$G$5:$G$289,'Comp2016-2017 (3)'!$A$5:$A$289,$D99,'Comp2016-2017 (3)'!$R$5:$R$289,$V99)*$AB99))</f>
        <v/>
      </c>
      <c r="AD99" s="2" t="str">
        <f>IF($W99=AD$3,$AB99,IF(NOT($W99=0),"",SUMIFS('Val-Vol (2)'!AD$4:AD$1116,'Val-Vol (2)'!$A$4:$A$1116,$D99,'Val-Vol (2)'!$V$4:$V$1116,$V99)/SUMIFS('Comp2016-2017 (3)'!$G$5:$G$289,'Comp2016-2017 (3)'!$A$5:$A$289,$D99,'Comp2016-2017 (3)'!$R$5:$R$289,$V99)*$AB99))</f>
        <v/>
      </c>
      <c r="AE99" s="2" t="str">
        <f>IF($W99=AE$3,$AB99,IF(NOT($W99=0),"",SUMIFS('Val-Vol (2)'!AE$4:AE$1116,'Val-Vol (2)'!$A$4:$A$1116,$D99,'Val-Vol (2)'!$V$4:$V$1116,$V99)/SUMIFS('Comp2016-2017 (3)'!$G$5:$G$289,'Comp2016-2017 (3)'!$A$5:$A$289,$D99,'Comp2016-2017 (3)'!$R$5:$R$289,$V99)*$AB99))</f>
        <v/>
      </c>
      <c r="AF99" s="2" t="str">
        <f>IF($W99=AF$3,$AB99,IF(NOT($W99=0),"",SUMIFS('Val-Vol (2)'!AF$4:AF$1116,'Val-Vol (2)'!$A$4:$A$1116,$D99,'Val-Vol (2)'!$V$4:$V$1116,$V99)/SUMIFS('Comp2016-2017 (3)'!$G$5:$G$289,'Comp2016-2017 (3)'!$A$5:$A$289,$D99,'Comp2016-2017 (3)'!$R$5:$R$289,$V99)*$AB99))</f>
        <v/>
      </c>
      <c r="AG99" s="2" t="str">
        <f>IF($W99=AG$3,$AB99,IF(NOT($W99=0),"",SUMIFS('Val-Vol (2)'!AG$4:AG$1116,'Val-Vol (2)'!$A$4:$A$1116,$D99,'Val-Vol (2)'!$V$4:$V$1116,$V99)/SUMIFS('Comp2016-2017 (3)'!$G$5:$G$289,'Comp2016-2017 (3)'!$A$5:$A$289,$D99,'Comp2016-2017 (3)'!$R$5:$R$289,$V99)*$AB99))</f>
        <v/>
      </c>
      <c r="AH99" s="2" t="str">
        <f>IF($W99=AH$3,$AB99,IF(NOT($W99=0),"",SUMIFS('Val-Vol (2)'!AH$4:AH$1116,'Val-Vol (2)'!$A$4:$A$1116,$D99,'Val-Vol (2)'!$V$4:$V$1116,$V99)/SUMIFS('Comp2016-2017 (3)'!$G$5:$G$289,'Comp2016-2017 (3)'!$A$5:$A$289,$D99,'Comp2016-2017 (3)'!$R$5:$R$289,$V99)*$AB99))</f>
        <v/>
      </c>
      <c r="AI99" s="2">
        <f>IF($W99=AI$3,$AB99,IF(NOT($W99=0),"",SUMIFS('Val-Vol (2)'!AI$4:AI$1116,'Val-Vol (2)'!$A$4:$A$1116,$D99,'Val-Vol (2)'!$V$4:$V$1116,$V99)/SUMIFS('Comp2016-2017 (3)'!$G$5:$G$289,'Comp2016-2017 (3)'!$A$5:$A$289,$D99,'Comp2016-2017 (3)'!$R$5:$R$289,$V99)*$AB99))</f>
        <v>3765.3978170475748</v>
      </c>
      <c r="AJ99" s="2" t="str">
        <f>IF($W99=AJ$3,$AB99,IF(NOT($W99=0),"",SUMIFS('Val-Vol (2)'!AJ$4:AJ$1116,'Val-Vol (2)'!$A$4:$A$1116,$D99,'Val-Vol (2)'!$V$4:$V$1116,$V99)/SUMIFS('Comp2016-2017 (3)'!$G$5:$G$289,'Comp2016-2017 (3)'!$A$5:$A$289,$D99,'Comp2016-2017 (3)'!$R$5:$R$289,$V99)*$AB99))</f>
        <v/>
      </c>
      <c r="AK99" s="2">
        <f t="shared" si="10"/>
        <v>0</v>
      </c>
      <c r="AL99" t="str">
        <f t="shared" si="7"/>
        <v/>
      </c>
      <c r="AM99" t="str">
        <f>VLOOKUP(A99,'Table corresp.'!$M$4:$U$63,8,FALSE)</f>
        <v>Production intermédiaire</v>
      </c>
      <c r="AN99" t="str">
        <f>VLOOKUP(D99,'Table corresp.'!$M$4:$U$63,9,FALSE)</f>
        <v>Production finale</v>
      </c>
    </row>
    <row r="100" spans="1:40" x14ac:dyDescent="0.25">
      <c r="A100" t="s">
        <v>82</v>
      </c>
      <c r="B100" t="str">
        <f>VLOOKUP(LEFT(A100,3),'Table corresp.'!$A$4:$D$63,3,FALSE)</f>
        <v>Transformation</v>
      </c>
      <c r="C100" t="str">
        <f>VLOOKUP(A100,'Table corresp.'!$M$4:$P$63,4,FALSE)</f>
        <v>Production et transformation de produits bois</v>
      </c>
      <c r="D100" t="s">
        <v>99</v>
      </c>
      <c r="E100" t="str">
        <f>VLOOKUP(LEFT(D100,3),'Table corresp.'!$A$4:$D$63,4,FALSE)</f>
        <v>Transformation</v>
      </c>
      <c r="F100" t="str">
        <f t="shared" si="6"/>
        <v xml:space="preserve">10  - 47 </v>
      </c>
      <c r="G100" s="1">
        <v>5016.4040649999988</v>
      </c>
      <c r="H100" s="1">
        <v>11253.44615</v>
      </c>
      <c r="I100" s="1">
        <v>16269.850214999999</v>
      </c>
      <c r="J100" s="1">
        <v>32.738907773555823</v>
      </c>
      <c r="K100" s="1">
        <v>43.58401126057494</v>
      </c>
      <c r="L100" s="1">
        <v>76.322919034130763</v>
      </c>
      <c r="M100" s="1">
        <v>0</v>
      </c>
      <c r="N100" s="1">
        <v>0</v>
      </c>
      <c r="O100" s="1">
        <v>0</v>
      </c>
      <c r="P100" s="1">
        <v>0</v>
      </c>
      <c r="Q100" s="1">
        <v>0</v>
      </c>
      <c r="R100" s="1">
        <v>0</v>
      </c>
      <c r="S100" s="67"/>
      <c r="T100">
        <f>VLOOKUP(A100,'Groupe de branches'!$Z$27:$AM$86,14,FALSE)</f>
        <v>0</v>
      </c>
      <c r="U100">
        <f>VLOOKUP(D100,'Groupe de branches'!$Z$27:$AM$86,14,FALSE)</f>
        <v>0</v>
      </c>
      <c r="V100">
        <v>2016</v>
      </c>
      <c r="W100" t="str">
        <f>VLOOKUP(D100,'Table corresp.'!$M$4:$S$63,7,FALSE)</f>
        <v>Meuble</v>
      </c>
      <c r="X100" s="167">
        <f>IFERROR(G100/SUMIFS('Comp2016-2017 (3)'!$I$5:$I$289,'Comp2016-2017 (3)'!$A$5:$A$289,A100,'Comp2016-2017 (3)'!$R$5:$R$289,V100),0)</f>
        <v>5.9801797864102536E-2</v>
      </c>
      <c r="Y100" s="178">
        <f>IFERROR(IF(RIGHT(F100,3)="Exp",VLOOKUP(F100,#REF!,2,FALSE),VLOOKUP(F100,#REF!,9,FALSE)),1)</f>
        <v>1</v>
      </c>
      <c r="Z100" s="167">
        <f t="shared" si="8"/>
        <v>7.6923076923076927E-2</v>
      </c>
      <c r="AA100" s="189">
        <f t="shared" si="9"/>
        <v>4.6001382972386566E-3</v>
      </c>
      <c r="AB100" s="2">
        <f>IFERROR(SUMIFS('Comp2016-2017 (3)'!$G$5:$G$289,'Comp2016-2017 (3)'!$A$5:$A$289,A100,'Comp2016-2017 (3)'!$R$5:$R$289,V100)*AA100/SUMIFS($AA$4:$AA$1116,$A$4:$A$1116,A100,$V$4:$V$1116,V100),0)</f>
        <v>1714.2576954642743</v>
      </c>
      <c r="AC100" s="2" t="str">
        <f>IF($W100=AC$3,$AB100,IF(NOT($W100=0),"",SUMIFS('Val-Vol (2)'!AC$4:AC$1116,'Val-Vol (2)'!$A$4:$A$1116,$D100,'Val-Vol (2)'!$V$4:$V$1116,$V100)/SUMIFS('Comp2016-2017 (3)'!$G$5:$G$289,'Comp2016-2017 (3)'!$A$5:$A$289,$D100,'Comp2016-2017 (3)'!$R$5:$R$289,$V100)*$AB100))</f>
        <v/>
      </c>
      <c r="AD100" s="2" t="str">
        <f>IF($W100=AD$3,$AB100,IF(NOT($W100=0),"",SUMIFS('Val-Vol (2)'!AD$4:AD$1116,'Val-Vol (2)'!$A$4:$A$1116,$D100,'Val-Vol (2)'!$V$4:$V$1116,$V100)/SUMIFS('Comp2016-2017 (3)'!$G$5:$G$289,'Comp2016-2017 (3)'!$A$5:$A$289,$D100,'Comp2016-2017 (3)'!$R$5:$R$289,$V100)*$AB100))</f>
        <v/>
      </c>
      <c r="AE100" s="2">
        <f>IF($W100=AE$3,$AB100,IF(NOT($W100=0),"",SUMIFS('Val-Vol (2)'!AE$4:AE$1116,'Val-Vol (2)'!$A$4:$A$1116,$D100,'Val-Vol (2)'!$V$4:$V$1116,$V100)/SUMIFS('Comp2016-2017 (3)'!$G$5:$G$289,'Comp2016-2017 (3)'!$A$5:$A$289,$D100,'Comp2016-2017 (3)'!$R$5:$R$289,$V100)*$AB100))</f>
        <v>1714.2576954642743</v>
      </c>
      <c r="AF100" s="2" t="str">
        <f>IF($W100=AF$3,$AB100,IF(NOT($W100=0),"",SUMIFS('Val-Vol (2)'!AF$4:AF$1116,'Val-Vol (2)'!$A$4:$A$1116,$D100,'Val-Vol (2)'!$V$4:$V$1116,$V100)/SUMIFS('Comp2016-2017 (3)'!$G$5:$G$289,'Comp2016-2017 (3)'!$A$5:$A$289,$D100,'Comp2016-2017 (3)'!$R$5:$R$289,$V100)*$AB100))</f>
        <v/>
      </c>
      <c r="AG100" s="2" t="str">
        <f>IF($W100=AG$3,$AB100,IF(NOT($W100=0),"",SUMIFS('Val-Vol (2)'!AG$4:AG$1116,'Val-Vol (2)'!$A$4:$A$1116,$D100,'Val-Vol (2)'!$V$4:$V$1116,$V100)/SUMIFS('Comp2016-2017 (3)'!$G$5:$G$289,'Comp2016-2017 (3)'!$A$5:$A$289,$D100,'Comp2016-2017 (3)'!$R$5:$R$289,$V100)*$AB100))</f>
        <v/>
      </c>
      <c r="AH100" s="2" t="str">
        <f>IF($W100=AH$3,$AB100,IF(NOT($W100=0),"",SUMIFS('Val-Vol (2)'!AH$4:AH$1116,'Val-Vol (2)'!$A$4:$A$1116,$D100,'Val-Vol (2)'!$V$4:$V$1116,$V100)/SUMIFS('Comp2016-2017 (3)'!$G$5:$G$289,'Comp2016-2017 (3)'!$A$5:$A$289,$D100,'Comp2016-2017 (3)'!$R$5:$R$289,$V100)*$AB100))</f>
        <v/>
      </c>
      <c r="AI100" s="2" t="str">
        <f>IF($W100=AI$3,$AB100,IF(NOT($W100=0),"",SUMIFS('Val-Vol (2)'!AI$4:AI$1116,'Val-Vol (2)'!$A$4:$A$1116,$D100,'Val-Vol (2)'!$V$4:$V$1116,$V100)/SUMIFS('Comp2016-2017 (3)'!$G$5:$G$289,'Comp2016-2017 (3)'!$A$5:$A$289,$D100,'Comp2016-2017 (3)'!$R$5:$R$289,$V100)*$AB100))</f>
        <v/>
      </c>
      <c r="AJ100" s="2" t="str">
        <f>IF($W100=AJ$3,$AB100,IF(NOT($W100=0),"",SUMIFS('Val-Vol (2)'!AJ$4:AJ$1116,'Val-Vol (2)'!$A$4:$A$1116,$D100,'Val-Vol (2)'!$V$4:$V$1116,$V100)/SUMIFS('Comp2016-2017 (3)'!$G$5:$G$289,'Comp2016-2017 (3)'!$A$5:$A$289,$D100,'Comp2016-2017 (3)'!$R$5:$R$289,$V100)*$AB100))</f>
        <v/>
      </c>
      <c r="AK100" s="2">
        <f t="shared" si="10"/>
        <v>0</v>
      </c>
      <c r="AL100" t="str">
        <f t="shared" si="7"/>
        <v/>
      </c>
      <c r="AM100" t="str">
        <f>VLOOKUP(A100,'Table corresp.'!$M$4:$U$63,8,FALSE)</f>
        <v>Production intermédiaire</v>
      </c>
      <c r="AN100" t="str">
        <f>VLOOKUP(D100,'Table corresp.'!$M$4:$U$63,9,FALSE)</f>
        <v>Production finale</v>
      </c>
    </row>
    <row r="101" spans="1:40" x14ac:dyDescent="0.25">
      <c r="A101" t="s">
        <v>82</v>
      </c>
      <c r="B101" t="str">
        <f>VLOOKUP(LEFT(A101,3),'Table corresp.'!$A$4:$D$63,3,FALSE)</f>
        <v>Transformation</v>
      </c>
      <c r="C101" t="str">
        <f>VLOOKUP(A101,'Table corresp.'!$M$4:$P$63,4,FALSE)</f>
        <v>Production et transformation de produits bois</v>
      </c>
      <c r="D101" t="s">
        <v>100</v>
      </c>
      <c r="E101" t="str">
        <f>VLOOKUP(LEFT(D101,3),'Table corresp.'!$A$4:$D$63,4,FALSE)</f>
        <v>Transformation</v>
      </c>
      <c r="F101" t="str">
        <f t="shared" si="6"/>
        <v xml:space="preserve">10  - 48 </v>
      </c>
      <c r="G101" s="1">
        <v>8298.5070640000013</v>
      </c>
      <c r="H101" s="1">
        <v>0</v>
      </c>
      <c r="I101" s="1">
        <v>8298.5070640000013</v>
      </c>
      <c r="J101" s="1">
        <v>39.265366003607753</v>
      </c>
      <c r="K101" s="1">
        <v>0</v>
      </c>
      <c r="L101" s="1">
        <v>39.265366003607753</v>
      </c>
      <c r="M101" s="1">
        <v>0</v>
      </c>
      <c r="N101" s="1">
        <v>0</v>
      </c>
      <c r="O101" s="1">
        <v>0</v>
      </c>
      <c r="P101" s="1">
        <v>0</v>
      </c>
      <c r="Q101" s="1">
        <v>0</v>
      </c>
      <c r="R101" s="1">
        <v>0</v>
      </c>
      <c r="S101" s="67"/>
      <c r="T101">
        <f>VLOOKUP(A101,'Groupe de branches'!$Z$27:$AM$86,14,FALSE)</f>
        <v>0</v>
      </c>
      <c r="U101">
        <f>VLOOKUP(D101,'Groupe de branches'!$Z$27:$AM$86,14,FALSE)</f>
        <v>0</v>
      </c>
      <c r="V101">
        <v>2016</v>
      </c>
      <c r="W101" t="str">
        <f>VLOOKUP(D101,'Table corresp.'!$M$4:$S$63,7,FALSE)</f>
        <v>Produits de consommation courante</v>
      </c>
      <c r="X101" s="167">
        <f>IFERROR(G101/SUMIFS('Comp2016-2017 (3)'!$I$5:$I$289,'Comp2016-2017 (3)'!$A$5:$A$289,A101,'Comp2016-2017 (3)'!$R$5:$R$289,V101),0)</f>
        <v>9.8928562289799363E-2</v>
      </c>
      <c r="Y101" s="178">
        <f>IFERROR(IF(RIGHT(F101,3)="Exp",VLOOKUP(F101,#REF!,2,FALSE),VLOOKUP(F101,#REF!,9,FALSE)),1)</f>
        <v>1</v>
      </c>
      <c r="Z101" s="167">
        <f t="shared" ref="Z101:Z132" si="11">Y101/SUMIFS($Y$4:$Y$1116,$V$4:$V$1116,V101,$A$4:$A$1116,A101)</f>
        <v>7.6923076923076927E-2</v>
      </c>
      <c r="AA101" s="189">
        <f t="shared" si="9"/>
        <v>7.6098894069076438E-3</v>
      </c>
      <c r="AB101" s="2">
        <f>IFERROR(SUMIFS('Comp2016-2017 (3)'!$G$5:$G$289,'Comp2016-2017 (3)'!$A$5:$A$289,A101,'Comp2016-2017 (3)'!$R$5:$R$289,V101)*AA101/SUMIFS($AA$4:$AA$1116,$A$4:$A$1116,A101,$V$4:$V$1116,V101),0)</f>
        <v>2835.8520188956609</v>
      </c>
      <c r="AC101" s="2" t="str">
        <f>IF($W101=AC$3,$AB101,IF(NOT($W101=0),"",SUMIFS('Val-Vol (2)'!AC$4:AC$1116,'Val-Vol (2)'!$A$4:$A$1116,$D101,'Val-Vol (2)'!$V$4:$V$1116,$V101)/SUMIFS('Comp2016-2017 (3)'!$G$5:$G$289,'Comp2016-2017 (3)'!$A$5:$A$289,$D101,'Comp2016-2017 (3)'!$R$5:$R$289,$V101)*$AB101))</f>
        <v/>
      </c>
      <c r="AD101" s="2" t="str">
        <f>IF($W101=AD$3,$AB101,IF(NOT($W101=0),"",SUMIFS('Val-Vol (2)'!AD$4:AD$1116,'Val-Vol (2)'!$A$4:$A$1116,$D101,'Val-Vol (2)'!$V$4:$V$1116,$V101)/SUMIFS('Comp2016-2017 (3)'!$G$5:$G$289,'Comp2016-2017 (3)'!$A$5:$A$289,$D101,'Comp2016-2017 (3)'!$R$5:$R$289,$V101)*$AB101))</f>
        <v/>
      </c>
      <c r="AE101" s="2" t="str">
        <f>IF($W101=AE$3,$AB101,IF(NOT($W101=0),"",SUMIFS('Val-Vol (2)'!AE$4:AE$1116,'Val-Vol (2)'!$A$4:$A$1116,$D101,'Val-Vol (2)'!$V$4:$V$1116,$V101)/SUMIFS('Comp2016-2017 (3)'!$G$5:$G$289,'Comp2016-2017 (3)'!$A$5:$A$289,$D101,'Comp2016-2017 (3)'!$R$5:$R$289,$V101)*$AB101))</f>
        <v/>
      </c>
      <c r="AF101" s="2" t="str">
        <f>IF($W101=AF$3,$AB101,IF(NOT($W101=0),"",SUMIFS('Val-Vol (2)'!AF$4:AF$1116,'Val-Vol (2)'!$A$4:$A$1116,$D101,'Val-Vol (2)'!$V$4:$V$1116,$V101)/SUMIFS('Comp2016-2017 (3)'!$G$5:$G$289,'Comp2016-2017 (3)'!$A$5:$A$289,$D101,'Comp2016-2017 (3)'!$R$5:$R$289,$V101)*$AB101))</f>
        <v/>
      </c>
      <c r="AG101" s="2" t="str">
        <f>IF($W101=AG$3,$AB101,IF(NOT($W101=0),"",SUMIFS('Val-Vol (2)'!AG$4:AG$1116,'Val-Vol (2)'!$A$4:$A$1116,$D101,'Val-Vol (2)'!$V$4:$V$1116,$V101)/SUMIFS('Comp2016-2017 (3)'!$G$5:$G$289,'Comp2016-2017 (3)'!$A$5:$A$289,$D101,'Comp2016-2017 (3)'!$R$5:$R$289,$V101)*$AB101))</f>
        <v/>
      </c>
      <c r="AH101" s="2" t="str">
        <f>IF($W101=AH$3,$AB101,IF(NOT($W101=0),"",SUMIFS('Val-Vol (2)'!AH$4:AH$1116,'Val-Vol (2)'!$A$4:$A$1116,$D101,'Val-Vol (2)'!$V$4:$V$1116,$V101)/SUMIFS('Comp2016-2017 (3)'!$G$5:$G$289,'Comp2016-2017 (3)'!$A$5:$A$289,$D101,'Comp2016-2017 (3)'!$R$5:$R$289,$V101)*$AB101))</f>
        <v/>
      </c>
      <c r="AI101" s="2">
        <f>IF($W101=AI$3,$AB101,IF(NOT($W101=0),"",SUMIFS('Val-Vol (2)'!AI$4:AI$1116,'Val-Vol (2)'!$A$4:$A$1116,$D101,'Val-Vol (2)'!$V$4:$V$1116,$V101)/SUMIFS('Comp2016-2017 (3)'!$G$5:$G$289,'Comp2016-2017 (3)'!$A$5:$A$289,$D101,'Comp2016-2017 (3)'!$R$5:$R$289,$V101)*$AB101))</f>
        <v>2835.8520188956609</v>
      </c>
      <c r="AJ101" s="2" t="str">
        <f>IF($W101=AJ$3,$AB101,IF(NOT($W101=0),"",SUMIFS('Val-Vol (2)'!AJ$4:AJ$1116,'Val-Vol (2)'!$A$4:$A$1116,$D101,'Val-Vol (2)'!$V$4:$V$1116,$V101)/SUMIFS('Comp2016-2017 (3)'!$G$5:$G$289,'Comp2016-2017 (3)'!$A$5:$A$289,$D101,'Comp2016-2017 (3)'!$R$5:$R$289,$V101)*$AB101))</f>
        <v/>
      </c>
      <c r="AK101" s="2">
        <f t="shared" si="10"/>
        <v>0</v>
      </c>
      <c r="AL101" t="str">
        <f t="shared" si="7"/>
        <v/>
      </c>
      <c r="AM101" t="str">
        <f>VLOOKUP(A101,'Table corresp.'!$M$4:$U$63,8,FALSE)</f>
        <v>Production intermédiaire</v>
      </c>
      <c r="AN101" t="str">
        <f>VLOOKUP(D101,'Table corresp.'!$M$4:$U$63,9,FALSE)</f>
        <v>Production finale</v>
      </c>
    </row>
    <row r="102" spans="1:40" x14ac:dyDescent="0.25">
      <c r="A102" t="s">
        <v>82</v>
      </c>
      <c r="B102" t="str">
        <f>VLOOKUP(LEFT(A102,3),'Table corresp.'!$A$4:$D$63,3,FALSE)</f>
        <v>Transformation</v>
      </c>
      <c r="C102" t="str">
        <f>VLOOKUP(A102,'Table corresp.'!$M$4:$P$63,4,FALSE)</f>
        <v>Production et transformation de produits bois</v>
      </c>
      <c r="D102" t="s">
        <v>21</v>
      </c>
      <c r="E102" t="str">
        <f>VLOOKUP(LEFT(D102,3),'Table corresp.'!$A$4:$D$63,4,FALSE)</f>
        <v>Transformation</v>
      </c>
      <c r="F102" t="str">
        <f t="shared" si="6"/>
        <v xml:space="preserve">10  - 54 </v>
      </c>
      <c r="G102" s="1">
        <v>11250</v>
      </c>
      <c r="H102" s="1">
        <v>0</v>
      </c>
      <c r="I102" s="1">
        <v>11250</v>
      </c>
      <c r="J102" s="1">
        <v>60.835089511033694</v>
      </c>
      <c r="K102" s="1">
        <v>0</v>
      </c>
      <c r="L102" s="1">
        <v>60.835089511033694</v>
      </c>
      <c r="M102" s="1">
        <v>0</v>
      </c>
      <c r="N102" s="1">
        <v>0</v>
      </c>
      <c r="O102" s="1">
        <v>0</v>
      </c>
      <c r="P102" s="1">
        <v>0</v>
      </c>
      <c r="Q102" s="1">
        <v>0</v>
      </c>
      <c r="R102" s="1">
        <v>0</v>
      </c>
      <c r="S102" s="67"/>
      <c r="T102">
        <f>VLOOKUP(A102,'Groupe de branches'!$Z$27:$AM$86,14,FALSE)</f>
        <v>0</v>
      </c>
      <c r="U102">
        <f>VLOOKUP(D102,'Groupe de branches'!$Z$27:$AM$86,14,FALSE)</f>
        <v>0</v>
      </c>
      <c r="V102">
        <v>2016</v>
      </c>
      <c r="W102" t="str">
        <f>VLOOKUP(D102,'Table corresp.'!$M$4:$S$63,7,FALSE)</f>
        <v>Construction</v>
      </c>
      <c r="X102" s="167">
        <f>IFERROR(G102/SUMIFS('Comp2016-2017 (3)'!$I$5:$I$289,'Comp2016-2017 (3)'!$A$5:$A$289,A102,'Comp2016-2017 (3)'!$R$5:$R$289,V102),0)</f>
        <v>0.13411404210142186</v>
      </c>
      <c r="Y102" s="178">
        <f>IFERROR(IF(RIGHT(F102,3)="Exp",VLOOKUP(F102,#REF!,2,FALSE),VLOOKUP(F102,#REF!,9,FALSE)),1)</f>
        <v>1</v>
      </c>
      <c r="Z102" s="167">
        <f t="shared" si="11"/>
        <v>7.6923076923076927E-2</v>
      </c>
      <c r="AA102" s="189">
        <f t="shared" si="9"/>
        <v>1.0316464777032451E-2</v>
      </c>
      <c r="AB102" s="2">
        <f>IFERROR(SUMIFS('Comp2016-2017 (3)'!$G$5:$G$289,'Comp2016-2017 (3)'!$A$5:$A$289,A102,'Comp2016-2017 (3)'!$R$5:$R$289,V102)*AA102/SUMIFS($AA$4:$AA$1116,$A$4:$A$1116,A102,$V$4:$V$1116,V102),0)</f>
        <v>3844.4668380143926</v>
      </c>
      <c r="AC102" s="2" t="str">
        <f>IF($W102=AC$3,$AB102,IF(NOT($W102=0),"",SUMIFS('Val-Vol (2)'!AC$4:AC$1116,'Val-Vol (2)'!$A$4:$A$1116,$D102,'Val-Vol (2)'!$V$4:$V$1116,$V102)/SUMIFS('Comp2016-2017 (3)'!$G$5:$G$289,'Comp2016-2017 (3)'!$A$5:$A$289,$D102,'Comp2016-2017 (3)'!$R$5:$R$289,$V102)*$AB102))</f>
        <v/>
      </c>
      <c r="AD102" s="2">
        <f>IF($W102=AD$3,$AB102,IF(NOT($W102=0),"",SUMIFS('Val-Vol (2)'!AD$4:AD$1116,'Val-Vol (2)'!$A$4:$A$1116,$D102,'Val-Vol (2)'!$V$4:$V$1116,$V102)/SUMIFS('Comp2016-2017 (3)'!$G$5:$G$289,'Comp2016-2017 (3)'!$A$5:$A$289,$D102,'Comp2016-2017 (3)'!$R$5:$R$289,$V102)*$AB102))</f>
        <v>3844.4668380143926</v>
      </c>
      <c r="AE102" s="2" t="str">
        <f>IF($W102=AE$3,$AB102,IF(NOT($W102=0),"",SUMIFS('Val-Vol (2)'!AE$4:AE$1116,'Val-Vol (2)'!$A$4:$A$1116,$D102,'Val-Vol (2)'!$V$4:$V$1116,$V102)/SUMIFS('Comp2016-2017 (3)'!$G$5:$G$289,'Comp2016-2017 (3)'!$A$5:$A$289,$D102,'Comp2016-2017 (3)'!$R$5:$R$289,$V102)*$AB102))</f>
        <v/>
      </c>
      <c r="AF102" s="2" t="str">
        <f>IF($W102=AF$3,$AB102,IF(NOT($W102=0),"",SUMIFS('Val-Vol (2)'!AF$4:AF$1116,'Val-Vol (2)'!$A$4:$A$1116,$D102,'Val-Vol (2)'!$V$4:$V$1116,$V102)/SUMIFS('Comp2016-2017 (3)'!$G$5:$G$289,'Comp2016-2017 (3)'!$A$5:$A$289,$D102,'Comp2016-2017 (3)'!$R$5:$R$289,$V102)*$AB102))</f>
        <v/>
      </c>
      <c r="AG102" s="2" t="str">
        <f>IF($W102=AG$3,$AB102,IF(NOT($W102=0),"",SUMIFS('Val-Vol (2)'!AG$4:AG$1116,'Val-Vol (2)'!$A$4:$A$1116,$D102,'Val-Vol (2)'!$V$4:$V$1116,$V102)/SUMIFS('Comp2016-2017 (3)'!$G$5:$G$289,'Comp2016-2017 (3)'!$A$5:$A$289,$D102,'Comp2016-2017 (3)'!$R$5:$R$289,$V102)*$AB102))</f>
        <v/>
      </c>
      <c r="AH102" s="2" t="str">
        <f>IF($W102=AH$3,$AB102,IF(NOT($W102=0),"",SUMIFS('Val-Vol (2)'!AH$4:AH$1116,'Val-Vol (2)'!$A$4:$A$1116,$D102,'Val-Vol (2)'!$V$4:$V$1116,$V102)/SUMIFS('Comp2016-2017 (3)'!$G$5:$G$289,'Comp2016-2017 (3)'!$A$5:$A$289,$D102,'Comp2016-2017 (3)'!$R$5:$R$289,$V102)*$AB102))</f>
        <v/>
      </c>
      <c r="AI102" s="2" t="str">
        <f>IF($W102=AI$3,$AB102,IF(NOT($W102=0),"",SUMIFS('Val-Vol (2)'!AI$4:AI$1116,'Val-Vol (2)'!$A$4:$A$1116,$D102,'Val-Vol (2)'!$V$4:$V$1116,$V102)/SUMIFS('Comp2016-2017 (3)'!$G$5:$G$289,'Comp2016-2017 (3)'!$A$5:$A$289,$D102,'Comp2016-2017 (3)'!$R$5:$R$289,$V102)*$AB102))</f>
        <v/>
      </c>
      <c r="AJ102" s="2" t="str">
        <f>IF($W102=AJ$3,$AB102,IF(NOT($W102=0),"",SUMIFS('Val-Vol (2)'!AJ$4:AJ$1116,'Val-Vol (2)'!$A$4:$A$1116,$D102,'Val-Vol (2)'!$V$4:$V$1116,$V102)/SUMIFS('Comp2016-2017 (3)'!$G$5:$G$289,'Comp2016-2017 (3)'!$A$5:$A$289,$D102,'Comp2016-2017 (3)'!$R$5:$R$289,$V102)*$AB102))</f>
        <v/>
      </c>
      <c r="AK102" s="2">
        <f t="shared" si="10"/>
        <v>0</v>
      </c>
      <c r="AL102" t="str">
        <f t="shared" si="7"/>
        <v/>
      </c>
      <c r="AM102" t="str">
        <f>VLOOKUP(A102,'Table corresp.'!$M$4:$U$63,8,FALSE)</f>
        <v>Production intermédiaire</v>
      </c>
      <c r="AN102" t="str">
        <f>VLOOKUP(D102,'Table corresp.'!$M$4:$U$63,9,FALSE)</f>
        <v xml:space="preserve">Mise en œuvre </v>
      </c>
    </row>
    <row r="103" spans="1:40" x14ac:dyDescent="0.25">
      <c r="A103" t="s">
        <v>82</v>
      </c>
      <c r="B103" t="str">
        <f>VLOOKUP(LEFT(A103,3),'Table corresp.'!$A$4:$D$63,3,FALSE)</f>
        <v>Transformation</v>
      </c>
      <c r="C103" t="str">
        <f>VLOOKUP(A103,'Table corresp.'!$M$4:$P$63,4,FALSE)</f>
        <v>Production et transformation de produits bois</v>
      </c>
      <c r="D103" t="s">
        <v>22</v>
      </c>
      <c r="E103" t="str">
        <f>VLOOKUP(LEFT(D103,3),'Table corresp.'!$A$4:$D$63,4,FALSE)</f>
        <v>Transformation</v>
      </c>
      <c r="F103" t="str">
        <f t="shared" si="6"/>
        <v xml:space="preserve">10  - 55 </v>
      </c>
      <c r="G103" s="1">
        <v>2024.6864423651202</v>
      </c>
      <c r="H103" s="1">
        <v>0</v>
      </c>
      <c r="I103" s="1">
        <v>2024.6864423651202</v>
      </c>
      <c r="J103" s="1">
        <v>9.5800429630156572</v>
      </c>
      <c r="K103" s="1">
        <v>0</v>
      </c>
      <c r="L103" s="1">
        <v>9.5800429630156572</v>
      </c>
      <c r="M103" s="1">
        <v>0</v>
      </c>
      <c r="N103" s="1">
        <v>0</v>
      </c>
      <c r="O103" s="1">
        <v>0</v>
      </c>
      <c r="P103" s="1">
        <v>0</v>
      </c>
      <c r="Q103" s="1">
        <v>0</v>
      </c>
      <c r="R103" s="1">
        <v>0</v>
      </c>
      <c r="S103" s="67"/>
      <c r="T103">
        <f>VLOOKUP(A103,'Groupe de branches'!$Z$27:$AM$86,14,FALSE)</f>
        <v>0</v>
      </c>
      <c r="U103">
        <f>VLOOKUP(D103,'Groupe de branches'!$Z$27:$AM$86,14,FALSE)</f>
        <v>0</v>
      </c>
      <c r="V103">
        <v>2016</v>
      </c>
      <c r="W103" t="str">
        <f>VLOOKUP(D103,'Table corresp.'!$M$4:$S$63,7,FALSE)</f>
        <v>Construction</v>
      </c>
      <c r="X103" s="167">
        <f>IFERROR(G103/SUMIFS('Comp2016-2017 (3)'!$I$5:$I$289,'Comp2016-2017 (3)'!$A$5:$A$289,A103,'Comp2016-2017 (3)'!$R$5:$R$289,V103),0)</f>
        <v>2.4136789579869668E-2</v>
      </c>
      <c r="Y103" s="178">
        <f>IFERROR(IF(RIGHT(F103,3)="Exp",VLOOKUP(F103,#REF!,2,FALSE),VLOOKUP(F103,#REF!,9,FALSE)),1)</f>
        <v>1</v>
      </c>
      <c r="Z103" s="167">
        <f t="shared" si="11"/>
        <v>7.6923076923076927E-2</v>
      </c>
      <c r="AA103" s="189">
        <f t="shared" si="9"/>
        <v>1.8566761215284362E-3</v>
      </c>
      <c r="AB103" s="2">
        <f>IFERROR(SUMIFS('Comp2016-2017 (3)'!$G$5:$G$289,'Comp2016-2017 (3)'!$A$5:$A$289,A103,'Comp2016-2017 (3)'!$R$5:$R$289,V103)*AA103/SUMIFS($AA$4:$AA$1116,$A$4:$A$1116,A103,$V$4:$V$1116,V103),0)</f>
        <v>691.89687867111491</v>
      </c>
      <c r="AC103" s="2" t="str">
        <f>IF($W103=AC$3,$AB103,IF(NOT($W103=0),"",SUMIFS('Val-Vol (2)'!AC$4:AC$1116,'Val-Vol (2)'!$A$4:$A$1116,$D103,'Val-Vol (2)'!$V$4:$V$1116,$V103)/SUMIFS('Comp2016-2017 (3)'!$G$5:$G$289,'Comp2016-2017 (3)'!$A$5:$A$289,$D103,'Comp2016-2017 (3)'!$R$5:$R$289,$V103)*$AB103))</f>
        <v/>
      </c>
      <c r="AD103" s="2">
        <f>IF($W103=AD$3,$AB103,IF(NOT($W103=0),"",SUMIFS('Val-Vol (2)'!AD$4:AD$1116,'Val-Vol (2)'!$A$4:$A$1116,$D103,'Val-Vol (2)'!$V$4:$V$1116,$V103)/SUMIFS('Comp2016-2017 (3)'!$G$5:$G$289,'Comp2016-2017 (3)'!$A$5:$A$289,$D103,'Comp2016-2017 (3)'!$R$5:$R$289,$V103)*$AB103))</f>
        <v>691.89687867111491</v>
      </c>
      <c r="AE103" s="2" t="str">
        <f>IF($W103=AE$3,$AB103,IF(NOT($W103=0),"",SUMIFS('Val-Vol (2)'!AE$4:AE$1116,'Val-Vol (2)'!$A$4:$A$1116,$D103,'Val-Vol (2)'!$V$4:$V$1116,$V103)/SUMIFS('Comp2016-2017 (3)'!$G$5:$G$289,'Comp2016-2017 (3)'!$A$5:$A$289,$D103,'Comp2016-2017 (3)'!$R$5:$R$289,$V103)*$AB103))</f>
        <v/>
      </c>
      <c r="AF103" s="2" t="str">
        <f>IF($W103=AF$3,$AB103,IF(NOT($W103=0),"",SUMIFS('Val-Vol (2)'!AF$4:AF$1116,'Val-Vol (2)'!$A$4:$A$1116,$D103,'Val-Vol (2)'!$V$4:$V$1116,$V103)/SUMIFS('Comp2016-2017 (3)'!$G$5:$G$289,'Comp2016-2017 (3)'!$A$5:$A$289,$D103,'Comp2016-2017 (3)'!$R$5:$R$289,$V103)*$AB103))</f>
        <v/>
      </c>
      <c r="AG103" s="2" t="str">
        <f>IF($W103=AG$3,$AB103,IF(NOT($W103=0),"",SUMIFS('Val-Vol (2)'!AG$4:AG$1116,'Val-Vol (2)'!$A$4:$A$1116,$D103,'Val-Vol (2)'!$V$4:$V$1116,$V103)/SUMIFS('Comp2016-2017 (3)'!$G$5:$G$289,'Comp2016-2017 (3)'!$A$5:$A$289,$D103,'Comp2016-2017 (3)'!$R$5:$R$289,$V103)*$AB103))</f>
        <v/>
      </c>
      <c r="AH103" s="2" t="str">
        <f>IF($W103=AH$3,$AB103,IF(NOT($W103=0),"",SUMIFS('Val-Vol (2)'!AH$4:AH$1116,'Val-Vol (2)'!$A$4:$A$1116,$D103,'Val-Vol (2)'!$V$4:$V$1116,$V103)/SUMIFS('Comp2016-2017 (3)'!$G$5:$G$289,'Comp2016-2017 (3)'!$A$5:$A$289,$D103,'Comp2016-2017 (3)'!$R$5:$R$289,$V103)*$AB103))</f>
        <v/>
      </c>
      <c r="AI103" s="2" t="str">
        <f>IF($W103=AI$3,$AB103,IF(NOT($W103=0),"",SUMIFS('Val-Vol (2)'!AI$4:AI$1116,'Val-Vol (2)'!$A$4:$A$1116,$D103,'Val-Vol (2)'!$V$4:$V$1116,$V103)/SUMIFS('Comp2016-2017 (3)'!$G$5:$G$289,'Comp2016-2017 (3)'!$A$5:$A$289,$D103,'Comp2016-2017 (3)'!$R$5:$R$289,$V103)*$AB103))</f>
        <v/>
      </c>
      <c r="AJ103" s="2" t="str">
        <f>IF($W103=AJ$3,$AB103,IF(NOT($W103=0),"",SUMIFS('Val-Vol (2)'!AJ$4:AJ$1116,'Val-Vol (2)'!$A$4:$A$1116,$D103,'Val-Vol (2)'!$V$4:$V$1116,$V103)/SUMIFS('Comp2016-2017 (3)'!$G$5:$G$289,'Comp2016-2017 (3)'!$A$5:$A$289,$D103,'Comp2016-2017 (3)'!$R$5:$R$289,$V103)*$AB103))</f>
        <v/>
      </c>
      <c r="AK103" s="2">
        <f t="shared" si="10"/>
        <v>0</v>
      </c>
      <c r="AL103" t="str">
        <f t="shared" si="7"/>
        <v/>
      </c>
      <c r="AM103" t="str">
        <f>VLOOKUP(A103,'Table corresp.'!$M$4:$U$63,8,FALSE)</f>
        <v>Production intermédiaire</v>
      </c>
      <c r="AN103" t="str">
        <f>VLOOKUP(D103,'Table corresp.'!$M$4:$U$63,9,FALSE)</f>
        <v xml:space="preserve">Mise en œuvre </v>
      </c>
    </row>
    <row r="104" spans="1:40" x14ac:dyDescent="0.25">
      <c r="A104" t="s">
        <v>82</v>
      </c>
      <c r="B104" t="str">
        <f>VLOOKUP(LEFT(A104,3),'Table corresp.'!$A$4:$D$63,3,FALSE)</f>
        <v>Transformation</v>
      </c>
      <c r="C104" t="str">
        <f>VLOOKUP(A104,'Table corresp.'!$M$4:$P$63,4,FALSE)</f>
        <v>Production et transformation de produits bois</v>
      </c>
      <c r="D104" t="s">
        <v>24</v>
      </c>
      <c r="E104" t="str">
        <f>VLOOKUP(LEFT(D104,3),'Table corresp.'!$A$4:$D$63,4,FALSE)</f>
        <v>Transformation</v>
      </c>
      <c r="F104" t="str">
        <f t="shared" si="6"/>
        <v xml:space="preserve">10  - 57 </v>
      </c>
      <c r="G104" s="1">
        <v>3960</v>
      </c>
      <c r="H104" s="1">
        <v>0</v>
      </c>
      <c r="I104" s="1">
        <v>3960</v>
      </c>
      <c r="J104" s="1">
        <v>21.413951507883858</v>
      </c>
      <c r="K104" s="1">
        <v>0</v>
      </c>
      <c r="L104" s="1">
        <v>21.413951507883858</v>
      </c>
      <c r="M104" s="1">
        <v>0</v>
      </c>
      <c r="N104" s="1">
        <v>0</v>
      </c>
      <c r="O104" s="1">
        <v>0</v>
      </c>
      <c r="P104" s="1">
        <v>0</v>
      </c>
      <c r="Q104" s="1">
        <v>0</v>
      </c>
      <c r="R104" s="1">
        <v>0</v>
      </c>
      <c r="S104" s="67"/>
      <c r="T104">
        <f>VLOOKUP(A104,'Groupe de branches'!$Z$27:$AM$86,14,FALSE)</f>
        <v>0</v>
      </c>
      <c r="U104">
        <f>VLOOKUP(D104,'Groupe de branches'!$Z$27:$AM$86,14,FALSE)</f>
        <v>0</v>
      </c>
      <c r="V104">
        <v>2016</v>
      </c>
      <c r="W104" t="str">
        <f>VLOOKUP(D104,'Table corresp.'!$M$4:$S$63,7,FALSE)</f>
        <v>Construction</v>
      </c>
      <c r="X104" s="167">
        <f>IFERROR(G104/SUMIFS('Comp2016-2017 (3)'!$I$5:$I$289,'Comp2016-2017 (3)'!$A$5:$A$289,A104,'Comp2016-2017 (3)'!$R$5:$R$289,V104),0)</f>
        <v>4.720814281970049E-2</v>
      </c>
      <c r="Y104" s="178">
        <f>IFERROR(IF(RIGHT(F104,3)="Exp",VLOOKUP(F104,#REF!,2,FALSE),VLOOKUP(F104,#REF!,9,FALSE)),1)</f>
        <v>1</v>
      </c>
      <c r="Z104" s="167">
        <f t="shared" si="11"/>
        <v>7.6923076923076927E-2</v>
      </c>
      <c r="AA104" s="189">
        <f t="shared" si="9"/>
        <v>3.6313956015154225E-3</v>
      </c>
      <c r="AB104" s="2">
        <f>IFERROR(SUMIFS('Comp2016-2017 (3)'!$G$5:$G$289,'Comp2016-2017 (3)'!$A$5:$A$289,A104,'Comp2016-2017 (3)'!$R$5:$R$289,V104)*AA104/SUMIFS($AA$4:$AA$1116,$A$4:$A$1116,A104,$V$4:$V$1116,V104),0)</f>
        <v>1353.2523269810661</v>
      </c>
      <c r="AC104" s="2" t="str">
        <f>IF($W104=AC$3,$AB104,IF(NOT($W104=0),"",SUMIFS('Val-Vol (2)'!AC$4:AC$1116,'Val-Vol (2)'!$A$4:$A$1116,$D104,'Val-Vol (2)'!$V$4:$V$1116,$V104)/SUMIFS('Comp2016-2017 (3)'!$G$5:$G$289,'Comp2016-2017 (3)'!$A$5:$A$289,$D104,'Comp2016-2017 (3)'!$R$5:$R$289,$V104)*$AB104))</f>
        <v/>
      </c>
      <c r="AD104" s="2">
        <f>IF($W104=AD$3,$AB104,IF(NOT($W104=0),"",SUMIFS('Val-Vol (2)'!AD$4:AD$1116,'Val-Vol (2)'!$A$4:$A$1116,$D104,'Val-Vol (2)'!$V$4:$V$1116,$V104)/SUMIFS('Comp2016-2017 (3)'!$G$5:$G$289,'Comp2016-2017 (3)'!$A$5:$A$289,$D104,'Comp2016-2017 (3)'!$R$5:$R$289,$V104)*$AB104))</f>
        <v>1353.2523269810661</v>
      </c>
      <c r="AE104" s="2" t="str">
        <f>IF($W104=AE$3,$AB104,IF(NOT($W104=0),"",SUMIFS('Val-Vol (2)'!AE$4:AE$1116,'Val-Vol (2)'!$A$4:$A$1116,$D104,'Val-Vol (2)'!$V$4:$V$1116,$V104)/SUMIFS('Comp2016-2017 (3)'!$G$5:$G$289,'Comp2016-2017 (3)'!$A$5:$A$289,$D104,'Comp2016-2017 (3)'!$R$5:$R$289,$V104)*$AB104))</f>
        <v/>
      </c>
      <c r="AF104" s="2" t="str">
        <f>IF($W104=AF$3,$AB104,IF(NOT($W104=0),"",SUMIFS('Val-Vol (2)'!AF$4:AF$1116,'Val-Vol (2)'!$A$4:$A$1116,$D104,'Val-Vol (2)'!$V$4:$V$1116,$V104)/SUMIFS('Comp2016-2017 (3)'!$G$5:$G$289,'Comp2016-2017 (3)'!$A$5:$A$289,$D104,'Comp2016-2017 (3)'!$R$5:$R$289,$V104)*$AB104))</f>
        <v/>
      </c>
      <c r="AG104" s="2" t="str">
        <f>IF($W104=AG$3,$AB104,IF(NOT($W104=0),"",SUMIFS('Val-Vol (2)'!AG$4:AG$1116,'Val-Vol (2)'!$A$4:$A$1116,$D104,'Val-Vol (2)'!$V$4:$V$1116,$V104)/SUMIFS('Comp2016-2017 (3)'!$G$5:$G$289,'Comp2016-2017 (3)'!$A$5:$A$289,$D104,'Comp2016-2017 (3)'!$R$5:$R$289,$V104)*$AB104))</f>
        <v/>
      </c>
      <c r="AH104" s="2" t="str">
        <f>IF($W104=AH$3,$AB104,IF(NOT($W104=0),"",SUMIFS('Val-Vol (2)'!AH$4:AH$1116,'Val-Vol (2)'!$A$4:$A$1116,$D104,'Val-Vol (2)'!$V$4:$V$1116,$V104)/SUMIFS('Comp2016-2017 (3)'!$G$5:$G$289,'Comp2016-2017 (3)'!$A$5:$A$289,$D104,'Comp2016-2017 (3)'!$R$5:$R$289,$V104)*$AB104))</f>
        <v/>
      </c>
      <c r="AI104" s="2" t="str">
        <f>IF($W104=AI$3,$AB104,IF(NOT($W104=0),"",SUMIFS('Val-Vol (2)'!AI$4:AI$1116,'Val-Vol (2)'!$A$4:$A$1116,$D104,'Val-Vol (2)'!$V$4:$V$1116,$V104)/SUMIFS('Comp2016-2017 (3)'!$G$5:$G$289,'Comp2016-2017 (3)'!$A$5:$A$289,$D104,'Comp2016-2017 (3)'!$R$5:$R$289,$V104)*$AB104))</f>
        <v/>
      </c>
      <c r="AJ104" s="2" t="str">
        <f>IF($W104=AJ$3,$AB104,IF(NOT($W104=0),"",SUMIFS('Val-Vol (2)'!AJ$4:AJ$1116,'Val-Vol (2)'!$A$4:$A$1116,$D104,'Val-Vol (2)'!$V$4:$V$1116,$V104)/SUMIFS('Comp2016-2017 (3)'!$G$5:$G$289,'Comp2016-2017 (3)'!$A$5:$A$289,$D104,'Comp2016-2017 (3)'!$R$5:$R$289,$V104)*$AB104))</f>
        <v/>
      </c>
      <c r="AK104" s="2">
        <f t="shared" si="10"/>
        <v>0</v>
      </c>
      <c r="AL104" t="str">
        <f t="shared" si="7"/>
        <v/>
      </c>
      <c r="AM104" t="str">
        <f>VLOOKUP(A104,'Table corresp.'!$M$4:$U$63,8,FALSE)</f>
        <v>Production intermédiaire</v>
      </c>
      <c r="AN104" t="str">
        <f>VLOOKUP(D104,'Table corresp.'!$M$4:$U$63,9,FALSE)</f>
        <v xml:space="preserve">Mise en œuvre </v>
      </c>
    </row>
    <row r="105" spans="1:40" x14ac:dyDescent="0.25">
      <c r="A105" t="s">
        <v>82</v>
      </c>
      <c r="B105" t="str">
        <f>VLOOKUP(LEFT(A105,3),'Table corresp.'!$A$4:$D$63,3,FALSE)</f>
        <v>Transformation</v>
      </c>
      <c r="C105" t="str">
        <f>VLOOKUP(A105,'Table corresp.'!$M$4:$P$63,4,FALSE)</f>
        <v>Production et transformation de produits bois</v>
      </c>
      <c r="D105" t="s">
        <v>25</v>
      </c>
      <c r="E105" t="str">
        <f>VLOOKUP(LEFT(D105,3),'Table corresp.'!$A$4:$D$63,4,FALSE)</f>
        <v>Transformation</v>
      </c>
      <c r="F105" t="str">
        <f t="shared" si="6"/>
        <v xml:space="preserve">10  - 58 </v>
      </c>
      <c r="G105" s="1">
        <v>831.49714285714288</v>
      </c>
      <c r="H105" s="1">
        <v>0</v>
      </c>
      <c r="I105" s="1">
        <v>831.49714285714288</v>
      </c>
      <c r="J105" s="1">
        <v>7.8686538177151419</v>
      </c>
      <c r="K105" s="1">
        <v>0</v>
      </c>
      <c r="L105" s="1">
        <v>7.8686538177151419</v>
      </c>
      <c r="M105" s="1">
        <v>0</v>
      </c>
      <c r="N105" s="1">
        <v>0</v>
      </c>
      <c r="O105" s="1">
        <v>0</v>
      </c>
      <c r="P105" s="1">
        <v>0</v>
      </c>
      <c r="Q105" s="1">
        <v>0</v>
      </c>
      <c r="R105" s="1">
        <v>0</v>
      </c>
      <c r="S105" s="67"/>
      <c r="T105">
        <f>VLOOKUP(A105,'Groupe de branches'!$Z$27:$AM$86,14,FALSE)</f>
        <v>0</v>
      </c>
      <c r="U105">
        <f>VLOOKUP(D105,'Groupe de branches'!$Z$27:$AM$86,14,FALSE)</f>
        <v>0</v>
      </c>
      <c r="V105">
        <v>2016</v>
      </c>
      <c r="W105" t="str">
        <f>VLOOKUP(D105,'Table corresp.'!$M$4:$S$63,7,FALSE)</f>
        <v>Construction</v>
      </c>
      <c r="X105" s="167">
        <f>IFERROR(G105/SUMIFS('Comp2016-2017 (3)'!$I$5:$I$289,'Comp2016-2017 (3)'!$A$5:$A$289,A105,'Comp2016-2017 (3)'!$R$5:$R$289,V105),0)</f>
        <v>9.912483806609319E-3</v>
      </c>
      <c r="Y105" s="178">
        <f>IFERROR(IF(RIGHT(F105,3)="Exp",VLOOKUP(F105,#REF!,2,FALSE),VLOOKUP(F105,#REF!,9,FALSE)),1)</f>
        <v>1</v>
      </c>
      <c r="Z105" s="167">
        <f t="shared" si="11"/>
        <v>7.6923076923076927E-2</v>
      </c>
      <c r="AA105" s="189">
        <f t="shared" si="9"/>
        <v>7.6249875435456299E-4</v>
      </c>
      <c r="AB105" s="2">
        <f>IFERROR(SUMIFS('Comp2016-2017 (3)'!$G$5:$G$289,'Comp2016-2017 (3)'!$A$5:$A$289,A105,'Comp2016-2017 (3)'!$R$5:$R$289,V105)*AA105/SUMIFS($AA$4:$AA$1116,$A$4:$A$1116,A105,$V$4:$V$1116,V105),0)</f>
        <v>284.14783925493344</v>
      </c>
      <c r="AC105" s="2" t="str">
        <f>IF($W105=AC$3,$AB105,IF(NOT($W105=0),"",SUMIFS('Val-Vol (2)'!AC$4:AC$1116,'Val-Vol (2)'!$A$4:$A$1116,$D105,'Val-Vol (2)'!$V$4:$V$1116,$V105)/SUMIFS('Comp2016-2017 (3)'!$G$5:$G$289,'Comp2016-2017 (3)'!$A$5:$A$289,$D105,'Comp2016-2017 (3)'!$R$5:$R$289,$V105)*$AB105))</f>
        <v/>
      </c>
      <c r="AD105" s="2">
        <f>IF($W105=AD$3,$AB105,IF(NOT($W105=0),"",SUMIFS('Val-Vol (2)'!AD$4:AD$1116,'Val-Vol (2)'!$A$4:$A$1116,$D105,'Val-Vol (2)'!$V$4:$V$1116,$V105)/SUMIFS('Comp2016-2017 (3)'!$G$5:$G$289,'Comp2016-2017 (3)'!$A$5:$A$289,$D105,'Comp2016-2017 (3)'!$R$5:$R$289,$V105)*$AB105))</f>
        <v>284.14783925493344</v>
      </c>
      <c r="AE105" s="2" t="str">
        <f>IF($W105=AE$3,$AB105,IF(NOT($W105=0),"",SUMIFS('Val-Vol (2)'!AE$4:AE$1116,'Val-Vol (2)'!$A$4:$A$1116,$D105,'Val-Vol (2)'!$V$4:$V$1116,$V105)/SUMIFS('Comp2016-2017 (3)'!$G$5:$G$289,'Comp2016-2017 (3)'!$A$5:$A$289,$D105,'Comp2016-2017 (3)'!$R$5:$R$289,$V105)*$AB105))</f>
        <v/>
      </c>
      <c r="AF105" s="2" t="str">
        <f>IF($W105=AF$3,$AB105,IF(NOT($W105=0),"",SUMIFS('Val-Vol (2)'!AF$4:AF$1116,'Val-Vol (2)'!$A$4:$A$1116,$D105,'Val-Vol (2)'!$V$4:$V$1116,$V105)/SUMIFS('Comp2016-2017 (3)'!$G$5:$G$289,'Comp2016-2017 (3)'!$A$5:$A$289,$D105,'Comp2016-2017 (3)'!$R$5:$R$289,$V105)*$AB105))</f>
        <v/>
      </c>
      <c r="AG105" s="2" t="str">
        <f>IF($W105=AG$3,$AB105,IF(NOT($W105=0),"",SUMIFS('Val-Vol (2)'!AG$4:AG$1116,'Val-Vol (2)'!$A$4:$A$1116,$D105,'Val-Vol (2)'!$V$4:$V$1116,$V105)/SUMIFS('Comp2016-2017 (3)'!$G$5:$G$289,'Comp2016-2017 (3)'!$A$5:$A$289,$D105,'Comp2016-2017 (3)'!$R$5:$R$289,$V105)*$AB105))</f>
        <v/>
      </c>
      <c r="AH105" s="2" t="str">
        <f>IF($W105=AH$3,$AB105,IF(NOT($W105=0),"",SUMIFS('Val-Vol (2)'!AH$4:AH$1116,'Val-Vol (2)'!$A$4:$A$1116,$D105,'Val-Vol (2)'!$V$4:$V$1116,$V105)/SUMIFS('Comp2016-2017 (3)'!$G$5:$G$289,'Comp2016-2017 (3)'!$A$5:$A$289,$D105,'Comp2016-2017 (3)'!$R$5:$R$289,$V105)*$AB105))</f>
        <v/>
      </c>
      <c r="AI105" s="2" t="str">
        <f>IF($W105=AI$3,$AB105,IF(NOT($W105=0),"",SUMIFS('Val-Vol (2)'!AI$4:AI$1116,'Val-Vol (2)'!$A$4:$A$1116,$D105,'Val-Vol (2)'!$V$4:$V$1116,$V105)/SUMIFS('Comp2016-2017 (3)'!$G$5:$G$289,'Comp2016-2017 (3)'!$A$5:$A$289,$D105,'Comp2016-2017 (3)'!$R$5:$R$289,$V105)*$AB105))</f>
        <v/>
      </c>
      <c r="AJ105" s="2" t="str">
        <f>IF($W105=AJ$3,$AB105,IF(NOT($W105=0),"",SUMIFS('Val-Vol (2)'!AJ$4:AJ$1116,'Val-Vol (2)'!$A$4:$A$1116,$D105,'Val-Vol (2)'!$V$4:$V$1116,$V105)/SUMIFS('Comp2016-2017 (3)'!$G$5:$G$289,'Comp2016-2017 (3)'!$A$5:$A$289,$D105,'Comp2016-2017 (3)'!$R$5:$R$289,$V105)*$AB105))</f>
        <v/>
      </c>
      <c r="AK105" s="2">
        <f t="shared" si="10"/>
        <v>0</v>
      </c>
      <c r="AL105" t="str">
        <f t="shared" si="7"/>
        <v/>
      </c>
      <c r="AM105" t="str">
        <f>VLOOKUP(A105,'Table corresp.'!$M$4:$U$63,8,FALSE)</f>
        <v>Production intermédiaire</v>
      </c>
      <c r="AN105" t="str">
        <f>VLOOKUP(D105,'Table corresp.'!$M$4:$U$63,9,FALSE)</f>
        <v xml:space="preserve">Mise en œuvre </v>
      </c>
    </row>
    <row r="106" spans="1:40" x14ac:dyDescent="0.25">
      <c r="A106" t="s">
        <v>82</v>
      </c>
      <c r="B106" t="str">
        <f>VLOOKUP(LEFT(A106,3),'Table corresp.'!$A$4:$D$63,3,FALSE)</f>
        <v>Transformation</v>
      </c>
      <c r="C106" t="str">
        <f>VLOOKUP(A106,'Table corresp.'!$M$4:$P$63,4,FALSE)</f>
        <v>Production et transformation de produits bois</v>
      </c>
      <c r="D106" t="s">
        <v>54</v>
      </c>
      <c r="E106" t="str">
        <f>VLOOKUP(LEFT(D106,3),'Table corresp.'!$A$4:$D$63,4,FALSE)</f>
        <v>Consommation finale</v>
      </c>
      <c r="F106" t="str">
        <f t="shared" si="6"/>
        <v>10  - Con</v>
      </c>
      <c r="G106" s="1">
        <v>1551</v>
      </c>
      <c r="H106" s="1">
        <v>0</v>
      </c>
      <c r="I106" s="1">
        <v>1551</v>
      </c>
      <c r="J106" s="1">
        <v>11.90291266700047</v>
      </c>
      <c r="K106" s="1">
        <v>0</v>
      </c>
      <c r="L106" s="1">
        <v>11.90291266700047</v>
      </c>
      <c r="M106" s="1">
        <v>0</v>
      </c>
      <c r="N106" s="1">
        <v>0</v>
      </c>
      <c r="O106" s="1">
        <v>0</v>
      </c>
      <c r="P106" s="1">
        <v>0</v>
      </c>
      <c r="Q106" s="1">
        <v>0</v>
      </c>
      <c r="R106" s="1">
        <v>0</v>
      </c>
      <c r="S106" s="67"/>
      <c r="T106">
        <f>VLOOKUP(A106,'Groupe de branches'!$Z$27:$AM$86,14,FALSE)</f>
        <v>0</v>
      </c>
      <c r="U106">
        <f>VLOOKUP(D106,'Groupe de branches'!$Z$27:$AM$86,14,FALSE)</f>
        <v>0</v>
      </c>
      <c r="V106">
        <v>2016</v>
      </c>
      <c r="W106" t="str">
        <f>VLOOKUP(D106,'Table corresp.'!$M$4:$S$63,7,FALSE)</f>
        <v>Consommation finale</v>
      </c>
      <c r="X106" s="167">
        <f>IFERROR(G106/SUMIFS('Comp2016-2017 (3)'!$I$5:$I$289,'Comp2016-2017 (3)'!$A$5:$A$289,A106,'Comp2016-2017 (3)'!$R$5:$R$289,V106),0)</f>
        <v>1.8489855937716026E-2</v>
      </c>
      <c r="Y106" s="178">
        <f>IFERROR(IF(RIGHT(F106,3)="Exp",VLOOKUP(F106,#REF!,2,FALSE),VLOOKUP(F106,#REF!,9,FALSE)),1)</f>
        <v>1</v>
      </c>
      <c r="Z106" s="167">
        <f t="shared" si="11"/>
        <v>7.6923076923076927E-2</v>
      </c>
      <c r="AA106" s="189">
        <f t="shared" si="9"/>
        <v>1.4222966105935405E-3</v>
      </c>
      <c r="AB106" s="2">
        <f>IFERROR(SUMIFS('Comp2016-2017 (3)'!$G$5:$G$289,'Comp2016-2017 (3)'!$A$5:$A$289,A106,'Comp2016-2017 (3)'!$R$5:$R$289,V106)*AA106/SUMIFS($AA$4:$AA$1116,$A$4:$A$1116,A106,$V$4:$V$1116,V106),0)</f>
        <v>530.02382806758419</v>
      </c>
      <c r="AC106" s="2" t="str">
        <f>IF($W106=AC$3,$AB106,IF(NOT($W106=0),"",SUMIFS('Val-Vol (2)'!AC$4:AC$1116,'Val-Vol (2)'!$A$4:$A$1116,$D106,'Val-Vol (2)'!$V$4:$V$1116,$V106)/SUMIFS('Comp2016-2017 (3)'!$G$5:$G$289,'Comp2016-2017 (3)'!$A$5:$A$289,$D106,'Comp2016-2017 (3)'!$R$5:$R$289,$V106)*$AB106))</f>
        <v/>
      </c>
      <c r="AD106" s="2" t="str">
        <f>IF($W106=AD$3,$AB106,IF(NOT($W106=0),"",SUMIFS('Val-Vol (2)'!AD$4:AD$1116,'Val-Vol (2)'!$A$4:$A$1116,$D106,'Val-Vol (2)'!$V$4:$V$1116,$V106)/SUMIFS('Comp2016-2017 (3)'!$G$5:$G$289,'Comp2016-2017 (3)'!$A$5:$A$289,$D106,'Comp2016-2017 (3)'!$R$5:$R$289,$V106)*$AB106))</f>
        <v/>
      </c>
      <c r="AE106" s="2" t="str">
        <f>IF($W106=AE$3,$AB106,IF(NOT($W106=0),"",SUMIFS('Val-Vol (2)'!AE$4:AE$1116,'Val-Vol (2)'!$A$4:$A$1116,$D106,'Val-Vol (2)'!$V$4:$V$1116,$V106)/SUMIFS('Comp2016-2017 (3)'!$G$5:$G$289,'Comp2016-2017 (3)'!$A$5:$A$289,$D106,'Comp2016-2017 (3)'!$R$5:$R$289,$V106)*$AB106))</f>
        <v/>
      </c>
      <c r="AF106" s="2" t="str">
        <f>IF($W106=AF$3,$AB106,IF(NOT($W106=0),"",SUMIFS('Val-Vol (2)'!AF$4:AF$1116,'Val-Vol (2)'!$A$4:$A$1116,$D106,'Val-Vol (2)'!$V$4:$V$1116,$V106)/SUMIFS('Comp2016-2017 (3)'!$G$5:$G$289,'Comp2016-2017 (3)'!$A$5:$A$289,$D106,'Comp2016-2017 (3)'!$R$5:$R$289,$V106)*$AB106))</f>
        <v/>
      </c>
      <c r="AG106" s="2" t="str">
        <f>IF($W106=AG$3,$AB106,IF(NOT($W106=0),"",SUMIFS('Val-Vol (2)'!AG$4:AG$1116,'Val-Vol (2)'!$A$4:$A$1116,$D106,'Val-Vol (2)'!$V$4:$V$1116,$V106)/SUMIFS('Comp2016-2017 (3)'!$G$5:$G$289,'Comp2016-2017 (3)'!$A$5:$A$289,$D106,'Comp2016-2017 (3)'!$R$5:$R$289,$V106)*$AB106))</f>
        <v/>
      </c>
      <c r="AH106" s="2" t="str">
        <f>IF($W106=AH$3,$AB106,IF(NOT($W106=0),"",SUMIFS('Val-Vol (2)'!AH$4:AH$1116,'Val-Vol (2)'!$A$4:$A$1116,$D106,'Val-Vol (2)'!$V$4:$V$1116,$V106)/SUMIFS('Comp2016-2017 (3)'!$G$5:$G$289,'Comp2016-2017 (3)'!$A$5:$A$289,$D106,'Comp2016-2017 (3)'!$R$5:$R$289,$V106)*$AB106))</f>
        <v/>
      </c>
      <c r="AI106" s="2" t="str">
        <f>IF($W106=AI$3,$AB106,IF(NOT($W106=0),"",SUMIFS('Val-Vol (2)'!AI$4:AI$1116,'Val-Vol (2)'!$A$4:$A$1116,$D106,'Val-Vol (2)'!$V$4:$V$1116,$V106)/SUMIFS('Comp2016-2017 (3)'!$G$5:$G$289,'Comp2016-2017 (3)'!$A$5:$A$289,$D106,'Comp2016-2017 (3)'!$R$5:$R$289,$V106)*$AB106))</f>
        <v/>
      </c>
      <c r="AJ106" s="2">
        <f>IF($W106=AJ$3,$AB106,IF(NOT($W106=0),"",SUMIFS('Val-Vol (2)'!AJ$4:AJ$1116,'Val-Vol (2)'!$A$4:$A$1116,$D106,'Val-Vol (2)'!$V$4:$V$1116,$V106)/SUMIFS('Comp2016-2017 (3)'!$G$5:$G$289,'Comp2016-2017 (3)'!$A$5:$A$289,$D106,'Comp2016-2017 (3)'!$R$5:$R$289,$V106)*$AB106))</f>
        <v>530.02382806758419</v>
      </c>
      <c r="AK106" s="2">
        <f t="shared" si="10"/>
        <v>0</v>
      </c>
      <c r="AL106" t="str">
        <f t="shared" si="7"/>
        <v/>
      </c>
      <c r="AM106" t="str">
        <f>VLOOKUP(A106,'Table corresp.'!$M$4:$U$63,8,FALSE)</f>
        <v>Production intermédiaire</v>
      </c>
      <c r="AN106" t="str">
        <f>VLOOKUP(D106,'Table corresp.'!$M$4:$U$63,9,FALSE)</f>
        <v>Consommation finale française</v>
      </c>
    </row>
    <row r="107" spans="1:40" x14ac:dyDescent="0.25">
      <c r="A107" t="s">
        <v>82</v>
      </c>
      <c r="B107" t="str">
        <f>VLOOKUP(LEFT(A107,3),'Table corresp.'!$A$4:$D$63,3,FALSE)</f>
        <v>Transformation</v>
      </c>
      <c r="C107" t="str">
        <f>VLOOKUP(A107,'Table corresp.'!$M$4:$P$63,4,FALSE)</f>
        <v>Production et transformation de produits bois</v>
      </c>
      <c r="D107" t="s">
        <v>53</v>
      </c>
      <c r="E107" t="str">
        <f>VLOOKUP(LEFT(D107,3),'Table corresp.'!$A$4:$D$63,4,FALSE)</f>
        <v>Exportation</v>
      </c>
      <c r="F107" t="str">
        <f t="shared" si="6"/>
        <v>10  - Exp</v>
      </c>
      <c r="G107" s="1">
        <v>16023</v>
      </c>
      <c r="H107" s="1">
        <v>0</v>
      </c>
      <c r="I107" s="1">
        <v>16023</v>
      </c>
      <c r="J107" s="1">
        <v>62.520446805635665</v>
      </c>
      <c r="K107" s="1">
        <v>0</v>
      </c>
      <c r="L107" s="1">
        <v>62.520446805635665</v>
      </c>
      <c r="M107" s="1">
        <v>0</v>
      </c>
      <c r="N107" s="1">
        <v>0</v>
      </c>
      <c r="O107" s="1">
        <v>0</v>
      </c>
      <c r="P107" s="1">
        <v>0</v>
      </c>
      <c r="Q107" s="1">
        <v>0</v>
      </c>
      <c r="R107" s="1">
        <v>0</v>
      </c>
      <c r="S107" s="67"/>
      <c r="T107">
        <f>VLOOKUP(A107,'Groupe de branches'!$Z$27:$AM$86,14,FALSE)</f>
        <v>0</v>
      </c>
      <c r="U107">
        <f>VLOOKUP(D107,'Groupe de branches'!$Z$27:$AM$86,14,FALSE)</f>
        <v>0</v>
      </c>
      <c r="V107">
        <v>2016</v>
      </c>
      <c r="W107" t="str">
        <f>VLOOKUP(D107,'Table corresp.'!$M$4:$S$63,7,FALSE)</f>
        <v>Exportation</v>
      </c>
      <c r="X107" s="167">
        <f>IFERROR(G107/SUMIFS('Comp2016-2017 (3)'!$I$5:$I$289,'Comp2016-2017 (3)'!$A$5:$A$289,A107,'Comp2016-2017 (3)'!$R$5:$R$289,V107),0)</f>
        <v>0.1910141596969851</v>
      </c>
      <c r="Y107" s="178">
        <f>IFERROR(IF(RIGHT(F107,3)="Exp",VLOOKUP(F107,#REF!,2,FALSE),VLOOKUP(F107,#REF!,9,FALSE)),1)</f>
        <v>1</v>
      </c>
      <c r="Z107" s="167">
        <f t="shared" si="11"/>
        <v>7.6923076923076927E-2</v>
      </c>
      <c r="AA107" s="189">
        <f t="shared" si="9"/>
        <v>1.4693396899768086E-2</v>
      </c>
      <c r="AB107" s="2">
        <f>IFERROR(SUMIFS('Comp2016-2017 (3)'!$G$5:$G$289,'Comp2016-2017 (3)'!$A$5:$A$289,A107,'Comp2016-2017 (3)'!$R$5:$R$289,V107)*AA107/SUMIFS($AA$4:$AA$1116,$A$4:$A$1116,A107,$V$4:$V$1116,V107),0)</f>
        <v>5475.5459684892985</v>
      </c>
      <c r="AC107" s="2">
        <f>IF($W107=AC$3,$AB107,IF(NOT($W107=0),"",SUMIFS('Val-Vol (2)'!AC$4:AC$1116,'Val-Vol (2)'!$A$4:$A$1116,$D107,'Val-Vol (2)'!$V$4:$V$1116,$V107)/SUMIFS('Comp2016-2017 (3)'!$G$5:$G$289,'Comp2016-2017 (3)'!$A$5:$A$289,$D107,'Comp2016-2017 (3)'!$R$5:$R$289,$V107)*$AB107))</f>
        <v>5475.5459684892985</v>
      </c>
      <c r="AD107" s="2" t="str">
        <f>IF($W107=AD$3,$AB107,IF(NOT($W107=0),"",SUMIFS('Val-Vol (2)'!AD$4:AD$1116,'Val-Vol (2)'!$A$4:$A$1116,$D107,'Val-Vol (2)'!$V$4:$V$1116,$V107)/SUMIFS('Comp2016-2017 (3)'!$G$5:$G$289,'Comp2016-2017 (3)'!$A$5:$A$289,$D107,'Comp2016-2017 (3)'!$R$5:$R$289,$V107)*$AB107))</f>
        <v/>
      </c>
      <c r="AE107" s="2" t="str">
        <f>IF($W107=AE$3,$AB107,IF(NOT($W107=0),"",SUMIFS('Val-Vol (2)'!AE$4:AE$1116,'Val-Vol (2)'!$A$4:$A$1116,$D107,'Val-Vol (2)'!$V$4:$V$1116,$V107)/SUMIFS('Comp2016-2017 (3)'!$G$5:$G$289,'Comp2016-2017 (3)'!$A$5:$A$289,$D107,'Comp2016-2017 (3)'!$R$5:$R$289,$V107)*$AB107))</f>
        <v/>
      </c>
      <c r="AF107" s="2" t="str">
        <f>IF($W107=AF$3,$AB107,IF(NOT($W107=0),"",SUMIFS('Val-Vol (2)'!AF$4:AF$1116,'Val-Vol (2)'!$A$4:$A$1116,$D107,'Val-Vol (2)'!$V$4:$V$1116,$V107)/SUMIFS('Comp2016-2017 (3)'!$G$5:$G$289,'Comp2016-2017 (3)'!$A$5:$A$289,$D107,'Comp2016-2017 (3)'!$R$5:$R$289,$V107)*$AB107))</f>
        <v/>
      </c>
      <c r="AG107" s="2" t="str">
        <f>IF($W107=AG$3,$AB107,IF(NOT($W107=0),"",SUMIFS('Val-Vol (2)'!AG$4:AG$1116,'Val-Vol (2)'!$A$4:$A$1116,$D107,'Val-Vol (2)'!$V$4:$V$1116,$V107)/SUMIFS('Comp2016-2017 (3)'!$G$5:$G$289,'Comp2016-2017 (3)'!$A$5:$A$289,$D107,'Comp2016-2017 (3)'!$R$5:$R$289,$V107)*$AB107))</f>
        <v/>
      </c>
      <c r="AH107" s="2" t="str">
        <f>IF($W107=AH$3,$AB107,IF(NOT($W107=0),"",SUMIFS('Val-Vol (2)'!AH$4:AH$1116,'Val-Vol (2)'!$A$4:$A$1116,$D107,'Val-Vol (2)'!$V$4:$V$1116,$V107)/SUMIFS('Comp2016-2017 (3)'!$G$5:$G$289,'Comp2016-2017 (3)'!$A$5:$A$289,$D107,'Comp2016-2017 (3)'!$R$5:$R$289,$V107)*$AB107))</f>
        <v/>
      </c>
      <c r="AI107" s="2" t="str">
        <f>IF($W107=AI$3,$AB107,IF(NOT($W107=0),"",SUMIFS('Val-Vol (2)'!AI$4:AI$1116,'Val-Vol (2)'!$A$4:$A$1116,$D107,'Val-Vol (2)'!$V$4:$V$1116,$V107)/SUMIFS('Comp2016-2017 (3)'!$G$5:$G$289,'Comp2016-2017 (3)'!$A$5:$A$289,$D107,'Comp2016-2017 (3)'!$R$5:$R$289,$V107)*$AB107))</f>
        <v/>
      </c>
      <c r="AJ107" s="2" t="str">
        <f>IF($W107=AJ$3,$AB107,IF(NOT($W107=0),"",SUMIFS('Val-Vol (2)'!AJ$4:AJ$1116,'Val-Vol (2)'!$A$4:$A$1116,$D107,'Val-Vol (2)'!$V$4:$V$1116,$V107)/SUMIFS('Comp2016-2017 (3)'!$G$5:$G$289,'Comp2016-2017 (3)'!$A$5:$A$289,$D107,'Comp2016-2017 (3)'!$R$5:$R$289,$V107)*$AB107))</f>
        <v/>
      </c>
      <c r="AK107" s="2">
        <f t="shared" si="10"/>
        <v>0</v>
      </c>
      <c r="AL107" t="str">
        <f t="shared" si="7"/>
        <v/>
      </c>
      <c r="AM107" t="str">
        <f>VLOOKUP(A107,'Table corresp.'!$M$4:$U$63,8,FALSE)</f>
        <v>Production intermédiaire</v>
      </c>
      <c r="AN107" t="str">
        <f>VLOOKUP(D107,'Table corresp.'!$M$4:$U$63,9,FALSE)</f>
        <v>Exportation</v>
      </c>
    </row>
    <row r="108" spans="1:40" x14ac:dyDescent="0.25">
      <c r="A108" t="s">
        <v>6</v>
      </c>
      <c r="B108" t="str">
        <f>VLOOKUP(LEFT(A108,3),'Table corresp.'!$A$4:$D$63,3,FALSE)</f>
        <v>Transformation</v>
      </c>
      <c r="C108" t="str">
        <f>VLOOKUP(A108,'Table corresp.'!$M$4:$P$63,4,FALSE)</f>
        <v>Production et transformation de produits bois</v>
      </c>
      <c r="D108" t="s">
        <v>13</v>
      </c>
      <c r="E108" t="str">
        <f>VLOOKUP(LEFT(D108,3),'Table corresp.'!$A$4:$D$63,4,FALSE)</f>
        <v>Transformation</v>
      </c>
      <c r="F108" t="str">
        <f t="shared" si="6"/>
        <v xml:space="preserve">11  - 20 </v>
      </c>
      <c r="G108" s="1">
        <v>0</v>
      </c>
      <c r="H108" s="1">
        <v>2587.5</v>
      </c>
      <c r="I108" s="1">
        <v>2587.5</v>
      </c>
      <c r="J108" s="1">
        <v>0</v>
      </c>
      <c r="K108" s="1">
        <v>2.8351316462118139</v>
      </c>
      <c r="L108" s="1">
        <v>2.8351316462118139</v>
      </c>
      <c r="M108" s="1">
        <v>0</v>
      </c>
      <c r="N108" s="1">
        <v>0</v>
      </c>
      <c r="O108" s="1">
        <v>0</v>
      </c>
      <c r="P108" s="1">
        <v>0</v>
      </c>
      <c r="Q108" s="1">
        <v>0</v>
      </c>
      <c r="R108" s="1">
        <v>0</v>
      </c>
      <c r="S108" s="67"/>
      <c r="T108">
        <f>VLOOKUP(A108,'Groupe de branches'!$Z$27:$AM$86,14,FALSE)</f>
        <v>0</v>
      </c>
      <c r="U108">
        <f>VLOOKUP(D108,'Groupe de branches'!$Z$27:$AM$86,14,FALSE)</f>
        <v>0</v>
      </c>
      <c r="V108">
        <v>2016</v>
      </c>
      <c r="W108">
        <f>VLOOKUP(D108,'Table corresp.'!$M$4:$S$63,7,FALSE)</f>
        <v>0</v>
      </c>
      <c r="X108" s="167">
        <f>IFERROR(G108/SUMIFS('Comp2016-2017 (3)'!$I$5:$I$289,'Comp2016-2017 (3)'!$A$5:$A$289,A108,'Comp2016-2017 (3)'!$R$5:$R$289,V108),0)</f>
        <v>0</v>
      </c>
      <c r="Y108" s="178">
        <f>IFERROR(IF(RIGHT(F108,3)="Exp",VLOOKUP(F108,#REF!,2,FALSE),VLOOKUP(F108,#REF!,9,FALSE)),1)</f>
        <v>1</v>
      </c>
      <c r="Z108" s="167">
        <f t="shared" si="11"/>
        <v>9.0909090909090912E-2</v>
      </c>
      <c r="AA108" s="189">
        <f t="shared" si="9"/>
        <v>0</v>
      </c>
      <c r="AB108" s="2">
        <f>IFERROR(SUMIFS('Comp2016-2017 (3)'!$G$5:$G$289,'Comp2016-2017 (3)'!$A$5:$A$289,A108,'Comp2016-2017 (3)'!$R$5:$R$289,V108)*AA108/SUMIFS($AA$4:$AA$1116,$A$4:$A$1116,A108,$V$4:$V$1116,V108),0)</f>
        <v>0</v>
      </c>
      <c r="AC108" s="2">
        <f>IF($W108=AC$3,$AB108,IF(NOT($W108=0),"",SUMIFS('Val-Vol (2)'!AC$4:AC$1116,'Val-Vol (2)'!$A$4:$A$1116,$D108,'Val-Vol (2)'!$V$4:$V$1116,$V108)/SUMIFS('Comp2016-2017 (3)'!$G$5:$G$289,'Comp2016-2017 (3)'!$A$5:$A$289,$D108,'Comp2016-2017 (3)'!$R$5:$R$289,$V108)*$AB108))</f>
        <v>0</v>
      </c>
      <c r="AD108" s="2">
        <f>IF($W108=AD$3,$AB108,IF(NOT($W108=0),"",SUMIFS('Val-Vol (2)'!AD$4:AD$1116,'Val-Vol (2)'!$A$4:$A$1116,$D108,'Val-Vol (2)'!$V$4:$V$1116,$V108)/SUMIFS('Comp2016-2017 (3)'!$G$5:$G$289,'Comp2016-2017 (3)'!$A$5:$A$289,$D108,'Comp2016-2017 (3)'!$R$5:$R$289,$V108)*$AB108))</f>
        <v>0</v>
      </c>
      <c r="AE108" s="2">
        <f>IF($W108=AE$3,$AB108,IF(NOT($W108=0),"",SUMIFS('Val-Vol (2)'!AE$4:AE$1116,'Val-Vol (2)'!$A$4:$A$1116,$D108,'Val-Vol (2)'!$V$4:$V$1116,$V108)/SUMIFS('Comp2016-2017 (3)'!$G$5:$G$289,'Comp2016-2017 (3)'!$A$5:$A$289,$D108,'Comp2016-2017 (3)'!$R$5:$R$289,$V108)*$AB108))</f>
        <v>0</v>
      </c>
      <c r="AF108" s="2">
        <f>IF($W108=AF$3,$AB108,IF(NOT($W108=0),"",SUMIFS('Val-Vol (2)'!AF$4:AF$1116,'Val-Vol (2)'!$A$4:$A$1116,$D108,'Val-Vol (2)'!$V$4:$V$1116,$V108)/SUMIFS('Comp2016-2017 (3)'!$G$5:$G$289,'Comp2016-2017 (3)'!$A$5:$A$289,$D108,'Comp2016-2017 (3)'!$R$5:$R$289,$V108)*$AB108))</f>
        <v>0</v>
      </c>
      <c r="AG108" s="2">
        <f>IF($W108=AG$3,$AB108,IF(NOT($W108=0),"",SUMIFS('Val-Vol (2)'!AG$4:AG$1116,'Val-Vol (2)'!$A$4:$A$1116,$D108,'Val-Vol (2)'!$V$4:$V$1116,$V108)/SUMIFS('Comp2016-2017 (3)'!$G$5:$G$289,'Comp2016-2017 (3)'!$A$5:$A$289,$D108,'Comp2016-2017 (3)'!$R$5:$R$289,$V108)*$AB108))</f>
        <v>0</v>
      </c>
      <c r="AH108" s="2">
        <f>IF($W108=AH$3,$AB108,IF(NOT($W108=0),"",SUMIFS('Val-Vol (2)'!AH$4:AH$1116,'Val-Vol (2)'!$A$4:$A$1116,$D108,'Val-Vol (2)'!$V$4:$V$1116,$V108)/SUMIFS('Comp2016-2017 (3)'!$G$5:$G$289,'Comp2016-2017 (3)'!$A$5:$A$289,$D108,'Comp2016-2017 (3)'!$R$5:$R$289,$V108)*$AB108))</f>
        <v>0</v>
      </c>
      <c r="AI108" s="2">
        <f>IF($W108=AI$3,$AB108,IF(NOT($W108=0),"",SUMIFS('Val-Vol (2)'!AI$4:AI$1116,'Val-Vol (2)'!$A$4:$A$1116,$D108,'Val-Vol (2)'!$V$4:$V$1116,$V108)/SUMIFS('Comp2016-2017 (3)'!$G$5:$G$289,'Comp2016-2017 (3)'!$A$5:$A$289,$D108,'Comp2016-2017 (3)'!$R$5:$R$289,$V108)*$AB108))</f>
        <v>0</v>
      </c>
      <c r="AJ108" s="2">
        <f>IF($W108=AJ$3,$AB108,IF(NOT($W108=0),"",SUMIFS('Val-Vol (2)'!AJ$4:AJ$1116,'Val-Vol (2)'!$A$4:$A$1116,$D108,'Val-Vol (2)'!$V$4:$V$1116,$V108)/SUMIFS('Comp2016-2017 (3)'!$G$5:$G$289,'Comp2016-2017 (3)'!$A$5:$A$289,$D108,'Comp2016-2017 (3)'!$R$5:$R$289,$V108)*$AB108))</f>
        <v>0</v>
      </c>
      <c r="AK108" s="2">
        <f t="shared" si="10"/>
        <v>0</v>
      </c>
      <c r="AL108" t="str">
        <f t="shared" si="7"/>
        <v/>
      </c>
      <c r="AM108" t="str">
        <f>VLOOKUP(A108,'Table corresp.'!$M$4:$U$63,8,FALSE)</f>
        <v>Production intermédiaire</v>
      </c>
      <c r="AN108" t="str">
        <f>VLOOKUP(D108,'Table corresp.'!$M$4:$U$63,9,FALSE)</f>
        <v>Production intermédiaire</v>
      </c>
    </row>
    <row r="109" spans="1:40" x14ac:dyDescent="0.25">
      <c r="A109" t="s">
        <v>6</v>
      </c>
      <c r="B109" t="str">
        <f>VLOOKUP(LEFT(A109,3),'Table corresp.'!$A$4:$D$63,3,FALSE)</f>
        <v>Transformation</v>
      </c>
      <c r="C109" t="str">
        <f>VLOOKUP(A109,'Table corresp.'!$M$4:$P$63,4,FALSE)</f>
        <v>Production et transformation de produits bois</v>
      </c>
      <c r="D109" t="s">
        <v>89</v>
      </c>
      <c r="E109" t="str">
        <f>VLOOKUP(LEFT(D109,3),'Table corresp.'!$A$4:$D$63,4,FALSE)</f>
        <v>Transformation</v>
      </c>
      <c r="F109" t="str">
        <f t="shared" si="6"/>
        <v xml:space="preserve">11  - 33 </v>
      </c>
      <c r="G109" s="1">
        <v>0</v>
      </c>
      <c r="H109" s="1">
        <v>4451</v>
      </c>
      <c r="I109" s="1">
        <v>4451</v>
      </c>
      <c r="J109" s="1">
        <v>0</v>
      </c>
      <c r="K109" s="1">
        <v>4.8769742830101572</v>
      </c>
      <c r="L109" s="1">
        <v>4.8769742830101572</v>
      </c>
      <c r="M109" s="1">
        <v>0</v>
      </c>
      <c r="N109" s="1">
        <v>0</v>
      </c>
      <c r="O109" s="1">
        <v>0</v>
      </c>
      <c r="P109" s="1">
        <v>0</v>
      </c>
      <c r="Q109" s="1">
        <v>0</v>
      </c>
      <c r="R109" s="1">
        <v>0</v>
      </c>
      <c r="S109" s="67"/>
      <c r="T109">
        <f>VLOOKUP(A109,'Groupe de branches'!$Z$27:$AM$86,14,FALSE)</f>
        <v>0</v>
      </c>
      <c r="U109">
        <f>VLOOKUP(D109,'Groupe de branches'!$Z$27:$AM$86,14,FALSE)</f>
        <v>0</v>
      </c>
      <c r="V109">
        <v>2016</v>
      </c>
      <c r="W109" t="str">
        <f>VLOOKUP(D109,'Table corresp.'!$M$4:$S$63,7,FALSE)</f>
        <v>Construction</v>
      </c>
      <c r="X109" s="167">
        <f>IFERROR(G109/SUMIFS('Comp2016-2017 (3)'!$I$5:$I$289,'Comp2016-2017 (3)'!$A$5:$A$289,A109,'Comp2016-2017 (3)'!$R$5:$R$289,V109),0)</f>
        <v>0</v>
      </c>
      <c r="Y109" s="178">
        <f>IFERROR(IF(RIGHT(F109,3)="Exp",VLOOKUP(F109,#REF!,2,FALSE),VLOOKUP(F109,#REF!,9,FALSE)),1)</f>
        <v>1</v>
      </c>
      <c r="Z109" s="167">
        <f t="shared" si="11"/>
        <v>9.0909090909090912E-2</v>
      </c>
      <c r="AA109" s="189">
        <f t="shared" si="9"/>
        <v>0</v>
      </c>
      <c r="AB109" s="2">
        <f>IFERROR(SUMIFS('Comp2016-2017 (3)'!$G$5:$G$289,'Comp2016-2017 (3)'!$A$5:$A$289,A109,'Comp2016-2017 (3)'!$R$5:$R$289,V109)*AA109/SUMIFS($AA$4:$AA$1116,$A$4:$A$1116,A109,$V$4:$V$1116,V109),0)</f>
        <v>0</v>
      </c>
      <c r="AC109" s="2" t="str">
        <f>IF($W109=AC$3,$AB109,IF(NOT($W109=0),"",SUMIFS('Val-Vol (2)'!AC$4:AC$1116,'Val-Vol (2)'!$A$4:$A$1116,$D109,'Val-Vol (2)'!$V$4:$V$1116,$V109)/SUMIFS('Comp2016-2017 (3)'!$G$5:$G$289,'Comp2016-2017 (3)'!$A$5:$A$289,$D109,'Comp2016-2017 (3)'!$R$5:$R$289,$V109)*$AB109))</f>
        <v/>
      </c>
      <c r="AD109" s="2">
        <f>IF($W109=AD$3,$AB109,IF(NOT($W109=0),"",SUMIFS('Val-Vol (2)'!AD$4:AD$1116,'Val-Vol (2)'!$A$4:$A$1116,$D109,'Val-Vol (2)'!$V$4:$V$1116,$V109)/SUMIFS('Comp2016-2017 (3)'!$G$5:$G$289,'Comp2016-2017 (3)'!$A$5:$A$289,$D109,'Comp2016-2017 (3)'!$R$5:$R$289,$V109)*$AB109))</f>
        <v>0</v>
      </c>
      <c r="AE109" s="2" t="str">
        <f>IF($W109=AE$3,$AB109,IF(NOT($W109=0),"",SUMIFS('Val-Vol (2)'!AE$4:AE$1116,'Val-Vol (2)'!$A$4:$A$1116,$D109,'Val-Vol (2)'!$V$4:$V$1116,$V109)/SUMIFS('Comp2016-2017 (3)'!$G$5:$G$289,'Comp2016-2017 (3)'!$A$5:$A$289,$D109,'Comp2016-2017 (3)'!$R$5:$R$289,$V109)*$AB109))</f>
        <v/>
      </c>
      <c r="AF109" s="2" t="str">
        <f>IF($W109=AF$3,$AB109,IF(NOT($W109=0),"",SUMIFS('Val-Vol (2)'!AF$4:AF$1116,'Val-Vol (2)'!$A$4:$A$1116,$D109,'Val-Vol (2)'!$V$4:$V$1116,$V109)/SUMIFS('Comp2016-2017 (3)'!$G$5:$G$289,'Comp2016-2017 (3)'!$A$5:$A$289,$D109,'Comp2016-2017 (3)'!$R$5:$R$289,$V109)*$AB109))</f>
        <v/>
      </c>
      <c r="AG109" s="2" t="str">
        <f>IF($W109=AG$3,$AB109,IF(NOT($W109=0),"",SUMIFS('Val-Vol (2)'!AG$4:AG$1116,'Val-Vol (2)'!$A$4:$A$1116,$D109,'Val-Vol (2)'!$V$4:$V$1116,$V109)/SUMIFS('Comp2016-2017 (3)'!$G$5:$G$289,'Comp2016-2017 (3)'!$A$5:$A$289,$D109,'Comp2016-2017 (3)'!$R$5:$R$289,$V109)*$AB109))</f>
        <v/>
      </c>
      <c r="AH109" s="2" t="str">
        <f>IF($W109=AH$3,$AB109,IF(NOT($W109=0),"",SUMIFS('Val-Vol (2)'!AH$4:AH$1116,'Val-Vol (2)'!$A$4:$A$1116,$D109,'Val-Vol (2)'!$V$4:$V$1116,$V109)/SUMIFS('Comp2016-2017 (3)'!$G$5:$G$289,'Comp2016-2017 (3)'!$A$5:$A$289,$D109,'Comp2016-2017 (3)'!$R$5:$R$289,$V109)*$AB109))</f>
        <v/>
      </c>
      <c r="AI109" s="2" t="str">
        <f>IF($W109=AI$3,$AB109,IF(NOT($W109=0),"",SUMIFS('Val-Vol (2)'!AI$4:AI$1116,'Val-Vol (2)'!$A$4:$A$1116,$D109,'Val-Vol (2)'!$V$4:$V$1116,$V109)/SUMIFS('Comp2016-2017 (3)'!$G$5:$G$289,'Comp2016-2017 (3)'!$A$5:$A$289,$D109,'Comp2016-2017 (3)'!$R$5:$R$289,$V109)*$AB109))</f>
        <v/>
      </c>
      <c r="AJ109" s="2" t="str">
        <f>IF($W109=AJ$3,$AB109,IF(NOT($W109=0),"",SUMIFS('Val-Vol (2)'!AJ$4:AJ$1116,'Val-Vol (2)'!$A$4:$A$1116,$D109,'Val-Vol (2)'!$V$4:$V$1116,$V109)/SUMIFS('Comp2016-2017 (3)'!$G$5:$G$289,'Comp2016-2017 (3)'!$A$5:$A$289,$D109,'Comp2016-2017 (3)'!$R$5:$R$289,$V109)*$AB109))</f>
        <v/>
      </c>
      <c r="AK109" s="2">
        <f t="shared" si="10"/>
        <v>0</v>
      </c>
      <c r="AL109" t="str">
        <f t="shared" si="7"/>
        <v/>
      </c>
      <c r="AM109" t="str">
        <f>VLOOKUP(A109,'Table corresp.'!$M$4:$U$63,8,FALSE)</f>
        <v>Production intermédiaire</v>
      </c>
      <c r="AN109" t="str">
        <f>VLOOKUP(D109,'Table corresp.'!$M$4:$U$63,9,FALSE)</f>
        <v>Production finale</v>
      </c>
    </row>
    <row r="110" spans="1:40" x14ac:dyDescent="0.25">
      <c r="A110" t="s">
        <v>6</v>
      </c>
      <c r="B110" t="str">
        <f>VLOOKUP(LEFT(A110,3),'Table corresp.'!$A$4:$D$63,3,FALSE)</f>
        <v>Transformation</v>
      </c>
      <c r="C110" t="str">
        <f>VLOOKUP(A110,'Table corresp.'!$M$4:$P$63,4,FALSE)</f>
        <v>Production et transformation de produits bois</v>
      </c>
      <c r="D110" t="s">
        <v>15</v>
      </c>
      <c r="E110" t="str">
        <f>VLOOKUP(LEFT(D110,3),'Table corresp.'!$A$4:$D$63,4,FALSE)</f>
        <v>Transformation</v>
      </c>
      <c r="F110" t="str">
        <f t="shared" si="6"/>
        <v xml:space="preserve">11  - 35 </v>
      </c>
      <c r="G110" s="1">
        <v>0</v>
      </c>
      <c r="H110" s="1">
        <v>32948.705328738826</v>
      </c>
      <c r="I110" s="1">
        <v>32948.705328738826</v>
      </c>
      <c r="J110" s="1">
        <v>0</v>
      </c>
      <c r="K110" s="1">
        <v>36.101996977474499</v>
      </c>
      <c r="L110" s="1">
        <v>36.101996977474499</v>
      </c>
      <c r="M110" s="1">
        <v>0</v>
      </c>
      <c r="N110" s="1">
        <v>0</v>
      </c>
      <c r="O110" s="1">
        <v>0</v>
      </c>
      <c r="P110" s="1">
        <v>0</v>
      </c>
      <c r="Q110" s="1">
        <v>0</v>
      </c>
      <c r="R110" s="1">
        <v>0</v>
      </c>
      <c r="S110" s="67"/>
      <c r="T110">
        <f>VLOOKUP(A110,'Groupe de branches'!$Z$27:$AM$86,14,FALSE)</f>
        <v>0</v>
      </c>
      <c r="U110">
        <f>VLOOKUP(D110,'Groupe de branches'!$Z$27:$AM$86,14,FALSE)</f>
        <v>0</v>
      </c>
      <c r="V110">
        <v>2016</v>
      </c>
      <c r="W110" t="str">
        <f>VLOOKUP(D110,'Table corresp.'!$M$4:$S$63,7,FALSE)</f>
        <v>Construction</v>
      </c>
      <c r="X110" s="167">
        <f>IFERROR(G110/SUMIFS('Comp2016-2017 (3)'!$I$5:$I$289,'Comp2016-2017 (3)'!$A$5:$A$289,A110,'Comp2016-2017 (3)'!$R$5:$R$289,V110),0)</f>
        <v>0</v>
      </c>
      <c r="Y110" s="178">
        <f>IFERROR(IF(RIGHT(F110,3)="Exp",VLOOKUP(F110,#REF!,2,FALSE),VLOOKUP(F110,#REF!,9,FALSE)),1)</f>
        <v>1</v>
      </c>
      <c r="Z110" s="167">
        <f t="shared" si="11"/>
        <v>9.0909090909090912E-2</v>
      </c>
      <c r="AA110" s="189">
        <f t="shared" si="9"/>
        <v>0</v>
      </c>
      <c r="AB110" s="2">
        <f>IFERROR(SUMIFS('Comp2016-2017 (3)'!$G$5:$G$289,'Comp2016-2017 (3)'!$A$5:$A$289,A110,'Comp2016-2017 (3)'!$R$5:$R$289,V110)*AA110/SUMIFS($AA$4:$AA$1116,$A$4:$A$1116,A110,$V$4:$V$1116,V110),0)</f>
        <v>0</v>
      </c>
      <c r="AC110" s="2" t="str">
        <f>IF($W110=AC$3,$AB110,IF(NOT($W110=0),"",SUMIFS('Val-Vol (2)'!AC$4:AC$1116,'Val-Vol (2)'!$A$4:$A$1116,$D110,'Val-Vol (2)'!$V$4:$V$1116,$V110)/SUMIFS('Comp2016-2017 (3)'!$G$5:$G$289,'Comp2016-2017 (3)'!$A$5:$A$289,$D110,'Comp2016-2017 (3)'!$R$5:$R$289,$V110)*$AB110))</f>
        <v/>
      </c>
      <c r="AD110" s="2">
        <f>IF($W110=AD$3,$AB110,IF(NOT($W110=0),"",SUMIFS('Val-Vol (2)'!AD$4:AD$1116,'Val-Vol (2)'!$A$4:$A$1116,$D110,'Val-Vol (2)'!$V$4:$V$1116,$V110)/SUMIFS('Comp2016-2017 (3)'!$G$5:$G$289,'Comp2016-2017 (3)'!$A$5:$A$289,$D110,'Comp2016-2017 (3)'!$R$5:$R$289,$V110)*$AB110))</f>
        <v>0</v>
      </c>
      <c r="AE110" s="2" t="str">
        <f>IF($W110=AE$3,$AB110,IF(NOT($W110=0),"",SUMIFS('Val-Vol (2)'!AE$4:AE$1116,'Val-Vol (2)'!$A$4:$A$1116,$D110,'Val-Vol (2)'!$V$4:$V$1116,$V110)/SUMIFS('Comp2016-2017 (3)'!$G$5:$G$289,'Comp2016-2017 (3)'!$A$5:$A$289,$D110,'Comp2016-2017 (3)'!$R$5:$R$289,$V110)*$AB110))</f>
        <v/>
      </c>
      <c r="AF110" s="2" t="str">
        <f>IF($W110=AF$3,$AB110,IF(NOT($W110=0),"",SUMIFS('Val-Vol (2)'!AF$4:AF$1116,'Val-Vol (2)'!$A$4:$A$1116,$D110,'Val-Vol (2)'!$V$4:$V$1116,$V110)/SUMIFS('Comp2016-2017 (3)'!$G$5:$G$289,'Comp2016-2017 (3)'!$A$5:$A$289,$D110,'Comp2016-2017 (3)'!$R$5:$R$289,$V110)*$AB110))</f>
        <v/>
      </c>
      <c r="AG110" s="2" t="str">
        <f>IF($W110=AG$3,$AB110,IF(NOT($W110=0),"",SUMIFS('Val-Vol (2)'!AG$4:AG$1116,'Val-Vol (2)'!$A$4:$A$1116,$D110,'Val-Vol (2)'!$V$4:$V$1116,$V110)/SUMIFS('Comp2016-2017 (3)'!$G$5:$G$289,'Comp2016-2017 (3)'!$A$5:$A$289,$D110,'Comp2016-2017 (3)'!$R$5:$R$289,$V110)*$AB110))</f>
        <v/>
      </c>
      <c r="AH110" s="2" t="str">
        <f>IF($W110=AH$3,$AB110,IF(NOT($W110=0),"",SUMIFS('Val-Vol (2)'!AH$4:AH$1116,'Val-Vol (2)'!$A$4:$A$1116,$D110,'Val-Vol (2)'!$V$4:$V$1116,$V110)/SUMIFS('Comp2016-2017 (3)'!$G$5:$G$289,'Comp2016-2017 (3)'!$A$5:$A$289,$D110,'Comp2016-2017 (3)'!$R$5:$R$289,$V110)*$AB110))</f>
        <v/>
      </c>
      <c r="AI110" s="2" t="str">
        <f>IF($W110=AI$3,$AB110,IF(NOT($W110=0),"",SUMIFS('Val-Vol (2)'!AI$4:AI$1116,'Val-Vol (2)'!$A$4:$A$1116,$D110,'Val-Vol (2)'!$V$4:$V$1116,$V110)/SUMIFS('Comp2016-2017 (3)'!$G$5:$G$289,'Comp2016-2017 (3)'!$A$5:$A$289,$D110,'Comp2016-2017 (3)'!$R$5:$R$289,$V110)*$AB110))</f>
        <v/>
      </c>
      <c r="AJ110" s="2" t="str">
        <f>IF($W110=AJ$3,$AB110,IF(NOT($W110=0),"",SUMIFS('Val-Vol (2)'!AJ$4:AJ$1116,'Val-Vol (2)'!$A$4:$A$1116,$D110,'Val-Vol (2)'!$V$4:$V$1116,$V110)/SUMIFS('Comp2016-2017 (3)'!$G$5:$G$289,'Comp2016-2017 (3)'!$A$5:$A$289,$D110,'Comp2016-2017 (3)'!$R$5:$R$289,$V110)*$AB110))</f>
        <v/>
      </c>
      <c r="AK110" s="2">
        <f t="shared" si="10"/>
        <v>0</v>
      </c>
      <c r="AL110" t="str">
        <f t="shared" si="7"/>
        <v/>
      </c>
      <c r="AM110" t="str">
        <f>VLOOKUP(A110,'Table corresp.'!$M$4:$U$63,8,FALSE)</f>
        <v>Production intermédiaire</v>
      </c>
      <c r="AN110" t="str">
        <f>VLOOKUP(D110,'Table corresp.'!$M$4:$U$63,9,FALSE)</f>
        <v>Production finale</v>
      </c>
    </row>
    <row r="111" spans="1:40" x14ac:dyDescent="0.25">
      <c r="A111" t="s">
        <v>6</v>
      </c>
      <c r="B111" t="str">
        <f>VLOOKUP(LEFT(A111,3),'Table corresp.'!$A$4:$D$63,3,FALSE)</f>
        <v>Transformation</v>
      </c>
      <c r="C111" t="str">
        <f>VLOOKUP(A111,'Table corresp.'!$M$4:$P$63,4,FALSE)</f>
        <v>Production et transformation de produits bois</v>
      </c>
      <c r="D111" t="s">
        <v>16</v>
      </c>
      <c r="E111" t="str">
        <f>VLOOKUP(LEFT(D111,3),'Table corresp.'!$A$4:$D$63,4,FALSE)</f>
        <v>Transformation</v>
      </c>
      <c r="F111" t="str">
        <f t="shared" si="6"/>
        <v xml:space="preserve">11  - 36 </v>
      </c>
      <c r="G111" s="1">
        <v>0</v>
      </c>
      <c r="H111" s="1">
        <v>1476.8357175000001</v>
      </c>
      <c r="I111" s="1">
        <v>1476.8357175000001</v>
      </c>
      <c r="J111" s="1">
        <v>0</v>
      </c>
      <c r="K111" s="1">
        <v>1.6181734024889587</v>
      </c>
      <c r="L111" s="1">
        <v>1.6181734024889587</v>
      </c>
      <c r="M111" s="1">
        <v>0</v>
      </c>
      <c r="N111" s="1">
        <v>0</v>
      </c>
      <c r="O111" s="1">
        <v>0</v>
      </c>
      <c r="P111" s="1">
        <v>0</v>
      </c>
      <c r="Q111" s="1">
        <v>0</v>
      </c>
      <c r="R111" s="1">
        <v>0</v>
      </c>
      <c r="S111" s="67"/>
      <c r="T111">
        <f>VLOOKUP(A111,'Groupe de branches'!$Z$27:$AM$86,14,FALSE)</f>
        <v>0</v>
      </c>
      <c r="U111">
        <f>VLOOKUP(D111,'Groupe de branches'!$Z$27:$AM$86,14,FALSE)</f>
        <v>0</v>
      </c>
      <c r="V111">
        <v>2016</v>
      </c>
      <c r="W111" t="str">
        <f>VLOOKUP(D111,'Table corresp.'!$M$4:$S$63,7,FALSE)</f>
        <v>Construction</v>
      </c>
      <c r="X111" s="167">
        <f>IFERROR(G111/SUMIFS('Comp2016-2017 (3)'!$I$5:$I$289,'Comp2016-2017 (3)'!$A$5:$A$289,A111,'Comp2016-2017 (3)'!$R$5:$R$289,V111),0)</f>
        <v>0</v>
      </c>
      <c r="Y111" s="178">
        <f>IFERROR(IF(RIGHT(F111,3)="Exp",VLOOKUP(F111,#REF!,2,FALSE),VLOOKUP(F111,#REF!,9,FALSE)),1)</f>
        <v>1</v>
      </c>
      <c r="Z111" s="167">
        <f t="shared" si="11"/>
        <v>9.0909090909090912E-2</v>
      </c>
      <c r="AA111" s="189">
        <f t="shared" si="9"/>
        <v>0</v>
      </c>
      <c r="AB111" s="2">
        <f>IFERROR(SUMIFS('Comp2016-2017 (3)'!$G$5:$G$289,'Comp2016-2017 (3)'!$A$5:$A$289,A111,'Comp2016-2017 (3)'!$R$5:$R$289,V111)*AA111/SUMIFS($AA$4:$AA$1116,$A$4:$A$1116,A111,$V$4:$V$1116,V111),0)</f>
        <v>0</v>
      </c>
      <c r="AC111" s="2" t="str">
        <f>IF($W111=AC$3,$AB111,IF(NOT($W111=0),"",SUMIFS('Val-Vol (2)'!AC$4:AC$1116,'Val-Vol (2)'!$A$4:$A$1116,$D111,'Val-Vol (2)'!$V$4:$V$1116,$V111)/SUMIFS('Comp2016-2017 (3)'!$G$5:$G$289,'Comp2016-2017 (3)'!$A$5:$A$289,$D111,'Comp2016-2017 (3)'!$R$5:$R$289,$V111)*$AB111))</f>
        <v/>
      </c>
      <c r="AD111" s="2">
        <f>IF($W111=AD$3,$AB111,IF(NOT($W111=0),"",SUMIFS('Val-Vol (2)'!AD$4:AD$1116,'Val-Vol (2)'!$A$4:$A$1116,$D111,'Val-Vol (2)'!$V$4:$V$1116,$V111)/SUMIFS('Comp2016-2017 (3)'!$G$5:$G$289,'Comp2016-2017 (3)'!$A$5:$A$289,$D111,'Comp2016-2017 (3)'!$R$5:$R$289,$V111)*$AB111))</f>
        <v>0</v>
      </c>
      <c r="AE111" s="2" t="str">
        <f>IF($W111=AE$3,$AB111,IF(NOT($W111=0),"",SUMIFS('Val-Vol (2)'!AE$4:AE$1116,'Val-Vol (2)'!$A$4:$A$1116,$D111,'Val-Vol (2)'!$V$4:$V$1116,$V111)/SUMIFS('Comp2016-2017 (3)'!$G$5:$G$289,'Comp2016-2017 (3)'!$A$5:$A$289,$D111,'Comp2016-2017 (3)'!$R$5:$R$289,$V111)*$AB111))</f>
        <v/>
      </c>
      <c r="AF111" s="2" t="str">
        <f>IF($W111=AF$3,$AB111,IF(NOT($W111=0),"",SUMIFS('Val-Vol (2)'!AF$4:AF$1116,'Val-Vol (2)'!$A$4:$A$1116,$D111,'Val-Vol (2)'!$V$4:$V$1116,$V111)/SUMIFS('Comp2016-2017 (3)'!$G$5:$G$289,'Comp2016-2017 (3)'!$A$5:$A$289,$D111,'Comp2016-2017 (3)'!$R$5:$R$289,$V111)*$AB111))</f>
        <v/>
      </c>
      <c r="AG111" s="2" t="str">
        <f>IF($W111=AG$3,$AB111,IF(NOT($W111=0),"",SUMIFS('Val-Vol (2)'!AG$4:AG$1116,'Val-Vol (2)'!$A$4:$A$1116,$D111,'Val-Vol (2)'!$V$4:$V$1116,$V111)/SUMIFS('Comp2016-2017 (3)'!$G$5:$G$289,'Comp2016-2017 (3)'!$A$5:$A$289,$D111,'Comp2016-2017 (3)'!$R$5:$R$289,$V111)*$AB111))</f>
        <v/>
      </c>
      <c r="AH111" s="2" t="str">
        <f>IF($W111=AH$3,$AB111,IF(NOT($W111=0),"",SUMIFS('Val-Vol (2)'!AH$4:AH$1116,'Val-Vol (2)'!$A$4:$A$1116,$D111,'Val-Vol (2)'!$V$4:$V$1116,$V111)/SUMIFS('Comp2016-2017 (3)'!$G$5:$G$289,'Comp2016-2017 (3)'!$A$5:$A$289,$D111,'Comp2016-2017 (3)'!$R$5:$R$289,$V111)*$AB111))</f>
        <v/>
      </c>
      <c r="AI111" s="2" t="str">
        <f>IF($W111=AI$3,$AB111,IF(NOT($W111=0),"",SUMIFS('Val-Vol (2)'!AI$4:AI$1116,'Val-Vol (2)'!$A$4:$A$1116,$D111,'Val-Vol (2)'!$V$4:$V$1116,$V111)/SUMIFS('Comp2016-2017 (3)'!$G$5:$G$289,'Comp2016-2017 (3)'!$A$5:$A$289,$D111,'Comp2016-2017 (3)'!$R$5:$R$289,$V111)*$AB111))</f>
        <v/>
      </c>
      <c r="AJ111" s="2" t="str">
        <f>IF($W111=AJ$3,$AB111,IF(NOT($W111=0),"",SUMIFS('Val-Vol (2)'!AJ$4:AJ$1116,'Val-Vol (2)'!$A$4:$A$1116,$D111,'Val-Vol (2)'!$V$4:$V$1116,$V111)/SUMIFS('Comp2016-2017 (3)'!$G$5:$G$289,'Comp2016-2017 (3)'!$A$5:$A$289,$D111,'Comp2016-2017 (3)'!$R$5:$R$289,$V111)*$AB111))</f>
        <v/>
      </c>
      <c r="AK111" s="2">
        <f t="shared" si="10"/>
        <v>0</v>
      </c>
      <c r="AL111" t="str">
        <f t="shared" si="7"/>
        <v/>
      </c>
      <c r="AM111" t="str">
        <f>VLOOKUP(A111,'Table corresp.'!$M$4:$U$63,8,FALSE)</f>
        <v>Production intermédiaire</v>
      </c>
      <c r="AN111" t="str">
        <f>VLOOKUP(D111,'Table corresp.'!$M$4:$U$63,9,FALSE)</f>
        <v>Production finale</v>
      </c>
    </row>
    <row r="112" spans="1:40" x14ac:dyDescent="0.25">
      <c r="A112" t="s">
        <v>6</v>
      </c>
      <c r="B112" t="str">
        <f>VLOOKUP(LEFT(A112,3),'Table corresp.'!$A$4:$D$63,3,FALSE)</f>
        <v>Transformation</v>
      </c>
      <c r="C112" t="str">
        <f>VLOOKUP(A112,'Table corresp.'!$M$4:$P$63,4,FALSE)</f>
        <v>Production et transformation de produits bois</v>
      </c>
      <c r="D112" t="s">
        <v>93</v>
      </c>
      <c r="E112" t="str">
        <f>VLOOKUP(LEFT(D112,3),'Table corresp.'!$A$4:$D$63,4,FALSE)</f>
        <v>Transformation</v>
      </c>
      <c r="F112" t="str">
        <f t="shared" si="6"/>
        <v xml:space="preserve">11  - 41 </v>
      </c>
      <c r="G112" s="1">
        <v>2508.3115640000005</v>
      </c>
      <c r="H112" s="1">
        <v>3878.4558999999999</v>
      </c>
      <c r="I112" s="1">
        <v>6386.7674640000005</v>
      </c>
      <c r="J112" s="1">
        <v>2.8959878247832913</v>
      </c>
      <c r="K112" s="1">
        <v>4.2496359654210325</v>
      </c>
      <c r="L112" s="1">
        <v>7.1456237902043238</v>
      </c>
      <c r="M112" s="1">
        <v>0</v>
      </c>
      <c r="N112" s="1">
        <v>0</v>
      </c>
      <c r="O112" s="1">
        <v>0</v>
      </c>
      <c r="P112" s="1">
        <v>0</v>
      </c>
      <c r="Q112" s="1">
        <v>0</v>
      </c>
      <c r="R112" s="1">
        <v>0</v>
      </c>
      <c r="S112" s="67"/>
      <c r="T112">
        <f>VLOOKUP(A112,'Groupe de branches'!$Z$27:$AM$86,14,FALSE)</f>
        <v>0</v>
      </c>
      <c r="U112">
        <f>VLOOKUP(D112,'Groupe de branches'!$Z$27:$AM$86,14,FALSE)</f>
        <v>0</v>
      </c>
      <c r="V112">
        <v>2016</v>
      </c>
      <c r="W112" t="str">
        <f>VLOOKUP(D112,'Table corresp.'!$M$4:$S$63,7,FALSE)</f>
        <v>Produits de consommation courante</v>
      </c>
      <c r="X112" s="167">
        <f>IFERROR(G112/SUMIFS('Comp2016-2017 (3)'!$I$5:$I$289,'Comp2016-2017 (3)'!$A$5:$A$289,A112,'Comp2016-2017 (3)'!$R$5:$R$289,V112),0)</f>
        <v>0.11273779085197928</v>
      </c>
      <c r="Y112" s="178">
        <f>IFERROR(IF(RIGHT(F112,3)="Exp",VLOOKUP(F112,#REF!,2,FALSE),VLOOKUP(F112,#REF!,9,FALSE)),1)</f>
        <v>1</v>
      </c>
      <c r="Z112" s="167">
        <f t="shared" si="11"/>
        <v>9.0909090909090912E-2</v>
      </c>
      <c r="AA112" s="189">
        <f t="shared" si="9"/>
        <v>1.0248890077452662E-2</v>
      </c>
      <c r="AB112" s="2">
        <f>IFERROR(SUMIFS('Comp2016-2017 (3)'!$G$5:$G$289,'Comp2016-2017 (3)'!$A$5:$A$289,A112,'Comp2016-2017 (3)'!$R$5:$R$289,V112)*AA112/SUMIFS($AA$4:$AA$1116,$A$4:$A$1116,A112,$V$4:$V$1116,V112),0)</f>
        <v>675.52238956136159</v>
      </c>
      <c r="AC112" s="2" t="str">
        <f>IF($W112=AC$3,$AB112,IF(NOT($W112=0),"",SUMIFS('Val-Vol (2)'!AC$4:AC$1116,'Val-Vol (2)'!$A$4:$A$1116,$D112,'Val-Vol (2)'!$V$4:$V$1116,$V112)/SUMIFS('Comp2016-2017 (3)'!$G$5:$G$289,'Comp2016-2017 (3)'!$A$5:$A$289,$D112,'Comp2016-2017 (3)'!$R$5:$R$289,$V112)*$AB112))</f>
        <v/>
      </c>
      <c r="AD112" s="2" t="str">
        <f>IF($W112=AD$3,$AB112,IF(NOT($W112=0),"",SUMIFS('Val-Vol (2)'!AD$4:AD$1116,'Val-Vol (2)'!$A$4:$A$1116,$D112,'Val-Vol (2)'!$V$4:$V$1116,$V112)/SUMIFS('Comp2016-2017 (3)'!$G$5:$G$289,'Comp2016-2017 (3)'!$A$5:$A$289,$D112,'Comp2016-2017 (3)'!$R$5:$R$289,$V112)*$AB112))</f>
        <v/>
      </c>
      <c r="AE112" s="2" t="str">
        <f>IF($W112=AE$3,$AB112,IF(NOT($W112=0),"",SUMIFS('Val-Vol (2)'!AE$4:AE$1116,'Val-Vol (2)'!$A$4:$A$1116,$D112,'Val-Vol (2)'!$V$4:$V$1116,$V112)/SUMIFS('Comp2016-2017 (3)'!$G$5:$G$289,'Comp2016-2017 (3)'!$A$5:$A$289,$D112,'Comp2016-2017 (3)'!$R$5:$R$289,$V112)*$AB112))</f>
        <v/>
      </c>
      <c r="AF112" s="2" t="str">
        <f>IF($W112=AF$3,$AB112,IF(NOT($W112=0),"",SUMIFS('Val-Vol (2)'!AF$4:AF$1116,'Val-Vol (2)'!$A$4:$A$1116,$D112,'Val-Vol (2)'!$V$4:$V$1116,$V112)/SUMIFS('Comp2016-2017 (3)'!$G$5:$G$289,'Comp2016-2017 (3)'!$A$5:$A$289,$D112,'Comp2016-2017 (3)'!$R$5:$R$289,$V112)*$AB112))</f>
        <v/>
      </c>
      <c r="AG112" s="2" t="str">
        <f>IF($W112=AG$3,$AB112,IF(NOT($W112=0),"",SUMIFS('Val-Vol (2)'!AG$4:AG$1116,'Val-Vol (2)'!$A$4:$A$1116,$D112,'Val-Vol (2)'!$V$4:$V$1116,$V112)/SUMIFS('Comp2016-2017 (3)'!$G$5:$G$289,'Comp2016-2017 (3)'!$A$5:$A$289,$D112,'Comp2016-2017 (3)'!$R$5:$R$289,$V112)*$AB112))</f>
        <v/>
      </c>
      <c r="AH112" s="2" t="str">
        <f>IF($W112=AH$3,$AB112,IF(NOT($W112=0),"",SUMIFS('Val-Vol (2)'!AH$4:AH$1116,'Val-Vol (2)'!$A$4:$A$1116,$D112,'Val-Vol (2)'!$V$4:$V$1116,$V112)/SUMIFS('Comp2016-2017 (3)'!$G$5:$G$289,'Comp2016-2017 (3)'!$A$5:$A$289,$D112,'Comp2016-2017 (3)'!$R$5:$R$289,$V112)*$AB112))</f>
        <v/>
      </c>
      <c r="AI112" s="2">
        <f>IF($W112=AI$3,$AB112,IF(NOT($W112=0),"",SUMIFS('Val-Vol (2)'!AI$4:AI$1116,'Val-Vol (2)'!$A$4:$A$1116,$D112,'Val-Vol (2)'!$V$4:$V$1116,$V112)/SUMIFS('Comp2016-2017 (3)'!$G$5:$G$289,'Comp2016-2017 (3)'!$A$5:$A$289,$D112,'Comp2016-2017 (3)'!$R$5:$R$289,$V112)*$AB112))</f>
        <v>675.52238956136159</v>
      </c>
      <c r="AJ112" s="2" t="str">
        <f>IF($W112=AJ$3,$AB112,IF(NOT($W112=0),"",SUMIFS('Val-Vol (2)'!AJ$4:AJ$1116,'Val-Vol (2)'!$A$4:$A$1116,$D112,'Val-Vol (2)'!$V$4:$V$1116,$V112)/SUMIFS('Comp2016-2017 (3)'!$G$5:$G$289,'Comp2016-2017 (3)'!$A$5:$A$289,$D112,'Comp2016-2017 (3)'!$R$5:$R$289,$V112)*$AB112))</f>
        <v/>
      </c>
      <c r="AK112" s="2">
        <f t="shared" si="10"/>
        <v>0</v>
      </c>
      <c r="AL112" t="str">
        <f t="shared" si="7"/>
        <v/>
      </c>
      <c r="AM112" t="str">
        <f>VLOOKUP(A112,'Table corresp.'!$M$4:$U$63,8,FALSE)</f>
        <v>Production intermédiaire</v>
      </c>
      <c r="AN112" t="str">
        <f>VLOOKUP(D112,'Table corresp.'!$M$4:$U$63,9,FALSE)</f>
        <v>Production finale</v>
      </c>
    </row>
    <row r="113" spans="1:40" x14ac:dyDescent="0.25">
      <c r="A113" t="s">
        <v>6</v>
      </c>
      <c r="B113" t="str">
        <f>VLOOKUP(LEFT(A113,3),'Table corresp.'!$A$4:$D$63,3,FALSE)</f>
        <v>Transformation</v>
      </c>
      <c r="C113" t="str">
        <f>VLOOKUP(A113,'Table corresp.'!$M$4:$P$63,4,FALSE)</f>
        <v>Production et transformation de produits bois</v>
      </c>
      <c r="D113" t="s">
        <v>99</v>
      </c>
      <c r="E113" t="str">
        <f>VLOOKUP(LEFT(D113,3),'Table corresp.'!$A$4:$D$63,4,FALSE)</f>
        <v>Transformation</v>
      </c>
      <c r="F113" t="str">
        <f t="shared" si="6"/>
        <v xml:space="preserve">11  - 47 </v>
      </c>
      <c r="G113" s="1">
        <v>0</v>
      </c>
      <c r="H113" s="1">
        <v>11228.417302761161</v>
      </c>
      <c r="I113" s="1">
        <v>11228.417302761161</v>
      </c>
      <c r="J113" s="1">
        <v>0</v>
      </c>
      <c r="K113" s="1">
        <v>12.303011104127714</v>
      </c>
      <c r="L113" s="1">
        <v>12.303011104127714</v>
      </c>
      <c r="M113" s="1">
        <v>0</v>
      </c>
      <c r="N113" s="1">
        <v>0</v>
      </c>
      <c r="O113" s="1">
        <v>0</v>
      </c>
      <c r="P113" s="1">
        <v>0</v>
      </c>
      <c r="Q113" s="1">
        <v>0</v>
      </c>
      <c r="R113" s="1">
        <v>0</v>
      </c>
      <c r="S113" s="67"/>
      <c r="T113">
        <f>VLOOKUP(A113,'Groupe de branches'!$Z$27:$AM$86,14,FALSE)</f>
        <v>0</v>
      </c>
      <c r="U113">
        <f>VLOOKUP(D113,'Groupe de branches'!$Z$27:$AM$86,14,FALSE)</f>
        <v>0</v>
      </c>
      <c r="V113">
        <v>2016</v>
      </c>
      <c r="W113" t="str">
        <f>VLOOKUP(D113,'Table corresp.'!$M$4:$S$63,7,FALSE)</f>
        <v>Meuble</v>
      </c>
      <c r="X113" s="167">
        <f>IFERROR(G113/SUMIFS('Comp2016-2017 (3)'!$I$5:$I$289,'Comp2016-2017 (3)'!$A$5:$A$289,A113,'Comp2016-2017 (3)'!$R$5:$R$289,V113),0)</f>
        <v>0</v>
      </c>
      <c r="Y113" s="178">
        <f>IFERROR(IF(RIGHT(F113,3)="Exp",VLOOKUP(F113,#REF!,2,FALSE),VLOOKUP(F113,#REF!,9,FALSE)),1)</f>
        <v>1</v>
      </c>
      <c r="Z113" s="167">
        <f t="shared" si="11"/>
        <v>9.0909090909090912E-2</v>
      </c>
      <c r="AA113" s="189">
        <f t="shared" si="9"/>
        <v>0</v>
      </c>
      <c r="AB113" s="2">
        <f>IFERROR(SUMIFS('Comp2016-2017 (3)'!$G$5:$G$289,'Comp2016-2017 (3)'!$A$5:$A$289,A113,'Comp2016-2017 (3)'!$R$5:$R$289,V113)*AA113/SUMIFS($AA$4:$AA$1116,$A$4:$A$1116,A113,$V$4:$V$1116,V113),0)</f>
        <v>0</v>
      </c>
      <c r="AC113" s="2" t="str">
        <f>IF($W113=AC$3,$AB113,IF(NOT($W113=0),"",SUMIFS('Val-Vol (2)'!AC$4:AC$1116,'Val-Vol (2)'!$A$4:$A$1116,$D113,'Val-Vol (2)'!$V$4:$V$1116,$V113)/SUMIFS('Comp2016-2017 (3)'!$G$5:$G$289,'Comp2016-2017 (3)'!$A$5:$A$289,$D113,'Comp2016-2017 (3)'!$R$5:$R$289,$V113)*$AB113))</f>
        <v/>
      </c>
      <c r="AD113" s="2" t="str">
        <f>IF($W113=AD$3,$AB113,IF(NOT($W113=0),"",SUMIFS('Val-Vol (2)'!AD$4:AD$1116,'Val-Vol (2)'!$A$4:$A$1116,$D113,'Val-Vol (2)'!$V$4:$V$1116,$V113)/SUMIFS('Comp2016-2017 (3)'!$G$5:$G$289,'Comp2016-2017 (3)'!$A$5:$A$289,$D113,'Comp2016-2017 (3)'!$R$5:$R$289,$V113)*$AB113))</f>
        <v/>
      </c>
      <c r="AE113" s="2">
        <f>IF($W113=AE$3,$AB113,IF(NOT($W113=0),"",SUMIFS('Val-Vol (2)'!AE$4:AE$1116,'Val-Vol (2)'!$A$4:$A$1116,$D113,'Val-Vol (2)'!$V$4:$V$1116,$V113)/SUMIFS('Comp2016-2017 (3)'!$G$5:$G$289,'Comp2016-2017 (3)'!$A$5:$A$289,$D113,'Comp2016-2017 (3)'!$R$5:$R$289,$V113)*$AB113))</f>
        <v>0</v>
      </c>
      <c r="AF113" s="2" t="str">
        <f>IF($W113=AF$3,$AB113,IF(NOT($W113=0),"",SUMIFS('Val-Vol (2)'!AF$4:AF$1116,'Val-Vol (2)'!$A$4:$A$1116,$D113,'Val-Vol (2)'!$V$4:$V$1116,$V113)/SUMIFS('Comp2016-2017 (3)'!$G$5:$G$289,'Comp2016-2017 (3)'!$A$5:$A$289,$D113,'Comp2016-2017 (3)'!$R$5:$R$289,$V113)*$AB113))</f>
        <v/>
      </c>
      <c r="AG113" s="2" t="str">
        <f>IF($W113=AG$3,$AB113,IF(NOT($W113=0),"",SUMIFS('Val-Vol (2)'!AG$4:AG$1116,'Val-Vol (2)'!$A$4:$A$1116,$D113,'Val-Vol (2)'!$V$4:$V$1116,$V113)/SUMIFS('Comp2016-2017 (3)'!$G$5:$G$289,'Comp2016-2017 (3)'!$A$5:$A$289,$D113,'Comp2016-2017 (3)'!$R$5:$R$289,$V113)*$AB113))</f>
        <v/>
      </c>
      <c r="AH113" s="2" t="str">
        <f>IF($W113=AH$3,$AB113,IF(NOT($W113=0),"",SUMIFS('Val-Vol (2)'!AH$4:AH$1116,'Val-Vol (2)'!$A$4:$A$1116,$D113,'Val-Vol (2)'!$V$4:$V$1116,$V113)/SUMIFS('Comp2016-2017 (3)'!$G$5:$G$289,'Comp2016-2017 (3)'!$A$5:$A$289,$D113,'Comp2016-2017 (3)'!$R$5:$R$289,$V113)*$AB113))</f>
        <v/>
      </c>
      <c r="AI113" s="2" t="str">
        <f>IF($W113=AI$3,$AB113,IF(NOT($W113=0),"",SUMIFS('Val-Vol (2)'!AI$4:AI$1116,'Val-Vol (2)'!$A$4:$A$1116,$D113,'Val-Vol (2)'!$V$4:$V$1116,$V113)/SUMIFS('Comp2016-2017 (3)'!$G$5:$G$289,'Comp2016-2017 (3)'!$A$5:$A$289,$D113,'Comp2016-2017 (3)'!$R$5:$R$289,$V113)*$AB113))</f>
        <v/>
      </c>
      <c r="AJ113" s="2" t="str">
        <f>IF($W113=AJ$3,$AB113,IF(NOT($W113=0),"",SUMIFS('Val-Vol (2)'!AJ$4:AJ$1116,'Val-Vol (2)'!$A$4:$A$1116,$D113,'Val-Vol (2)'!$V$4:$V$1116,$V113)/SUMIFS('Comp2016-2017 (3)'!$G$5:$G$289,'Comp2016-2017 (3)'!$A$5:$A$289,$D113,'Comp2016-2017 (3)'!$R$5:$R$289,$V113)*$AB113))</f>
        <v/>
      </c>
      <c r="AK113" s="2">
        <f t="shared" si="10"/>
        <v>0</v>
      </c>
      <c r="AL113" t="str">
        <f t="shared" si="7"/>
        <v/>
      </c>
      <c r="AM113" t="str">
        <f>VLOOKUP(A113,'Table corresp.'!$M$4:$U$63,8,FALSE)</f>
        <v>Production intermédiaire</v>
      </c>
      <c r="AN113" t="str">
        <f>VLOOKUP(D113,'Table corresp.'!$M$4:$U$63,9,FALSE)</f>
        <v>Production finale</v>
      </c>
    </row>
    <row r="114" spans="1:40" x14ac:dyDescent="0.25">
      <c r="A114" t="s">
        <v>6</v>
      </c>
      <c r="B114" t="str">
        <f>VLOOKUP(LEFT(A114,3),'Table corresp.'!$A$4:$D$63,3,FALSE)</f>
        <v>Transformation</v>
      </c>
      <c r="C114" t="str">
        <f>VLOOKUP(A114,'Table corresp.'!$M$4:$P$63,4,FALSE)</f>
        <v>Production et transformation de produits bois</v>
      </c>
      <c r="D114" t="s">
        <v>100</v>
      </c>
      <c r="E114" t="str">
        <f>VLOOKUP(LEFT(D114,3),'Table corresp.'!$A$4:$D$63,4,FALSE)</f>
        <v>Transformation</v>
      </c>
      <c r="F114" t="str">
        <f t="shared" si="6"/>
        <v xml:space="preserve">11  - 48 </v>
      </c>
      <c r="G114" s="1">
        <v>7488.8058419999988</v>
      </c>
      <c r="H114" s="1">
        <v>0</v>
      </c>
      <c r="I114" s="1">
        <v>7488.8058419999988</v>
      </c>
      <c r="J114" s="1">
        <v>8.6462506699179649</v>
      </c>
      <c r="K114" s="1">
        <v>0</v>
      </c>
      <c r="L114" s="1">
        <v>8.6462506699179649</v>
      </c>
      <c r="M114" s="1">
        <v>0</v>
      </c>
      <c r="N114" s="1">
        <v>0</v>
      </c>
      <c r="O114" s="1">
        <v>0</v>
      </c>
      <c r="P114" s="1">
        <v>0</v>
      </c>
      <c r="Q114" s="1">
        <v>0</v>
      </c>
      <c r="R114" s="1">
        <v>0</v>
      </c>
      <c r="S114" s="67"/>
      <c r="T114">
        <f>VLOOKUP(A114,'Groupe de branches'!$Z$27:$AM$86,14,FALSE)</f>
        <v>0</v>
      </c>
      <c r="U114">
        <f>VLOOKUP(D114,'Groupe de branches'!$Z$27:$AM$86,14,FALSE)</f>
        <v>0</v>
      </c>
      <c r="V114">
        <v>2016</v>
      </c>
      <c r="W114" t="str">
        <f>VLOOKUP(D114,'Table corresp.'!$M$4:$S$63,7,FALSE)</f>
        <v>Produits de consommation courante</v>
      </c>
      <c r="X114" s="167">
        <f>IFERROR(G114/SUMIFS('Comp2016-2017 (3)'!$I$5:$I$289,'Comp2016-2017 (3)'!$A$5:$A$289,A114,'Comp2016-2017 (3)'!$R$5:$R$289,V114),0)</f>
        <v>0.33658953650882112</v>
      </c>
      <c r="Y114" s="178">
        <f>IFERROR(IF(RIGHT(F114,3)="Exp",VLOOKUP(F114,#REF!,2,FALSE),VLOOKUP(F114,#REF!,9,FALSE)),1)</f>
        <v>1</v>
      </c>
      <c r="Z114" s="167">
        <f t="shared" si="11"/>
        <v>9.0909090909090912E-2</v>
      </c>
      <c r="AA114" s="189">
        <f t="shared" si="9"/>
        <v>3.0599048773529192E-2</v>
      </c>
      <c r="AB114" s="2">
        <f>IFERROR(SUMIFS('Comp2016-2017 (3)'!$G$5:$G$289,'Comp2016-2017 (3)'!$A$5:$A$289,A114,'Comp2016-2017 (3)'!$R$5:$R$289,V114)*AA114/SUMIFS($AA$4:$AA$1116,$A$4:$A$1116,A114,$V$4:$V$1116,V114),0)</f>
        <v>2016.8371784251449</v>
      </c>
      <c r="AC114" s="2" t="str">
        <f>IF($W114=AC$3,$AB114,IF(NOT($W114=0),"",SUMIFS('Val-Vol (2)'!AC$4:AC$1116,'Val-Vol (2)'!$A$4:$A$1116,$D114,'Val-Vol (2)'!$V$4:$V$1116,$V114)/SUMIFS('Comp2016-2017 (3)'!$G$5:$G$289,'Comp2016-2017 (3)'!$A$5:$A$289,$D114,'Comp2016-2017 (3)'!$R$5:$R$289,$V114)*$AB114))</f>
        <v/>
      </c>
      <c r="AD114" s="2" t="str">
        <f>IF($W114=AD$3,$AB114,IF(NOT($W114=0),"",SUMIFS('Val-Vol (2)'!AD$4:AD$1116,'Val-Vol (2)'!$A$4:$A$1116,$D114,'Val-Vol (2)'!$V$4:$V$1116,$V114)/SUMIFS('Comp2016-2017 (3)'!$G$5:$G$289,'Comp2016-2017 (3)'!$A$5:$A$289,$D114,'Comp2016-2017 (3)'!$R$5:$R$289,$V114)*$AB114))</f>
        <v/>
      </c>
      <c r="AE114" s="2" t="str">
        <f>IF($W114=AE$3,$AB114,IF(NOT($W114=0),"",SUMIFS('Val-Vol (2)'!AE$4:AE$1116,'Val-Vol (2)'!$A$4:$A$1116,$D114,'Val-Vol (2)'!$V$4:$V$1116,$V114)/SUMIFS('Comp2016-2017 (3)'!$G$5:$G$289,'Comp2016-2017 (3)'!$A$5:$A$289,$D114,'Comp2016-2017 (3)'!$R$5:$R$289,$V114)*$AB114))</f>
        <v/>
      </c>
      <c r="AF114" s="2" t="str">
        <f>IF($W114=AF$3,$AB114,IF(NOT($W114=0),"",SUMIFS('Val-Vol (2)'!AF$4:AF$1116,'Val-Vol (2)'!$A$4:$A$1116,$D114,'Val-Vol (2)'!$V$4:$V$1116,$V114)/SUMIFS('Comp2016-2017 (3)'!$G$5:$G$289,'Comp2016-2017 (3)'!$A$5:$A$289,$D114,'Comp2016-2017 (3)'!$R$5:$R$289,$V114)*$AB114))</f>
        <v/>
      </c>
      <c r="AG114" s="2" t="str">
        <f>IF($W114=AG$3,$AB114,IF(NOT($W114=0),"",SUMIFS('Val-Vol (2)'!AG$4:AG$1116,'Val-Vol (2)'!$A$4:$A$1116,$D114,'Val-Vol (2)'!$V$4:$V$1116,$V114)/SUMIFS('Comp2016-2017 (3)'!$G$5:$G$289,'Comp2016-2017 (3)'!$A$5:$A$289,$D114,'Comp2016-2017 (3)'!$R$5:$R$289,$V114)*$AB114))</f>
        <v/>
      </c>
      <c r="AH114" s="2" t="str">
        <f>IF($W114=AH$3,$AB114,IF(NOT($W114=0),"",SUMIFS('Val-Vol (2)'!AH$4:AH$1116,'Val-Vol (2)'!$A$4:$A$1116,$D114,'Val-Vol (2)'!$V$4:$V$1116,$V114)/SUMIFS('Comp2016-2017 (3)'!$G$5:$G$289,'Comp2016-2017 (3)'!$A$5:$A$289,$D114,'Comp2016-2017 (3)'!$R$5:$R$289,$V114)*$AB114))</f>
        <v/>
      </c>
      <c r="AI114" s="2">
        <f>IF($W114=AI$3,$AB114,IF(NOT($W114=0),"",SUMIFS('Val-Vol (2)'!AI$4:AI$1116,'Val-Vol (2)'!$A$4:$A$1116,$D114,'Val-Vol (2)'!$V$4:$V$1116,$V114)/SUMIFS('Comp2016-2017 (3)'!$G$5:$G$289,'Comp2016-2017 (3)'!$A$5:$A$289,$D114,'Comp2016-2017 (3)'!$R$5:$R$289,$V114)*$AB114))</f>
        <v>2016.8371784251449</v>
      </c>
      <c r="AJ114" s="2" t="str">
        <f>IF($W114=AJ$3,$AB114,IF(NOT($W114=0),"",SUMIFS('Val-Vol (2)'!AJ$4:AJ$1116,'Val-Vol (2)'!$A$4:$A$1116,$D114,'Val-Vol (2)'!$V$4:$V$1116,$V114)/SUMIFS('Comp2016-2017 (3)'!$G$5:$G$289,'Comp2016-2017 (3)'!$A$5:$A$289,$D114,'Comp2016-2017 (3)'!$R$5:$R$289,$V114)*$AB114))</f>
        <v/>
      </c>
      <c r="AK114" s="2">
        <f t="shared" si="10"/>
        <v>0</v>
      </c>
      <c r="AL114" t="str">
        <f t="shared" si="7"/>
        <v/>
      </c>
      <c r="AM114" t="str">
        <f>VLOOKUP(A114,'Table corresp.'!$M$4:$U$63,8,FALSE)</f>
        <v>Production intermédiaire</v>
      </c>
      <c r="AN114" t="str">
        <f>VLOOKUP(D114,'Table corresp.'!$M$4:$U$63,9,FALSE)</f>
        <v>Production finale</v>
      </c>
    </row>
    <row r="115" spans="1:40" x14ac:dyDescent="0.25">
      <c r="A115" t="s">
        <v>6</v>
      </c>
      <c r="B115" t="str">
        <f>VLOOKUP(LEFT(A115,3),'Table corresp.'!$A$4:$D$63,3,FALSE)</f>
        <v>Transformation</v>
      </c>
      <c r="C115" t="str">
        <f>VLOOKUP(A115,'Table corresp.'!$M$4:$P$63,4,FALSE)</f>
        <v>Production et transformation de produits bois</v>
      </c>
      <c r="D115" t="s">
        <v>21</v>
      </c>
      <c r="E115" t="str">
        <f>VLOOKUP(LEFT(D115,3),'Table corresp.'!$A$4:$D$63,4,FALSE)</f>
        <v>Transformation</v>
      </c>
      <c r="F115" t="str">
        <f t="shared" si="6"/>
        <v xml:space="preserve">11  - 54 </v>
      </c>
      <c r="G115" s="1">
        <v>6392</v>
      </c>
      <c r="H115" s="1">
        <v>9836</v>
      </c>
      <c r="I115" s="1">
        <v>16228</v>
      </c>
      <c r="J115" s="1">
        <v>7.3799261789054187</v>
      </c>
      <c r="K115" s="1">
        <v>10.777335216285758</v>
      </c>
      <c r="L115" s="1">
        <v>18.157261395191178</v>
      </c>
      <c r="M115" s="1">
        <v>0</v>
      </c>
      <c r="N115" s="1">
        <v>0</v>
      </c>
      <c r="O115" s="1">
        <v>0</v>
      </c>
      <c r="P115" s="1">
        <v>0</v>
      </c>
      <c r="Q115" s="1">
        <v>0</v>
      </c>
      <c r="R115" s="1">
        <v>0</v>
      </c>
      <c r="S115" s="67"/>
      <c r="T115">
        <f>VLOOKUP(A115,'Groupe de branches'!$Z$27:$AM$86,14,FALSE)</f>
        <v>0</v>
      </c>
      <c r="U115">
        <f>VLOOKUP(D115,'Groupe de branches'!$Z$27:$AM$86,14,FALSE)</f>
        <v>0</v>
      </c>
      <c r="V115">
        <v>2016</v>
      </c>
      <c r="W115" t="str">
        <f>VLOOKUP(D115,'Table corresp.'!$M$4:$S$63,7,FALSE)</f>
        <v>Construction</v>
      </c>
      <c r="X115" s="167">
        <f>IFERROR(G115/SUMIFS('Comp2016-2017 (3)'!$I$5:$I$289,'Comp2016-2017 (3)'!$A$5:$A$289,A115,'Comp2016-2017 (3)'!$R$5:$R$289,V115),0)</f>
        <v>0.28729284251143028</v>
      </c>
      <c r="Y115" s="178">
        <f>IFERROR(IF(RIGHT(F115,3)="Exp",VLOOKUP(F115,#REF!,2,FALSE),VLOOKUP(F115,#REF!,9,FALSE)),1)</f>
        <v>1</v>
      </c>
      <c r="Z115" s="167">
        <f t="shared" si="11"/>
        <v>9.0909090909090912E-2</v>
      </c>
      <c r="AA115" s="189">
        <f t="shared" si="9"/>
        <v>2.6117531137402752E-2</v>
      </c>
      <c r="AB115" s="2">
        <f>IFERROR(SUMIFS('Comp2016-2017 (3)'!$G$5:$G$289,'Comp2016-2017 (3)'!$A$5:$A$289,A115,'Comp2016-2017 (3)'!$R$5:$R$289,V115)*AA115/SUMIFS($AA$4:$AA$1116,$A$4:$A$1116,A115,$V$4:$V$1116,V115),0)</f>
        <v>1721.4524607104277</v>
      </c>
      <c r="AC115" s="2" t="str">
        <f>IF($W115=AC$3,$AB115,IF(NOT($W115=0),"",SUMIFS('Val-Vol (2)'!AC$4:AC$1116,'Val-Vol (2)'!$A$4:$A$1116,$D115,'Val-Vol (2)'!$V$4:$V$1116,$V115)/SUMIFS('Comp2016-2017 (3)'!$G$5:$G$289,'Comp2016-2017 (3)'!$A$5:$A$289,$D115,'Comp2016-2017 (3)'!$R$5:$R$289,$V115)*$AB115))</f>
        <v/>
      </c>
      <c r="AD115" s="2">
        <f>IF($W115=AD$3,$AB115,IF(NOT($W115=0),"",SUMIFS('Val-Vol (2)'!AD$4:AD$1116,'Val-Vol (2)'!$A$4:$A$1116,$D115,'Val-Vol (2)'!$V$4:$V$1116,$V115)/SUMIFS('Comp2016-2017 (3)'!$G$5:$G$289,'Comp2016-2017 (3)'!$A$5:$A$289,$D115,'Comp2016-2017 (3)'!$R$5:$R$289,$V115)*$AB115))</f>
        <v>1721.4524607104277</v>
      </c>
      <c r="AE115" s="2" t="str">
        <f>IF($W115=AE$3,$AB115,IF(NOT($W115=0),"",SUMIFS('Val-Vol (2)'!AE$4:AE$1116,'Val-Vol (2)'!$A$4:$A$1116,$D115,'Val-Vol (2)'!$V$4:$V$1116,$V115)/SUMIFS('Comp2016-2017 (3)'!$G$5:$G$289,'Comp2016-2017 (3)'!$A$5:$A$289,$D115,'Comp2016-2017 (3)'!$R$5:$R$289,$V115)*$AB115))</f>
        <v/>
      </c>
      <c r="AF115" s="2" t="str">
        <f>IF($W115=AF$3,$AB115,IF(NOT($W115=0),"",SUMIFS('Val-Vol (2)'!AF$4:AF$1116,'Val-Vol (2)'!$A$4:$A$1116,$D115,'Val-Vol (2)'!$V$4:$V$1116,$V115)/SUMIFS('Comp2016-2017 (3)'!$G$5:$G$289,'Comp2016-2017 (3)'!$A$5:$A$289,$D115,'Comp2016-2017 (3)'!$R$5:$R$289,$V115)*$AB115))</f>
        <v/>
      </c>
      <c r="AG115" s="2" t="str">
        <f>IF($W115=AG$3,$AB115,IF(NOT($W115=0),"",SUMIFS('Val-Vol (2)'!AG$4:AG$1116,'Val-Vol (2)'!$A$4:$A$1116,$D115,'Val-Vol (2)'!$V$4:$V$1116,$V115)/SUMIFS('Comp2016-2017 (3)'!$G$5:$G$289,'Comp2016-2017 (3)'!$A$5:$A$289,$D115,'Comp2016-2017 (3)'!$R$5:$R$289,$V115)*$AB115))</f>
        <v/>
      </c>
      <c r="AH115" s="2" t="str">
        <f>IF($W115=AH$3,$AB115,IF(NOT($W115=0),"",SUMIFS('Val-Vol (2)'!AH$4:AH$1116,'Val-Vol (2)'!$A$4:$A$1116,$D115,'Val-Vol (2)'!$V$4:$V$1116,$V115)/SUMIFS('Comp2016-2017 (3)'!$G$5:$G$289,'Comp2016-2017 (3)'!$A$5:$A$289,$D115,'Comp2016-2017 (3)'!$R$5:$R$289,$V115)*$AB115))</f>
        <v/>
      </c>
      <c r="AI115" s="2" t="str">
        <f>IF($W115=AI$3,$AB115,IF(NOT($W115=0),"",SUMIFS('Val-Vol (2)'!AI$4:AI$1116,'Val-Vol (2)'!$A$4:$A$1116,$D115,'Val-Vol (2)'!$V$4:$V$1116,$V115)/SUMIFS('Comp2016-2017 (3)'!$G$5:$G$289,'Comp2016-2017 (3)'!$A$5:$A$289,$D115,'Comp2016-2017 (3)'!$R$5:$R$289,$V115)*$AB115))</f>
        <v/>
      </c>
      <c r="AJ115" s="2" t="str">
        <f>IF($W115=AJ$3,$AB115,IF(NOT($W115=0),"",SUMIFS('Val-Vol (2)'!AJ$4:AJ$1116,'Val-Vol (2)'!$A$4:$A$1116,$D115,'Val-Vol (2)'!$V$4:$V$1116,$V115)/SUMIFS('Comp2016-2017 (3)'!$G$5:$G$289,'Comp2016-2017 (3)'!$A$5:$A$289,$D115,'Comp2016-2017 (3)'!$R$5:$R$289,$V115)*$AB115))</f>
        <v/>
      </c>
      <c r="AK115" s="2">
        <f t="shared" si="10"/>
        <v>0</v>
      </c>
      <c r="AL115" t="str">
        <f t="shared" si="7"/>
        <v/>
      </c>
      <c r="AM115" t="str">
        <f>VLOOKUP(A115,'Table corresp.'!$M$4:$U$63,8,FALSE)</f>
        <v>Production intermédiaire</v>
      </c>
      <c r="AN115" t="str">
        <f>VLOOKUP(D115,'Table corresp.'!$M$4:$U$63,9,FALSE)</f>
        <v xml:space="preserve">Mise en œuvre </v>
      </c>
    </row>
    <row r="116" spans="1:40" x14ac:dyDescent="0.25">
      <c r="A116" t="s">
        <v>6</v>
      </c>
      <c r="B116" t="str">
        <f>VLOOKUP(LEFT(A116,3),'Table corresp.'!$A$4:$D$63,3,FALSE)</f>
        <v>Transformation</v>
      </c>
      <c r="C116" t="str">
        <f>VLOOKUP(A116,'Table corresp.'!$M$4:$P$63,4,FALSE)</f>
        <v>Production et transformation de produits bois</v>
      </c>
      <c r="D116" t="s">
        <v>22</v>
      </c>
      <c r="E116" t="str">
        <f>VLOOKUP(LEFT(D116,3),'Table corresp.'!$A$4:$D$63,4,FALSE)</f>
        <v>Transformation</v>
      </c>
      <c r="F116" t="str">
        <f t="shared" si="6"/>
        <v xml:space="preserve">11  - 55 </v>
      </c>
      <c r="G116" s="1">
        <v>0</v>
      </c>
      <c r="H116" s="1">
        <v>161.9749153892096</v>
      </c>
      <c r="I116" s="1">
        <v>161.9749153892096</v>
      </c>
      <c r="J116" s="1">
        <v>0</v>
      </c>
      <c r="K116" s="1">
        <v>0.1774764090869291</v>
      </c>
      <c r="L116" s="1">
        <v>0.1774764090869291</v>
      </c>
      <c r="M116" s="1">
        <v>0</v>
      </c>
      <c r="N116" s="1">
        <v>0</v>
      </c>
      <c r="O116" s="1">
        <v>0</v>
      </c>
      <c r="P116" s="1">
        <v>0</v>
      </c>
      <c r="Q116" s="1">
        <v>0</v>
      </c>
      <c r="R116" s="1">
        <v>0</v>
      </c>
      <c r="S116" s="67"/>
      <c r="T116">
        <f>VLOOKUP(A116,'Groupe de branches'!$Z$27:$AM$86,14,FALSE)</f>
        <v>0</v>
      </c>
      <c r="U116">
        <f>VLOOKUP(D116,'Groupe de branches'!$Z$27:$AM$86,14,FALSE)</f>
        <v>0</v>
      </c>
      <c r="V116">
        <v>2016</v>
      </c>
      <c r="W116" t="str">
        <f>VLOOKUP(D116,'Table corresp.'!$M$4:$S$63,7,FALSE)</f>
        <v>Construction</v>
      </c>
      <c r="X116" s="167">
        <f>IFERROR(G116/SUMIFS('Comp2016-2017 (3)'!$I$5:$I$289,'Comp2016-2017 (3)'!$A$5:$A$289,A116,'Comp2016-2017 (3)'!$R$5:$R$289,V116),0)</f>
        <v>0</v>
      </c>
      <c r="Y116" s="178">
        <f>IFERROR(IF(RIGHT(F116,3)="Exp",VLOOKUP(F116,#REF!,2,FALSE),VLOOKUP(F116,#REF!,9,FALSE)),1)</f>
        <v>1</v>
      </c>
      <c r="Z116" s="167">
        <f t="shared" si="11"/>
        <v>9.0909090909090912E-2</v>
      </c>
      <c r="AA116" s="189">
        <f t="shared" si="9"/>
        <v>0</v>
      </c>
      <c r="AB116" s="2">
        <f>IFERROR(SUMIFS('Comp2016-2017 (3)'!$G$5:$G$289,'Comp2016-2017 (3)'!$A$5:$A$289,A116,'Comp2016-2017 (3)'!$R$5:$R$289,V116)*AA116/SUMIFS($AA$4:$AA$1116,$A$4:$A$1116,A116,$V$4:$V$1116,V116),0)</f>
        <v>0</v>
      </c>
      <c r="AC116" s="2" t="str">
        <f>IF($W116=AC$3,$AB116,IF(NOT($W116=0),"",SUMIFS('Val-Vol (2)'!AC$4:AC$1116,'Val-Vol (2)'!$A$4:$A$1116,$D116,'Val-Vol (2)'!$V$4:$V$1116,$V116)/SUMIFS('Comp2016-2017 (3)'!$G$5:$G$289,'Comp2016-2017 (3)'!$A$5:$A$289,$D116,'Comp2016-2017 (3)'!$R$5:$R$289,$V116)*$AB116))</f>
        <v/>
      </c>
      <c r="AD116" s="2">
        <f>IF($W116=AD$3,$AB116,IF(NOT($W116=0),"",SUMIFS('Val-Vol (2)'!AD$4:AD$1116,'Val-Vol (2)'!$A$4:$A$1116,$D116,'Val-Vol (2)'!$V$4:$V$1116,$V116)/SUMIFS('Comp2016-2017 (3)'!$G$5:$G$289,'Comp2016-2017 (3)'!$A$5:$A$289,$D116,'Comp2016-2017 (3)'!$R$5:$R$289,$V116)*$AB116))</f>
        <v>0</v>
      </c>
      <c r="AE116" s="2" t="str">
        <f>IF($W116=AE$3,$AB116,IF(NOT($W116=0),"",SUMIFS('Val-Vol (2)'!AE$4:AE$1116,'Val-Vol (2)'!$A$4:$A$1116,$D116,'Val-Vol (2)'!$V$4:$V$1116,$V116)/SUMIFS('Comp2016-2017 (3)'!$G$5:$G$289,'Comp2016-2017 (3)'!$A$5:$A$289,$D116,'Comp2016-2017 (3)'!$R$5:$R$289,$V116)*$AB116))</f>
        <v/>
      </c>
      <c r="AF116" s="2" t="str">
        <f>IF($W116=AF$3,$AB116,IF(NOT($W116=0),"",SUMIFS('Val-Vol (2)'!AF$4:AF$1116,'Val-Vol (2)'!$A$4:$A$1116,$D116,'Val-Vol (2)'!$V$4:$V$1116,$V116)/SUMIFS('Comp2016-2017 (3)'!$G$5:$G$289,'Comp2016-2017 (3)'!$A$5:$A$289,$D116,'Comp2016-2017 (3)'!$R$5:$R$289,$V116)*$AB116))</f>
        <v/>
      </c>
      <c r="AG116" s="2" t="str">
        <f>IF($W116=AG$3,$AB116,IF(NOT($W116=0),"",SUMIFS('Val-Vol (2)'!AG$4:AG$1116,'Val-Vol (2)'!$A$4:$A$1116,$D116,'Val-Vol (2)'!$V$4:$V$1116,$V116)/SUMIFS('Comp2016-2017 (3)'!$G$5:$G$289,'Comp2016-2017 (3)'!$A$5:$A$289,$D116,'Comp2016-2017 (3)'!$R$5:$R$289,$V116)*$AB116))</f>
        <v/>
      </c>
      <c r="AH116" s="2" t="str">
        <f>IF($W116=AH$3,$AB116,IF(NOT($W116=0),"",SUMIFS('Val-Vol (2)'!AH$4:AH$1116,'Val-Vol (2)'!$A$4:$A$1116,$D116,'Val-Vol (2)'!$V$4:$V$1116,$V116)/SUMIFS('Comp2016-2017 (3)'!$G$5:$G$289,'Comp2016-2017 (3)'!$A$5:$A$289,$D116,'Comp2016-2017 (3)'!$R$5:$R$289,$V116)*$AB116))</f>
        <v/>
      </c>
      <c r="AI116" s="2" t="str">
        <f>IF($W116=AI$3,$AB116,IF(NOT($W116=0),"",SUMIFS('Val-Vol (2)'!AI$4:AI$1116,'Val-Vol (2)'!$A$4:$A$1116,$D116,'Val-Vol (2)'!$V$4:$V$1116,$V116)/SUMIFS('Comp2016-2017 (3)'!$G$5:$G$289,'Comp2016-2017 (3)'!$A$5:$A$289,$D116,'Comp2016-2017 (3)'!$R$5:$R$289,$V116)*$AB116))</f>
        <v/>
      </c>
      <c r="AJ116" s="2" t="str">
        <f>IF($W116=AJ$3,$AB116,IF(NOT($W116=0),"",SUMIFS('Val-Vol (2)'!AJ$4:AJ$1116,'Val-Vol (2)'!$A$4:$A$1116,$D116,'Val-Vol (2)'!$V$4:$V$1116,$V116)/SUMIFS('Comp2016-2017 (3)'!$G$5:$G$289,'Comp2016-2017 (3)'!$A$5:$A$289,$D116,'Comp2016-2017 (3)'!$R$5:$R$289,$V116)*$AB116))</f>
        <v/>
      </c>
      <c r="AK116" s="2">
        <f t="shared" si="10"/>
        <v>0</v>
      </c>
      <c r="AL116" t="str">
        <f t="shared" si="7"/>
        <v/>
      </c>
      <c r="AM116" t="str">
        <f>VLOOKUP(A116,'Table corresp.'!$M$4:$U$63,8,FALSE)</f>
        <v>Production intermédiaire</v>
      </c>
      <c r="AN116" t="str">
        <f>VLOOKUP(D116,'Table corresp.'!$M$4:$U$63,9,FALSE)</f>
        <v xml:space="preserve">Mise en œuvre </v>
      </c>
    </row>
    <row r="117" spans="1:40" x14ac:dyDescent="0.25">
      <c r="A117" t="s">
        <v>6</v>
      </c>
      <c r="B117" t="str">
        <f>VLOOKUP(LEFT(A117,3),'Table corresp.'!$A$4:$D$63,3,FALSE)</f>
        <v>Transformation</v>
      </c>
      <c r="C117" t="str">
        <f>VLOOKUP(A117,'Table corresp.'!$M$4:$P$63,4,FALSE)</f>
        <v>Production et transformation de produits bois</v>
      </c>
      <c r="D117" t="s">
        <v>54</v>
      </c>
      <c r="E117" t="str">
        <f>VLOOKUP(LEFT(D117,3),'Table corresp.'!$A$4:$D$63,4,FALSE)</f>
        <v>Consommation finale</v>
      </c>
      <c r="F117" t="str">
        <f t="shared" si="6"/>
        <v>11  - Con</v>
      </c>
      <c r="G117" s="1">
        <v>2878.380000000001</v>
      </c>
      <c r="H117" s="1">
        <v>11000.229835610808</v>
      </c>
      <c r="I117" s="1">
        <v>13878.609835610809</v>
      </c>
      <c r="J117" s="1">
        <v>3.3232528026967754</v>
      </c>
      <c r="K117" s="1">
        <v>12.052985400016842</v>
      </c>
      <c r="L117" s="1">
        <v>15.376238202713617</v>
      </c>
      <c r="M117" s="1">
        <v>0</v>
      </c>
      <c r="N117" s="1">
        <v>0</v>
      </c>
      <c r="O117" s="1">
        <v>0</v>
      </c>
      <c r="P117" s="1">
        <v>0</v>
      </c>
      <c r="Q117" s="1">
        <v>0</v>
      </c>
      <c r="R117" s="1">
        <v>0</v>
      </c>
      <c r="S117" s="67"/>
      <c r="T117">
        <f>VLOOKUP(A117,'Groupe de branches'!$Z$27:$AM$86,14,FALSE)</f>
        <v>0</v>
      </c>
      <c r="U117">
        <f>VLOOKUP(D117,'Groupe de branches'!$Z$27:$AM$86,14,FALSE)</f>
        <v>0</v>
      </c>
      <c r="V117">
        <v>2016</v>
      </c>
      <c r="W117" t="str">
        <f>VLOOKUP(D117,'Table corresp.'!$M$4:$S$63,7,FALSE)</f>
        <v>Consommation finale</v>
      </c>
      <c r="X117" s="167">
        <f>IFERROR(G117/SUMIFS('Comp2016-2017 (3)'!$I$5:$I$289,'Comp2016-2017 (3)'!$A$5:$A$289,A117,'Comp2016-2017 (3)'!$R$5:$R$289,V117),0)</f>
        <v>0.12937077159387531</v>
      </c>
      <c r="Y117" s="178">
        <f>IFERROR(IF(RIGHT(F117,3)="Exp",VLOOKUP(F117,#REF!,2,FALSE),VLOOKUP(F117,#REF!,9,FALSE)),1)</f>
        <v>1</v>
      </c>
      <c r="Z117" s="167">
        <f t="shared" si="11"/>
        <v>9.0909090909090912E-2</v>
      </c>
      <c r="AA117" s="189">
        <f t="shared" si="9"/>
        <v>1.1760979235806846E-2</v>
      </c>
      <c r="AB117" s="2">
        <f>IFERROR(SUMIFS('Comp2016-2017 (3)'!$G$5:$G$289,'Comp2016-2017 (3)'!$A$5:$A$289,A117,'Comp2016-2017 (3)'!$R$5:$R$289,V117)*AA117/SUMIFS($AA$4:$AA$1116,$A$4:$A$1116,A117,$V$4:$V$1116,V117),0)</f>
        <v>775.18684822585783</v>
      </c>
      <c r="AC117" s="2" t="str">
        <f>IF($W117=AC$3,$AB117,IF(NOT($W117=0),"",SUMIFS('Val-Vol (2)'!AC$4:AC$1116,'Val-Vol (2)'!$A$4:$A$1116,$D117,'Val-Vol (2)'!$V$4:$V$1116,$V117)/SUMIFS('Comp2016-2017 (3)'!$G$5:$G$289,'Comp2016-2017 (3)'!$A$5:$A$289,$D117,'Comp2016-2017 (3)'!$R$5:$R$289,$V117)*$AB117))</f>
        <v/>
      </c>
      <c r="AD117" s="2" t="str">
        <f>IF($W117=AD$3,$AB117,IF(NOT($W117=0),"",SUMIFS('Val-Vol (2)'!AD$4:AD$1116,'Val-Vol (2)'!$A$4:$A$1116,$D117,'Val-Vol (2)'!$V$4:$V$1116,$V117)/SUMIFS('Comp2016-2017 (3)'!$G$5:$G$289,'Comp2016-2017 (3)'!$A$5:$A$289,$D117,'Comp2016-2017 (3)'!$R$5:$R$289,$V117)*$AB117))</f>
        <v/>
      </c>
      <c r="AE117" s="2" t="str">
        <f>IF($W117=AE$3,$AB117,IF(NOT($W117=0),"",SUMIFS('Val-Vol (2)'!AE$4:AE$1116,'Val-Vol (2)'!$A$4:$A$1116,$D117,'Val-Vol (2)'!$V$4:$V$1116,$V117)/SUMIFS('Comp2016-2017 (3)'!$G$5:$G$289,'Comp2016-2017 (3)'!$A$5:$A$289,$D117,'Comp2016-2017 (3)'!$R$5:$R$289,$V117)*$AB117))</f>
        <v/>
      </c>
      <c r="AF117" s="2" t="str">
        <f>IF($W117=AF$3,$AB117,IF(NOT($W117=0),"",SUMIFS('Val-Vol (2)'!AF$4:AF$1116,'Val-Vol (2)'!$A$4:$A$1116,$D117,'Val-Vol (2)'!$V$4:$V$1116,$V117)/SUMIFS('Comp2016-2017 (3)'!$G$5:$G$289,'Comp2016-2017 (3)'!$A$5:$A$289,$D117,'Comp2016-2017 (3)'!$R$5:$R$289,$V117)*$AB117))</f>
        <v/>
      </c>
      <c r="AG117" s="2" t="str">
        <f>IF($W117=AG$3,$AB117,IF(NOT($W117=0),"",SUMIFS('Val-Vol (2)'!AG$4:AG$1116,'Val-Vol (2)'!$A$4:$A$1116,$D117,'Val-Vol (2)'!$V$4:$V$1116,$V117)/SUMIFS('Comp2016-2017 (3)'!$G$5:$G$289,'Comp2016-2017 (3)'!$A$5:$A$289,$D117,'Comp2016-2017 (3)'!$R$5:$R$289,$V117)*$AB117))</f>
        <v/>
      </c>
      <c r="AH117" s="2" t="str">
        <f>IF($W117=AH$3,$AB117,IF(NOT($W117=0),"",SUMIFS('Val-Vol (2)'!AH$4:AH$1116,'Val-Vol (2)'!$A$4:$A$1116,$D117,'Val-Vol (2)'!$V$4:$V$1116,$V117)/SUMIFS('Comp2016-2017 (3)'!$G$5:$G$289,'Comp2016-2017 (3)'!$A$5:$A$289,$D117,'Comp2016-2017 (3)'!$R$5:$R$289,$V117)*$AB117))</f>
        <v/>
      </c>
      <c r="AI117" s="2" t="str">
        <f>IF($W117=AI$3,$AB117,IF(NOT($W117=0),"",SUMIFS('Val-Vol (2)'!AI$4:AI$1116,'Val-Vol (2)'!$A$4:$A$1116,$D117,'Val-Vol (2)'!$V$4:$V$1116,$V117)/SUMIFS('Comp2016-2017 (3)'!$G$5:$G$289,'Comp2016-2017 (3)'!$A$5:$A$289,$D117,'Comp2016-2017 (3)'!$R$5:$R$289,$V117)*$AB117))</f>
        <v/>
      </c>
      <c r="AJ117" s="2">
        <f>IF($W117=AJ$3,$AB117,IF(NOT($W117=0),"",SUMIFS('Val-Vol (2)'!AJ$4:AJ$1116,'Val-Vol (2)'!$A$4:$A$1116,$D117,'Val-Vol (2)'!$V$4:$V$1116,$V117)/SUMIFS('Comp2016-2017 (3)'!$G$5:$G$289,'Comp2016-2017 (3)'!$A$5:$A$289,$D117,'Comp2016-2017 (3)'!$R$5:$R$289,$V117)*$AB117))</f>
        <v>775.18684822585783</v>
      </c>
      <c r="AK117" s="2">
        <f t="shared" si="10"/>
        <v>0</v>
      </c>
      <c r="AL117" t="str">
        <f t="shared" si="7"/>
        <v/>
      </c>
      <c r="AM117" t="str">
        <f>VLOOKUP(A117,'Table corresp.'!$M$4:$U$63,8,FALSE)</f>
        <v>Production intermédiaire</v>
      </c>
      <c r="AN117" t="str">
        <f>VLOOKUP(D117,'Table corresp.'!$M$4:$U$63,9,FALSE)</f>
        <v>Consommation finale française</v>
      </c>
    </row>
    <row r="118" spans="1:40" x14ac:dyDescent="0.25">
      <c r="A118" t="s">
        <v>6</v>
      </c>
      <c r="B118" t="str">
        <f>VLOOKUP(LEFT(A118,3),'Table corresp.'!$A$4:$D$63,3,FALSE)</f>
        <v>Transformation</v>
      </c>
      <c r="C118" t="str">
        <f>VLOOKUP(A118,'Table corresp.'!$M$4:$P$63,4,FALSE)</f>
        <v>Production et transformation de produits bois</v>
      </c>
      <c r="D118" t="s">
        <v>53</v>
      </c>
      <c r="E118" t="str">
        <f>VLOOKUP(LEFT(D118,3),'Table corresp.'!$A$4:$D$63,4,FALSE)</f>
        <v>Exportation</v>
      </c>
      <c r="F118" t="str">
        <f t="shared" si="6"/>
        <v>11  - Exp</v>
      </c>
      <c r="G118" s="1">
        <v>2981.587</v>
      </c>
      <c r="H118" s="1">
        <v>0</v>
      </c>
      <c r="I118" s="1">
        <v>2981.587</v>
      </c>
      <c r="J118" s="1">
        <v>2.5972124254375308</v>
      </c>
      <c r="K118" s="1">
        <v>0</v>
      </c>
      <c r="L118" s="1">
        <v>2.5972124254375308</v>
      </c>
      <c r="M118" s="1">
        <v>0</v>
      </c>
      <c r="N118" s="1">
        <v>0</v>
      </c>
      <c r="O118" s="1">
        <v>0</v>
      </c>
      <c r="P118" s="1">
        <v>0</v>
      </c>
      <c r="Q118" s="1">
        <v>0</v>
      </c>
      <c r="R118" s="1">
        <v>0</v>
      </c>
      <c r="S118" s="67"/>
      <c r="T118">
        <f>VLOOKUP(A118,'Groupe de branches'!$Z$27:$AM$86,14,FALSE)</f>
        <v>0</v>
      </c>
      <c r="U118">
        <f>VLOOKUP(D118,'Groupe de branches'!$Z$27:$AM$86,14,FALSE)</f>
        <v>0</v>
      </c>
      <c r="V118">
        <v>2016</v>
      </c>
      <c r="W118" t="str">
        <f>VLOOKUP(D118,'Table corresp.'!$M$4:$S$63,7,FALSE)</f>
        <v>Exportation</v>
      </c>
      <c r="X118" s="167">
        <f>IFERROR(G118/SUMIFS('Comp2016-2017 (3)'!$I$5:$I$289,'Comp2016-2017 (3)'!$A$5:$A$289,A118,'Comp2016-2017 (3)'!$R$5:$R$289,V118),0)</f>
        <v>0.13400948129304255</v>
      </c>
      <c r="Y118" s="178">
        <f>IFERROR(IF(RIGHT(F118,3)="Exp",VLOOKUP(F118,#REF!,2,FALSE),VLOOKUP(F118,#REF!,9,FALSE)),1)</f>
        <v>1</v>
      </c>
      <c r="Z118" s="167">
        <f t="shared" si="11"/>
        <v>9.0909090909090912E-2</v>
      </c>
      <c r="AA118" s="189">
        <f t="shared" si="9"/>
        <v>1.2182680117549322E-2</v>
      </c>
      <c r="AB118" s="2">
        <f>IFERROR(SUMIFS('Comp2016-2017 (3)'!$G$5:$G$289,'Comp2016-2017 (3)'!$A$5:$A$289,A118,'Comp2016-2017 (3)'!$R$5:$R$289,V118)*AA118/SUMIFS($AA$4:$AA$1116,$A$4:$A$1116,A118,$V$4:$V$1116,V118),0)</f>
        <v>802.98189580291341</v>
      </c>
      <c r="AC118" s="2">
        <f>IF($W118=AC$3,$AB118,IF(NOT($W118=0),"",SUMIFS('Val-Vol (2)'!AC$4:AC$1116,'Val-Vol (2)'!$A$4:$A$1116,$D118,'Val-Vol (2)'!$V$4:$V$1116,$V118)/SUMIFS('Comp2016-2017 (3)'!$G$5:$G$289,'Comp2016-2017 (3)'!$A$5:$A$289,$D118,'Comp2016-2017 (3)'!$R$5:$R$289,$V118)*$AB118))</f>
        <v>802.98189580291341</v>
      </c>
      <c r="AD118" s="2" t="str">
        <f>IF($W118=AD$3,$AB118,IF(NOT($W118=0),"",SUMIFS('Val-Vol (2)'!AD$4:AD$1116,'Val-Vol (2)'!$A$4:$A$1116,$D118,'Val-Vol (2)'!$V$4:$V$1116,$V118)/SUMIFS('Comp2016-2017 (3)'!$G$5:$G$289,'Comp2016-2017 (3)'!$A$5:$A$289,$D118,'Comp2016-2017 (3)'!$R$5:$R$289,$V118)*$AB118))</f>
        <v/>
      </c>
      <c r="AE118" s="2" t="str">
        <f>IF($W118=AE$3,$AB118,IF(NOT($W118=0),"",SUMIFS('Val-Vol (2)'!AE$4:AE$1116,'Val-Vol (2)'!$A$4:$A$1116,$D118,'Val-Vol (2)'!$V$4:$V$1116,$V118)/SUMIFS('Comp2016-2017 (3)'!$G$5:$G$289,'Comp2016-2017 (3)'!$A$5:$A$289,$D118,'Comp2016-2017 (3)'!$R$5:$R$289,$V118)*$AB118))</f>
        <v/>
      </c>
      <c r="AF118" s="2" t="str">
        <f>IF($W118=AF$3,$AB118,IF(NOT($W118=0),"",SUMIFS('Val-Vol (2)'!AF$4:AF$1116,'Val-Vol (2)'!$A$4:$A$1116,$D118,'Val-Vol (2)'!$V$4:$V$1116,$V118)/SUMIFS('Comp2016-2017 (3)'!$G$5:$G$289,'Comp2016-2017 (3)'!$A$5:$A$289,$D118,'Comp2016-2017 (3)'!$R$5:$R$289,$V118)*$AB118))</f>
        <v/>
      </c>
      <c r="AG118" s="2" t="str">
        <f>IF($W118=AG$3,$AB118,IF(NOT($W118=0),"",SUMIFS('Val-Vol (2)'!AG$4:AG$1116,'Val-Vol (2)'!$A$4:$A$1116,$D118,'Val-Vol (2)'!$V$4:$V$1116,$V118)/SUMIFS('Comp2016-2017 (3)'!$G$5:$G$289,'Comp2016-2017 (3)'!$A$5:$A$289,$D118,'Comp2016-2017 (3)'!$R$5:$R$289,$V118)*$AB118))</f>
        <v/>
      </c>
      <c r="AH118" s="2" t="str">
        <f>IF($W118=AH$3,$AB118,IF(NOT($W118=0),"",SUMIFS('Val-Vol (2)'!AH$4:AH$1116,'Val-Vol (2)'!$A$4:$A$1116,$D118,'Val-Vol (2)'!$V$4:$V$1116,$V118)/SUMIFS('Comp2016-2017 (3)'!$G$5:$G$289,'Comp2016-2017 (3)'!$A$5:$A$289,$D118,'Comp2016-2017 (3)'!$R$5:$R$289,$V118)*$AB118))</f>
        <v/>
      </c>
      <c r="AI118" s="2" t="str">
        <f>IF($W118=AI$3,$AB118,IF(NOT($W118=0),"",SUMIFS('Val-Vol (2)'!AI$4:AI$1116,'Val-Vol (2)'!$A$4:$A$1116,$D118,'Val-Vol (2)'!$V$4:$V$1116,$V118)/SUMIFS('Comp2016-2017 (3)'!$G$5:$G$289,'Comp2016-2017 (3)'!$A$5:$A$289,$D118,'Comp2016-2017 (3)'!$R$5:$R$289,$V118)*$AB118))</f>
        <v/>
      </c>
      <c r="AJ118" s="2" t="str">
        <f>IF($W118=AJ$3,$AB118,IF(NOT($W118=0),"",SUMIFS('Val-Vol (2)'!AJ$4:AJ$1116,'Val-Vol (2)'!$A$4:$A$1116,$D118,'Val-Vol (2)'!$V$4:$V$1116,$V118)/SUMIFS('Comp2016-2017 (3)'!$G$5:$G$289,'Comp2016-2017 (3)'!$A$5:$A$289,$D118,'Comp2016-2017 (3)'!$R$5:$R$289,$V118)*$AB118))</f>
        <v/>
      </c>
      <c r="AK118" s="2">
        <f t="shared" si="10"/>
        <v>0</v>
      </c>
      <c r="AL118" t="str">
        <f t="shared" si="7"/>
        <v/>
      </c>
      <c r="AM118" t="str">
        <f>VLOOKUP(A118,'Table corresp.'!$M$4:$U$63,8,FALSE)</f>
        <v>Production intermédiaire</v>
      </c>
      <c r="AN118" t="str">
        <f>VLOOKUP(D118,'Table corresp.'!$M$4:$U$63,9,FALSE)</f>
        <v>Exportation</v>
      </c>
    </row>
    <row r="119" spans="1:40" x14ac:dyDescent="0.25">
      <c r="A119" t="s">
        <v>7</v>
      </c>
      <c r="B119" t="str">
        <f>VLOOKUP(LEFT(A119,3),'Table corresp.'!$A$4:$D$63,3,FALSE)</f>
        <v>Transformation</v>
      </c>
      <c r="C119" t="str">
        <f>VLOOKUP(A119,'Table corresp.'!$M$4:$P$63,4,FALSE)</f>
        <v>Production et transformation de produits bois</v>
      </c>
      <c r="D119" t="s">
        <v>13</v>
      </c>
      <c r="E119" t="str">
        <f>VLOOKUP(LEFT(D119,3),'Table corresp.'!$A$4:$D$63,4,FALSE)</f>
        <v>Transformation</v>
      </c>
      <c r="F119" t="str">
        <f t="shared" si="6"/>
        <v xml:space="preserve">12  - 20 </v>
      </c>
      <c r="G119" s="1">
        <v>19030.533599999995</v>
      </c>
      <c r="H119" s="1">
        <v>118366.9664</v>
      </c>
      <c r="I119" s="1">
        <v>137397.5</v>
      </c>
      <c r="J119" s="1">
        <v>153.62058581970925</v>
      </c>
      <c r="K119" s="1">
        <v>1047.6734939945759</v>
      </c>
      <c r="L119" s="1">
        <v>1201.2940798142852</v>
      </c>
      <c r="M119" s="1">
        <v>0</v>
      </c>
      <c r="N119" s="1">
        <v>0</v>
      </c>
      <c r="O119" s="1">
        <v>0</v>
      </c>
      <c r="P119" s="1">
        <v>0</v>
      </c>
      <c r="Q119" s="1">
        <v>0</v>
      </c>
      <c r="R119" s="1">
        <v>0</v>
      </c>
      <c r="S119" s="67"/>
      <c r="T119">
        <f>VLOOKUP(A119,'Groupe de branches'!$Z$27:$AM$86,14,FALSE)</f>
        <v>0</v>
      </c>
      <c r="U119">
        <f>VLOOKUP(D119,'Groupe de branches'!$Z$27:$AM$86,14,FALSE)</f>
        <v>0</v>
      </c>
      <c r="V119">
        <v>2016</v>
      </c>
      <c r="W119">
        <f>VLOOKUP(D119,'Table corresp.'!$M$4:$S$63,7,FALSE)</f>
        <v>0</v>
      </c>
      <c r="X119" s="167">
        <f>IFERROR(G119/SUMIFS('Comp2016-2017 (3)'!$I$5:$I$289,'Comp2016-2017 (3)'!$A$5:$A$289,A119,'Comp2016-2017 (3)'!$R$5:$R$289,V119),0)</f>
        <v>2.9696881212684871E-2</v>
      </c>
      <c r="Y119" s="178">
        <f>IFERROR(IF(RIGHT(F119,3)="Exp",VLOOKUP(F119,#REF!,2,FALSE),VLOOKUP(F119,#REF!,9,FALSE)),1)</f>
        <v>1</v>
      </c>
      <c r="Z119" s="167">
        <f t="shared" si="11"/>
        <v>4.5454545454545456E-2</v>
      </c>
      <c r="AA119" s="189">
        <f t="shared" si="9"/>
        <v>1.3498582369402214E-3</v>
      </c>
      <c r="AB119" s="2">
        <f>IFERROR(SUMIFS('Comp2016-2017 (3)'!$G$5:$G$289,'Comp2016-2017 (3)'!$A$5:$A$289,A119,'Comp2016-2017 (3)'!$R$5:$R$289,V119)*AA119/SUMIFS($AA$4:$AA$1116,$A$4:$A$1116,A119,$V$4:$V$1116,V119),0)</f>
        <v>4415.0858045154846</v>
      </c>
      <c r="AC119" s="2">
        <f>IF($W119=AC$3,$AB119,IF(NOT($W119=0),"",SUMIFS('Val-Vol (2)'!AC$4:AC$1116,'Val-Vol (2)'!$A$4:$A$1116,$D119,'Val-Vol (2)'!$V$4:$V$1116,$V119)/SUMIFS('Comp2016-2017 (3)'!$G$5:$G$289,'Comp2016-2017 (3)'!$A$5:$A$289,$D119,'Comp2016-2017 (3)'!$R$5:$R$289,$V119)*$AB119))</f>
        <v>500.30080283803221</v>
      </c>
      <c r="AD119" s="2">
        <f>IF($W119=AD$3,$AB119,IF(NOT($W119=0),"",SUMIFS('Val-Vol (2)'!AD$4:AD$1116,'Val-Vol (2)'!$A$4:$A$1116,$D119,'Val-Vol (2)'!$V$4:$V$1116,$V119)/SUMIFS('Comp2016-2017 (3)'!$G$5:$G$289,'Comp2016-2017 (3)'!$A$5:$A$289,$D119,'Comp2016-2017 (3)'!$R$5:$R$289,$V119)*$AB119))</f>
        <v>2378.3473853814062</v>
      </c>
      <c r="AE119" s="2">
        <f>IF($W119=AE$3,$AB119,IF(NOT($W119=0),"",SUMIFS('Val-Vol (2)'!AE$4:AE$1116,'Val-Vol (2)'!$A$4:$A$1116,$D119,'Val-Vol (2)'!$V$4:$V$1116,$V119)/SUMIFS('Comp2016-2017 (3)'!$G$5:$G$289,'Comp2016-2017 (3)'!$A$5:$A$289,$D119,'Comp2016-2017 (3)'!$R$5:$R$289,$V119)*$AB119))</f>
        <v>0</v>
      </c>
      <c r="AF119" s="2">
        <f>IF($W119=AF$3,$AB119,IF(NOT($W119=0),"",SUMIFS('Val-Vol (2)'!AF$4:AF$1116,'Val-Vol (2)'!$A$4:$A$1116,$D119,'Val-Vol (2)'!$V$4:$V$1116,$V119)/SUMIFS('Comp2016-2017 (3)'!$G$5:$G$289,'Comp2016-2017 (3)'!$A$5:$A$289,$D119,'Comp2016-2017 (3)'!$R$5:$R$289,$V119)*$AB119))</f>
        <v>0</v>
      </c>
      <c r="AG119" s="2">
        <f>IF($W119=AG$3,$AB119,IF(NOT($W119=0),"",SUMIFS('Val-Vol (2)'!AG$4:AG$1116,'Val-Vol (2)'!$A$4:$A$1116,$D119,'Val-Vol (2)'!$V$4:$V$1116,$V119)/SUMIFS('Comp2016-2017 (3)'!$G$5:$G$289,'Comp2016-2017 (3)'!$A$5:$A$289,$D119,'Comp2016-2017 (3)'!$R$5:$R$289,$V119)*$AB119))</f>
        <v>0</v>
      </c>
      <c r="AH119" s="2">
        <f>IF($W119=AH$3,$AB119,IF(NOT($W119=0),"",SUMIFS('Val-Vol (2)'!AH$4:AH$1116,'Val-Vol (2)'!$A$4:$A$1116,$D119,'Val-Vol (2)'!$V$4:$V$1116,$V119)/SUMIFS('Comp2016-2017 (3)'!$G$5:$G$289,'Comp2016-2017 (3)'!$A$5:$A$289,$D119,'Comp2016-2017 (3)'!$R$5:$R$289,$V119)*$AB119))</f>
        <v>0</v>
      </c>
      <c r="AI119" s="2">
        <f>IF($W119=AI$3,$AB119,IF(NOT($W119=0),"",SUMIFS('Val-Vol (2)'!AI$4:AI$1116,'Val-Vol (2)'!$A$4:$A$1116,$D119,'Val-Vol (2)'!$V$4:$V$1116,$V119)/SUMIFS('Comp2016-2017 (3)'!$G$5:$G$289,'Comp2016-2017 (3)'!$A$5:$A$289,$D119,'Comp2016-2017 (3)'!$R$5:$R$289,$V119)*$AB119))</f>
        <v>0</v>
      </c>
      <c r="AJ119" s="2">
        <f>IF($W119=AJ$3,$AB119,IF(NOT($W119=0),"",SUMIFS('Val-Vol (2)'!AJ$4:AJ$1116,'Val-Vol (2)'!$A$4:$A$1116,$D119,'Val-Vol (2)'!$V$4:$V$1116,$V119)/SUMIFS('Comp2016-2017 (3)'!$G$5:$G$289,'Comp2016-2017 (3)'!$A$5:$A$289,$D119,'Comp2016-2017 (3)'!$R$5:$R$289,$V119)*$AB119))</f>
        <v>1536.4376162960466</v>
      </c>
      <c r="AK119" s="2">
        <f t="shared" si="10"/>
        <v>0</v>
      </c>
      <c r="AL119" t="str">
        <f t="shared" si="7"/>
        <v/>
      </c>
      <c r="AM119" t="str">
        <f>VLOOKUP(A119,'Table corresp.'!$M$4:$U$63,8,FALSE)</f>
        <v>Production intermédiaire</v>
      </c>
      <c r="AN119" t="str">
        <f>VLOOKUP(D119,'Table corresp.'!$M$4:$U$63,9,FALSE)</f>
        <v>Production intermédiaire</v>
      </c>
    </row>
    <row r="120" spans="1:40" x14ac:dyDescent="0.25">
      <c r="A120" t="s">
        <v>7</v>
      </c>
      <c r="B120" t="str">
        <f>VLOOKUP(LEFT(A120,3),'Table corresp.'!$A$4:$D$63,3,FALSE)</f>
        <v>Transformation</v>
      </c>
      <c r="C120" t="str">
        <f>VLOOKUP(A120,'Table corresp.'!$M$4:$P$63,4,FALSE)</f>
        <v>Production et transformation de produits bois</v>
      </c>
      <c r="D120" t="s">
        <v>14</v>
      </c>
      <c r="E120" t="str">
        <f>VLOOKUP(LEFT(D120,3),'Table corresp.'!$A$4:$D$63,4,FALSE)</f>
        <v>Transformation</v>
      </c>
      <c r="F120" t="str">
        <f t="shared" si="6"/>
        <v>12  - 20b</v>
      </c>
      <c r="G120" s="1">
        <v>15798.553221746042</v>
      </c>
      <c r="H120" s="1">
        <v>38386.78656</v>
      </c>
      <c r="I120" s="1">
        <v>54185.339781746043</v>
      </c>
      <c r="J120" s="1">
        <v>112.4546618019763</v>
      </c>
      <c r="K120" s="1">
        <v>297.29338783427528</v>
      </c>
      <c r="L120" s="1">
        <v>409.74804963625161</v>
      </c>
      <c r="M120" s="1">
        <v>0</v>
      </c>
      <c r="N120" s="1">
        <v>0</v>
      </c>
      <c r="O120" s="1">
        <v>0</v>
      </c>
      <c r="P120" s="1">
        <v>0</v>
      </c>
      <c r="Q120" s="1">
        <v>0</v>
      </c>
      <c r="R120" s="1">
        <v>0</v>
      </c>
      <c r="S120" s="67"/>
      <c r="T120">
        <f>VLOOKUP(A120,'Groupe de branches'!$Z$27:$AM$86,14,FALSE)</f>
        <v>0</v>
      </c>
      <c r="U120">
        <f>VLOOKUP(D120,'Groupe de branches'!$Z$27:$AM$86,14,FALSE)</f>
        <v>0</v>
      </c>
      <c r="V120">
        <v>2016</v>
      </c>
      <c r="W120">
        <f>VLOOKUP(D120,'Table corresp.'!$M$4:$S$63,7,FALSE)</f>
        <v>0</v>
      </c>
      <c r="X120" s="167">
        <f>IFERROR(G120/SUMIFS('Comp2016-2017 (3)'!$I$5:$I$289,'Comp2016-2017 (3)'!$A$5:$A$289,A120,'Comp2016-2017 (3)'!$R$5:$R$289,V120),0)</f>
        <v>2.4653421087387283E-2</v>
      </c>
      <c r="Y120" s="178">
        <f>IFERROR(IF(RIGHT(F120,3)="Exp",VLOOKUP(F120,#REF!,2,FALSE),VLOOKUP(F120,#REF!,9,FALSE)),1)</f>
        <v>1</v>
      </c>
      <c r="Z120" s="167">
        <f t="shared" si="11"/>
        <v>4.5454545454545456E-2</v>
      </c>
      <c r="AA120" s="189">
        <f t="shared" si="9"/>
        <v>1.1206100494266947E-3</v>
      </c>
      <c r="AB120" s="2">
        <f>IFERROR(SUMIFS('Comp2016-2017 (3)'!$G$5:$G$289,'Comp2016-2017 (3)'!$A$5:$A$289,A120,'Comp2016-2017 (3)'!$R$5:$R$289,V120)*AA120/SUMIFS($AA$4:$AA$1116,$A$4:$A$1116,A120,$V$4:$V$1116,V120),0)</f>
        <v>3665.2660155158947</v>
      </c>
      <c r="AC120" s="2">
        <f>IF($W120=AC$3,$AB120,IF(NOT($W120=0),"",SUMIFS('Val-Vol (2)'!AC$4:AC$1116,'Val-Vol (2)'!$A$4:$A$1116,$D120,'Val-Vol (2)'!$V$4:$V$1116,$V120)/SUMIFS('Comp2016-2017 (3)'!$G$5:$G$289,'Comp2016-2017 (3)'!$A$5:$A$289,$D120,'Comp2016-2017 (3)'!$R$5:$R$289,$V120)*$AB120))</f>
        <v>935.30039298562451</v>
      </c>
      <c r="AD120" s="2">
        <f>IF($W120=AD$3,$AB120,IF(NOT($W120=0),"",SUMIFS('Val-Vol (2)'!AD$4:AD$1116,'Val-Vol (2)'!$A$4:$A$1116,$D120,'Val-Vol (2)'!$V$4:$V$1116,$V120)/SUMIFS('Comp2016-2017 (3)'!$G$5:$G$289,'Comp2016-2017 (3)'!$A$5:$A$289,$D120,'Comp2016-2017 (3)'!$R$5:$R$289,$V120)*$AB120))</f>
        <v>2721.9487620189648</v>
      </c>
      <c r="AE120" s="2">
        <f>IF($W120=AE$3,$AB120,IF(NOT($W120=0),"",SUMIFS('Val-Vol (2)'!AE$4:AE$1116,'Val-Vol (2)'!$A$4:$A$1116,$D120,'Val-Vol (2)'!$V$4:$V$1116,$V120)/SUMIFS('Comp2016-2017 (3)'!$G$5:$G$289,'Comp2016-2017 (3)'!$A$5:$A$289,$D120,'Comp2016-2017 (3)'!$R$5:$R$289,$V120)*$AB120))</f>
        <v>8.016860511305353</v>
      </c>
      <c r="AF120" s="2">
        <f>IF($W120=AF$3,$AB120,IF(NOT($W120=0),"",SUMIFS('Val-Vol (2)'!AF$4:AF$1116,'Val-Vol (2)'!$A$4:$A$1116,$D120,'Val-Vol (2)'!$V$4:$V$1116,$V120)/SUMIFS('Comp2016-2017 (3)'!$G$5:$G$289,'Comp2016-2017 (3)'!$A$5:$A$289,$D120,'Comp2016-2017 (3)'!$R$5:$R$289,$V120)*$AB120))</f>
        <v>0</v>
      </c>
      <c r="AG120" s="2">
        <f>IF($W120=AG$3,$AB120,IF(NOT($W120=0),"",SUMIFS('Val-Vol (2)'!AG$4:AG$1116,'Val-Vol (2)'!$A$4:$A$1116,$D120,'Val-Vol (2)'!$V$4:$V$1116,$V120)/SUMIFS('Comp2016-2017 (3)'!$G$5:$G$289,'Comp2016-2017 (3)'!$A$5:$A$289,$D120,'Comp2016-2017 (3)'!$R$5:$R$289,$V120)*$AB120))</f>
        <v>0</v>
      </c>
      <c r="AH120" s="2">
        <f>IF($W120=AH$3,$AB120,IF(NOT($W120=0),"",SUMIFS('Val-Vol (2)'!AH$4:AH$1116,'Val-Vol (2)'!$A$4:$A$1116,$D120,'Val-Vol (2)'!$V$4:$V$1116,$V120)/SUMIFS('Comp2016-2017 (3)'!$G$5:$G$289,'Comp2016-2017 (3)'!$A$5:$A$289,$D120,'Comp2016-2017 (3)'!$R$5:$R$289,$V120)*$AB120))</f>
        <v>0</v>
      </c>
      <c r="AI120" s="2">
        <f>IF($W120=AI$3,$AB120,IF(NOT($W120=0),"",SUMIFS('Val-Vol (2)'!AI$4:AI$1116,'Val-Vol (2)'!$A$4:$A$1116,$D120,'Val-Vol (2)'!$V$4:$V$1116,$V120)/SUMIFS('Comp2016-2017 (3)'!$G$5:$G$289,'Comp2016-2017 (3)'!$A$5:$A$289,$D120,'Comp2016-2017 (3)'!$R$5:$R$289,$V120)*$AB120))</f>
        <v>0</v>
      </c>
      <c r="AJ120" s="2">
        <f>IF($W120=AJ$3,$AB120,IF(NOT($W120=0),"",SUMIFS('Val-Vol (2)'!AJ$4:AJ$1116,'Val-Vol (2)'!$A$4:$A$1116,$D120,'Val-Vol (2)'!$V$4:$V$1116,$V120)/SUMIFS('Comp2016-2017 (3)'!$G$5:$G$289,'Comp2016-2017 (3)'!$A$5:$A$289,$D120,'Comp2016-2017 (3)'!$R$5:$R$289,$V120)*$AB120))</f>
        <v>0</v>
      </c>
      <c r="AK120" s="2">
        <f t="shared" si="10"/>
        <v>0</v>
      </c>
      <c r="AL120" t="str">
        <f t="shared" si="7"/>
        <v/>
      </c>
      <c r="AM120" t="str">
        <f>VLOOKUP(A120,'Table corresp.'!$M$4:$U$63,8,FALSE)</f>
        <v>Production intermédiaire</v>
      </c>
      <c r="AN120" t="str">
        <f>VLOOKUP(D120,'Table corresp.'!$M$4:$U$63,9,FALSE)</f>
        <v>Production intermédiaire</v>
      </c>
    </row>
    <row r="121" spans="1:40" x14ac:dyDescent="0.25">
      <c r="A121" t="s">
        <v>7</v>
      </c>
      <c r="B121" t="str">
        <f>VLOOKUP(LEFT(A121,3),'Table corresp.'!$A$4:$D$63,3,FALSE)</f>
        <v>Transformation</v>
      </c>
      <c r="C121" t="str">
        <f>VLOOKUP(A121,'Table corresp.'!$M$4:$P$63,4,FALSE)</f>
        <v>Production et transformation de produits bois</v>
      </c>
      <c r="D121" t="s">
        <v>85</v>
      </c>
      <c r="E121" t="str">
        <f>VLOOKUP(LEFT(D121,3),'Table corresp.'!$A$4:$D$63,4,FALSE)</f>
        <v>Transformation</v>
      </c>
      <c r="F121" t="str">
        <f t="shared" si="6"/>
        <v xml:space="preserve">12  - 29 </v>
      </c>
      <c r="G121" s="1">
        <v>3895.5071689667484</v>
      </c>
      <c r="H121" s="1">
        <v>0</v>
      </c>
      <c r="I121" s="1">
        <v>3895.5071689667484</v>
      </c>
      <c r="J121" s="1">
        <v>39.743979946857742</v>
      </c>
      <c r="K121" s="1">
        <v>0</v>
      </c>
      <c r="L121" s="1">
        <v>39.743979946857742</v>
      </c>
      <c r="M121" s="1">
        <v>0</v>
      </c>
      <c r="N121" s="1">
        <v>0</v>
      </c>
      <c r="O121" s="1">
        <v>0</v>
      </c>
      <c r="P121" s="1">
        <v>0</v>
      </c>
      <c r="Q121" s="1">
        <v>0</v>
      </c>
      <c r="R121" s="1">
        <v>0</v>
      </c>
      <c r="S121" s="67"/>
      <c r="T121">
        <f>VLOOKUP(A121,'Groupe de branches'!$Z$27:$AM$86,14,FALSE)</f>
        <v>0</v>
      </c>
      <c r="U121">
        <f>VLOOKUP(D121,'Groupe de branches'!$Z$27:$AM$86,14,FALSE)</f>
        <v>0</v>
      </c>
      <c r="V121">
        <v>2016</v>
      </c>
      <c r="W121" t="str">
        <f>VLOOKUP(D121,'Table corresp.'!$M$4:$S$63,7,FALSE)</f>
        <v>Construction</v>
      </c>
      <c r="X121" s="167">
        <f>IFERROR(G121/SUMIFS('Comp2016-2017 (3)'!$I$5:$I$289,'Comp2016-2017 (3)'!$A$5:$A$289,A121,'Comp2016-2017 (3)'!$R$5:$R$289,V121),0)</f>
        <v>6.0788843913429673E-3</v>
      </c>
      <c r="Y121" s="178">
        <f>IFERROR(IF(RIGHT(F121,3)="Exp",VLOOKUP(F121,#REF!,2,FALSE),VLOOKUP(F121,#REF!,9,FALSE)),1)</f>
        <v>1</v>
      </c>
      <c r="Z121" s="167">
        <f t="shared" si="11"/>
        <v>4.5454545454545456E-2</v>
      </c>
      <c r="AA121" s="189">
        <f t="shared" si="9"/>
        <v>2.7631292687922579E-4</v>
      </c>
      <c r="AB121" s="2">
        <f>IFERROR(SUMIFS('Comp2016-2017 (3)'!$G$5:$G$289,'Comp2016-2017 (3)'!$A$5:$A$289,A121,'Comp2016-2017 (3)'!$R$5:$R$289,V121)*AA121/SUMIFS($AA$4:$AA$1116,$A$4:$A$1116,A121,$V$4:$V$1116,V121),0)</f>
        <v>903.75807450261925</v>
      </c>
      <c r="AC121" s="2" t="str">
        <f>IF($W121=AC$3,$AB121,IF(NOT($W121=0),"",SUMIFS('Val-Vol (2)'!AC$4:AC$1116,'Val-Vol (2)'!$A$4:$A$1116,$D121,'Val-Vol (2)'!$V$4:$V$1116,$V121)/SUMIFS('Comp2016-2017 (3)'!$G$5:$G$289,'Comp2016-2017 (3)'!$A$5:$A$289,$D121,'Comp2016-2017 (3)'!$R$5:$R$289,$V121)*$AB121))</f>
        <v/>
      </c>
      <c r="AD121" s="2">
        <f>IF($W121=AD$3,$AB121,IF(NOT($W121=0),"",SUMIFS('Val-Vol (2)'!AD$4:AD$1116,'Val-Vol (2)'!$A$4:$A$1116,$D121,'Val-Vol (2)'!$V$4:$V$1116,$V121)/SUMIFS('Comp2016-2017 (3)'!$G$5:$G$289,'Comp2016-2017 (3)'!$A$5:$A$289,$D121,'Comp2016-2017 (3)'!$R$5:$R$289,$V121)*$AB121))</f>
        <v>903.75807450261925</v>
      </c>
      <c r="AE121" s="2" t="str">
        <f>IF($W121=AE$3,$AB121,IF(NOT($W121=0),"",SUMIFS('Val-Vol (2)'!AE$4:AE$1116,'Val-Vol (2)'!$A$4:$A$1116,$D121,'Val-Vol (2)'!$V$4:$V$1116,$V121)/SUMIFS('Comp2016-2017 (3)'!$G$5:$G$289,'Comp2016-2017 (3)'!$A$5:$A$289,$D121,'Comp2016-2017 (3)'!$R$5:$R$289,$V121)*$AB121))</f>
        <v/>
      </c>
      <c r="AF121" s="2" t="str">
        <f>IF($W121=AF$3,$AB121,IF(NOT($W121=0),"",SUMIFS('Val-Vol (2)'!AF$4:AF$1116,'Val-Vol (2)'!$A$4:$A$1116,$D121,'Val-Vol (2)'!$V$4:$V$1116,$V121)/SUMIFS('Comp2016-2017 (3)'!$G$5:$G$289,'Comp2016-2017 (3)'!$A$5:$A$289,$D121,'Comp2016-2017 (3)'!$R$5:$R$289,$V121)*$AB121))</f>
        <v/>
      </c>
      <c r="AG121" s="2" t="str">
        <f>IF($W121=AG$3,$AB121,IF(NOT($W121=0),"",SUMIFS('Val-Vol (2)'!AG$4:AG$1116,'Val-Vol (2)'!$A$4:$A$1116,$D121,'Val-Vol (2)'!$V$4:$V$1116,$V121)/SUMIFS('Comp2016-2017 (3)'!$G$5:$G$289,'Comp2016-2017 (3)'!$A$5:$A$289,$D121,'Comp2016-2017 (3)'!$R$5:$R$289,$V121)*$AB121))</f>
        <v/>
      </c>
      <c r="AH121" s="2" t="str">
        <f>IF($W121=AH$3,$AB121,IF(NOT($W121=0),"",SUMIFS('Val-Vol (2)'!AH$4:AH$1116,'Val-Vol (2)'!$A$4:$A$1116,$D121,'Val-Vol (2)'!$V$4:$V$1116,$V121)/SUMIFS('Comp2016-2017 (3)'!$G$5:$G$289,'Comp2016-2017 (3)'!$A$5:$A$289,$D121,'Comp2016-2017 (3)'!$R$5:$R$289,$V121)*$AB121))</f>
        <v/>
      </c>
      <c r="AI121" s="2" t="str">
        <f>IF($W121=AI$3,$AB121,IF(NOT($W121=0),"",SUMIFS('Val-Vol (2)'!AI$4:AI$1116,'Val-Vol (2)'!$A$4:$A$1116,$D121,'Val-Vol (2)'!$V$4:$V$1116,$V121)/SUMIFS('Comp2016-2017 (3)'!$G$5:$G$289,'Comp2016-2017 (3)'!$A$5:$A$289,$D121,'Comp2016-2017 (3)'!$R$5:$R$289,$V121)*$AB121))</f>
        <v/>
      </c>
      <c r="AJ121" s="2" t="str">
        <f>IF($W121=AJ$3,$AB121,IF(NOT($W121=0),"",SUMIFS('Val-Vol (2)'!AJ$4:AJ$1116,'Val-Vol (2)'!$A$4:$A$1116,$D121,'Val-Vol (2)'!$V$4:$V$1116,$V121)/SUMIFS('Comp2016-2017 (3)'!$G$5:$G$289,'Comp2016-2017 (3)'!$A$5:$A$289,$D121,'Comp2016-2017 (3)'!$R$5:$R$289,$V121)*$AB121))</f>
        <v/>
      </c>
      <c r="AK121" s="2">
        <f t="shared" si="10"/>
        <v>0</v>
      </c>
      <c r="AL121" t="str">
        <f t="shared" si="7"/>
        <v/>
      </c>
      <c r="AM121" t="str">
        <f>VLOOKUP(A121,'Table corresp.'!$M$4:$U$63,8,FALSE)</f>
        <v>Production intermédiaire</v>
      </c>
      <c r="AN121" t="str">
        <f>VLOOKUP(D121,'Table corresp.'!$M$4:$U$63,9,FALSE)</f>
        <v>Production intermédiaire</v>
      </c>
    </row>
    <row r="122" spans="1:40" x14ac:dyDescent="0.25">
      <c r="A122" t="s">
        <v>7</v>
      </c>
      <c r="B122" t="str">
        <f>VLOOKUP(LEFT(A122,3),'Table corresp.'!$A$4:$D$63,3,FALSE)</f>
        <v>Transformation</v>
      </c>
      <c r="C122" t="str">
        <f>VLOOKUP(A122,'Table corresp.'!$M$4:$P$63,4,FALSE)</f>
        <v>Production et transformation de produits bois</v>
      </c>
      <c r="D122" t="s">
        <v>88</v>
      </c>
      <c r="E122" t="str">
        <f>VLOOKUP(LEFT(D122,3),'Table corresp.'!$A$4:$D$63,4,FALSE)</f>
        <v>Transformation</v>
      </c>
      <c r="F122" t="str">
        <f t="shared" si="6"/>
        <v xml:space="preserve">12  - 32 </v>
      </c>
      <c r="G122" s="1">
        <v>0.3</v>
      </c>
      <c r="H122" s="1">
        <v>0</v>
      </c>
      <c r="I122" s="1">
        <v>0.3</v>
      </c>
      <c r="J122" s="1">
        <v>2.804328880096899E-3</v>
      </c>
      <c r="K122" s="1">
        <v>0</v>
      </c>
      <c r="L122" s="1">
        <v>2.804328880096899E-3</v>
      </c>
      <c r="M122" s="1">
        <v>0</v>
      </c>
      <c r="N122" s="1">
        <v>0</v>
      </c>
      <c r="O122" s="1">
        <v>0</v>
      </c>
      <c r="P122" s="1">
        <v>0</v>
      </c>
      <c r="Q122" s="1">
        <v>0</v>
      </c>
      <c r="R122" s="1">
        <v>0</v>
      </c>
      <c r="S122" s="67"/>
      <c r="T122">
        <f>VLOOKUP(A122,'Groupe de branches'!$Z$27:$AM$86,14,FALSE)</f>
        <v>0</v>
      </c>
      <c r="U122">
        <f>VLOOKUP(D122,'Groupe de branches'!$Z$27:$AM$86,14,FALSE)</f>
        <v>0</v>
      </c>
      <c r="V122">
        <v>2016</v>
      </c>
      <c r="W122" t="str">
        <f>VLOOKUP(D122,'Table corresp.'!$M$4:$S$63,7,FALSE)</f>
        <v>Construction</v>
      </c>
      <c r="X122" s="167">
        <f>IFERROR(G122/SUMIFS('Comp2016-2017 (3)'!$I$5:$I$289,'Comp2016-2017 (3)'!$A$5:$A$289,A122,'Comp2016-2017 (3)'!$R$5:$R$289,V122),0)</f>
        <v>4.6814579932774259E-7</v>
      </c>
      <c r="Y122" s="232"/>
      <c r="Z122" s="233"/>
      <c r="AA122" s="189">
        <f t="shared" si="9"/>
        <v>0</v>
      </c>
      <c r="AB122" s="2">
        <f>IFERROR(SUMIFS('Comp2016-2017 (3)'!$G$5:$G$289,'Comp2016-2017 (3)'!$A$5:$A$289,A122,'Comp2016-2017 (3)'!$R$5:$R$289,V122)*AA122/SUMIFS($AA$4:$AA$1116,$A$4:$A$1116,A122,$V$4:$V$1116,V122),0)</f>
        <v>0</v>
      </c>
      <c r="AC122" s="2" t="str">
        <f>IF($W122=AC$3,$AB122,IF(NOT($W122=0),"",SUMIFS('Val-Vol (2)'!AC$4:AC$1116,'Val-Vol (2)'!$A$4:$A$1116,$D122,'Val-Vol (2)'!$V$4:$V$1116,$V122)/SUMIFS('Comp2016-2017 (3)'!$G$5:$G$289,'Comp2016-2017 (3)'!$A$5:$A$289,$D122,'Comp2016-2017 (3)'!$R$5:$R$289,$V122)*$AB122))</f>
        <v/>
      </c>
      <c r="AD122" s="2">
        <f>IF($W122=AD$3,$AB122,IF(NOT($W122=0),"",SUMIFS('Val-Vol (2)'!AD$4:AD$1116,'Val-Vol (2)'!$A$4:$A$1116,$D122,'Val-Vol (2)'!$V$4:$V$1116,$V122)/SUMIFS('Comp2016-2017 (3)'!$G$5:$G$289,'Comp2016-2017 (3)'!$A$5:$A$289,$D122,'Comp2016-2017 (3)'!$R$5:$R$289,$V122)*$AB122))</f>
        <v>0</v>
      </c>
      <c r="AE122" s="2" t="str">
        <f>IF($W122=AE$3,$AB122,IF(NOT($W122=0),"",SUMIFS('Val-Vol (2)'!AE$4:AE$1116,'Val-Vol (2)'!$A$4:$A$1116,$D122,'Val-Vol (2)'!$V$4:$V$1116,$V122)/SUMIFS('Comp2016-2017 (3)'!$G$5:$G$289,'Comp2016-2017 (3)'!$A$5:$A$289,$D122,'Comp2016-2017 (3)'!$R$5:$R$289,$V122)*$AB122))</f>
        <v/>
      </c>
      <c r="AF122" s="2" t="str">
        <f>IF($W122=AF$3,$AB122,IF(NOT($W122=0),"",SUMIFS('Val-Vol (2)'!AF$4:AF$1116,'Val-Vol (2)'!$A$4:$A$1116,$D122,'Val-Vol (2)'!$V$4:$V$1116,$V122)/SUMIFS('Comp2016-2017 (3)'!$G$5:$G$289,'Comp2016-2017 (3)'!$A$5:$A$289,$D122,'Comp2016-2017 (3)'!$R$5:$R$289,$V122)*$AB122))</f>
        <v/>
      </c>
      <c r="AG122" s="2" t="str">
        <f>IF($W122=AG$3,$AB122,IF(NOT($W122=0),"",SUMIFS('Val-Vol (2)'!AG$4:AG$1116,'Val-Vol (2)'!$A$4:$A$1116,$D122,'Val-Vol (2)'!$V$4:$V$1116,$V122)/SUMIFS('Comp2016-2017 (3)'!$G$5:$G$289,'Comp2016-2017 (3)'!$A$5:$A$289,$D122,'Comp2016-2017 (3)'!$R$5:$R$289,$V122)*$AB122))</f>
        <v/>
      </c>
      <c r="AH122" s="2" t="str">
        <f>IF($W122=AH$3,$AB122,IF(NOT($W122=0),"",SUMIFS('Val-Vol (2)'!AH$4:AH$1116,'Val-Vol (2)'!$A$4:$A$1116,$D122,'Val-Vol (2)'!$V$4:$V$1116,$V122)/SUMIFS('Comp2016-2017 (3)'!$G$5:$G$289,'Comp2016-2017 (3)'!$A$5:$A$289,$D122,'Comp2016-2017 (3)'!$R$5:$R$289,$V122)*$AB122))</f>
        <v/>
      </c>
      <c r="AI122" s="2" t="str">
        <f>IF($W122=AI$3,$AB122,IF(NOT($W122=0),"",SUMIFS('Val-Vol (2)'!AI$4:AI$1116,'Val-Vol (2)'!$A$4:$A$1116,$D122,'Val-Vol (2)'!$V$4:$V$1116,$V122)/SUMIFS('Comp2016-2017 (3)'!$G$5:$G$289,'Comp2016-2017 (3)'!$A$5:$A$289,$D122,'Comp2016-2017 (3)'!$R$5:$R$289,$V122)*$AB122))</f>
        <v/>
      </c>
      <c r="AJ122" s="2" t="str">
        <f>IF($W122=AJ$3,$AB122,IF(NOT($W122=0),"",SUMIFS('Val-Vol (2)'!AJ$4:AJ$1116,'Val-Vol (2)'!$A$4:$A$1116,$D122,'Val-Vol (2)'!$V$4:$V$1116,$V122)/SUMIFS('Comp2016-2017 (3)'!$G$5:$G$289,'Comp2016-2017 (3)'!$A$5:$A$289,$D122,'Comp2016-2017 (3)'!$R$5:$R$289,$V122)*$AB122))</f>
        <v/>
      </c>
      <c r="AK122" s="2">
        <f t="shared" si="10"/>
        <v>0</v>
      </c>
      <c r="AL122" t="str">
        <f t="shared" si="7"/>
        <v/>
      </c>
      <c r="AM122" t="str">
        <f>VLOOKUP(A122,'Table corresp.'!$M$4:$U$63,8,FALSE)</f>
        <v>Production intermédiaire</v>
      </c>
      <c r="AN122" t="str">
        <f>VLOOKUP(D122,'Table corresp.'!$M$4:$U$63,9,FALSE)</f>
        <v>Production finale</v>
      </c>
    </row>
    <row r="123" spans="1:40" x14ac:dyDescent="0.25">
      <c r="A123" t="s">
        <v>7</v>
      </c>
      <c r="B123" t="str">
        <f>VLOOKUP(LEFT(A123,3),'Table corresp.'!$A$4:$D$63,3,FALSE)</f>
        <v>Transformation</v>
      </c>
      <c r="C123" t="str">
        <f>VLOOKUP(A123,'Table corresp.'!$M$4:$P$63,4,FALSE)</f>
        <v>Production et transformation de produits bois</v>
      </c>
      <c r="D123" t="s">
        <v>90</v>
      </c>
      <c r="E123" t="str">
        <f>VLOOKUP(LEFT(D123,3),'Table corresp.'!$A$4:$D$63,4,FALSE)</f>
        <v>Transformation</v>
      </c>
      <c r="F123" t="str">
        <f t="shared" si="6"/>
        <v xml:space="preserve">12  - 34 </v>
      </c>
      <c r="G123" s="1">
        <v>18712.490830000002</v>
      </c>
      <c r="H123" s="1">
        <v>38287.509169999998</v>
      </c>
      <c r="I123" s="1">
        <v>57000</v>
      </c>
      <c r="J123" s="1">
        <v>202.14478016991706</v>
      </c>
      <c r="K123" s="1">
        <v>395.36602158987557</v>
      </c>
      <c r="L123" s="1">
        <v>597.51080175979268</v>
      </c>
      <c r="M123" s="1">
        <v>0</v>
      </c>
      <c r="N123" s="1">
        <v>0</v>
      </c>
      <c r="O123" s="1">
        <v>0</v>
      </c>
      <c r="P123" s="1">
        <v>0</v>
      </c>
      <c r="Q123" s="1">
        <v>0</v>
      </c>
      <c r="R123" s="1">
        <v>0</v>
      </c>
      <c r="S123" s="67"/>
      <c r="T123">
        <f>VLOOKUP(A123,'Groupe de branches'!$Z$27:$AM$86,14,FALSE)</f>
        <v>0</v>
      </c>
      <c r="U123">
        <f>VLOOKUP(D123,'Groupe de branches'!$Z$27:$AM$86,14,FALSE)</f>
        <v>0</v>
      </c>
      <c r="V123">
        <v>2016</v>
      </c>
      <c r="W123" t="str">
        <f>VLOOKUP(D123,'Table corresp.'!$M$4:$S$63,7,FALSE)</f>
        <v>Construction</v>
      </c>
      <c r="X123" s="167">
        <f>IFERROR(G123/SUMIFS('Comp2016-2017 (3)'!$I$5:$I$289,'Comp2016-2017 (3)'!$A$5:$A$289,A123,'Comp2016-2017 (3)'!$R$5:$R$289,V123),0)</f>
        <v>2.9200579923411352E-2</v>
      </c>
      <c r="Y123" s="178">
        <f>IFERROR(IF(RIGHT(F123,3)="Exp",VLOOKUP(F123,#REF!,2,FALSE),VLOOKUP(F123,#REF!,9,FALSE)),1)</f>
        <v>1</v>
      </c>
      <c r="Z123" s="167">
        <f t="shared" si="11"/>
        <v>4.5454545454545456E-2</v>
      </c>
      <c r="AA123" s="189">
        <f t="shared" si="9"/>
        <v>1.3272990874277889E-3</v>
      </c>
      <c r="AB123" s="2">
        <f>IFERROR(SUMIFS('Comp2016-2017 (3)'!$G$5:$G$289,'Comp2016-2017 (3)'!$A$5:$A$289,A123,'Comp2016-2017 (3)'!$R$5:$R$289,V123)*AA123/SUMIFS($AA$4:$AA$1116,$A$4:$A$1116,A123,$V$4:$V$1116,V123),0)</f>
        <v>4341.2998482953317</v>
      </c>
      <c r="AC123" s="2" t="str">
        <f>IF($W123=AC$3,$AB123,IF(NOT($W123=0),"",SUMIFS('Val-Vol (2)'!AC$4:AC$1116,'Val-Vol (2)'!$A$4:$A$1116,$D123,'Val-Vol (2)'!$V$4:$V$1116,$V123)/SUMIFS('Comp2016-2017 (3)'!$G$5:$G$289,'Comp2016-2017 (3)'!$A$5:$A$289,$D123,'Comp2016-2017 (3)'!$R$5:$R$289,$V123)*$AB123))</f>
        <v/>
      </c>
      <c r="AD123" s="2">
        <f>IF($W123=AD$3,$AB123,IF(NOT($W123=0),"",SUMIFS('Val-Vol (2)'!AD$4:AD$1116,'Val-Vol (2)'!$A$4:$A$1116,$D123,'Val-Vol (2)'!$V$4:$V$1116,$V123)/SUMIFS('Comp2016-2017 (3)'!$G$5:$G$289,'Comp2016-2017 (3)'!$A$5:$A$289,$D123,'Comp2016-2017 (3)'!$R$5:$R$289,$V123)*$AB123))</f>
        <v>4341.2998482953317</v>
      </c>
      <c r="AE123" s="2" t="str">
        <f>IF($W123=AE$3,$AB123,IF(NOT($W123=0),"",SUMIFS('Val-Vol (2)'!AE$4:AE$1116,'Val-Vol (2)'!$A$4:$A$1116,$D123,'Val-Vol (2)'!$V$4:$V$1116,$V123)/SUMIFS('Comp2016-2017 (3)'!$G$5:$G$289,'Comp2016-2017 (3)'!$A$5:$A$289,$D123,'Comp2016-2017 (3)'!$R$5:$R$289,$V123)*$AB123))</f>
        <v/>
      </c>
      <c r="AF123" s="2" t="str">
        <f>IF($W123=AF$3,$AB123,IF(NOT($W123=0),"",SUMIFS('Val-Vol (2)'!AF$4:AF$1116,'Val-Vol (2)'!$A$4:$A$1116,$D123,'Val-Vol (2)'!$V$4:$V$1116,$V123)/SUMIFS('Comp2016-2017 (3)'!$G$5:$G$289,'Comp2016-2017 (3)'!$A$5:$A$289,$D123,'Comp2016-2017 (3)'!$R$5:$R$289,$V123)*$AB123))</f>
        <v/>
      </c>
      <c r="AG123" s="2" t="str">
        <f>IF($W123=AG$3,$AB123,IF(NOT($W123=0),"",SUMIFS('Val-Vol (2)'!AG$4:AG$1116,'Val-Vol (2)'!$A$4:$A$1116,$D123,'Val-Vol (2)'!$V$4:$V$1116,$V123)/SUMIFS('Comp2016-2017 (3)'!$G$5:$G$289,'Comp2016-2017 (3)'!$A$5:$A$289,$D123,'Comp2016-2017 (3)'!$R$5:$R$289,$V123)*$AB123))</f>
        <v/>
      </c>
      <c r="AH123" s="2" t="str">
        <f>IF($W123=AH$3,$AB123,IF(NOT($W123=0),"",SUMIFS('Val-Vol (2)'!AH$4:AH$1116,'Val-Vol (2)'!$A$4:$A$1116,$D123,'Val-Vol (2)'!$V$4:$V$1116,$V123)/SUMIFS('Comp2016-2017 (3)'!$G$5:$G$289,'Comp2016-2017 (3)'!$A$5:$A$289,$D123,'Comp2016-2017 (3)'!$R$5:$R$289,$V123)*$AB123))</f>
        <v/>
      </c>
      <c r="AI123" s="2" t="str">
        <f>IF($W123=AI$3,$AB123,IF(NOT($W123=0),"",SUMIFS('Val-Vol (2)'!AI$4:AI$1116,'Val-Vol (2)'!$A$4:$A$1116,$D123,'Val-Vol (2)'!$V$4:$V$1116,$V123)/SUMIFS('Comp2016-2017 (3)'!$G$5:$G$289,'Comp2016-2017 (3)'!$A$5:$A$289,$D123,'Comp2016-2017 (3)'!$R$5:$R$289,$V123)*$AB123))</f>
        <v/>
      </c>
      <c r="AJ123" s="2" t="str">
        <f>IF($W123=AJ$3,$AB123,IF(NOT($W123=0),"",SUMIFS('Val-Vol (2)'!AJ$4:AJ$1116,'Val-Vol (2)'!$A$4:$A$1116,$D123,'Val-Vol (2)'!$V$4:$V$1116,$V123)/SUMIFS('Comp2016-2017 (3)'!$G$5:$G$289,'Comp2016-2017 (3)'!$A$5:$A$289,$D123,'Comp2016-2017 (3)'!$R$5:$R$289,$V123)*$AB123))</f>
        <v/>
      </c>
      <c r="AK123" s="2">
        <f t="shared" si="10"/>
        <v>0</v>
      </c>
      <c r="AL123" t="str">
        <f t="shared" si="7"/>
        <v/>
      </c>
      <c r="AM123" t="str">
        <f>VLOOKUP(A123,'Table corresp.'!$M$4:$U$63,8,FALSE)</f>
        <v>Production intermédiaire</v>
      </c>
      <c r="AN123" t="str">
        <f>VLOOKUP(D123,'Table corresp.'!$M$4:$U$63,9,FALSE)</f>
        <v>Production finale</v>
      </c>
    </row>
    <row r="124" spans="1:40" x14ac:dyDescent="0.25">
      <c r="A124" t="s">
        <v>7</v>
      </c>
      <c r="B124" t="str">
        <f>VLOOKUP(LEFT(A124,3),'Table corresp.'!$A$4:$D$63,3,FALSE)</f>
        <v>Transformation</v>
      </c>
      <c r="C124" t="str">
        <f>VLOOKUP(A124,'Table corresp.'!$M$4:$P$63,4,FALSE)</f>
        <v>Production et transformation de produits bois</v>
      </c>
      <c r="D124" t="s">
        <v>15</v>
      </c>
      <c r="E124" t="str">
        <f>VLOOKUP(LEFT(D124,3),'Table corresp.'!$A$4:$D$63,4,FALSE)</f>
        <v>Transformation</v>
      </c>
      <c r="F124" t="str">
        <f t="shared" si="6"/>
        <v xml:space="preserve">12  - 35 </v>
      </c>
      <c r="G124" s="1">
        <v>4700.7226099999998</v>
      </c>
      <c r="H124" s="1">
        <v>1599.27739</v>
      </c>
      <c r="I124" s="1">
        <v>6300</v>
      </c>
      <c r="J124" s="1">
        <v>28.775522730787532</v>
      </c>
      <c r="K124" s="1">
        <v>10.616478875020571</v>
      </c>
      <c r="L124" s="1">
        <v>39.392001605808105</v>
      </c>
      <c r="M124" s="1">
        <v>0</v>
      </c>
      <c r="N124" s="1">
        <v>0</v>
      </c>
      <c r="O124" s="1">
        <v>0</v>
      </c>
      <c r="P124" s="1">
        <v>0</v>
      </c>
      <c r="Q124" s="1">
        <v>0</v>
      </c>
      <c r="R124" s="1">
        <v>0</v>
      </c>
      <c r="S124" s="67"/>
      <c r="T124">
        <f>VLOOKUP(A124,'Groupe de branches'!$Z$27:$AM$86,14,FALSE)</f>
        <v>0</v>
      </c>
      <c r="U124">
        <f>VLOOKUP(D124,'Groupe de branches'!$Z$27:$AM$86,14,FALSE)</f>
        <v>0</v>
      </c>
      <c r="V124">
        <v>2016</v>
      </c>
      <c r="W124" t="str">
        <f>VLOOKUP(D124,'Table corresp.'!$M$4:$S$63,7,FALSE)</f>
        <v>Construction</v>
      </c>
      <c r="X124" s="167">
        <f>IFERROR(G124/SUMIFS('Comp2016-2017 (3)'!$I$5:$I$289,'Comp2016-2017 (3)'!$A$5:$A$289,A124,'Comp2016-2017 (3)'!$R$5:$R$289,V124),0)</f>
        <v>7.3354118122548086E-3</v>
      </c>
      <c r="Y124" s="178">
        <f>IFERROR(IF(RIGHT(F124,3)="Exp",VLOOKUP(F124,#REF!,2,FALSE),VLOOKUP(F124,#REF!,9,FALSE)),1)</f>
        <v>1</v>
      </c>
      <c r="Z124" s="167">
        <f t="shared" si="11"/>
        <v>4.5454545454545456E-2</v>
      </c>
      <c r="AA124" s="189">
        <f t="shared" si="9"/>
        <v>3.3342780964794587E-4</v>
      </c>
      <c r="AB124" s="2">
        <f>IFERROR(SUMIFS('Comp2016-2017 (3)'!$G$5:$G$289,'Comp2016-2017 (3)'!$A$5:$A$289,A124,'Comp2016-2017 (3)'!$R$5:$R$289,V124)*AA124/SUMIFS($AA$4:$AA$1116,$A$4:$A$1116,A124,$V$4:$V$1116,V124),0)</f>
        <v>1090.5681418400156</v>
      </c>
      <c r="AC124" s="2" t="str">
        <f>IF($W124=AC$3,$AB124,IF(NOT($W124=0),"",SUMIFS('Val-Vol (2)'!AC$4:AC$1116,'Val-Vol (2)'!$A$4:$A$1116,$D124,'Val-Vol (2)'!$V$4:$V$1116,$V124)/SUMIFS('Comp2016-2017 (3)'!$G$5:$G$289,'Comp2016-2017 (3)'!$A$5:$A$289,$D124,'Comp2016-2017 (3)'!$R$5:$R$289,$V124)*$AB124))</f>
        <v/>
      </c>
      <c r="AD124" s="2">
        <f>IF($W124=AD$3,$AB124,IF(NOT($W124=0),"",SUMIFS('Val-Vol (2)'!AD$4:AD$1116,'Val-Vol (2)'!$A$4:$A$1116,$D124,'Val-Vol (2)'!$V$4:$V$1116,$V124)/SUMIFS('Comp2016-2017 (3)'!$G$5:$G$289,'Comp2016-2017 (3)'!$A$5:$A$289,$D124,'Comp2016-2017 (3)'!$R$5:$R$289,$V124)*$AB124))</f>
        <v>1090.5681418400156</v>
      </c>
      <c r="AE124" s="2" t="str">
        <f>IF($W124=AE$3,$AB124,IF(NOT($W124=0),"",SUMIFS('Val-Vol (2)'!AE$4:AE$1116,'Val-Vol (2)'!$A$4:$A$1116,$D124,'Val-Vol (2)'!$V$4:$V$1116,$V124)/SUMIFS('Comp2016-2017 (3)'!$G$5:$G$289,'Comp2016-2017 (3)'!$A$5:$A$289,$D124,'Comp2016-2017 (3)'!$R$5:$R$289,$V124)*$AB124))</f>
        <v/>
      </c>
      <c r="AF124" s="2" t="str">
        <f>IF($W124=AF$3,$AB124,IF(NOT($W124=0),"",SUMIFS('Val-Vol (2)'!AF$4:AF$1116,'Val-Vol (2)'!$A$4:$A$1116,$D124,'Val-Vol (2)'!$V$4:$V$1116,$V124)/SUMIFS('Comp2016-2017 (3)'!$G$5:$G$289,'Comp2016-2017 (3)'!$A$5:$A$289,$D124,'Comp2016-2017 (3)'!$R$5:$R$289,$V124)*$AB124))</f>
        <v/>
      </c>
      <c r="AG124" s="2" t="str">
        <f>IF($W124=AG$3,$AB124,IF(NOT($W124=0),"",SUMIFS('Val-Vol (2)'!AG$4:AG$1116,'Val-Vol (2)'!$A$4:$A$1116,$D124,'Val-Vol (2)'!$V$4:$V$1116,$V124)/SUMIFS('Comp2016-2017 (3)'!$G$5:$G$289,'Comp2016-2017 (3)'!$A$5:$A$289,$D124,'Comp2016-2017 (3)'!$R$5:$R$289,$V124)*$AB124))</f>
        <v/>
      </c>
      <c r="AH124" s="2" t="str">
        <f>IF($W124=AH$3,$AB124,IF(NOT($W124=0),"",SUMIFS('Val-Vol (2)'!AH$4:AH$1116,'Val-Vol (2)'!$A$4:$A$1116,$D124,'Val-Vol (2)'!$V$4:$V$1116,$V124)/SUMIFS('Comp2016-2017 (3)'!$G$5:$G$289,'Comp2016-2017 (3)'!$A$5:$A$289,$D124,'Comp2016-2017 (3)'!$R$5:$R$289,$V124)*$AB124))</f>
        <v/>
      </c>
      <c r="AI124" s="2" t="str">
        <f>IF($W124=AI$3,$AB124,IF(NOT($W124=0),"",SUMIFS('Val-Vol (2)'!AI$4:AI$1116,'Val-Vol (2)'!$A$4:$A$1116,$D124,'Val-Vol (2)'!$V$4:$V$1116,$V124)/SUMIFS('Comp2016-2017 (3)'!$G$5:$G$289,'Comp2016-2017 (3)'!$A$5:$A$289,$D124,'Comp2016-2017 (3)'!$R$5:$R$289,$V124)*$AB124))</f>
        <v/>
      </c>
      <c r="AJ124" s="2" t="str">
        <f>IF($W124=AJ$3,$AB124,IF(NOT($W124=0),"",SUMIFS('Val-Vol (2)'!AJ$4:AJ$1116,'Val-Vol (2)'!$A$4:$A$1116,$D124,'Val-Vol (2)'!$V$4:$V$1116,$V124)/SUMIFS('Comp2016-2017 (3)'!$G$5:$G$289,'Comp2016-2017 (3)'!$A$5:$A$289,$D124,'Comp2016-2017 (3)'!$R$5:$R$289,$V124)*$AB124))</f>
        <v/>
      </c>
      <c r="AK124" s="2">
        <f t="shared" si="10"/>
        <v>0</v>
      </c>
      <c r="AL124" t="str">
        <f t="shared" si="7"/>
        <v/>
      </c>
      <c r="AM124" t="str">
        <f>VLOOKUP(A124,'Table corresp.'!$M$4:$U$63,8,FALSE)</f>
        <v>Production intermédiaire</v>
      </c>
      <c r="AN124" t="str">
        <f>VLOOKUP(D124,'Table corresp.'!$M$4:$U$63,9,FALSE)</f>
        <v>Production finale</v>
      </c>
    </row>
    <row r="125" spans="1:40" x14ac:dyDescent="0.25">
      <c r="A125" t="s">
        <v>7</v>
      </c>
      <c r="B125" t="str">
        <f>VLOOKUP(LEFT(A125,3),'Table corresp.'!$A$4:$D$63,3,FALSE)</f>
        <v>Transformation</v>
      </c>
      <c r="C125" t="str">
        <f>VLOOKUP(A125,'Table corresp.'!$M$4:$P$63,4,FALSE)</f>
        <v>Production et transformation de produits bois</v>
      </c>
      <c r="D125" t="s">
        <v>16</v>
      </c>
      <c r="E125" t="str">
        <f>VLOOKUP(LEFT(D125,3),'Table corresp.'!$A$4:$D$63,4,FALSE)</f>
        <v>Transformation</v>
      </c>
      <c r="F125" t="str">
        <f t="shared" si="6"/>
        <v xml:space="preserve">12  - 36 </v>
      </c>
      <c r="G125" s="1">
        <v>8244.5941875000008</v>
      </c>
      <c r="H125" s="1">
        <v>6300</v>
      </c>
      <c r="I125" s="1">
        <v>14544.594187500001</v>
      </c>
      <c r="J125" s="1">
        <v>60.563243687810392</v>
      </c>
      <c r="K125" s="1">
        <v>46.839826168082787</v>
      </c>
      <c r="L125" s="1">
        <v>107.40306985589318</v>
      </c>
      <c r="M125" s="1">
        <v>0</v>
      </c>
      <c r="N125" s="1">
        <v>0</v>
      </c>
      <c r="O125" s="1">
        <v>0</v>
      </c>
      <c r="P125" s="1">
        <v>0</v>
      </c>
      <c r="Q125" s="1">
        <v>0</v>
      </c>
      <c r="R125" s="1">
        <v>0</v>
      </c>
      <c r="S125" s="67"/>
      <c r="T125">
        <f>VLOOKUP(A125,'Groupe de branches'!$Z$27:$AM$86,14,FALSE)</f>
        <v>0</v>
      </c>
      <c r="U125">
        <f>VLOOKUP(D125,'Groupe de branches'!$Z$27:$AM$86,14,FALSE)</f>
        <v>0</v>
      </c>
      <c r="V125">
        <v>2016</v>
      </c>
      <c r="W125" t="str">
        <f>VLOOKUP(D125,'Table corresp.'!$M$4:$S$63,7,FALSE)</f>
        <v>Construction</v>
      </c>
      <c r="X125" s="167">
        <f>IFERROR(G125/SUMIFS('Comp2016-2017 (3)'!$I$5:$I$289,'Comp2016-2017 (3)'!$A$5:$A$289,A125,'Comp2016-2017 (3)'!$R$5:$R$289,V125),0)</f>
        <v>1.2865573786800161E-2</v>
      </c>
      <c r="Y125" s="178">
        <f>IFERROR(IF(RIGHT(F125,3)="Exp",VLOOKUP(F125,#REF!,2,FALSE),VLOOKUP(F125,#REF!,9,FALSE)),1)</f>
        <v>1</v>
      </c>
      <c r="Z125" s="167">
        <f t="shared" si="11"/>
        <v>4.5454545454545456E-2</v>
      </c>
      <c r="AA125" s="189">
        <f t="shared" si="9"/>
        <v>5.8479880849091645E-4</v>
      </c>
      <c r="AB125" s="2">
        <f>IFERROR(SUMIFS('Comp2016-2017 (3)'!$G$5:$G$289,'Comp2016-2017 (3)'!$A$5:$A$289,A125,'Comp2016-2017 (3)'!$R$5:$R$289,V125)*AA125/SUMIFS($AA$4:$AA$1116,$A$4:$A$1116,A125,$V$4:$V$1116,V125),0)</f>
        <v>1912.746721995338</v>
      </c>
      <c r="AC125" s="2" t="str">
        <f>IF($W125=AC$3,$AB125,IF(NOT($W125=0),"",SUMIFS('Val-Vol (2)'!AC$4:AC$1116,'Val-Vol (2)'!$A$4:$A$1116,$D125,'Val-Vol (2)'!$V$4:$V$1116,$V125)/SUMIFS('Comp2016-2017 (3)'!$G$5:$G$289,'Comp2016-2017 (3)'!$A$5:$A$289,$D125,'Comp2016-2017 (3)'!$R$5:$R$289,$V125)*$AB125))</f>
        <v/>
      </c>
      <c r="AD125" s="2">
        <f>IF($W125=AD$3,$AB125,IF(NOT($W125=0),"",SUMIFS('Val-Vol (2)'!AD$4:AD$1116,'Val-Vol (2)'!$A$4:$A$1116,$D125,'Val-Vol (2)'!$V$4:$V$1116,$V125)/SUMIFS('Comp2016-2017 (3)'!$G$5:$G$289,'Comp2016-2017 (3)'!$A$5:$A$289,$D125,'Comp2016-2017 (3)'!$R$5:$R$289,$V125)*$AB125))</f>
        <v>1912.746721995338</v>
      </c>
      <c r="AE125" s="2" t="str">
        <f>IF($W125=AE$3,$AB125,IF(NOT($W125=0),"",SUMIFS('Val-Vol (2)'!AE$4:AE$1116,'Val-Vol (2)'!$A$4:$A$1116,$D125,'Val-Vol (2)'!$V$4:$V$1116,$V125)/SUMIFS('Comp2016-2017 (3)'!$G$5:$G$289,'Comp2016-2017 (3)'!$A$5:$A$289,$D125,'Comp2016-2017 (3)'!$R$5:$R$289,$V125)*$AB125))</f>
        <v/>
      </c>
      <c r="AF125" s="2" t="str">
        <f>IF($W125=AF$3,$AB125,IF(NOT($W125=0),"",SUMIFS('Val-Vol (2)'!AF$4:AF$1116,'Val-Vol (2)'!$A$4:$A$1116,$D125,'Val-Vol (2)'!$V$4:$V$1116,$V125)/SUMIFS('Comp2016-2017 (3)'!$G$5:$G$289,'Comp2016-2017 (3)'!$A$5:$A$289,$D125,'Comp2016-2017 (3)'!$R$5:$R$289,$V125)*$AB125))</f>
        <v/>
      </c>
      <c r="AG125" s="2" t="str">
        <f>IF($W125=AG$3,$AB125,IF(NOT($W125=0),"",SUMIFS('Val-Vol (2)'!AG$4:AG$1116,'Val-Vol (2)'!$A$4:$A$1116,$D125,'Val-Vol (2)'!$V$4:$V$1116,$V125)/SUMIFS('Comp2016-2017 (3)'!$G$5:$G$289,'Comp2016-2017 (3)'!$A$5:$A$289,$D125,'Comp2016-2017 (3)'!$R$5:$R$289,$V125)*$AB125))</f>
        <v/>
      </c>
      <c r="AH125" s="2" t="str">
        <f>IF($W125=AH$3,$AB125,IF(NOT($W125=0),"",SUMIFS('Val-Vol (2)'!AH$4:AH$1116,'Val-Vol (2)'!$A$4:$A$1116,$D125,'Val-Vol (2)'!$V$4:$V$1116,$V125)/SUMIFS('Comp2016-2017 (3)'!$G$5:$G$289,'Comp2016-2017 (3)'!$A$5:$A$289,$D125,'Comp2016-2017 (3)'!$R$5:$R$289,$V125)*$AB125))</f>
        <v/>
      </c>
      <c r="AI125" s="2" t="str">
        <f>IF($W125=AI$3,$AB125,IF(NOT($W125=0),"",SUMIFS('Val-Vol (2)'!AI$4:AI$1116,'Val-Vol (2)'!$A$4:$A$1116,$D125,'Val-Vol (2)'!$V$4:$V$1116,$V125)/SUMIFS('Comp2016-2017 (3)'!$G$5:$G$289,'Comp2016-2017 (3)'!$A$5:$A$289,$D125,'Comp2016-2017 (3)'!$R$5:$R$289,$V125)*$AB125))</f>
        <v/>
      </c>
      <c r="AJ125" s="2" t="str">
        <f>IF($W125=AJ$3,$AB125,IF(NOT($W125=0),"",SUMIFS('Val-Vol (2)'!AJ$4:AJ$1116,'Val-Vol (2)'!$A$4:$A$1116,$D125,'Val-Vol (2)'!$V$4:$V$1116,$V125)/SUMIFS('Comp2016-2017 (3)'!$G$5:$G$289,'Comp2016-2017 (3)'!$A$5:$A$289,$D125,'Comp2016-2017 (3)'!$R$5:$R$289,$V125)*$AB125))</f>
        <v/>
      </c>
      <c r="AK125" s="2">
        <f t="shared" si="10"/>
        <v>0</v>
      </c>
      <c r="AL125" t="str">
        <f t="shared" si="7"/>
        <v/>
      </c>
      <c r="AM125" t="str">
        <f>VLOOKUP(A125,'Table corresp.'!$M$4:$U$63,8,FALSE)</f>
        <v>Production intermédiaire</v>
      </c>
      <c r="AN125" t="str">
        <f>VLOOKUP(D125,'Table corresp.'!$M$4:$U$63,9,FALSE)</f>
        <v>Production finale</v>
      </c>
    </row>
    <row r="126" spans="1:40" x14ac:dyDescent="0.25">
      <c r="A126" t="s">
        <v>7</v>
      </c>
      <c r="B126" t="str">
        <f>VLOOKUP(LEFT(A126,3),'Table corresp.'!$A$4:$D$63,3,FALSE)</f>
        <v>Transformation</v>
      </c>
      <c r="C126" t="str">
        <f>VLOOKUP(A126,'Table corresp.'!$M$4:$P$63,4,FALSE)</f>
        <v>Production et transformation de produits bois</v>
      </c>
      <c r="D126" t="s">
        <v>91</v>
      </c>
      <c r="E126" t="str">
        <f>VLOOKUP(LEFT(D126,3),'Table corresp.'!$A$4:$D$63,4,FALSE)</f>
        <v>Transformation</v>
      </c>
      <c r="F126" t="str">
        <f t="shared" si="6"/>
        <v xml:space="preserve">12  - 37 </v>
      </c>
      <c r="G126" s="1">
        <v>77739.335659999997</v>
      </c>
      <c r="H126" s="1">
        <v>17595.664339999999</v>
      </c>
      <c r="I126" s="1">
        <v>95335</v>
      </c>
      <c r="J126" s="1">
        <v>1098.1895956568123</v>
      </c>
      <c r="K126" s="1">
        <v>218.036470634268</v>
      </c>
      <c r="L126" s="1">
        <v>1316.2260662910803</v>
      </c>
      <c r="M126" s="1">
        <v>0</v>
      </c>
      <c r="N126" s="1">
        <v>0</v>
      </c>
      <c r="O126" s="1">
        <v>0</v>
      </c>
      <c r="P126" s="1">
        <v>0</v>
      </c>
      <c r="Q126" s="1">
        <v>0</v>
      </c>
      <c r="R126" s="1">
        <v>0</v>
      </c>
      <c r="S126" s="67"/>
      <c r="T126">
        <f>VLOOKUP(A126,'Groupe de branches'!$Z$27:$AM$86,14,FALSE)</f>
        <v>0</v>
      </c>
      <c r="U126">
        <f>VLOOKUP(D126,'Groupe de branches'!$Z$27:$AM$86,14,FALSE)</f>
        <v>0</v>
      </c>
      <c r="V126">
        <v>2016</v>
      </c>
      <c r="W126" t="str">
        <f>VLOOKUP(D126,'Table corresp.'!$M$4:$S$63,7,FALSE)</f>
        <v>Emballage bois et carton</v>
      </c>
      <c r="X126" s="167">
        <f>IFERROR(G126/SUMIFS('Comp2016-2017 (3)'!$I$5:$I$289,'Comp2016-2017 (3)'!$A$5:$A$289,A126,'Comp2016-2017 (3)'!$R$5:$R$289,V126),0)</f>
        <v>0.12131114477252795</v>
      </c>
      <c r="Y126" s="178">
        <f>IFERROR(IF(RIGHT(F126,3)="Exp",VLOOKUP(F126,#REF!,2,FALSE),VLOOKUP(F126,#REF!,9,FALSE)),1)</f>
        <v>1</v>
      </c>
      <c r="Z126" s="167">
        <f t="shared" si="11"/>
        <v>4.5454545454545456E-2</v>
      </c>
      <c r="AA126" s="189">
        <f t="shared" si="9"/>
        <v>5.5141429442058165E-3</v>
      </c>
      <c r="AB126" s="2">
        <f>IFERROR(SUMIFS('Comp2016-2017 (3)'!$G$5:$G$289,'Comp2016-2017 (3)'!$A$5:$A$289,A126,'Comp2016-2017 (3)'!$R$5:$R$289,V126)*AA126/SUMIFS($AA$4:$AA$1116,$A$4:$A$1116,A126,$V$4:$V$1116,V126),0)</f>
        <v>18035.534081132151</v>
      </c>
      <c r="AC126" s="2" t="str">
        <f>IF($W126=AC$3,$AB126,IF(NOT($W126=0),"",SUMIFS('Val-Vol (2)'!AC$4:AC$1116,'Val-Vol (2)'!$A$4:$A$1116,$D126,'Val-Vol (2)'!$V$4:$V$1116,$V126)/SUMIFS('Comp2016-2017 (3)'!$G$5:$G$289,'Comp2016-2017 (3)'!$A$5:$A$289,$D126,'Comp2016-2017 (3)'!$R$5:$R$289,$V126)*$AB126))</f>
        <v/>
      </c>
      <c r="AD126" s="2" t="str">
        <f>IF($W126=AD$3,$AB126,IF(NOT($W126=0),"",SUMIFS('Val-Vol (2)'!AD$4:AD$1116,'Val-Vol (2)'!$A$4:$A$1116,$D126,'Val-Vol (2)'!$V$4:$V$1116,$V126)/SUMIFS('Comp2016-2017 (3)'!$G$5:$G$289,'Comp2016-2017 (3)'!$A$5:$A$289,$D126,'Comp2016-2017 (3)'!$R$5:$R$289,$V126)*$AB126))</f>
        <v/>
      </c>
      <c r="AE126" s="2" t="str">
        <f>IF($W126=AE$3,$AB126,IF(NOT($W126=0),"",SUMIFS('Val-Vol (2)'!AE$4:AE$1116,'Val-Vol (2)'!$A$4:$A$1116,$D126,'Val-Vol (2)'!$V$4:$V$1116,$V126)/SUMIFS('Comp2016-2017 (3)'!$G$5:$G$289,'Comp2016-2017 (3)'!$A$5:$A$289,$D126,'Comp2016-2017 (3)'!$R$5:$R$289,$V126)*$AB126))</f>
        <v/>
      </c>
      <c r="AF126" s="2" t="str">
        <f>IF($W126=AF$3,$AB126,IF(NOT($W126=0),"",SUMIFS('Val-Vol (2)'!AF$4:AF$1116,'Val-Vol (2)'!$A$4:$A$1116,$D126,'Val-Vol (2)'!$V$4:$V$1116,$V126)/SUMIFS('Comp2016-2017 (3)'!$G$5:$G$289,'Comp2016-2017 (3)'!$A$5:$A$289,$D126,'Comp2016-2017 (3)'!$R$5:$R$289,$V126)*$AB126))</f>
        <v/>
      </c>
      <c r="AG126" s="2">
        <f>IF($W126=AG$3,$AB126,IF(NOT($W126=0),"",SUMIFS('Val-Vol (2)'!AG$4:AG$1116,'Val-Vol (2)'!$A$4:$A$1116,$D126,'Val-Vol (2)'!$V$4:$V$1116,$V126)/SUMIFS('Comp2016-2017 (3)'!$G$5:$G$289,'Comp2016-2017 (3)'!$A$5:$A$289,$D126,'Comp2016-2017 (3)'!$R$5:$R$289,$V126)*$AB126))</f>
        <v>18035.534081132151</v>
      </c>
      <c r="AH126" s="2" t="str">
        <f>IF($W126=AH$3,$AB126,IF(NOT($W126=0),"",SUMIFS('Val-Vol (2)'!AH$4:AH$1116,'Val-Vol (2)'!$A$4:$A$1116,$D126,'Val-Vol (2)'!$V$4:$V$1116,$V126)/SUMIFS('Comp2016-2017 (3)'!$G$5:$G$289,'Comp2016-2017 (3)'!$A$5:$A$289,$D126,'Comp2016-2017 (3)'!$R$5:$R$289,$V126)*$AB126))</f>
        <v/>
      </c>
      <c r="AI126" s="2" t="str">
        <f>IF($W126=AI$3,$AB126,IF(NOT($W126=0),"",SUMIFS('Val-Vol (2)'!AI$4:AI$1116,'Val-Vol (2)'!$A$4:$A$1116,$D126,'Val-Vol (2)'!$V$4:$V$1116,$V126)/SUMIFS('Comp2016-2017 (3)'!$G$5:$G$289,'Comp2016-2017 (3)'!$A$5:$A$289,$D126,'Comp2016-2017 (3)'!$R$5:$R$289,$V126)*$AB126))</f>
        <v/>
      </c>
      <c r="AJ126" s="2" t="str">
        <f>IF($W126=AJ$3,$AB126,IF(NOT($W126=0),"",SUMIFS('Val-Vol (2)'!AJ$4:AJ$1116,'Val-Vol (2)'!$A$4:$A$1116,$D126,'Val-Vol (2)'!$V$4:$V$1116,$V126)/SUMIFS('Comp2016-2017 (3)'!$G$5:$G$289,'Comp2016-2017 (3)'!$A$5:$A$289,$D126,'Comp2016-2017 (3)'!$R$5:$R$289,$V126)*$AB126))</f>
        <v/>
      </c>
      <c r="AK126" s="2">
        <f t="shared" si="10"/>
        <v>0</v>
      </c>
      <c r="AL126" t="str">
        <f t="shared" si="7"/>
        <v/>
      </c>
      <c r="AM126" t="str">
        <f>VLOOKUP(A126,'Table corresp.'!$M$4:$U$63,8,FALSE)</f>
        <v>Production intermédiaire</v>
      </c>
      <c r="AN126" t="str">
        <f>VLOOKUP(D126,'Table corresp.'!$M$4:$U$63,9,FALSE)</f>
        <v>Production finale</v>
      </c>
    </row>
    <row r="127" spans="1:40" x14ac:dyDescent="0.25">
      <c r="A127" t="s">
        <v>7</v>
      </c>
      <c r="B127" t="str">
        <f>VLOOKUP(LEFT(A127,3),'Table corresp.'!$A$4:$D$63,3,FALSE)</f>
        <v>Transformation</v>
      </c>
      <c r="C127" t="str">
        <f>VLOOKUP(A127,'Table corresp.'!$M$4:$P$63,4,FALSE)</f>
        <v>Production et transformation de produits bois</v>
      </c>
      <c r="D127" t="s">
        <v>18</v>
      </c>
      <c r="E127" t="str">
        <f>VLOOKUP(LEFT(D127,3),'Table corresp.'!$A$4:$D$63,4,FALSE)</f>
        <v>Transformation</v>
      </c>
      <c r="F127" t="str">
        <f t="shared" si="6"/>
        <v xml:space="preserve">12  - 39 </v>
      </c>
      <c r="G127" s="1">
        <v>1349.8801019999999</v>
      </c>
      <c r="H127" s="1">
        <v>0</v>
      </c>
      <c r="I127" s="1">
        <v>1349.8801019999999</v>
      </c>
      <c r="J127" s="1">
        <v>17.70708255865009</v>
      </c>
      <c r="K127" s="1">
        <v>0</v>
      </c>
      <c r="L127" s="1">
        <v>17.70708255865009</v>
      </c>
      <c r="M127" s="1">
        <v>0</v>
      </c>
      <c r="N127" s="1">
        <v>0</v>
      </c>
      <c r="O127" s="1">
        <v>0</v>
      </c>
      <c r="P127" s="1">
        <v>0</v>
      </c>
      <c r="Q127" s="1">
        <v>0</v>
      </c>
      <c r="R127" s="1">
        <v>0</v>
      </c>
      <c r="S127" s="67"/>
      <c r="T127">
        <f>VLOOKUP(A127,'Groupe de branches'!$Z$27:$AM$86,14,FALSE)</f>
        <v>0</v>
      </c>
      <c r="U127">
        <f>VLOOKUP(D127,'Groupe de branches'!$Z$27:$AM$86,14,FALSE)</f>
        <v>0</v>
      </c>
      <c r="V127">
        <v>2016</v>
      </c>
      <c r="W127" t="str">
        <f>VLOOKUP(D127,'Table corresp.'!$M$4:$S$63,7,FALSE)</f>
        <v>Construction</v>
      </c>
      <c r="X127" s="167">
        <f>IFERROR(G127/SUMIFS('Comp2016-2017 (3)'!$I$5:$I$289,'Comp2016-2017 (3)'!$A$5:$A$289,A127,'Comp2016-2017 (3)'!$R$5:$R$289,V127),0)</f>
        <v>2.1064689978246825E-3</v>
      </c>
      <c r="Y127" s="178">
        <f>IFERROR(IF(RIGHT(F127,3)="Exp",VLOOKUP(F127,#REF!,2,FALSE),VLOOKUP(F127,#REF!,9,FALSE)),1)</f>
        <v>1</v>
      </c>
      <c r="Z127" s="167">
        <f t="shared" si="11"/>
        <v>4.5454545454545456E-2</v>
      </c>
      <c r="AA127" s="189">
        <f t="shared" si="9"/>
        <v>9.5748590810212838E-5</v>
      </c>
      <c r="AB127" s="2">
        <f>IFERROR(SUMIFS('Comp2016-2017 (3)'!$G$5:$G$289,'Comp2016-2017 (3)'!$A$5:$A$289,A127,'Comp2016-2017 (3)'!$R$5:$R$289,V127)*AA127/SUMIFS($AA$4:$AA$1116,$A$4:$A$1116,A127,$V$4:$V$1116,V127),0)</f>
        <v>313.17232618943046</v>
      </c>
      <c r="AC127" s="2" t="str">
        <f>IF($W127=AC$3,$AB127,IF(NOT($W127=0),"",SUMIFS('Val-Vol (2)'!AC$4:AC$1116,'Val-Vol (2)'!$A$4:$A$1116,$D127,'Val-Vol (2)'!$V$4:$V$1116,$V127)/SUMIFS('Comp2016-2017 (3)'!$G$5:$G$289,'Comp2016-2017 (3)'!$A$5:$A$289,$D127,'Comp2016-2017 (3)'!$R$5:$R$289,$V127)*$AB127))</f>
        <v/>
      </c>
      <c r="AD127" s="2">
        <f>IF($W127=AD$3,$AB127,IF(NOT($W127=0),"",SUMIFS('Val-Vol (2)'!AD$4:AD$1116,'Val-Vol (2)'!$A$4:$A$1116,$D127,'Val-Vol (2)'!$V$4:$V$1116,$V127)/SUMIFS('Comp2016-2017 (3)'!$G$5:$G$289,'Comp2016-2017 (3)'!$A$5:$A$289,$D127,'Comp2016-2017 (3)'!$R$5:$R$289,$V127)*$AB127))</f>
        <v>313.17232618943046</v>
      </c>
      <c r="AE127" s="2" t="str">
        <f>IF($W127=AE$3,$AB127,IF(NOT($W127=0),"",SUMIFS('Val-Vol (2)'!AE$4:AE$1116,'Val-Vol (2)'!$A$4:$A$1116,$D127,'Val-Vol (2)'!$V$4:$V$1116,$V127)/SUMIFS('Comp2016-2017 (3)'!$G$5:$G$289,'Comp2016-2017 (3)'!$A$5:$A$289,$D127,'Comp2016-2017 (3)'!$R$5:$R$289,$V127)*$AB127))</f>
        <v/>
      </c>
      <c r="AF127" s="2" t="str">
        <f>IF($W127=AF$3,$AB127,IF(NOT($W127=0),"",SUMIFS('Val-Vol (2)'!AF$4:AF$1116,'Val-Vol (2)'!$A$4:$A$1116,$D127,'Val-Vol (2)'!$V$4:$V$1116,$V127)/SUMIFS('Comp2016-2017 (3)'!$G$5:$G$289,'Comp2016-2017 (3)'!$A$5:$A$289,$D127,'Comp2016-2017 (3)'!$R$5:$R$289,$V127)*$AB127))</f>
        <v/>
      </c>
      <c r="AG127" s="2" t="str">
        <f>IF($W127=AG$3,$AB127,IF(NOT($W127=0),"",SUMIFS('Val-Vol (2)'!AG$4:AG$1116,'Val-Vol (2)'!$A$4:$A$1116,$D127,'Val-Vol (2)'!$V$4:$V$1116,$V127)/SUMIFS('Comp2016-2017 (3)'!$G$5:$G$289,'Comp2016-2017 (3)'!$A$5:$A$289,$D127,'Comp2016-2017 (3)'!$R$5:$R$289,$V127)*$AB127))</f>
        <v/>
      </c>
      <c r="AH127" s="2" t="str">
        <f>IF($W127=AH$3,$AB127,IF(NOT($W127=0),"",SUMIFS('Val-Vol (2)'!AH$4:AH$1116,'Val-Vol (2)'!$A$4:$A$1116,$D127,'Val-Vol (2)'!$V$4:$V$1116,$V127)/SUMIFS('Comp2016-2017 (3)'!$G$5:$G$289,'Comp2016-2017 (3)'!$A$5:$A$289,$D127,'Comp2016-2017 (3)'!$R$5:$R$289,$V127)*$AB127))</f>
        <v/>
      </c>
      <c r="AI127" s="2" t="str">
        <f>IF($W127=AI$3,$AB127,IF(NOT($W127=0),"",SUMIFS('Val-Vol (2)'!AI$4:AI$1116,'Val-Vol (2)'!$A$4:$A$1116,$D127,'Val-Vol (2)'!$V$4:$V$1116,$V127)/SUMIFS('Comp2016-2017 (3)'!$G$5:$G$289,'Comp2016-2017 (3)'!$A$5:$A$289,$D127,'Comp2016-2017 (3)'!$R$5:$R$289,$V127)*$AB127))</f>
        <v/>
      </c>
      <c r="AJ127" s="2" t="str">
        <f>IF($W127=AJ$3,$AB127,IF(NOT($W127=0),"",SUMIFS('Val-Vol (2)'!AJ$4:AJ$1116,'Val-Vol (2)'!$A$4:$A$1116,$D127,'Val-Vol (2)'!$V$4:$V$1116,$V127)/SUMIFS('Comp2016-2017 (3)'!$G$5:$G$289,'Comp2016-2017 (3)'!$A$5:$A$289,$D127,'Comp2016-2017 (3)'!$R$5:$R$289,$V127)*$AB127))</f>
        <v/>
      </c>
      <c r="AK127" s="2">
        <f t="shared" si="10"/>
        <v>0</v>
      </c>
      <c r="AL127" t="str">
        <f t="shared" si="7"/>
        <v/>
      </c>
      <c r="AM127" t="str">
        <f>VLOOKUP(A127,'Table corresp.'!$M$4:$U$63,8,FALSE)</f>
        <v>Production intermédiaire</v>
      </c>
      <c r="AN127" t="str">
        <f>VLOOKUP(D127,'Table corresp.'!$M$4:$U$63,9,FALSE)</f>
        <v>Production finale</v>
      </c>
    </row>
    <row r="128" spans="1:40" x14ac:dyDescent="0.25">
      <c r="A128" t="s">
        <v>7</v>
      </c>
      <c r="B128" t="str">
        <f>VLOOKUP(LEFT(A128,3),'Table corresp.'!$A$4:$D$63,3,FALSE)</f>
        <v>Transformation</v>
      </c>
      <c r="C128" t="str">
        <f>VLOOKUP(A128,'Table corresp.'!$M$4:$P$63,4,FALSE)</f>
        <v>Production et transformation de produits bois</v>
      </c>
      <c r="D128" t="s">
        <v>92</v>
      </c>
      <c r="E128" t="str">
        <f>VLOOKUP(LEFT(D128,3),'Table corresp.'!$A$4:$D$63,4,FALSE)</f>
        <v>Transformation</v>
      </c>
      <c r="F128" t="str">
        <f t="shared" si="6"/>
        <v xml:space="preserve">12  - 40 </v>
      </c>
      <c r="G128" s="1">
        <v>410.29594375295545</v>
      </c>
      <c r="H128" s="1">
        <v>0</v>
      </c>
      <c r="I128" s="1">
        <v>410.29594375295545</v>
      </c>
      <c r="J128" s="1">
        <v>3.7674463807001026</v>
      </c>
      <c r="K128" s="1">
        <v>0</v>
      </c>
      <c r="L128" s="1">
        <v>3.7674463807001026</v>
      </c>
      <c r="M128" s="1">
        <v>0</v>
      </c>
      <c r="N128" s="1">
        <v>0</v>
      </c>
      <c r="O128" s="1">
        <v>0</v>
      </c>
      <c r="P128" s="1">
        <v>0</v>
      </c>
      <c r="Q128" s="1">
        <v>0</v>
      </c>
      <c r="R128" s="1">
        <v>0</v>
      </c>
      <c r="S128" s="67"/>
      <c r="T128">
        <f>VLOOKUP(A128,'Groupe de branches'!$Z$27:$AM$86,14,FALSE)</f>
        <v>0</v>
      </c>
      <c r="U128">
        <f>VLOOKUP(D128,'Groupe de branches'!$Z$27:$AM$86,14,FALSE)</f>
        <v>0</v>
      </c>
      <c r="V128">
        <v>2016</v>
      </c>
      <c r="W128" t="str">
        <f>VLOOKUP(D128,'Table corresp.'!$M$4:$S$63,7,FALSE)</f>
        <v>Construction</v>
      </c>
      <c r="X128" s="167">
        <f>IFERROR(G128/SUMIFS('Comp2016-2017 (3)'!$I$5:$I$289,'Comp2016-2017 (3)'!$A$5:$A$289,A128,'Comp2016-2017 (3)'!$R$5:$R$289,V128),0)</f>
        <v>6.4026107516385955E-4</v>
      </c>
      <c r="Y128" s="178">
        <f>IFERROR(IF(RIGHT(F128,3)="Exp",VLOOKUP(F128,#REF!,2,FALSE),VLOOKUP(F128,#REF!,9,FALSE)),1)</f>
        <v>1</v>
      </c>
      <c r="Z128" s="167">
        <f t="shared" si="11"/>
        <v>4.5454545454545456E-2</v>
      </c>
      <c r="AA128" s="189">
        <f t="shared" si="9"/>
        <v>2.9102776143811798E-5</v>
      </c>
      <c r="AB128" s="2">
        <f>IFERROR(SUMIFS('Comp2016-2017 (3)'!$G$5:$G$289,'Comp2016-2017 (3)'!$A$5:$A$289,A128,'Comp2016-2017 (3)'!$R$5:$R$289,V128)*AA128/SUMIFS($AA$4:$AA$1116,$A$4:$A$1116,A128,$V$4:$V$1116,V128),0)</f>
        <v>95.188702271278288</v>
      </c>
      <c r="AC128" s="2" t="str">
        <f>IF($W128=AC$3,$AB128,IF(NOT($W128=0),"",SUMIFS('Val-Vol (2)'!AC$4:AC$1116,'Val-Vol (2)'!$A$4:$A$1116,$D128,'Val-Vol (2)'!$V$4:$V$1116,$V128)/SUMIFS('Comp2016-2017 (3)'!$G$5:$G$289,'Comp2016-2017 (3)'!$A$5:$A$289,$D128,'Comp2016-2017 (3)'!$R$5:$R$289,$V128)*$AB128))</f>
        <v/>
      </c>
      <c r="AD128" s="2">
        <f>IF($W128=AD$3,$AB128,IF(NOT($W128=0),"",SUMIFS('Val-Vol (2)'!AD$4:AD$1116,'Val-Vol (2)'!$A$4:$A$1116,$D128,'Val-Vol (2)'!$V$4:$V$1116,$V128)/SUMIFS('Comp2016-2017 (3)'!$G$5:$G$289,'Comp2016-2017 (3)'!$A$5:$A$289,$D128,'Comp2016-2017 (3)'!$R$5:$R$289,$V128)*$AB128))</f>
        <v>95.188702271278288</v>
      </c>
      <c r="AE128" s="2" t="str">
        <f>IF($W128=AE$3,$AB128,IF(NOT($W128=0),"",SUMIFS('Val-Vol (2)'!AE$4:AE$1116,'Val-Vol (2)'!$A$4:$A$1116,$D128,'Val-Vol (2)'!$V$4:$V$1116,$V128)/SUMIFS('Comp2016-2017 (3)'!$G$5:$G$289,'Comp2016-2017 (3)'!$A$5:$A$289,$D128,'Comp2016-2017 (3)'!$R$5:$R$289,$V128)*$AB128))</f>
        <v/>
      </c>
      <c r="AF128" s="2" t="str">
        <f>IF($W128=AF$3,$AB128,IF(NOT($W128=0),"",SUMIFS('Val-Vol (2)'!AF$4:AF$1116,'Val-Vol (2)'!$A$4:$A$1116,$D128,'Val-Vol (2)'!$V$4:$V$1116,$V128)/SUMIFS('Comp2016-2017 (3)'!$G$5:$G$289,'Comp2016-2017 (3)'!$A$5:$A$289,$D128,'Comp2016-2017 (3)'!$R$5:$R$289,$V128)*$AB128))</f>
        <v/>
      </c>
      <c r="AG128" s="2" t="str">
        <f>IF($W128=AG$3,$AB128,IF(NOT($W128=0),"",SUMIFS('Val-Vol (2)'!AG$4:AG$1116,'Val-Vol (2)'!$A$4:$A$1116,$D128,'Val-Vol (2)'!$V$4:$V$1116,$V128)/SUMIFS('Comp2016-2017 (3)'!$G$5:$G$289,'Comp2016-2017 (3)'!$A$5:$A$289,$D128,'Comp2016-2017 (3)'!$R$5:$R$289,$V128)*$AB128))</f>
        <v/>
      </c>
      <c r="AH128" s="2" t="str">
        <f>IF($W128=AH$3,$AB128,IF(NOT($W128=0),"",SUMIFS('Val-Vol (2)'!AH$4:AH$1116,'Val-Vol (2)'!$A$4:$A$1116,$D128,'Val-Vol (2)'!$V$4:$V$1116,$V128)/SUMIFS('Comp2016-2017 (3)'!$G$5:$G$289,'Comp2016-2017 (3)'!$A$5:$A$289,$D128,'Comp2016-2017 (3)'!$R$5:$R$289,$V128)*$AB128))</f>
        <v/>
      </c>
      <c r="AI128" s="2" t="str">
        <f>IF($W128=AI$3,$AB128,IF(NOT($W128=0),"",SUMIFS('Val-Vol (2)'!AI$4:AI$1116,'Val-Vol (2)'!$A$4:$A$1116,$D128,'Val-Vol (2)'!$V$4:$V$1116,$V128)/SUMIFS('Comp2016-2017 (3)'!$G$5:$G$289,'Comp2016-2017 (3)'!$A$5:$A$289,$D128,'Comp2016-2017 (3)'!$R$5:$R$289,$V128)*$AB128))</f>
        <v/>
      </c>
      <c r="AJ128" s="2" t="str">
        <f>IF($W128=AJ$3,$AB128,IF(NOT($W128=0),"",SUMIFS('Val-Vol (2)'!AJ$4:AJ$1116,'Val-Vol (2)'!$A$4:$A$1116,$D128,'Val-Vol (2)'!$V$4:$V$1116,$V128)/SUMIFS('Comp2016-2017 (3)'!$G$5:$G$289,'Comp2016-2017 (3)'!$A$5:$A$289,$D128,'Comp2016-2017 (3)'!$R$5:$R$289,$V128)*$AB128))</f>
        <v/>
      </c>
      <c r="AK128" s="2">
        <f t="shared" si="10"/>
        <v>0</v>
      </c>
      <c r="AL128" t="str">
        <f t="shared" si="7"/>
        <v/>
      </c>
      <c r="AM128" t="str">
        <f>VLOOKUP(A128,'Table corresp.'!$M$4:$U$63,8,FALSE)</f>
        <v>Production intermédiaire</v>
      </c>
      <c r="AN128" t="str">
        <f>VLOOKUP(D128,'Table corresp.'!$M$4:$U$63,9,FALSE)</f>
        <v>Production finale</v>
      </c>
    </row>
    <row r="129" spans="1:40" x14ac:dyDescent="0.25">
      <c r="A129" t="s">
        <v>7</v>
      </c>
      <c r="B129" t="str">
        <f>VLOOKUP(LEFT(A129,3),'Table corresp.'!$A$4:$D$63,3,FALSE)</f>
        <v>Transformation</v>
      </c>
      <c r="C129" t="str">
        <f>VLOOKUP(A129,'Table corresp.'!$M$4:$P$63,4,FALSE)</f>
        <v>Production et transformation de produits bois</v>
      </c>
      <c r="D129" t="s">
        <v>93</v>
      </c>
      <c r="E129" t="str">
        <f>VLOOKUP(LEFT(D129,3),'Table corresp.'!$A$4:$D$63,4,FALSE)</f>
        <v>Transformation</v>
      </c>
      <c r="F129" t="str">
        <f t="shared" si="6"/>
        <v xml:space="preserve">12  - 41 </v>
      </c>
      <c r="G129" s="1">
        <v>13685.930279999999</v>
      </c>
      <c r="H129" s="1">
        <v>0</v>
      </c>
      <c r="I129" s="1">
        <v>13685.930279999999</v>
      </c>
      <c r="J129" s="1">
        <v>100.53427880036853</v>
      </c>
      <c r="K129" s="1">
        <v>0</v>
      </c>
      <c r="L129" s="1">
        <v>100.53427880036853</v>
      </c>
      <c r="M129" s="1">
        <v>0</v>
      </c>
      <c r="N129" s="1">
        <v>0</v>
      </c>
      <c r="O129" s="1">
        <v>0</v>
      </c>
      <c r="P129" s="1">
        <v>0</v>
      </c>
      <c r="Q129" s="1">
        <v>0</v>
      </c>
      <c r="R129" s="1">
        <v>0</v>
      </c>
      <c r="S129" s="67"/>
      <c r="T129">
        <f>VLOOKUP(A129,'Groupe de branches'!$Z$27:$AM$86,14,FALSE)</f>
        <v>0</v>
      </c>
      <c r="U129">
        <f>VLOOKUP(D129,'Groupe de branches'!$Z$27:$AM$86,14,FALSE)</f>
        <v>0</v>
      </c>
      <c r="V129">
        <v>2016</v>
      </c>
      <c r="W129" t="str">
        <f>VLOOKUP(D129,'Table corresp.'!$M$4:$S$63,7,FALSE)</f>
        <v>Produits de consommation courante</v>
      </c>
      <c r="X129" s="167">
        <f>IFERROR(G129/SUMIFS('Comp2016-2017 (3)'!$I$5:$I$289,'Comp2016-2017 (3)'!$A$5:$A$289,A129,'Comp2016-2017 (3)'!$R$5:$R$289,V129),0)</f>
        <v>2.1356702568247853E-2</v>
      </c>
      <c r="Y129" s="178">
        <f>IFERROR(IF(RIGHT(F129,3)="Exp",VLOOKUP(F129,#REF!,2,FALSE),VLOOKUP(F129,#REF!,9,FALSE)),1)</f>
        <v>1</v>
      </c>
      <c r="Z129" s="167">
        <f t="shared" si="11"/>
        <v>4.5454545454545456E-2</v>
      </c>
      <c r="AA129" s="189">
        <f t="shared" si="9"/>
        <v>9.7075920764762974E-4</v>
      </c>
      <c r="AB129" s="2">
        <f>IFERROR(SUMIFS('Comp2016-2017 (3)'!$G$5:$G$289,'Comp2016-2017 (3)'!$A$5:$A$289,A129,'Comp2016-2017 (3)'!$R$5:$R$289,V129)*AA129/SUMIFS($AA$4:$AA$1116,$A$4:$A$1116,A129,$V$4:$V$1116,V129),0)</f>
        <v>3175.1372699721169</v>
      </c>
      <c r="AC129" s="2" t="str">
        <f>IF($W129=AC$3,$AB129,IF(NOT($W129=0),"",SUMIFS('Val-Vol (2)'!AC$4:AC$1116,'Val-Vol (2)'!$A$4:$A$1116,$D129,'Val-Vol (2)'!$V$4:$V$1116,$V129)/SUMIFS('Comp2016-2017 (3)'!$G$5:$G$289,'Comp2016-2017 (3)'!$A$5:$A$289,$D129,'Comp2016-2017 (3)'!$R$5:$R$289,$V129)*$AB129))</f>
        <v/>
      </c>
      <c r="AD129" s="2" t="str">
        <f>IF($W129=AD$3,$AB129,IF(NOT($W129=0),"",SUMIFS('Val-Vol (2)'!AD$4:AD$1116,'Val-Vol (2)'!$A$4:$A$1116,$D129,'Val-Vol (2)'!$V$4:$V$1116,$V129)/SUMIFS('Comp2016-2017 (3)'!$G$5:$G$289,'Comp2016-2017 (3)'!$A$5:$A$289,$D129,'Comp2016-2017 (3)'!$R$5:$R$289,$V129)*$AB129))</f>
        <v/>
      </c>
      <c r="AE129" s="2" t="str">
        <f>IF($W129=AE$3,$AB129,IF(NOT($W129=0),"",SUMIFS('Val-Vol (2)'!AE$4:AE$1116,'Val-Vol (2)'!$A$4:$A$1116,$D129,'Val-Vol (2)'!$V$4:$V$1116,$V129)/SUMIFS('Comp2016-2017 (3)'!$G$5:$G$289,'Comp2016-2017 (3)'!$A$5:$A$289,$D129,'Comp2016-2017 (3)'!$R$5:$R$289,$V129)*$AB129))</f>
        <v/>
      </c>
      <c r="AF129" s="2" t="str">
        <f>IF($W129=AF$3,$AB129,IF(NOT($W129=0),"",SUMIFS('Val-Vol (2)'!AF$4:AF$1116,'Val-Vol (2)'!$A$4:$A$1116,$D129,'Val-Vol (2)'!$V$4:$V$1116,$V129)/SUMIFS('Comp2016-2017 (3)'!$G$5:$G$289,'Comp2016-2017 (3)'!$A$5:$A$289,$D129,'Comp2016-2017 (3)'!$R$5:$R$289,$V129)*$AB129))</f>
        <v/>
      </c>
      <c r="AG129" s="2" t="str">
        <f>IF($W129=AG$3,$AB129,IF(NOT($W129=0),"",SUMIFS('Val-Vol (2)'!AG$4:AG$1116,'Val-Vol (2)'!$A$4:$A$1116,$D129,'Val-Vol (2)'!$V$4:$V$1116,$V129)/SUMIFS('Comp2016-2017 (3)'!$G$5:$G$289,'Comp2016-2017 (3)'!$A$5:$A$289,$D129,'Comp2016-2017 (3)'!$R$5:$R$289,$V129)*$AB129))</f>
        <v/>
      </c>
      <c r="AH129" s="2" t="str">
        <f>IF($W129=AH$3,$AB129,IF(NOT($W129=0),"",SUMIFS('Val-Vol (2)'!AH$4:AH$1116,'Val-Vol (2)'!$A$4:$A$1116,$D129,'Val-Vol (2)'!$V$4:$V$1116,$V129)/SUMIFS('Comp2016-2017 (3)'!$G$5:$G$289,'Comp2016-2017 (3)'!$A$5:$A$289,$D129,'Comp2016-2017 (3)'!$R$5:$R$289,$V129)*$AB129))</f>
        <v/>
      </c>
      <c r="AI129" s="2">
        <f>IF($W129=AI$3,$AB129,IF(NOT($W129=0),"",SUMIFS('Val-Vol (2)'!AI$4:AI$1116,'Val-Vol (2)'!$A$4:$A$1116,$D129,'Val-Vol (2)'!$V$4:$V$1116,$V129)/SUMIFS('Comp2016-2017 (3)'!$G$5:$G$289,'Comp2016-2017 (3)'!$A$5:$A$289,$D129,'Comp2016-2017 (3)'!$R$5:$R$289,$V129)*$AB129))</f>
        <v>3175.1372699721169</v>
      </c>
      <c r="AJ129" s="2" t="str">
        <f>IF($W129=AJ$3,$AB129,IF(NOT($W129=0),"",SUMIFS('Val-Vol (2)'!AJ$4:AJ$1116,'Val-Vol (2)'!$A$4:$A$1116,$D129,'Val-Vol (2)'!$V$4:$V$1116,$V129)/SUMIFS('Comp2016-2017 (3)'!$G$5:$G$289,'Comp2016-2017 (3)'!$A$5:$A$289,$D129,'Comp2016-2017 (3)'!$R$5:$R$289,$V129)*$AB129))</f>
        <v/>
      </c>
      <c r="AK129" s="2">
        <f t="shared" si="10"/>
        <v>0</v>
      </c>
      <c r="AL129" t="str">
        <f t="shared" si="7"/>
        <v/>
      </c>
      <c r="AM129" t="str">
        <f>VLOOKUP(A129,'Table corresp.'!$M$4:$U$63,8,FALSE)</f>
        <v>Production intermédiaire</v>
      </c>
      <c r="AN129" t="str">
        <f>VLOOKUP(D129,'Table corresp.'!$M$4:$U$63,9,FALSE)</f>
        <v>Production finale</v>
      </c>
    </row>
    <row r="130" spans="1:40" x14ac:dyDescent="0.25">
      <c r="A130" t="s">
        <v>7</v>
      </c>
      <c r="B130" t="str">
        <f>VLOOKUP(LEFT(A130,3),'Table corresp.'!$A$4:$D$63,3,FALSE)</f>
        <v>Transformation</v>
      </c>
      <c r="C130" t="str">
        <f>VLOOKUP(A130,'Table corresp.'!$M$4:$P$63,4,FALSE)</f>
        <v>Production et transformation de produits bois</v>
      </c>
      <c r="D130" t="s">
        <v>99</v>
      </c>
      <c r="E130" t="str">
        <f>VLOOKUP(LEFT(D130,3),'Table corresp.'!$A$4:$D$63,4,FALSE)</f>
        <v>Transformation</v>
      </c>
      <c r="F130" t="str">
        <f t="shared" si="6"/>
        <v xml:space="preserve">12  - 47 </v>
      </c>
      <c r="G130" s="1">
        <v>11890.008517499999</v>
      </c>
      <c r="H130" s="1">
        <v>6297.8321700000006</v>
      </c>
      <c r="I130" s="1">
        <v>18187.8406875</v>
      </c>
      <c r="J130" s="1">
        <v>72.784811772711379</v>
      </c>
      <c r="K130" s="1">
        <v>41.806882664194958</v>
      </c>
      <c r="L130" s="1">
        <v>114.59169443690634</v>
      </c>
      <c r="M130" s="1">
        <v>0</v>
      </c>
      <c r="N130" s="1">
        <v>0</v>
      </c>
      <c r="O130" s="1">
        <v>0</v>
      </c>
      <c r="P130" s="1">
        <v>0</v>
      </c>
      <c r="Q130" s="1">
        <v>0</v>
      </c>
      <c r="R130" s="1">
        <v>0</v>
      </c>
      <c r="S130" s="67"/>
      <c r="T130">
        <f>VLOOKUP(A130,'Groupe de branches'!$Z$27:$AM$86,14,FALSE)</f>
        <v>0</v>
      </c>
      <c r="U130">
        <f>VLOOKUP(D130,'Groupe de branches'!$Z$27:$AM$86,14,FALSE)</f>
        <v>0</v>
      </c>
      <c r="V130">
        <v>2016</v>
      </c>
      <c r="W130" t="str">
        <f>VLOOKUP(D130,'Table corresp.'!$M$4:$S$63,7,FALSE)</f>
        <v>Meuble</v>
      </c>
      <c r="X130" s="167">
        <f>IFERROR(G130/SUMIFS('Comp2016-2017 (3)'!$I$5:$I$289,'Comp2016-2017 (3)'!$A$5:$A$289,A130,'Comp2016-2017 (3)'!$R$5:$R$289,V130),0)</f>
        <v>1.8554191804795683E-2</v>
      </c>
      <c r="Y130" s="178">
        <f>IFERROR(IF(RIGHT(F130,3)="Exp",VLOOKUP(F130,#REF!,2,FALSE),VLOOKUP(F130,#REF!,9,FALSE)),1)</f>
        <v>1</v>
      </c>
      <c r="Z130" s="167">
        <f t="shared" si="11"/>
        <v>4.5454545454545456E-2</v>
      </c>
      <c r="AA130" s="189">
        <f t="shared" si="9"/>
        <v>8.4337235476344009E-4</v>
      </c>
      <c r="AB130" s="2">
        <f>IFERROR(SUMIFS('Comp2016-2017 (3)'!$G$5:$G$289,'Comp2016-2017 (3)'!$A$5:$A$289,A130,'Comp2016-2017 (3)'!$R$5:$R$289,V130)*AA130/SUMIFS($AA$4:$AA$1116,$A$4:$A$1116,A130,$V$4:$V$1116,V130),0)</f>
        <v>2758.4832314519258</v>
      </c>
      <c r="AC130" s="2" t="str">
        <f>IF($W130=AC$3,$AB130,IF(NOT($W130=0),"",SUMIFS('Val-Vol (2)'!AC$4:AC$1116,'Val-Vol (2)'!$A$4:$A$1116,$D130,'Val-Vol (2)'!$V$4:$V$1116,$V130)/SUMIFS('Comp2016-2017 (3)'!$G$5:$G$289,'Comp2016-2017 (3)'!$A$5:$A$289,$D130,'Comp2016-2017 (3)'!$R$5:$R$289,$V130)*$AB130))</f>
        <v/>
      </c>
      <c r="AD130" s="2" t="str">
        <f>IF($W130=AD$3,$AB130,IF(NOT($W130=0),"",SUMIFS('Val-Vol (2)'!AD$4:AD$1116,'Val-Vol (2)'!$A$4:$A$1116,$D130,'Val-Vol (2)'!$V$4:$V$1116,$V130)/SUMIFS('Comp2016-2017 (3)'!$G$5:$G$289,'Comp2016-2017 (3)'!$A$5:$A$289,$D130,'Comp2016-2017 (3)'!$R$5:$R$289,$V130)*$AB130))</f>
        <v/>
      </c>
      <c r="AE130" s="2">
        <f>IF($W130=AE$3,$AB130,IF(NOT($W130=0),"",SUMIFS('Val-Vol (2)'!AE$4:AE$1116,'Val-Vol (2)'!$A$4:$A$1116,$D130,'Val-Vol (2)'!$V$4:$V$1116,$V130)/SUMIFS('Comp2016-2017 (3)'!$G$5:$G$289,'Comp2016-2017 (3)'!$A$5:$A$289,$D130,'Comp2016-2017 (3)'!$R$5:$R$289,$V130)*$AB130))</f>
        <v>2758.4832314519258</v>
      </c>
      <c r="AF130" s="2" t="str">
        <f>IF($W130=AF$3,$AB130,IF(NOT($W130=0),"",SUMIFS('Val-Vol (2)'!AF$4:AF$1116,'Val-Vol (2)'!$A$4:$A$1116,$D130,'Val-Vol (2)'!$V$4:$V$1116,$V130)/SUMIFS('Comp2016-2017 (3)'!$G$5:$G$289,'Comp2016-2017 (3)'!$A$5:$A$289,$D130,'Comp2016-2017 (3)'!$R$5:$R$289,$V130)*$AB130))</f>
        <v/>
      </c>
      <c r="AG130" s="2" t="str">
        <f>IF($W130=AG$3,$AB130,IF(NOT($W130=0),"",SUMIFS('Val-Vol (2)'!AG$4:AG$1116,'Val-Vol (2)'!$A$4:$A$1116,$D130,'Val-Vol (2)'!$V$4:$V$1116,$V130)/SUMIFS('Comp2016-2017 (3)'!$G$5:$G$289,'Comp2016-2017 (3)'!$A$5:$A$289,$D130,'Comp2016-2017 (3)'!$R$5:$R$289,$V130)*$AB130))</f>
        <v/>
      </c>
      <c r="AH130" s="2" t="str">
        <f>IF($W130=AH$3,$AB130,IF(NOT($W130=0),"",SUMIFS('Val-Vol (2)'!AH$4:AH$1116,'Val-Vol (2)'!$A$4:$A$1116,$D130,'Val-Vol (2)'!$V$4:$V$1116,$V130)/SUMIFS('Comp2016-2017 (3)'!$G$5:$G$289,'Comp2016-2017 (3)'!$A$5:$A$289,$D130,'Comp2016-2017 (3)'!$R$5:$R$289,$V130)*$AB130))</f>
        <v/>
      </c>
      <c r="AI130" s="2" t="str">
        <f>IF($W130=AI$3,$AB130,IF(NOT($W130=0),"",SUMIFS('Val-Vol (2)'!AI$4:AI$1116,'Val-Vol (2)'!$A$4:$A$1116,$D130,'Val-Vol (2)'!$V$4:$V$1116,$V130)/SUMIFS('Comp2016-2017 (3)'!$G$5:$G$289,'Comp2016-2017 (3)'!$A$5:$A$289,$D130,'Comp2016-2017 (3)'!$R$5:$R$289,$V130)*$AB130))</f>
        <v/>
      </c>
      <c r="AJ130" s="2" t="str">
        <f>IF($W130=AJ$3,$AB130,IF(NOT($W130=0),"",SUMIFS('Val-Vol (2)'!AJ$4:AJ$1116,'Val-Vol (2)'!$A$4:$A$1116,$D130,'Val-Vol (2)'!$V$4:$V$1116,$V130)/SUMIFS('Comp2016-2017 (3)'!$G$5:$G$289,'Comp2016-2017 (3)'!$A$5:$A$289,$D130,'Comp2016-2017 (3)'!$R$5:$R$289,$V130)*$AB130))</f>
        <v/>
      </c>
      <c r="AK130" s="2">
        <f t="shared" si="10"/>
        <v>0</v>
      </c>
      <c r="AL130" t="str">
        <f t="shared" si="7"/>
        <v/>
      </c>
      <c r="AM130" t="str">
        <f>VLOOKUP(A130,'Table corresp.'!$M$4:$U$63,8,FALSE)</f>
        <v>Production intermédiaire</v>
      </c>
      <c r="AN130" t="str">
        <f>VLOOKUP(D130,'Table corresp.'!$M$4:$U$63,9,FALSE)</f>
        <v>Production finale</v>
      </c>
    </row>
    <row r="131" spans="1:40" x14ac:dyDescent="0.25">
      <c r="A131" t="s">
        <v>7</v>
      </c>
      <c r="B131" t="str">
        <f>VLOOKUP(LEFT(A131,3),'Table corresp.'!$A$4:$D$63,3,FALSE)</f>
        <v>Transformation</v>
      </c>
      <c r="C131" t="str">
        <f>VLOOKUP(A131,'Table corresp.'!$M$4:$P$63,4,FALSE)</f>
        <v>Production et transformation de produits bois</v>
      </c>
      <c r="D131" t="s">
        <v>100</v>
      </c>
      <c r="E131" t="str">
        <f>VLOOKUP(LEFT(D131,3),'Table corresp.'!$A$4:$D$63,4,FALSE)</f>
        <v>Transformation</v>
      </c>
      <c r="F131" t="str">
        <f t="shared" si="6"/>
        <v xml:space="preserve">12  - 48 </v>
      </c>
      <c r="G131" s="1">
        <v>6160.44769</v>
      </c>
      <c r="H131" s="1">
        <v>0</v>
      </c>
      <c r="I131" s="1">
        <v>6160.44769</v>
      </c>
      <c r="J131" s="1">
        <v>28.283433831796959</v>
      </c>
      <c r="K131" s="1">
        <v>0</v>
      </c>
      <c r="L131" s="1">
        <v>28.283433831796959</v>
      </c>
      <c r="M131" s="1">
        <v>0</v>
      </c>
      <c r="N131" s="1">
        <v>0</v>
      </c>
      <c r="O131" s="1">
        <v>0</v>
      </c>
      <c r="P131" s="1">
        <v>0</v>
      </c>
      <c r="Q131" s="1">
        <v>0</v>
      </c>
      <c r="R131" s="1">
        <v>0</v>
      </c>
      <c r="S131" s="67"/>
      <c r="T131">
        <f>VLOOKUP(A131,'Groupe de branches'!$Z$27:$AM$86,14,FALSE)</f>
        <v>0</v>
      </c>
      <c r="U131">
        <f>VLOOKUP(D131,'Groupe de branches'!$Z$27:$AM$86,14,FALSE)</f>
        <v>0</v>
      </c>
      <c r="V131">
        <v>2016</v>
      </c>
      <c r="W131" t="str">
        <f>VLOOKUP(D131,'Table corresp.'!$M$4:$S$63,7,FALSE)</f>
        <v>Produits de consommation courante</v>
      </c>
      <c r="X131" s="167">
        <f>IFERROR(G131/SUMIFS('Comp2016-2017 (3)'!$I$5:$I$289,'Comp2016-2017 (3)'!$A$5:$A$289,A131,'Comp2016-2017 (3)'!$R$5:$R$289,V131),0)</f>
        <v>9.6132923601726528E-3</v>
      </c>
      <c r="Y131" s="178">
        <f>IFERROR(IF(RIGHT(F131,3)="Exp",VLOOKUP(F131,#REF!,2,FALSE),VLOOKUP(F131,#REF!,9,FALSE)),1)</f>
        <v>1</v>
      </c>
      <c r="Z131" s="167">
        <f t="shared" si="11"/>
        <v>4.5454545454545456E-2</v>
      </c>
      <c r="AA131" s="189">
        <f t="shared" si="9"/>
        <v>4.3696783455330241E-4</v>
      </c>
      <c r="AB131" s="2">
        <f>IFERROR(SUMIFS('Comp2016-2017 (3)'!$G$5:$G$289,'Comp2016-2017 (3)'!$A$5:$A$289,A131,'Comp2016-2017 (3)'!$R$5:$R$289,V131)*AA131/SUMIFS($AA$4:$AA$1116,$A$4:$A$1116,A131,$V$4:$V$1116,V131),0)</f>
        <v>1429.2245145232932</v>
      </c>
      <c r="AC131" s="2" t="str">
        <f>IF($W131=AC$3,$AB131,IF(NOT($W131=0),"",SUMIFS('Val-Vol (2)'!AC$4:AC$1116,'Val-Vol (2)'!$A$4:$A$1116,$D131,'Val-Vol (2)'!$V$4:$V$1116,$V131)/SUMIFS('Comp2016-2017 (3)'!$G$5:$G$289,'Comp2016-2017 (3)'!$A$5:$A$289,$D131,'Comp2016-2017 (3)'!$R$5:$R$289,$V131)*$AB131))</f>
        <v/>
      </c>
      <c r="AD131" s="2" t="str">
        <f>IF($W131=AD$3,$AB131,IF(NOT($W131=0),"",SUMIFS('Val-Vol (2)'!AD$4:AD$1116,'Val-Vol (2)'!$A$4:$A$1116,$D131,'Val-Vol (2)'!$V$4:$V$1116,$V131)/SUMIFS('Comp2016-2017 (3)'!$G$5:$G$289,'Comp2016-2017 (3)'!$A$5:$A$289,$D131,'Comp2016-2017 (3)'!$R$5:$R$289,$V131)*$AB131))</f>
        <v/>
      </c>
      <c r="AE131" s="2" t="str">
        <f>IF($W131=AE$3,$AB131,IF(NOT($W131=0),"",SUMIFS('Val-Vol (2)'!AE$4:AE$1116,'Val-Vol (2)'!$A$4:$A$1116,$D131,'Val-Vol (2)'!$V$4:$V$1116,$V131)/SUMIFS('Comp2016-2017 (3)'!$G$5:$G$289,'Comp2016-2017 (3)'!$A$5:$A$289,$D131,'Comp2016-2017 (3)'!$R$5:$R$289,$V131)*$AB131))</f>
        <v/>
      </c>
      <c r="AF131" s="2" t="str">
        <f>IF($W131=AF$3,$AB131,IF(NOT($W131=0),"",SUMIFS('Val-Vol (2)'!AF$4:AF$1116,'Val-Vol (2)'!$A$4:$A$1116,$D131,'Val-Vol (2)'!$V$4:$V$1116,$V131)/SUMIFS('Comp2016-2017 (3)'!$G$5:$G$289,'Comp2016-2017 (3)'!$A$5:$A$289,$D131,'Comp2016-2017 (3)'!$R$5:$R$289,$V131)*$AB131))</f>
        <v/>
      </c>
      <c r="AG131" s="2" t="str">
        <f>IF($W131=AG$3,$AB131,IF(NOT($W131=0),"",SUMIFS('Val-Vol (2)'!AG$4:AG$1116,'Val-Vol (2)'!$A$4:$A$1116,$D131,'Val-Vol (2)'!$V$4:$V$1116,$V131)/SUMIFS('Comp2016-2017 (3)'!$G$5:$G$289,'Comp2016-2017 (3)'!$A$5:$A$289,$D131,'Comp2016-2017 (3)'!$R$5:$R$289,$V131)*$AB131))</f>
        <v/>
      </c>
      <c r="AH131" s="2" t="str">
        <f>IF($W131=AH$3,$AB131,IF(NOT($W131=0),"",SUMIFS('Val-Vol (2)'!AH$4:AH$1116,'Val-Vol (2)'!$A$4:$A$1116,$D131,'Val-Vol (2)'!$V$4:$V$1116,$V131)/SUMIFS('Comp2016-2017 (3)'!$G$5:$G$289,'Comp2016-2017 (3)'!$A$5:$A$289,$D131,'Comp2016-2017 (3)'!$R$5:$R$289,$V131)*$AB131))</f>
        <v/>
      </c>
      <c r="AI131" s="2">
        <f>IF($W131=AI$3,$AB131,IF(NOT($W131=0),"",SUMIFS('Val-Vol (2)'!AI$4:AI$1116,'Val-Vol (2)'!$A$4:$A$1116,$D131,'Val-Vol (2)'!$V$4:$V$1116,$V131)/SUMIFS('Comp2016-2017 (3)'!$G$5:$G$289,'Comp2016-2017 (3)'!$A$5:$A$289,$D131,'Comp2016-2017 (3)'!$R$5:$R$289,$V131)*$AB131))</f>
        <v>1429.2245145232932</v>
      </c>
      <c r="AJ131" s="2" t="str">
        <f>IF($W131=AJ$3,$AB131,IF(NOT($W131=0),"",SUMIFS('Val-Vol (2)'!AJ$4:AJ$1116,'Val-Vol (2)'!$A$4:$A$1116,$D131,'Val-Vol (2)'!$V$4:$V$1116,$V131)/SUMIFS('Comp2016-2017 (3)'!$G$5:$G$289,'Comp2016-2017 (3)'!$A$5:$A$289,$D131,'Comp2016-2017 (3)'!$R$5:$R$289,$V131)*$AB131))</f>
        <v/>
      </c>
      <c r="AK131" s="2">
        <f t="shared" si="10"/>
        <v>0</v>
      </c>
      <c r="AL131" t="str">
        <f t="shared" si="7"/>
        <v/>
      </c>
      <c r="AM131" t="str">
        <f>VLOOKUP(A131,'Table corresp.'!$M$4:$U$63,8,FALSE)</f>
        <v>Production intermédiaire</v>
      </c>
      <c r="AN131" t="str">
        <f>VLOOKUP(D131,'Table corresp.'!$M$4:$U$63,9,FALSE)</f>
        <v>Production finale</v>
      </c>
    </row>
    <row r="132" spans="1:40" x14ac:dyDescent="0.25">
      <c r="A132" t="s">
        <v>7</v>
      </c>
      <c r="B132" t="str">
        <f>VLOOKUP(LEFT(A132,3),'Table corresp.'!$A$4:$D$63,3,FALSE)</f>
        <v>Transformation</v>
      </c>
      <c r="C132" t="str">
        <f>VLOOKUP(A132,'Table corresp.'!$M$4:$P$63,4,FALSE)</f>
        <v>Production et transformation de produits bois</v>
      </c>
      <c r="D132" t="s">
        <v>19</v>
      </c>
      <c r="E132" t="str">
        <f>VLOOKUP(LEFT(D132,3),'Table corresp.'!$A$4:$D$63,4,FALSE)</f>
        <v>Transformation</v>
      </c>
      <c r="F132" t="str">
        <f t="shared" ref="F132:F195" si="12">LEFT(A132,3)&amp;" - "&amp;LEFT(D132,3)</f>
        <v xml:space="preserve">12  - 52 </v>
      </c>
      <c r="G132" s="1">
        <v>8340.1032300000006</v>
      </c>
      <c r="H132" s="1">
        <v>299.89677</v>
      </c>
      <c r="I132" s="1">
        <v>8640</v>
      </c>
      <c r="J132" s="1">
        <v>95.726305021210706</v>
      </c>
      <c r="K132" s="1">
        <v>2.7871255109463307</v>
      </c>
      <c r="L132" s="1">
        <v>98.513430532157031</v>
      </c>
      <c r="M132" s="1">
        <v>0</v>
      </c>
      <c r="N132" s="1">
        <v>0</v>
      </c>
      <c r="O132" s="1">
        <v>0</v>
      </c>
      <c r="P132" s="1">
        <v>0</v>
      </c>
      <c r="Q132" s="1">
        <v>0</v>
      </c>
      <c r="R132" s="1">
        <v>0</v>
      </c>
      <c r="S132" s="67"/>
      <c r="T132">
        <f>VLOOKUP(A132,'Groupe de branches'!$Z$27:$AM$86,14,FALSE)</f>
        <v>0</v>
      </c>
      <c r="U132">
        <f>VLOOKUP(D132,'Groupe de branches'!$Z$27:$AM$86,14,FALSE)</f>
        <v>0</v>
      </c>
      <c r="V132">
        <v>2016</v>
      </c>
      <c r="W132" t="str">
        <f>VLOOKUP(D132,'Table corresp.'!$M$4:$S$63,7,FALSE)</f>
        <v>Construction</v>
      </c>
      <c r="X132" s="167">
        <f>IFERROR(G132/SUMIFS('Comp2016-2017 (3)'!$I$5:$I$289,'Comp2016-2017 (3)'!$A$5:$A$289,A132,'Comp2016-2017 (3)'!$R$5:$R$289,V132),0)</f>
        <v>1.3014614310280795E-2</v>
      </c>
      <c r="Y132" s="178">
        <f>IFERROR(IF(RIGHT(F132,3)="Exp",VLOOKUP(F132,#REF!,2,FALSE),VLOOKUP(F132,#REF!,9,FALSE)),1)</f>
        <v>1</v>
      </c>
      <c r="Z132" s="167">
        <f t="shared" si="11"/>
        <v>4.5454545454545456E-2</v>
      </c>
      <c r="AA132" s="189">
        <f t="shared" si="9"/>
        <v>5.9157337774003616E-4</v>
      </c>
      <c r="AB132" s="2">
        <f>IFERROR(SUMIFS('Comp2016-2017 (3)'!$G$5:$G$289,'Comp2016-2017 (3)'!$A$5:$A$289,A132,'Comp2016-2017 (3)'!$R$5:$R$289,V132)*AA132/SUMIFS($AA$4:$AA$1116,$A$4:$A$1116,A132,$V$4:$V$1116,V132),0)</f>
        <v>1934.9048299395431</v>
      </c>
      <c r="AC132" s="2" t="str">
        <f>IF($W132=AC$3,$AB132,IF(NOT($W132=0),"",SUMIFS('Val-Vol (2)'!AC$4:AC$1116,'Val-Vol (2)'!$A$4:$A$1116,$D132,'Val-Vol (2)'!$V$4:$V$1116,$V132)/SUMIFS('Comp2016-2017 (3)'!$G$5:$G$289,'Comp2016-2017 (3)'!$A$5:$A$289,$D132,'Comp2016-2017 (3)'!$R$5:$R$289,$V132)*$AB132))</f>
        <v/>
      </c>
      <c r="AD132" s="2">
        <f>IF($W132=AD$3,$AB132,IF(NOT($W132=0),"",SUMIFS('Val-Vol (2)'!AD$4:AD$1116,'Val-Vol (2)'!$A$4:$A$1116,$D132,'Val-Vol (2)'!$V$4:$V$1116,$V132)/SUMIFS('Comp2016-2017 (3)'!$G$5:$G$289,'Comp2016-2017 (3)'!$A$5:$A$289,$D132,'Comp2016-2017 (3)'!$R$5:$R$289,$V132)*$AB132))</f>
        <v>1934.9048299395431</v>
      </c>
      <c r="AE132" s="2" t="str">
        <f>IF($W132=AE$3,$AB132,IF(NOT($W132=0),"",SUMIFS('Val-Vol (2)'!AE$4:AE$1116,'Val-Vol (2)'!$A$4:$A$1116,$D132,'Val-Vol (2)'!$V$4:$V$1116,$V132)/SUMIFS('Comp2016-2017 (3)'!$G$5:$G$289,'Comp2016-2017 (3)'!$A$5:$A$289,$D132,'Comp2016-2017 (3)'!$R$5:$R$289,$V132)*$AB132))</f>
        <v/>
      </c>
      <c r="AF132" s="2" t="str">
        <f>IF($W132=AF$3,$AB132,IF(NOT($W132=0),"",SUMIFS('Val-Vol (2)'!AF$4:AF$1116,'Val-Vol (2)'!$A$4:$A$1116,$D132,'Val-Vol (2)'!$V$4:$V$1116,$V132)/SUMIFS('Comp2016-2017 (3)'!$G$5:$G$289,'Comp2016-2017 (3)'!$A$5:$A$289,$D132,'Comp2016-2017 (3)'!$R$5:$R$289,$V132)*$AB132))</f>
        <v/>
      </c>
      <c r="AG132" s="2" t="str">
        <f>IF($W132=AG$3,$AB132,IF(NOT($W132=0),"",SUMIFS('Val-Vol (2)'!AG$4:AG$1116,'Val-Vol (2)'!$A$4:$A$1116,$D132,'Val-Vol (2)'!$V$4:$V$1116,$V132)/SUMIFS('Comp2016-2017 (3)'!$G$5:$G$289,'Comp2016-2017 (3)'!$A$5:$A$289,$D132,'Comp2016-2017 (3)'!$R$5:$R$289,$V132)*$AB132))</f>
        <v/>
      </c>
      <c r="AH132" s="2" t="str">
        <f>IF($W132=AH$3,$AB132,IF(NOT($W132=0),"",SUMIFS('Val-Vol (2)'!AH$4:AH$1116,'Val-Vol (2)'!$A$4:$A$1116,$D132,'Val-Vol (2)'!$V$4:$V$1116,$V132)/SUMIFS('Comp2016-2017 (3)'!$G$5:$G$289,'Comp2016-2017 (3)'!$A$5:$A$289,$D132,'Comp2016-2017 (3)'!$R$5:$R$289,$V132)*$AB132))</f>
        <v/>
      </c>
      <c r="AI132" s="2" t="str">
        <f>IF($W132=AI$3,$AB132,IF(NOT($W132=0),"",SUMIFS('Val-Vol (2)'!AI$4:AI$1116,'Val-Vol (2)'!$A$4:$A$1116,$D132,'Val-Vol (2)'!$V$4:$V$1116,$V132)/SUMIFS('Comp2016-2017 (3)'!$G$5:$G$289,'Comp2016-2017 (3)'!$A$5:$A$289,$D132,'Comp2016-2017 (3)'!$R$5:$R$289,$V132)*$AB132))</f>
        <v/>
      </c>
      <c r="AJ132" s="2" t="str">
        <f>IF($W132=AJ$3,$AB132,IF(NOT($W132=0),"",SUMIFS('Val-Vol (2)'!AJ$4:AJ$1116,'Val-Vol (2)'!$A$4:$A$1116,$D132,'Val-Vol (2)'!$V$4:$V$1116,$V132)/SUMIFS('Comp2016-2017 (3)'!$G$5:$G$289,'Comp2016-2017 (3)'!$A$5:$A$289,$D132,'Comp2016-2017 (3)'!$R$5:$R$289,$V132)*$AB132))</f>
        <v/>
      </c>
      <c r="AK132" s="2">
        <f t="shared" si="10"/>
        <v>0</v>
      </c>
      <c r="AL132" t="str">
        <f t="shared" ref="AL132:AL195" si="13">IF(A132=D132,"remplir à la main","")</f>
        <v/>
      </c>
      <c r="AM132" t="str">
        <f>VLOOKUP(A132,'Table corresp.'!$M$4:$U$63,8,FALSE)</f>
        <v>Production intermédiaire</v>
      </c>
      <c r="AN132" t="str">
        <f>VLOOKUP(D132,'Table corresp.'!$M$4:$U$63,9,FALSE)</f>
        <v xml:space="preserve">Mise en œuvre </v>
      </c>
    </row>
    <row r="133" spans="1:40" x14ac:dyDescent="0.25">
      <c r="A133" t="s">
        <v>7</v>
      </c>
      <c r="B133" t="str">
        <f>VLOOKUP(LEFT(A133,3),'Table corresp.'!$A$4:$D$63,3,FALSE)</f>
        <v>Transformation</v>
      </c>
      <c r="C133" t="str">
        <f>VLOOKUP(A133,'Table corresp.'!$M$4:$P$63,4,FALSE)</f>
        <v>Production et transformation de produits bois</v>
      </c>
      <c r="D133" t="s">
        <v>20</v>
      </c>
      <c r="E133" t="str">
        <f>VLOOKUP(LEFT(D133,3),'Table corresp.'!$A$4:$D$63,4,FALSE)</f>
        <v>Transformation</v>
      </c>
      <c r="F133" t="str">
        <f t="shared" si="12"/>
        <v xml:space="preserve">12  - 53 </v>
      </c>
      <c r="G133" s="1">
        <v>100.10323</v>
      </c>
      <c r="H133" s="1">
        <v>299.89677</v>
      </c>
      <c r="I133" s="1">
        <v>400</v>
      </c>
      <c r="J133" s="1">
        <v>1.0213049529032066</v>
      </c>
      <c r="K133" s="1">
        <v>3.4839068886829123</v>
      </c>
      <c r="L133" s="1">
        <v>4.5052118415861191</v>
      </c>
      <c r="M133" s="1">
        <v>0</v>
      </c>
      <c r="N133" s="1">
        <v>0</v>
      </c>
      <c r="O133" s="1">
        <v>0</v>
      </c>
      <c r="P133" s="1">
        <v>0</v>
      </c>
      <c r="Q133" s="1">
        <v>0</v>
      </c>
      <c r="R133" s="1">
        <v>0</v>
      </c>
      <c r="S133" s="67"/>
      <c r="T133">
        <f>VLOOKUP(A133,'Groupe de branches'!$Z$27:$AM$86,14,FALSE)</f>
        <v>0</v>
      </c>
      <c r="U133">
        <f>VLOOKUP(D133,'Groupe de branches'!$Z$27:$AM$86,14,FALSE)</f>
        <v>0</v>
      </c>
      <c r="V133">
        <v>2016</v>
      </c>
      <c r="W133" t="str">
        <f>VLOOKUP(D133,'Table corresp.'!$M$4:$S$63,7,FALSE)</f>
        <v>Construction</v>
      </c>
      <c r="X133" s="167">
        <f>IFERROR(G133/SUMIFS('Comp2016-2017 (3)'!$I$5:$I$289,'Comp2016-2017 (3)'!$A$5:$A$289,A133,'Comp2016-2017 (3)'!$R$5:$R$289,V133),0)</f>
        <v>1.5620968874546288E-4</v>
      </c>
      <c r="Y133" s="178">
        <f>IFERROR(IF(RIGHT(F133,3)="Exp",VLOOKUP(F133,#REF!,2,FALSE),VLOOKUP(F133,#REF!,9,FALSE)),1)</f>
        <v>1</v>
      </c>
      <c r="Z133" s="167">
        <f t="shared" ref="Z133:Z164" si="14">Y133/SUMIFS($Y$4:$Y$1116,$V$4:$V$1116,V133,$A$4:$A$1116,A133)</f>
        <v>4.5454545454545456E-2</v>
      </c>
      <c r="AA133" s="189">
        <f t="shared" ref="AA133:AA196" si="15">X133*Z133</f>
        <v>7.1004403975210402E-6</v>
      </c>
      <c r="AB133" s="2">
        <f>IFERROR(SUMIFS('Comp2016-2017 (3)'!$G$5:$G$289,'Comp2016-2017 (3)'!$A$5:$A$289,A133,'Comp2016-2017 (3)'!$R$5:$R$289,V133)*AA133/SUMIFS($AA$4:$AA$1116,$A$4:$A$1116,A133,$V$4:$V$1116,V133),0)</f>
        <v>23.223959929276429</v>
      </c>
      <c r="AC133" s="2" t="str">
        <f>IF($W133=AC$3,$AB133,IF(NOT($W133=0),"",SUMIFS('Val-Vol (2)'!AC$4:AC$1116,'Val-Vol (2)'!$A$4:$A$1116,$D133,'Val-Vol (2)'!$V$4:$V$1116,$V133)/SUMIFS('Comp2016-2017 (3)'!$G$5:$G$289,'Comp2016-2017 (3)'!$A$5:$A$289,$D133,'Comp2016-2017 (3)'!$R$5:$R$289,$V133)*$AB133))</f>
        <v/>
      </c>
      <c r="AD133" s="2">
        <f>IF($W133=AD$3,$AB133,IF(NOT($W133=0),"",SUMIFS('Val-Vol (2)'!AD$4:AD$1116,'Val-Vol (2)'!$A$4:$A$1116,$D133,'Val-Vol (2)'!$V$4:$V$1116,$V133)/SUMIFS('Comp2016-2017 (3)'!$G$5:$G$289,'Comp2016-2017 (3)'!$A$5:$A$289,$D133,'Comp2016-2017 (3)'!$R$5:$R$289,$V133)*$AB133))</f>
        <v>23.223959929276429</v>
      </c>
      <c r="AE133" s="2" t="str">
        <f>IF($W133=AE$3,$AB133,IF(NOT($W133=0),"",SUMIFS('Val-Vol (2)'!AE$4:AE$1116,'Val-Vol (2)'!$A$4:$A$1116,$D133,'Val-Vol (2)'!$V$4:$V$1116,$V133)/SUMIFS('Comp2016-2017 (3)'!$G$5:$G$289,'Comp2016-2017 (3)'!$A$5:$A$289,$D133,'Comp2016-2017 (3)'!$R$5:$R$289,$V133)*$AB133))</f>
        <v/>
      </c>
      <c r="AF133" s="2" t="str">
        <f>IF($W133=AF$3,$AB133,IF(NOT($W133=0),"",SUMIFS('Val-Vol (2)'!AF$4:AF$1116,'Val-Vol (2)'!$A$4:$A$1116,$D133,'Val-Vol (2)'!$V$4:$V$1116,$V133)/SUMIFS('Comp2016-2017 (3)'!$G$5:$G$289,'Comp2016-2017 (3)'!$A$5:$A$289,$D133,'Comp2016-2017 (3)'!$R$5:$R$289,$V133)*$AB133))</f>
        <v/>
      </c>
      <c r="AG133" s="2" t="str">
        <f>IF($W133=AG$3,$AB133,IF(NOT($W133=0),"",SUMIFS('Val-Vol (2)'!AG$4:AG$1116,'Val-Vol (2)'!$A$4:$A$1116,$D133,'Val-Vol (2)'!$V$4:$V$1116,$V133)/SUMIFS('Comp2016-2017 (3)'!$G$5:$G$289,'Comp2016-2017 (3)'!$A$5:$A$289,$D133,'Comp2016-2017 (3)'!$R$5:$R$289,$V133)*$AB133))</f>
        <v/>
      </c>
      <c r="AH133" s="2" t="str">
        <f>IF($W133=AH$3,$AB133,IF(NOT($W133=0),"",SUMIFS('Val-Vol (2)'!AH$4:AH$1116,'Val-Vol (2)'!$A$4:$A$1116,$D133,'Val-Vol (2)'!$V$4:$V$1116,$V133)/SUMIFS('Comp2016-2017 (3)'!$G$5:$G$289,'Comp2016-2017 (3)'!$A$5:$A$289,$D133,'Comp2016-2017 (3)'!$R$5:$R$289,$V133)*$AB133))</f>
        <v/>
      </c>
      <c r="AI133" s="2" t="str">
        <f>IF($W133=AI$3,$AB133,IF(NOT($W133=0),"",SUMIFS('Val-Vol (2)'!AI$4:AI$1116,'Val-Vol (2)'!$A$4:$A$1116,$D133,'Val-Vol (2)'!$V$4:$V$1116,$V133)/SUMIFS('Comp2016-2017 (3)'!$G$5:$G$289,'Comp2016-2017 (3)'!$A$5:$A$289,$D133,'Comp2016-2017 (3)'!$R$5:$R$289,$V133)*$AB133))</f>
        <v/>
      </c>
      <c r="AJ133" s="2" t="str">
        <f>IF($W133=AJ$3,$AB133,IF(NOT($W133=0),"",SUMIFS('Val-Vol (2)'!AJ$4:AJ$1116,'Val-Vol (2)'!$A$4:$A$1116,$D133,'Val-Vol (2)'!$V$4:$V$1116,$V133)/SUMIFS('Comp2016-2017 (3)'!$G$5:$G$289,'Comp2016-2017 (3)'!$A$5:$A$289,$D133,'Comp2016-2017 (3)'!$R$5:$R$289,$V133)*$AB133))</f>
        <v/>
      </c>
      <c r="AK133" s="2">
        <f t="shared" ref="AK133:AK196" si="16">SUM(AC133:AJ133)-AB133</f>
        <v>0</v>
      </c>
      <c r="AL133" t="str">
        <f t="shared" si="13"/>
        <v/>
      </c>
      <c r="AM133" t="str">
        <f>VLOOKUP(A133,'Table corresp.'!$M$4:$U$63,8,FALSE)</f>
        <v>Production intermédiaire</v>
      </c>
      <c r="AN133" t="str">
        <f>VLOOKUP(D133,'Table corresp.'!$M$4:$U$63,9,FALSE)</f>
        <v xml:space="preserve">Mise en œuvre </v>
      </c>
    </row>
    <row r="134" spans="1:40" x14ac:dyDescent="0.25">
      <c r="A134" t="s">
        <v>7</v>
      </c>
      <c r="B134" t="str">
        <f>VLOOKUP(LEFT(A134,3),'Table corresp.'!$A$4:$D$63,3,FALSE)</f>
        <v>Transformation</v>
      </c>
      <c r="C134" t="str">
        <f>VLOOKUP(A134,'Table corresp.'!$M$4:$P$63,4,FALSE)</f>
        <v>Production et transformation de produits bois</v>
      </c>
      <c r="D134" t="s">
        <v>21</v>
      </c>
      <c r="E134" t="str">
        <f>VLOOKUP(LEFT(D134,3),'Table corresp.'!$A$4:$D$63,4,FALSE)</f>
        <v>Transformation</v>
      </c>
      <c r="F134" t="str">
        <f t="shared" si="12"/>
        <v xml:space="preserve">12  - 54 </v>
      </c>
      <c r="G134" s="1">
        <v>113202.68398</v>
      </c>
      <c r="H134" s="1">
        <v>8297.3160200000002</v>
      </c>
      <c r="I134" s="1">
        <v>121500</v>
      </c>
      <c r="J134" s="1">
        <v>769.96824065657336</v>
      </c>
      <c r="K134" s="1">
        <v>61.689657148960087</v>
      </c>
      <c r="L134" s="1">
        <v>831.65789780553348</v>
      </c>
      <c r="M134" s="1">
        <v>0</v>
      </c>
      <c r="N134" s="1">
        <v>0</v>
      </c>
      <c r="O134" s="1">
        <v>0</v>
      </c>
      <c r="P134" s="1">
        <v>0</v>
      </c>
      <c r="Q134" s="1">
        <v>0</v>
      </c>
      <c r="R134" s="1">
        <v>0</v>
      </c>
      <c r="S134" s="67"/>
      <c r="T134">
        <f>VLOOKUP(A134,'Groupe de branches'!$Z$27:$AM$86,14,FALSE)</f>
        <v>0</v>
      </c>
      <c r="U134">
        <f>VLOOKUP(D134,'Groupe de branches'!$Z$27:$AM$86,14,FALSE)</f>
        <v>0</v>
      </c>
      <c r="V134">
        <v>2016</v>
      </c>
      <c r="W134" t="str">
        <f>VLOOKUP(D134,'Table corresp.'!$M$4:$S$63,7,FALSE)</f>
        <v>Construction</v>
      </c>
      <c r="X134" s="167">
        <f>IFERROR(G134/SUMIFS('Comp2016-2017 (3)'!$I$5:$I$289,'Comp2016-2017 (3)'!$A$5:$A$289,A134,'Comp2016-2017 (3)'!$R$5:$R$289,V134),0)</f>
        <v>0.17665120325954314</v>
      </c>
      <c r="Y134" s="178">
        <f>IFERROR(IF(RIGHT(F134,3)="Exp",VLOOKUP(F134,#REF!,2,FALSE),VLOOKUP(F134,#REF!,9,FALSE)),1)</f>
        <v>1</v>
      </c>
      <c r="Z134" s="167">
        <f t="shared" si="14"/>
        <v>4.5454545454545456E-2</v>
      </c>
      <c r="AA134" s="189">
        <f t="shared" si="15"/>
        <v>8.0296001481610525E-3</v>
      </c>
      <c r="AB134" s="2">
        <f>IFERROR(SUMIFS('Comp2016-2017 (3)'!$G$5:$G$289,'Comp2016-2017 (3)'!$A$5:$A$289,A134,'Comp2016-2017 (3)'!$R$5:$R$289,V134)*AA134/SUMIFS($AA$4:$AA$1116,$A$4:$A$1116,A134,$V$4:$V$1116,V134),0)</f>
        <v>26263.03463572617</v>
      </c>
      <c r="AC134" s="2" t="str">
        <f>IF($W134=AC$3,$AB134,IF(NOT($W134=0),"",SUMIFS('Val-Vol (2)'!AC$4:AC$1116,'Val-Vol (2)'!$A$4:$A$1116,$D134,'Val-Vol (2)'!$V$4:$V$1116,$V134)/SUMIFS('Comp2016-2017 (3)'!$G$5:$G$289,'Comp2016-2017 (3)'!$A$5:$A$289,$D134,'Comp2016-2017 (3)'!$R$5:$R$289,$V134)*$AB134))</f>
        <v/>
      </c>
      <c r="AD134" s="2">
        <f>IF($W134=AD$3,$AB134,IF(NOT($W134=0),"",SUMIFS('Val-Vol (2)'!AD$4:AD$1116,'Val-Vol (2)'!$A$4:$A$1116,$D134,'Val-Vol (2)'!$V$4:$V$1116,$V134)/SUMIFS('Comp2016-2017 (3)'!$G$5:$G$289,'Comp2016-2017 (3)'!$A$5:$A$289,$D134,'Comp2016-2017 (3)'!$R$5:$R$289,$V134)*$AB134))</f>
        <v>26263.03463572617</v>
      </c>
      <c r="AE134" s="2" t="str">
        <f>IF($W134=AE$3,$AB134,IF(NOT($W134=0),"",SUMIFS('Val-Vol (2)'!AE$4:AE$1116,'Val-Vol (2)'!$A$4:$A$1116,$D134,'Val-Vol (2)'!$V$4:$V$1116,$V134)/SUMIFS('Comp2016-2017 (3)'!$G$5:$G$289,'Comp2016-2017 (3)'!$A$5:$A$289,$D134,'Comp2016-2017 (3)'!$R$5:$R$289,$V134)*$AB134))</f>
        <v/>
      </c>
      <c r="AF134" s="2" t="str">
        <f>IF($W134=AF$3,$AB134,IF(NOT($W134=0),"",SUMIFS('Val-Vol (2)'!AF$4:AF$1116,'Val-Vol (2)'!$A$4:$A$1116,$D134,'Val-Vol (2)'!$V$4:$V$1116,$V134)/SUMIFS('Comp2016-2017 (3)'!$G$5:$G$289,'Comp2016-2017 (3)'!$A$5:$A$289,$D134,'Comp2016-2017 (3)'!$R$5:$R$289,$V134)*$AB134))</f>
        <v/>
      </c>
      <c r="AG134" s="2" t="str">
        <f>IF($W134=AG$3,$AB134,IF(NOT($W134=0),"",SUMIFS('Val-Vol (2)'!AG$4:AG$1116,'Val-Vol (2)'!$A$4:$A$1116,$D134,'Val-Vol (2)'!$V$4:$V$1116,$V134)/SUMIFS('Comp2016-2017 (3)'!$G$5:$G$289,'Comp2016-2017 (3)'!$A$5:$A$289,$D134,'Comp2016-2017 (3)'!$R$5:$R$289,$V134)*$AB134))</f>
        <v/>
      </c>
      <c r="AH134" s="2" t="str">
        <f>IF($W134=AH$3,$AB134,IF(NOT($W134=0),"",SUMIFS('Val-Vol (2)'!AH$4:AH$1116,'Val-Vol (2)'!$A$4:$A$1116,$D134,'Val-Vol (2)'!$V$4:$V$1116,$V134)/SUMIFS('Comp2016-2017 (3)'!$G$5:$G$289,'Comp2016-2017 (3)'!$A$5:$A$289,$D134,'Comp2016-2017 (3)'!$R$5:$R$289,$V134)*$AB134))</f>
        <v/>
      </c>
      <c r="AI134" s="2" t="str">
        <f>IF($W134=AI$3,$AB134,IF(NOT($W134=0),"",SUMIFS('Val-Vol (2)'!AI$4:AI$1116,'Val-Vol (2)'!$A$4:$A$1116,$D134,'Val-Vol (2)'!$V$4:$V$1116,$V134)/SUMIFS('Comp2016-2017 (3)'!$G$5:$G$289,'Comp2016-2017 (3)'!$A$5:$A$289,$D134,'Comp2016-2017 (3)'!$R$5:$R$289,$V134)*$AB134))</f>
        <v/>
      </c>
      <c r="AJ134" s="2" t="str">
        <f>IF($W134=AJ$3,$AB134,IF(NOT($W134=0),"",SUMIFS('Val-Vol (2)'!AJ$4:AJ$1116,'Val-Vol (2)'!$A$4:$A$1116,$D134,'Val-Vol (2)'!$V$4:$V$1116,$V134)/SUMIFS('Comp2016-2017 (3)'!$G$5:$G$289,'Comp2016-2017 (3)'!$A$5:$A$289,$D134,'Comp2016-2017 (3)'!$R$5:$R$289,$V134)*$AB134))</f>
        <v/>
      </c>
      <c r="AK134" s="2">
        <f t="shared" si="16"/>
        <v>0</v>
      </c>
      <c r="AL134" t="str">
        <f t="shared" si="13"/>
        <v/>
      </c>
      <c r="AM134" t="str">
        <f>VLOOKUP(A134,'Table corresp.'!$M$4:$U$63,8,FALSE)</f>
        <v>Production intermédiaire</v>
      </c>
      <c r="AN134" t="str">
        <f>VLOOKUP(D134,'Table corresp.'!$M$4:$U$63,9,FALSE)</f>
        <v xml:space="preserve">Mise en œuvre </v>
      </c>
    </row>
    <row r="135" spans="1:40" x14ac:dyDescent="0.25">
      <c r="A135" t="s">
        <v>7</v>
      </c>
      <c r="B135" t="str">
        <f>VLOOKUP(LEFT(A135,3),'Table corresp.'!$A$4:$D$63,3,FALSE)</f>
        <v>Transformation</v>
      </c>
      <c r="C135" t="str">
        <f>VLOOKUP(A135,'Table corresp.'!$M$4:$P$63,4,FALSE)</f>
        <v>Production et transformation de produits bois</v>
      </c>
      <c r="D135" t="s">
        <v>22</v>
      </c>
      <c r="E135" t="str">
        <f>VLOOKUP(LEFT(D135,3),'Table corresp.'!$A$4:$D$63,4,FALSE)</f>
        <v>Transformation</v>
      </c>
      <c r="F135" t="str">
        <f t="shared" si="12"/>
        <v xml:space="preserve">12  - 55 </v>
      </c>
      <c r="G135" s="1">
        <v>4935.3713887716494</v>
      </c>
      <c r="H135" s="1">
        <v>5997.9354000000003</v>
      </c>
      <c r="I135" s="1">
        <v>10933.30678877165</v>
      </c>
      <c r="J135" s="1">
        <v>33.568808544068375</v>
      </c>
      <c r="K135" s="1">
        <v>44.59400817514129</v>
      </c>
      <c r="L135" s="1">
        <v>78.162816719209673</v>
      </c>
      <c r="M135" s="1">
        <v>0</v>
      </c>
      <c r="N135" s="1">
        <v>0</v>
      </c>
      <c r="O135" s="1">
        <v>0</v>
      </c>
      <c r="P135" s="1">
        <v>0</v>
      </c>
      <c r="Q135" s="1">
        <v>0</v>
      </c>
      <c r="R135" s="1">
        <v>0</v>
      </c>
      <c r="S135" s="67"/>
      <c r="T135">
        <f>VLOOKUP(A135,'Groupe de branches'!$Z$27:$AM$86,14,FALSE)</f>
        <v>0</v>
      </c>
      <c r="U135">
        <f>VLOOKUP(D135,'Groupe de branches'!$Z$27:$AM$86,14,FALSE)</f>
        <v>0</v>
      </c>
      <c r="V135">
        <v>2016</v>
      </c>
      <c r="W135" t="str">
        <f>VLOOKUP(D135,'Table corresp.'!$M$4:$S$63,7,FALSE)</f>
        <v>Construction</v>
      </c>
      <c r="X135" s="167">
        <f>IFERROR(G135/SUMIFS('Comp2016-2017 (3)'!$I$5:$I$289,'Comp2016-2017 (3)'!$A$5:$A$289,A135,'Comp2016-2017 (3)'!$R$5:$R$289,V135),0)</f>
        <v>7.7015779459192503E-3</v>
      </c>
      <c r="Y135" s="178">
        <f>IFERROR(IF(RIGHT(F135,3)="Exp",VLOOKUP(F135,#REF!,2,FALSE),VLOOKUP(F135,#REF!,9,FALSE)),1)</f>
        <v>1</v>
      </c>
      <c r="Z135" s="167">
        <f t="shared" si="14"/>
        <v>4.5454545454545456E-2</v>
      </c>
      <c r="AA135" s="189">
        <f t="shared" si="15"/>
        <v>3.5007172481451139E-4</v>
      </c>
      <c r="AB135" s="2">
        <f>IFERROR(SUMIFS('Comp2016-2017 (3)'!$G$5:$G$289,'Comp2016-2017 (3)'!$A$5:$A$289,A135,'Comp2016-2017 (3)'!$R$5:$R$289,V135)*AA135/SUMIFS($AA$4:$AA$1116,$A$4:$A$1116,A135,$V$4:$V$1116,V135),0)</f>
        <v>1145.0066832901412</v>
      </c>
      <c r="AC135" s="2" t="str">
        <f>IF($W135=AC$3,$AB135,IF(NOT($W135=0),"",SUMIFS('Val-Vol (2)'!AC$4:AC$1116,'Val-Vol (2)'!$A$4:$A$1116,$D135,'Val-Vol (2)'!$V$4:$V$1116,$V135)/SUMIFS('Comp2016-2017 (3)'!$G$5:$G$289,'Comp2016-2017 (3)'!$A$5:$A$289,$D135,'Comp2016-2017 (3)'!$R$5:$R$289,$V135)*$AB135))</f>
        <v/>
      </c>
      <c r="AD135" s="2">
        <f>IF($W135=AD$3,$AB135,IF(NOT($W135=0),"",SUMIFS('Val-Vol (2)'!AD$4:AD$1116,'Val-Vol (2)'!$A$4:$A$1116,$D135,'Val-Vol (2)'!$V$4:$V$1116,$V135)/SUMIFS('Comp2016-2017 (3)'!$G$5:$G$289,'Comp2016-2017 (3)'!$A$5:$A$289,$D135,'Comp2016-2017 (3)'!$R$5:$R$289,$V135)*$AB135))</f>
        <v>1145.0066832901412</v>
      </c>
      <c r="AE135" s="2" t="str">
        <f>IF($W135=AE$3,$AB135,IF(NOT($W135=0),"",SUMIFS('Val-Vol (2)'!AE$4:AE$1116,'Val-Vol (2)'!$A$4:$A$1116,$D135,'Val-Vol (2)'!$V$4:$V$1116,$V135)/SUMIFS('Comp2016-2017 (3)'!$G$5:$G$289,'Comp2016-2017 (3)'!$A$5:$A$289,$D135,'Comp2016-2017 (3)'!$R$5:$R$289,$V135)*$AB135))</f>
        <v/>
      </c>
      <c r="AF135" s="2" t="str">
        <f>IF($W135=AF$3,$AB135,IF(NOT($W135=0),"",SUMIFS('Val-Vol (2)'!AF$4:AF$1116,'Val-Vol (2)'!$A$4:$A$1116,$D135,'Val-Vol (2)'!$V$4:$V$1116,$V135)/SUMIFS('Comp2016-2017 (3)'!$G$5:$G$289,'Comp2016-2017 (3)'!$A$5:$A$289,$D135,'Comp2016-2017 (3)'!$R$5:$R$289,$V135)*$AB135))</f>
        <v/>
      </c>
      <c r="AG135" s="2" t="str">
        <f>IF($W135=AG$3,$AB135,IF(NOT($W135=0),"",SUMIFS('Val-Vol (2)'!AG$4:AG$1116,'Val-Vol (2)'!$A$4:$A$1116,$D135,'Val-Vol (2)'!$V$4:$V$1116,$V135)/SUMIFS('Comp2016-2017 (3)'!$G$5:$G$289,'Comp2016-2017 (3)'!$A$5:$A$289,$D135,'Comp2016-2017 (3)'!$R$5:$R$289,$V135)*$AB135))</f>
        <v/>
      </c>
      <c r="AH135" s="2" t="str">
        <f>IF($W135=AH$3,$AB135,IF(NOT($W135=0),"",SUMIFS('Val-Vol (2)'!AH$4:AH$1116,'Val-Vol (2)'!$A$4:$A$1116,$D135,'Val-Vol (2)'!$V$4:$V$1116,$V135)/SUMIFS('Comp2016-2017 (3)'!$G$5:$G$289,'Comp2016-2017 (3)'!$A$5:$A$289,$D135,'Comp2016-2017 (3)'!$R$5:$R$289,$V135)*$AB135))</f>
        <v/>
      </c>
      <c r="AI135" s="2" t="str">
        <f>IF($W135=AI$3,$AB135,IF(NOT($W135=0),"",SUMIFS('Val-Vol (2)'!AI$4:AI$1116,'Val-Vol (2)'!$A$4:$A$1116,$D135,'Val-Vol (2)'!$V$4:$V$1116,$V135)/SUMIFS('Comp2016-2017 (3)'!$G$5:$G$289,'Comp2016-2017 (3)'!$A$5:$A$289,$D135,'Comp2016-2017 (3)'!$R$5:$R$289,$V135)*$AB135))</f>
        <v/>
      </c>
      <c r="AJ135" s="2" t="str">
        <f>IF($W135=AJ$3,$AB135,IF(NOT($W135=0),"",SUMIFS('Val-Vol (2)'!AJ$4:AJ$1116,'Val-Vol (2)'!$A$4:$A$1116,$D135,'Val-Vol (2)'!$V$4:$V$1116,$V135)/SUMIFS('Comp2016-2017 (3)'!$G$5:$G$289,'Comp2016-2017 (3)'!$A$5:$A$289,$D135,'Comp2016-2017 (3)'!$R$5:$R$289,$V135)*$AB135))</f>
        <v/>
      </c>
      <c r="AK135" s="2">
        <f t="shared" si="16"/>
        <v>0</v>
      </c>
      <c r="AL135" t="str">
        <f t="shared" si="13"/>
        <v/>
      </c>
      <c r="AM135" t="str">
        <f>VLOOKUP(A135,'Table corresp.'!$M$4:$U$63,8,FALSE)</f>
        <v>Production intermédiaire</v>
      </c>
      <c r="AN135" t="str">
        <f>VLOOKUP(D135,'Table corresp.'!$M$4:$U$63,9,FALSE)</f>
        <v xml:space="preserve">Mise en œuvre </v>
      </c>
    </row>
    <row r="136" spans="1:40" x14ac:dyDescent="0.25">
      <c r="A136" t="s">
        <v>7</v>
      </c>
      <c r="B136" t="str">
        <f>VLOOKUP(LEFT(A136,3),'Table corresp.'!$A$4:$D$63,3,FALSE)</f>
        <v>Transformation</v>
      </c>
      <c r="C136" t="str">
        <f>VLOOKUP(A136,'Table corresp.'!$M$4:$P$63,4,FALSE)</f>
        <v>Production et transformation de produits bois</v>
      </c>
      <c r="D136" t="s">
        <v>23</v>
      </c>
      <c r="E136" t="str">
        <f>VLOOKUP(LEFT(D136,3),'Table corresp.'!$A$4:$D$63,4,FALSE)</f>
        <v>Transformation</v>
      </c>
      <c r="F136" t="str">
        <f t="shared" si="12"/>
        <v xml:space="preserve">12  - 56 </v>
      </c>
      <c r="G136" s="1">
        <v>8900.7226100000007</v>
      </c>
      <c r="H136" s="1">
        <v>2099.2773900000002</v>
      </c>
      <c r="I136" s="1">
        <v>11000</v>
      </c>
      <c r="J136" s="1">
        <v>81.728800133716959</v>
      </c>
      <c r="K136" s="1">
        <v>20.53671429118349</v>
      </c>
      <c r="L136" s="1">
        <v>102.26551442490045</v>
      </c>
      <c r="M136" s="1">
        <v>0</v>
      </c>
      <c r="N136" s="1">
        <v>0</v>
      </c>
      <c r="O136" s="1">
        <v>0</v>
      </c>
      <c r="P136" s="1">
        <v>0</v>
      </c>
      <c r="Q136" s="1">
        <v>0</v>
      </c>
      <c r="R136" s="1">
        <v>0</v>
      </c>
      <c r="S136" s="67"/>
      <c r="T136">
        <f>VLOOKUP(A136,'Groupe de branches'!$Z$27:$AM$86,14,FALSE)</f>
        <v>0</v>
      </c>
      <c r="U136">
        <f>VLOOKUP(D136,'Groupe de branches'!$Z$27:$AM$86,14,FALSE)</f>
        <v>0</v>
      </c>
      <c r="V136">
        <v>2016</v>
      </c>
      <c r="W136" t="str">
        <f>VLOOKUP(D136,'Table corresp.'!$M$4:$S$63,7,FALSE)</f>
        <v>Construction</v>
      </c>
      <c r="X136" s="167">
        <f>IFERROR(G136/SUMIFS('Comp2016-2017 (3)'!$I$5:$I$289,'Comp2016-2017 (3)'!$A$5:$A$289,A136,'Comp2016-2017 (3)'!$R$5:$R$289,V136),0)</f>
        <v>1.3889453002843206E-2</v>
      </c>
      <c r="Y136" s="178">
        <f>IFERROR(IF(RIGHT(F136,3)="Exp",VLOOKUP(F136,#REF!,2,FALSE),VLOOKUP(F136,#REF!,9,FALSE)),1)</f>
        <v>1</v>
      </c>
      <c r="Z136" s="167">
        <f t="shared" si="14"/>
        <v>4.5454545454545456E-2</v>
      </c>
      <c r="AA136" s="189">
        <f t="shared" si="15"/>
        <v>6.3133877285650943E-4</v>
      </c>
      <c r="AB136" s="2">
        <f>IFERROR(SUMIFS('Comp2016-2017 (3)'!$G$5:$G$289,'Comp2016-2017 (3)'!$A$5:$A$289,A136,'Comp2016-2017 (3)'!$R$5:$R$289,V136)*AA136/SUMIFS($AA$4:$AA$1116,$A$4:$A$1116,A136,$V$4:$V$1116,V136),0)</f>
        <v>2064.9685852918506</v>
      </c>
      <c r="AC136" s="2" t="str">
        <f>IF($W136=AC$3,$AB136,IF(NOT($W136=0),"",SUMIFS('Val-Vol (2)'!AC$4:AC$1116,'Val-Vol (2)'!$A$4:$A$1116,$D136,'Val-Vol (2)'!$V$4:$V$1116,$V136)/SUMIFS('Comp2016-2017 (3)'!$G$5:$G$289,'Comp2016-2017 (3)'!$A$5:$A$289,$D136,'Comp2016-2017 (3)'!$R$5:$R$289,$V136)*$AB136))</f>
        <v/>
      </c>
      <c r="AD136" s="2">
        <f>IF($W136=AD$3,$AB136,IF(NOT($W136=0),"",SUMIFS('Val-Vol (2)'!AD$4:AD$1116,'Val-Vol (2)'!$A$4:$A$1116,$D136,'Val-Vol (2)'!$V$4:$V$1116,$V136)/SUMIFS('Comp2016-2017 (3)'!$G$5:$G$289,'Comp2016-2017 (3)'!$A$5:$A$289,$D136,'Comp2016-2017 (3)'!$R$5:$R$289,$V136)*$AB136))</f>
        <v>2064.9685852918506</v>
      </c>
      <c r="AE136" s="2" t="str">
        <f>IF($W136=AE$3,$AB136,IF(NOT($W136=0),"",SUMIFS('Val-Vol (2)'!AE$4:AE$1116,'Val-Vol (2)'!$A$4:$A$1116,$D136,'Val-Vol (2)'!$V$4:$V$1116,$V136)/SUMIFS('Comp2016-2017 (3)'!$G$5:$G$289,'Comp2016-2017 (3)'!$A$5:$A$289,$D136,'Comp2016-2017 (3)'!$R$5:$R$289,$V136)*$AB136))</f>
        <v/>
      </c>
      <c r="AF136" s="2" t="str">
        <f>IF($W136=AF$3,$AB136,IF(NOT($W136=0),"",SUMIFS('Val-Vol (2)'!AF$4:AF$1116,'Val-Vol (2)'!$A$4:$A$1116,$D136,'Val-Vol (2)'!$V$4:$V$1116,$V136)/SUMIFS('Comp2016-2017 (3)'!$G$5:$G$289,'Comp2016-2017 (3)'!$A$5:$A$289,$D136,'Comp2016-2017 (3)'!$R$5:$R$289,$V136)*$AB136))</f>
        <v/>
      </c>
      <c r="AG136" s="2" t="str">
        <f>IF($W136=AG$3,$AB136,IF(NOT($W136=0),"",SUMIFS('Val-Vol (2)'!AG$4:AG$1116,'Val-Vol (2)'!$A$4:$A$1116,$D136,'Val-Vol (2)'!$V$4:$V$1116,$V136)/SUMIFS('Comp2016-2017 (3)'!$G$5:$G$289,'Comp2016-2017 (3)'!$A$5:$A$289,$D136,'Comp2016-2017 (3)'!$R$5:$R$289,$V136)*$AB136))</f>
        <v/>
      </c>
      <c r="AH136" s="2" t="str">
        <f>IF($W136=AH$3,$AB136,IF(NOT($W136=0),"",SUMIFS('Val-Vol (2)'!AH$4:AH$1116,'Val-Vol (2)'!$A$4:$A$1116,$D136,'Val-Vol (2)'!$V$4:$V$1116,$V136)/SUMIFS('Comp2016-2017 (3)'!$G$5:$G$289,'Comp2016-2017 (3)'!$A$5:$A$289,$D136,'Comp2016-2017 (3)'!$R$5:$R$289,$V136)*$AB136))</f>
        <v/>
      </c>
      <c r="AI136" s="2" t="str">
        <f>IF($W136=AI$3,$AB136,IF(NOT($W136=0),"",SUMIFS('Val-Vol (2)'!AI$4:AI$1116,'Val-Vol (2)'!$A$4:$A$1116,$D136,'Val-Vol (2)'!$V$4:$V$1116,$V136)/SUMIFS('Comp2016-2017 (3)'!$G$5:$G$289,'Comp2016-2017 (3)'!$A$5:$A$289,$D136,'Comp2016-2017 (3)'!$R$5:$R$289,$V136)*$AB136))</f>
        <v/>
      </c>
      <c r="AJ136" s="2" t="str">
        <f>IF($W136=AJ$3,$AB136,IF(NOT($W136=0),"",SUMIFS('Val-Vol (2)'!AJ$4:AJ$1116,'Val-Vol (2)'!$A$4:$A$1116,$D136,'Val-Vol (2)'!$V$4:$V$1116,$V136)/SUMIFS('Comp2016-2017 (3)'!$G$5:$G$289,'Comp2016-2017 (3)'!$A$5:$A$289,$D136,'Comp2016-2017 (3)'!$R$5:$R$289,$V136)*$AB136))</f>
        <v/>
      </c>
      <c r="AK136" s="2">
        <f t="shared" si="16"/>
        <v>0</v>
      </c>
      <c r="AL136" t="str">
        <f t="shared" si="13"/>
        <v/>
      </c>
      <c r="AM136" t="str">
        <f>VLOOKUP(A136,'Table corresp.'!$M$4:$U$63,8,FALSE)</f>
        <v>Production intermédiaire</v>
      </c>
      <c r="AN136" t="str">
        <f>VLOOKUP(D136,'Table corresp.'!$M$4:$U$63,9,FALSE)</f>
        <v xml:space="preserve">Mise en œuvre </v>
      </c>
    </row>
    <row r="137" spans="1:40" x14ac:dyDescent="0.25">
      <c r="A137" t="s">
        <v>7</v>
      </c>
      <c r="B137" t="str">
        <f>VLOOKUP(LEFT(A137,3),'Table corresp.'!$A$4:$D$63,3,FALSE)</f>
        <v>Transformation</v>
      </c>
      <c r="C137" t="str">
        <f>VLOOKUP(A137,'Table corresp.'!$M$4:$P$63,4,FALSE)</f>
        <v>Production et transformation de produits bois</v>
      </c>
      <c r="D137" t="s">
        <v>24</v>
      </c>
      <c r="E137" t="str">
        <f>VLOOKUP(LEFT(D137,3),'Table corresp.'!$A$4:$D$63,4,FALSE)</f>
        <v>Transformation</v>
      </c>
      <c r="F137" t="str">
        <f t="shared" si="12"/>
        <v xml:space="preserve">12  - 57 </v>
      </c>
      <c r="G137" s="1">
        <v>133903.29474126504</v>
      </c>
      <c r="H137" s="1">
        <v>35288.541469999996</v>
      </c>
      <c r="I137" s="1">
        <v>169191.83621126504</v>
      </c>
      <c r="J137" s="1">
        <v>1446.5125100344876</v>
      </c>
      <c r="K137" s="1">
        <v>409.94770540178087</v>
      </c>
      <c r="L137" s="1">
        <v>1856.4602154362685</v>
      </c>
      <c r="M137" s="1">
        <v>0</v>
      </c>
      <c r="N137" s="1">
        <v>0</v>
      </c>
      <c r="O137" s="1">
        <v>0</v>
      </c>
      <c r="P137" s="1">
        <v>0</v>
      </c>
      <c r="Q137" s="1">
        <v>0</v>
      </c>
      <c r="R137" s="1">
        <v>0</v>
      </c>
      <c r="S137" s="67"/>
      <c r="T137">
        <f>VLOOKUP(A137,'Groupe de branches'!$Z$27:$AM$86,14,FALSE)</f>
        <v>0</v>
      </c>
      <c r="U137">
        <f>VLOOKUP(D137,'Groupe de branches'!$Z$27:$AM$86,14,FALSE)</f>
        <v>0</v>
      </c>
      <c r="V137">
        <v>2016</v>
      </c>
      <c r="W137" t="str">
        <f>VLOOKUP(D137,'Table corresp.'!$M$4:$S$63,7,FALSE)</f>
        <v>Construction</v>
      </c>
      <c r="X137" s="167">
        <f>IFERROR(G137/SUMIFS('Comp2016-2017 (3)'!$I$5:$I$289,'Comp2016-2017 (3)'!$A$5:$A$289,A137,'Comp2016-2017 (3)'!$R$5:$R$289,V137),0)</f>
        <v>0.20895421649755946</v>
      </c>
      <c r="Y137" s="178">
        <f>IFERROR(IF(RIGHT(F137,3)="Exp",VLOOKUP(F137,#REF!,2,FALSE),VLOOKUP(F137,#REF!,9,FALSE)),1)</f>
        <v>1</v>
      </c>
      <c r="Z137" s="167">
        <f t="shared" si="14"/>
        <v>4.5454545454545456E-2</v>
      </c>
      <c r="AA137" s="189">
        <f t="shared" si="15"/>
        <v>9.4979189317072488E-3</v>
      </c>
      <c r="AB137" s="2">
        <f>IFERROR(SUMIFS('Comp2016-2017 (3)'!$G$5:$G$289,'Comp2016-2017 (3)'!$A$5:$A$289,A137,'Comp2016-2017 (3)'!$R$5:$R$289,V137)*AA137/SUMIFS($AA$4:$AA$1116,$A$4:$A$1116,A137,$V$4:$V$1116,V137),0)</f>
        <v>31065.578517988186</v>
      </c>
      <c r="AC137" s="2" t="str">
        <f>IF($W137=AC$3,$AB137,IF(NOT($W137=0),"",SUMIFS('Val-Vol (2)'!AC$4:AC$1116,'Val-Vol (2)'!$A$4:$A$1116,$D137,'Val-Vol (2)'!$V$4:$V$1116,$V137)/SUMIFS('Comp2016-2017 (3)'!$G$5:$G$289,'Comp2016-2017 (3)'!$A$5:$A$289,$D137,'Comp2016-2017 (3)'!$R$5:$R$289,$V137)*$AB137))</f>
        <v/>
      </c>
      <c r="AD137" s="2">
        <f>IF($W137=AD$3,$AB137,IF(NOT($W137=0),"",SUMIFS('Val-Vol (2)'!AD$4:AD$1116,'Val-Vol (2)'!$A$4:$A$1116,$D137,'Val-Vol (2)'!$V$4:$V$1116,$V137)/SUMIFS('Comp2016-2017 (3)'!$G$5:$G$289,'Comp2016-2017 (3)'!$A$5:$A$289,$D137,'Comp2016-2017 (3)'!$R$5:$R$289,$V137)*$AB137))</f>
        <v>31065.578517988186</v>
      </c>
      <c r="AE137" s="2" t="str">
        <f>IF($W137=AE$3,$AB137,IF(NOT($W137=0),"",SUMIFS('Val-Vol (2)'!AE$4:AE$1116,'Val-Vol (2)'!$A$4:$A$1116,$D137,'Val-Vol (2)'!$V$4:$V$1116,$V137)/SUMIFS('Comp2016-2017 (3)'!$G$5:$G$289,'Comp2016-2017 (3)'!$A$5:$A$289,$D137,'Comp2016-2017 (3)'!$R$5:$R$289,$V137)*$AB137))</f>
        <v/>
      </c>
      <c r="AF137" s="2" t="str">
        <f>IF($W137=AF$3,$AB137,IF(NOT($W137=0),"",SUMIFS('Val-Vol (2)'!AF$4:AF$1116,'Val-Vol (2)'!$A$4:$A$1116,$D137,'Val-Vol (2)'!$V$4:$V$1116,$V137)/SUMIFS('Comp2016-2017 (3)'!$G$5:$G$289,'Comp2016-2017 (3)'!$A$5:$A$289,$D137,'Comp2016-2017 (3)'!$R$5:$R$289,$V137)*$AB137))</f>
        <v/>
      </c>
      <c r="AG137" s="2" t="str">
        <f>IF($W137=AG$3,$AB137,IF(NOT($W137=0),"",SUMIFS('Val-Vol (2)'!AG$4:AG$1116,'Val-Vol (2)'!$A$4:$A$1116,$D137,'Val-Vol (2)'!$V$4:$V$1116,$V137)/SUMIFS('Comp2016-2017 (3)'!$G$5:$G$289,'Comp2016-2017 (3)'!$A$5:$A$289,$D137,'Comp2016-2017 (3)'!$R$5:$R$289,$V137)*$AB137))</f>
        <v/>
      </c>
      <c r="AH137" s="2" t="str">
        <f>IF($W137=AH$3,$AB137,IF(NOT($W137=0),"",SUMIFS('Val-Vol (2)'!AH$4:AH$1116,'Val-Vol (2)'!$A$4:$A$1116,$D137,'Val-Vol (2)'!$V$4:$V$1116,$V137)/SUMIFS('Comp2016-2017 (3)'!$G$5:$G$289,'Comp2016-2017 (3)'!$A$5:$A$289,$D137,'Comp2016-2017 (3)'!$R$5:$R$289,$V137)*$AB137))</f>
        <v/>
      </c>
      <c r="AI137" s="2" t="str">
        <f>IF($W137=AI$3,$AB137,IF(NOT($W137=0),"",SUMIFS('Val-Vol (2)'!AI$4:AI$1116,'Val-Vol (2)'!$A$4:$A$1116,$D137,'Val-Vol (2)'!$V$4:$V$1116,$V137)/SUMIFS('Comp2016-2017 (3)'!$G$5:$G$289,'Comp2016-2017 (3)'!$A$5:$A$289,$D137,'Comp2016-2017 (3)'!$R$5:$R$289,$V137)*$AB137))</f>
        <v/>
      </c>
      <c r="AJ137" s="2" t="str">
        <f>IF($W137=AJ$3,$AB137,IF(NOT($W137=0),"",SUMIFS('Val-Vol (2)'!AJ$4:AJ$1116,'Val-Vol (2)'!$A$4:$A$1116,$D137,'Val-Vol (2)'!$V$4:$V$1116,$V137)/SUMIFS('Comp2016-2017 (3)'!$G$5:$G$289,'Comp2016-2017 (3)'!$A$5:$A$289,$D137,'Comp2016-2017 (3)'!$R$5:$R$289,$V137)*$AB137))</f>
        <v/>
      </c>
      <c r="AK137" s="2">
        <f t="shared" si="16"/>
        <v>0</v>
      </c>
      <c r="AL137" t="str">
        <f t="shared" si="13"/>
        <v/>
      </c>
      <c r="AM137" t="str">
        <f>VLOOKUP(A137,'Table corresp.'!$M$4:$U$63,8,FALSE)</f>
        <v>Production intermédiaire</v>
      </c>
      <c r="AN137" t="str">
        <f>VLOOKUP(D137,'Table corresp.'!$M$4:$U$63,9,FALSE)</f>
        <v xml:space="preserve">Mise en œuvre </v>
      </c>
    </row>
    <row r="138" spans="1:40" x14ac:dyDescent="0.25">
      <c r="A138" t="s">
        <v>7</v>
      </c>
      <c r="B138" t="str">
        <f>VLOOKUP(LEFT(A138,3),'Table corresp.'!$A$4:$D$63,3,FALSE)</f>
        <v>Transformation</v>
      </c>
      <c r="C138" t="str">
        <f>VLOOKUP(A138,'Table corresp.'!$M$4:$P$63,4,FALSE)</f>
        <v>Production et transformation de produits bois</v>
      </c>
      <c r="D138" t="s">
        <v>25</v>
      </c>
      <c r="E138" t="str">
        <f>VLOOKUP(LEFT(D138,3),'Table corresp.'!$A$4:$D$63,4,FALSE)</f>
        <v>Transformation</v>
      </c>
      <c r="F138" t="str">
        <f t="shared" si="12"/>
        <v xml:space="preserve">12  - 58 </v>
      </c>
      <c r="G138" s="1">
        <v>84838.097767142797</v>
      </c>
      <c r="H138" s="1">
        <v>5098.2450900000003</v>
      </c>
      <c r="I138" s="1">
        <v>89936.342857142794</v>
      </c>
      <c r="J138" s="1">
        <v>649.17163095888168</v>
      </c>
      <c r="K138" s="1">
        <v>41.200985813989234</v>
      </c>
      <c r="L138" s="1">
        <v>690.37261677287097</v>
      </c>
      <c r="M138" s="1">
        <v>0</v>
      </c>
      <c r="N138" s="1">
        <v>0</v>
      </c>
      <c r="O138" s="1">
        <v>0</v>
      </c>
      <c r="P138" s="1">
        <v>0</v>
      </c>
      <c r="Q138" s="1">
        <v>0</v>
      </c>
      <c r="R138" s="1">
        <v>0</v>
      </c>
      <c r="S138" s="67"/>
      <c r="T138">
        <f>VLOOKUP(A138,'Groupe de branches'!$Z$27:$AM$86,14,FALSE)</f>
        <v>0</v>
      </c>
      <c r="U138">
        <f>VLOOKUP(D138,'Groupe de branches'!$Z$27:$AM$86,14,FALSE)</f>
        <v>0</v>
      </c>
      <c r="V138">
        <v>2016</v>
      </c>
      <c r="W138" t="str">
        <f>VLOOKUP(D138,'Table corresp.'!$M$4:$S$63,7,FALSE)</f>
        <v>Construction</v>
      </c>
      <c r="X138" s="167">
        <f>IFERROR(G138/SUMIFS('Comp2016-2017 (3)'!$I$5:$I$289,'Comp2016-2017 (3)'!$A$5:$A$289,A138,'Comp2016-2017 (3)'!$R$5:$R$289,V138),0)</f>
        <v>0.13238866364214746</v>
      </c>
      <c r="Y138" s="178">
        <f>IFERROR(IF(RIGHT(F138,3)="Exp",VLOOKUP(F138,#REF!,2,FALSE),VLOOKUP(F138,#REF!,9,FALSE)),1)</f>
        <v>1</v>
      </c>
      <c r="Z138" s="167">
        <f t="shared" si="14"/>
        <v>4.5454545454545456E-2</v>
      </c>
      <c r="AA138" s="189">
        <f t="shared" si="15"/>
        <v>6.0176665291885216E-3</v>
      </c>
      <c r="AB138" s="2">
        <f>IFERROR(SUMIFS('Comp2016-2017 (3)'!$G$5:$G$289,'Comp2016-2017 (3)'!$A$5:$A$289,A138,'Comp2016-2017 (3)'!$R$5:$R$289,V138)*AA138/SUMIFS($AA$4:$AA$1116,$A$4:$A$1116,A138,$V$4:$V$1116,V138),0)</f>
        <v>19682.447639503345</v>
      </c>
      <c r="AC138" s="2" t="str">
        <f>IF($W138=AC$3,$AB138,IF(NOT($W138=0),"",SUMIFS('Val-Vol (2)'!AC$4:AC$1116,'Val-Vol (2)'!$A$4:$A$1116,$D138,'Val-Vol (2)'!$V$4:$V$1116,$V138)/SUMIFS('Comp2016-2017 (3)'!$G$5:$G$289,'Comp2016-2017 (3)'!$A$5:$A$289,$D138,'Comp2016-2017 (3)'!$R$5:$R$289,$V138)*$AB138))</f>
        <v/>
      </c>
      <c r="AD138" s="2">
        <f>IF($W138=AD$3,$AB138,IF(NOT($W138=0),"",SUMIFS('Val-Vol (2)'!AD$4:AD$1116,'Val-Vol (2)'!$A$4:$A$1116,$D138,'Val-Vol (2)'!$V$4:$V$1116,$V138)/SUMIFS('Comp2016-2017 (3)'!$G$5:$G$289,'Comp2016-2017 (3)'!$A$5:$A$289,$D138,'Comp2016-2017 (3)'!$R$5:$R$289,$V138)*$AB138))</f>
        <v>19682.447639503345</v>
      </c>
      <c r="AE138" s="2" t="str">
        <f>IF($W138=AE$3,$AB138,IF(NOT($W138=0),"",SUMIFS('Val-Vol (2)'!AE$4:AE$1116,'Val-Vol (2)'!$A$4:$A$1116,$D138,'Val-Vol (2)'!$V$4:$V$1116,$V138)/SUMIFS('Comp2016-2017 (3)'!$G$5:$G$289,'Comp2016-2017 (3)'!$A$5:$A$289,$D138,'Comp2016-2017 (3)'!$R$5:$R$289,$V138)*$AB138))</f>
        <v/>
      </c>
      <c r="AF138" s="2" t="str">
        <f>IF($W138=AF$3,$AB138,IF(NOT($W138=0),"",SUMIFS('Val-Vol (2)'!AF$4:AF$1116,'Val-Vol (2)'!$A$4:$A$1116,$D138,'Val-Vol (2)'!$V$4:$V$1116,$V138)/SUMIFS('Comp2016-2017 (3)'!$G$5:$G$289,'Comp2016-2017 (3)'!$A$5:$A$289,$D138,'Comp2016-2017 (3)'!$R$5:$R$289,$V138)*$AB138))</f>
        <v/>
      </c>
      <c r="AG138" s="2" t="str">
        <f>IF($W138=AG$3,$AB138,IF(NOT($W138=0),"",SUMIFS('Val-Vol (2)'!AG$4:AG$1116,'Val-Vol (2)'!$A$4:$A$1116,$D138,'Val-Vol (2)'!$V$4:$V$1116,$V138)/SUMIFS('Comp2016-2017 (3)'!$G$5:$G$289,'Comp2016-2017 (3)'!$A$5:$A$289,$D138,'Comp2016-2017 (3)'!$R$5:$R$289,$V138)*$AB138))</f>
        <v/>
      </c>
      <c r="AH138" s="2" t="str">
        <f>IF($W138=AH$3,$AB138,IF(NOT($W138=0),"",SUMIFS('Val-Vol (2)'!AH$4:AH$1116,'Val-Vol (2)'!$A$4:$A$1116,$D138,'Val-Vol (2)'!$V$4:$V$1116,$V138)/SUMIFS('Comp2016-2017 (3)'!$G$5:$G$289,'Comp2016-2017 (3)'!$A$5:$A$289,$D138,'Comp2016-2017 (3)'!$R$5:$R$289,$V138)*$AB138))</f>
        <v/>
      </c>
      <c r="AI138" s="2" t="str">
        <f>IF($W138=AI$3,$AB138,IF(NOT($W138=0),"",SUMIFS('Val-Vol (2)'!AI$4:AI$1116,'Val-Vol (2)'!$A$4:$A$1116,$D138,'Val-Vol (2)'!$V$4:$V$1116,$V138)/SUMIFS('Comp2016-2017 (3)'!$G$5:$G$289,'Comp2016-2017 (3)'!$A$5:$A$289,$D138,'Comp2016-2017 (3)'!$R$5:$R$289,$V138)*$AB138))</f>
        <v/>
      </c>
      <c r="AJ138" s="2" t="str">
        <f>IF($W138=AJ$3,$AB138,IF(NOT($W138=0),"",SUMIFS('Val-Vol (2)'!AJ$4:AJ$1116,'Val-Vol (2)'!$A$4:$A$1116,$D138,'Val-Vol (2)'!$V$4:$V$1116,$V138)/SUMIFS('Comp2016-2017 (3)'!$G$5:$G$289,'Comp2016-2017 (3)'!$A$5:$A$289,$D138,'Comp2016-2017 (3)'!$R$5:$R$289,$V138)*$AB138))</f>
        <v/>
      </c>
      <c r="AK138" s="2">
        <f t="shared" si="16"/>
        <v>0</v>
      </c>
      <c r="AL138" t="str">
        <f t="shared" si="13"/>
        <v/>
      </c>
      <c r="AM138" t="str">
        <f>VLOOKUP(A138,'Table corresp.'!$M$4:$U$63,8,FALSE)</f>
        <v>Production intermédiaire</v>
      </c>
      <c r="AN138" t="str">
        <f>VLOOKUP(D138,'Table corresp.'!$M$4:$U$63,9,FALSE)</f>
        <v xml:space="preserve">Mise en œuvre </v>
      </c>
    </row>
    <row r="139" spans="1:40" x14ac:dyDescent="0.25">
      <c r="A139" t="s">
        <v>7</v>
      </c>
      <c r="B139" t="str">
        <f>VLOOKUP(LEFT(A139,3),'Table corresp.'!$A$4:$D$63,3,FALSE)</f>
        <v>Transformation</v>
      </c>
      <c r="C139" t="str">
        <f>VLOOKUP(A139,'Table corresp.'!$M$4:$P$63,4,FALSE)</f>
        <v>Production et transformation de produits bois</v>
      </c>
      <c r="D139" t="s">
        <v>26</v>
      </c>
      <c r="E139" t="str">
        <f>VLOOKUP(LEFT(D139,3),'Table corresp.'!$A$4:$D$63,4,FALSE)</f>
        <v>Transformation</v>
      </c>
      <c r="F139" t="str">
        <f t="shared" si="12"/>
        <v xml:space="preserve">12  - 59 </v>
      </c>
      <c r="G139" s="1">
        <v>2642.0645999999997</v>
      </c>
      <c r="H139" s="1">
        <v>5997.9354000000003</v>
      </c>
      <c r="I139" s="1">
        <v>8640</v>
      </c>
      <c r="J139" s="1">
        <v>37.32329110018506</v>
      </c>
      <c r="K139" s="1">
        <v>85.757708029117865</v>
      </c>
      <c r="L139" s="1">
        <v>123.08099912930292</v>
      </c>
      <c r="M139" s="1">
        <v>0</v>
      </c>
      <c r="N139" s="1">
        <v>0</v>
      </c>
      <c r="O139" s="1">
        <v>0</v>
      </c>
      <c r="P139" s="1">
        <v>0</v>
      </c>
      <c r="Q139" s="1">
        <v>0</v>
      </c>
      <c r="R139" s="1">
        <v>0</v>
      </c>
      <c r="S139" s="67"/>
      <c r="T139">
        <f>VLOOKUP(A139,'Groupe de branches'!$Z$27:$AM$86,14,FALSE)</f>
        <v>0</v>
      </c>
      <c r="U139">
        <f>VLOOKUP(D139,'Groupe de branches'!$Z$27:$AM$86,14,FALSE)</f>
        <v>0</v>
      </c>
      <c r="V139">
        <v>2016</v>
      </c>
      <c r="W139" t="str">
        <f>VLOOKUP(D139,'Table corresp.'!$M$4:$S$63,7,FALSE)</f>
        <v>Construction</v>
      </c>
      <c r="X139" s="167">
        <f>IFERROR(G139/SUMIFS('Comp2016-2017 (3)'!$I$5:$I$289,'Comp2016-2017 (3)'!$A$5:$A$289,A139,'Comp2016-2017 (3)'!$R$5:$R$289,V139),0)</f>
        <v>4.1229048134751086E-3</v>
      </c>
      <c r="Y139" s="178">
        <f>IFERROR(IF(RIGHT(F139,3)="Exp",VLOOKUP(F139,#REF!,2,FALSE),VLOOKUP(F139,#REF!,9,FALSE)),1)</f>
        <v>1</v>
      </c>
      <c r="Z139" s="167">
        <f t="shared" si="14"/>
        <v>4.5454545454545456E-2</v>
      </c>
      <c r="AA139" s="189">
        <f t="shared" si="15"/>
        <v>1.8740476424886857E-4</v>
      </c>
      <c r="AB139" s="2">
        <f>IFERROR(SUMIFS('Comp2016-2017 (3)'!$G$5:$G$289,'Comp2016-2017 (3)'!$A$5:$A$289,A139,'Comp2016-2017 (3)'!$R$5:$R$289,V139)*AA139/SUMIFS($AA$4:$AA$1116,$A$4:$A$1116,A139,$V$4:$V$1116,V139),0)</f>
        <v>612.95926615914152</v>
      </c>
      <c r="AC139" s="2" t="str">
        <f>IF($W139=AC$3,$AB139,IF(NOT($W139=0),"",SUMIFS('Val-Vol (2)'!AC$4:AC$1116,'Val-Vol (2)'!$A$4:$A$1116,$D139,'Val-Vol (2)'!$V$4:$V$1116,$V139)/SUMIFS('Comp2016-2017 (3)'!$G$5:$G$289,'Comp2016-2017 (3)'!$A$5:$A$289,$D139,'Comp2016-2017 (3)'!$R$5:$R$289,$V139)*$AB139))</f>
        <v/>
      </c>
      <c r="AD139" s="2">
        <f>IF($W139=AD$3,$AB139,IF(NOT($W139=0),"",SUMIFS('Val-Vol (2)'!AD$4:AD$1116,'Val-Vol (2)'!$A$4:$A$1116,$D139,'Val-Vol (2)'!$V$4:$V$1116,$V139)/SUMIFS('Comp2016-2017 (3)'!$G$5:$G$289,'Comp2016-2017 (3)'!$A$5:$A$289,$D139,'Comp2016-2017 (3)'!$R$5:$R$289,$V139)*$AB139))</f>
        <v>612.95926615914152</v>
      </c>
      <c r="AE139" s="2" t="str">
        <f>IF($W139=AE$3,$AB139,IF(NOT($W139=0),"",SUMIFS('Val-Vol (2)'!AE$4:AE$1116,'Val-Vol (2)'!$A$4:$A$1116,$D139,'Val-Vol (2)'!$V$4:$V$1116,$V139)/SUMIFS('Comp2016-2017 (3)'!$G$5:$G$289,'Comp2016-2017 (3)'!$A$5:$A$289,$D139,'Comp2016-2017 (3)'!$R$5:$R$289,$V139)*$AB139))</f>
        <v/>
      </c>
      <c r="AF139" s="2" t="str">
        <f>IF($W139=AF$3,$AB139,IF(NOT($W139=0),"",SUMIFS('Val-Vol (2)'!AF$4:AF$1116,'Val-Vol (2)'!$A$4:$A$1116,$D139,'Val-Vol (2)'!$V$4:$V$1116,$V139)/SUMIFS('Comp2016-2017 (3)'!$G$5:$G$289,'Comp2016-2017 (3)'!$A$5:$A$289,$D139,'Comp2016-2017 (3)'!$R$5:$R$289,$V139)*$AB139))</f>
        <v/>
      </c>
      <c r="AG139" s="2" t="str">
        <f>IF($W139=AG$3,$AB139,IF(NOT($W139=0),"",SUMIFS('Val-Vol (2)'!AG$4:AG$1116,'Val-Vol (2)'!$A$4:$A$1116,$D139,'Val-Vol (2)'!$V$4:$V$1116,$V139)/SUMIFS('Comp2016-2017 (3)'!$G$5:$G$289,'Comp2016-2017 (3)'!$A$5:$A$289,$D139,'Comp2016-2017 (3)'!$R$5:$R$289,$V139)*$AB139))</f>
        <v/>
      </c>
      <c r="AH139" s="2" t="str">
        <f>IF($W139=AH$3,$AB139,IF(NOT($W139=0),"",SUMIFS('Val-Vol (2)'!AH$4:AH$1116,'Val-Vol (2)'!$A$4:$A$1116,$D139,'Val-Vol (2)'!$V$4:$V$1116,$V139)/SUMIFS('Comp2016-2017 (3)'!$G$5:$G$289,'Comp2016-2017 (3)'!$A$5:$A$289,$D139,'Comp2016-2017 (3)'!$R$5:$R$289,$V139)*$AB139))</f>
        <v/>
      </c>
      <c r="AI139" s="2" t="str">
        <f>IF($W139=AI$3,$AB139,IF(NOT($W139=0),"",SUMIFS('Val-Vol (2)'!AI$4:AI$1116,'Val-Vol (2)'!$A$4:$A$1116,$D139,'Val-Vol (2)'!$V$4:$V$1116,$V139)/SUMIFS('Comp2016-2017 (3)'!$G$5:$G$289,'Comp2016-2017 (3)'!$A$5:$A$289,$D139,'Comp2016-2017 (3)'!$R$5:$R$289,$V139)*$AB139))</f>
        <v/>
      </c>
      <c r="AJ139" s="2" t="str">
        <f>IF($W139=AJ$3,$AB139,IF(NOT($W139=0),"",SUMIFS('Val-Vol (2)'!AJ$4:AJ$1116,'Val-Vol (2)'!$A$4:$A$1116,$D139,'Val-Vol (2)'!$V$4:$V$1116,$V139)/SUMIFS('Comp2016-2017 (3)'!$G$5:$G$289,'Comp2016-2017 (3)'!$A$5:$A$289,$D139,'Comp2016-2017 (3)'!$R$5:$R$289,$V139)*$AB139))</f>
        <v/>
      </c>
      <c r="AK139" s="2">
        <f t="shared" si="16"/>
        <v>0</v>
      </c>
      <c r="AL139" t="str">
        <f t="shared" si="13"/>
        <v/>
      </c>
      <c r="AM139" t="str">
        <f>VLOOKUP(A139,'Table corresp.'!$M$4:$U$63,8,FALSE)</f>
        <v>Production intermédiaire</v>
      </c>
      <c r="AN139" t="str">
        <f>VLOOKUP(D139,'Table corresp.'!$M$4:$U$63,9,FALSE)</f>
        <v xml:space="preserve">Mise en œuvre </v>
      </c>
    </row>
    <row r="140" spans="1:40" x14ac:dyDescent="0.25">
      <c r="A140" t="s">
        <v>7</v>
      </c>
      <c r="B140" t="str">
        <f>VLOOKUP(LEFT(A140,3),'Table corresp.'!$A$4:$D$63,3,FALSE)</f>
        <v>Transformation</v>
      </c>
      <c r="C140" t="str">
        <f>VLOOKUP(A140,'Table corresp.'!$M$4:$P$63,4,FALSE)</f>
        <v>Production et transformation de produits bois</v>
      </c>
      <c r="D140" t="s">
        <v>54</v>
      </c>
      <c r="E140" t="str">
        <f>VLOOKUP(LEFT(D140,3),'Table corresp.'!$A$4:$D$63,4,FALSE)</f>
        <v>Consommation finale</v>
      </c>
      <c r="F140" t="str">
        <f t="shared" si="12"/>
        <v>12  - Con</v>
      </c>
      <c r="G140" s="1">
        <v>68216.75</v>
      </c>
      <c r="H140" s="1">
        <v>9683.6818600000006</v>
      </c>
      <c r="I140" s="1">
        <v>77900.431859999997</v>
      </c>
      <c r="J140" s="1">
        <v>626.38432527465727</v>
      </c>
      <c r="K140" s="1">
        <v>91.014177352223129</v>
      </c>
      <c r="L140" s="1">
        <v>717.39850262688037</v>
      </c>
      <c r="M140" s="1">
        <v>0</v>
      </c>
      <c r="N140" s="1">
        <v>0</v>
      </c>
      <c r="O140" s="1">
        <v>0</v>
      </c>
      <c r="P140" s="1">
        <v>0</v>
      </c>
      <c r="Q140" s="1">
        <v>0</v>
      </c>
      <c r="R140" s="1">
        <v>0</v>
      </c>
      <c r="S140" s="67"/>
      <c r="T140">
        <f>VLOOKUP(A140,'Groupe de branches'!$Z$27:$AM$86,14,FALSE)</f>
        <v>0</v>
      </c>
      <c r="U140">
        <f>VLOOKUP(D140,'Groupe de branches'!$Z$27:$AM$86,14,FALSE)</f>
        <v>0</v>
      </c>
      <c r="V140">
        <v>2016</v>
      </c>
      <c r="W140" t="str">
        <f>VLOOKUP(D140,'Table corresp.'!$M$4:$S$63,7,FALSE)</f>
        <v>Consommation finale</v>
      </c>
      <c r="X140" s="167">
        <f>IFERROR(G140/SUMIFS('Comp2016-2017 (3)'!$I$5:$I$289,'Comp2016-2017 (3)'!$A$5:$A$289,A140,'Comp2016-2017 (3)'!$R$5:$R$289,V140),0)</f>
        <v>0.10645128318763596</v>
      </c>
      <c r="Y140" s="178">
        <f>IFERROR(IF(RIGHT(F140,3)="Exp",VLOOKUP(F140,#REF!,2,FALSE),VLOOKUP(F140,#REF!,9,FALSE)),1)</f>
        <v>1</v>
      </c>
      <c r="Z140" s="167">
        <f t="shared" si="14"/>
        <v>4.5454545454545456E-2</v>
      </c>
      <c r="AA140" s="189">
        <f t="shared" si="15"/>
        <v>4.8386946903470887E-3</v>
      </c>
      <c r="AB140" s="2">
        <f>IFERROR(SUMIFS('Comp2016-2017 (3)'!$G$5:$G$289,'Comp2016-2017 (3)'!$A$5:$A$289,A140,'Comp2016-2017 (3)'!$R$5:$R$289,V140)*AA140/SUMIFS($AA$4:$AA$1116,$A$4:$A$1116,A140,$V$4:$V$1116,V140),0)</f>
        <v>15826.293202581654</v>
      </c>
      <c r="AC140" s="2" t="str">
        <f>IF($W140=AC$3,$AB140,IF(NOT($W140=0),"",SUMIFS('Val-Vol (2)'!AC$4:AC$1116,'Val-Vol (2)'!$A$4:$A$1116,$D140,'Val-Vol (2)'!$V$4:$V$1116,$V140)/SUMIFS('Comp2016-2017 (3)'!$G$5:$G$289,'Comp2016-2017 (3)'!$A$5:$A$289,$D140,'Comp2016-2017 (3)'!$R$5:$R$289,$V140)*$AB140))</f>
        <v/>
      </c>
      <c r="AD140" s="2" t="str">
        <f>IF($W140=AD$3,$AB140,IF(NOT($W140=0),"",SUMIFS('Val-Vol (2)'!AD$4:AD$1116,'Val-Vol (2)'!$A$4:$A$1116,$D140,'Val-Vol (2)'!$V$4:$V$1116,$V140)/SUMIFS('Comp2016-2017 (3)'!$G$5:$G$289,'Comp2016-2017 (3)'!$A$5:$A$289,$D140,'Comp2016-2017 (3)'!$R$5:$R$289,$V140)*$AB140))</f>
        <v/>
      </c>
      <c r="AE140" s="2" t="str">
        <f>IF($W140=AE$3,$AB140,IF(NOT($W140=0),"",SUMIFS('Val-Vol (2)'!AE$4:AE$1116,'Val-Vol (2)'!$A$4:$A$1116,$D140,'Val-Vol (2)'!$V$4:$V$1116,$V140)/SUMIFS('Comp2016-2017 (3)'!$G$5:$G$289,'Comp2016-2017 (3)'!$A$5:$A$289,$D140,'Comp2016-2017 (3)'!$R$5:$R$289,$V140)*$AB140))</f>
        <v/>
      </c>
      <c r="AF140" s="2" t="str">
        <f>IF($W140=AF$3,$AB140,IF(NOT($W140=0),"",SUMIFS('Val-Vol (2)'!AF$4:AF$1116,'Val-Vol (2)'!$A$4:$A$1116,$D140,'Val-Vol (2)'!$V$4:$V$1116,$V140)/SUMIFS('Comp2016-2017 (3)'!$G$5:$G$289,'Comp2016-2017 (3)'!$A$5:$A$289,$D140,'Comp2016-2017 (3)'!$R$5:$R$289,$V140)*$AB140))</f>
        <v/>
      </c>
      <c r="AG140" s="2" t="str">
        <f>IF($W140=AG$3,$AB140,IF(NOT($W140=0),"",SUMIFS('Val-Vol (2)'!AG$4:AG$1116,'Val-Vol (2)'!$A$4:$A$1116,$D140,'Val-Vol (2)'!$V$4:$V$1116,$V140)/SUMIFS('Comp2016-2017 (3)'!$G$5:$G$289,'Comp2016-2017 (3)'!$A$5:$A$289,$D140,'Comp2016-2017 (3)'!$R$5:$R$289,$V140)*$AB140))</f>
        <v/>
      </c>
      <c r="AH140" s="2" t="str">
        <f>IF($W140=AH$3,$AB140,IF(NOT($W140=0),"",SUMIFS('Val-Vol (2)'!AH$4:AH$1116,'Val-Vol (2)'!$A$4:$A$1116,$D140,'Val-Vol (2)'!$V$4:$V$1116,$V140)/SUMIFS('Comp2016-2017 (3)'!$G$5:$G$289,'Comp2016-2017 (3)'!$A$5:$A$289,$D140,'Comp2016-2017 (3)'!$R$5:$R$289,$V140)*$AB140))</f>
        <v/>
      </c>
      <c r="AI140" s="2" t="str">
        <f>IF($W140=AI$3,$AB140,IF(NOT($W140=0),"",SUMIFS('Val-Vol (2)'!AI$4:AI$1116,'Val-Vol (2)'!$A$4:$A$1116,$D140,'Val-Vol (2)'!$V$4:$V$1116,$V140)/SUMIFS('Comp2016-2017 (3)'!$G$5:$G$289,'Comp2016-2017 (3)'!$A$5:$A$289,$D140,'Comp2016-2017 (3)'!$R$5:$R$289,$V140)*$AB140))</f>
        <v/>
      </c>
      <c r="AJ140" s="2">
        <f>IF($W140=AJ$3,$AB140,IF(NOT($W140=0),"",SUMIFS('Val-Vol (2)'!AJ$4:AJ$1116,'Val-Vol (2)'!$A$4:$A$1116,$D140,'Val-Vol (2)'!$V$4:$V$1116,$V140)/SUMIFS('Comp2016-2017 (3)'!$G$5:$G$289,'Comp2016-2017 (3)'!$A$5:$A$289,$D140,'Comp2016-2017 (3)'!$R$5:$R$289,$V140)*$AB140))</f>
        <v>15826.293202581654</v>
      </c>
      <c r="AK140" s="2">
        <f t="shared" si="16"/>
        <v>0</v>
      </c>
      <c r="AL140" t="str">
        <f t="shared" si="13"/>
        <v/>
      </c>
      <c r="AM140" t="str">
        <f>VLOOKUP(A140,'Table corresp.'!$M$4:$U$63,8,FALSE)</f>
        <v>Production intermédiaire</v>
      </c>
      <c r="AN140" t="str">
        <f>VLOOKUP(D140,'Table corresp.'!$M$4:$U$63,9,FALSE)</f>
        <v>Consommation finale française</v>
      </c>
    </row>
    <row r="141" spans="1:40" x14ac:dyDescent="0.25">
      <c r="A141" t="s">
        <v>7</v>
      </c>
      <c r="B141" t="str">
        <f>VLOOKUP(LEFT(A141,3),'Table corresp.'!$A$4:$D$63,3,FALSE)</f>
        <v>Transformation</v>
      </c>
      <c r="C141" t="str">
        <f>VLOOKUP(A141,'Table corresp.'!$M$4:$P$63,4,FALSE)</f>
        <v>Production et transformation de produits bois</v>
      </c>
      <c r="D141" t="s">
        <v>53</v>
      </c>
      <c r="E141" t="str">
        <f>VLOOKUP(LEFT(D141,3),'Table corresp.'!$A$4:$D$63,4,FALSE)</f>
        <v>Exportation</v>
      </c>
      <c r="F141" t="str">
        <f t="shared" si="12"/>
        <v>12  - Exp</v>
      </c>
      <c r="G141" s="1">
        <v>34128.216999999997</v>
      </c>
      <c r="H141" s="1">
        <v>0</v>
      </c>
      <c r="I141" s="1">
        <v>34128.216999999997</v>
      </c>
      <c r="J141" s="1">
        <v>402.95437074955782</v>
      </c>
      <c r="K141" s="1">
        <v>0</v>
      </c>
      <c r="L141" s="1">
        <v>402.95437074955782</v>
      </c>
      <c r="M141" s="1">
        <v>0</v>
      </c>
      <c r="N141" s="1">
        <v>0</v>
      </c>
      <c r="O141" s="1">
        <v>0</v>
      </c>
      <c r="P141" s="1">
        <v>0</v>
      </c>
      <c r="Q141" s="1">
        <v>0</v>
      </c>
      <c r="R141" s="1">
        <v>0</v>
      </c>
      <c r="S141" s="67"/>
      <c r="T141">
        <f>VLOOKUP(A141,'Groupe de branches'!$Z$27:$AM$86,14,FALSE)</f>
        <v>0</v>
      </c>
      <c r="U141">
        <f>VLOOKUP(D141,'Groupe de branches'!$Z$27:$AM$86,14,FALSE)</f>
        <v>0</v>
      </c>
      <c r="V141">
        <v>2016</v>
      </c>
      <c r="W141" t="str">
        <f>VLOOKUP(D141,'Table corresp.'!$M$4:$S$63,7,FALSE)</f>
        <v>Exportation</v>
      </c>
      <c r="X141" s="167">
        <f>IFERROR(G141/SUMIFS('Comp2016-2017 (3)'!$I$5:$I$289,'Comp2016-2017 (3)'!$A$5:$A$289,A141,'Comp2016-2017 (3)'!$R$5:$R$289,V141),0)</f>
        <v>5.3256604756985508E-2</v>
      </c>
      <c r="Y141" s="178">
        <f>IFERROR(IF(RIGHT(F141,3)="Exp",VLOOKUP(F141,#REF!,2,FALSE),VLOOKUP(F141,#REF!,9,FALSE)),1)</f>
        <v>1</v>
      </c>
      <c r="Z141" s="167">
        <f t="shared" si="14"/>
        <v>4.5454545454545456E-2</v>
      </c>
      <c r="AA141" s="189">
        <f t="shared" si="15"/>
        <v>2.4207547616811593E-3</v>
      </c>
      <c r="AB141" s="2">
        <f>IFERROR(SUMIFS('Comp2016-2017 (3)'!$G$5:$G$289,'Comp2016-2017 (3)'!$A$5:$A$289,A141,'Comp2016-2017 (3)'!$R$5:$R$289,V141)*AA141/SUMIFS($AA$4:$AA$1116,$A$4:$A$1116,A141,$V$4:$V$1116,V141),0)</f>
        <v>7917.7499473858188</v>
      </c>
      <c r="AC141" s="2">
        <f>IF($W141=AC$3,$AB141,IF(NOT($W141=0),"",SUMIFS('Val-Vol (2)'!AC$4:AC$1116,'Val-Vol (2)'!$A$4:$A$1116,$D141,'Val-Vol (2)'!$V$4:$V$1116,$V141)/SUMIFS('Comp2016-2017 (3)'!$G$5:$G$289,'Comp2016-2017 (3)'!$A$5:$A$289,$D141,'Comp2016-2017 (3)'!$R$5:$R$289,$V141)*$AB141))</f>
        <v>7917.7499473858188</v>
      </c>
      <c r="AD141" s="2" t="str">
        <f>IF($W141=AD$3,$AB141,IF(NOT($W141=0),"",SUMIFS('Val-Vol (2)'!AD$4:AD$1116,'Val-Vol (2)'!$A$4:$A$1116,$D141,'Val-Vol (2)'!$V$4:$V$1116,$V141)/SUMIFS('Comp2016-2017 (3)'!$G$5:$G$289,'Comp2016-2017 (3)'!$A$5:$A$289,$D141,'Comp2016-2017 (3)'!$R$5:$R$289,$V141)*$AB141))</f>
        <v/>
      </c>
      <c r="AE141" s="2" t="str">
        <f>IF($W141=AE$3,$AB141,IF(NOT($W141=0),"",SUMIFS('Val-Vol (2)'!AE$4:AE$1116,'Val-Vol (2)'!$A$4:$A$1116,$D141,'Val-Vol (2)'!$V$4:$V$1116,$V141)/SUMIFS('Comp2016-2017 (3)'!$G$5:$G$289,'Comp2016-2017 (3)'!$A$5:$A$289,$D141,'Comp2016-2017 (3)'!$R$5:$R$289,$V141)*$AB141))</f>
        <v/>
      </c>
      <c r="AF141" s="2" t="str">
        <f>IF($W141=AF$3,$AB141,IF(NOT($W141=0),"",SUMIFS('Val-Vol (2)'!AF$4:AF$1116,'Val-Vol (2)'!$A$4:$A$1116,$D141,'Val-Vol (2)'!$V$4:$V$1116,$V141)/SUMIFS('Comp2016-2017 (3)'!$G$5:$G$289,'Comp2016-2017 (3)'!$A$5:$A$289,$D141,'Comp2016-2017 (3)'!$R$5:$R$289,$V141)*$AB141))</f>
        <v/>
      </c>
      <c r="AG141" s="2" t="str">
        <f>IF($W141=AG$3,$AB141,IF(NOT($W141=0),"",SUMIFS('Val-Vol (2)'!AG$4:AG$1116,'Val-Vol (2)'!$A$4:$A$1116,$D141,'Val-Vol (2)'!$V$4:$V$1116,$V141)/SUMIFS('Comp2016-2017 (3)'!$G$5:$G$289,'Comp2016-2017 (3)'!$A$5:$A$289,$D141,'Comp2016-2017 (3)'!$R$5:$R$289,$V141)*$AB141))</f>
        <v/>
      </c>
      <c r="AH141" s="2" t="str">
        <f>IF($W141=AH$3,$AB141,IF(NOT($W141=0),"",SUMIFS('Val-Vol (2)'!AH$4:AH$1116,'Val-Vol (2)'!$A$4:$A$1116,$D141,'Val-Vol (2)'!$V$4:$V$1116,$V141)/SUMIFS('Comp2016-2017 (3)'!$G$5:$G$289,'Comp2016-2017 (3)'!$A$5:$A$289,$D141,'Comp2016-2017 (3)'!$R$5:$R$289,$V141)*$AB141))</f>
        <v/>
      </c>
      <c r="AI141" s="2" t="str">
        <f>IF($W141=AI$3,$AB141,IF(NOT($W141=0),"",SUMIFS('Val-Vol (2)'!AI$4:AI$1116,'Val-Vol (2)'!$A$4:$A$1116,$D141,'Val-Vol (2)'!$V$4:$V$1116,$V141)/SUMIFS('Comp2016-2017 (3)'!$G$5:$G$289,'Comp2016-2017 (3)'!$A$5:$A$289,$D141,'Comp2016-2017 (3)'!$R$5:$R$289,$V141)*$AB141))</f>
        <v/>
      </c>
      <c r="AJ141" s="2" t="str">
        <f>IF($W141=AJ$3,$AB141,IF(NOT($W141=0),"",SUMIFS('Val-Vol (2)'!AJ$4:AJ$1116,'Val-Vol (2)'!$A$4:$A$1116,$D141,'Val-Vol (2)'!$V$4:$V$1116,$V141)/SUMIFS('Comp2016-2017 (3)'!$G$5:$G$289,'Comp2016-2017 (3)'!$A$5:$A$289,$D141,'Comp2016-2017 (3)'!$R$5:$R$289,$V141)*$AB141))</f>
        <v/>
      </c>
      <c r="AK141" s="2">
        <f t="shared" si="16"/>
        <v>0</v>
      </c>
      <c r="AL141" t="str">
        <f t="shared" si="13"/>
        <v/>
      </c>
      <c r="AM141" t="str">
        <f>VLOOKUP(A141,'Table corresp.'!$M$4:$U$63,8,FALSE)</f>
        <v>Production intermédiaire</v>
      </c>
      <c r="AN141" t="str">
        <f>VLOOKUP(D141,'Table corresp.'!$M$4:$U$63,9,FALSE)</f>
        <v>Exportation</v>
      </c>
    </row>
    <row r="142" spans="1:40" x14ac:dyDescent="0.25">
      <c r="A142" t="s">
        <v>8</v>
      </c>
      <c r="B142" t="str">
        <f>VLOOKUP(LEFT(A142,3),'Table corresp.'!$A$4:$D$63,3,FALSE)</f>
        <v>Transformation</v>
      </c>
      <c r="C142" t="str">
        <f>VLOOKUP(A142,'Table corresp.'!$M$4:$P$63,4,FALSE)</f>
        <v>Production et transformation de produits bois</v>
      </c>
      <c r="D142" t="s">
        <v>13</v>
      </c>
      <c r="E142" t="str">
        <f>VLOOKUP(LEFT(D142,3),'Table corresp.'!$A$4:$D$63,4,FALSE)</f>
        <v>Transformation</v>
      </c>
      <c r="F142" t="str">
        <f t="shared" si="12"/>
        <v xml:space="preserve">13  - 20 </v>
      </c>
      <c r="G142" s="1">
        <v>57627.5</v>
      </c>
      <c r="H142" s="1">
        <v>0</v>
      </c>
      <c r="I142" s="1">
        <v>57627.5</v>
      </c>
      <c r="J142" s="1">
        <v>328.6486336617557</v>
      </c>
      <c r="K142" s="1">
        <v>0</v>
      </c>
      <c r="L142" s="1">
        <v>328.6486336617557</v>
      </c>
      <c r="M142" s="1">
        <v>0</v>
      </c>
      <c r="N142" s="1">
        <v>0</v>
      </c>
      <c r="O142" s="1">
        <v>0</v>
      </c>
      <c r="P142" s="1">
        <v>0</v>
      </c>
      <c r="Q142" s="1">
        <v>0</v>
      </c>
      <c r="R142" s="1">
        <v>0</v>
      </c>
      <c r="S142" s="67"/>
      <c r="T142">
        <f>VLOOKUP(A142,'Groupe de branches'!$Z$27:$AM$86,14,FALSE)</f>
        <v>0</v>
      </c>
      <c r="U142">
        <f>VLOOKUP(D142,'Groupe de branches'!$Z$27:$AM$86,14,FALSE)</f>
        <v>0</v>
      </c>
      <c r="V142">
        <v>2016</v>
      </c>
      <c r="W142">
        <f>VLOOKUP(D142,'Table corresp.'!$M$4:$S$63,7,FALSE)</f>
        <v>0</v>
      </c>
      <c r="X142" s="167">
        <f>IFERROR(G142/SUMIFS('Comp2016-2017 (3)'!$I$5:$I$289,'Comp2016-2017 (3)'!$A$5:$A$289,A142,'Comp2016-2017 (3)'!$R$5:$R$289,V142),0)</f>
        <v>0.29775385528013004</v>
      </c>
      <c r="Y142" s="178">
        <f>IFERROR(IF(RIGHT(F142,3)="Exp",VLOOKUP(F142,#REF!,2,FALSE),VLOOKUP(F142,#REF!,9,FALSE)),1)</f>
        <v>1</v>
      </c>
      <c r="Z142" s="167">
        <f t="shared" si="14"/>
        <v>8.3333333333333329E-2</v>
      </c>
      <c r="AA142" s="189">
        <f t="shared" si="15"/>
        <v>2.4812821273344169E-2</v>
      </c>
      <c r="AB142" s="2">
        <f>IFERROR(SUMIFS('Comp2016-2017 (3)'!$G$5:$G$289,'Comp2016-2017 (3)'!$A$5:$A$289,A142,'Comp2016-2017 (3)'!$R$5:$R$289,V142)*AA142/SUMIFS($AA$4:$AA$1116,$A$4:$A$1116,A142,$V$4:$V$1116,V142),0)</f>
        <v>17004.38530001527</v>
      </c>
      <c r="AC142" s="2">
        <f>IF($W142=AC$3,$AB142,IF(NOT($W142=0),"",SUMIFS('Val-Vol (2)'!AC$4:AC$1116,'Val-Vol (2)'!$A$4:$A$1116,$D142,'Val-Vol (2)'!$V$4:$V$1116,$V142)/SUMIFS('Comp2016-2017 (3)'!$G$5:$G$289,'Comp2016-2017 (3)'!$A$5:$A$289,$D142,'Comp2016-2017 (3)'!$R$5:$R$289,$V142)*$AB142))</f>
        <v>1926.8725442808179</v>
      </c>
      <c r="AD142" s="2">
        <f>IF($W142=AD$3,$AB142,IF(NOT($W142=0),"",SUMIFS('Val-Vol (2)'!AD$4:AD$1116,'Val-Vol (2)'!$A$4:$A$1116,$D142,'Val-Vol (2)'!$V$4:$V$1116,$V142)/SUMIFS('Comp2016-2017 (3)'!$G$5:$G$289,'Comp2016-2017 (3)'!$A$5:$A$289,$D142,'Comp2016-2017 (3)'!$R$5:$R$289,$V142)*$AB142))</f>
        <v>9160.0338269637577</v>
      </c>
      <c r="AE142" s="2">
        <f>IF($W142=AE$3,$AB142,IF(NOT($W142=0),"",SUMIFS('Val-Vol (2)'!AE$4:AE$1116,'Val-Vol (2)'!$A$4:$A$1116,$D142,'Val-Vol (2)'!$V$4:$V$1116,$V142)/SUMIFS('Comp2016-2017 (3)'!$G$5:$G$289,'Comp2016-2017 (3)'!$A$5:$A$289,$D142,'Comp2016-2017 (3)'!$R$5:$R$289,$V142)*$AB142))</f>
        <v>0</v>
      </c>
      <c r="AF142" s="2">
        <f>IF($W142=AF$3,$AB142,IF(NOT($W142=0),"",SUMIFS('Val-Vol (2)'!AF$4:AF$1116,'Val-Vol (2)'!$A$4:$A$1116,$D142,'Val-Vol (2)'!$V$4:$V$1116,$V142)/SUMIFS('Comp2016-2017 (3)'!$G$5:$G$289,'Comp2016-2017 (3)'!$A$5:$A$289,$D142,'Comp2016-2017 (3)'!$R$5:$R$289,$V142)*$AB142))</f>
        <v>0</v>
      </c>
      <c r="AG142" s="2">
        <f>IF($W142=AG$3,$AB142,IF(NOT($W142=0),"",SUMIFS('Val-Vol (2)'!AG$4:AG$1116,'Val-Vol (2)'!$A$4:$A$1116,$D142,'Val-Vol (2)'!$V$4:$V$1116,$V142)/SUMIFS('Comp2016-2017 (3)'!$G$5:$G$289,'Comp2016-2017 (3)'!$A$5:$A$289,$D142,'Comp2016-2017 (3)'!$R$5:$R$289,$V142)*$AB142))</f>
        <v>0</v>
      </c>
      <c r="AH142" s="2">
        <f>IF($W142=AH$3,$AB142,IF(NOT($W142=0),"",SUMIFS('Val-Vol (2)'!AH$4:AH$1116,'Val-Vol (2)'!$A$4:$A$1116,$D142,'Val-Vol (2)'!$V$4:$V$1116,$V142)/SUMIFS('Comp2016-2017 (3)'!$G$5:$G$289,'Comp2016-2017 (3)'!$A$5:$A$289,$D142,'Comp2016-2017 (3)'!$R$5:$R$289,$V142)*$AB142))</f>
        <v>0</v>
      </c>
      <c r="AI142" s="2">
        <f>IF($W142=AI$3,$AB142,IF(NOT($W142=0),"",SUMIFS('Val-Vol (2)'!AI$4:AI$1116,'Val-Vol (2)'!$A$4:$A$1116,$D142,'Val-Vol (2)'!$V$4:$V$1116,$V142)/SUMIFS('Comp2016-2017 (3)'!$G$5:$G$289,'Comp2016-2017 (3)'!$A$5:$A$289,$D142,'Comp2016-2017 (3)'!$R$5:$R$289,$V142)*$AB142))</f>
        <v>0</v>
      </c>
      <c r="AJ142" s="2">
        <f>IF($W142=AJ$3,$AB142,IF(NOT($W142=0),"",SUMIFS('Val-Vol (2)'!AJ$4:AJ$1116,'Val-Vol (2)'!$A$4:$A$1116,$D142,'Val-Vol (2)'!$V$4:$V$1116,$V142)/SUMIFS('Comp2016-2017 (3)'!$G$5:$G$289,'Comp2016-2017 (3)'!$A$5:$A$289,$D142,'Comp2016-2017 (3)'!$R$5:$R$289,$V142)*$AB142))</f>
        <v>5917.4789287706963</v>
      </c>
      <c r="AK142" s="2">
        <f t="shared" si="16"/>
        <v>0</v>
      </c>
      <c r="AL142" t="str">
        <f t="shared" si="13"/>
        <v/>
      </c>
      <c r="AM142" t="str">
        <f>VLOOKUP(A142,'Table corresp.'!$M$4:$U$63,8,FALSE)</f>
        <v>Production intermédiaire</v>
      </c>
      <c r="AN142" t="str">
        <f>VLOOKUP(D142,'Table corresp.'!$M$4:$U$63,9,FALSE)</f>
        <v>Production intermédiaire</v>
      </c>
    </row>
    <row r="143" spans="1:40" x14ac:dyDescent="0.25">
      <c r="A143" t="s">
        <v>8</v>
      </c>
      <c r="B143" t="str">
        <f>VLOOKUP(LEFT(A143,3),'Table corresp.'!$A$4:$D$63,3,FALSE)</f>
        <v>Transformation</v>
      </c>
      <c r="C143" t="str">
        <f>VLOOKUP(A143,'Table corresp.'!$M$4:$P$63,4,FALSE)</f>
        <v>Production et transformation de produits bois</v>
      </c>
      <c r="D143" t="s">
        <v>14</v>
      </c>
      <c r="E143" t="str">
        <f>VLOOKUP(LEFT(D143,3),'Table corresp.'!$A$4:$D$63,4,FALSE)</f>
        <v>Transformation</v>
      </c>
      <c r="F143" t="str">
        <f t="shared" si="12"/>
        <v>13  - 20b</v>
      </c>
      <c r="G143" s="1">
        <v>4801.2326388888896</v>
      </c>
      <c r="H143" s="1">
        <v>0</v>
      </c>
      <c r="I143" s="1">
        <v>4801.2326388888896</v>
      </c>
      <c r="J143" s="1">
        <v>37.435434697252205</v>
      </c>
      <c r="K143" s="1">
        <v>0</v>
      </c>
      <c r="L143" s="1">
        <v>37.435434697252205</v>
      </c>
      <c r="M143" s="1">
        <v>0</v>
      </c>
      <c r="N143" s="1">
        <v>0</v>
      </c>
      <c r="O143" s="1">
        <v>0</v>
      </c>
      <c r="P143" s="1">
        <v>0</v>
      </c>
      <c r="Q143" s="1">
        <v>0</v>
      </c>
      <c r="R143" s="1">
        <v>0</v>
      </c>
      <c r="S143" s="67"/>
      <c r="T143">
        <f>VLOOKUP(A143,'Groupe de branches'!$Z$27:$AM$86,14,FALSE)</f>
        <v>0</v>
      </c>
      <c r="U143">
        <f>VLOOKUP(D143,'Groupe de branches'!$Z$27:$AM$86,14,FALSE)</f>
        <v>0</v>
      </c>
      <c r="V143">
        <v>2016</v>
      </c>
      <c r="W143">
        <f>VLOOKUP(D143,'Table corresp.'!$M$4:$S$63,7,FALSE)</f>
        <v>0</v>
      </c>
      <c r="X143" s="167">
        <f>IFERROR(G143/SUMIFS('Comp2016-2017 (3)'!$I$5:$I$289,'Comp2016-2017 (3)'!$A$5:$A$289,A143,'Comp2016-2017 (3)'!$R$5:$R$289,V143),0)</f>
        <v>2.4807349413491119E-2</v>
      </c>
      <c r="Y143" s="178">
        <f>IFERROR(IF(RIGHT(F143,3)="Exp",VLOOKUP(F143,#REF!,2,FALSE),VLOOKUP(F143,#REF!,9,FALSE)),1)</f>
        <v>1</v>
      </c>
      <c r="Z143" s="167">
        <f t="shared" si="14"/>
        <v>8.3333333333333329E-2</v>
      </c>
      <c r="AA143" s="189">
        <f t="shared" si="15"/>
        <v>2.0672791177909263E-3</v>
      </c>
      <c r="AB143" s="2">
        <f>IFERROR(SUMIFS('Comp2016-2017 (3)'!$G$5:$G$289,'Comp2016-2017 (3)'!$A$5:$A$289,A143,'Comp2016-2017 (3)'!$R$5:$R$289,V143)*AA143/SUMIFS($AA$4:$AA$1116,$A$4:$A$1116,A143,$V$4:$V$1116,V143),0)</f>
        <v>1416.7196166183812</v>
      </c>
      <c r="AC143" s="2">
        <f>IF($W143=AC$3,$AB143,IF(NOT($W143=0),"",SUMIFS('Val-Vol (2)'!AC$4:AC$1116,'Val-Vol (2)'!$A$4:$A$1116,$D143,'Val-Vol (2)'!$V$4:$V$1116,$V143)/SUMIFS('Comp2016-2017 (3)'!$G$5:$G$289,'Comp2016-2017 (3)'!$A$5:$A$289,$D143,'Comp2016-2017 (3)'!$R$5:$R$289,$V143)*$AB143))</f>
        <v>361.51766572039935</v>
      </c>
      <c r="AD143" s="2">
        <f>IF($W143=AD$3,$AB143,IF(NOT($W143=0),"",SUMIFS('Val-Vol (2)'!AD$4:AD$1116,'Val-Vol (2)'!$A$4:$A$1116,$D143,'Val-Vol (2)'!$V$4:$V$1116,$V143)/SUMIFS('Comp2016-2017 (3)'!$G$5:$G$289,'Comp2016-2017 (3)'!$A$5:$A$289,$D143,'Comp2016-2017 (3)'!$R$5:$R$289,$V143)*$AB143))</f>
        <v>1052.1032280489499</v>
      </c>
      <c r="AE143" s="2">
        <f>IF($W143=AE$3,$AB143,IF(NOT($W143=0),"",SUMIFS('Val-Vol (2)'!AE$4:AE$1116,'Val-Vol (2)'!$A$4:$A$1116,$D143,'Val-Vol (2)'!$V$4:$V$1116,$V143)/SUMIFS('Comp2016-2017 (3)'!$G$5:$G$289,'Comp2016-2017 (3)'!$A$5:$A$289,$D143,'Comp2016-2017 (3)'!$R$5:$R$289,$V143)*$AB143))</f>
        <v>3.0987228490319949</v>
      </c>
      <c r="AF143" s="2">
        <f>IF($W143=AF$3,$AB143,IF(NOT($W143=0),"",SUMIFS('Val-Vol (2)'!AF$4:AF$1116,'Val-Vol (2)'!$A$4:$A$1116,$D143,'Val-Vol (2)'!$V$4:$V$1116,$V143)/SUMIFS('Comp2016-2017 (3)'!$G$5:$G$289,'Comp2016-2017 (3)'!$A$5:$A$289,$D143,'Comp2016-2017 (3)'!$R$5:$R$289,$V143)*$AB143))</f>
        <v>0</v>
      </c>
      <c r="AG143" s="2">
        <f>IF($W143=AG$3,$AB143,IF(NOT($W143=0),"",SUMIFS('Val-Vol (2)'!AG$4:AG$1116,'Val-Vol (2)'!$A$4:$A$1116,$D143,'Val-Vol (2)'!$V$4:$V$1116,$V143)/SUMIFS('Comp2016-2017 (3)'!$G$5:$G$289,'Comp2016-2017 (3)'!$A$5:$A$289,$D143,'Comp2016-2017 (3)'!$R$5:$R$289,$V143)*$AB143))</f>
        <v>0</v>
      </c>
      <c r="AH143" s="2">
        <f>IF($W143=AH$3,$AB143,IF(NOT($W143=0),"",SUMIFS('Val-Vol (2)'!AH$4:AH$1116,'Val-Vol (2)'!$A$4:$A$1116,$D143,'Val-Vol (2)'!$V$4:$V$1116,$V143)/SUMIFS('Comp2016-2017 (3)'!$G$5:$G$289,'Comp2016-2017 (3)'!$A$5:$A$289,$D143,'Comp2016-2017 (3)'!$R$5:$R$289,$V143)*$AB143))</f>
        <v>0</v>
      </c>
      <c r="AI143" s="2">
        <f>IF($W143=AI$3,$AB143,IF(NOT($W143=0),"",SUMIFS('Val-Vol (2)'!AI$4:AI$1116,'Val-Vol (2)'!$A$4:$A$1116,$D143,'Val-Vol (2)'!$V$4:$V$1116,$V143)/SUMIFS('Comp2016-2017 (3)'!$G$5:$G$289,'Comp2016-2017 (3)'!$A$5:$A$289,$D143,'Comp2016-2017 (3)'!$R$5:$R$289,$V143)*$AB143))</f>
        <v>0</v>
      </c>
      <c r="AJ143" s="2">
        <f>IF($W143=AJ$3,$AB143,IF(NOT($W143=0),"",SUMIFS('Val-Vol (2)'!AJ$4:AJ$1116,'Val-Vol (2)'!$A$4:$A$1116,$D143,'Val-Vol (2)'!$V$4:$V$1116,$V143)/SUMIFS('Comp2016-2017 (3)'!$G$5:$G$289,'Comp2016-2017 (3)'!$A$5:$A$289,$D143,'Comp2016-2017 (3)'!$R$5:$R$289,$V143)*$AB143))</f>
        <v>0</v>
      </c>
      <c r="AK143" s="2">
        <f t="shared" si="16"/>
        <v>0</v>
      </c>
      <c r="AL143" t="str">
        <f t="shared" si="13"/>
        <v/>
      </c>
      <c r="AM143" t="str">
        <f>VLOOKUP(A143,'Table corresp.'!$M$4:$U$63,8,FALSE)</f>
        <v>Production intermédiaire</v>
      </c>
      <c r="AN143" t="str">
        <f>VLOOKUP(D143,'Table corresp.'!$M$4:$U$63,9,FALSE)</f>
        <v>Production intermédiaire</v>
      </c>
    </row>
    <row r="144" spans="1:40" x14ac:dyDescent="0.25">
      <c r="A144" t="s">
        <v>8</v>
      </c>
      <c r="B144" t="str">
        <f>VLOOKUP(LEFT(A144,3),'Table corresp.'!$A$4:$D$63,3,FALSE)</f>
        <v>Transformation</v>
      </c>
      <c r="C144" t="str">
        <f>VLOOKUP(A144,'Table corresp.'!$M$4:$P$63,4,FALSE)</f>
        <v>Production et transformation de produits bois</v>
      </c>
      <c r="D144" t="s">
        <v>85</v>
      </c>
      <c r="E144" t="str">
        <f>VLOOKUP(LEFT(D144,3),'Table corresp.'!$A$4:$D$63,4,FALSE)</f>
        <v>Transformation</v>
      </c>
      <c r="F144" t="str">
        <f t="shared" si="12"/>
        <v xml:space="preserve">13  - 29 </v>
      </c>
      <c r="G144" s="1">
        <v>298.59456691272953</v>
      </c>
      <c r="H144" s="1">
        <v>0</v>
      </c>
      <c r="I144" s="1">
        <v>298.59456691272953</v>
      </c>
      <c r="J144" s="1">
        <v>2.4833661411755301</v>
      </c>
      <c r="K144" s="1">
        <v>0</v>
      </c>
      <c r="L144" s="1">
        <v>2.4833661411755301</v>
      </c>
      <c r="M144" s="1">
        <v>0</v>
      </c>
      <c r="N144" s="1">
        <v>0</v>
      </c>
      <c r="O144" s="1">
        <v>0</v>
      </c>
      <c r="P144" s="1">
        <v>0</v>
      </c>
      <c r="Q144" s="1">
        <v>0</v>
      </c>
      <c r="R144" s="1">
        <v>0</v>
      </c>
      <c r="S144" s="67"/>
      <c r="T144">
        <f>VLOOKUP(A144,'Groupe de branches'!$Z$27:$AM$86,14,FALSE)</f>
        <v>0</v>
      </c>
      <c r="U144">
        <f>VLOOKUP(D144,'Groupe de branches'!$Z$27:$AM$86,14,FALSE)</f>
        <v>0</v>
      </c>
      <c r="V144">
        <v>2016</v>
      </c>
      <c r="W144" t="str">
        <f>VLOOKUP(D144,'Table corresp.'!$M$4:$S$63,7,FALSE)</f>
        <v>Construction</v>
      </c>
      <c r="X144" s="167">
        <f>IFERROR(G144/SUMIFS('Comp2016-2017 (3)'!$I$5:$I$289,'Comp2016-2017 (3)'!$A$5:$A$289,A144,'Comp2016-2017 (3)'!$R$5:$R$289,V144),0)</f>
        <v>1.5427995915832889E-3</v>
      </c>
      <c r="Y144" s="178">
        <f>IFERROR(IF(RIGHT(F144,3)="Exp",VLOOKUP(F144,#REF!,2,FALSE),VLOOKUP(F144,#REF!,9,FALSE)),1)</f>
        <v>1</v>
      </c>
      <c r="Z144" s="167">
        <f t="shared" si="14"/>
        <v>8.3333333333333329E-2</v>
      </c>
      <c r="AA144" s="189">
        <f t="shared" si="15"/>
        <v>1.2856663263194075E-4</v>
      </c>
      <c r="AB144" s="2">
        <f>IFERROR(SUMIFS('Comp2016-2017 (3)'!$G$5:$G$289,'Comp2016-2017 (3)'!$A$5:$A$289,A144,'Comp2016-2017 (3)'!$R$5:$R$289,V144)*AA144/SUMIFS($AA$4:$AA$1116,$A$4:$A$1116,A144,$V$4:$V$1116,V144),0)</f>
        <v>88.107536580196012</v>
      </c>
      <c r="AC144" s="2" t="str">
        <f>IF($W144=AC$3,$AB144,IF(NOT($W144=0),"",SUMIFS('Val-Vol (2)'!AC$4:AC$1116,'Val-Vol (2)'!$A$4:$A$1116,$D144,'Val-Vol (2)'!$V$4:$V$1116,$V144)/SUMIFS('Comp2016-2017 (3)'!$G$5:$G$289,'Comp2016-2017 (3)'!$A$5:$A$289,$D144,'Comp2016-2017 (3)'!$R$5:$R$289,$V144)*$AB144))</f>
        <v/>
      </c>
      <c r="AD144" s="2">
        <f>IF($W144=AD$3,$AB144,IF(NOT($W144=0),"",SUMIFS('Val-Vol (2)'!AD$4:AD$1116,'Val-Vol (2)'!$A$4:$A$1116,$D144,'Val-Vol (2)'!$V$4:$V$1116,$V144)/SUMIFS('Comp2016-2017 (3)'!$G$5:$G$289,'Comp2016-2017 (3)'!$A$5:$A$289,$D144,'Comp2016-2017 (3)'!$R$5:$R$289,$V144)*$AB144))</f>
        <v>88.107536580196012</v>
      </c>
      <c r="AE144" s="2" t="str">
        <f>IF($W144=AE$3,$AB144,IF(NOT($W144=0),"",SUMIFS('Val-Vol (2)'!AE$4:AE$1116,'Val-Vol (2)'!$A$4:$A$1116,$D144,'Val-Vol (2)'!$V$4:$V$1116,$V144)/SUMIFS('Comp2016-2017 (3)'!$G$5:$G$289,'Comp2016-2017 (3)'!$A$5:$A$289,$D144,'Comp2016-2017 (3)'!$R$5:$R$289,$V144)*$AB144))</f>
        <v/>
      </c>
      <c r="AF144" s="2" t="str">
        <f>IF($W144=AF$3,$AB144,IF(NOT($W144=0),"",SUMIFS('Val-Vol (2)'!AF$4:AF$1116,'Val-Vol (2)'!$A$4:$A$1116,$D144,'Val-Vol (2)'!$V$4:$V$1116,$V144)/SUMIFS('Comp2016-2017 (3)'!$G$5:$G$289,'Comp2016-2017 (3)'!$A$5:$A$289,$D144,'Comp2016-2017 (3)'!$R$5:$R$289,$V144)*$AB144))</f>
        <v/>
      </c>
      <c r="AG144" s="2" t="str">
        <f>IF($W144=AG$3,$AB144,IF(NOT($W144=0),"",SUMIFS('Val-Vol (2)'!AG$4:AG$1116,'Val-Vol (2)'!$A$4:$A$1116,$D144,'Val-Vol (2)'!$V$4:$V$1116,$V144)/SUMIFS('Comp2016-2017 (3)'!$G$5:$G$289,'Comp2016-2017 (3)'!$A$5:$A$289,$D144,'Comp2016-2017 (3)'!$R$5:$R$289,$V144)*$AB144))</f>
        <v/>
      </c>
      <c r="AH144" s="2" t="str">
        <f>IF($W144=AH$3,$AB144,IF(NOT($W144=0),"",SUMIFS('Val-Vol (2)'!AH$4:AH$1116,'Val-Vol (2)'!$A$4:$A$1116,$D144,'Val-Vol (2)'!$V$4:$V$1116,$V144)/SUMIFS('Comp2016-2017 (3)'!$G$5:$G$289,'Comp2016-2017 (3)'!$A$5:$A$289,$D144,'Comp2016-2017 (3)'!$R$5:$R$289,$V144)*$AB144))</f>
        <v/>
      </c>
      <c r="AI144" s="2" t="str">
        <f>IF($W144=AI$3,$AB144,IF(NOT($W144=0),"",SUMIFS('Val-Vol (2)'!AI$4:AI$1116,'Val-Vol (2)'!$A$4:$A$1116,$D144,'Val-Vol (2)'!$V$4:$V$1116,$V144)/SUMIFS('Comp2016-2017 (3)'!$G$5:$G$289,'Comp2016-2017 (3)'!$A$5:$A$289,$D144,'Comp2016-2017 (3)'!$R$5:$R$289,$V144)*$AB144))</f>
        <v/>
      </c>
      <c r="AJ144" s="2" t="str">
        <f>IF($W144=AJ$3,$AB144,IF(NOT($W144=0),"",SUMIFS('Val-Vol (2)'!AJ$4:AJ$1116,'Val-Vol (2)'!$A$4:$A$1116,$D144,'Val-Vol (2)'!$V$4:$V$1116,$V144)/SUMIFS('Comp2016-2017 (3)'!$G$5:$G$289,'Comp2016-2017 (3)'!$A$5:$A$289,$D144,'Comp2016-2017 (3)'!$R$5:$R$289,$V144)*$AB144))</f>
        <v/>
      </c>
      <c r="AK144" s="2">
        <f t="shared" si="16"/>
        <v>0</v>
      </c>
      <c r="AL144" t="str">
        <f t="shared" si="13"/>
        <v/>
      </c>
      <c r="AM144" t="str">
        <f>VLOOKUP(A144,'Table corresp.'!$M$4:$U$63,8,FALSE)</f>
        <v>Production intermédiaire</v>
      </c>
      <c r="AN144" t="str">
        <f>VLOOKUP(D144,'Table corresp.'!$M$4:$U$63,9,FALSE)</f>
        <v>Production intermédiaire</v>
      </c>
    </row>
    <row r="145" spans="1:40" x14ac:dyDescent="0.25">
      <c r="A145" t="s">
        <v>8</v>
      </c>
      <c r="B145" t="str">
        <f>VLOOKUP(LEFT(A145,3),'Table corresp.'!$A$4:$D$63,3,FALSE)</f>
        <v>Transformation</v>
      </c>
      <c r="C145" t="str">
        <f>VLOOKUP(A145,'Table corresp.'!$M$4:$P$63,4,FALSE)</f>
        <v>Production et transformation de produits bois</v>
      </c>
      <c r="D145" t="s">
        <v>91</v>
      </c>
      <c r="E145" t="str">
        <f>VLOOKUP(LEFT(D145,3),'Table corresp.'!$A$4:$D$63,4,FALSE)</f>
        <v>Transformation</v>
      </c>
      <c r="F145" t="str">
        <f t="shared" si="12"/>
        <v xml:space="preserve">13  - 37 </v>
      </c>
      <c r="G145" s="1">
        <v>48843</v>
      </c>
      <c r="H145" s="1">
        <v>0</v>
      </c>
      <c r="I145" s="1">
        <v>48843</v>
      </c>
      <c r="J145" s="1">
        <v>541.62652137332168</v>
      </c>
      <c r="K145" s="1">
        <v>0</v>
      </c>
      <c r="L145" s="1">
        <v>541.62652137332168</v>
      </c>
      <c r="M145" s="1">
        <v>0</v>
      </c>
      <c r="N145" s="1">
        <v>0</v>
      </c>
      <c r="O145" s="1">
        <v>0</v>
      </c>
      <c r="P145" s="1">
        <v>0</v>
      </c>
      <c r="Q145" s="1">
        <v>0</v>
      </c>
      <c r="R145" s="1">
        <v>0</v>
      </c>
      <c r="S145" s="67"/>
      <c r="T145">
        <f>VLOOKUP(A145,'Groupe de branches'!$Z$27:$AM$86,14,FALSE)</f>
        <v>0</v>
      </c>
      <c r="U145">
        <f>VLOOKUP(D145,'Groupe de branches'!$Z$27:$AM$86,14,FALSE)</f>
        <v>0</v>
      </c>
      <c r="V145">
        <v>2016</v>
      </c>
      <c r="W145" t="str">
        <f>VLOOKUP(D145,'Table corresp.'!$M$4:$S$63,7,FALSE)</f>
        <v>Emballage bois et carton</v>
      </c>
      <c r="X145" s="167">
        <f>IFERROR(G145/SUMIFS('Comp2016-2017 (3)'!$I$5:$I$289,'Comp2016-2017 (3)'!$A$5:$A$289,A145,'Comp2016-2017 (3)'!$R$5:$R$289,V145),0)</f>
        <v>0.25236547747945676</v>
      </c>
      <c r="Y145" s="178">
        <f>IFERROR(IF(RIGHT(F145,3)="Exp",VLOOKUP(F145,#REF!,2,FALSE),VLOOKUP(F145,#REF!,9,FALSE)),1)</f>
        <v>1</v>
      </c>
      <c r="Z145" s="167">
        <f t="shared" si="14"/>
        <v>8.3333333333333329E-2</v>
      </c>
      <c r="AA145" s="189">
        <f t="shared" si="15"/>
        <v>2.1030456456621396E-2</v>
      </c>
      <c r="AB145" s="2">
        <f>IFERROR(SUMIFS('Comp2016-2017 (3)'!$G$5:$G$289,'Comp2016-2017 (3)'!$A$5:$A$289,A145,'Comp2016-2017 (3)'!$R$5:$R$289,V145)*AA145/SUMIFS($AA$4:$AA$1116,$A$4:$A$1116,A145,$V$4:$V$1116,V145),0)</f>
        <v>14412.306471886617</v>
      </c>
      <c r="AC145" s="2" t="str">
        <f>IF($W145=AC$3,$AB145,IF(NOT($W145=0),"",SUMIFS('Val-Vol (2)'!AC$4:AC$1116,'Val-Vol (2)'!$A$4:$A$1116,$D145,'Val-Vol (2)'!$V$4:$V$1116,$V145)/SUMIFS('Comp2016-2017 (3)'!$G$5:$G$289,'Comp2016-2017 (3)'!$A$5:$A$289,$D145,'Comp2016-2017 (3)'!$R$5:$R$289,$V145)*$AB145))</f>
        <v/>
      </c>
      <c r="AD145" s="2" t="str">
        <f>IF($W145=AD$3,$AB145,IF(NOT($W145=0),"",SUMIFS('Val-Vol (2)'!AD$4:AD$1116,'Val-Vol (2)'!$A$4:$A$1116,$D145,'Val-Vol (2)'!$V$4:$V$1116,$V145)/SUMIFS('Comp2016-2017 (3)'!$G$5:$G$289,'Comp2016-2017 (3)'!$A$5:$A$289,$D145,'Comp2016-2017 (3)'!$R$5:$R$289,$V145)*$AB145))</f>
        <v/>
      </c>
      <c r="AE145" s="2" t="str">
        <f>IF($W145=AE$3,$AB145,IF(NOT($W145=0),"",SUMIFS('Val-Vol (2)'!AE$4:AE$1116,'Val-Vol (2)'!$A$4:$A$1116,$D145,'Val-Vol (2)'!$V$4:$V$1116,$V145)/SUMIFS('Comp2016-2017 (3)'!$G$5:$G$289,'Comp2016-2017 (3)'!$A$5:$A$289,$D145,'Comp2016-2017 (3)'!$R$5:$R$289,$V145)*$AB145))</f>
        <v/>
      </c>
      <c r="AF145" s="2" t="str">
        <f>IF($W145=AF$3,$AB145,IF(NOT($W145=0),"",SUMIFS('Val-Vol (2)'!AF$4:AF$1116,'Val-Vol (2)'!$A$4:$A$1116,$D145,'Val-Vol (2)'!$V$4:$V$1116,$V145)/SUMIFS('Comp2016-2017 (3)'!$G$5:$G$289,'Comp2016-2017 (3)'!$A$5:$A$289,$D145,'Comp2016-2017 (3)'!$R$5:$R$289,$V145)*$AB145))</f>
        <v/>
      </c>
      <c r="AG145" s="2">
        <f>IF($W145=AG$3,$AB145,IF(NOT($W145=0),"",SUMIFS('Val-Vol (2)'!AG$4:AG$1116,'Val-Vol (2)'!$A$4:$A$1116,$D145,'Val-Vol (2)'!$V$4:$V$1116,$V145)/SUMIFS('Comp2016-2017 (3)'!$G$5:$G$289,'Comp2016-2017 (3)'!$A$5:$A$289,$D145,'Comp2016-2017 (3)'!$R$5:$R$289,$V145)*$AB145))</f>
        <v>14412.306471886617</v>
      </c>
      <c r="AH145" s="2" t="str">
        <f>IF($W145=AH$3,$AB145,IF(NOT($W145=0),"",SUMIFS('Val-Vol (2)'!AH$4:AH$1116,'Val-Vol (2)'!$A$4:$A$1116,$D145,'Val-Vol (2)'!$V$4:$V$1116,$V145)/SUMIFS('Comp2016-2017 (3)'!$G$5:$G$289,'Comp2016-2017 (3)'!$A$5:$A$289,$D145,'Comp2016-2017 (3)'!$R$5:$R$289,$V145)*$AB145))</f>
        <v/>
      </c>
      <c r="AI145" s="2" t="str">
        <f>IF($W145=AI$3,$AB145,IF(NOT($W145=0),"",SUMIFS('Val-Vol (2)'!AI$4:AI$1116,'Val-Vol (2)'!$A$4:$A$1116,$D145,'Val-Vol (2)'!$V$4:$V$1116,$V145)/SUMIFS('Comp2016-2017 (3)'!$G$5:$G$289,'Comp2016-2017 (3)'!$A$5:$A$289,$D145,'Comp2016-2017 (3)'!$R$5:$R$289,$V145)*$AB145))</f>
        <v/>
      </c>
      <c r="AJ145" s="2" t="str">
        <f>IF($W145=AJ$3,$AB145,IF(NOT($W145=0),"",SUMIFS('Val-Vol (2)'!AJ$4:AJ$1116,'Val-Vol (2)'!$A$4:$A$1116,$D145,'Val-Vol (2)'!$V$4:$V$1116,$V145)/SUMIFS('Comp2016-2017 (3)'!$G$5:$G$289,'Comp2016-2017 (3)'!$A$5:$A$289,$D145,'Comp2016-2017 (3)'!$R$5:$R$289,$V145)*$AB145))</f>
        <v/>
      </c>
      <c r="AK145" s="2">
        <f t="shared" si="16"/>
        <v>0</v>
      </c>
      <c r="AL145" t="str">
        <f t="shared" si="13"/>
        <v/>
      </c>
      <c r="AM145" t="str">
        <f>VLOOKUP(A145,'Table corresp.'!$M$4:$U$63,8,FALSE)</f>
        <v>Production intermédiaire</v>
      </c>
      <c r="AN145" t="str">
        <f>VLOOKUP(D145,'Table corresp.'!$M$4:$U$63,9,FALSE)</f>
        <v>Production finale</v>
      </c>
    </row>
    <row r="146" spans="1:40" x14ac:dyDescent="0.25">
      <c r="A146" t="s">
        <v>8</v>
      </c>
      <c r="B146" t="str">
        <f>VLOOKUP(LEFT(A146,3),'Table corresp.'!$A$4:$D$63,3,FALSE)</f>
        <v>Transformation</v>
      </c>
      <c r="C146" t="str">
        <f>VLOOKUP(A146,'Table corresp.'!$M$4:$P$63,4,FALSE)</f>
        <v>Production et transformation de produits bois</v>
      </c>
      <c r="D146" t="s">
        <v>92</v>
      </c>
      <c r="E146" t="str">
        <f>VLOOKUP(LEFT(D146,3),'Table corresp.'!$A$4:$D$63,4,FALSE)</f>
        <v>Transformation</v>
      </c>
      <c r="F146" t="str">
        <f t="shared" si="12"/>
        <v xml:space="preserve">13  - 40 </v>
      </c>
      <c r="G146" s="1">
        <v>7795.6229313061531</v>
      </c>
      <c r="H146" s="1">
        <v>0</v>
      </c>
      <c r="I146" s="1">
        <v>7795.6229313061531</v>
      </c>
      <c r="J146" s="1">
        <v>75.978544240268718</v>
      </c>
      <c r="K146" s="1">
        <v>0</v>
      </c>
      <c r="L146" s="1">
        <v>75.978544240268718</v>
      </c>
      <c r="M146" s="1">
        <v>0</v>
      </c>
      <c r="N146" s="1">
        <v>0</v>
      </c>
      <c r="O146" s="1">
        <v>0</v>
      </c>
      <c r="P146" s="1">
        <v>0</v>
      </c>
      <c r="Q146" s="1">
        <v>0</v>
      </c>
      <c r="R146" s="1">
        <v>0</v>
      </c>
      <c r="S146" s="67"/>
      <c r="T146">
        <f>VLOOKUP(A146,'Groupe de branches'!$Z$27:$AM$86,14,FALSE)</f>
        <v>0</v>
      </c>
      <c r="U146">
        <f>VLOOKUP(D146,'Groupe de branches'!$Z$27:$AM$86,14,FALSE)</f>
        <v>0</v>
      </c>
      <c r="V146">
        <v>2016</v>
      </c>
      <c r="W146" t="str">
        <f>VLOOKUP(D146,'Table corresp.'!$M$4:$S$63,7,FALSE)</f>
        <v>Construction</v>
      </c>
      <c r="X146" s="167">
        <f>IFERROR(G146/SUMIFS('Comp2016-2017 (3)'!$I$5:$I$289,'Comp2016-2017 (3)'!$A$5:$A$289,A146,'Comp2016-2017 (3)'!$R$5:$R$289,V146),0)</f>
        <v>4.0278977608027344E-2</v>
      </c>
      <c r="Y146" s="178">
        <f>IFERROR(IF(RIGHT(F146,3)="Exp",VLOOKUP(F146,#REF!,2,FALSE),VLOOKUP(F146,#REF!,9,FALSE)),1)</f>
        <v>1</v>
      </c>
      <c r="Z146" s="167">
        <f t="shared" si="14"/>
        <v>8.3333333333333329E-2</v>
      </c>
      <c r="AA146" s="189">
        <f t="shared" si="15"/>
        <v>3.356581467335612E-3</v>
      </c>
      <c r="AB146" s="2">
        <f>IFERROR(SUMIFS('Comp2016-2017 (3)'!$G$5:$G$289,'Comp2016-2017 (3)'!$A$5:$A$289,A146,'Comp2016-2017 (3)'!$R$5:$R$289,V146)*AA146/SUMIFS($AA$4:$AA$1116,$A$4:$A$1116,A146,$V$4:$V$1116,V146),0)</f>
        <v>2300.286772418799</v>
      </c>
      <c r="AC146" s="2" t="str">
        <f>IF($W146=AC$3,$AB146,IF(NOT($W146=0),"",SUMIFS('Val-Vol (2)'!AC$4:AC$1116,'Val-Vol (2)'!$A$4:$A$1116,$D146,'Val-Vol (2)'!$V$4:$V$1116,$V146)/SUMIFS('Comp2016-2017 (3)'!$G$5:$G$289,'Comp2016-2017 (3)'!$A$5:$A$289,$D146,'Comp2016-2017 (3)'!$R$5:$R$289,$V146)*$AB146))</f>
        <v/>
      </c>
      <c r="AD146" s="2">
        <f>IF($W146=AD$3,$AB146,IF(NOT($W146=0),"",SUMIFS('Val-Vol (2)'!AD$4:AD$1116,'Val-Vol (2)'!$A$4:$A$1116,$D146,'Val-Vol (2)'!$V$4:$V$1116,$V146)/SUMIFS('Comp2016-2017 (3)'!$G$5:$G$289,'Comp2016-2017 (3)'!$A$5:$A$289,$D146,'Comp2016-2017 (3)'!$R$5:$R$289,$V146)*$AB146))</f>
        <v>2300.286772418799</v>
      </c>
      <c r="AE146" s="2" t="str">
        <f>IF($W146=AE$3,$AB146,IF(NOT($W146=0),"",SUMIFS('Val-Vol (2)'!AE$4:AE$1116,'Val-Vol (2)'!$A$4:$A$1116,$D146,'Val-Vol (2)'!$V$4:$V$1116,$V146)/SUMIFS('Comp2016-2017 (3)'!$G$5:$G$289,'Comp2016-2017 (3)'!$A$5:$A$289,$D146,'Comp2016-2017 (3)'!$R$5:$R$289,$V146)*$AB146))</f>
        <v/>
      </c>
      <c r="AF146" s="2" t="str">
        <f>IF($W146=AF$3,$AB146,IF(NOT($W146=0),"",SUMIFS('Val-Vol (2)'!AF$4:AF$1116,'Val-Vol (2)'!$A$4:$A$1116,$D146,'Val-Vol (2)'!$V$4:$V$1116,$V146)/SUMIFS('Comp2016-2017 (3)'!$G$5:$G$289,'Comp2016-2017 (3)'!$A$5:$A$289,$D146,'Comp2016-2017 (3)'!$R$5:$R$289,$V146)*$AB146))</f>
        <v/>
      </c>
      <c r="AG146" s="2" t="str">
        <f>IF($W146=AG$3,$AB146,IF(NOT($W146=0),"",SUMIFS('Val-Vol (2)'!AG$4:AG$1116,'Val-Vol (2)'!$A$4:$A$1116,$D146,'Val-Vol (2)'!$V$4:$V$1116,$V146)/SUMIFS('Comp2016-2017 (3)'!$G$5:$G$289,'Comp2016-2017 (3)'!$A$5:$A$289,$D146,'Comp2016-2017 (3)'!$R$5:$R$289,$V146)*$AB146))</f>
        <v/>
      </c>
      <c r="AH146" s="2" t="str">
        <f>IF($W146=AH$3,$AB146,IF(NOT($W146=0),"",SUMIFS('Val-Vol (2)'!AH$4:AH$1116,'Val-Vol (2)'!$A$4:$A$1116,$D146,'Val-Vol (2)'!$V$4:$V$1116,$V146)/SUMIFS('Comp2016-2017 (3)'!$G$5:$G$289,'Comp2016-2017 (3)'!$A$5:$A$289,$D146,'Comp2016-2017 (3)'!$R$5:$R$289,$V146)*$AB146))</f>
        <v/>
      </c>
      <c r="AI146" s="2" t="str">
        <f>IF($W146=AI$3,$AB146,IF(NOT($W146=0),"",SUMIFS('Val-Vol (2)'!AI$4:AI$1116,'Val-Vol (2)'!$A$4:$A$1116,$D146,'Val-Vol (2)'!$V$4:$V$1116,$V146)/SUMIFS('Comp2016-2017 (3)'!$G$5:$G$289,'Comp2016-2017 (3)'!$A$5:$A$289,$D146,'Comp2016-2017 (3)'!$R$5:$R$289,$V146)*$AB146))</f>
        <v/>
      </c>
      <c r="AJ146" s="2" t="str">
        <f>IF($W146=AJ$3,$AB146,IF(NOT($W146=0),"",SUMIFS('Val-Vol (2)'!AJ$4:AJ$1116,'Val-Vol (2)'!$A$4:$A$1116,$D146,'Val-Vol (2)'!$V$4:$V$1116,$V146)/SUMIFS('Comp2016-2017 (3)'!$G$5:$G$289,'Comp2016-2017 (3)'!$A$5:$A$289,$D146,'Comp2016-2017 (3)'!$R$5:$R$289,$V146)*$AB146))</f>
        <v/>
      </c>
      <c r="AK146" s="2">
        <f t="shared" si="16"/>
        <v>0</v>
      </c>
      <c r="AL146" t="str">
        <f t="shared" si="13"/>
        <v/>
      </c>
      <c r="AM146" t="str">
        <f>VLOOKUP(A146,'Table corresp.'!$M$4:$U$63,8,FALSE)</f>
        <v>Production intermédiaire</v>
      </c>
      <c r="AN146" t="str">
        <f>VLOOKUP(D146,'Table corresp.'!$M$4:$U$63,9,FALSE)</f>
        <v>Production finale</v>
      </c>
    </row>
    <row r="147" spans="1:40" x14ac:dyDescent="0.25">
      <c r="A147" t="s">
        <v>8</v>
      </c>
      <c r="B147" t="str">
        <f>VLOOKUP(LEFT(A147,3),'Table corresp.'!$A$4:$D$63,3,FALSE)</f>
        <v>Transformation</v>
      </c>
      <c r="C147" t="str">
        <f>VLOOKUP(A147,'Table corresp.'!$M$4:$P$63,4,FALSE)</f>
        <v>Production et transformation de produits bois</v>
      </c>
      <c r="D147" t="s">
        <v>19</v>
      </c>
      <c r="E147" t="str">
        <f>VLOOKUP(LEFT(D147,3),'Table corresp.'!$A$4:$D$63,4,FALSE)</f>
        <v>Transformation</v>
      </c>
      <c r="F147" t="str">
        <f t="shared" si="12"/>
        <v xml:space="preserve">13  - 52 </v>
      </c>
      <c r="G147" s="1">
        <v>1512</v>
      </c>
      <c r="H147" s="1">
        <v>0</v>
      </c>
      <c r="I147" s="1">
        <v>1512</v>
      </c>
      <c r="J147" s="1">
        <v>16.766769041960206</v>
      </c>
      <c r="K147" s="1">
        <v>0</v>
      </c>
      <c r="L147" s="1">
        <v>16.766769041960206</v>
      </c>
      <c r="M147" s="1">
        <v>0</v>
      </c>
      <c r="N147" s="1">
        <v>0</v>
      </c>
      <c r="O147" s="1">
        <v>0</v>
      </c>
      <c r="P147" s="1">
        <v>0</v>
      </c>
      <c r="Q147" s="1">
        <v>0</v>
      </c>
      <c r="R147" s="1">
        <v>0</v>
      </c>
      <c r="S147" s="67"/>
      <c r="T147">
        <f>VLOOKUP(A147,'Groupe de branches'!$Z$27:$AM$86,14,FALSE)</f>
        <v>0</v>
      </c>
      <c r="U147">
        <f>VLOOKUP(D147,'Groupe de branches'!$Z$27:$AM$86,14,FALSE)</f>
        <v>0</v>
      </c>
      <c r="V147">
        <v>2016</v>
      </c>
      <c r="W147" t="str">
        <f>VLOOKUP(D147,'Table corresp.'!$M$4:$S$63,7,FALSE)</f>
        <v>Construction</v>
      </c>
      <c r="X147" s="167">
        <f>IFERROR(G147/SUMIFS('Comp2016-2017 (3)'!$I$5:$I$289,'Comp2016-2017 (3)'!$A$5:$A$289,A147,'Comp2016-2017 (3)'!$R$5:$R$289,V147),0)</f>
        <v>7.8123088661412807E-3</v>
      </c>
      <c r="Y147" s="178">
        <f>IFERROR(IF(RIGHT(F147,3)="Exp",VLOOKUP(F147,#REF!,2,FALSE),VLOOKUP(F147,#REF!,9,FALSE)),1)</f>
        <v>1</v>
      </c>
      <c r="Z147" s="167">
        <f t="shared" si="14"/>
        <v>8.3333333333333329E-2</v>
      </c>
      <c r="AA147" s="189">
        <f t="shared" si="15"/>
        <v>6.5102573884510669E-4</v>
      </c>
      <c r="AB147" s="2">
        <f>IFERROR(SUMIFS('Comp2016-2017 (3)'!$G$5:$G$289,'Comp2016-2017 (3)'!$A$5:$A$289,A147,'Comp2016-2017 (3)'!$R$5:$R$289,V147)*AA147/SUMIFS($AA$4:$AA$1116,$A$4:$A$1116,A147,$V$4:$V$1116,V147),0)</f>
        <v>446.15210747686598</v>
      </c>
      <c r="AC147" s="2" t="str">
        <f>IF($W147=AC$3,$AB147,IF(NOT($W147=0),"",SUMIFS('Val-Vol (2)'!AC$4:AC$1116,'Val-Vol (2)'!$A$4:$A$1116,$D147,'Val-Vol (2)'!$V$4:$V$1116,$V147)/SUMIFS('Comp2016-2017 (3)'!$G$5:$G$289,'Comp2016-2017 (3)'!$A$5:$A$289,$D147,'Comp2016-2017 (3)'!$R$5:$R$289,$V147)*$AB147))</f>
        <v/>
      </c>
      <c r="AD147" s="2">
        <f>IF($W147=AD$3,$AB147,IF(NOT($W147=0),"",SUMIFS('Val-Vol (2)'!AD$4:AD$1116,'Val-Vol (2)'!$A$4:$A$1116,$D147,'Val-Vol (2)'!$V$4:$V$1116,$V147)/SUMIFS('Comp2016-2017 (3)'!$G$5:$G$289,'Comp2016-2017 (3)'!$A$5:$A$289,$D147,'Comp2016-2017 (3)'!$R$5:$R$289,$V147)*$AB147))</f>
        <v>446.15210747686598</v>
      </c>
      <c r="AE147" s="2" t="str">
        <f>IF($W147=AE$3,$AB147,IF(NOT($W147=0),"",SUMIFS('Val-Vol (2)'!AE$4:AE$1116,'Val-Vol (2)'!$A$4:$A$1116,$D147,'Val-Vol (2)'!$V$4:$V$1116,$V147)/SUMIFS('Comp2016-2017 (3)'!$G$5:$G$289,'Comp2016-2017 (3)'!$A$5:$A$289,$D147,'Comp2016-2017 (3)'!$R$5:$R$289,$V147)*$AB147))</f>
        <v/>
      </c>
      <c r="AF147" s="2" t="str">
        <f>IF($W147=AF$3,$AB147,IF(NOT($W147=0),"",SUMIFS('Val-Vol (2)'!AF$4:AF$1116,'Val-Vol (2)'!$A$4:$A$1116,$D147,'Val-Vol (2)'!$V$4:$V$1116,$V147)/SUMIFS('Comp2016-2017 (3)'!$G$5:$G$289,'Comp2016-2017 (3)'!$A$5:$A$289,$D147,'Comp2016-2017 (3)'!$R$5:$R$289,$V147)*$AB147))</f>
        <v/>
      </c>
      <c r="AG147" s="2" t="str">
        <f>IF($W147=AG$3,$AB147,IF(NOT($W147=0),"",SUMIFS('Val-Vol (2)'!AG$4:AG$1116,'Val-Vol (2)'!$A$4:$A$1116,$D147,'Val-Vol (2)'!$V$4:$V$1116,$V147)/SUMIFS('Comp2016-2017 (3)'!$G$5:$G$289,'Comp2016-2017 (3)'!$A$5:$A$289,$D147,'Comp2016-2017 (3)'!$R$5:$R$289,$V147)*$AB147))</f>
        <v/>
      </c>
      <c r="AH147" s="2" t="str">
        <f>IF($W147=AH$3,$AB147,IF(NOT($W147=0),"",SUMIFS('Val-Vol (2)'!AH$4:AH$1116,'Val-Vol (2)'!$A$4:$A$1116,$D147,'Val-Vol (2)'!$V$4:$V$1116,$V147)/SUMIFS('Comp2016-2017 (3)'!$G$5:$G$289,'Comp2016-2017 (3)'!$A$5:$A$289,$D147,'Comp2016-2017 (3)'!$R$5:$R$289,$V147)*$AB147))</f>
        <v/>
      </c>
      <c r="AI147" s="2" t="str">
        <f>IF($W147=AI$3,$AB147,IF(NOT($W147=0),"",SUMIFS('Val-Vol (2)'!AI$4:AI$1116,'Val-Vol (2)'!$A$4:$A$1116,$D147,'Val-Vol (2)'!$V$4:$V$1116,$V147)/SUMIFS('Comp2016-2017 (3)'!$G$5:$G$289,'Comp2016-2017 (3)'!$A$5:$A$289,$D147,'Comp2016-2017 (3)'!$R$5:$R$289,$V147)*$AB147))</f>
        <v/>
      </c>
      <c r="AJ147" s="2" t="str">
        <f>IF($W147=AJ$3,$AB147,IF(NOT($W147=0),"",SUMIFS('Val-Vol (2)'!AJ$4:AJ$1116,'Val-Vol (2)'!$A$4:$A$1116,$D147,'Val-Vol (2)'!$V$4:$V$1116,$V147)/SUMIFS('Comp2016-2017 (3)'!$G$5:$G$289,'Comp2016-2017 (3)'!$A$5:$A$289,$D147,'Comp2016-2017 (3)'!$R$5:$R$289,$V147)*$AB147))</f>
        <v/>
      </c>
      <c r="AK147" s="2">
        <f t="shared" si="16"/>
        <v>0</v>
      </c>
      <c r="AL147" t="str">
        <f t="shared" si="13"/>
        <v/>
      </c>
      <c r="AM147" t="str">
        <f>VLOOKUP(A147,'Table corresp.'!$M$4:$U$63,8,FALSE)</f>
        <v>Production intermédiaire</v>
      </c>
      <c r="AN147" t="str">
        <f>VLOOKUP(D147,'Table corresp.'!$M$4:$U$63,9,FALSE)</f>
        <v xml:space="preserve">Mise en œuvre </v>
      </c>
    </row>
    <row r="148" spans="1:40" x14ac:dyDescent="0.25">
      <c r="A148" t="s">
        <v>8</v>
      </c>
      <c r="B148" t="str">
        <f>VLOOKUP(LEFT(A148,3),'Table corresp.'!$A$4:$D$63,3,FALSE)</f>
        <v>Transformation</v>
      </c>
      <c r="C148" t="str">
        <f>VLOOKUP(A148,'Table corresp.'!$M$4:$P$63,4,FALSE)</f>
        <v>Production et transformation de produits bois</v>
      </c>
      <c r="D148" t="s">
        <v>21</v>
      </c>
      <c r="E148" t="str">
        <f>VLOOKUP(LEFT(D148,3),'Table corresp.'!$A$4:$D$63,4,FALSE)</f>
        <v>Transformation</v>
      </c>
      <c r="F148" t="str">
        <f t="shared" si="12"/>
        <v xml:space="preserve">13  - 54 </v>
      </c>
      <c r="G148" s="1">
        <v>5000</v>
      </c>
      <c r="H148" s="1">
        <v>0</v>
      </c>
      <c r="I148" s="1">
        <v>5000</v>
      </c>
      <c r="J148" s="1">
        <v>19.960439335666909</v>
      </c>
      <c r="K148" s="1">
        <v>0</v>
      </c>
      <c r="L148" s="1">
        <v>19.960439335666909</v>
      </c>
      <c r="M148" s="1">
        <v>0</v>
      </c>
      <c r="N148" s="1">
        <v>0</v>
      </c>
      <c r="O148" s="1">
        <v>0</v>
      </c>
      <c r="P148" s="1">
        <v>0</v>
      </c>
      <c r="Q148" s="1">
        <v>0</v>
      </c>
      <c r="R148" s="1">
        <v>0</v>
      </c>
      <c r="S148" s="67"/>
      <c r="T148">
        <f>VLOOKUP(A148,'Groupe de branches'!$Z$27:$AM$86,14,FALSE)</f>
        <v>0</v>
      </c>
      <c r="U148">
        <f>VLOOKUP(D148,'Groupe de branches'!$Z$27:$AM$86,14,FALSE)</f>
        <v>0</v>
      </c>
      <c r="V148">
        <v>2016</v>
      </c>
      <c r="W148" t="str">
        <f>VLOOKUP(D148,'Table corresp.'!$M$4:$S$63,7,FALSE)</f>
        <v>Construction</v>
      </c>
      <c r="X148" s="167">
        <f>IFERROR(G148/SUMIFS('Comp2016-2017 (3)'!$I$5:$I$289,'Comp2016-2017 (3)'!$A$5:$A$289,A148,'Comp2016-2017 (3)'!$R$5:$R$289,V148),0)</f>
        <v>2.5834354716075664E-2</v>
      </c>
      <c r="Y148" s="178">
        <f>IFERROR(IF(RIGHT(F148,3)="Exp",VLOOKUP(F148,#REF!,2,FALSE),VLOOKUP(F148,#REF!,9,FALSE)),1)</f>
        <v>1</v>
      </c>
      <c r="Z148" s="167">
        <f t="shared" si="14"/>
        <v>8.3333333333333329E-2</v>
      </c>
      <c r="AA148" s="189">
        <f t="shared" si="15"/>
        <v>2.1528628930063054E-3</v>
      </c>
      <c r="AB148" s="2">
        <f>IFERROR(SUMIFS('Comp2016-2017 (3)'!$G$5:$G$289,'Comp2016-2017 (3)'!$A$5:$A$289,A148,'Comp2016-2017 (3)'!$R$5:$R$289,V148)*AA148/SUMIFS($AA$4:$AA$1116,$A$4:$A$1116,A148,$V$4:$V$1116,V148),0)</f>
        <v>1475.3707257832871</v>
      </c>
      <c r="AC148" s="2" t="str">
        <f>IF($W148=AC$3,$AB148,IF(NOT($W148=0),"",SUMIFS('Val-Vol (2)'!AC$4:AC$1116,'Val-Vol (2)'!$A$4:$A$1116,$D148,'Val-Vol (2)'!$V$4:$V$1116,$V148)/SUMIFS('Comp2016-2017 (3)'!$G$5:$G$289,'Comp2016-2017 (3)'!$A$5:$A$289,$D148,'Comp2016-2017 (3)'!$R$5:$R$289,$V148)*$AB148))</f>
        <v/>
      </c>
      <c r="AD148" s="2">
        <f>IF($W148=AD$3,$AB148,IF(NOT($W148=0),"",SUMIFS('Val-Vol (2)'!AD$4:AD$1116,'Val-Vol (2)'!$A$4:$A$1116,$D148,'Val-Vol (2)'!$V$4:$V$1116,$V148)/SUMIFS('Comp2016-2017 (3)'!$G$5:$G$289,'Comp2016-2017 (3)'!$A$5:$A$289,$D148,'Comp2016-2017 (3)'!$R$5:$R$289,$V148)*$AB148))</f>
        <v>1475.3707257832871</v>
      </c>
      <c r="AE148" s="2" t="str">
        <f>IF($W148=AE$3,$AB148,IF(NOT($W148=0),"",SUMIFS('Val-Vol (2)'!AE$4:AE$1116,'Val-Vol (2)'!$A$4:$A$1116,$D148,'Val-Vol (2)'!$V$4:$V$1116,$V148)/SUMIFS('Comp2016-2017 (3)'!$G$5:$G$289,'Comp2016-2017 (3)'!$A$5:$A$289,$D148,'Comp2016-2017 (3)'!$R$5:$R$289,$V148)*$AB148))</f>
        <v/>
      </c>
      <c r="AF148" s="2" t="str">
        <f>IF($W148=AF$3,$AB148,IF(NOT($W148=0),"",SUMIFS('Val-Vol (2)'!AF$4:AF$1116,'Val-Vol (2)'!$A$4:$A$1116,$D148,'Val-Vol (2)'!$V$4:$V$1116,$V148)/SUMIFS('Comp2016-2017 (3)'!$G$5:$G$289,'Comp2016-2017 (3)'!$A$5:$A$289,$D148,'Comp2016-2017 (3)'!$R$5:$R$289,$V148)*$AB148))</f>
        <v/>
      </c>
      <c r="AG148" s="2" t="str">
        <f>IF($W148=AG$3,$AB148,IF(NOT($W148=0),"",SUMIFS('Val-Vol (2)'!AG$4:AG$1116,'Val-Vol (2)'!$A$4:$A$1116,$D148,'Val-Vol (2)'!$V$4:$V$1116,$V148)/SUMIFS('Comp2016-2017 (3)'!$G$5:$G$289,'Comp2016-2017 (3)'!$A$5:$A$289,$D148,'Comp2016-2017 (3)'!$R$5:$R$289,$V148)*$AB148))</f>
        <v/>
      </c>
      <c r="AH148" s="2" t="str">
        <f>IF($W148=AH$3,$AB148,IF(NOT($W148=0),"",SUMIFS('Val-Vol (2)'!AH$4:AH$1116,'Val-Vol (2)'!$A$4:$A$1116,$D148,'Val-Vol (2)'!$V$4:$V$1116,$V148)/SUMIFS('Comp2016-2017 (3)'!$G$5:$G$289,'Comp2016-2017 (3)'!$A$5:$A$289,$D148,'Comp2016-2017 (3)'!$R$5:$R$289,$V148)*$AB148))</f>
        <v/>
      </c>
      <c r="AI148" s="2" t="str">
        <f>IF($W148=AI$3,$AB148,IF(NOT($W148=0),"",SUMIFS('Val-Vol (2)'!AI$4:AI$1116,'Val-Vol (2)'!$A$4:$A$1116,$D148,'Val-Vol (2)'!$V$4:$V$1116,$V148)/SUMIFS('Comp2016-2017 (3)'!$G$5:$G$289,'Comp2016-2017 (3)'!$A$5:$A$289,$D148,'Comp2016-2017 (3)'!$R$5:$R$289,$V148)*$AB148))</f>
        <v/>
      </c>
      <c r="AJ148" s="2" t="str">
        <f>IF($W148=AJ$3,$AB148,IF(NOT($W148=0),"",SUMIFS('Val-Vol (2)'!AJ$4:AJ$1116,'Val-Vol (2)'!$A$4:$A$1116,$D148,'Val-Vol (2)'!$V$4:$V$1116,$V148)/SUMIFS('Comp2016-2017 (3)'!$G$5:$G$289,'Comp2016-2017 (3)'!$A$5:$A$289,$D148,'Comp2016-2017 (3)'!$R$5:$R$289,$V148)*$AB148))</f>
        <v/>
      </c>
      <c r="AK148" s="2">
        <f t="shared" si="16"/>
        <v>0</v>
      </c>
      <c r="AL148" t="str">
        <f t="shared" si="13"/>
        <v/>
      </c>
      <c r="AM148" t="str">
        <f>VLOOKUP(A148,'Table corresp.'!$M$4:$U$63,8,FALSE)</f>
        <v>Production intermédiaire</v>
      </c>
      <c r="AN148" t="str">
        <f>VLOOKUP(D148,'Table corresp.'!$M$4:$U$63,9,FALSE)</f>
        <v xml:space="preserve">Mise en œuvre </v>
      </c>
    </row>
    <row r="149" spans="1:40" x14ac:dyDescent="0.25">
      <c r="A149" t="s">
        <v>8</v>
      </c>
      <c r="B149" t="str">
        <f>VLOOKUP(LEFT(A149,3),'Table corresp.'!$A$4:$D$63,3,FALSE)</f>
        <v>Transformation</v>
      </c>
      <c r="C149" t="str">
        <f>VLOOKUP(A149,'Table corresp.'!$M$4:$P$63,4,FALSE)</f>
        <v>Production et transformation de produits bois</v>
      </c>
      <c r="D149" t="s">
        <v>22</v>
      </c>
      <c r="E149" t="str">
        <f>VLOOKUP(LEFT(D149,3),'Table corresp.'!$A$4:$D$63,4,FALSE)</f>
        <v>Transformation</v>
      </c>
      <c r="F149" t="str">
        <f t="shared" si="12"/>
        <v xml:space="preserve">13  - 55 </v>
      </c>
      <c r="G149" s="1">
        <v>449.93032052558232</v>
      </c>
      <c r="H149" s="1">
        <v>0</v>
      </c>
      <c r="I149" s="1">
        <v>449.93032052558232</v>
      </c>
      <c r="J149" s="1">
        <v>1.7961613736256108</v>
      </c>
      <c r="K149" s="1">
        <v>0</v>
      </c>
      <c r="L149" s="1">
        <v>1.7961613736256108</v>
      </c>
      <c r="M149" s="1">
        <v>0</v>
      </c>
      <c r="N149" s="1">
        <v>0</v>
      </c>
      <c r="O149" s="1">
        <v>0</v>
      </c>
      <c r="P149" s="1">
        <v>0</v>
      </c>
      <c r="Q149" s="1">
        <v>0</v>
      </c>
      <c r="R149" s="1">
        <v>0</v>
      </c>
      <c r="S149" s="67"/>
      <c r="T149">
        <f>VLOOKUP(A149,'Groupe de branches'!$Z$27:$AM$86,14,FALSE)</f>
        <v>0</v>
      </c>
      <c r="U149">
        <f>VLOOKUP(D149,'Groupe de branches'!$Z$27:$AM$86,14,FALSE)</f>
        <v>0</v>
      </c>
      <c r="V149">
        <v>2016</v>
      </c>
      <c r="W149" t="str">
        <f>VLOOKUP(D149,'Table corresp.'!$M$4:$S$63,7,FALSE)</f>
        <v>Construction</v>
      </c>
      <c r="X149" s="167">
        <f>IFERROR(G149/SUMIFS('Comp2016-2017 (3)'!$I$5:$I$289,'Comp2016-2017 (3)'!$A$5:$A$289,A149,'Comp2016-2017 (3)'!$R$5:$R$289,V149),0)</f>
        <v>2.3247318995951024E-3</v>
      </c>
      <c r="Y149" s="178">
        <f>IFERROR(IF(RIGHT(F149,3)="Exp",VLOOKUP(F149,#REF!,2,FALSE),VLOOKUP(F149,#REF!,9,FALSE)),1)</f>
        <v>1</v>
      </c>
      <c r="Z149" s="167">
        <f t="shared" si="14"/>
        <v>8.3333333333333329E-2</v>
      </c>
      <c r="AA149" s="189">
        <f t="shared" si="15"/>
        <v>1.9372765829959185E-4</v>
      </c>
      <c r="AB149" s="2">
        <f>IFERROR(SUMIFS('Comp2016-2017 (3)'!$G$5:$G$289,'Comp2016-2017 (3)'!$A$5:$A$289,A149,'Comp2016-2017 (3)'!$R$5:$R$289,V149)*AA149/SUMIFS($AA$4:$AA$1116,$A$4:$A$1116,A149,$V$4:$V$1116,V149),0)</f>
        <v>132.76280470914705</v>
      </c>
      <c r="AC149" s="2" t="str">
        <f>IF($W149=AC$3,$AB149,IF(NOT($W149=0),"",SUMIFS('Val-Vol (2)'!AC$4:AC$1116,'Val-Vol (2)'!$A$4:$A$1116,$D149,'Val-Vol (2)'!$V$4:$V$1116,$V149)/SUMIFS('Comp2016-2017 (3)'!$G$5:$G$289,'Comp2016-2017 (3)'!$A$5:$A$289,$D149,'Comp2016-2017 (3)'!$R$5:$R$289,$V149)*$AB149))</f>
        <v/>
      </c>
      <c r="AD149" s="2">
        <f>IF($W149=AD$3,$AB149,IF(NOT($W149=0),"",SUMIFS('Val-Vol (2)'!AD$4:AD$1116,'Val-Vol (2)'!$A$4:$A$1116,$D149,'Val-Vol (2)'!$V$4:$V$1116,$V149)/SUMIFS('Comp2016-2017 (3)'!$G$5:$G$289,'Comp2016-2017 (3)'!$A$5:$A$289,$D149,'Comp2016-2017 (3)'!$R$5:$R$289,$V149)*$AB149))</f>
        <v>132.76280470914705</v>
      </c>
      <c r="AE149" s="2" t="str">
        <f>IF($W149=AE$3,$AB149,IF(NOT($W149=0),"",SUMIFS('Val-Vol (2)'!AE$4:AE$1116,'Val-Vol (2)'!$A$4:$A$1116,$D149,'Val-Vol (2)'!$V$4:$V$1116,$V149)/SUMIFS('Comp2016-2017 (3)'!$G$5:$G$289,'Comp2016-2017 (3)'!$A$5:$A$289,$D149,'Comp2016-2017 (3)'!$R$5:$R$289,$V149)*$AB149))</f>
        <v/>
      </c>
      <c r="AF149" s="2" t="str">
        <f>IF($W149=AF$3,$AB149,IF(NOT($W149=0),"",SUMIFS('Val-Vol (2)'!AF$4:AF$1116,'Val-Vol (2)'!$A$4:$A$1116,$D149,'Val-Vol (2)'!$V$4:$V$1116,$V149)/SUMIFS('Comp2016-2017 (3)'!$G$5:$G$289,'Comp2016-2017 (3)'!$A$5:$A$289,$D149,'Comp2016-2017 (3)'!$R$5:$R$289,$V149)*$AB149))</f>
        <v/>
      </c>
      <c r="AG149" s="2" t="str">
        <f>IF($W149=AG$3,$AB149,IF(NOT($W149=0),"",SUMIFS('Val-Vol (2)'!AG$4:AG$1116,'Val-Vol (2)'!$A$4:$A$1116,$D149,'Val-Vol (2)'!$V$4:$V$1116,$V149)/SUMIFS('Comp2016-2017 (3)'!$G$5:$G$289,'Comp2016-2017 (3)'!$A$5:$A$289,$D149,'Comp2016-2017 (3)'!$R$5:$R$289,$V149)*$AB149))</f>
        <v/>
      </c>
      <c r="AH149" s="2" t="str">
        <f>IF($W149=AH$3,$AB149,IF(NOT($W149=0),"",SUMIFS('Val-Vol (2)'!AH$4:AH$1116,'Val-Vol (2)'!$A$4:$A$1116,$D149,'Val-Vol (2)'!$V$4:$V$1116,$V149)/SUMIFS('Comp2016-2017 (3)'!$G$5:$G$289,'Comp2016-2017 (3)'!$A$5:$A$289,$D149,'Comp2016-2017 (3)'!$R$5:$R$289,$V149)*$AB149))</f>
        <v/>
      </c>
      <c r="AI149" s="2" t="str">
        <f>IF($W149=AI$3,$AB149,IF(NOT($W149=0),"",SUMIFS('Val-Vol (2)'!AI$4:AI$1116,'Val-Vol (2)'!$A$4:$A$1116,$D149,'Val-Vol (2)'!$V$4:$V$1116,$V149)/SUMIFS('Comp2016-2017 (3)'!$G$5:$G$289,'Comp2016-2017 (3)'!$A$5:$A$289,$D149,'Comp2016-2017 (3)'!$R$5:$R$289,$V149)*$AB149))</f>
        <v/>
      </c>
      <c r="AJ149" s="2" t="str">
        <f>IF($W149=AJ$3,$AB149,IF(NOT($W149=0),"",SUMIFS('Val-Vol (2)'!AJ$4:AJ$1116,'Val-Vol (2)'!$A$4:$A$1116,$D149,'Val-Vol (2)'!$V$4:$V$1116,$V149)/SUMIFS('Comp2016-2017 (3)'!$G$5:$G$289,'Comp2016-2017 (3)'!$A$5:$A$289,$D149,'Comp2016-2017 (3)'!$R$5:$R$289,$V149)*$AB149))</f>
        <v/>
      </c>
      <c r="AK149" s="2">
        <f t="shared" si="16"/>
        <v>0</v>
      </c>
      <c r="AL149" t="str">
        <f t="shared" si="13"/>
        <v/>
      </c>
      <c r="AM149" t="str">
        <f>VLOOKUP(A149,'Table corresp.'!$M$4:$U$63,8,FALSE)</f>
        <v>Production intermédiaire</v>
      </c>
      <c r="AN149" t="str">
        <f>VLOOKUP(D149,'Table corresp.'!$M$4:$U$63,9,FALSE)</f>
        <v xml:space="preserve">Mise en œuvre </v>
      </c>
    </row>
    <row r="150" spans="1:40" x14ac:dyDescent="0.25">
      <c r="A150" t="s">
        <v>8</v>
      </c>
      <c r="B150" t="str">
        <f>VLOOKUP(LEFT(A150,3),'Table corresp.'!$A$4:$D$63,3,FALSE)</f>
        <v>Transformation</v>
      </c>
      <c r="C150" t="str">
        <f>VLOOKUP(A150,'Table corresp.'!$M$4:$P$63,4,FALSE)</f>
        <v>Production et transformation de produits bois</v>
      </c>
      <c r="D150" t="s">
        <v>24</v>
      </c>
      <c r="E150" t="str">
        <f>VLOOKUP(LEFT(D150,3),'Table corresp.'!$A$4:$D$63,4,FALSE)</f>
        <v>Transformation</v>
      </c>
      <c r="F150" t="str">
        <f t="shared" si="12"/>
        <v xml:space="preserve">13  - 57 </v>
      </c>
      <c r="G150" s="1">
        <v>11229.023496547352</v>
      </c>
      <c r="H150" s="1">
        <v>0</v>
      </c>
      <c r="I150" s="1">
        <v>11229.023496547352</v>
      </c>
      <c r="J150" s="1">
        <v>101.88011013709625</v>
      </c>
      <c r="K150" s="1">
        <v>0</v>
      </c>
      <c r="L150" s="1">
        <v>101.88011013709625</v>
      </c>
      <c r="M150" s="1">
        <v>0</v>
      </c>
      <c r="N150" s="1">
        <v>0</v>
      </c>
      <c r="O150" s="1">
        <v>0</v>
      </c>
      <c r="P150" s="1">
        <v>0</v>
      </c>
      <c r="Q150" s="1">
        <v>0</v>
      </c>
      <c r="R150" s="1">
        <v>0</v>
      </c>
      <c r="S150" s="67"/>
      <c r="T150">
        <f>VLOOKUP(A150,'Groupe de branches'!$Z$27:$AM$86,14,FALSE)</f>
        <v>0</v>
      </c>
      <c r="U150">
        <f>VLOOKUP(D150,'Groupe de branches'!$Z$27:$AM$86,14,FALSE)</f>
        <v>0</v>
      </c>
      <c r="V150">
        <v>2016</v>
      </c>
      <c r="W150" t="str">
        <f>VLOOKUP(D150,'Table corresp.'!$M$4:$S$63,7,FALSE)</f>
        <v>Construction</v>
      </c>
      <c r="X150" s="167">
        <f>IFERROR(G150/SUMIFS('Comp2016-2017 (3)'!$I$5:$I$289,'Comp2016-2017 (3)'!$A$5:$A$289,A150,'Comp2016-2017 (3)'!$R$5:$R$289,V150),0)</f>
        <v>5.8018915224990503E-2</v>
      </c>
      <c r="Y150" s="178">
        <f>IFERROR(IF(RIGHT(F150,3)="Exp",VLOOKUP(F150,#REF!,2,FALSE),VLOOKUP(F150,#REF!,9,FALSE)),1)</f>
        <v>1</v>
      </c>
      <c r="Z150" s="167">
        <f t="shared" si="14"/>
        <v>8.3333333333333329E-2</v>
      </c>
      <c r="AA150" s="189">
        <f t="shared" si="15"/>
        <v>4.8349096020825419E-3</v>
      </c>
      <c r="AB150" s="2">
        <f>IFERROR(SUMIFS('Comp2016-2017 (3)'!$G$5:$G$289,'Comp2016-2017 (3)'!$A$5:$A$289,A150,'Comp2016-2017 (3)'!$R$5:$R$289,V150)*AA150/SUMIFS($AA$4:$AA$1116,$A$4:$A$1116,A150,$V$4:$V$1116,V150),0)</f>
        <v>3313.3945091877299</v>
      </c>
      <c r="AC150" s="2" t="str">
        <f>IF($W150=AC$3,$AB150,IF(NOT($W150=0),"",SUMIFS('Val-Vol (2)'!AC$4:AC$1116,'Val-Vol (2)'!$A$4:$A$1116,$D150,'Val-Vol (2)'!$V$4:$V$1116,$V150)/SUMIFS('Comp2016-2017 (3)'!$G$5:$G$289,'Comp2016-2017 (3)'!$A$5:$A$289,$D150,'Comp2016-2017 (3)'!$R$5:$R$289,$V150)*$AB150))</f>
        <v/>
      </c>
      <c r="AD150" s="2">
        <f>IF($W150=AD$3,$AB150,IF(NOT($W150=0),"",SUMIFS('Val-Vol (2)'!AD$4:AD$1116,'Val-Vol (2)'!$A$4:$A$1116,$D150,'Val-Vol (2)'!$V$4:$V$1116,$V150)/SUMIFS('Comp2016-2017 (3)'!$G$5:$G$289,'Comp2016-2017 (3)'!$A$5:$A$289,$D150,'Comp2016-2017 (3)'!$R$5:$R$289,$V150)*$AB150))</f>
        <v>3313.3945091877299</v>
      </c>
      <c r="AE150" s="2" t="str">
        <f>IF($W150=AE$3,$AB150,IF(NOT($W150=0),"",SUMIFS('Val-Vol (2)'!AE$4:AE$1116,'Val-Vol (2)'!$A$4:$A$1116,$D150,'Val-Vol (2)'!$V$4:$V$1116,$V150)/SUMIFS('Comp2016-2017 (3)'!$G$5:$G$289,'Comp2016-2017 (3)'!$A$5:$A$289,$D150,'Comp2016-2017 (3)'!$R$5:$R$289,$V150)*$AB150))</f>
        <v/>
      </c>
      <c r="AF150" s="2" t="str">
        <f>IF($W150=AF$3,$AB150,IF(NOT($W150=0),"",SUMIFS('Val-Vol (2)'!AF$4:AF$1116,'Val-Vol (2)'!$A$4:$A$1116,$D150,'Val-Vol (2)'!$V$4:$V$1116,$V150)/SUMIFS('Comp2016-2017 (3)'!$G$5:$G$289,'Comp2016-2017 (3)'!$A$5:$A$289,$D150,'Comp2016-2017 (3)'!$R$5:$R$289,$V150)*$AB150))</f>
        <v/>
      </c>
      <c r="AG150" s="2" t="str">
        <f>IF($W150=AG$3,$AB150,IF(NOT($W150=0),"",SUMIFS('Val-Vol (2)'!AG$4:AG$1116,'Val-Vol (2)'!$A$4:$A$1116,$D150,'Val-Vol (2)'!$V$4:$V$1116,$V150)/SUMIFS('Comp2016-2017 (3)'!$G$5:$G$289,'Comp2016-2017 (3)'!$A$5:$A$289,$D150,'Comp2016-2017 (3)'!$R$5:$R$289,$V150)*$AB150))</f>
        <v/>
      </c>
      <c r="AH150" s="2" t="str">
        <f>IF($W150=AH$3,$AB150,IF(NOT($W150=0),"",SUMIFS('Val-Vol (2)'!AH$4:AH$1116,'Val-Vol (2)'!$A$4:$A$1116,$D150,'Val-Vol (2)'!$V$4:$V$1116,$V150)/SUMIFS('Comp2016-2017 (3)'!$G$5:$G$289,'Comp2016-2017 (3)'!$A$5:$A$289,$D150,'Comp2016-2017 (3)'!$R$5:$R$289,$V150)*$AB150))</f>
        <v/>
      </c>
      <c r="AI150" s="2" t="str">
        <f>IF($W150=AI$3,$AB150,IF(NOT($W150=0),"",SUMIFS('Val-Vol (2)'!AI$4:AI$1116,'Val-Vol (2)'!$A$4:$A$1116,$D150,'Val-Vol (2)'!$V$4:$V$1116,$V150)/SUMIFS('Comp2016-2017 (3)'!$G$5:$G$289,'Comp2016-2017 (3)'!$A$5:$A$289,$D150,'Comp2016-2017 (3)'!$R$5:$R$289,$V150)*$AB150))</f>
        <v/>
      </c>
      <c r="AJ150" s="2" t="str">
        <f>IF($W150=AJ$3,$AB150,IF(NOT($W150=0),"",SUMIFS('Val-Vol (2)'!AJ$4:AJ$1116,'Val-Vol (2)'!$A$4:$A$1116,$D150,'Val-Vol (2)'!$V$4:$V$1116,$V150)/SUMIFS('Comp2016-2017 (3)'!$G$5:$G$289,'Comp2016-2017 (3)'!$A$5:$A$289,$D150,'Comp2016-2017 (3)'!$R$5:$R$289,$V150)*$AB150))</f>
        <v/>
      </c>
      <c r="AK150" s="2">
        <f t="shared" si="16"/>
        <v>0</v>
      </c>
      <c r="AL150" t="str">
        <f t="shared" si="13"/>
        <v/>
      </c>
      <c r="AM150" t="str">
        <f>VLOOKUP(A150,'Table corresp.'!$M$4:$U$63,8,FALSE)</f>
        <v>Production intermédiaire</v>
      </c>
      <c r="AN150" t="str">
        <f>VLOOKUP(D150,'Table corresp.'!$M$4:$U$63,9,FALSE)</f>
        <v xml:space="preserve">Mise en œuvre </v>
      </c>
    </row>
    <row r="151" spans="1:40" x14ac:dyDescent="0.25">
      <c r="A151" t="s">
        <v>8</v>
      </c>
      <c r="B151" t="str">
        <f>VLOOKUP(LEFT(A151,3),'Table corresp.'!$A$4:$D$63,3,FALSE)</f>
        <v>Transformation</v>
      </c>
      <c r="C151" t="str">
        <f>VLOOKUP(A151,'Table corresp.'!$M$4:$P$63,4,FALSE)</f>
        <v>Production et transformation de produits bois</v>
      </c>
      <c r="D151" t="s">
        <v>26</v>
      </c>
      <c r="E151" t="str">
        <f>VLOOKUP(LEFT(D151,3),'Table corresp.'!$A$4:$D$63,4,FALSE)</f>
        <v>Transformation</v>
      </c>
      <c r="F151" t="str">
        <f t="shared" si="12"/>
        <v xml:space="preserve">13  - 59 </v>
      </c>
      <c r="G151" s="1">
        <v>1512</v>
      </c>
      <c r="H151" s="1">
        <v>0</v>
      </c>
      <c r="I151" s="1">
        <v>1512</v>
      </c>
      <c r="J151" s="1">
        <v>16.766769041960206</v>
      </c>
      <c r="K151" s="1">
        <v>0</v>
      </c>
      <c r="L151" s="1">
        <v>16.766769041960206</v>
      </c>
      <c r="M151" s="1">
        <v>0</v>
      </c>
      <c r="N151" s="1">
        <v>0</v>
      </c>
      <c r="O151" s="1">
        <v>0</v>
      </c>
      <c r="P151" s="1">
        <v>0</v>
      </c>
      <c r="Q151" s="1">
        <v>0</v>
      </c>
      <c r="R151" s="1">
        <v>0</v>
      </c>
      <c r="S151" s="67"/>
      <c r="T151">
        <f>VLOOKUP(A151,'Groupe de branches'!$Z$27:$AM$86,14,FALSE)</f>
        <v>0</v>
      </c>
      <c r="U151">
        <f>VLOOKUP(D151,'Groupe de branches'!$Z$27:$AM$86,14,FALSE)</f>
        <v>0</v>
      </c>
      <c r="V151">
        <v>2016</v>
      </c>
      <c r="W151" t="str">
        <f>VLOOKUP(D151,'Table corresp.'!$M$4:$S$63,7,FALSE)</f>
        <v>Construction</v>
      </c>
      <c r="X151" s="167">
        <f>IFERROR(G151/SUMIFS('Comp2016-2017 (3)'!$I$5:$I$289,'Comp2016-2017 (3)'!$A$5:$A$289,A151,'Comp2016-2017 (3)'!$R$5:$R$289,V151),0)</f>
        <v>7.8123088661412807E-3</v>
      </c>
      <c r="Y151" s="178">
        <f>IFERROR(IF(RIGHT(F151,3)="Exp",VLOOKUP(F151,#REF!,2,FALSE),VLOOKUP(F151,#REF!,9,FALSE)),1)</f>
        <v>1</v>
      </c>
      <c r="Z151" s="167">
        <f t="shared" si="14"/>
        <v>8.3333333333333329E-2</v>
      </c>
      <c r="AA151" s="189">
        <f t="shared" si="15"/>
        <v>6.5102573884510669E-4</v>
      </c>
      <c r="AB151" s="2">
        <f>IFERROR(SUMIFS('Comp2016-2017 (3)'!$G$5:$G$289,'Comp2016-2017 (3)'!$A$5:$A$289,A151,'Comp2016-2017 (3)'!$R$5:$R$289,V151)*AA151/SUMIFS($AA$4:$AA$1116,$A$4:$A$1116,A151,$V$4:$V$1116,V151),0)</f>
        <v>446.15210747686598</v>
      </c>
      <c r="AC151" s="2" t="str">
        <f>IF($W151=AC$3,$AB151,IF(NOT($W151=0),"",SUMIFS('Val-Vol (2)'!AC$4:AC$1116,'Val-Vol (2)'!$A$4:$A$1116,$D151,'Val-Vol (2)'!$V$4:$V$1116,$V151)/SUMIFS('Comp2016-2017 (3)'!$G$5:$G$289,'Comp2016-2017 (3)'!$A$5:$A$289,$D151,'Comp2016-2017 (3)'!$R$5:$R$289,$V151)*$AB151))</f>
        <v/>
      </c>
      <c r="AD151" s="2">
        <f>IF($W151=AD$3,$AB151,IF(NOT($W151=0),"",SUMIFS('Val-Vol (2)'!AD$4:AD$1116,'Val-Vol (2)'!$A$4:$A$1116,$D151,'Val-Vol (2)'!$V$4:$V$1116,$V151)/SUMIFS('Comp2016-2017 (3)'!$G$5:$G$289,'Comp2016-2017 (3)'!$A$5:$A$289,$D151,'Comp2016-2017 (3)'!$R$5:$R$289,$V151)*$AB151))</f>
        <v>446.15210747686598</v>
      </c>
      <c r="AE151" s="2" t="str">
        <f>IF($W151=AE$3,$AB151,IF(NOT($W151=0),"",SUMIFS('Val-Vol (2)'!AE$4:AE$1116,'Val-Vol (2)'!$A$4:$A$1116,$D151,'Val-Vol (2)'!$V$4:$V$1116,$V151)/SUMIFS('Comp2016-2017 (3)'!$G$5:$G$289,'Comp2016-2017 (3)'!$A$5:$A$289,$D151,'Comp2016-2017 (3)'!$R$5:$R$289,$V151)*$AB151))</f>
        <v/>
      </c>
      <c r="AF151" s="2" t="str">
        <f>IF($W151=AF$3,$AB151,IF(NOT($W151=0),"",SUMIFS('Val-Vol (2)'!AF$4:AF$1116,'Val-Vol (2)'!$A$4:$A$1116,$D151,'Val-Vol (2)'!$V$4:$V$1116,$V151)/SUMIFS('Comp2016-2017 (3)'!$G$5:$G$289,'Comp2016-2017 (3)'!$A$5:$A$289,$D151,'Comp2016-2017 (3)'!$R$5:$R$289,$V151)*$AB151))</f>
        <v/>
      </c>
      <c r="AG151" s="2" t="str">
        <f>IF($W151=AG$3,$AB151,IF(NOT($W151=0),"",SUMIFS('Val-Vol (2)'!AG$4:AG$1116,'Val-Vol (2)'!$A$4:$A$1116,$D151,'Val-Vol (2)'!$V$4:$V$1116,$V151)/SUMIFS('Comp2016-2017 (3)'!$G$5:$G$289,'Comp2016-2017 (3)'!$A$5:$A$289,$D151,'Comp2016-2017 (3)'!$R$5:$R$289,$V151)*$AB151))</f>
        <v/>
      </c>
      <c r="AH151" s="2" t="str">
        <f>IF($W151=AH$3,$AB151,IF(NOT($W151=0),"",SUMIFS('Val-Vol (2)'!AH$4:AH$1116,'Val-Vol (2)'!$A$4:$A$1116,$D151,'Val-Vol (2)'!$V$4:$V$1116,$V151)/SUMIFS('Comp2016-2017 (3)'!$G$5:$G$289,'Comp2016-2017 (3)'!$A$5:$A$289,$D151,'Comp2016-2017 (3)'!$R$5:$R$289,$V151)*$AB151))</f>
        <v/>
      </c>
      <c r="AI151" s="2" t="str">
        <f>IF($W151=AI$3,$AB151,IF(NOT($W151=0),"",SUMIFS('Val-Vol (2)'!AI$4:AI$1116,'Val-Vol (2)'!$A$4:$A$1116,$D151,'Val-Vol (2)'!$V$4:$V$1116,$V151)/SUMIFS('Comp2016-2017 (3)'!$G$5:$G$289,'Comp2016-2017 (3)'!$A$5:$A$289,$D151,'Comp2016-2017 (3)'!$R$5:$R$289,$V151)*$AB151))</f>
        <v/>
      </c>
      <c r="AJ151" s="2" t="str">
        <f>IF($W151=AJ$3,$AB151,IF(NOT($W151=0),"",SUMIFS('Val-Vol (2)'!AJ$4:AJ$1116,'Val-Vol (2)'!$A$4:$A$1116,$D151,'Val-Vol (2)'!$V$4:$V$1116,$V151)/SUMIFS('Comp2016-2017 (3)'!$G$5:$G$289,'Comp2016-2017 (3)'!$A$5:$A$289,$D151,'Comp2016-2017 (3)'!$R$5:$R$289,$V151)*$AB151))</f>
        <v/>
      </c>
      <c r="AK151" s="2">
        <f t="shared" si="16"/>
        <v>0</v>
      </c>
      <c r="AL151" t="str">
        <f t="shared" si="13"/>
        <v/>
      </c>
      <c r="AM151" t="str">
        <f>VLOOKUP(A151,'Table corresp.'!$M$4:$U$63,8,FALSE)</f>
        <v>Production intermédiaire</v>
      </c>
      <c r="AN151" t="str">
        <f>VLOOKUP(D151,'Table corresp.'!$M$4:$U$63,9,FALSE)</f>
        <v xml:space="preserve">Mise en œuvre </v>
      </c>
    </row>
    <row r="152" spans="1:40" x14ac:dyDescent="0.25">
      <c r="A152" t="s">
        <v>8</v>
      </c>
      <c r="B152" t="str">
        <f>VLOOKUP(LEFT(A152,3),'Table corresp.'!$A$4:$D$63,3,FALSE)</f>
        <v>Transformation</v>
      </c>
      <c r="C152" t="str">
        <f>VLOOKUP(A152,'Table corresp.'!$M$4:$P$63,4,FALSE)</f>
        <v>Production et transformation de produits bois</v>
      </c>
      <c r="D152" t="s">
        <v>54</v>
      </c>
      <c r="E152" t="str">
        <f>VLOOKUP(LEFT(D152,3),'Table corresp.'!$A$4:$D$63,4,FALSE)</f>
        <v>Consommation finale</v>
      </c>
      <c r="F152" t="str">
        <f t="shared" si="12"/>
        <v>13  - Con</v>
      </c>
      <c r="G152" s="1">
        <v>34391.821274999995</v>
      </c>
      <c r="H152" s="1">
        <v>0</v>
      </c>
      <c r="I152" s="1">
        <v>34391.821274999995</v>
      </c>
      <c r="J152" s="1">
        <v>296.70087732827341</v>
      </c>
      <c r="K152" s="1">
        <v>0</v>
      </c>
      <c r="L152" s="1">
        <v>296.70087732827341</v>
      </c>
      <c r="M152" s="1">
        <v>0</v>
      </c>
      <c r="N152" s="1">
        <v>0</v>
      </c>
      <c r="O152" s="1">
        <v>0</v>
      </c>
      <c r="P152" s="1">
        <v>0</v>
      </c>
      <c r="Q152" s="1">
        <v>0</v>
      </c>
      <c r="R152" s="1">
        <v>0</v>
      </c>
      <c r="S152" s="67"/>
      <c r="T152">
        <f>VLOOKUP(A152,'Groupe de branches'!$Z$27:$AM$86,14,FALSE)</f>
        <v>0</v>
      </c>
      <c r="U152">
        <f>VLOOKUP(D152,'Groupe de branches'!$Z$27:$AM$86,14,FALSE)</f>
        <v>0</v>
      </c>
      <c r="V152">
        <v>2016</v>
      </c>
      <c r="W152" t="str">
        <f>VLOOKUP(D152,'Table corresp.'!$M$4:$S$63,7,FALSE)</f>
        <v>Consommation finale</v>
      </c>
      <c r="X152" s="167">
        <f>IFERROR(G152/SUMIFS('Comp2016-2017 (3)'!$I$5:$I$289,'Comp2016-2017 (3)'!$A$5:$A$289,A152,'Comp2016-2017 (3)'!$R$5:$R$289,V152),0)</f>
        <v>0.17769810203004549</v>
      </c>
      <c r="Y152" s="178">
        <f>IFERROR(IF(RIGHT(F152,3)="Exp",VLOOKUP(F152,#REF!,2,FALSE),VLOOKUP(F152,#REF!,9,FALSE)),1)</f>
        <v>1</v>
      </c>
      <c r="Z152" s="167">
        <f t="shared" si="14"/>
        <v>8.3333333333333329E-2</v>
      </c>
      <c r="AA152" s="189">
        <f t="shared" si="15"/>
        <v>1.4808175169170457E-2</v>
      </c>
      <c r="AB152" s="2">
        <f>IFERROR(SUMIFS('Comp2016-2017 (3)'!$G$5:$G$289,'Comp2016-2017 (3)'!$A$5:$A$289,A152,'Comp2016-2017 (3)'!$R$5:$R$289,V152)*AA152/SUMIFS($AA$4:$AA$1116,$A$4:$A$1116,A152,$V$4:$V$1116,V152),0)</f>
        <v>10148.137263101167</v>
      </c>
      <c r="AC152" s="2" t="str">
        <f>IF($W152=AC$3,$AB152,IF(NOT($W152=0),"",SUMIFS('Val-Vol (2)'!AC$4:AC$1116,'Val-Vol (2)'!$A$4:$A$1116,$D152,'Val-Vol (2)'!$V$4:$V$1116,$V152)/SUMIFS('Comp2016-2017 (3)'!$G$5:$G$289,'Comp2016-2017 (3)'!$A$5:$A$289,$D152,'Comp2016-2017 (3)'!$R$5:$R$289,$V152)*$AB152))</f>
        <v/>
      </c>
      <c r="AD152" s="2" t="str">
        <f>IF($W152=AD$3,$AB152,IF(NOT($W152=0),"",SUMIFS('Val-Vol (2)'!AD$4:AD$1116,'Val-Vol (2)'!$A$4:$A$1116,$D152,'Val-Vol (2)'!$V$4:$V$1116,$V152)/SUMIFS('Comp2016-2017 (3)'!$G$5:$G$289,'Comp2016-2017 (3)'!$A$5:$A$289,$D152,'Comp2016-2017 (3)'!$R$5:$R$289,$V152)*$AB152))</f>
        <v/>
      </c>
      <c r="AE152" s="2" t="str">
        <f>IF($W152=AE$3,$AB152,IF(NOT($W152=0),"",SUMIFS('Val-Vol (2)'!AE$4:AE$1116,'Val-Vol (2)'!$A$4:$A$1116,$D152,'Val-Vol (2)'!$V$4:$V$1116,$V152)/SUMIFS('Comp2016-2017 (3)'!$G$5:$G$289,'Comp2016-2017 (3)'!$A$5:$A$289,$D152,'Comp2016-2017 (3)'!$R$5:$R$289,$V152)*$AB152))</f>
        <v/>
      </c>
      <c r="AF152" s="2" t="str">
        <f>IF($W152=AF$3,$AB152,IF(NOT($W152=0),"",SUMIFS('Val-Vol (2)'!AF$4:AF$1116,'Val-Vol (2)'!$A$4:$A$1116,$D152,'Val-Vol (2)'!$V$4:$V$1116,$V152)/SUMIFS('Comp2016-2017 (3)'!$G$5:$G$289,'Comp2016-2017 (3)'!$A$5:$A$289,$D152,'Comp2016-2017 (3)'!$R$5:$R$289,$V152)*$AB152))</f>
        <v/>
      </c>
      <c r="AG152" s="2" t="str">
        <f>IF($W152=AG$3,$AB152,IF(NOT($W152=0),"",SUMIFS('Val-Vol (2)'!AG$4:AG$1116,'Val-Vol (2)'!$A$4:$A$1116,$D152,'Val-Vol (2)'!$V$4:$V$1116,$V152)/SUMIFS('Comp2016-2017 (3)'!$G$5:$G$289,'Comp2016-2017 (3)'!$A$5:$A$289,$D152,'Comp2016-2017 (3)'!$R$5:$R$289,$V152)*$AB152))</f>
        <v/>
      </c>
      <c r="AH152" s="2" t="str">
        <f>IF($W152=AH$3,$AB152,IF(NOT($W152=0),"",SUMIFS('Val-Vol (2)'!AH$4:AH$1116,'Val-Vol (2)'!$A$4:$A$1116,$D152,'Val-Vol (2)'!$V$4:$V$1116,$V152)/SUMIFS('Comp2016-2017 (3)'!$G$5:$G$289,'Comp2016-2017 (3)'!$A$5:$A$289,$D152,'Comp2016-2017 (3)'!$R$5:$R$289,$V152)*$AB152))</f>
        <v/>
      </c>
      <c r="AI152" s="2" t="str">
        <f>IF($W152=AI$3,$AB152,IF(NOT($W152=0),"",SUMIFS('Val-Vol (2)'!AI$4:AI$1116,'Val-Vol (2)'!$A$4:$A$1116,$D152,'Val-Vol (2)'!$V$4:$V$1116,$V152)/SUMIFS('Comp2016-2017 (3)'!$G$5:$G$289,'Comp2016-2017 (3)'!$A$5:$A$289,$D152,'Comp2016-2017 (3)'!$R$5:$R$289,$V152)*$AB152))</f>
        <v/>
      </c>
      <c r="AJ152" s="2">
        <f>IF($W152=AJ$3,$AB152,IF(NOT($W152=0),"",SUMIFS('Val-Vol (2)'!AJ$4:AJ$1116,'Val-Vol (2)'!$A$4:$A$1116,$D152,'Val-Vol (2)'!$V$4:$V$1116,$V152)/SUMIFS('Comp2016-2017 (3)'!$G$5:$G$289,'Comp2016-2017 (3)'!$A$5:$A$289,$D152,'Comp2016-2017 (3)'!$R$5:$R$289,$V152)*$AB152))</f>
        <v>10148.137263101167</v>
      </c>
      <c r="AK152" s="2">
        <f t="shared" si="16"/>
        <v>0</v>
      </c>
      <c r="AL152" t="str">
        <f t="shared" si="13"/>
        <v/>
      </c>
      <c r="AM152" t="str">
        <f>VLOOKUP(A152,'Table corresp.'!$M$4:$U$63,8,FALSE)</f>
        <v>Production intermédiaire</v>
      </c>
      <c r="AN152" t="str">
        <f>VLOOKUP(D152,'Table corresp.'!$M$4:$U$63,9,FALSE)</f>
        <v>Consommation finale française</v>
      </c>
    </row>
    <row r="153" spans="1:40" x14ac:dyDescent="0.25">
      <c r="A153" t="s">
        <v>8</v>
      </c>
      <c r="B153" t="str">
        <f>VLOOKUP(LEFT(A153,3),'Table corresp.'!$A$4:$D$63,3,FALSE)</f>
        <v>Transformation</v>
      </c>
      <c r="C153" t="str">
        <f>VLOOKUP(A153,'Table corresp.'!$M$4:$P$63,4,FALSE)</f>
        <v>Production et transformation de produits bois</v>
      </c>
      <c r="D153" t="s">
        <v>53</v>
      </c>
      <c r="E153" t="str">
        <f>VLOOKUP(LEFT(D153,3),'Table corresp.'!$A$4:$D$63,4,FALSE)</f>
        <v>Exportation</v>
      </c>
      <c r="F153" t="str">
        <f t="shared" si="12"/>
        <v>13  - Exp</v>
      </c>
      <c r="G153" s="1">
        <v>20080</v>
      </c>
      <c r="H153" s="1">
        <v>0</v>
      </c>
      <c r="I153" s="1">
        <v>20080</v>
      </c>
      <c r="J153" s="1">
        <v>173.23169858068911</v>
      </c>
      <c r="K153" s="1">
        <v>0</v>
      </c>
      <c r="L153" s="1">
        <v>173.23169858068911</v>
      </c>
      <c r="M153" s="1">
        <v>0</v>
      </c>
      <c r="N153" s="1">
        <v>0</v>
      </c>
      <c r="O153" s="1">
        <v>0</v>
      </c>
      <c r="P153" s="1">
        <v>0</v>
      </c>
      <c r="Q153" s="1">
        <v>0</v>
      </c>
      <c r="R153" s="1">
        <v>0</v>
      </c>
      <c r="S153" s="67"/>
      <c r="T153">
        <f>VLOOKUP(A153,'Groupe de branches'!$Z$27:$AM$86,14,FALSE)</f>
        <v>0</v>
      </c>
      <c r="U153">
        <f>VLOOKUP(D153,'Groupe de branches'!$Z$27:$AM$86,14,FALSE)</f>
        <v>0</v>
      </c>
      <c r="V153">
        <v>2016</v>
      </c>
      <c r="W153" t="str">
        <f>VLOOKUP(D153,'Table corresp.'!$M$4:$S$63,7,FALSE)</f>
        <v>Exportation</v>
      </c>
      <c r="X153" s="167">
        <f>IFERROR(G153/SUMIFS('Comp2016-2017 (3)'!$I$5:$I$289,'Comp2016-2017 (3)'!$A$5:$A$289,A153,'Comp2016-2017 (3)'!$R$5:$R$289,V153),0)</f>
        <v>0.10375076853975987</v>
      </c>
      <c r="Y153" s="178">
        <f>IFERROR(IF(RIGHT(F153,3)="Exp",VLOOKUP(F153,#REF!,2,FALSE),VLOOKUP(F153,#REF!,9,FALSE)),1)</f>
        <v>1</v>
      </c>
      <c r="Z153" s="167">
        <f t="shared" si="14"/>
        <v>8.3333333333333329E-2</v>
      </c>
      <c r="AA153" s="189">
        <f t="shared" si="15"/>
        <v>8.6458973783133213E-3</v>
      </c>
      <c r="AB153" s="2">
        <f>IFERROR(SUMIFS('Comp2016-2017 (3)'!$G$5:$G$289,'Comp2016-2017 (3)'!$A$5:$A$289,A153,'Comp2016-2017 (3)'!$R$5:$R$289,V153)*AA153/SUMIFS($AA$4:$AA$1116,$A$4:$A$1116,A153,$V$4:$V$1116,V153),0)</f>
        <v>5925.0888347456803</v>
      </c>
      <c r="AC153" s="2">
        <f>IF($W153=AC$3,$AB153,IF(NOT($W153=0),"",SUMIFS('Val-Vol (2)'!AC$4:AC$1116,'Val-Vol (2)'!$A$4:$A$1116,$D153,'Val-Vol (2)'!$V$4:$V$1116,$V153)/SUMIFS('Comp2016-2017 (3)'!$G$5:$G$289,'Comp2016-2017 (3)'!$A$5:$A$289,$D153,'Comp2016-2017 (3)'!$R$5:$R$289,$V153)*$AB153))</f>
        <v>5925.0888347456803</v>
      </c>
      <c r="AD153" s="2" t="str">
        <f>IF($W153=AD$3,$AB153,IF(NOT($W153=0),"",SUMIFS('Val-Vol (2)'!AD$4:AD$1116,'Val-Vol (2)'!$A$4:$A$1116,$D153,'Val-Vol (2)'!$V$4:$V$1116,$V153)/SUMIFS('Comp2016-2017 (3)'!$G$5:$G$289,'Comp2016-2017 (3)'!$A$5:$A$289,$D153,'Comp2016-2017 (3)'!$R$5:$R$289,$V153)*$AB153))</f>
        <v/>
      </c>
      <c r="AE153" s="2" t="str">
        <f>IF($W153=AE$3,$AB153,IF(NOT($W153=0),"",SUMIFS('Val-Vol (2)'!AE$4:AE$1116,'Val-Vol (2)'!$A$4:$A$1116,$D153,'Val-Vol (2)'!$V$4:$V$1116,$V153)/SUMIFS('Comp2016-2017 (3)'!$G$5:$G$289,'Comp2016-2017 (3)'!$A$5:$A$289,$D153,'Comp2016-2017 (3)'!$R$5:$R$289,$V153)*$AB153))</f>
        <v/>
      </c>
      <c r="AF153" s="2" t="str">
        <f>IF($W153=AF$3,$AB153,IF(NOT($W153=0),"",SUMIFS('Val-Vol (2)'!AF$4:AF$1116,'Val-Vol (2)'!$A$4:$A$1116,$D153,'Val-Vol (2)'!$V$4:$V$1116,$V153)/SUMIFS('Comp2016-2017 (3)'!$G$5:$G$289,'Comp2016-2017 (3)'!$A$5:$A$289,$D153,'Comp2016-2017 (3)'!$R$5:$R$289,$V153)*$AB153))</f>
        <v/>
      </c>
      <c r="AG153" s="2" t="str">
        <f>IF($W153=AG$3,$AB153,IF(NOT($W153=0),"",SUMIFS('Val-Vol (2)'!AG$4:AG$1116,'Val-Vol (2)'!$A$4:$A$1116,$D153,'Val-Vol (2)'!$V$4:$V$1116,$V153)/SUMIFS('Comp2016-2017 (3)'!$G$5:$G$289,'Comp2016-2017 (3)'!$A$5:$A$289,$D153,'Comp2016-2017 (3)'!$R$5:$R$289,$V153)*$AB153))</f>
        <v/>
      </c>
      <c r="AH153" s="2" t="str">
        <f>IF($W153=AH$3,$AB153,IF(NOT($W153=0),"",SUMIFS('Val-Vol (2)'!AH$4:AH$1116,'Val-Vol (2)'!$A$4:$A$1116,$D153,'Val-Vol (2)'!$V$4:$V$1116,$V153)/SUMIFS('Comp2016-2017 (3)'!$G$5:$G$289,'Comp2016-2017 (3)'!$A$5:$A$289,$D153,'Comp2016-2017 (3)'!$R$5:$R$289,$V153)*$AB153))</f>
        <v/>
      </c>
      <c r="AI153" s="2" t="str">
        <f>IF($W153=AI$3,$AB153,IF(NOT($W153=0),"",SUMIFS('Val-Vol (2)'!AI$4:AI$1116,'Val-Vol (2)'!$A$4:$A$1116,$D153,'Val-Vol (2)'!$V$4:$V$1116,$V153)/SUMIFS('Comp2016-2017 (3)'!$G$5:$G$289,'Comp2016-2017 (3)'!$A$5:$A$289,$D153,'Comp2016-2017 (3)'!$R$5:$R$289,$V153)*$AB153))</f>
        <v/>
      </c>
      <c r="AJ153" s="2" t="str">
        <f>IF($W153=AJ$3,$AB153,IF(NOT($W153=0),"",SUMIFS('Val-Vol (2)'!AJ$4:AJ$1116,'Val-Vol (2)'!$A$4:$A$1116,$D153,'Val-Vol (2)'!$V$4:$V$1116,$V153)/SUMIFS('Comp2016-2017 (3)'!$G$5:$G$289,'Comp2016-2017 (3)'!$A$5:$A$289,$D153,'Comp2016-2017 (3)'!$R$5:$R$289,$V153)*$AB153))</f>
        <v/>
      </c>
      <c r="AK153" s="2">
        <f t="shared" si="16"/>
        <v>0</v>
      </c>
      <c r="AL153" t="str">
        <f t="shared" si="13"/>
        <v/>
      </c>
      <c r="AM153" t="str">
        <f>VLOOKUP(A153,'Table corresp.'!$M$4:$U$63,8,FALSE)</f>
        <v>Production intermédiaire</v>
      </c>
      <c r="AN153" t="str">
        <f>VLOOKUP(D153,'Table corresp.'!$M$4:$U$63,9,FALSE)</f>
        <v>Exportation</v>
      </c>
    </row>
    <row r="154" spans="1:40" x14ac:dyDescent="0.25">
      <c r="A154" t="s">
        <v>83</v>
      </c>
      <c r="B154" t="str">
        <f>VLOOKUP(LEFT(A154,3),'Table corresp.'!$A$4:$D$63,3,FALSE)</f>
        <v>Transformation</v>
      </c>
      <c r="C154" t="str">
        <f>VLOOKUP(A154,'Table corresp.'!$M$4:$P$63,4,FALSE)</f>
        <v>Production et transformation de produits bois</v>
      </c>
      <c r="D154" t="s">
        <v>13</v>
      </c>
      <c r="E154" t="str">
        <f>VLOOKUP(LEFT(D154,3),'Table corresp.'!$A$4:$D$63,4,FALSE)</f>
        <v>Transformation</v>
      </c>
      <c r="F154" t="str">
        <f t="shared" si="12"/>
        <v xml:space="preserve">14  - 20 </v>
      </c>
      <c r="G154" s="1">
        <v>3861.5</v>
      </c>
      <c r="H154" s="1">
        <v>44828.5</v>
      </c>
      <c r="I154" s="1">
        <v>48690</v>
      </c>
      <c r="J154" s="1">
        <v>30.201991019925334</v>
      </c>
      <c r="K154" s="1">
        <v>165.17599921196836</v>
      </c>
      <c r="L154" s="1">
        <v>195.3779902318937</v>
      </c>
      <c r="M154" s="1">
        <v>0</v>
      </c>
      <c r="N154" s="1">
        <v>0</v>
      </c>
      <c r="O154" s="1">
        <v>0</v>
      </c>
      <c r="P154" s="1">
        <v>0</v>
      </c>
      <c r="Q154" s="1">
        <v>0</v>
      </c>
      <c r="R154" s="1">
        <v>0</v>
      </c>
      <c r="S154" s="67"/>
      <c r="T154">
        <f>VLOOKUP(A154,'Groupe de branches'!$Z$27:$AM$86,14,FALSE)</f>
        <v>0</v>
      </c>
      <c r="U154">
        <f>VLOOKUP(D154,'Groupe de branches'!$Z$27:$AM$86,14,FALSE)</f>
        <v>0</v>
      </c>
      <c r="V154">
        <v>2016</v>
      </c>
      <c r="W154">
        <f>VLOOKUP(D154,'Table corresp.'!$M$4:$S$63,7,FALSE)</f>
        <v>0</v>
      </c>
      <c r="X154" s="167">
        <f>IFERROR(G154/SUMIFS('Comp2016-2017 (3)'!$I$5:$I$289,'Comp2016-2017 (3)'!$A$5:$A$289,A154,'Comp2016-2017 (3)'!$R$5:$R$289,V154),0)</f>
        <v>2.9184451305635555E-2</v>
      </c>
      <c r="Y154" s="178">
        <f>IFERROR(IF(RIGHT(F154,3)="Exp",VLOOKUP(F154,#REF!,2,FALSE),VLOOKUP(F154,#REF!,9,FALSE)),1)</f>
        <v>1</v>
      </c>
      <c r="Z154" s="167">
        <f t="shared" si="14"/>
        <v>7.1428571428571425E-2</v>
      </c>
      <c r="AA154" s="189">
        <f t="shared" si="15"/>
        <v>2.0846036646882536E-3</v>
      </c>
      <c r="AB154" s="2">
        <f>IFERROR(SUMIFS('Comp2016-2017 (3)'!$G$5:$G$289,'Comp2016-2017 (3)'!$A$5:$A$289,A154,'Comp2016-2017 (3)'!$R$5:$R$289,V154)*AA154/SUMIFS($AA$4:$AA$1116,$A$4:$A$1116,A154,$V$4:$V$1116,V154),0)</f>
        <v>895.87043984690411</v>
      </c>
      <c r="AC154" s="2">
        <f>IF($W154=AC$3,$AB154,IF(NOT($W154=0),"",SUMIFS('Val-Vol (2)'!AC$4:AC$1116,'Val-Vol (2)'!$A$4:$A$1116,$D154,'Val-Vol (2)'!$V$4:$V$1116,$V154)/SUMIFS('Comp2016-2017 (3)'!$G$5:$G$289,'Comp2016-2017 (3)'!$A$5:$A$289,$D154,'Comp2016-2017 (3)'!$R$5:$R$289,$V154)*$AB154))</f>
        <v>101.5166454604054</v>
      </c>
      <c r="AD154" s="2">
        <f>IF($W154=AD$3,$AB154,IF(NOT($W154=0),"",SUMIFS('Val-Vol (2)'!AD$4:AD$1116,'Val-Vol (2)'!$A$4:$A$1116,$D154,'Val-Vol (2)'!$V$4:$V$1116,$V154)/SUMIFS('Comp2016-2017 (3)'!$G$5:$G$289,'Comp2016-2017 (3)'!$A$5:$A$289,$D154,'Comp2016-2017 (3)'!$R$5:$R$289,$V154)*$AB154))</f>
        <v>482.59336569885727</v>
      </c>
      <c r="AE154" s="2">
        <f>IF($W154=AE$3,$AB154,IF(NOT($W154=0),"",SUMIFS('Val-Vol (2)'!AE$4:AE$1116,'Val-Vol (2)'!$A$4:$A$1116,$D154,'Val-Vol (2)'!$V$4:$V$1116,$V154)/SUMIFS('Comp2016-2017 (3)'!$G$5:$G$289,'Comp2016-2017 (3)'!$A$5:$A$289,$D154,'Comp2016-2017 (3)'!$R$5:$R$289,$V154)*$AB154))</f>
        <v>0</v>
      </c>
      <c r="AF154" s="2">
        <f>IF($W154=AF$3,$AB154,IF(NOT($W154=0),"",SUMIFS('Val-Vol (2)'!AF$4:AF$1116,'Val-Vol (2)'!$A$4:$A$1116,$D154,'Val-Vol (2)'!$V$4:$V$1116,$V154)/SUMIFS('Comp2016-2017 (3)'!$G$5:$G$289,'Comp2016-2017 (3)'!$A$5:$A$289,$D154,'Comp2016-2017 (3)'!$R$5:$R$289,$V154)*$AB154))</f>
        <v>0</v>
      </c>
      <c r="AG154" s="2">
        <f>IF($W154=AG$3,$AB154,IF(NOT($W154=0),"",SUMIFS('Val-Vol (2)'!AG$4:AG$1116,'Val-Vol (2)'!$A$4:$A$1116,$D154,'Val-Vol (2)'!$V$4:$V$1116,$V154)/SUMIFS('Comp2016-2017 (3)'!$G$5:$G$289,'Comp2016-2017 (3)'!$A$5:$A$289,$D154,'Comp2016-2017 (3)'!$R$5:$R$289,$V154)*$AB154))</f>
        <v>0</v>
      </c>
      <c r="AH154" s="2">
        <f>IF($W154=AH$3,$AB154,IF(NOT($W154=0),"",SUMIFS('Val-Vol (2)'!AH$4:AH$1116,'Val-Vol (2)'!$A$4:$A$1116,$D154,'Val-Vol (2)'!$V$4:$V$1116,$V154)/SUMIFS('Comp2016-2017 (3)'!$G$5:$G$289,'Comp2016-2017 (3)'!$A$5:$A$289,$D154,'Comp2016-2017 (3)'!$R$5:$R$289,$V154)*$AB154))</f>
        <v>0</v>
      </c>
      <c r="AI154" s="2">
        <f>IF($W154=AI$3,$AB154,IF(NOT($W154=0),"",SUMIFS('Val-Vol (2)'!AI$4:AI$1116,'Val-Vol (2)'!$A$4:$A$1116,$D154,'Val-Vol (2)'!$V$4:$V$1116,$V154)/SUMIFS('Comp2016-2017 (3)'!$G$5:$G$289,'Comp2016-2017 (3)'!$A$5:$A$289,$D154,'Comp2016-2017 (3)'!$R$5:$R$289,$V154)*$AB154))</f>
        <v>0</v>
      </c>
      <c r="AJ154" s="2">
        <f>IF($W154=AJ$3,$AB154,IF(NOT($W154=0),"",SUMIFS('Val-Vol (2)'!AJ$4:AJ$1116,'Val-Vol (2)'!$A$4:$A$1116,$D154,'Val-Vol (2)'!$V$4:$V$1116,$V154)/SUMIFS('Comp2016-2017 (3)'!$G$5:$G$289,'Comp2016-2017 (3)'!$A$5:$A$289,$D154,'Comp2016-2017 (3)'!$R$5:$R$289,$V154)*$AB154))</f>
        <v>311.76042868764154</v>
      </c>
      <c r="AK154" s="2">
        <f t="shared" si="16"/>
        <v>0</v>
      </c>
      <c r="AL154" t="str">
        <f t="shared" si="13"/>
        <v/>
      </c>
      <c r="AM154" t="str">
        <f>VLOOKUP(A154,'Table corresp.'!$M$4:$U$63,8,FALSE)</f>
        <v>Production intermédiaire</v>
      </c>
      <c r="AN154" t="str">
        <f>VLOOKUP(D154,'Table corresp.'!$M$4:$U$63,9,FALSE)</f>
        <v>Production intermédiaire</v>
      </c>
    </row>
    <row r="155" spans="1:40" x14ac:dyDescent="0.25">
      <c r="A155" t="s">
        <v>83</v>
      </c>
      <c r="B155" t="str">
        <f>VLOOKUP(LEFT(A155,3),'Table corresp.'!$A$4:$D$63,3,FALSE)</f>
        <v>Transformation</v>
      </c>
      <c r="C155" t="str">
        <f>VLOOKUP(A155,'Table corresp.'!$M$4:$P$63,4,FALSE)</f>
        <v>Production et transformation de produits bois</v>
      </c>
      <c r="D155" t="s">
        <v>14</v>
      </c>
      <c r="E155" t="str">
        <f>VLOOKUP(LEFT(D155,3),'Table corresp.'!$A$4:$D$63,4,FALSE)</f>
        <v>Transformation</v>
      </c>
      <c r="F155" t="str">
        <f t="shared" si="12"/>
        <v>14  - 20b</v>
      </c>
      <c r="G155" s="1">
        <v>205.76711309523807</v>
      </c>
      <c r="H155" s="1">
        <v>1851.9040178571431</v>
      </c>
      <c r="I155" s="1">
        <v>2057.6711309523812</v>
      </c>
      <c r="J155" s="1">
        <v>2.0189210700657387</v>
      </c>
      <c r="K155" s="1">
        <v>8.5600253429387454</v>
      </c>
      <c r="L155" s="1">
        <v>10.578946413004484</v>
      </c>
      <c r="M155" s="1">
        <v>0</v>
      </c>
      <c r="N155" s="1">
        <v>0</v>
      </c>
      <c r="O155" s="1">
        <v>0</v>
      </c>
      <c r="P155" s="1">
        <v>0</v>
      </c>
      <c r="Q155" s="1">
        <v>0</v>
      </c>
      <c r="R155" s="1">
        <v>0</v>
      </c>
      <c r="S155" s="67"/>
      <c r="T155">
        <f>VLOOKUP(A155,'Groupe de branches'!$Z$27:$AM$86,14,FALSE)</f>
        <v>0</v>
      </c>
      <c r="U155">
        <f>VLOOKUP(D155,'Groupe de branches'!$Z$27:$AM$86,14,FALSE)</f>
        <v>0</v>
      </c>
      <c r="V155">
        <v>2016</v>
      </c>
      <c r="W155">
        <f>VLOOKUP(D155,'Table corresp.'!$M$4:$S$63,7,FALSE)</f>
        <v>0</v>
      </c>
      <c r="X155" s="167">
        <f>IFERROR(G155/SUMIFS('Comp2016-2017 (3)'!$I$5:$I$289,'Comp2016-2017 (3)'!$A$5:$A$289,A155,'Comp2016-2017 (3)'!$R$5:$R$289,V155),0)</f>
        <v>1.5551470393446018E-3</v>
      </c>
      <c r="Y155" s="178">
        <f>IFERROR(IF(RIGHT(F155,3)="Exp",VLOOKUP(F155,#REF!,2,FALSE),VLOOKUP(F155,#REF!,9,FALSE)),1)</f>
        <v>1</v>
      </c>
      <c r="Z155" s="167">
        <f t="shared" si="14"/>
        <v>7.1428571428571425E-2</v>
      </c>
      <c r="AA155" s="189">
        <f t="shared" si="15"/>
        <v>1.1108193138175727E-4</v>
      </c>
      <c r="AB155" s="2">
        <f>IFERROR(SUMIFS('Comp2016-2017 (3)'!$G$5:$G$289,'Comp2016-2017 (3)'!$A$5:$A$289,A155,'Comp2016-2017 (3)'!$R$5:$R$289,V155)*AA155/SUMIFS($AA$4:$AA$1116,$A$4:$A$1116,A155,$V$4:$V$1116,V155),0)</f>
        <v>47.73810024981448</v>
      </c>
      <c r="AC155" s="2">
        <f>IF($W155=AC$3,$AB155,IF(NOT($W155=0),"",SUMIFS('Val-Vol (2)'!AC$4:AC$1116,'Val-Vol (2)'!$A$4:$A$1116,$D155,'Val-Vol (2)'!$V$4:$V$1116,$V155)/SUMIFS('Comp2016-2017 (3)'!$G$5:$G$289,'Comp2016-2017 (3)'!$A$5:$A$289,$D155,'Comp2016-2017 (3)'!$R$5:$R$289,$V155)*$AB155))</f>
        <v>12.181779913116104</v>
      </c>
      <c r="AD155" s="2">
        <f>IF($W155=AD$3,$AB155,IF(NOT($W155=0),"",SUMIFS('Val-Vol (2)'!AD$4:AD$1116,'Val-Vol (2)'!$A$4:$A$1116,$D155,'Val-Vol (2)'!$V$4:$V$1116,$V155)/SUMIFS('Comp2016-2017 (3)'!$G$5:$G$289,'Comp2016-2017 (3)'!$A$5:$A$289,$D155,'Comp2016-2017 (3)'!$R$5:$R$289,$V155)*$AB155))</f>
        <v>35.451905080300243</v>
      </c>
      <c r="AE155" s="2">
        <f>IF($W155=AE$3,$AB155,IF(NOT($W155=0),"",SUMIFS('Val-Vol (2)'!AE$4:AE$1116,'Val-Vol (2)'!$A$4:$A$1116,$D155,'Val-Vol (2)'!$V$4:$V$1116,$V155)/SUMIFS('Comp2016-2017 (3)'!$G$5:$G$289,'Comp2016-2017 (3)'!$A$5:$A$289,$D155,'Comp2016-2017 (3)'!$R$5:$R$289,$V155)*$AB155))</f>
        <v>0.10441525639813805</v>
      </c>
      <c r="AF155" s="2">
        <f>IF($W155=AF$3,$AB155,IF(NOT($W155=0),"",SUMIFS('Val-Vol (2)'!AF$4:AF$1116,'Val-Vol (2)'!$A$4:$A$1116,$D155,'Val-Vol (2)'!$V$4:$V$1116,$V155)/SUMIFS('Comp2016-2017 (3)'!$G$5:$G$289,'Comp2016-2017 (3)'!$A$5:$A$289,$D155,'Comp2016-2017 (3)'!$R$5:$R$289,$V155)*$AB155))</f>
        <v>0</v>
      </c>
      <c r="AG155" s="2">
        <f>IF($W155=AG$3,$AB155,IF(NOT($W155=0),"",SUMIFS('Val-Vol (2)'!AG$4:AG$1116,'Val-Vol (2)'!$A$4:$A$1116,$D155,'Val-Vol (2)'!$V$4:$V$1116,$V155)/SUMIFS('Comp2016-2017 (3)'!$G$5:$G$289,'Comp2016-2017 (3)'!$A$5:$A$289,$D155,'Comp2016-2017 (3)'!$R$5:$R$289,$V155)*$AB155))</f>
        <v>0</v>
      </c>
      <c r="AH155" s="2">
        <f>IF($W155=AH$3,$AB155,IF(NOT($W155=0),"",SUMIFS('Val-Vol (2)'!AH$4:AH$1116,'Val-Vol (2)'!$A$4:$A$1116,$D155,'Val-Vol (2)'!$V$4:$V$1116,$V155)/SUMIFS('Comp2016-2017 (3)'!$G$5:$G$289,'Comp2016-2017 (3)'!$A$5:$A$289,$D155,'Comp2016-2017 (3)'!$R$5:$R$289,$V155)*$AB155))</f>
        <v>0</v>
      </c>
      <c r="AI155" s="2">
        <f>IF($W155=AI$3,$AB155,IF(NOT($W155=0),"",SUMIFS('Val-Vol (2)'!AI$4:AI$1116,'Val-Vol (2)'!$A$4:$A$1116,$D155,'Val-Vol (2)'!$V$4:$V$1116,$V155)/SUMIFS('Comp2016-2017 (3)'!$G$5:$G$289,'Comp2016-2017 (3)'!$A$5:$A$289,$D155,'Comp2016-2017 (3)'!$R$5:$R$289,$V155)*$AB155))</f>
        <v>0</v>
      </c>
      <c r="AJ155" s="2">
        <f>IF($W155=AJ$3,$AB155,IF(NOT($W155=0),"",SUMIFS('Val-Vol (2)'!AJ$4:AJ$1116,'Val-Vol (2)'!$A$4:$A$1116,$D155,'Val-Vol (2)'!$V$4:$V$1116,$V155)/SUMIFS('Comp2016-2017 (3)'!$G$5:$G$289,'Comp2016-2017 (3)'!$A$5:$A$289,$D155,'Comp2016-2017 (3)'!$R$5:$R$289,$V155)*$AB155))</f>
        <v>0</v>
      </c>
      <c r="AK155" s="2">
        <f t="shared" si="16"/>
        <v>0</v>
      </c>
      <c r="AL155" t="str">
        <f t="shared" si="13"/>
        <v/>
      </c>
      <c r="AM155" t="str">
        <f>VLOOKUP(A155,'Table corresp.'!$M$4:$U$63,8,FALSE)</f>
        <v>Production intermédiaire</v>
      </c>
      <c r="AN155" t="str">
        <f>VLOOKUP(D155,'Table corresp.'!$M$4:$U$63,9,FALSE)</f>
        <v>Production intermédiaire</v>
      </c>
    </row>
    <row r="156" spans="1:40" x14ac:dyDescent="0.25">
      <c r="A156" t="s">
        <v>83</v>
      </c>
      <c r="B156" t="str">
        <f>VLOOKUP(LEFT(A156,3),'Table corresp.'!$A$4:$D$63,3,FALSE)</f>
        <v>Transformation</v>
      </c>
      <c r="C156" t="str">
        <f>VLOOKUP(A156,'Table corresp.'!$M$4:$P$63,4,FALSE)</f>
        <v>Production et transformation de produits bois</v>
      </c>
      <c r="D156" t="s">
        <v>85</v>
      </c>
      <c r="E156" t="str">
        <f>VLOOKUP(LEFT(D156,3),'Table corresp.'!$A$4:$D$63,4,FALSE)</f>
        <v>Transformation</v>
      </c>
      <c r="F156" t="str">
        <f t="shared" si="12"/>
        <v xml:space="preserve">14  - 29 </v>
      </c>
      <c r="G156" s="1">
        <v>217.39147646935271</v>
      </c>
      <c r="H156" s="1">
        <v>6956.5232882241598</v>
      </c>
      <c r="I156" s="1">
        <v>7173.9147646935126</v>
      </c>
      <c r="J156" s="1">
        <v>2.3995975542759744</v>
      </c>
      <c r="K156" s="1">
        <v>36.174400484967769</v>
      </c>
      <c r="L156" s="1">
        <v>38.573998039243747</v>
      </c>
      <c r="M156" s="1">
        <v>0</v>
      </c>
      <c r="N156" s="1">
        <v>0</v>
      </c>
      <c r="O156" s="1">
        <v>0</v>
      </c>
      <c r="P156" s="1">
        <v>0</v>
      </c>
      <c r="Q156" s="1">
        <v>0</v>
      </c>
      <c r="R156" s="1">
        <v>0</v>
      </c>
      <c r="S156" s="67"/>
      <c r="T156">
        <f>VLOOKUP(A156,'Groupe de branches'!$Z$27:$AM$86,14,FALSE)</f>
        <v>0</v>
      </c>
      <c r="U156">
        <f>VLOOKUP(D156,'Groupe de branches'!$Z$27:$AM$86,14,FALSE)</f>
        <v>0</v>
      </c>
      <c r="V156">
        <v>2016</v>
      </c>
      <c r="W156" t="str">
        <f>VLOOKUP(D156,'Table corresp.'!$M$4:$S$63,7,FALSE)</f>
        <v>Construction</v>
      </c>
      <c r="X156" s="167">
        <f>IFERROR(G156/SUMIFS('Comp2016-2017 (3)'!$I$5:$I$289,'Comp2016-2017 (3)'!$A$5:$A$289,A156,'Comp2016-2017 (3)'!$R$5:$R$289,V156),0)</f>
        <v>1.6430016727385839E-3</v>
      </c>
      <c r="Y156" s="178">
        <f>IFERROR(IF(RIGHT(F156,3)="Exp",VLOOKUP(F156,#REF!,2,FALSE),VLOOKUP(F156,#REF!,9,FALSE)),1)</f>
        <v>1</v>
      </c>
      <c r="Z156" s="167">
        <f t="shared" si="14"/>
        <v>7.1428571428571425E-2</v>
      </c>
      <c r="AA156" s="189">
        <f t="shared" si="15"/>
        <v>1.1735726233847026E-4</v>
      </c>
      <c r="AB156" s="2">
        <f>IFERROR(SUMIFS('Comp2016-2017 (3)'!$G$5:$G$289,'Comp2016-2017 (3)'!$A$5:$A$289,A156,'Comp2016-2017 (3)'!$R$5:$R$289,V156)*AA156/SUMIFS($AA$4:$AA$1116,$A$4:$A$1116,A156,$V$4:$V$1116,V156),0)</f>
        <v>50.434959897337023</v>
      </c>
      <c r="AC156" s="2" t="str">
        <f>IF($W156=AC$3,$AB156,IF(NOT($W156=0),"",SUMIFS('Val-Vol (2)'!AC$4:AC$1116,'Val-Vol (2)'!$A$4:$A$1116,$D156,'Val-Vol (2)'!$V$4:$V$1116,$V156)/SUMIFS('Comp2016-2017 (3)'!$G$5:$G$289,'Comp2016-2017 (3)'!$A$5:$A$289,$D156,'Comp2016-2017 (3)'!$R$5:$R$289,$V156)*$AB156))</f>
        <v/>
      </c>
      <c r="AD156" s="2">
        <f>IF($W156=AD$3,$AB156,IF(NOT($W156=0),"",SUMIFS('Val-Vol (2)'!AD$4:AD$1116,'Val-Vol (2)'!$A$4:$A$1116,$D156,'Val-Vol (2)'!$V$4:$V$1116,$V156)/SUMIFS('Comp2016-2017 (3)'!$G$5:$G$289,'Comp2016-2017 (3)'!$A$5:$A$289,$D156,'Comp2016-2017 (3)'!$R$5:$R$289,$V156)*$AB156))</f>
        <v>50.434959897337023</v>
      </c>
      <c r="AE156" s="2" t="str">
        <f>IF($W156=AE$3,$AB156,IF(NOT($W156=0),"",SUMIFS('Val-Vol (2)'!AE$4:AE$1116,'Val-Vol (2)'!$A$4:$A$1116,$D156,'Val-Vol (2)'!$V$4:$V$1116,$V156)/SUMIFS('Comp2016-2017 (3)'!$G$5:$G$289,'Comp2016-2017 (3)'!$A$5:$A$289,$D156,'Comp2016-2017 (3)'!$R$5:$R$289,$V156)*$AB156))</f>
        <v/>
      </c>
      <c r="AF156" s="2" t="str">
        <f>IF($W156=AF$3,$AB156,IF(NOT($W156=0),"",SUMIFS('Val-Vol (2)'!AF$4:AF$1116,'Val-Vol (2)'!$A$4:$A$1116,$D156,'Val-Vol (2)'!$V$4:$V$1116,$V156)/SUMIFS('Comp2016-2017 (3)'!$G$5:$G$289,'Comp2016-2017 (3)'!$A$5:$A$289,$D156,'Comp2016-2017 (3)'!$R$5:$R$289,$V156)*$AB156))</f>
        <v/>
      </c>
      <c r="AG156" s="2" t="str">
        <f>IF($W156=AG$3,$AB156,IF(NOT($W156=0),"",SUMIFS('Val-Vol (2)'!AG$4:AG$1116,'Val-Vol (2)'!$A$4:$A$1116,$D156,'Val-Vol (2)'!$V$4:$V$1116,$V156)/SUMIFS('Comp2016-2017 (3)'!$G$5:$G$289,'Comp2016-2017 (3)'!$A$5:$A$289,$D156,'Comp2016-2017 (3)'!$R$5:$R$289,$V156)*$AB156))</f>
        <v/>
      </c>
      <c r="AH156" s="2" t="str">
        <f>IF($W156=AH$3,$AB156,IF(NOT($W156=0),"",SUMIFS('Val-Vol (2)'!AH$4:AH$1116,'Val-Vol (2)'!$A$4:$A$1116,$D156,'Val-Vol (2)'!$V$4:$V$1116,$V156)/SUMIFS('Comp2016-2017 (3)'!$G$5:$G$289,'Comp2016-2017 (3)'!$A$5:$A$289,$D156,'Comp2016-2017 (3)'!$R$5:$R$289,$V156)*$AB156))</f>
        <v/>
      </c>
      <c r="AI156" s="2" t="str">
        <f>IF($W156=AI$3,$AB156,IF(NOT($W156=0),"",SUMIFS('Val-Vol (2)'!AI$4:AI$1116,'Val-Vol (2)'!$A$4:$A$1116,$D156,'Val-Vol (2)'!$V$4:$V$1116,$V156)/SUMIFS('Comp2016-2017 (3)'!$G$5:$G$289,'Comp2016-2017 (3)'!$A$5:$A$289,$D156,'Comp2016-2017 (3)'!$R$5:$R$289,$V156)*$AB156))</f>
        <v/>
      </c>
      <c r="AJ156" s="2" t="str">
        <f>IF($W156=AJ$3,$AB156,IF(NOT($W156=0),"",SUMIFS('Val-Vol (2)'!AJ$4:AJ$1116,'Val-Vol (2)'!$A$4:$A$1116,$D156,'Val-Vol (2)'!$V$4:$V$1116,$V156)/SUMIFS('Comp2016-2017 (3)'!$G$5:$G$289,'Comp2016-2017 (3)'!$A$5:$A$289,$D156,'Comp2016-2017 (3)'!$R$5:$R$289,$V156)*$AB156))</f>
        <v/>
      </c>
      <c r="AK156" s="2">
        <f t="shared" si="16"/>
        <v>0</v>
      </c>
      <c r="AL156" t="str">
        <f t="shared" si="13"/>
        <v/>
      </c>
      <c r="AM156" t="str">
        <f>VLOOKUP(A156,'Table corresp.'!$M$4:$U$63,8,FALSE)</f>
        <v>Production intermédiaire</v>
      </c>
      <c r="AN156" t="str">
        <f>VLOOKUP(D156,'Table corresp.'!$M$4:$U$63,9,FALSE)</f>
        <v>Production intermédiaire</v>
      </c>
    </row>
    <row r="157" spans="1:40" x14ac:dyDescent="0.25">
      <c r="A157" t="s">
        <v>83</v>
      </c>
      <c r="B157" t="str">
        <f>VLOOKUP(LEFT(A157,3),'Table corresp.'!$A$4:$D$63,3,FALSE)</f>
        <v>Transformation</v>
      </c>
      <c r="C157" t="str">
        <f>VLOOKUP(A157,'Table corresp.'!$M$4:$P$63,4,FALSE)</f>
        <v>Production et transformation de produits bois</v>
      </c>
      <c r="D157" t="s">
        <v>15</v>
      </c>
      <c r="E157" t="str">
        <f>VLOOKUP(LEFT(D157,3),'Table corresp.'!$A$4:$D$63,4,FALSE)</f>
        <v>Transformation</v>
      </c>
      <c r="F157" t="str">
        <f t="shared" si="12"/>
        <v xml:space="preserve">14  - 35 </v>
      </c>
      <c r="G157" s="1">
        <v>179.75266319999992</v>
      </c>
      <c r="H157" s="1">
        <v>1617.7739687999999</v>
      </c>
      <c r="I157" s="1">
        <v>1797.5266319999998</v>
      </c>
      <c r="J157" s="1">
        <v>1.6736921624874559</v>
      </c>
      <c r="K157" s="1">
        <v>7.0962889731514256</v>
      </c>
      <c r="L157" s="1">
        <v>8.769981135638881</v>
      </c>
      <c r="M157" s="1">
        <v>0</v>
      </c>
      <c r="N157" s="1">
        <v>0</v>
      </c>
      <c r="O157" s="1">
        <v>0</v>
      </c>
      <c r="P157" s="1">
        <v>0</v>
      </c>
      <c r="Q157" s="1">
        <v>0</v>
      </c>
      <c r="R157" s="1">
        <v>0</v>
      </c>
      <c r="S157" s="67"/>
      <c r="T157">
        <f>VLOOKUP(A157,'Groupe de branches'!$Z$27:$AM$86,14,FALSE)</f>
        <v>0</v>
      </c>
      <c r="U157">
        <f>VLOOKUP(D157,'Groupe de branches'!$Z$27:$AM$86,14,FALSE)</f>
        <v>0</v>
      </c>
      <c r="V157">
        <v>2016</v>
      </c>
      <c r="W157" t="str">
        <f>VLOOKUP(D157,'Table corresp.'!$M$4:$S$63,7,FALSE)</f>
        <v>Construction</v>
      </c>
      <c r="X157" s="167">
        <f>IFERROR(G157/SUMIFS('Comp2016-2017 (3)'!$I$5:$I$289,'Comp2016-2017 (3)'!$A$5:$A$289,A157,'Comp2016-2017 (3)'!$R$5:$R$289,V157),0)</f>
        <v>1.3585349854250176E-3</v>
      </c>
      <c r="Y157" s="178">
        <f>IFERROR(IF(RIGHT(F157,3)="Exp",VLOOKUP(F157,#REF!,2,FALSE),VLOOKUP(F157,#REF!,9,FALSE)),1)</f>
        <v>1</v>
      </c>
      <c r="Z157" s="167">
        <f t="shared" si="14"/>
        <v>7.1428571428571425E-2</v>
      </c>
      <c r="AA157" s="189">
        <f t="shared" si="15"/>
        <v>9.7038213244644112E-5</v>
      </c>
      <c r="AB157" s="2">
        <f>IFERROR(SUMIFS('Comp2016-2017 (3)'!$G$5:$G$289,'Comp2016-2017 (3)'!$A$5:$A$289,A157,'Comp2016-2017 (3)'!$R$5:$R$289,V157)*AA157/SUMIFS($AA$4:$AA$1116,$A$4:$A$1116,A157,$V$4:$V$1116,V157),0)</f>
        <v>41.702731437171146</v>
      </c>
      <c r="AC157" s="2" t="str">
        <f>IF($W157=AC$3,$AB157,IF(NOT($W157=0),"",SUMIFS('Val-Vol (2)'!AC$4:AC$1116,'Val-Vol (2)'!$A$4:$A$1116,$D157,'Val-Vol (2)'!$V$4:$V$1116,$V157)/SUMIFS('Comp2016-2017 (3)'!$G$5:$G$289,'Comp2016-2017 (3)'!$A$5:$A$289,$D157,'Comp2016-2017 (3)'!$R$5:$R$289,$V157)*$AB157))</f>
        <v/>
      </c>
      <c r="AD157" s="2">
        <f>IF($W157=AD$3,$AB157,IF(NOT($W157=0),"",SUMIFS('Val-Vol (2)'!AD$4:AD$1116,'Val-Vol (2)'!$A$4:$A$1116,$D157,'Val-Vol (2)'!$V$4:$V$1116,$V157)/SUMIFS('Comp2016-2017 (3)'!$G$5:$G$289,'Comp2016-2017 (3)'!$A$5:$A$289,$D157,'Comp2016-2017 (3)'!$R$5:$R$289,$V157)*$AB157))</f>
        <v>41.702731437171146</v>
      </c>
      <c r="AE157" s="2" t="str">
        <f>IF($W157=AE$3,$AB157,IF(NOT($W157=0),"",SUMIFS('Val-Vol (2)'!AE$4:AE$1116,'Val-Vol (2)'!$A$4:$A$1116,$D157,'Val-Vol (2)'!$V$4:$V$1116,$V157)/SUMIFS('Comp2016-2017 (3)'!$G$5:$G$289,'Comp2016-2017 (3)'!$A$5:$A$289,$D157,'Comp2016-2017 (3)'!$R$5:$R$289,$V157)*$AB157))</f>
        <v/>
      </c>
      <c r="AF157" s="2" t="str">
        <f>IF($W157=AF$3,$AB157,IF(NOT($W157=0),"",SUMIFS('Val-Vol (2)'!AF$4:AF$1116,'Val-Vol (2)'!$A$4:$A$1116,$D157,'Val-Vol (2)'!$V$4:$V$1116,$V157)/SUMIFS('Comp2016-2017 (3)'!$G$5:$G$289,'Comp2016-2017 (3)'!$A$5:$A$289,$D157,'Comp2016-2017 (3)'!$R$5:$R$289,$V157)*$AB157))</f>
        <v/>
      </c>
      <c r="AG157" s="2" t="str">
        <f>IF($W157=AG$3,$AB157,IF(NOT($W157=0),"",SUMIFS('Val-Vol (2)'!AG$4:AG$1116,'Val-Vol (2)'!$A$4:$A$1116,$D157,'Val-Vol (2)'!$V$4:$V$1116,$V157)/SUMIFS('Comp2016-2017 (3)'!$G$5:$G$289,'Comp2016-2017 (3)'!$A$5:$A$289,$D157,'Comp2016-2017 (3)'!$R$5:$R$289,$V157)*$AB157))</f>
        <v/>
      </c>
      <c r="AH157" s="2" t="str">
        <f>IF($W157=AH$3,$AB157,IF(NOT($W157=0),"",SUMIFS('Val-Vol (2)'!AH$4:AH$1116,'Val-Vol (2)'!$A$4:$A$1116,$D157,'Val-Vol (2)'!$V$4:$V$1116,$V157)/SUMIFS('Comp2016-2017 (3)'!$G$5:$G$289,'Comp2016-2017 (3)'!$A$5:$A$289,$D157,'Comp2016-2017 (3)'!$R$5:$R$289,$V157)*$AB157))</f>
        <v/>
      </c>
      <c r="AI157" s="2" t="str">
        <f>IF($W157=AI$3,$AB157,IF(NOT($W157=0),"",SUMIFS('Val-Vol (2)'!AI$4:AI$1116,'Val-Vol (2)'!$A$4:$A$1116,$D157,'Val-Vol (2)'!$V$4:$V$1116,$V157)/SUMIFS('Comp2016-2017 (3)'!$G$5:$G$289,'Comp2016-2017 (3)'!$A$5:$A$289,$D157,'Comp2016-2017 (3)'!$R$5:$R$289,$V157)*$AB157))</f>
        <v/>
      </c>
      <c r="AJ157" s="2" t="str">
        <f>IF($W157=AJ$3,$AB157,IF(NOT($W157=0),"",SUMIFS('Val-Vol (2)'!AJ$4:AJ$1116,'Val-Vol (2)'!$A$4:$A$1116,$D157,'Val-Vol (2)'!$V$4:$V$1116,$V157)/SUMIFS('Comp2016-2017 (3)'!$G$5:$G$289,'Comp2016-2017 (3)'!$A$5:$A$289,$D157,'Comp2016-2017 (3)'!$R$5:$R$289,$V157)*$AB157))</f>
        <v/>
      </c>
      <c r="AK157" s="2">
        <f t="shared" si="16"/>
        <v>0</v>
      </c>
      <c r="AL157" t="str">
        <f t="shared" si="13"/>
        <v/>
      </c>
      <c r="AM157" t="str">
        <f>VLOOKUP(A157,'Table corresp.'!$M$4:$U$63,8,FALSE)</f>
        <v>Production intermédiaire</v>
      </c>
      <c r="AN157" t="str">
        <f>VLOOKUP(D157,'Table corresp.'!$M$4:$U$63,9,FALSE)</f>
        <v>Production finale</v>
      </c>
    </row>
    <row r="158" spans="1:40" x14ac:dyDescent="0.25">
      <c r="A158" t="s">
        <v>83</v>
      </c>
      <c r="B158" t="str">
        <f>VLOOKUP(LEFT(A158,3),'Table corresp.'!$A$4:$D$63,3,FALSE)</f>
        <v>Transformation</v>
      </c>
      <c r="C158" t="str">
        <f>VLOOKUP(A158,'Table corresp.'!$M$4:$P$63,4,FALSE)</f>
        <v>Production et transformation de produits bois</v>
      </c>
      <c r="D158" t="s">
        <v>91</v>
      </c>
      <c r="E158" t="str">
        <f>VLOOKUP(LEFT(D158,3),'Table corresp.'!$A$4:$D$63,4,FALSE)</f>
        <v>Transformation</v>
      </c>
      <c r="F158" t="str">
        <f t="shared" si="12"/>
        <v xml:space="preserve">14  - 37 </v>
      </c>
      <c r="G158" s="1">
        <v>24271.724999999999</v>
      </c>
      <c r="H158" s="1">
        <v>9293.4750000000004</v>
      </c>
      <c r="I158" s="1">
        <v>33565.199999999997</v>
      </c>
      <c r="J158" s="1">
        <v>457.59535338583663</v>
      </c>
      <c r="K158" s="1">
        <v>82.541488888085397</v>
      </c>
      <c r="L158" s="1">
        <v>540.13684227392207</v>
      </c>
      <c r="M158" s="1">
        <v>0</v>
      </c>
      <c r="N158" s="1">
        <v>0</v>
      </c>
      <c r="O158" s="1">
        <v>0</v>
      </c>
      <c r="P158" s="1">
        <v>0</v>
      </c>
      <c r="Q158" s="1">
        <v>0</v>
      </c>
      <c r="R158" s="1">
        <v>0</v>
      </c>
      <c r="S158" s="67"/>
      <c r="T158">
        <f>VLOOKUP(A158,'Groupe de branches'!$Z$27:$AM$86,14,FALSE)</f>
        <v>0</v>
      </c>
      <c r="U158">
        <f>VLOOKUP(D158,'Groupe de branches'!$Z$27:$AM$86,14,FALSE)</f>
        <v>0</v>
      </c>
      <c r="V158">
        <v>2016</v>
      </c>
      <c r="W158" t="str">
        <f>VLOOKUP(D158,'Table corresp.'!$M$4:$S$63,7,FALSE)</f>
        <v>Emballage bois et carton</v>
      </c>
      <c r="X158" s="167">
        <f>IFERROR(G158/SUMIFS('Comp2016-2017 (3)'!$I$5:$I$289,'Comp2016-2017 (3)'!$A$5:$A$289,A158,'Comp2016-2017 (3)'!$R$5:$R$289,V158),0)</f>
        <v>0.18344088472517858</v>
      </c>
      <c r="Y158" s="178">
        <f>IFERROR(IF(RIGHT(F158,3)="Exp",VLOOKUP(F158,#REF!,2,FALSE),VLOOKUP(F158,#REF!,9,FALSE)),1)</f>
        <v>1</v>
      </c>
      <c r="Z158" s="167">
        <f t="shared" si="14"/>
        <v>7.1428571428571425E-2</v>
      </c>
      <c r="AA158" s="189">
        <f t="shared" si="15"/>
        <v>1.3102920337512754E-2</v>
      </c>
      <c r="AB158" s="2">
        <f>IFERROR(SUMIFS('Comp2016-2017 (3)'!$G$5:$G$289,'Comp2016-2017 (3)'!$A$5:$A$289,A158,'Comp2016-2017 (3)'!$R$5:$R$289,V158)*AA158/SUMIFS($AA$4:$AA$1116,$A$4:$A$1116,A158,$V$4:$V$1116,V158),0)</f>
        <v>5631.0555358262591</v>
      </c>
      <c r="AC158" s="2" t="str">
        <f>IF($W158=AC$3,$AB158,IF(NOT($W158=0),"",SUMIFS('Val-Vol (2)'!AC$4:AC$1116,'Val-Vol (2)'!$A$4:$A$1116,$D158,'Val-Vol (2)'!$V$4:$V$1116,$V158)/SUMIFS('Comp2016-2017 (3)'!$G$5:$G$289,'Comp2016-2017 (3)'!$A$5:$A$289,$D158,'Comp2016-2017 (3)'!$R$5:$R$289,$V158)*$AB158))</f>
        <v/>
      </c>
      <c r="AD158" s="2" t="str">
        <f>IF($W158=AD$3,$AB158,IF(NOT($W158=0),"",SUMIFS('Val-Vol (2)'!AD$4:AD$1116,'Val-Vol (2)'!$A$4:$A$1116,$D158,'Val-Vol (2)'!$V$4:$V$1116,$V158)/SUMIFS('Comp2016-2017 (3)'!$G$5:$G$289,'Comp2016-2017 (3)'!$A$5:$A$289,$D158,'Comp2016-2017 (3)'!$R$5:$R$289,$V158)*$AB158))</f>
        <v/>
      </c>
      <c r="AE158" s="2" t="str">
        <f>IF($W158=AE$3,$AB158,IF(NOT($W158=0),"",SUMIFS('Val-Vol (2)'!AE$4:AE$1116,'Val-Vol (2)'!$A$4:$A$1116,$D158,'Val-Vol (2)'!$V$4:$V$1116,$V158)/SUMIFS('Comp2016-2017 (3)'!$G$5:$G$289,'Comp2016-2017 (3)'!$A$5:$A$289,$D158,'Comp2016-2017 (3)'!$R$5:$R$289,$V158)*$AB158))</f>
        <v/>
      </c>
      <c r="AF158" s="2" t="str">
        <f>IF($W158=AF$3,$AB158,IF(NOT($W158=0),"",SUMIFS('Val-Vol (2)'!AF$4:AF$1116,'Val-Vol (2)'!$A$4:$A$1116,$D158,'Val-Vol (2)'!$V$4:$V$1116,$V158)/SUMIFS('Comp2016-2017 (3)'!$G$5:$G$289,'Comp2016-2017 (3)'!$A$5:$A$289,$D158,'Comp2016-2017 (3)'!$R$5:$R$289,$V158)*$AB158))</f>
        <v/>
      </c>
      <c r="AG158" s="2">
        <f>IF($W158=AG$3,$AB158,IF(NOT($W158=0),"",SUMIFS('Val-Vol (2)'!AG$4:AG$1116,'Val-Vol (2)'!$A$4:$A$1116,$D158,'Val-Vol (2)'!$V$4:$V$1116,$V158)/SUMIFS('Comp2016-2017 (3)'!$G$5:$G$289,'Comp2016-2017 (3)'!$A$5:$A$289,$D158,'Comp2016-2017 (3)'!$R$5:$R$289,$V158)*$AB158))</f>
        <v>5631.0555358262591</v>
      </c>
      <c r="AH158" s="2" t="str">
        <f>IF($W158=AH$3,$AB158,IF(NOT($W158=0),"",SUMIFS('Val-Vol (2)'!AH$4:AH$1116,'Val-Vol (2)'!$A$4:$A$1116,$D158,'Val-Vol (2)'!$V$4:$V$1116,$V158)/SUMIFS('Comp2016-2017 (3)'!$G$5:$G$289,'Comp2016-2017 (3)'!$A$5:$A$289,$D158,'Comp2016-2017 (3)'!$R$5:$R$289,$V158)*$AB158))</f>
        <v/>
      </c>
      <c r="AI158" s="2" t="str">
        <f>IF($W158=AI$3,$AB158,IF(NOT($W158=0),"",SUMIFS('Val-Vol (2)'!AI$4:AI$1116,'Val-Vol (2)'!$A$4:$A$1116,$D158,'Val-Vol (2)'!$V$4:$V$1116,$V158)/SUMIFS('Comp2016-2017 (3)'!$G$5:$G$289,'Comp2016-2017 (3)'!$A$5:$A$289,$D158,'Comp2016-2017 (3)'!$R$5:$R$289,$V158)*$AB158))</f>
        <v/>
      </c>
      <c r="AJ158" s="2" t="str">
        <f>IF($W158=AJ$3,$AB158,IF(NOT($W158=0),"",SUMIFS('Val-Vol (2)'!AJ$4:AJ$1116,'Val-Vol (2)'!$A$4:$A$1116,$D158,'Val-Vol (2)'!$V$4:$V$1116,$V158)/SUMIFS('Comp2016-2017 (3)'!$G$5:$G$289,'Comp2016-2017 (3)'!$A$5:$A$289,$D158,'Comp2016-2017 (3)'!$R$5:$R$289,$V158)*$AB158))</f>
        <v/>
      </c>
      <c r="AK158" s="2">
        <f t="shared" si="16"/>
        <v>0</v>
      </c>
      <c r="AL158" t="str">
        <f t="shared" si="13"/>
        <v/>
      </c>
      <c r="AM158" t="str">
        <f>VLOOKUP(A158,'Table corresp.'!$M$4:$U$63,8,FALSE)</f>
        <v>Production intermédiaire</v>
      </c>
      <c r="AN158" t="str">
        <f>VLOOKUP(D158,'Table corresp.'!$M$4:$U$63,9,FALSE)</f>
        <v>Production finale</v>
      </c>
    </row>
    <row r="159" spans="1:40" x14ac:dyDescent="0.25">
      <c r="A159" t="s">
        <v>83</v>
      </c>
      <c r="B159" t="str">
        <f>VLOOKUP(LEFT(A159,3),'Table corresp.'!$A$4:$D$63,3,FALSE)</f>
        <v>Transformation</v>
      </c>
      <c r="C159" t="str">
        <f>VLOOKUP(A159,'Table corresp.'!$M$4:$P$63,4,FALSE)</f>
        <v>Production et transformation de produits bois</v>
      </c>
      <c r="D159" t="s">
        <v>92</v>
      </c>
      <c r="E159" t="str">
        <f>VLOOKUP(LEFT(D159,3),'Table corresp.'!$A$4:$D$63,4,FALSE)</f>
        <v>Transformation</v>
      </c>
      <c r="F159" t="str">
        <f t="shared" si="12"/>
        <v xml:space="preserve">14  - 40 </v>
      </c>
      <c r="G159" s="1">
        <v>2461.7756625177317</v>
      </c>
      <c r="H159" s="1">
        <v>22155.980962659592</v>
      </c>
      <c r="I159" s="1">
        <v>24617.756625177324</v>
      </c>
      <c r="J159" s="1">
        <v>30.19269381820321</v>
      </c>
      <c r="K159" s="1">
        <v>128.01403090364204</v>
      </c>
      <c r="L159" s="1">
        <v>158.20672472184526</v>
      </c>
      <c r="M159" s="1">
        <v>0</v>
      </c>
      <c r="N159" s="1">
        <v>0</v>
      </c>
      <c r="O159" s="1">
        <v>0</v>
      </c>
      <c r="P159" s="1">
        <v>0</v>
      </c>
      <c r="Q159" s="1">
        <v>0</v>
      </c>
      <c r="R159" s="1">
        <v>0</v>
      </c>
      <c r="S159" s="67"/>
      <c r="T159">
        <f>VLOOKUP(A159,'Groupe de branches'!$Z$27:$AM$86,14,FALSE)</f>
        <v>0</v>
      </c>
      <c r="U159">
        <f>VLOOKUP(D159,'Groupe de branches'!$Z$27:$AM$86,14,FALSE)</f>
        <v>0</v>
      </c>
      <c r="V159">
        <v>2016</v>
      </c>
      <c r="W159" t="str">
        <f>VLOOKUP(D159,'Table corresp.'!$M$4:$S$63,7,FALSE)</f>
        <v>Construction</v>
      </c>
      <c r="X159" s="167">
        <f>IFERROR(G159/SUMIFS('Comp2016-2017 (3)'!$I$5:$I$289,'Comp2016-2017 (3)'!$A$5:$A$289,A159,'Comp2016-2017 (3)'!$R$5:$R$289,V159),0)</f>
        <v>1.860561231338792E-2</v>
      </c>
      <c r="Y159" s="178">
        <f>IFERROR(IF(RIGHT(F159,3)="Exp",VLOOKUP(F159,#REF!,2,FALSE),VLOOKUP(F159,#REF!,9,FALSE)),1)</f>
        <v>1</v>
      </c>
      <c r="Z159" s="167">
        <f t="shared" si="14"/>
        <v>7.1428571428571425E-2</v>
      </c>
      <c r="AA159" s="189">
        <f t="shared" si="15"/>
        <v>1.328972308099137E-3</v>
      </c>
      <c r="AB159" s="2">
        <f>IFERROR(SUMIFS('Comp2016-2017 (3)'!$G$5:$G$289,'Comp2016-2017 (3)'!$A$5:$A$289,A159,'Comp2016-2017 (3)'!$R$5:$R$289,V159)*AA159/SUMIFS($AA$4:$AA$1116,$A$4:$A$1116,A159,$V$4:$V$1116,V159),0)</f>
        <v>571.13350915037279</v>
      </c>
      <c r="AC159" s="2" t="str">
        <f>IF($W159=AC$3,$AB159,IF(NOT($W159=0),"",SUMIFS('Val-Vol (2)'!AC$4:AC$1116,'Val-Vol (2)'!$A$4:$A$1116,$D159,'Val-Vol (2)'!$V$4:$V$1116,$V159)/SUMIFS('Comp2016-2017 (3)'!$G$5:$G$289,'Comp2016-2017 (3)'!$A$5:$A$289,$D159,'Comp2016-2017 (3)'!$R$5:$R$289,$V159)*$AB159))</f>
        <v/>
      </c>
      <c r="AD159" s="2">
        <f>IF($W159=AD$3,$AB159,IF(NOT($W159=0),"",SUMIFS('Val-Vol (2)'!AD$4:AD$1116,'Val-Vol (2)'!$A$4:$A$1116,$D159,'Val-Vol (2)'!$V$4:$V$1116,$V159)/SUMIFS('Comp2016-2017 (3)'!$G$5:$G$289,'Comp2016-2017 (3)'!$A$5:$A$289,$D159,'Comp2016-2017 (3)'!$R$5:$R$289,$V159)*$AB159))</f>
        <v>571.13350915037279</v>
      </c>
      <c r="AE159" s="2" t="str">
        <f>IF($W159=AE$3,$AB159,IF(NOT($W159=0),"",SUMIFS('Val-Vol (2)'!AE$4:AE$1116,'Val-Vol (2)'!$A$4:$A$1116,$D159,'Val-Vol (2)'!$V$4:$V$1116,$V159)/SUMIFS('Comp2016-2017 (3)'!$G$5:$G$289,'Comp2016-2017 (3)'!$A$5:$A$289,$D159,'Comp2016-2017 (3)'!$R$5:$R$289,$V159)*$AB159))</f>
        <v/>
      </c>
      <c r="AF159" s="2" t="str">
        <f>IF($W159=AF$3,$AB159,IF(NOT($W159=0),"",SUMIFS('Val-Vol (2)'!AF$4:AF$1116,'Val-Vol (2)'!$A$4:$A$1116,$D159,'Val-Vol (2)'!$V$4:$V$1116,$V159)/SUMIFS('Comp2016-2017 (3)'!$G$5:$G$289,'Comp2016-2017 (3)'!$A$5:$A$289,$D159,'Comp2016-2017 (3)'!$R$5:$R$289,$V159)*$AB159))</f>
        <v/>
      </c>
      <c r="AG159" s="2" t="str">
        <f>IF($W159=AG$3,$AB159,IF(NOT($W159=0),"",SUMIFS('Val-Vol (2)'!AG$4:AG$1116,'Val-Vol (2)'!$A$4:$A$1116,$D159,'Val-Vol (2)'!$V$4:$V$1116,$V159)/SUMIFS('Comp2016-2017 (3)'!$G$5:$G$289,'Comp2016-2017 (3)'!$A$5:$A$289,$D159,'Comp2016-2017 (3)'!$R$5:$R$289,$V159)*$AB159))</f>
        <v/>
      </c>
      <c r="AH159" s="2" t="str">
        <f>IF($W159=AH$3,$AB159,IF(NOT($W159=0),"",SUMIFS('Val-Vol (2)'!AH$4:AH$1116,'Val-Vol (2)'!$A$4:$A$1116,$D159,'Val-Vol (2)'!$V$4:$V$1116,$V159)/SUMIFS('Comp2016-2017 (3)'!$G$5:$G$289,'Comp2016-2017 (3)'!$A$5:$A$289,$D159,'Comp2016-2017 (3)'!$R$5:$R$289,$V159)*$AB159))</f>
        <v/>
      </c>
      <c r="AI159" s="2" t="str">
        <f>IF($W159=AI$3,$AB159,IF(NOT($W159=0),"",SUMIFS('Val-Vol (2)'!AI$4:AI$1116,'Val-Vol (2)'!$A$4:$A$1116,$D159,'Val-Vol (2)'!$V$4:$V$1116,$V159)/SUMIFS('Comp2016-2017 (3)'!$G$5:$G$289,'Comp2016-2017 (3)'!$A$5:$A$289,$D159,'Comp2016-2017 (3)'!$R$5:$R$289,$V159)*$AB159))</f>
        <v/>
      </c>
      <c r="AJ159" s="2" t="str">
        <f>IF($W159=AJ$3,$AB159,IF(NOT($W159=0),"",SUMIFS('Val-Vol (2)'!AJ$4:AJ$1116,'Val-Vol (2)'!$A$4:$A$1116,$D159,'Val-Vol (2)'!$V$4:$V$1116,$V159)/SUMIFS('Comp2016-2017 (3)'!$G$5:$G$289,'Comp2016-2017 (3)'!$A$5:$A$289,$D159,'Comp2016-2017 (3)'!$R$5:$R$289,$V159)*$AB159))</f>
        <v/>
      </c>
      <c r="AK159" s="2">
        <f t="shared" si="16"/>
        <v>0</v>
      </c>
      <c r="AL159" t="str">
        <f t="shared" si="13"/>
        <v/>
      </c>
      <c r="AM159" t="str">
        <f>VLOOKUP(A159,'Table corresp.'!$M$4:$U$63,8,FALSE)</f>
        <v>Production intermédiaire</v>
      </c>
      <c r="AN159" t="str">
        <f>VLOOKUP(D159,'Table corresp.'!$M$4:$U$63,9,FALSE)</f>
        <v>Production finale</v>
      </c>
    </row>
    <row r="160" spans="1:40" x14ac:dyDescent="0.25">
      <c r="A160" t="s">
        <v>83</v>
      </c>
      <c r="B160" t="str">
        <f>VLOOKUP(LEFT(A160,3),'Table corresp.'!$A$4:$D$63,3,FALSE)</f>
        <v>Transformation</v>
      </c>
      <c r="C160" t="str">
        <f>VLOOKUP(A160,'Table corresp.'!$M$4:$P$63,4,FALSE)</f>
        <v>Production et transformation de produits bois</v>
      </c>
      <c r="D160" t="s">
        <v>99</v>
      </c>
      <c r="E160" t="str">
        <f>VLOOKUP(LEFT(D160,3),'Table corresp.'!$A$4:$D$63,4,FALSE)</f>
        <v>Transformation</v>
      </c>
      <c r="F160" t="str">
        <f t="shared" si="12"/>
        <v xml:space="preserve">14  - 47 </v>
      </c>
      <c r="G160" s="1">
        <v>833.59100824733719</v>
      </c>
      <c r="H160" s="1">
        <v>489.1610417526627</v>
      </c>
      <c r="I160" s="1">
        <v>1322.7520499999998</v>
      </c>
      <c r="J160" s="1">
        <v>9.12768390613161</v>
      </c>
      <c r="K160" s="1">
        <v>2.5233217570493953</v>
      </c>
      <c r="L160" s="1">
        <v>11.651005663181005</v>
      </c>
      <c r="M160" s="1">
        <v>0</v>
      </c>
      <c r="N160" s="1">
        <v>0</v>
      </c>
      <c r="O160" s="1">
        <v>0</v>
      </c>
      <c r="P160" s="1">
        <v>0</v>
      </c>
      <c r="Q160" s="1">
        <v>0</v>
      </c>
      <c r="R160" s="1">
        <v>0</v>
      </c>
      <c r="S160" s="67"/>
      <c r="T160">
        <f>VLOOKUP(A160,'Groupe de branches'!$Z$27:$AM$86,14,FALSE)</f>
        <v>0</v>
      </c>
      <c r="U160">
        <f>VLOOKUP(D160,'Groupe de branches'!$Z$27:$AM$86,14,FALSE)</f>
        <v>0</v>
      </c>
      <c r="V160">
        <v>2016</v>
      </c>
      <c r="W160" t="str">
        <f>VLOOKUP(D160,'Table corresp.'!$M$4:$S$63,7,FALSE)</f>
        <v>Meuble</v>
      </c>
      <c r="X160" s="167">
        <f>IFERROR(G160/SUMIFS('Comp2016-2017 (3)'!$I$5:$I$289,'Comp2016-2017 (3)'!$A$5:$A$289,A160,'Comp2016-2017 (3)'!$R$5:$R$289,V160),0)</f>
        <v>6.3001155481056739E-3</v>
      </c>
      <c r="Y160" s="178">
        <f>IFERROR(IF(RIGHT(F160,3)="Exp",VLOOKUP(F160,#REF!,2,FALSE),VLOOKUP(F160,#REF!,9,FALSE)),1)</f>
        <v>1</v>
      </c>
      <c r="Z160" s="167">
        <f t="shared" si="14"/>
        <v>7.1428571428571425E-2</v>
      </c>
      <c r="AA160" s="189">
        <f t="shared" si="15"/>
        <v>4.5000825343611954E-4</v>
      </c>
      <c r="AB160" s="2">
        <f>IFERROR(SUMIFS('Comp2016-2017 (3)'!$G$5:$G$289,'Comp2016-2017 (3)'!$A$5:$A$289,A160,'Comp2016-2017 (3)'!$R$5:$R$289,V160)*AA160/SUMIFS($AA$4:$AA$1116,$A$4:$A$1116,A160,$V$4:$V$1116,V160),0)</f>
        <v>193.39364060882207</v>
      </c>
      <c r="AC160" s="2" t="str">
        <f>IF($W160=AC$3,$AB160,IF(NOT($W160=0),"",SUMIFS('Val-Vol (2)'!AC$4:AC$1116,'Val-Vol (2)'!$A$4:$A$1116,$D160,'Val-Vol (2)'!$V$4:$V$1116,$V160)/SUMIFS('Comp2016-2017 (3)'!$G$5:$G$289,'Comp2016-2017 (3)'!$A$5:$A$289,$D160,'Comp2016-2017 (3)'!$R$5:$R$289,$V160)*$AB160))</f>
        <v/>
      </c>
      <c r="AD160" s="2" t="str">
        <f>IF($W160=AD$3,$AB160,IF(NOT($W160=0),"",SUMIFS('Val-Vol (2)'!AD$4:AD$1116,'Val-Vol (2)'!$A$4:$A$1116,$D160,'Val-Vol (2)'!$V$4:$V$1116,$V160)/SUMIFS('Comp2016-2017 (3)'!$G$5:$G$289,'Comp2016-2017 (3)'!$A$5:$A$289,$D160,'Comp2016-2017 (3)'!$R$5:$R$289,$V160)*$AB160))</f>
        <v/>
      </c>
      <c r="AE160" s="2">
        <f>IF($W160=AE$3,$AB160,IF(NOT($W160=0),"",SUMIFS('Val-Vol (2)'!AE$4:AE$1116,'Val-Vol (2)'!$A$4:$A$1116,$D160,'Val-Vol (2)'!$V$4:$V$1116,$V160)/SUMIFS('Comp2016-2017 (3)'!$G$5:$G$289,'Comp2016-2017 (3)'!$A$5:$A$289,$D160,'Comp2016-2017 (3)'!$R$5:$R$289,$V160)*$AB160))</f>
        <v>193.39364060882207</v>
      </c>
      <c r="AF160" s="2" t="str">
        <f>IF($W160=AF$3,$AB160,IF(NOT($W160=0),"",SUMIFS('Val-Vol (2)'!AF$4:AF$1116,'Val-Vol (2)'!$A$4:$A$1116,$D160,'Val-Vol (2)'!$V$4:$V$1116,$V160)/SUMIFS('Comp2016-2017 (3)'!$G$5:$G$289,'Comp2016-2017 (3)'!$A$5:$A$289,$D160,'Comp2016-2017 (3)'!$R$5:$R$289,$V160)*$AB160))</f>
        <v/>
      </c>
      <c r="AG160" s="2" t="str">
        <f>IF($W160=AG$3,$AB160,IF(NOT($W160=0),"",SUMIFS('Val-Vol (2)'!AG$4:AG$1116,'Val-Vol (2)'!$A$4:$A$1116,$D160,'Val-Vol (2)'!$V$4:$V$1116,$V160)/SUMIFS('Comp2016-2017 (3)'!$G$5:$G$289,'Comp2016-2017 (3)'!$A$5:$A$289,$D160,'Comp2016-2017 (3)'!$R$5:$R$289,$V160)*$AB160))</f>
        <v/>
      </c>
      <c r="AH160" s="2" t="str">
        <f>IF($W160=AH$3,$AB160,IF(NOT($W160=0),"",SUMIFS('Val-Vol (2)'!AH$4:AH$1116,'Val-Vol (2)'!$A$4:$A$1116,$D160,'Val-Vol (2)'!$V$4:$V$1116,$V160)/SUMIFS('Comp2016-2017 (3)'!$G$5:$G$289,'Comp2016-2017 (3)'!$A$5:$A$289,$D160,'Comp2016-2017 (3)'!$R$5:$R$289,$V160)*$AB160))</f>
        <v/>
      </c>
      <c r="AI160" s="2" t="str">
        <f>IF($W160=AI$3,$AB160,IF(NOT($W160=0),"",SUMIFS('Val-Vol (2)'!AI$4:AI$1116,'Val-Vol (2)'!$A$4:$A$1116,$D160,'Val-Vol (2)'!$V$4:$V$1116,$V160)/SUMIFS('Comp2016-2017 (3)'!$G$5:$G$289,'Comp2016-2017 (3)'!$A$5:$A$289,$D160,'Comp2016-2017 (3)'!$R$5:$R$289,$V160)*$AB160))</f>
        <v/>
      </c>
      <c r="AJ160" s="2" t="str">
        <f>IF($W160=AJ$3,$AB160,IF(NOT($W160=0),"",SUMIFS('Val-Vol (2)'!AJ$4:AJ$1116,'Val-Vol (2)'!$A$4:$A$1116,$D160,'Val-Vol (2)'!$V$4:$V$1116,$V160)/SUMIFS('Comp2016-2017 (3)'!$G$5:$G$289,'Comp2016-2017 (3)'!$A$5:$A$289,$D160,'Comp2016-2017 (3)'!$R$5:$R$289,$V160)*$AB160))</f>
        <v/>
      </c>
      <c r="AK160" s="2">
        <f t="shared" si="16"/>
        <v>0</v>
      </c>
      <c r="AL160" t="str">
        <f t="shared" si="13"/>
        <v/>
      </c>
      <c r="AM160" t="str">
        <f>VLOOKUP(A160,'Table corresp.'!$M$4:$U$63,8,FALSE)</f>
        <v>Production intermédiaire</v>
      </c>
      <c r="AN160" t="str">
        <f>VLOOKUP(D160,'Table corresp.'!$M$4:$U$63,9,FALSE)</f>
        <v>Production finale</v>
      </c>
    </row>
    <row r="161" spans="1:40" x14ac:dyDescent="0.25">
      <c r="A161" t="s">
        <v>83</v>
      </c>
      <c r="B161" t="str">
        <f>VLOOKUP(LEFT(A161,3),'Table corresp.'!$A$4:$D$63,3,FALSE)</f>
        <v>Transformation</v>
      </c>
      <c r="C161" t="str">
        <f>VLOOKUP(A161,'Table corresp.'!$M$4:$P$63,4,FALSE)</f>
        <v>Production et transformation de produits bois</v>
      </c>
      <c r="D161" t="s">
        <v>19</v>
      </c>
      <c r="E161" t="str">
        <f>VLOOKUP(LEFT(D161,3),'Table corresp.'!$A$4:$D$63,4,FALSE)</f>
        <v>Transformation</v>
      </c>
      <c r="F161" t="str">
        <f t="shared" si="12"/>
        <v xml:space="preserve">14  - 52 </v>
      </c>
      <c r="G161" s="1">
        <v>1104</v>
      </c>
      <c r="H161" s="1">
        <v>276</v>
      </c>
      <c r="I161" s="1">
        <v>1380</v>
      </c>
      <c r="J161" s="1">
        <v>15.110772148257348</v>
      </c>
      <c r="K161" s="1">
        <v>1.7796715843577346</v>
      </c>
      <c r="L161" s="1">
        <v>16.890443732615083</v>
      </c>
      <c r="M161" s="1">
        <v>0</v>
      </c>
      <c r="N161" s="1">
        <v>0</v>
      </c>
      <c r="O161" s="1">
        <v>0</v>
      </c>
      <c r="P161" s="1">
        <v>0</v>
      </c>
      <c r="Q161" s="1">
        <v>0</v>
      </c>
      <c r="R161" s="1">
        <v>0</v>
      </c>
      <c r="S161" s="67"/>
      <c r="T161">
        <f>VLOOKUP(A161,'Groupe de branches'!$Z$27:$AM$86,14,FALSE)</f>
        <v>0</v>
      </c>
      <c r="U161">
        <f>VLOOKUP(D161,'Groupe de branches'!$Z$27:$AM$86,14,FALSE)</f>
        <v>0</v>
      </c>
      <c r="V161">
        <v>2016</v>
      </c>
      <c r="W161" t="str">
        <f>VLOOKUP(D161,'Table corresp.'!$M$4:$S$63,7,FALSE)</f>
        <v>Construction</v>
      </c>
      <c r="X161" s="167">
        <f>IFERROR(G161/SUMIFS('Comp2016-2017 (3)'!$I$5:$I$289,'Comp2016-2017 (3)'!$A$5:$A$289,A161,'Comp2016-2017 (3)'!$R$5:$R$289,V161),0)</f>
        <v>8.3438130885463303E-3</v>
      </c>
      <c r="Y161" s="178">
        <f>IFERROR(IF(RIGHT(F161,3)="Exp",VLOOKUP(F161,#REF!,2,FALSE),VLOOKUP(F161,#REF!,9,FALSE)),1)</f>
        <v>1</v>
      </c>
      <c r="Z161" s="167">
        <f t="shared" si="14"/>
        <v>7.1428571428571425E-2</v>
      </c>
      <c r="AA161" s="189">
        <f t="shared" si="15"/>
        <v>5.9598664918188073E-4</v>
      </c>
      <c r="AB161" s="2">
        <f>IFERROR(SUMIFS('Comp2016-2017 (3)'!$G$5:$G$289,'Comp2016-2017 (3)'!$A$5:$A$289,A161,'Comp2016-2017 (3)'!$R$5:$R$289,V161)*AA161/SUMIFS($AA$4:$AA$1116,$A$4:$A$1116,A161,$V$4:$V$1116,V161),0)</f>
        <v>256.12869755042919</v>
      </c>
      <c r="AC161" s="2" t="str">
        <f>IF($W161=AC$3,$AB161,IF(NOT($W161=0),"",SUMIFS('Val-Vol (2)'!AC$4:AC$1116,'Val-Vol (2)'!$A$4:$A$1116,$D161,'Val-Vol (2)'!$V$4:$V$1116,$V161)/SUMIFS('Comp2016-2017 (3)'!$G$5:$G$289,'Comp2016-2017 (3)'!$A$5:$A$289,$D161,'Comp2016-2017 (3)'!$R$5:$R$289,$V161)*$AB161))</f>
        <v/>
      </c>
      <c r="AD161" s="2">
        <f>IF($W161=AD$3,$AB161,IF(NOT($W161=0),"",SUMIFS('Val-Vol (2)'!AD$4:AD$1116,'Val-Vol (2)'!$A$4:$A$1116,$D161,'Val-Vol (2)'!$V$4:$V$1116,$V161)/SUMIFS('Comp2016-2017 (3)'!$G$5:$G$289,'Comp2016-2017 (3)'!$A$5:$A$289,$D161,'Comp2016-2017 (3)'!$R$5:$R$289,$V161)*$AB161))</f>
        <v>256.12869755042919</v>
      </c>
      <c r="AE161" s="2" t="str">
        <f>IF($W161=AE$3,$AB161,IF(NOT($W161=0),"",SUMIFS('Val-Vol (2)'!AE$4:AE$1116,'Val-Vol (2)'!$A$4:$A$1116,$D161,'Val-Vol (2)'!$V$4:$V$1116,$V161)/SUMIFS('Comp2016-2017 (3)'!$G$5:$G$289,'Comp2016-2017 (3)'!$A$5:$A$289,$D161,'Comp2016-2017 (3)'!$R$5:$R$289,$V161)*$AB161))</f>
        <v/>
      </c>
      <c r="AF161" s="2" t="str">
        <f>IF($W161=AF$3,$AB161,IF(NOT($W161=0),"",SUMIFS('Val-Vol (2)'!AF$4:AF$1116,'Val-Vol (2)'!$A$4:$A$1116,$D161,'Val-Vol (2)'!$V$4:$V$1116,$V161)/SUMIFS('Comp2016-2017 (3)'!$G$5:$G$289,'Comp2016-2017 (3)'!$A$5:$A$289,$D161,'Comp2016-2017 (3)'!$R$5:$R$289,$V161)*$AB161))</f>
        <v/>
      </c>
      <c r="AG161" s="2" t="str">
        <f>IF($W161=AG$3,$AB161,IF(NOT($W161=0),"",SUMIFS('Val-Vol (2)'!AG$4:AG$1116,'Val-Vol (2)'!$A$4:$A$1116,$D161,'Val-Vol (2)'!$V$4:$V$1116,$V161)/SUMIFS('Comp2016-2017 (3)'!$G$5:$G$289,'Comp2016-2017 (3)'!$A$5:$A$289,$D161,'Comp2016-2017 (3)'!$R$5:$R$289,$V161)*$AB161))</f>
        <v/>
      </c>
      <c r="AH161" s="2" t="str">
        <f>IF($W161=AH$3,$AB161,IF(NOT($W161=0),"",SUMIFS('Val-Vol (2)'!AH$4:AH$1116,'Val-Vol (2)'!$A$4:$A$1116,$D161,'Val-Vol (2)'!$V$4:$V$1116,$V161)/SUMIFS('Comp2016-2017 (3)'!$G$5:$G$289,'Comp2016-2017 (3)'!$A$5:$A$289,$D161,'Comp2016-2017 (3)'!$R$5:$R$289,$V161)*$AB161))</f>
        <v/>
      </c>
      <c r="AI161" s="2" t="str">
        <f>IF($W161=AI$3,$AB161,IF(NOT($W161=0),"",SUMIFS('Val-Vol (2)'!AI$4:AI$1116,'Val-Vol (2)'!$A$4:$A$1116,$D161,'Val-Vol (2)'!$V$4:$V$1116,$V161)/SUMIFS('Comp2016-2017 (3)'!$G$5:$G$289,'Comp2016-2017 (3)'!$A$5:$A$289,$D161,'Comp2016-2017 (3)'!$R$5:$R$289,$V161)*$AB161))</f>
        <v/>
      </c>
      <c r="AJ161" s="2" t="str">
        <f>IF($W161=AJ$3,$AB161,IF(NOT($W161=0),"",SUMIFS('Val-Vol (2)'!AJ$4:AJ$1116,'Val-Vol (2)'!$A$4:$A$1116,$D161,'Val-Vol (2)'!$V$4:$V$1116,$V161)/SUMIFS('Comp2016-2017 (3)'!$G$5:$G$289,'Comp2016-2017 (3)'!$A$5:$A$289,$D161,'Comp2016-2017 (3)'!$R$5:$R$289,$V161)*$AB161))</f>
        <v/>
      </c>
      <c r="AK161" s="2">
        <f t="shared" si="16"/>
        <v>0</v>
      </c>
      <c r="AL161" t="str">
        <f t="shared" si="13"/>
        <v/>
      </c>
      <c r="AM161" t="str">
        <f>VLOOKUP(A161,'Table corresp.'!$M$4:$U$63,8,FALSE)</f>
        <v>Production intermédiaire</v>
      </c>
      <c r="AN161" t="str">
        <f>VLOOKUP(D161,'Table corresp.'!$M$4:$U$63,9,FALSE)</f>
        <v xml:space="preserve">Mise en œuvre </v>
      </c>
    </row>
    <row r="162" spans="1:40" x14ac:dyDescent="0.25">
      <c r="A162" t="s">
        <v>83</v>
      </c>
      <c r="B162" t="str">
        <f>VLOOKUP(LEFT(A162,3),'Table corresp.'!$A$4:$D$63,3,FALSE)</f>
        <v>Transformation</v>
      </c>
      <c r="C162" t="str">
        <f>VLOOKUP(A162,'Table corresp.'!$M$4:$P$63,4,FALSE)</f>
        <v>Production et transformation de produits bois</v>
      </c>
      <c r="D162" t="s">
        <v>21</v>
      </c>
      <c r="E162" t="str">
        <f>VLOOKUP(LEFT(D162,3),'Table corresp.'!$A$4:$D$63,4,FALSE)</f>
        <v>Transformation</v>
      </c>
      <c r="F162" t="str">
        <f t="shared" si="12"/>
        <v xml:space="preserve">14  - 54 </v>
      </c>
      <c r="G162" s="1">
        <v>7638.7386655659202</v>
      </c>
      <c r="H162" s="1">
        <v>6761.2613344340798</v>
      </c>
      <c r="I162" s="1">
        <v>14400</v>
      </c>
      <c r="J162" s="1">
        <v>41.821463578061596</v>
      </c>
      <c r="K162" s="1">
        <v>17.438876335230422</v>
      </c>
      <c r="L162" s="1">
        <v>59.260339913292015</v>
      </c>
      <c r="M162" s="1">
        <v>0</v>
      </c>
      <c r="N162" s="1">
        <v>0</v>
      </c>
      <c r="O162" s="1">
        <v>0</v>
      </c>
      <c r="P162" s="1">
        <v>0</v>
      </c>
      <c r="Q162" s="1">
        <v>0</v>
      </c>
      <c r="R162" s="1">
        <v>0</v>
      </c>
      <c r="S162" s="67"/>
      <c r="T162">
        <f>VLOOKUP(A162,'Groupe de branches'!$Z$27:$AM$86,14,FALSE)</f>
        <v>0</v>
      </c>
      <c r="U162">
        <f>VLOOKUP(D162,'Groupe de branches'!$Z$27:$AM$86,14,FALSE)</f>
        <v>0</v>
      </c>
      <c r="V162">
        <v>2016</v>
      </c>
      <c r="W162" t="str">
        <f>VLOOKUP(D162,'Table corresp.'!$M$4:$S$63,7,FALSE)</f>
        <v>Construction</v>
      </c>
      <c r="X162" s="167">
        <f>IFERROR(G162/SUMIFS('Comp2016-2017 (3)'!$I$5:$I$289,'Comp2016-2017 (3)'!$A$5:$A$289,A162,'Comp2016-2017 (3)'!$R$5:$R$289,V162),0)</f>
        <v>5.7732072153744429E-2</v>
      </c>
      <c r="Y162" s="178">
        <f>IFERROR(IF(RIGHT(F162,3)="Exp",VLOOKUP(F162,#REF!,2,FALSE),VLOOKUP(F162,#REF!,9,FALSE)),1)</f>
        <v>1</v>
      </c>
      <c r="Z162" s="167">
        <f t="shared" si="14"/>
        <v>7.1428571428571425E-2</v>
      </c>
      <c r="AA162" s="189">
        <f t="shared" si="15"/>
        <v>4.123719439553173E-3</v>
      </c>
      <c r="AB162" s="2">
        <f>IFERROR(SUMIFS('Comp2016-2017 (3)'!$G$5:$G$289,'Comp2016-2017 (3)'!$A$5:$A$289,A162,'Comp2016-2017 (3)'!$R$5:$R$289,V162)*AA162/SUMIFS($AA$4:$AA$1116,$A$4:$A$1116,A162,$V$4:$V$1116,V162),0)</f>
        <v>1772.1921968654915</v>
      </c>
      <c r="AC162" s="2" t="str">
        <f>IF($W162=AC$3,$AB162,IF(NOT($W162=0),"",SUMIFS('Val-Vol (2)'!AC$4:AC$1116,'Val-Vol (2)'!$A$4:$A$1116,$D162,'Val-Vol (2)'!$V$4:$V$1116,$V162)/SUMIFS('Comp2016-2017 (3)'!$G$5:$G$289,'Comp2016-2017 (3)'!$A$5:$A$289,$D162,'Comp2016-2017 (3)'!$R$5:$R$289,$V162)*$AB162))</f>
        <v/>
      </c>
      <c r="AD162" s="2">
        <f>IF($W162=AD$3,$AB162,IF(NOT($W162=0),"",SUMIFS('Val-Vol (2)'!AD$4:AD$1116,'Val-Vol (2)'!$A$4:$A$1116,$D162,'Val-Vol (2)'!$V$4:$V$1116,$V162)/SUMIFS('Comp2016-2017 (3)'!$G$5:$G$289,'Comp2016-2017 (3)'!$A$5:$A$289,$D162,'Comp2016-2017 (3)'!$R$5:$R$289,$V162)*$AB162))</f>
        <v>1772.1921968654915</v>
      </c>
      <c r="AE162" s="2" t="str">
        <f>IF($W162=AE$3,$AB162,IF(NOT($W162=0),"",SUMIFS('Val-Vol (2)'!AE$4:AE$1116,'Val-Vol (2)'!$A$4:$A$1116,$D162,'Val-Vol (2)'!$V$4:$V$1116,$V162)/SUMIFS('Comp2016-2017 (3)'!$G$5:$G$289,'Comp2016-2017 (3)'!$A$5:$A$289,$D162,'Comp2016-2017 (3)'!$R$5:$R$289,$V162)*$AB162))</f>
        <v/>
      </c>
      <c r="AF162" s="2" t="str">
        <f>IF($W162=AF$3,$AB162,IF(NOT($W162=0),"",SUMIFS('Val-Vol (2)'!AF$4:AF$1116,'Val-Vol (2)'!$A$4:$A$1116,$D162,'Val-Vol (2)'!$V$4:$V$1116,$V162)/SUMIFS('Comp2016-2017 (3)'!$G$5:$G$289,'Comp2016-2017 (3)'!$A$5:$A$289,$D162,'Comp2016-2017 (3)'!$R$5:$R$289,$V162)*$AB162))</f>
        <v/>
      </c>
      <c r="AG162" s="2" t="str">
        <f>IF($W162=AG$3,$AB162,IF(NOT($W162=0),"",SUMIFS('Val-Vol (2)'!AG$4:AG$1116,'Val-Vol (2)'!$A$4:$A$1116,$D162,'Val-Vol (2)'!$V$4:$V$1116,$V162)/SUMIFS('Comp2016-2017 (3)'!$G$5:$G$289,'Comp2016-2017 (3)'!$A$5:$A$289,$D162,'Comp2016-2017 (3)'!$R$5:$R$289,$V162)*$AB162))</f>
        <v/>
      </c>
      <c r="AH162" s="2" t="str">
        <f>IF($W162=AH$3,$AB162,IF(NOT($W162=0),"",SUMIFS('Val-Vol (2)'!AH$4:AH$1116,'Val-Vol (2)'!$A$4:$A$1116,$D162,'Val-Vol (2)'!$V$4:$V$1116,$V162)/SUMIFS('Comp2016-2017 (3)'!$G$5:$G$289,'Comp2016-2017 (3)'!$A$5:$A$289,$D162,'Comp2016-2017 (3)'!$R$5:$R$289,$V162)*$AB162))</f>
        <v/>
      </c>
      <c r="AI162" s="2" t="str">
        <f>IF($W162=AI$3,$AB162,IF(NOT($W162=0),"",SUMIFS('Val-Vol (2)'!AI$4:AI$1116,'Val-Vol (2)'!$A$4:$A$1116,$D162,'Val-Vol (2)'!$V$4:$V$1116,$V162)/SUMIFS('Comp2016-2017 (3)'!$G$5:$G$289,'Comp2016-2017 (3)'!$A$5:$A$289,$D162,'Comp2016-2017 (3)'!$R$5:$R$289,$V162)*$AB162))</f>
        <v/>
      </c>
      <c r="AJ162" s="2" t="str">
        <f>IF($W162=AJ$3,$AB162,IF(NOT($W162=0),"",SUMIFS('Val-Vol (2)'!AJ$4:AJ$1116,'Val-Vol (2)'!$A$4:$A$1116,$D162,'Val-Vol (2)'!$V$4:$V$1116,$V162)/SUMIFS('Comp2016-2017 (3)'!$G$5:$G$289,'Comp2016-2017 (3)'!$A$5:$A$289,$D162,'Comp2016-2017 (3)'!$R$5:$R$289,$V162)*$AB162))</f>
        <v/>
      </c>
      <c r="AK162" s="2">
        <f t="shared" si="16"/>
        <v>0</v>
      </c>
      <c r="AL162" t="str">
        <f t="shared" si="13"/>
        <v/>
      </c>
      <c r="AM162" t="str">
        <f>VLOOKUP(A162,'Table corresp.'!$M$4:$U$63,8,FALSE)</f>
        <v>Production intermédiaire</v>
      </c>
      <c r="AN162" t="str">
        <f>VLOOKUP(D162,'Table corresp.'!$M$4:$U$63,9,FALSE)</f>
        <v xml:space="preserve">Mise en œuvre </v>
      </c>
    </row>
    <row r="163" spans="1:40" x14ac:dyDescent="0.25">
      <c r="A163" t="s">
        <v>83</v>
      </c>
      <c r="B163" t="str">
        <f>VLOOKUP(LEFT(A163,3),'Table corresp.'!$A$4:$D$63,3,FALSE)</f>
        <v>Transformation</v>
      </c>
      <c r="C163" t="str">
        <f>VLOOKUP(A163,'Table corresp.'!$M$4:$P$63,4,FALSE)</f>
        <v>Production et transformation de produits bois</v>
      </c>
      <c r="D163" t="s">
        <v>22</v>
      </c>
      <c r="E163" t="str">
        <f>VLOOKUP(LEFT(D163,3),'Table corresp.'!$A$4:$D$63,4,FALSE)</f>
        <v>Transformation</v>
      </c>
      <c r="F163" t="str">
        <f t="shared" si="12"/>
        <v xml:space="preserve">14  - 55 </v>
      </c>
      <c r="G163" s="1">
        <v>1048.4481922797331</v>
      </c>
      <c r="H163" s="1">
        <v>391.32883340213016</v>
      </c>
      <c r="I163" s="1">
        <v>1439.7770256818633</v>
      </c>
      <c r="J163" s="1">
        <v>5.7401672981128096</v>
      </c>
      <c r="K163" s="1">
        <v>1.0093287028197582</v>
      </c>
      <c r="L163" s="1">
        <v>6.7494960009325675</v>
      </c>
      <c r="M163" s="1">
        <v>0</v>
      </c>
      <c r="N163" s="1">
        <v>0</v>
      </c>
      <c r="O163" s="1">
        <v>0</v>
      </c>
      <c r="P163" s="1">
        <v>0</v>
      </c>
      <c r="Q163" s="1">
        <v>0</v>
      </c>
      <c r="R163" s="1">
        <v>0</v>
      </c>
      <c r="S163" s="67"/>
      <c r="T163">
        <f>VLOOKUP(A163,'Groupe de branches'!$Z$27:$AM$86,14,FALSE)</f>
        <v>0</v>
      </c>
      <c r="U163">
        <f>VLOOKUP(D163,'Groupe de branches'!$Z$27:$AM$86,14,FALSE)</f>
        <v>0</v>
      </c>
      <c r="V163">
        <v>2016</v>
      </c>
      <c r="W163" t="str">
        <f>VLOOKUP(D163,'Table corresp.'!$M$4:$S$63,7,FALSE)</f>
        <v>Construction</v>
      </c>
      <c r="X163" s="167">
        <f>IFERROR(G163/SUMIFS('Comp2016-2017 (3)'!$I$5:$I$289,'Comp2016-2017 (3)'!$A$5:$A$289,A163,'Comp2016-2017 (3)'!$R$5:$R$289,V163),0)</f>
        <v>7.9239635411289637E-3</v>
      </c>
      <c r="Y163" s="178">
        <f>IFERROR(IF(RIGHT(F163,3)="Exp",VLOOKUP(F163,#REF!,2,FALSE),VLOOKUP(F163,#REF!,9,FALSE)),1)</f>
        <v>1</v>
      </c>
      <c r="Z163" s="167">
        <f t="shared" si="14"/>
        <v>7.1428571428571425E-2</v>
      </c>
      <c r="AA163" s="189">
        <f t="shared" si="15"/>
        <v>5.6599739579492596E-4</v>
      </c>
      <c r="AB163" s="2">
        <f>IFERROR(SUMIFS('Comp2016-2017 (3)'!$G$5:$G$289,'Comp2016-2017 (3)'!$A$5:$A$289,A163,'Comp2016-2017 (3)'!$R$5:$R$289,V163)*AA163/SUMIFS($AA$4:$AA$1116,$A$4:$A$1116,A163,$V$4:$V$1116,V163),0)</f>
        <v>243.24064305951993</v>
      </c>
      <c r="AC163" s="2" t="str">
        <f>IF($W163=AC$3,$AB163,IF(NOT($W163=0),"",SUMIFS('Val-Vol (2)'!AC$4:AC$1116,'Val-Vol (2)'!$A$4:$A$1116,$D163,'Val-Vol (2)'!$V$4:$V$1116,$V163)/SUMIFS('Comp2016-2017 (3)'!$G$5:$G$289,'Comp2016-2017 (3)'!$A$5:$A$289,$D163,'Comp2016-2017 (3)'!$R$5:$R$289,$V163)*$AB163))</f>
        <v/>
      </c>
      <c r="AD163" s="2">
        <f>IF($W163=AD$3,$AB163,IF(NOT($W163=0),"",SUMIFS('Val-Vol (2)'!AD$4:AD$1116,'Val-Vol (2)'!$A$4:$A$1116,$D163,'Val-Vol (2)'!$V$4:$V$1116,$V163)/SUMIFS('Comp2016-2017 (3)'!$G$5:$G$289,'Comp2016-2017 (3)'!$A$5:$A$289,$D163,'Comp2016-2017 (3)'!$R$5:$R$289,$V163)*$AB163))</f>
        <v>243.24064305951993</v>
      </c>
      <c r="AE163" s="2" t="str">
        <f>IF($W163=AE$3,$AB163,IF(NOT($W163=0),"",SUMIFS('Val-Vol (2)'!AE$4:AE$1116,'Val-Vol (2)'!$A$4:$A$1116,$D163,'Val-Vol (2)'!$V$4:$V$1116,$V163)/SUMIFS('Comp2016-2017 (3)'!$G$5:$G$289,'Comp2016-2017 (3)'!$A$5:$A$289,$D163,'Comp2016-2017 (3)'!$R$5:$R$289,$V163)*$AB163))</f>
        <v/>
      </c>
      <c r="AF163" s="2" t="str">
        <f>IF($W163=AF$3,$AB163,IF(NOT($W163=0),"",SUMIFS('Val-Vol (2)'!AF$4:AF$1116,'Val-Vol (2)'!$A$4:$A$1116,$D163,'Val-Vol (2)'!$V$4:$V$1116,$V163)/SUMIFS('Comp2016-2017 (3)'!$G$5:$G$289,'Comp2016-2017 (3)'!$A$5:$A$289,$D163,'Comp2016-2017 (3)'!$R$5:$R$289,$V163)*$AB163))</f>
        <v/>
      </c>
      <c r="AG163" s="2" t="str">
        <f>IF($W163=AG$3,$AB163,IF(NOT($W163=0),"",SUMIFS('Val-Vol (2)'!AG$4:AG$1116,'Val-Vol (2)'!$A$4:$A$1116,$D163,'Val-Vol (2)'!$V$4:$V$1116,$V163)/SUMIFS('Comp2016-2017 (3)'!$G$5:$G$289,'Comp2016-2017 (3)'!$A$5:$A$289,$D163,'Comp2016-2017 (3)'!$R$5:$R$289,$V163)*$AB163))</f>
        <v/>
      </c>
      <c r="AH163" s="2" t="str">
        <f>IF($W163=AH$3,$AB163,IF(NOT($W163=0),"",SUMIFS('Val-Vol (2)'!AH$4:AH$1116,'Val-Vol (2)'!$A$4:$A$1116,$D163,'Val-Vol (2)'!$V$4:$V$1116,$V163)/SUMIFS('Comp2016-2017 (3)'!$G$5:$G$289,'Comp2016-2017 (3)'!$A$5:$A$289,$D163,'Comp2016-2017 (3)'!$R$5:$R$289,$V163)*$AB163))</f>
        <v/>
      </c>
      <c r="AI163" s="2" t="str">
        <f>IF($W163=AI$3,$AB163,IF(NOT($W163=0),"",SUMIFS('Val-Vol (2)'!AI$4:AI$1116,'Val-Vol (2)'!$A$4:$A$1116,$D163,'Val-Vol (2)'!$V$4:$V$1116,$V163)/SUMIFS('Comp2016-2017 (3)'!$G$5:$G$289,'Comp2016-2017 (3)'!$A$5:$A$289,$D163,'Comp2016-2017 (3)'!$R$5:$R$289,$V163)*$AB163))</f>
        <v/>
      </c>
      <c r="AJ163" s="2" t="str">
        <f>IF($W163=AJ$3,$AB163,IF(NOT($W163=0),"",SUMIFS('Val-Vol (2)'!AJ$4:AJ$1116,'Val-Vol (2)'!$A$4:$A$1116,$D163,'Val-Vol (2)'!$V$4:$V$1116,$V163)/SUMIFS('Comp2016-2017 (3)'!$G$5:$G$289,'Comp2016-2017 (3)'!$A$5:$A$289,$D163,'Comp2016-2017 (3)'!$R$5:$R$289,$V163)*$AB163))</f>
        <v/>
      </c>
      <c r="AK163" s="2">
        <f t="shared" si="16"/>
        <v>0</v>
      </c>
      <c r="AL163" t="str">
        <f t="shared" si="13"/>
        <v/>
      </c>
      <c r="AM163" t="str">
        <f>VLOOKUP(A163,'Table corresp.'!$M$4:$U$63,8,FALSE)</f>
        <v>Production intermédiaire</v>
      </c>
      <c r="AN163" t="str">
        <f>VLOOKUP(D163,'Table corresp.'!$M$4:$U$63,9,FALSE)</f>
        <v xml:space="preserve">Mise en œuvre </v>
      </c>
    </row>
    <row r="164" spans="1:40" x14ac:dyDescent="0.25">
      <c r="A164" t="s">
        <v>83</v>
      </c>
      <c r="B164" t="str">
        <f>VLOOKUP(LEFT(A164,3),'Table corresp.'!$A$4:$D$63,3,FALSE)</f>
        <v>Transformation</v>
      </c>
      <c r="C164" t="str">
        <f>VLOOKUP(A164,'Table corresp.'!$M$4:$P$63,4,FALSE)</f>
        <v>Production et transformation de produits bois</v>
      </c>
      <c r="D164" t="s">
        <v>24</v>
      </c>
      <c r="E164" t="str">
        <f>VLOOKUP(LEFT(D164,3),'Table corresp.'!$A$4:$D$63,4,FALSE)</f>
        <v>Transformation</v>
      </c>
      <c r="F164" t="str">
        <f t="shared" si="12"/>
        <v xml:space="preserve">14  - 57 </v>
      </c>
      <c r="G164" s="1">
        <v>6472.0269995872186</v>
      </c>
      <c r="H164" s="1">
        <v>2347.9730004127809</v>
      </c>
      <c r="I164" s="1">
        <v>8820</v>
      </c>
      <c r="J164" s="1">
        <v>80.531394374285327</v>
      </c>
      <c r="K164" s="1">
        <v>13.763573220269427</v>
      </c>
      <c r="L164" s="1">
        <v>94.294967594554748</v>
      </c>
      <c r="M164" s="1">
        <v>0</v>
      </c>
      <c r="N164" s="1">
        <v>0</v>
      </c>
      <c r="O164" s="1">
        <v>0</v>
      </c>
      <c r="P164" s="1">
        <v>0</v>
      </c>
      <c r="Q164" s="1">
        <v>0</v>
      </c>
      <c r="R164" s="1">
        <v>0</v>
      </c>
      <c r="S164" s="67"/>
      <c r="T164">
        <f>VLOOKUP(A164,'Groupe de branches'!$Z$27:$AM$86,14,FALSE)</f>
        <v>0</v>
      </c>
      <c r="U164">
        <f>VLOOKUP(D164,'Groupe de branches'!$Z$27:$AM$86,14,FALSE)</f>
        <v>0</v>
      </c>
      <c r="V164">
        <v>2016</v>
      </c>
      <c r="W164" t="str">
        <f>VLOOKUP(D164,'Table corresp.'!$M$4:$S$63,7,FALSE)</f>
        <v>Construction</v>
      </c>
      <c r="X164" s="167">
        <f>IFERROR(G164/SUMIFS('Comp2016-2017 (3)'!$I$5:$I$289,'Comp2016-2017 (3)'!$A$5:$A$289,A164,'Comp2016-2017 (3)'!$R$5:$R$289,V164),0)</f>
        <v>4.89142967287872E-2</v>
      </c>
      <c r="Y164" s="178">
        <f>IFERROR(IF(RIGHT(F164,3)="Exp",VLOOKUP(F164,#REF!,2,FALSE),VLOOKUP(F164,#REF!,9,FALSE)),1)</f>
        <v>1</v>
      </c>
      <c r="Z164" s="167">
        <f t="shared" si="14"/>
        <v>7.1428571428571425E-2</v>
      </c>
      <c r="AA164" s="189">
        <f t="shared" si="15"/>
        <v>3.493878337770514E-3</v>
      </c>
      <c r="AB164" s="2">
        <f>IFERROR(SUMIFS('Comp2016-2017 (3)'!$G$5:$G$289,'Comp2016-2017 (3)'!$A$5:$A$289,A164,'Comp2016-2017 (3)'!$R$5:$R$289,V164)*AA164/SUMIFS($AA$4:$AA$1116,$A$4:$A$1116,A164,$V$4:$V$1116,V164),0)</f>
        <v>1501.5143531843173</v>
      </c>
      <c r="AC164" s="2" t="str">
        <f>IF($W164=AC$3,$AB164,IF(NOT($W164=0),"",SUMIFS('Val-Vol (2)'!AC$4:AC$1116,'Val-Vol (2)'!$A$4:$A$1116,$D164,'Val-Vol (2)'!$V$4:$V$1116,$V164)/SUMIFS('Comp2016-2017 (3)'!$G$5:$G$289,'Comp2016-2017 (3)'!$A$5:$A$289,$D164,'Comp2016-2017 (3)'!$R$5:$R$289,$V164)*$AB164))</f>
        <v/>
      </c>
      <c r="AD164" s="2">
        <f>IF($W164=AD$3,$AB164,IF(NOT($W164=0),"",SUMIFS('Val-Vol (2)'!AD$4:AD$1116,'Val-Vol (2)'!$A$4:$A$1116,$D164,'Val-Vol (2)'!$V$4:$V$1116,$V164)/SUMIFS('Comp2016-2017 (3)'!$G$5:$G$289,'Comp2016-2017 (3)'!$A$5:$A$289,$D164,'Comp2016-2017 (3)'!$R$5:$R$289,$V164)*$AB164))</f>
        <v>1501.5143531843173</v>
      </c>
      <c r="AE164" s="2" t="str">
        <f>IF($W164=AE$3,$AB164,IF(NOT($W164=0),"",SUMIFS('Val-Vol (2)'!AE$4:AE$1116,'Val-Vol (2)'!$A$4:$A$1116,$D164,'Val-Vol (2)'!$V$4:$V$1116,$V164)/SUMIFS('Comp2016-2017 (3)'!$G$5:$G$289,'Comp2016-2017 (3)'!$A$5:$A$289,$D164,'Comp2016-2017 (3)'!$R$5:$R$289,$V164)*$AB164))</f>
        <v/>
      </c>
      <c r="AF164" s="2" t="str">
        <f>IF($W164=AF$3,$AB164,IF(NOT($W164=0),"",SUMIFS('Val-Vol (2)'!AF$4:AF$1116,'Val-Vol (2)'!$A$4:$A$1116,$D164,'Val-Vol (2)'!$V$4:$V$1116,$V164)/SUMIFS('Comp2016-2017 (3)'!$G$5:$G$289,'Comp2016-2017 (3)'!$A$5:$A$289,$D164,'Comp2016-2017 (3)'!$R$5:$R$289,$V164)*$AB164))</f>
        <v/>
      </c>
      <c r="AG164" s="2" t="str">
        <f>IF($W164=AG$3,$AB164,IF(NOT($W164=0),"",SUMIFS('Val-Vol (2)'!AG$4:AG$1116,'Val-Vol (2)'!$A$4:$A$1116,$D164,'Val-Vol (2)'!$V$4:$V$1116,$V164)/SUMIFS('Comp2016-2017 (3)'!$G$5:$G$289,'Comp2016-2017 (3)'!$A$5:$A$289,$D164,'Comp2016-2017 (3)'!$R$5:$R$289,$V164)*$AB164))</f>
        <v/>
      </c>
      <c r="AH164" s="2" t="str">
        <f>IF($W164=AH$3,$AB164,IF(NOT($W164=0),"",SUMIFS('Val-Vol (2)'!AH$4:AH$1116,'Val-Vol (2)'!$A$4:$A$1116,$D164,'Val-Vol (2)'!$V$4:$V$1116,$V164)/SUMIFS('Comp2016-2017 (3)'!$G$5:$G$289,'Comp2016-2017 (3)'!$A$5:$A$289,$D164,'Comp2016-2017 (3)'!$R$5:$R$289,$V164)*$AB164))</f>
        <v/>
      </c>
      <c r="AI164" s="2" t="str">
        <f>IF($W164=AI$3,$AB164,IF(NOT($W164=0),"",SUMIFS('Val-Vol (2)'!AI$4:AI$1116,'Val-Vol (2)'!$A$4:$A$1116,$D164,'Val-Vol (2)'!$V$4:$V$1116,$V164)/SUMIFS('Comp2016-2017 (3)'!$G$5:$G$289,'Comp2016-2017 (3)'!$A$5:$A$289,$D164,'Comp2016-2017 (3)'!$R$5:$R$289,$V164)*$AB164))</f>
        <v/>
      </c>
      <c r="AJ164" s="2" t="str">
        <f>IF($W164=AJ$3,$AB164,IF(NOT($W164=0),"",SUMIFS('Val-Vol (2)'!AJ$4:AJ$1116,'Val-Vol (2)'!$A$4:$A$1116,$D164,'Val-Vol (2)'!$V$4:$V$1116,$V164)/SUMIFS('Comp2016-2017 (3)'!$G$5:$G$289,'Comp2016-2017 (3)'!$A$5:$A$289,$D164,'Comp2016-2017 (3)'!$R$5:$R$289,$V164)*$AB164))</f>
        <v/>
      </c>
      <c r="AK164" s="2">
        <f t="shared" si="16"/>
        <v>0</v>
      </c>
      <c r="AL164" t="str">
        <f t="shared" si="13"/>
        <v/>
      </c>
      <c r="AM164" t="str">
        <f>VLOOKUP(A164,'Table corresp.'!$M$4:$U$63,8,FALSE)</f>
        <v>Production intermédiaire</v>
      </c>
      <c r="AN164" t="str">
        <f>VLOOKUP(D164,'Table corresp.'!$M$4:$U$63,9,FALSE)</f>
        <v xml:space="preserve">Mise en œuvre </v>
      </c>
    </row>
    <row r="165" spans="1:40" x14ac:dyDescent="0.25">
      <c r="A165" t="s">
        <v>83</v>
      </c>
      <c r="B165" t="str">
        <f>VLOOKUP(LEFT(A165,3),'Table corresp.'!$A$4:$D$63,3,FALSE)</f>
        <v>Transformation</v>
      </c>
      <c r="C165" t="str">
        <f>VLOOKUP(A165,'Table corresp.'!$M$4:$P$63,4,FALSE)</f>
        <v>Production et transformation de produits bois</v>
      </c>
      <c r="D165" t="s">
        <v>26</v>
      </c>
      <c r="E165" t="str">
        <f>VLOOKUP(LEFT(D165,3),'Table corresp.'!$A$4:$D$63,4,FALSE)</f>
        <v>Transformation</v>
      </c>
      <c r="F165" t="str">
        <f t="shared" si="12"/>
        <v xml:space="preserve">14  - 59 </v>
      </c>
      <c r="G165" s="1">
        <v>988.67116659786984</v>
      </c>
      <c r="H165" s="1">
        <v>391.32883340213016</v>
      </c>
      <c r="I165" s="1">
        <v>1380</v>
      </c>
      <c r="J165" s="1">
        <v>13.532232543489304</v>
      </c>
      <c r="K165" s="1">
        <v>2.5233217570493953</v>
      </c>
      <c r="L165" s="1">
        <v>16.055554300538699</v>
      </c>
      <c r="M165" s="1">
        <v>0</v>
      </c>
      <c r="N165" s="1">
        <v>0</v>
      </c>
      <c r="O165" s="1">
        <v>0</v>
      </c>
      <c r="P165" s="1">
        <v>0</v>
      </c>
      <c r="Q165" s="1">
        <v>0</v>
      </c>
      <c r="R165" s="1">
        <v>0</v>
      </c>
      <c r="S165" s="67"/>
      <c r="T165">
        <f>VLOOKUP(A165,'Groupe de branches'!$Z$27:$AM$86,14,FALSE)</f>
        <v>0</v>
      </c>
      <c r="U165">
        <f>VLOOKUP(D165,'Groupe de branches'!$Z$27:$AM$86,14,FALSE)</f>
        <v>0</v>
      </c>
      <c r="V165">
        <v>2016</v>
      </c>
      <c r="W165" t="str">
        <f>VLOOKUP(D165,'Table corresp.'!$M$4:$S$63,7,FALSE)</f>
        <v>Construction</v>
      </c>
      <c r="X165" s="167">
        <f>IFERROR(G165/SUMIFS('Comp2016-2017 (3)'!$I$5:$I$289,'Comp2016-2017 (3)'!$A$5:$A$289,A165,'Comp2016-2017 (3)'!$R$5:$R$289,V165),0)</f>
        <v>7.4721806341736191E-3</v>
      </c>
      <c r="Y165" s="178">
        <f>IFERROR(IF(RIGHT(F165,3)="Exp",VLOOKUP(F165,#REF!,2,FALSE),VLOOKUP(F165,#REF!,9,FALSE)),1)</f>
        <v>1</v>
      </c>
      <c r="Z165" s="167">
        <f t="shared" ref="Z165:Z196" si="17">Y165/SUMIFS($Y$4:$Y$1116,$V$4:$V$1116,V165,$A$4:$A$1116,A165)</f>
        <v>7.1428571428571425E-2</v>
      </c>
      <c r="AA165" s="189">
        <f t="shared" si="15"/>
        <v>5.3372718815525853E-4</v>
      </c>
      <c r="AB165" s="2">
        <f>IFERROR(SUMIFS('Comp2016-2017 (3)'!$G$5:$G$289,'Comp2016-2017 (3)'!$A$5:$A$289,A165,'Comp2016-2017 (3)'!$R$5:$R$289,V165)*AA165/SUMIFS($AA$4:$AA$1116,$A$4:$A$1116,A165,$V$4:$V$1116,V165),0)</f>
        <v>229.37233533186216</v>
      </c>
      <c r="AC165" s="2" t="str">
        <f>IF($W165=AC$3,$AB165,IF(NOT($W165=0),"",SUMIFS('Val-Vol (2)'!AC$4:AC$1116,'Val-Vol (2)'!$A$4:$A$1116,$D165,'Val-Vol (2)'!$V$4:$V$1116,$V165)/SUMIFS('Comp2016-2017 (3)'!$G$5:$G$289,'Comp2016-2017 (3)'!$A$5:$A$289,$D165,'Comp2016-2017 (3)'!$R$5:$R$289,$V165)*$AB165))</f>
        <v/>
      </c>
      <c r="AD165" s="2">
        <f>IF($W165=AD$3,$AB165,IF(NOT($W165=0),"",SUMIFS('Val-Vol (2)'!AD$4:AD$1116,'Val-Vol (2)'!$A$4:$A$1116,$D165,'Val-Vol (2)'!$V$4:$V$1116,$V165)/SUMIFS('Comp2016-2017 (3)'!$G$5:$G$289,'Comp2016-2017 (3)'!$A$5:$A$289,$D165,'Comp2016-2017 (3)'!$R$5:$R$289,$V165)*$AB165))</f>
        <v>229.37233533186216</v>
      </c>
      <c r="AE165" s="2" t="str">
        <f>IF($W165=AE$3,$AB165,IF(NOT($W165=0),"",SUMIFS('Val-Vol (2)'!AE$4:AE$1116,'Val-Vol (2)'!$A$4:$A$1116,$D165,'Val-Vol (2)'!$V$4:$V$1116,$V165)/SUMIFS('Comp2016-2017 (3)'!$G$5:$G$289,'Comp2016-2017 (3)'!$A$5:$A$289,$D165,'Comp2016-2017 (3)'!$R$5:$R$289,$V165)*$AB165))</f>
        <v/>
      </c>
      <c r="AF165" s="2" t="str">
        <f>IF($W165=AF$3,$AB165,IF(NOT($W165=0),"",SUMIFS('Val-Vol (2)'!AF$4:AF$1116,'Val-Vol (2)'!$A$4:$A$1116,$D165,'Val-Vol (2)'!$V$4:$V$1116,$V165)/SUMIFS('Comp2016-2017 (3)'!$G$5:$G$289,'Comp2016-2017 (3)'!$A$5:$A$289,$D165,'Comp2016-2017 (3)'!$R$5:$R$289,$V165)*$AB165))</f>
        <v/>
      </c>
      <c r="AG165" s="2" t="str">
        <f>IF($W165=AG$3,$AB165,IF(NOT($W165=0),"",SUMIFS('Val-Vol (2)'!AG$4:AG$1116,'Val-Vol (2)'!$A$4:$A$1116,$D165,'Val-Vol (2)'!$V$4:$V$1116,$V165)/SUMIFS('Comp2016-2017 (3)'!$G$5:$G$289,'Comp2016-2017 (3)'!$A$5:$A$289,$D165,'Comp2016-2017 (3)'!$R$5:$R$289,$V165)*$AB165))</f>
        <v/>
      </c>
      <c r="AH165" s="2" t="str">
        <f>IF($W165=AH$3,$AB165,IF(NOT($W165=0),"",SUMIFS('Val-Vol (2)'!AH$4:AH$1116,'Val-Vol (2)'!$A$4:$A$1116,$D165,'Val-Vol (2)'!$V$4:$V$1116,$V165)/SUMIFS('Comp2016-2017 (3)'!$G$5:$G$289,'Comp2016-2017 (3)'!$A$5:$A$289,$D165,'Comp2016-2017 (3)'!$R$5:$R$289,$V165)*$AB165))</f>
        <v/>
      </c>
      <c r="AI165" s="2" t="str">
        <f>IF($W165=AI$3,$AB165,IF(NOT($W165=0),"",SUMIFS('Val-Vol (2)'!AI$4:AI$1116,'Val-Vol (2)'!$A$4:$A$1116,$D165,'Val-Vol (2)'!$V$4:$V$1116,$V165)/SUMIFS('Comp2016-2017 (3)'!$G$5:$G$289,'Comp2016-2017 (3)'!$A$5:$A$289,$D165,'Comp2016-2017 (3)'!$R$5:$R$289,$V165)*$AB165))</f>
        <v/>
      </c>
      <c r="AJ165" s="2" t="str">
        <f>IF($W165=AJ$3,$AB165,IF(NOT($W165=0),"",SUMIFS('Val-Vol (2)'!AJ$4:AJ$1116,'Val-Vol (2)'!$A$4:$A$1116,$D165,'Val-Vol (2)'!$V$4:$V$1116,$V165)/SUMIFS('Comp2016-2017 (3)'!$G$5:$G$289,'Comp2016-2017 (3)'!$A$5:$A$289,$D165,'Comp2016-2017 (3)'!$R$5:$R$289,$V165)*$AB165))</f>
        <v/>
      </c>
      <c r="AK165" s="2">
        <f t="shared" si="16"/>
        <v>0</v>
      </c>
      <c r="AL165" t="str">
        <f t="shared" si="13"/>
        <v/>
      </c>
      <c r="AM165" t="str">
        <f>VLOOKUP(A165,'Table corresp.'!$M$4:$U$63,8,FALSE)</f>
        <v>Production intermédiaire</v>
      </c>
      <c r="AN165" t="str">
        <f>VLOOKUP(D165,'Table corresp.'!$M$4:$U$63,9,FALSE)</f>
        <v xml:space="preserve">Mise en œuvre </v>
      </c>
    </row>
    <row r="166" spans="1:40" x14ac:dyDescent="0.25">
      <c r="A166" t="s">
        <v>83</v>
      </c>
      <c r="B166" t="str">
        <f>VLOOKUP(LEFT(A166,3),'Table corresp.'!$A$4:$D$63,3,FALSE)</f>
        <v>Transformation</v>
      </c>
      <c r="C166" t="str">
        <f>VLOOKUP(A166,'Table corresp.'!$M$4:$P$63,4,FALSE)</f>
        <v>Production et transformation de produits bois</v>
      </c>
      <c r="D166" t="s">
        <v>54</v>
      </c>
      <c r="E166" t="str">
        <f>VLOOKUP(LEFT(D166,3),'Table corresp.'!$A$4:$D$63,4,FALSE)</f>
        <v>Consommation finale</v>
      </c>
      <c r="F166" t="str">
        <f t="shared" si="12"/>
        <v>14  - Con</v>
      </c>
      <c r="G166" s="1">
        <v>598</v>
      </c>
      <c r="H166" s="1">
        <v>471</v>
      </c>
      <c r="I166" s="1">
        <v>1069</v>
      </c>
      <c r="J166" s="1">
        <v>6.5480012642448511</v>
      </c>
      <c r="K166" s="1">
        <v>2.1378881308517705</v>
      </c>
      <c r="L166" s="1">
        <v>8.6858893950966216</v>
      </c>
      <c r="M166" s="1">
        <v>0</v>
      </c>
      <c r="N166" s="1">
        <v>0</v>
      </c>
      <c r="O166" s="1">
        <v>0</v>
      </c>
      <c r="P166" s="1">
        <v>0</v>
      </c>
      <c r="Q166" s="1">
        <v>0</v>
      </c>
      <c r="R166" s="1">
        <v>0</v>
      </c>
      <c r="S166" s="67"/>
      <c r="T166">
        <f>VLOOKUP(A166,'Groupe de branches'!$Z$27:$AM$86,14,FALSE)</f>
        <v>0</v>
      </c>
      <c r="U166">
        <f>VLOOKUP(D166,'Groupe de branches'!$Z$27:$AM$86,14,FALSE)</f>
        <v>0</v>
      </c>
      <c r="V166">
        <v>2016</v>
      </c>
      <c r="W166" t="str">
        <f>VLOOKUP(D166,'Table corresp.'!$M$4:$S$63,7,FALSE)</f>
        <v>Consommation finale</v>
      </c>
      <c r="X166" s="167">
        <f>IFERROR(G166/SUMIFS('Comp2016-2017 (3)'!$I$5:$I$289,'Comp2016-2017 (3)'!$A$5:$A$289,A166,'Comp2016-2017 (3)'!$R$5:$R$289,V166),0)</f>
        <v>4.5195654229625952E-3</v>
      </c>
      <c r="Y166" s="178">
        <f>IFERROR(IF(RIGHT(F166,3)="Exp",VLOOKUP(F166,#REF!,2,FALSE),VLOOKUP(F166,#REF!,9,FALSE)),1)</f>
        <v>1</v>
      </c>
      <c r="Z166" s="167">
        <f t="shared" si="17"/>
        <v>7.1428571428571425E-2</v>
      </c>
      <c r="AA166" s="189">
        <f t="shared" si="15"/>
        <v>3.2282610164018538E-4</v>
      </c>
      <c r="AB166" s="2">
        <f>IFERROR(SUMIFS('Comp2016-2017 (3)'!$G$5:$G$289,'Comp2016-2017 (3)'!$A$5:$A$289,A166,'Comp2016-2017 (3)'!$R$5:$R$289,V166)*AA166/SUMIFS($AA$4:$AA$1116,$A$4:$A$1116,A166,$V$4:$V$1116,V166),0)</f>
        <v>138.73637783981582</v>
      </c>
      <c r="AC166" s="2" t="str">
        <f>IF($W166=AC$3,$AB166,IF(NOT($W166=0),"",SUMIFS('Val-Vol (2)'!AC$4:AC$1116,'Val-Vol (2)'!$A$4:$A$1116,$D166,'Val-Vol (2)'!$V$4:$V$1116,$V166)/SUMIFS('Comp2016-2017 (3)'!$G$5:$G$289,'Comp2016-2017 (3)'!$A$5:$A$289,$D166,'Comp2016-2017 (3)'!$R$5:$R$289,$V166)*$AB166))</f>
        <v/>
      </c>
      <c r="AD166" s="2" t="str">
        <f>IF($W166=AD$3,$AB166,IF(NOT($W166=0),"",SUMIFS('Val-Vol (2)'!AD$4:AD$1116,'Val-Vol (2)'!$A$4:$A$1116,$D166,'Val-Vol (2)'!$V$4:$V$1116,$V166)/SUMIFS('Comp2016-2017 (3)'!$G$5:$G$289,'Comp2016-2017 (3)'!$A$5:$A$289,$D166,'Comp2016-2017 (3)'!$R$5:$R$289,$V166)*$AB166))</f>
        <v/>
      </c>
      <c r="AE166" s="2" t="str">
        <f>IF($W166=AE$3,$AB166,IF(NOT($W166=0),"",SUMIFS('Val-Vol (2)'!AE$4:AE$1116,'Val-Vol (2)'!$A$4:$A$1116,$D166,'Val-Vol (2)'!$V$4:$V$1116,$V166)/SUMIFS('Comp2016-2017 (3)'!$G$5:$G$289,'Comp2016-2017 (3)'!$A$5:$A$289,$D166,'Comp2016-2017 (3)'!$R$5:$R$289,$V166)*$AB166))</f>
        <v/>
      </c>
      <c r="AF166" s="2" t="str">
        <f>IF($W166=AF$3,$AB166,IF(NOT($W166=0),"",SUMIFS('Val-Vol (2)'!AF$4:AF$1116,'Val-Vol (2)'!$A$4:$A$1116,$D166,'Val-Vol (2)'!$V$4:$V$1116,$V166)/SUMIFS('Comp2016-2017 (3)'!$G$5:$G$289,'Comp2016-2017 (3)'!$A$5:$A$289,$D166,'Comp2016-2017 (3)'!$R$5:$R$289,$V166)*$AB166))</f>
        <v/>
      </c>
      <c r="AG166" s="2" t="str">
        <f>IF($W166=AG$3,$AB166,IF(NOT($W166=0),"",SUMIFS('Val-Vol (2)'!AG$4:AG$1116,'Val-Vol (2)'!$A$4:$A$1116,$D166,'Val-Vol (2)'!$V$4:$V$1116,$V166)/SUMIFS('Comp2016-2017 (3)'!$G$5:$G$289,'Comp2016-2017 (3)'!$A$5:$A$289,$D166,'Comp2016-2017 (3)'!$R$5:$R$289,$V166)*$AB166))</f>
        <v/>
      </c>
      <c r="AH166" s="2" t="str">
        <f>IF($W166=AH$3,$AB166,IF(NOT($W166=0),"",SUMIFS('Val-Vol (2)'!AH$4:AH$1116,'Val-Vol (2)'!$A$4:$A$1116,$D166,'Val-Vol (2)'!$V$4:$V$1116,$V166)/SUMIFS('Comp2016-2017 (3)'!$G$5:$G$289,'Comp2016-2017 (3)'!$A$5:$A$289,$D166,'Comp2016-2017 (3)'!$R$5:$R$289,$V166)*$AB166))</f>
        <v/>
      </c>
      <c r="AI166" s="2" t="str">
        <f>IF($W166=AI$3,$AB166,IF(NOT($W166=0),"",SUMIFS('Val-Vol (2)'!AI$4:AI$1116,'Val-Vol (2)'!$A$4:$A$1116,$D166,'Val-Vol (2)'!$V$4:$V$1116,$V166)/SUMIFS('Comp2016-2017 (3)'!$G$5:$G$289,'Comp2016-2017 (3)'!$A$5:$A$289,$D166,'Comp2016-2017 (3)'!$R$5:$R$289,$V166)*$AB166))</f>
        <v/>
      </c>
      <c r="AJ166" s="2">
        <f>IF($W166=AJ$3,$AB166,IF(NOT($W166=0),"",SUMIFS('Val-Vol (2)'!AJ$4:AJ$1116,'Val-Vol (2)'!$A$4:$A$1116,$D166,'Val-Vol (2)'!$V$4:$V$1116,$V166)/SUMIFS('Comp2016-2017 (3)'!$G$5:$G$289,'Comp2016-2017 (3)'!$A$5:$A$289,$D166,'Comp2016-2017 (3)'!$R$5:$R$289,$V166)*$AB166))</f>
        <v>138.73637783981582</v>
      </c>
      <c r="AK166" s="2">
        <f t="shared" si="16"/>
        <v>0</v>
      </c>
      <c r="AL166" t="str">
        <f t="shared" si="13"/>
        <v/>
      </c>
      <c r="AM166" t="str">
        <f>VLOOKUP(A166,'Table corresp.'!$M$4:$U$63,8,FALSE)</f>
        <v>Production intermédiaire</v>
      </c>
      <c r="AN166" t="str">
        <f>VLOOKUP(D166,'Table corresp.'!$M$4:$U$63,9,FALSE)</f>
        <v>Consommation finale française</v>
      </c>
    </row>
    <row r="167" spans="1:40" x14ac:dyDescent="0.25">
      <c r="A167" t="s">
        <v>83</v>
      </c>
      <c r="B167" t="str">
        <f>VLOOKUP(LEFT(A167,3),'Table corresp.'!$A$4:$D$63,3,FALSE)</f>
        <v>Transformation</v>
      </c>
      <c r="C167" t="str">
        <f>VLOOKUP(A167,'Table corresp.'!$M$4:$P$63,4,FALSE)</f>
        <v>Production et transformation de produits bois</v>
      </c>
      <c r="D167" t="s">
        <v>53</v>
      </c>
      <c r="E167" t="str">
        <f>VLOOKUP(LEFT(D167,3),'Table corresp.'!$A$4:$D$63,4,FALSE)</f>
        <v>Exportation</v>
      </c>
      <c r="F167" t="str">
        <f t="shared" si="12"/>
        <v>14  - Exp</v>
      </c>
      <c r="G167" s="1">
        <v>82431.857999999993</v>
      </c>
      <c r="H167" s="1">
        <v>0</v>
      </c>
      <c r="I167" s="1">
        <v>82431.857999999993</v>
      </c>
      <c r="J167" s="1">
        <v>577.19786759336182</v>
      </c>
      <c r="K167" s="1">
        <v>0</v>
      </c>
      <c r="L167" s="1">
        <v>577.19786759336182</v>
      </c>
      <c r="M167" s="1">
        <v>0</v>
      </c>
      <c r="N167" s="1">
        <v>0</v>
      </c>
      <c r="O167" s="1">
        <v>0</v>
      </c>
      <c r="P167" s="1">
        <v>0</v>
      </c>
      <c r="Q167" s="1">
        <v>0</v>
      </c>
      <c r="R167" s="1">
        <v>0</v>
      </c>
      <c r="S167" s="67"/>
      <c r="T167">
        <f>VLOOKUP(A167,'Groupe de branches'!$Z$27:$AM$86,14,FALSE)</f>
        <v>0</v>
      </c>
      <c r="U167">
        <f>VLOOKUP(D167,'Groupe de branches'!$Z$27:$AM$86,14,FALSE)</f>
        <v>0</v>
      </c>
      <c r="V167">
        <v>2016</v>
      </c>
      <c r="W167" t="str">
        <f>VLOOKUP(D167,'Table corresp.'!$M$4:$S$63,7,FALSE)</f>
        <v>Exportation</v>
      </c>
      <c r="X167" s="167">
        <f>IFERROR(G167/SUMIFS('Comp2016-2017 (3)'!$I$5:$I$289,'Comp2016-2017 (3)'!$A$5:$A$289,A167,'Comp2016-2017 (3)'!$R$5:$R$289,V167),0)</f>
        <v>0.62300363740361631</v>
      </c>
      <c r="Y167" s="178">
        <f>IFERROR(IF(RIGHT(F167,3)="Exp",VLOOKUP(F167,#REF!,2,FALSE),VLOOKUP(F167,#REF!,9,FALSE)),1)</f>
        <v>1</v>
      </c>
      <c r="Z167" s="167">
        <f t="shared" si="17"/>
        <v>7.1428571428571425E-2</v>
      </c>
      <c r="AA167" s="189">
        <f t="shared" si="15"/>
        <v>4.4500259814544023E-2</v>
      </c>
      <c r="AB167" s="2">
        <f>IFERROR(SUMIFS('Comp2016-2017 (3)'!$G$5:$G$289,'Comp2016-2017 (3)'!$A$5:$A$289,A167,'Comp2016-2017 (3)'!$R$5:$R$289,V167)*AA167/SUMIFS($AA$4:$AA$1116,$A$4:$A$1116,A167,$V$4:$V$1116,V167),0)</f>
        <v>19124.243139675655</v>
      </c>
      <c r="AC167" s="2">
        <f>IF($W167=AC$3,$AB167,IF(NOT($W167=0),"",SUMIFS('Val-Vol (2)'!AC$4:AC$1116,'Val-Vol (2)'!$A$4:$A$1116,$D167,'Val-Vol (2)'!$V$4:$V$1116,$V167)/SUMIFS('Comp2016-2017 (3)'!$G$5:$G$289,'Comp2016-2017 (3)'!$A$5:$A$289,$D167,'Comp2016-2017 (3)'!$R$5:$R$289,$V167)*$AB167))</f>
        <v>19124.243139675655</v>
      </c>
      <c r="AD167" s="2" t="str">
        <f>IF($W167=AD$3,$AB167,IF(NOT($W167=0),"",SUMIFS('Val-Vol (2)'!AD$4:AD$1116,'Val-Vol (2)'!$A$4:$A$1116,$D167,'Val-Vol (2)'!$V$4:$V$1116,$V167)/SUMIFS('Comp2016-2017 (3)'!$G$5:$G$289,'Comp2016-2017 (3)'!$A$5:$A$289,$D167,'Comp2016-2017 (3)'!$R$5:$R$289,$V167)*$AB167))</f>
        <v/>
      </c>
      <c r="AE167" s="2" t="str">
        <f>IF($W167=AE$3,$AB167,IF(NOT($W167=0),"",SUMIFS('Val-Vol (2)'!AE$4:AE$1116,'Val-Vol (2)'!$A$4:$A$1116,$D167,'Val-Vol (2)'!$V$4:$V$1116,$V167)/SUMIFS('Comp2016-2017 (3)'!$G$5:$G$289,'Comp2016-2017 (3)'!$A$5:$A$289,$D167,'Comp2016-2017 (3)'!$R$5:$R$289,$V167)*$AB167))</f>
        <v/>
      </c>
      <c r="AF167" s="2" t="str">
        <f>IF($W167=AF$3,$AB167,IF(NOT($W167=0),"",SUMIFS('Val-Vol (2)'!AF$4:AF$1116,'Val-Vol (2)'!$A$4:$A$1116,$D167,'Val-Vol (2)'!$V$4:$V$1116,$V167)/SUMIFS('Comp2016-2017 (3)'!$G$5:$G$289,'Comp2016-2017 (3)'!$A$5:$A$289,$D167,'Comp2016-2017 (3)'!$R$5:$R$289,$V167)*$AB167))</f>
        <v/>
      </c>
      <c r="AG167" s="2" t="str">
        <f>IF($W167=AG$3,$AB167,IF(NOT($W167=0),"",SUMIFS('Val-Vol (2)'!AG$4:AG$1116,'Val-Vol (2)'!$A$4:$A$1116,$D167,'Val-Vol (2)'!$V$4:$V$1116,$V167)/SUMIFS('Comp2016-2017 (3)'!$G$5:$G$289,'Comp2016-2017 (3)'!$A$5:$A$289,$D167,'Comp2016-2017 (3)'!$R$5:$R$289,$V167)*$AB167))</f>
        <v/>
      </c>
      <c r="AH167" s="2" t="str">
        <f>IF($W167=AH$3,$AB167,IF(NOT($W167=0),"",SUMIFS('Val-Vol (2)'!AH$4:AH$1116,'Val-Vol (2)'!$A$4:$A$1116,$D167,'Val-Vol (2)'!$V$4:$V$1116,$V167)/SUMIFS('Comp2016-2017 (3)'!$G$5:$G$289,'Comp2016-2017 (3)'!$A$5:$A$289,$D167,'Comp2016-2017 (3)'!$R$5:$R$289,$V167)*$AB167))</f>
        <v/>
      </c>
      <c r="AI167" s="2" t="str">
        <f>IF($W167=AI$3,$AB167,IF(NOT($W167=0),"",SUMIFS('Val-Vol (2)'!AI$4:AI$1116,'Val-Vol (2)'!$A$4:$A$1116,$D167,'Val-Vol (2)'!$V$4:$V$1116,$V167)/SUMIFS('Comp2016-2017 (3)'!$G$5:$G$289,'Comp2016-2017 (3)'!$A$5:$A$289,$D167,'Comp2016-2017 (3)'!$R$5:$R$289,$V167)*$AB167))</f>
        <v/>
      </c>
      <c r="AJ167" s="2" t="str">
        <f>IF($W167=AJ$3,$AB167,IF(NOT($W167=0),"",SUMIFS('Val-Vol (2)'!AJ$4:AJ$1116,'Val-Vol (2)'!$A$4:$A$1116,$D167,'Val-Vol (2)'!$V$4:$V$1116,$V167)/SUMIFS('Comp2016-2017 (3)'!$G$5:$G$289,'Comp2016-2017 (3)'!$A$5:$A$289,$D167,'Comp2016-2017 (3)'!$R$5:$R$289,$V167)*$AB167))</f>
        <v/>
      </c>
      <c r="AK167" s="2">
        <f t="shared" si="16"/>
        <v>0</v>
      </c>
      <c r="AL167" t="str">
        <f t="shared" si="13"/>
        <v/>
      </c>
      <c r="AM167" t="str">
        <f>VLOOKUP(A167,'Table corresp.'!$M$4:$U$63,8,FALSE)</f>
        <v>Production intermédiaire</v>
      </c>
      <c r="AN167" t="str">
        <f>VLOOKUP(D167,'Table corresp.'!$M$4:$U$63,9,FALSE)</f>
        <v>Exportation</v>
      </c>
    </row>
    <row r="168" spans="1:40" x14ac:dyDescent="0.25">
      <c r="A168" t="s">
        <v>9</v>
      </c>
      <c r="B168" t="str">
        <f>VLOOKUP(LEFT(A168,3),'Table corresp.'!$A$4:$D$63,3,FALSE)</f>
        <v>Transformation</v>
      </c>
      <c r="C168" t="str">
        <f>VLOOKUP(A168,'Table corresp.'!$M$4:$P$63,4,FALSE)</f>
        <v>Production et transformation de produits bois</v>
      </c>
      <c r="D168" t="s">
        <v>13</v>
      </c>
      <c r="E168" t="str">
        <f>VLOOKUP(LEFT(D168,3),'Table corresp.'!$A$4:$D$63,4,FALSE)</f>
        <v>Transformation</v>
      </c>
      <c r="F168" t="str">
        <f t="shared" si="12"/>
        <v xml:space="preserve">15  - 20 </v>
      </c>
      <c r="G168" s="1">
        <v>71885</v>
      </c>
      <c r="H168" s="1">
        <v>0</v>
      </c>
      <c r="I168" s="1">
        <v>71885</v>
      </c>
      <c r="J168" s="1">
        <v>593.09685297331157</v>
      </c>
      <c r="K168" s="1">
        <v>0</v>
      </c>
      <c r="L168" s="1">
        <v>593.09685297331157</v>
      </c>
      <c r="M168" s="1">
        <v>0</v>
      </c>
      <c r="N168" s="1">
        <v>0</v>
      </c>
      <c r="O168" s="1">
        <v>0</v>
      </c>
      <c r="P168" s="1">
        <v>0</v>
      </c>
      <c r="Q168" s="1">
        <v>0</v>
      </c>
      <c r="R168" s="1">
        <v>0</v>
      </c>
      <c r="S168" s="67"/>
      <c r="T168">
        <f>VLOOKUP(A168,'Groupe de branches'!$Z$27:$AM$86,14,FALSE)</f>
        <v>0</v>
      </c>
      <c r="U168">
        <f>VLOOKUP(D168,'Groupe de branches'!$Z$27:$AM$86,14,FALSE)</f>
        <v>0</v>
      </c>
      <c r="V168">
        <v>2016</v>
      </c>
      <c r="W168">
        <f>VLOOKUP(D168,'Table corresp.'!$M$4:$S$63,7,FALSE)</f>
        <v>0</v>
      </c>
      <c r="X168" s="167">
        <f>IFERROR(G168/SUMIFS('Comp2016-2017 (3)'!$I$5:$I$289,'Comp2016-2017 (3)'!$A$5:$A$289,A168,'Comp2016-2017 (3)'!$R$5:$R$289,V168),0)</f>
        <v>0.2738123618726549</v>
      </c>
      <c r="Y168" s="178">
        <f>IFERROR(IF(RIGHT(F168,3)="Exp",VLOOKUP(F168,#REF!,2,FALSE),VLOOKUP(F168,#REF!,9,FALSE)),1)</f>
        <v>1</v>
      </c>
      <c r="Z168" s="167">
        <f t="shared" si="17"/>
        <v>9.0909090909090912E-2</v>
      </c>
      <c r="AA168" s="189">
        <f t="shared" si="15"/>
        <v>2.4892032897514082E-2</v>
      </c>
      <c r="AB168" s="2">
        <f>IFERROR(SUMIFS('Comp2016-2017 (3)'!$G$5:$G$289,'Comp2016-2017 (3)'!$A$5:$A$289,A168,'Comp2016-2017 (3)'!$R$5:$R$289,V168)*AA168/SUMIFS($AA$4:$AA$1116,$A$4:$A$1116,A168,$V$4:$V$1116,V168),0)</f>
        <v>14952.105810720765</v>
      </c>
      <c r="AC168" s="2">
        <f>IF($W168=AC$3,$AB168,IF(NOT($W168=0),"",SUMIFS('Val-Vol (2)'!AC$4:AC$1116,'Val-Vol (2)'!$A$4:$A$1116,$D168,'Val-Vol (2)'!$V$4:$V$1116,$V168)/SUMIFS('Comp2016-2017 (3)'!$G$5:$G$289,'Comp2016-2017 (3)'!$A$5:$A$289,$D168,'Comp2016-2017 (3)'!$R$5:$R$289,$V168)*$AB168))</f>
        <v>1694.3160048151608</v>
      </c>
      <c r="AD168" s="2">
        <f>IF($W168=AD$3,$AB168,IF(NOT($W168=0),"",SUMIFS('Val-Vol (2)'!AD$4:AD$1116,'Val-Vol (2)'!$A$4:$A$1116,$D168,'Val-Vol (2)'!$V$4:$V$1116,$V168)/SUMIFS('Comp2016-2017 (3)'!$G$5:$G$289,'Comp2016-2017 (3)'!$A$5:$A$289,$D168,'Comp2016-2017 (3)'!$R$5:$R$289,$V168)*$AB168))</f>
        <v>8054.4984481397623</v>
      </c>
      <c r="AE168" s="2">
        <f>IF($W168=AE$3,$AB168,IF(NOT($W168=0),"",SUMIFS('Val-Vol (2)'!AE$4:AE$1116,'Val-Vol (2)'!$A$4:$A$1116,$D168,'Val-Vol (2)'!$V$4:$V$1116,$V168)/SUMIFS('Comp2016-2017 (3)'!$G$5:$G$289,'Comp2016-2017 (3)'!$A$5:$A$289,$D168,'Comp2016-2017 (3)'!$R$5:$R$289,$V168)*$AB168))</f>
        <v>0</v>
      </c>
      <c r="AF168" s="2">
        <f>IF($W168=AF$3,$AB168,IF(NOT($W168=0),"",SUMIFS('Val-Vol (2)'!AF$4:AF$1116,'Val-Vol (2)'!$A$4:$A$1116,$D168,'Val-Vol (2)'!$V$4:$V$1116,$V168)/SUMIFS('Comp2016-2017 (3)'!$G$5:$G$289,'Comp2016-2017 (3)'!$A$5:$A$289,$D168,'Comp2016-2017 (3)'!$R$5:$R$289,$V168)*$AB168))</f>
        <v>0</v>
      </c>
      <c r="AG168" s="2">
        <f>IF($W168=AG$3,$AB168,IF(NOT($W168=0),"",SUMIFS('Val-Vol (2)'!AG$4:AG$1116,'Val-Vol (2)'!$A$4:$A$1116,$D168,'Val-Vol (2)'!$V$4:$V$1116,$V168)/SUMIFS('Comp2016-2017 (3)'!$G$5:$G$289,'Comp2016-2017 (3)'!$A$5:$A$289,$D168,'Comp2016-2017 (3)'!$R$5:$R$289,$V168)*$AB168))</f>
        <v>0</v>
      </c>
      <c r="AH168" s="2">
        <f>IF($W168=AH$3,$AB168,IF(NOT($W168=0),"",SUMIFS('Val-Vol (2)'!AH$4:AH$1116,'Val-Vol (2)'!$A$4:$A$1116,$D168,'Val-Vol (2)'!$V$4:$V$1116,$V168)/SUMIFS('Comp2016-2017 (3)'!$G$5:$G$289,'Comp2016-2017 (3)'!$A$5:$A$289,$D168,'Comp2016-2017 (3)'!$R$5:$R$289,$V168)*$AB168))</f>
        <v>0</v>
      </c>
      <c r="AI168" s="2">
        <f>IF($W168=AI$3,$AB168,IF(NOT($W168=0),"",SUMIFS('Val-Vol (2)'!AI$4:AI$1116,'Val-Vol (2)'!$A$4:$A$1116,$D168,'Val-Vol (2)'!$V$4:$V$1116,$V168)/SUMIFS('Comp2016-2017 (3)'!$G$5:$G$289,'Comp2016-2017 (3)'!$A$5:$A$289,$D168,'Comp2016-2017 (3)'!$R$5:$R$289,$V168)*$AB168))</f>
        <v>0</v>
      </c>
      <c r="AJ168" s="2">
        <f>IF($W168=AJ$3,$AB168,IF(NOT($W168=0),"",SUMIFS('Val-Vol (2)'!AJ$4:AJ$1116,'Val-Vol (2)'!$A$4:$A$1116,$D168,'Val-Vol (2)'!$V$4:$V$1116,$V168)/SUMIFS('Comp2016-2017 (3)'!$G$5:$G$289,'Comp2016-2017 (3)'!$A$5:$A$289,$D168,'Comp2016-2017 (3)'!$R$5:$R$289,$V168)*$AB168))</f>
        <v>5203.2913577658437</v>
      </c>
      <c r="AK168" s="2">
        <f t="shared" si="16"/>
        <v>0</v>
      </c>
      <c r="AL168" t="str">
        <f t="shared" si="13"/>
        <v/>
      </c>
      <c r="AM168" t="str">
        <f>VLOOKUP(A168,'Table corresp.'!$M$4:$U$63,8,FALSE)</f>
        <v>Production intermédiaire</v>
      </c>
      <c r="AN168" t="str">
        <f>VLOOKUP(D168,'Table corresp.'!$M$4:$U$63,9,FALSE)</f>
        <v>Production intermédiaire</v>
      </c>
    </row>
    <row r="169" spans="1:40" x14ac:dyDescent="0.25">
      <c r="A169" t="s">
        <v>9</v>
      </c>
      <c r="B169" t="str">
        <f>VLOOKUP(LEFT(A169,3),'Table corresp.'!$A$4:$D$63,3,FALSE)</f>
        <v>Transformation</v>
      </c>
      <c r="C169" t="str">
        <f>VLOOKUP(A169,'Table corresp.'!$M$4:$P$63,4,FALSE)</f>
        <v>Production et transformation de produits bois</v>
      </c>
      <c r="D169" t="s">
        <v>14</v>
      </c>
      <c r="E169" t="str">
        <f>VLOOKUP(LEFT(D169,3),'Table corresp.'!$A$4:$D$63,4,FALSE)</f>
        <v>Transformation</v>
      </c>
      <c r="F169" t="str">
        <f t="shared" si="12"/>
        <v>15  - 20b</v>
      </c>
      <c r="G169" s="1">
        <v>2743.5615079365084</v>
      </c>
      <c r="H169" s="1">
        <v>0</v>
      </c>
      <c r="I169" s="1">
        <v>2743.5615079365084</v>
      </c>
      <c r="J169" s="1">
        <v>25.338943570148679</v>
      </c>
      <c r="K169" s="1">
        <v>0</v>
      </c>
      <c r="L169" s="1">
        <v>25.338943570148679</v>
      </c>
      <c r="M169" s="1">
        <v>0</v>
      </c>
      <c r="N169" s="1">
        <v>0</v>
      </c>
      <c r="O169" s="1">
        <v>0</v>
      </c>
      <c r="P169" s="1">
        <v>0</v>
      </c>
      <c r="Q169" s="1">
        <v>0</v>
      </c>
      <c r="R169" s="1">
        <v>0</v>
      </c>
      <c r="S169" s="67"/>
      <c r="T169">
        <f>VLOOKUP(A169,'Groupe de branches'!$Z$27:$AM$86,14,FALSE)</f>
        <v>0</v>
      </c>
      <c r="U169">
        <f>VLOOKUP(D169,'Groupe de branches'!$Z$27:$AM$86,14,FALSE)</f>
        <v>0</v>
      </c>
      <c r="V169">
        <v>2016</v>
      </c>
      <c r="W169">
        <f>VLOOKUP(D169,'Table corresp.'!$M$4:$S$63,7,FALSE)</f>
        <v>0</v>
      </c>
      <c r="X169" s="167">
        <f>IFERROR(G169/SUMIFS('Comp2016-2017 (3)'!$I$5:$I$289,'Comp2016-2017 (3)'!$A$5:$A$289,A169,'Comp2016-2017 (3)'!$R$5:$R$289,V169),0)</f>
        <v>1.0450317262725158E-2</v>
      </c>
      <c r="Y169" s="178">
        <f>IFERROR(IF(RIGHT(F169,3)="Exp",VLOOKUP(F169,#REF!,2,FALSE),VLOOKUP(F169,#REF!,9,FALSE)),1)</f>
        <v>1</v>
      </c>
      <c r="Z169" s="167">
        <f t="shared" si="17"/>
        <v>9.0909090909090912E-2</v>
      </c>
      <c r="AA169" s="189">
        <f t="shared" si="15"/>
        <v>9.5002884206592351E-4</v>
      </c>
      <c r="AB169" s="2">
        <f>IFERROR(SUMIFS('Comp2016-2017 (3)'!$G$5:$G$289,'Comp2016-2017 (3)'!$A$5:$A$289,A169,'Comp2016-2017 (3)'!$R$5:$R$289,V169)*AA169/SUMIFS($AA$4:$AA$1116,$A$4:$A$1116,A169,$V$4:$V$1116,V169),0)</f>
        <v>570.661778742259</v>
      </c>
      <c r="AC169" s="2">
        <f>IF($W169=AC$3,$AB169,IF(NOT($W169=0),"",SUMIFS('Val-Vol (2)'!AC$4:AC$1116,'Val-Vol (2)'!$A$4:$A$1116,$D169,'Val-Vol (2)'!$V$4:$V$1116,$V169)/SUMIFS('Comp2016-2017 (3)'!$G$5:$G$289,'Comp2016-2017 (3)'!$A$5:$A$289,$D169,'Comp2016-2017 (3)'!$R$5:$R$289,$V169)*$AB169))</f>
        <v>145.62113190695251</v>
      </c>
      <c r="AD169" s="2">
        <f>IF($W169=AD$3,$AB169,IF(NOT($W169=0),"",SUMIFS('Val-Vol (2)'!AD$4:AD$1116,'Val-Vol (2)'!$A$4:$A$1116,$D169,'Val-Vol (2)'!$V$4:$V$1116,$V169)/SUMIFS('Comp2016-2017 (3)'!$G$5:$G$289,'Comp2016-2017 (3)'!$A$5:$A$289,$D169,'Comp2016-2017 (3)'!$R$5:$R$289,$V169)*$AB169))</f>
        <v>423.79246570467546</v>
      </c>
      <c r="AE169" s="2">
        <f>IF($W169=AE$3,$AB169,IF(NOT($W169=0),"",SUMIFS('Val-Vol (2)'!AE$4:AE$1116,'Val-Vol (2)'!$A$4:$A$1116,$D169,'Val-Vol (2)'!$V$4:$V$1116,$V169)/SUMIFS('Comp2016-2017 (3)'!$G$5:$G$289,'Comp2016-2017 (3)'!$A$5:$A$289,$D169,'Comp2016-2017 (3)'!$R$5:$R$289,$V169)*$AB169))</f>
        <v>1.2481811306310218</v>
      </c>
      <c r="AF169" s="2">
        <f>IF($W169=AF$3,$AB169,IF(NOT($W169=0),"",SUMIFS('Val-Vol (2)'!AF$4:AF$1116,'Val-Vol (2)'!$A$4:$A$1116,$D169,'Val-Vol (2)'!$V$4:$V$1116,$V169)/SUMIFS('Comp2016-2017 (3)'!$G$5:$G$289,'Comp2016-2017 (3)'!$A$5:$A$289,$D169,'Comp2016-2017 (3)'!$R$5:$R$289,$V169)*$AB169))</f>
        <v>0</v>
      </c>
      <c r="AG169" s="2">
        <f>IF($W169=AG$3,$AB169,IF(NOT($W169=0),"",SUMIFS('Val-Vol (2)'!AG$4:AG$1116,'Val-Vol (2)'!$A$4:$A$1116,$D169,'Val-Vol (2)'!$V$4:$V$1116,$V169)/SUMIFS('Comp2016-2017 (3)'!$G$5:$G$289,'Comp2016-2017 (3)'!$A$5:$A$289,$D169,'Comp2016-2017 (3)'!$R$5:$R$289,$V169)*$AB169))</f>
        <v>0</v>
      </c>
      <c r="AH169" s="2">
        <f>IF($W169=AH$3,$AB169,IF(NOT($W169=0),"",SUMIFS('Val-Vol (2)'!AH$4:AH$1116,'Val-Vol (2)'!$A$4:$A$1116,$D169,'Val-Vol (2)'!$V$4:$V$1116,$V169)/SUMIFS('Comp2016-2017 (3)'!$G$5:$G$289,'Comp2016-2017 (3)'!$A$5:$A$289,$D169,'Comp2016-2017 (3)'!$R$5:$R$289,$V169)*$AB169))</f>
        <v>0</v>
      </c>
      <c r="AI169" s="2">
        <f>IF($W169=AI$3,$AB169,IF(NOT($W169=0),"",SUMIFS('Val-Vol (2)'!AI$4:AI$1116,'Val-Vol (2)'!$A$4:$A$1116,$D169,'Val-Vol (2)'!$V$4:$V$1116,$V169)/SUMIFS('Comp2016-2017 (3)'!$G$5:$G$289,'Comp2016-2017 (3)'!$A$5:$A$289,$D169,'Comp2016-2017 (3)'!$R$5:$R$289,$V169)*$AB169))</f>
        <v>0</v>
      </c>
      <c r="AJ169" s="2">
        <f>IF($W169=AJ$3,$AB169,IF(NOT($W169=0),"",SUMIFS('Val-Vol (2)'!AJ$4:AJ$1116,'Val-Vol (2)'!$A$4:$A$1116,$D169,'Val-Vol (2)'!$V$4:$V$1116,$V169)/SUMIFS('Comp2016-2017 (3)'!$G$5:$G$289,'Comp2016-2017 (3)'!$A$5:$A$289,$D169,'Comp2016-2017 (3)'!$R$5:$R$289,$V169)*$AB169))</f>
        <v>0</v>
      </c>
      <c r="AK169" s="2">
        <f t="shared" si="16"/>
        <v>0</v>
      </c>
      <c r="AL169" t="str">
        <f t="shared" si="13"/>
        <v/>
      </c>
      <c r="AM169" t="str">
        <f>VLOOKUP(A169,'Table corresp.'!$M$4:$U$63,8,FALSE)</f>
        <v>Production intermédiaire</v>
      </c>
      <c r="AN169" t="str">
        <f>VLOOKUP(D169,'Table corresp.'!$M$4:$U$63,9,FALSE)</f>
        <v>Production intermédiaire</v>
      </c>
    </row>
    <row r="170" spans="1:40" x14ac:dyDescent="0.25">
      <c r="A170" t="s">
        <v>9</v>
      </c>
      <c r="B170" t="str">
        <f>VLOOKUP(LEFT(A170,3),'Table corresp.'!$A$4:$D$63,3,FALSE)</f>
        <v>Transformation</v>
      </c>
      <c r="C170" t="str">
        <f>VLOOKUP(A170,'Table corresp.'!$M$4:$P$63,4,FALSE)</f>
        <v>Production et transformation de produits bois</v>
      </c>
      <c r="D170" t="s">
        <v>85</v>
      </c>
      <c r="E170" t="str">
        <f>VLOOKUP(LEFT(D170,3),'Table corresp.'!$A$4:$D$63,4,FALSE)</f>
        <v>Transformation</v>
      </c>
      <c r="F170" t="str">
        <f t="shared" si="12"/>
        <v xml:space="preserve">15  - 29 </v>
      </c>
      <c r="G170" s="1">
        <v>1231.9834994269813</v>
      </c>
      <c r="H170" s="1">
        <v>0</v>
      </c>
      <c r="I170" s="1">
        <v>1231.9834994269813</v>
      </c>
      <c r="J170" s="1">
        <v>13.736007332003448</v>
      </c>
      <c r="K170" s="1">
        <v>0</v>
      </c>
      <c r="L170" s="1">
        <v>13.736007332003448</v>
      </c>
      <c r="M170" s="1">
        <v>0</v>
      </c>
      <c r="N170" s="1">
        <v>0</v>
      </c>
      <c r="O170" s="1">
        <v>0</v>
      </c>
      <c r="P170" s="1">
        <v>0</v>
      </c>
      <c r="Q170" s="1">
        <v>0</v>
      </c>
      <c r="R170" s="1">
        <v>0</v>
      </c>
      <c r="S170" s="67"/>
      <c r="T170">
        <f>VLOOKUP(A170,'Groupe de branches'!$Z$27:$AM$86,14,FALSE)</f>
        <v>0</v>
      </c>
      <c r="U170">
        <f>VLOOKUP(D170,'Groupe de branches'!$Z$27:$AM$86,14,FALSE)</f>
        <v>0</v>
      </c>
      <c r="V170">
        <v>2016</v>
      </c>
      <c r="W170" t="str">
        <f>VLOOKUP(D170,'Table corresp.'!$M$4:$S$63,7,FALSE)</f>
        <v>Construction</v>
      </c>
      <c r="X170" s="167">
        <f>IFERROR(G170/SUMIFS('Comp2016-2017 (3)'!$I$5:$I$289,'Comp2016-2017 (3)'!$A$5:$A$289,A170,'Comp2016-2017 (3)'!$R$5:$R$289,V170),0)</f>
        <v>4.692666227533426E-3</v>
      </c>
      <c r="Y170" s="178">
        <f>IFERROR(IF(RIGHT(F170,3)="Exp",VLOOKUP(F170,#REF!,2,FALSE),VLOOKUP(F170,#REF!,9,FALSE)),1)</f>
        <v>1</v>
      </c>
      <c r="Z170" s="167">
        <f t="shared" si="17"/>
        <v>9.0909090909090912E-2</v>
      </c>
      <c r="AA170" s="189">
        <f t="shared" si="15"/>
        <v>4.2660602068485693E-4</v>
      </c>
      <c r="AB170" s="2">
        <f>IFERROR(SUMIFS('Comp2016-2017 (3)'!$G$5:$G$289,'Comp2016-2017 (3)'!$A$5:$A$289,A170,'Comp2016-2017 (3)'!$R$5:$R$289,V170)*AA170/SUMIFS($AA$4:$AA$1116,$A$4:$A$1116,A170,$V$4:$V$1116,V170),0)</f>
        <v>256.25301023154026</v>
      </c>
      <c r="AC170" s="2" t="str">
        <f>IF($W170=AC$3,$AB170,IF(NOT($W170=0),"",SUMIFS('Val-Vol (2)'!AC$4:AC$1116,'Val-Vol (2)'!$A$4:$A$1116,$D170,'Val-Vol (2)'!$V$4:$V$1116,$V170)/SUMIFS('Comp2016-2017 (3)'!$G$5:$G$289,'Comp2016-2017 (3)'!$A$5:$A$289,$D170,'Comp2016-2017 (3)'!$R$5:$R$289,$V170)*$AB170))</f>
        <v/>
      </c>
      <c r="AD170" s="2">
        <f>IF($W170=AD$3,$AB170,IF(NOT($W170=0),"",SUMIFS('Val-Vol (2)'!AD$4:AD$1116,'Val-Vol (2)'!$A$4:$A$1116,$D170,'Val-Vol (2)'!$V$4:$V$1116,$V170)/SUMIFS('Comp2016-2017 (3)'!$G$5:$G$289,'Comp2016-2017 (3)'!$A$5:$A$289,$D170,'Comp2016-2017 (3)'!$R$5:$R$289,$V170)*$AB170))</f>
        <v>256.25301023154026</v>
      </c>
      <c r="AE170" s="2" t="str">
        <f>IF($W170=AE$3,$AB170,IF(NOT($W170=0),"",SUMIFS('Val-Vol (2)'!AE$4:AE$1116,'Val-Vol (2)'!$A$4:$A$1116,$D170,'Val-Vol (2)'!$V$4:$V$1116,$V170)/SUMIFS('Comp2016-2017 (3)'!$G$5:$G$289,'Comp2016-2017 (3)'!$A$5:$A$289,$D170,'Comp2016-2017 (3)'!$R$5:$R$289,$V170)*$AB170))</f>
        <v/>
      </c>
      <c r="AF170" s="2" t="str">
        <f>IF($W170=AF$3,$AB170,IF(NOT($W170=0),"",SUMIFS('Val-Vol (2)'!AF$4:AF$1116,'Val-Vol (2)'!$A$4:$A$1116,$D170,'Val-Vol (2)'!$V$4:$V$1116,$V170)/SUMIFS('Comp2016-2017 (3)'!$G$5:$G$289,'Comp2016-2017 (3)'!$A$5:$A$289,$D170,'Comp2016-2017 (3)'!$R$5:$R$289,$V170)*$AB170))</f>
        <v/>
      </c>
      <c r="AG170" s="2" t="str">
        <f>IF($W170=AG$3,$AB170,IF(NOT($W170=0),"",SUMIFS('Val-Vol (2)'!AG$4:AG$1116,'Val-Vol (2)'!$A$4:$A$1116,$D170,'Val-Vol (2)'!$V$4:$V$1116,$V170)/SUMIFS('Comp2016-2017 (3)'!$G$5:$G$289,'Comp2016-2017 (3)'!$A$5:$A$289,$D170,'Comp2016-2017 (3)'!$R$5:$R$289,$V170)*$AB170))</f>
        <v/>
      </c>
      <c r="AH170" s="2" t="str">
        <f>IF($W170=AH$3,$AB170,IF(NOT($W170=0),"",SUMIFS('Val-Vol (2)'!AH$4:AH$1116,'Val-Vol (2)'!$A$4:$A$1116,$D170,'Val-Vol (2)'!$V$4:$V$1116,$V170)/SUMIFS('Comp2016-2017 (3)'!$G$5:$G$289,'Comp2016-2017 (3)'!$A$5:$A$289,$D170,'Comp2016-2017 (3)'!$R$5:$R$289,$V170)*$AB170))</f>
        <v/>
      </c>
      <c r="AI170" s="2" t="str">
        <f>IF($W170=AI$3,$AB170,IF(NOT($W170=0),"",SUMIFS('Val-Vol (2)'!AI$4:AI$1116,'Val-Vol (2)'!$A$4:$A$1116,$D170,'Val-Vol (2)'!$V$4:$V$1116,$V170)/SUMIFS('Comp2016-2017 (3)'!$G$5:$G$289,'Comp2016-2017 (3)'!$A$5:$A$289,$D170,'Comp2016-2017 (3)'!$R$5:$R$289,$V170)*$AB170))</f>
        <v/>
      </c>
      <c r="AJ170" s="2" t="str">
        <f>IF($W170=AJ$3,$AB170,IF(NOT($W170=0),"",SUMIFS('Val-Vol (2)'!AJ$4:AJ$1116,'Val-Vol (2)'!$A$4:$A$1116,$D170,'Val-Vol (2)'!$V$4:$V$1116,$V170)/SUMIFS('Comp2016-2017 (3)'!$G$5:$G$289,'Comp2016-2017 (3)'!$A$5:$A$289,$D170,'Comp2016-2017 (3)'!$R$5:$R$289,$V170)*$AB170))</f>
        <v/>
      </c>
      <c r="AK170" s="2">
        <f t="shared" si="16"/>
        <v>0</v>
      </c>
      <c r="AL170" t="str">
        <f t="shared" si="13"/>
        <v/>
      </c>
      <c r="AM170" t="str">
        <f>VLOOKUP(A170,'Table corresp.'!$M$4:$U$63,8,FALSE)</f>
        <v>Production intermédiaire</v>
      </c>
      <c r="AN170" t="str">
        <f>VLOOKUP(D170,'Table corresp.'!$M$4:$U$63,9,FALSE)</f>
        <v>Production intermédiaire</v>
      </c>
    </row>
    <row r="171" spans="1:40" x14ac:dyDescent="0.25">
      <c r="A171" t="s">
        <v>9</v>
      </c>
      <c r="B171" t="str">
        <f>VLOOKUP(LEFT(A171,3),'Table corresp.'!$A$4:$D$63,3,FALSE)</f>
        <v>Transformation</v>
      </c>
      <c r="C171" t="str">
        <f>VLOOKUP(A171,'Table corresp.'!$M$4:$P$63,4,FALSE)</f>
        <v>Production et transformation de produits bois</v>
      </c>
      <c r="D171" t="s">
        <v>91</v>
      </c>
      <c r="E171" t="str">
        <f>VLOOKUP(LEFT(D171,3),'Table corresp.'!$A$4:$D$63,4,FALSE)</f>
        <v>Transformation</v>
      </c>
      <c r="F171" t="str">
        <f t="shared" si="12"/>
        <v xml:space="preserve">15  - 37 </v>
      </c>
      <c r="G171" s="1">
        <v>116928.5</v>
      </c>
      <c r="H171" s="1">
        <v>0</v>
      </c>
      <c r="I171" s="1">
        <v>116928.5</v>
      </c>
      <c r="J171" s="1">
        <v>1808.8768181702508</v>
      </c>
      <c r="K171" s="1">
        <v>0</v>
      </c>
      <c r="L171" s="1">
        <v>1808.8768181702508</v>
      </c>
      <c r="M171" s="1">
        <v>0</v>
      </c>
      <c r="N171" s="1">
        <v>0</v>
      </c>
      <c r="O171" s="1">
        <v>0</v>
      </c>
      <c r="P171" s="1">
        <v>0</v>
      </c>
      <c r="Q171" s="1">
        <v>0</v>
      </c>
      <c r="R171" s="1">
        <v>0</v>
      </c>
      <c r="S171" s="67"/>
      <c r="T171">
        <f>VLOOKUP(A171,'Groupe de branches'!$Z$27:$AM$86,14,FALSE)</f>
        <v>0</v>
      </c>
      <c r="U171">
        <f>VLOOKUP(D171,'Groupe de branches'!$Z$27:$AM$86,14,FALSE)</f>
        <v>0</v>
      </c>
      <c r="V171">
        <v>2016</v>
      </c>
      <c r="W171" t="str">
        <f>VLOOKUP(D171,'Table corresp.'!$M$4:$S$63,7,FALSE)</f>
        <v>Emballage bois et carton</v>
      </c>
      <c r="X171" s="167">
        <f>IFERROR(G171/SUMIFS('Comp2016-2017 (3)'!$I$5:$I$289,'Comp2016-2017 (3)'!$A$5:$A$289,A171,'Comp2016-2017 (3)'!$R$5:$R$289,V171),0)</f>
        <v>0.44538455526503062</v>
      </c>
      <c r="Y171" s="178">
        <f>IFERROR(IF(RIGHT(F171,3)="Exp",VLOOKUP(F171,#REF!,2,FALSE),VLOOKUP(F171,#REF!,9,FALSE)),1)</f>
        <v>1</v>
      </c>
      <c r="Z171" s="167">
        <f t="shared" si="17"/>
        <v>9.0909090909090912E-2</v>
      </c>
      <c r="AA171" s="189">
        <f t="shared" si="15"/>
        <v>4.0489505024093694E-2</v>
      </c>
      <c r="AB171" s="2">
        <f>IFERROR(SUMIFS('Comp2016-2017 (3)'!$G$5:$G$289,'Comp2016-2017 (3)'!$A$5:$A$289,A171,'Comp2016-2017 (3)'!$R$5:$R$289,V171)*AA171/SUMIFS($AA$4:$AA$1116,$A$4:$A$1116,A171,$V$4:$V$1116,V171),0)</f>
        <v>24321.169983847296</v>
      </c>
      <c r="AC171" s="2" t="str">
        <f>IF($W171=AC$3,$AB171,IF(NOT($W171=0),"",SUMIFS('Val-Vol (2)'!AC$4:AC$1116,'Val-Vol (2)'!$A$4:$A$1116,$D171,'Val-Vol (2)'!$V$4:$V$1116,$V171)/SUMIFS('Comp2016-2017 (3)'!$G$5:$G$289,'Comp2016-2017 (3)'!$A$5:$A$289,$D171,'Comp2016-2017 (3)'!$R$5:$R$289,$V171)*$AB171))</f>
        <v/>
      </c>
      <c r="AD171" s="2" t="str">
        <f>IF($W171=AD$3,$AB171,IF(NOT($W171=0),"",SUMIFS('Val-Vol (2)'!AD$4:AD$1116,'Val-Vol (2)'!$A$4:$A$1116,$D171,'Val-Vol (2)'!$V$4:$V$1116,$V171)/SUMIFS('Comp2016-2017 (3)'!$G$5:$G$289,'Comp2016-2017 (3)'!$A$5:$A$289,$D171,'Comp2016-2017 (3)'!$R$5:$R$289,$V171)*$AB171))</f>
        <v/>
      </c>
      <c r="AE171" s="2" t="str">
        <f>IF($W171=AE$3,$AB171,IF(NOT($W171=0),"",SUMIFS('Val-Vol (2)'!AE$4:AE$1116,'Val-Vol (2)'!$A$4:$A$1116,$D171,'Val-Vol (2)'!$V$4:$V$1116,$V171)/SUMIFS('Comp2016-2017 (3)'!$G$5:$G$289,'Comp2016-2017 (3)'!$A$5:$A$289,$D171,'Comp2016-2017 (3)'!$R$5:$R$289,$V171)*$AB171))</f>
        <v/>
      </c>
      <c r="AF171" s="2" t="str">
        <f>IF($W171=AF$3,$AB171,IF(NOT($W171=0),"",SUMIFS('Val-Vol (2)'!AF$4:AF$1116,'Val-Vol (2)'!$A$4:$A$1116,$D171,'Val-Vol (2)'!$V$4:$V$1116,$V171)/SUMIFS('Comp2016-2017 (3)'!$G$5:$G$289,'Comp2016-2017 (3)'!$A$5:$A$289,$D171,'Comp2016-2017 (3)'!$R$5:$R$289,$V171)*$AB171))</f>
        <v/>
      </c>
      <c r="AG171" s="2">
        <f>IF($W171=AG$3,$AB171,IF(NOT($W171=0),"",SUMIFS('Val-Vol (2)'!AG$4:AG$1116,'Val-Vol (2)'!$A$4:$A$1116,$D171,'Val-Vol (2)'!$V$4:$V$1116,$V171)/SUMIFS('Comp2016-2017 (3)'!$G$5:$G$289,'Comp2016-2017 (3)'!$A$5:$A$289,$D171,'Comp2016-2017 (3)'!$R$5:$R$289,$V171)*$AB171))</f>
        <v>24321.169983847296</v>
      </c>
      <c r="AH171" s="2" t="str">
        <f>IF($W171=AH$3,$AB171,IF(NOT($W171=0),"",SUMIFS('Val-Vol (2)'!AH$4:AH$1116,'Val-Vol (2)'!$A$4:$A$1116,$D171,'Val-Vol (2)'!$V$4:$V$1116,$V171)/SUMIFS('Comp2016-2017 (3)'!$G$5:$G$289,'Comp2016-2017 (3)'!$A$5:$A$289,$D171,'Comp2016-2017 (3)'!$R$5:$R$289,$V171)*$AB171))</f>
        <v/>
      </c>
      <c r="AI171" s="2" t="str">
        <f>IF($W171=AI$3,$AB171,IF(NOT($W171=0),"",SUMIFS('Val-Vol (2)'!AI$4:AI$1116,'Val-Vol (2)'!$A$4:$A$1116,$D171,'Val-Vol (2)'!$V$4:$V$1116,$V171)/SUMIFS('Comp2016-2017 (3)'!$G$5:$G$289,'Comp2016-2017 (3)'!$A$5:$A$289,$D171,'Comp2016-2017 (3)'!$R$5:$R$289,$V171)*$AB171))</f>
        <v/>
      </c>
      <c r="AJ171" s="2" t="str">
        <f>IF($W171=AJ$3,$AB171,IF(NOT($W171=0),"",SUMIFS('Val-Vol (2)'!AJ$4:AJ$1116,'Val-Vol (2)'!$A$4:$A$1116,$D171,'Val-Vol (2)'!$V$4:$V$1116,$V171)/SUMIFS('Comp2016-2017 (3)'!$G$5:$G$289,'Comp2016-2017 (3)'!$A$5:$A$289,$D171,'Comp2016-2017 (3)'!$R$5:$R$289,$V171)*$AB171))</f>
        <v/>
      </c>
      <c r="AK171" s="2">
        <f t="shared" si="16"/>
        <v>0</v>
      </c>
      <c r="AL171" t="str">
        <f t="shared" si="13"/>
        <v/>
      </c>
      <c r="AM171" t="str">
        <f>VLOOKUP(A171,'Table corresp.'!$M$4:$U$63,8,FALSE)</f>
        <v>Production intermédiaire</v>
      </c>
      <c r="AN171" t="str">
        <f>VLOOKUP(D171,'Table corresp.'!$M$4:$U$63,9,FALSE)</f>
        <v>Production finale</v>
      </c>
    </row>
    <row r="172" spans="1:40" x14ac:dyDescent="0.25">
      <c r="A172" t="s">
        <v>9</v>
      </c>
      <c r="B172" t="str">
        <f>VLOOKUP(LEFT(A172,3),'Table corresp.'!$A$4:$D$63,3,FALSE)</f>
        <v>Transformation</v>
      </c>
      <c r="C172" t="str">
        <f>VLOOKUP(A172,'Table corresp.'!$M$4:$P$63,4,FALSE)</f>
        <v>Production et transformation de produits bois</v>
      </c>
      <c r="D172" t="s">
        <v>92</v>
      </c>
      <c r="E172" t="str">
        <f>VLOOKUP(LEFT(D172,3),'Table corresp.'!$A$4:$D$63,4,FALSE)</f>
        <v>Transformation</v>
      </c>
      <c r="F172" t="str">
        <f t="shared" si="12"/>
        <v xml:space="preserve">15  - 40 </v>
      </c>
      <c r="G172" s="1">
        <v>2051.4797187647773</v>
      </c>
      <c r="H172" s="1">
        <v>0</v>
      </c>
      <c r="I172" s="1">
        <v>2051.4797187647773</v>
      </c>
      <c r="J172" s="1">
        <v>23.683781409088127</v>
      </c>
      <c r="K172" s="1">
        <v>0</v>
      </c>
      <c r="L172" s="1">
        <v>23.683781409088127</v>
      </c>
      <c r="M172" s="1">
        <v>0</v>
      </c>
      <c r="N172" s="1">
        <v>0</v>
      </c>
      <c r="O172" s="1">
        <v>0</v>
      </c>
      <c r="P172" s="1">
        <v>0</v>
      </c>
      <c r="Q172" s="1">
        <v>0</v>
      </c>
      <c r="R172" s="1">
        <v>0</v>
      </c>
      <c r="S172" s="67"/>
      <c r="T172">
        <f>VLOOKUP(A172,'Groupe de branches'!$Z$27:$AM$86,14,FALSE)</f>
        <v>0</v>
      </c>
      <c r="U172">
        <f>VLOOKUP(D172,'Groupe de branches'!$Z$27:$AM$86,14,FALSE)</f>
        <v>0</v>
      </c>
      <c r="V172">
        <v>2016</v>
      </c>
      <c r="W172" t="str">
        <f>VLOOKUP(D172,'Table corresp.'!$M$4:$S$63,7,FALSE)</f>
        <v>Construction</v>
      </c>
      <c r="X172" s="167">
        <f>IFERROR(G172/SUMIFS('Comp2016-2017 (3)'!$I$5:$I$289,'Comp2016-2017 (3)'!$A$5:$A$289,A172,'Comp2016-2017 (3)'!$R$5:$R$289,V172),0)</f>
        <v>7.8141546515800714E-3</v>
      </c>
      <c r="Y172" s="178">
        <f>IFERROR(IF(RIGHT(F172,3)="Exp",VLOOKUP(F172,#REF!,2,FALSE),VLOOKUP(F172,#REF!,9,FALSE)),1)</f>
        <v>1</v>
      </c>
      <c r="Z172" s="167">
        <f t="shared" si="17"/>
        <v>9.0909090909090912E-2</v>
      </c>
      <c r="AA172" s="189">
        <f t="shared" si="15"/>
        <v>7.1037769559818831E-4</v>
      </c>
      <c r="AB172" s="2">
        <f>IFERROR(SUMIFS('Comp2016-2017 (3)'!$G$5:$G$289,'Comp2016-2017 (3)'!$A$5:$A$289,A172,'Comp2016-2017 (3)'!$R$5:$R$289,V172)*AA172/SUMIFS($AA$4:$AA$1116,$A$4:$A$1116,A172,$V$4:$V$1116,V172),0)</f>
        <v>426.70851809861063</v>
      </c>
      <c r="AC172" s="2" t="str">
        <f>IF($W172=AC$3,$AB172,IF(NOT($W172=0),"",SUMIFS('Val-Vol (2)'!AC$4:AC$1116,'Val-Vol (2)'!$A$4:$A$1116,$D172,'Val-Vol (2)'!$V$4:$V$1116,$V172)/SUMIFS('Comp2016-2017 (3)'!$G$5:$G$289,'Comp2016-2017 (3)'!$A$5:$A$289,$D172,'Comp2016-2017 (3)'!$R$5:$R$289,$V172)*$AB172))</f>
        <v/>
      </c>
      <c r="AD172" s="2">
        <f>IF($W172=AD$3,$AB172,IF(NOT($W172=0),"",SUMIFS('Val-Vol (2)'!AD$4:AD$1116,'Val-Vol (2)'!$A$4:$A$1116,$D172,'Val-Vol (2)'!$V$4:$V$1116,$V172)/SUMIFS('Comp2016-2017 (3)'!$G$5:$G$289,'Comp2016-2017 (3)'!$A$5:$A$289,$D172,'Comp2016-2017 (3)'!$R$5:$R$289,$V172)*$AB172))</f>
        <v>426.70851809861063</v>
      </c>
      <c r="AE172" s="2" t="str">
        <f>IF($W172=AE$3,$AB172,IF(NOT($W172=0),"",SUMIFS('Val-Vol (2)'!AE$4:AE$1116,'Val-Vol (2)'!$A$4:$A$1116,$D172,'Val-Vol (2)'!$V$4:$V$1116,$V172)/SUMIFS('Comp2016-2017 (3)'!$G$5:$G$289,'Comp2016-2017 (3)'!$A$5:$A$289,$D172,'Comp2016-2017 (3)'!$R$5:$R$289,$V172)*$AB172))</f>
        <v/>
      </c>
      <c r="AF172" s="2" t="str">
        <f>IF($W172=AF$3,$AB172,IF(NOT($W172=0),"",SUMIFS('Val-Vol (2)'!AF$4:AF$1116,'Val-Vol (2)'!$A$4:$A$1116,$D172,'Val-Vol (2)'!$V$4:$V$1116,$V172)/SUMIFS('Comp2016-2017 (3)'!$G$5:$G$289,'Comp2016-2017 (3)'!$A$5:$A$289,$D172,'Comp2016-2017 (3)'!$R$5:$R$289,$V172)*$AB172))</f>
        <v/>
      </c>
      <c r="AG172" s="2" t="str">
        <f>IF($W172=AG$3,$AB172,IF(NOT($W172=0),"",SUMIFS('Val-Vol (2)'!AG$4:AG$1116,'Val-Vol (2)'!$A$4:$A$1116,$D172,'Val-Vol (2)'!$V$4:$V$1116,$V172)/SUMIFS('Comp2016-2017 (3)'!$G$5:$G$289,'Comp2016-2017 (3)'!$A$5:$A$289,$D172,'Comp2016-2017 (3)'!$R$5:$R$289,$V172)*$AB172))</f>
        <v/>
      </c>
      <c r="AH172" s="2" t="str">
        <f>IF($W172=AH$3,$AB172,IF(NOT($W172=0),"",SUMIFS('Val-Vol (2)'!AH$4:AH$1116,'Val-Vol (2)'!$A$4:$A$1116,$D172,'Val-Vol (2)'!$V$4:$V$1116,$V172)/SUMIFS('Comp2016-2017 (3)'!$G$5:$G$289,'Comp2016-2017 (3)'!$A$5:$A$289,$D172,'Comp2016-2017 (3)'!$R$5:$R$289,$V172)*$AB172))</f>
        <v/>
      </c>
      <c r="AI172" s="2" t="str">
        <f>IF($W172=AI$3,$AB172,IF(NOT($W172=0),"",SUMIFS('Val-Vol (2)'!AI$4:AI$1116,'Val-Vol (2)'!$A$4:$A$1116,$D172,'Val-Vol (2)'!$V$4:$V$1116,$V172)/SUMIFS('Comp2016-2017 (3)'!$G$5:$G$289,'Comp2016-2017 (3)'!$A$5:$A$289,$D172,'Comp2016-2017 (3)'!$R$5:$R$289,$V172)*$AB172))</f>
        <v/>
      </c>
      <c r="AJ172" s="2" t="str">
        <f>IF($W172=AJ$3,$AB172,IF(NOT($W172=0),"",SUMIFS('Val-Vol (2)'!AJ$4:AJ$1116,'Val-Vol (2)'!$A$4:$A$1116,$D172,'Val-Vol (2)'!$V$4:$V$1116,$V172)/SUMIFS('Comp2016-2017 (3)'!$G$5:$G$289,'Comp2016-2017 (3)'!$A$5:$A$289,$D172,'Comp2016-2017 (3)'!$R$5:$R$289,$V172)*$AB172))</f>
        <v/>
      </c>
      <c r="AK172" s="2">
        <f t="shared" si="16"/>
        <v>0</v>
      </c>
      <c r="AL172" t="str">
        <f t="shared" si="13"/>
        <v/>
      </c>
      <c r="AM172" t="str">
        <f>VLOOKUP(A172,'Table corresp.'!$M$4:$U$63,8,FALSE)</f>
        <v>Production intermédiaire</v>
      </c>
      <c r="AN172" t="str">
        <f>VLOOKUP(D172,'Table corresp.'!$M$4:$U$63,9,FALSE)</f>
        <v>Production finale</v>
      </c>
    </row>
    <row r="173" spans="1:40" x14ac:dyDescent="0.25">
      <c r="A173" t="s">
        <v>9</v>
      </c>
      <c r="B173" t="str">
        <f>VLOOKUP(LEFT(A173,3),'Table corresp.'!$A$4:$D$63,3,FALSE)</f>
        <v>Transformation</v>
      </c>
      <c r="C173" t="str">
        <f>VLOOKUP(A173,'Table corresp.'!$M$4:$P$63,4,FALSE)</f>
        <v>Production et transformation de produits bois</v>
      </c>
      <c r="D173" t="s">
        <v>19</v>
      </c>
      <c r="E173" t="str">
        <f>VLOOKUP(LEFT(D173,3),'Table corresp.'!$A$4:$D$63,4,FALSE)</f>
        <v>Transformation</v>
      </c>
      <c r="F173" t="str">
        <f t="shared" si="12"/>
        <v xml:space="preserve">15  - 52 </v>
      </c>
      <c r="G173" s="1">
        <v>810</v>
      </c>
      <c r="H173" s="1">
        <v>0</v>
      </c>
      <c r="I173" s="1">
        <v>810</v>
      </c>
      <c r="J173" s="1">
        <v>11.138356423648474</v>
      </c>
      <c r="K173" s="1">
        <v>0</v>
      </c>
      <c r="L173" s="1">
        <v>11.138356423648474</v>
      </c>
      <c r="M173" s="1">
        <v>0</v>
      </c>
      <c r="N173" s="1">
        <v>0</v>
      </c>
      <c r="O173" s="1">
        <v>0</v>
      </c>
      <c r="P173" s="1">
        <v>0</v>
      </c>
      <c r="Q173" s="1">
        <v>0</v>
      </c>
      <c r="R173" s="1">
        <v>0</v>
      </c>
      <c r="S173" s="67"/>
      <c r="T173">
        <f>VLOOKUP(A173,'Groupe de branches'!$Z$27:$AM$86,14,FALSE)</f>
        <v>0</v>
      </c>
      <c r="U173">
        <f>VLOOKUP(D173,'Groupe de branches'!$Z$27:$AM$86,14,FALSE)</f>
        <v>0</v>
      </c>
      <c r="V173">
        <v>2016</v>
      </c>
      <c r="W173" t="str">
        <f>VLOOKUP(D173,'Table corresp.'!$M$4:$S$63,7,FALSE)</f>
        <v>Construction</v>
      </c>
      <c r="X173" s="167">
        <f>IFERROR(G173/SUMIFS('Comp2016-2017 (3)'!$I$5:$I$289,'Comp2016-2017 (3)'!$A$5:$A$289,A173,'Comp2016-2017 (3)'!$R$5:$R$289,V173),0)</f>
        <v>3.0853170079550734E-3</v>
      </c>
      <c r="Y173" s="178">
        <f>IFERROR(IF(RIGHT(F173,3)="Exp",VLOOKUP(F173,#REF!,2,FALSE),VLOOKUP(F173,#REF!,9,FALSE)),1)</f>
        <v>1</v>
      </c>
      <c r="Z173" s="167">
        <f t="shared" si="17"/>
        <v>9.0909090909090912E-2</v>
      </c>
      <c r="AA173" s="189">
        <f t="shared" si="15"/>
        <v>2.8048336435955212E-4</v>
      </c>
      <c r="AB173" s="2">
        <f>IFERROR(SUMIFS('Comp2016-2017 (3)'!$G$5:$G$289,'Comp2016-2017 (3)'!$A$5:$A$289,A173,'Comp2016-2017 (3)'!$R$5:$R$289,V173)*AA173/SUMIFS($AA$4:$AA$1116,$A$4:$A$1116,A173,$V$4:$V$1116,V173),0)</f>
        <v>168.48029083513694</v>
      </c>
      <c r="AC173" s="2" t="str">
        <f>IF($W173=AC$3,$AB173,IF(NOT($W173=0),"",SUMIFS('Val-Vol (2)'!AC$4:AC$1116,'Val-Vol (2)'!$A$4:$A$1116,$D173,'Val-Vol (2)'!$V$4:$V$1116,$V173)/SUMIFS('Comp2016-2017 (3)'!$G$5:$G$289,'Comp2016-2017 (3)'!$A$5:$A$289,$D173,'Comp2016-2017 (3)'!$R$5:$R$289,$V173)*$AB173))</f>
        <v/>
      </c>
      <c r="AD173" s="2">
        <f>IF($W173=AD$3,$AB173,IF(NOT($W173=0),"",SUMIFS('Val-Vol (2)'!AD$4:AD$1116,'Val-Vol (2)'!$A$4:$A$1116,$D173,'Val-Vol (2)'!$V$4:$V$1116,$V173)/SUMIFS('Comp2016-2017 (3)'!$G$5:$G$289,'Comp2016-2017 (3)'!$A$5:$A$289,$D173,'Comp2016-2017 (3)'!$R$5:$R$289,$V173)*$AB173))</f>
        <v>168.48029083513694</v>
      </c>
      <c r="AE173" s="2" t="str">
        <f>IF($W173=AE$3,$AB173,IF(NOT($W173=0),"",SUMIFS('Val-Vol (2)'!AE$4:AE$1116,'Val-Vol (2)'!$A$4:$A$1116,$D173,'Val-Vol (2)'!$V$4:$V$1116,$V173)/SUMIFS('Comp2016-2017 (3)'!$G$5:$G$289,'Comp2016-2017 (3)'!$A$5:$A$289,$D173,'Comp2016-2017 (3)'!$R$5:$R$289,$V173)*$AB173))</f>
        <v/>
      </c>
      <c r="AF173" s="2" t="str">
        <f>IF($W173=AF$3,$AB173,IF(NOT($W173=0),"",SUMIFS('Val-Vol (2)'!AF$4:AF$1116,'Val-Vol (2)'!$A$4:$A$1116,$D173,'Val-Vol (2)'!$V$4:$V$1116,$V173)/SUMIFS('Comp2016-2017 (3)'!$G$5:$G$289,'Comp2016-2017 (3)'!$A$5:$A$289,$D173,'Comp2016-2017 (3)'!$R$5:$R$289,$V173)*$AB173))</f>
        <v/>
      </c>
      <c r="AG173" s="2" t="str">
        <f>IF($W173=AG$3,$AB173,IF(NOT($W173=0),"",SUMIFS('Val-Vol (2)'!AG$4:AG$1116,'Val-Vol (2)'!$A$4:$A$1116,$D173,'Val-Vol (2)'!$V$4:$V$1116,$V173)/SUMIFS('Comp2016-2017 (3)'!$G$5:$G$289,'Comp2016-2017 (3)'!$A$5:$A$289,$D173,'Comp2016-2017 (3)'!$R$5:$R$289,$V173)*$AB173))</f>
        <v/>
      </c>
      <c r="AH173" s="2" t="str">
        <f>IF($W173=AH$3,$AB173,IF(NOT($W173=0),"",SUMIFS('Val-Vol (2)'!AH$4:AH$1116,'Val-Vol (2)'!$A$4:$A$1116,$D173,'Val-Vol (2)'!$V$4:$V$1116,$V173)/SUMIFS('Comp2016-2017 (3)'!$G$5:$G$289,'Comp2016-2017 (3)'!$A$5:$A$289,$D173,'Comp2016-2017 (3)'!$R$5:$R$289,$V173)*$AB173))</f>
        <v/>
      </c>
      <c r="AI173" s="2" t="str">
        <f>IF($W173=AI$3,$AB173,IF(NOT($W173=0),"",SUMIFS('Val-Vol (2)'!AI$4:AI$1116,'Val-Vol (2)'!$A$4:$A$1116,$D173,'Val-Vol (2)'!$V$4:$V$1116,$V173)/SUMIFS('Comp2016-2017 (3)'!$G$5:$G$289,'Comp2016-2017 (3)'!$A$5:$A$289,$D173,'Comp2016-2017 (3)'!$R$5:$R$289,$V173)*$AB173))</f>
        <v/>
      </c>
      <c r="AJ173" s="2" t="str">
        <f>IF($W173=AJ$3,$AB173,IF(NOT($W173=0),"",SUMIFS('Val-Vol (2)'!AJ$4:AJ$1116,'Val-Vol (2)'!$A$4:$A$1116,$D173,'Val-Vol (2)'!$V$4:$V$1116,$V173)/SUMIFS('Comp2016-2017 (3)'!$G$5:$G$289,'Comp2016-2017 (3)'!$A$5:$A$289,$D173,'Comp2016-2017 (3)'!$R$5:$R$289,$V173)*$AB173))</f>
        <v/>
      </c>
      <c r="AK173" s="2">
        <f t="shared" si="16"/>
        <v>0</v>
      </c>
      <c r="AL173" t="str">
        <f t="shared" si="13"/>
        <v/>
      </c>
      <c r="AM173" t="str">
        <f>VLOOKUP(A173,'Table corresp.'!$M$4:$U$63,8,FALSE)</f>
        <v>Production intermédiaire</v>
      </c>
      <c r="AN173" t="str">
        <f>VLOOKUP(D173,'Table corresp.'!$M$4:$U$63,9,FALSE)</f>
        <v xml:space="preserve">Mise en œuvre </v>
      </c>
    </row>
    <row r="174" spans="1:40" x14ac:dyDescent="0.25">
      <c r="A174" t="s">
        <v>9</v>
      </c>
      <c r="B174" t="str">
        <f>VLOOKUP(LEFT(A174,3),'Table corresp.'!$A$4:$D$63,3,FALSE)</f>
        <v>Transformation</v>
      </c>
      <c r="C174" t="str">
        <f>VLOOKUP(A174,'Table corresp.'!$M$4:$P$63,4,FALSE)</f>
        <v>Production et transformation de produits bois</v>
      </c>
      <c r="D174" t="s">
        <v>21</v>
      </c>
      <c r="E174" t="str">
        <f>VLOOKUP(LEFT(D174,3),'Table corresp.'!$A$4:$D$63,4,FALSE)</f>
        <v>Transformation</v>
      </c>
      <c r="F174" t="str">
        <f t="shared" si="12"/>
        <v xml:space="preserve">15  - 54 </v>
      </c>
      <c r="G174" s="1">
        <v>2500</v>
      </c>
      <c r="H174" s="1">
        <v>0</v>
      </c>
      <c r="I174" s="1">
        <v>2500</v>
      </c>
      <c r="J174" s="1">
        <v>12.375951581831636</v>
      </c>
      <c r="K174" s="1">
        <v>0</v>
      </c>
      <c r="L174" s="1">
        <v>12.375951581831636</v>
      </c>
      <c r="M174" s="1">
        <v>0</v>
      </c>
      <c r="N174" s="1">
        <v>0</v>
      </c>
      <c r="O174" s="1">
        <v>0</v>
      </c>
      <c r="P174" s="1">
        <v>0</v>
      </c>
      <c r="Q174" s="1">
        <v>0</v>
      </c>
      <c r="R174" s="1">
        <v>0</v>
      </c>
      <c r="S174" s="67"/>
      <c r="T174">
        <f>VLOOKUP(A174,'Groupe de branches'!$Z$27:$AM$86,14,FALSE)</f>
        <v>0</v>
      </c>
      <c r="U174">
        <f>VLOOKUP(D174,'Groupe de branches'!$Z$27:$AM$86,14,FALSE)</f>
        <v>0</v>
      </c>
      <c r="V174">
        <v>2016</v>
      </c>
      <c r="W174" t="str">
        <f>VLOOKUP(D174,'Table corresp.'!$M$4:$S$63,7,FALSE)</f>
        <v>Construction</v>
      </c>
      <c r="X174" s="167">
        <f>IFERROR(G174/SUMIFS('Comp2016-2017 (3)'!$I$5:$I$289,'Comp2016-2017 (3)'!$A$5:$A$289,A174,'Comp2016-2017 (3)'!$R$5:$R$289,V174),0)</f>
        <v>9.5225833578860292E-3</v>
      </c>
      <c r="Y174" s="178">
        <f>IFERROR(IF(RIGHT(F174,3)="Exp",VLOOKUP(F174,#REF!,2,FALSE),VLOOKUP(F174,#REF!,9,FALSE)),1)</f>
        <v>1</v>
      </c>
      <c r="Z174" s="167">
        <f t="shared" si="17"/>
        <v>9.0909090909090912E-2</v>
      </c>
      <c r="AA174" s="189">
        <f t="shared" si="15"/>
        <v>8.6568939617145718E-4</v>
      </c>
      <c r="AB174" s="2">
        <f>IFERROR(SUMIFS('Comp2016-2017 (3)'!$G$5:$G$289,'Comp2016-2017 (3)'!$A$5:$A$289,A174,'Comp2016-2017 (3)'!$R$5:$R$289,V174)*AA174/SUMIFS($AA$4:$AA$1116,$A$4:$A$1116,A174,$V$4:$V$1116,V174),0)</f>
        <v>520.00089763931146</v>
      </c>
      <c r="AC174" s="2" t="str">
        <f>IF($W174=AC$3,$AB174,IF(NOT($W174=0),"",SUMIFS('Val-Vol (2)'!AC$4:AC$1116,'Val-Vol (2)'!$A$4:$A$1116,$D174,'Val-Vol (2)'!$V$4:$V$1116,$V174)/SUMIFS('Comp2016-2017 (3)'!$G$5:$G$289,'Comp2016-2017 (3)'!$A$5:$A$289,$D174,'Comp2016-2017 (3)'!$R$5:$R$289,$V174)*$AB174))</f>
        <v/>
      </c>
      <c r="AD174" s="2">
        <f>IF($W174=AD$3,$AB174,IF(NOT($W174=0),"",SUMIFS('Val-Vol (2)'!AD$4:AD$1116,'Val-Vol (2)'!$A$4:$A$1116,$D174,'Val-Vol (2)'!$V$4:$V$1116,$V174)/SUMIFS('Comp2016-2017 (3)'!$G$5:$G$289,'Comp2016-2017 (3)'!$A$5:$A$289,$D174,'Comp2016-2017 (3)'!$R$5:$R$289,$V174)*$AB174))</f>
        <v>520.00089763931146</v>
      </c>
      <c r="AE174" s="2" t="str">
        <f>IF($W174=AE$3,$AB174,IF(NOT($W174=0),"",SUMIFS('Val-Vol (2)'!AE$4:AE$1116,'Val-Vol (2)'!$A$4:$A$1116,$D174,'Val-Vol (2)'!$V$4:$V$1116,$V174)/SUMIFS('Comp2016-2017 (3)'!$G$5:$G$289,'Comp2016-2017 (3)'!$A$5:$A$289,$D174,'Comp2016-2017 (3)'!$R$5:$R$289,$V174)*$AB174))</f>
        <v/>
      </c>
      <c r="AF174" s="2" t="str">
        <f>IF($W174=AF$3,$AB174,IF(NOT($W174=0),"",SUMIFS('Val-Vol (2)'!AF$4:AF$1116,'Val-Vol (2)'!$A$4:$A$1116,$D174,'Val-Vol (2)'!$V$4:$V$1116,$V174)/SUMIFS('Comp2016-2017 (3)'!$G$5:$G$289,'Comp2016-2017 (3)'!$A$5:$A$289,$D174,'Comp2016-2017 (3)'!$R$5:$R$289,$V174)*$AB174))</f>
        <v/>
      </c>
      <c r="AG174" s="2" t="str">
        <f>IF($W174=AG$3,$AB174,IF(NOT($W174=0),"",SUMIFS('Val-Vol (2)'!AG$4:AG$1116,'Val-Vol (2)'!$A$4:$A$1116,$D174,'Val-Vol (2)'!$V$4:$V$1116,$V174)/SUMIFS('Comp2016-2017 (3)'!$G$5:$G$289,'Comp2016-2017 (3)'!$A$5:$A$289,$D174,'Comp2016-2017 (3)'!$R$5:$R$289,$V174)*$AB174))</f>
        <v/>
      </c>
      <c r="AH174" s="2" t="str">
        <f>IF($W174=AH$3,$AB174,IF(NOT($W174=0),"",SUMIFS('Val-Vol (2)'!AH$4:AH$1116,'Val-Vol (2)'!$A$4:$A$1116,$D174,'Val-Vol (2)'!$V$4:$V$1116,$V174)/SUMIFS('Comp2016-2017 (3)'!$G$5:$G$289,'Comp2016-2017 (3)'!$A$5:$A$289,$D174,'Comp2016-2017 (3)'!$R$5:$R$289,$V174)*$AB174))</f>
        <v/>
      </c>
      <c r="AI174" s="2" t="str">
        <f>IF($W174=AI$3,$AB174,IF(NOT($W174=0),"",SUMIFS('Val-Vol (2)'!AI$4:AI$1116,'Val-Vol (2)'!$A$4:$A$1116,$D174,'Val-Vol (2)'!$V$4:$V$1116,$V174)/SUMIFS('Comp2016-2017 (3)'!$G$5:$G$289,'Comp2016-2017 (3)'!$A$5:$A$289,$D174,'Comp2016-2017 (3)'!$R$5:$R$289,$V174)*$AB174))</f>
        <v/>
      </c>
      <c r="AJ174" s="2" t="str">
        <f>IF($W174=AJ$3,$AB174,IF(NOT($W174=0),"",SUMIFS('Val-Vol (2)'!AJ$4:AJ$1116,'Val-Vol (2)'!$A$4:$A$1116,$D174,'Val-Vol (2)'!$V$4:$V$1116,$V174)/SUMIFS('Comp2016-2017 (3)'!$G$5:$G$289,'Comp2016-2017 (3)'!$A$5:$A$289,$D174,'Comp2016-2017 (3)'!$R$5:$R$289,$V174)*$AB174))</f>
        <v/>
      </c>
      <c r="AK174" s="2">
        <f t="shared" si="16"/>
        <v>0</v>
      </c>
      <c r="AL174" t="str">
        <f t="shared" si="13"/>
        <v/>
      </c>
      <c r="AM174" t="str">
        <f>VLOOKUP(A174,'Table corresp.'!$M$4:$U$63,8,FALSE)</f>
        <v>Production intermédiaire</v>
      </c>
      <c r="AN174" t="str">
        <f>VLOOKUP(D174,'Table corresp.'!$M$4:$U$63,9,FALSE)</f>
        <v xml:space="preserve">Mise en œuvre </v>
      </c>
    </row>
    <row r="175" spans="1:40" x14ac:dyDescent="0.25">
      <c r="A175" t="s">
        <v>9</v>
      </c>
      <c r="B175" t="str">
        <f>VLOOKUP(LEFT(A175,3),'Table corresp.'!$A$4:$D$63,3,FALSE)</f>
        <v>Transformation</v>
      </c>
      <c r="C175" t="str">
        <f>VLOOKUP(A175,'Table corresp.'!$M$4:$P$63,4,FALSE)</f>
        <v>Production et transformation de produits bois</v>
      </c>
      <c r="D175" t="s">
        <v>22</v>
      </c>
      <c r="E175" t="str">
        <f>VLOOKUP(LEFT(D175,3),'Table corresp.'!$A$4:$D$63,4,FALSE)</f>
        <v>Transformation</v>
      </c>
      <c r="F175" t="str">
        <f t="shared" si="12"/>
        <v xml:space="preserve">15  - 55 </v>
      </c>
      <c r="G175" s="1">
        <v>224.96516026279116</v>
      </c>
      <c r="H175" s="1">
        <v>0</v>
      </c>
      <c r="I175" s="1">
        <v>224.96516026279116</v>
      </c>
      <c r="J175" s="1">
        <v>1.1136631724045192</v>
      </c>
      <c r="K175" s="1">
        <v>0</v>
      </c>
      <c r="L175" s="1">
        <v>1.1136631724045192</v>
      </c>
      <c r="M175" s="1">
        <v>0</v>
      </c>
      <c r="N175" s="1">
        <v>0</v>
      </c>
      <c r="O175" s="1">
        <v>0</v>
      </c>
      <c r="P175" s="1">
        <v>0</v>
      </c>
      <c r="Q175" s="1">
        <v>0</v>
      </c>
      <c r="R175" s="1">
        <v>0</v>
      </c>
      <c r="S175" s="67"/>
      <c r="T175">
        <f>VLOOKUP(A175,'Groupe de branches'!$Z$27:$AM$86,14,FALSE)</f>
        <v>0</v>
      </c>
      <c r="U175">
        <f>VLOOKUP(D175,'Groupe de branches'!$Z$27:$AM$86,14,FALSE)</f>
        <v>0</v>
      </c>
      <c r="V175">
        <v>2016</v>
      </c>
      <c r="W175" t="str">
        <f>VLOOKUP(D175,'Table corresp.'!$M$4:$S$63,7,FALSE)</f>
        <v>Construction</v>
      </c>
      <c r="X175" s="167">
        <f>IFERROR(G175/SUMIFS('Comp2016-2017 (3)'!$I$5:$I$289,'Comp2016-2017 (3)'!$A$5:$A$289,A175,'Comp2016-2017 (3)'!$R$5:$R$289,V175),0)</f>
        <v>8.568997964890474E-4</v>
      </c>
      <c r="Y175" s="178">
        <f>IFERROR(IF(RIGHT(F175,3)="Exp",VLOOKUP(F175,#REF!,2,FALSE),VLOOKUP(F175,#REF!,9,FALSE)),1)</f>
        <v>1</v>
      </c>
      <c r="Z175" s="167">
        <f t="shared" si="17"/>
        <v>9.0909090909090912E-2</v>
      </c>
      <c r="AA175" s="189">
        <f t="shared" si="15"/>
        <v>7.7899981499004312E-5</v>
      </c>
      <c r="AB175" s="2">
        <f>IFERROR(SUMIFS('Comp2016-2017 (3)'!$G$5:$G$289,'Comp2016-2017 (3)'!$A$5:$A$289,A175,'Comp2016-2017 (3)'!$R$5:$R$289,V175)*AA175/SUMIFS($AA$4:$AA$1116,$A$4:$A$1116,A175,$V$4:$V$1116,V175),0)</f>
        <v>46.792834109689196</v>
      </c>
      <c r="AC175" s="2" t="str">
        <f>IF($W175=AC$3,$AB175,IF(NOT($W175=0),"",SUMIFS('Val-Vol (2)'!AC$4:AC$1116,'Val-Vol (2)'!$A$4:$A$1116,$D175,'Val-Vol (2)'!$V$4:$V$1116,$V175)/SUMIFS('Comp2016-2017 (3)'!$G$5:$G$289,'Comp2016-2017 (3)'!$A$5:$A$289,$D175,'Comp2016-2017 (3)'!$R$5:$R$289,$V175)*$AB175))</f>
        <v/>
      </c>
      <c r="AD175" s="2">
        <f>IF($W175=AD$3,$AB175,IF(NOT($W175=0),"",SUMIFS('Val-Vol (2)'!AD$4:AD$1116,'Val-Vol (2)'!$A$4:$A$1116,$D175,'Val-Vol (2)'!$V$4:$V$1116,$V175)/SUMIFS('Comp2016-2017 (3)'!$G$5:$G$289,'Comp2016-2017 (3)'!$A$5:$A$289,$D175,'Comp2016-2017 (3)'!$R$5:$R$289,$V175)*$AB175))</f>
        <v>46.792834109689196</v>
      </c>
      <c r="AE175" s="2" t="str">
        <f>IF($W175=AE$3,$AB175,IF(NOT($W175=0),"",SUMIFS('Val-Vol (2)'!AE$4:AE$1116,'Val-Vol (2)'!$A$4:$A$1116,$D175,'Val-Vol (2)'!$V$4:$V$1116,$V175)/SUMIFS('Comp2016-2017 (3)'!$G$5:$G$289,'Comp2016-2017 (3)'!$A$5:$A$289,$D175,'Comp2016-2017 (3)'!$R$5:$R$289,$V175)*$AB175))</f>
        <v/>
      </c>
      <c r="AF175" s="2" t="str">
        <f>IF($W175=AF$3,$AB175,IF(NOT($W175=0),"",SUMIFS('Val-Vol (2)'!AF$4:AF$1116,'Val-Vol (2)'!$A$4:$A$1116,$D175,'Val-Vol (2)'!$V$4:$V$1116,$V175)/SUMIFS('Comp2016-2017 (3)'!$G$5:$G$289,'Comp2016-2017 (3)'!$A$5:$A$289,$D175,'Comp2016-2017 (3)'!$R$5:$R$289,$V175)*$AB175))</f>
        <v/>
      </c>
      <c r="AG175" s="2" t="str">
        <f>IF($W175=AG$3,$AB175,IF(NOT($W175=0),"",SUMIFS('Val-Vol (2)'!AG$4:AG$1116,'Val-Vol (2)'!$A$4:$A$1116,$D175,'Val-Vol (2)'!$V$4:$V$1116,$V175)/SUMIFS('Comp2016-2017 (3)'!$G$5:$G$289,'Comp2016-2017 (3)'!$A$5:$A$289,$D175,'Comp2016-2017 (3)'!$R$5:$R$289,$V175)*$AB175))</f>
        <v/>
      </c>
      <c r="AH175" s="2" t="str">
        <f>IF($W175=AH$3,$AB175,IF(NOT($W175=0),"",SUMIFS('Val-Vol (2)'!AH$4:AH$1116,'Val-Vol (2)'!$A$4:$A$1116,$D175,'Val-Vol (2)'!$V$4:$V$1116,$V175)/SUMIFS('Comp2016-2017 (3)'!$G$5:$G$289,'Comp2016-2017 (3)'!$A$5:$A$289,$D175,'Comp2016-2017 (3)'!$R$5:$R$289,$V175)*$AB175))</f>
        <v/>
      </c>
      <c r="AI175" s="2" t="str">
        <f>IF($W175=AI$3,$AB175,IF(NOT($W175=0),"",SUMIFS('Val-Vol (2)'!AI$4:AI$1116,'Val-Vol (2)'!$A$4:$A$1116,$D175,'Val-Vol (2)'!$V$4:$V$1116,$V175)/SUMIFS('Comp2016-2017 (3)'!$G$5:$G$289,'Comp2016-2017 (3)'!$A$5:$A$289,$D175,'Comp2016-2017 (3)'!$R$5:$R$289,$V175)*$AB175))</f>
        <v/>
      </c>
      <c r="AJ175" s="2" t="str">
        <f>IF($W175=AJ$3,$AB175,IF(NOT($W175=0),"",SUMIFS('Val-Vol (2)'!AJ$4:AJ$1116,'Val-Vol (2)'!$A$4:$A$1116,$D175,'Val-Vol (2)'!$V$4:$V$1116,$V175)/SUMIFS('Comp2016-2017 (3)'!$G$5:$G$289,'Comp2016-2017 (3)'!$A$5:$A$289,$D175,'Comp2016-2017 (3)'!$R$5:$R$289,$V175)*$AB175))</f>
        <v/>
      </c>
      <c r="AK175" s="2">
        <f t="shared" si="16"/>
        <v>0</v>
      </c>
      <c r="AL175" t="str">
        <f t="shared" si="13"/>
        <v/>
      </c>
      <c r="AM175" t="str">
        <f>VLOOKUP(A175,'Table corresp.'!$M$4:$U$63,8,FALSE)</f>
        <v>Production intermédiaire</v>
      </c>
      <c r="AN175" t="str">
        <f>VLOOKUP(D175,'Table corresp.'!$M$4:$U$63,9,FALSE)</f>
        <v xml:space="preserve">Mise en œuvre </v>
      </c>
    </row>
    <row r="176" spans="1:40" x14ac:dyDescent="0.25">
      <c r="A176" t="s">
        <v>9</v>
      </c>
      <c r="B176" t="str">
        <f>VLOOKUP(LEFT(A176,3),'Table corresp.'!$A$4:$D$63,3,FALSE)</f>
        <v>Transformation</v>
      </c>
      <c r="C176" t="str">
        <f>VLOOKUP(A176,'Table corresp.'!$M$4:$P$63,4,FALSE)</f>
        <v>Production et transformation de produits bois</v>
      </c>
      <c r="D176" t="s">
        <v>24</v>
      </c>
      <c r="E176" t="str">
        <f>VLOOKUP(LEFT(D176,3),'Table corresp.'!$A$4:$D$63,4,FALSE)</f>
        <v>Transformation</v>
      </c>
      <c r="F176" t="str">
        <f t="shared" si="12"/>
        <v xml:space="preserve">15  - 57 </v>
      </c>
      <c r="G176" s="1">
        <v>2000</v>
      </c>
      <c r="H176" s="1">
        <v>0</v>
      </c>
      <c r="I176" s="1">
        <v>2000</v>
      </c>
      <c r="J176" s="1">
        <v>19.801522530930622</v>
      </c>
      <c r="K176" s="1">
        <v>0</v>
      </c>
      <c r="L176" s="1">
        <v>19.801522530930622</v>
      </c>
      <c r="M176" s="1">
        <v>0</v>
      </c>
      <c r="N176" s="1">
        <v>0</v>
      </c>
      <c r="O176" s="1">
        <v>0</v>
      </c>
      <c r="P176" s="1">
        <v>0</v>
      </c>
      <c r="Q176" s="1">
        <v>0</v>
      </c>
      <c r="R176" s="1">
        <v>0</v>
      </c>
      <c r="S176" s="67"/>
      <c r="T176">
        <f>VLOOKUP(A176,'Groupe de branches'!$Z$27:$AM$86,14,FALSE)</f>
        <v>0</v>
      </c>
      <c r="U176">
        <f>VLOOKUP(D176,'Groupe de branches'!$Z$27:$AM$86,14,FALSE)</f>
        <v>0</v>
      </c>
      <c r="V176">
        <v>2016</v>
      </c>
      <c r="W176" t="str">
        <f>VLOOKUP(D176,'Table corresp.'!$M$4:$S$63,7,FALSE)</f>
        <v>Construction</v>
      </c>
      <c r="X176" s="167">
        <f>IFERROR(G176/SUMIFS('Comp2016-2017 (3)'!$I$5:$I$289,'Comp2016-2017 (3)'!$A$5:$A$289,A176,'Comp2016-2017 (3)'!$R$5:$R$289,V176),0)</f>
        <v>7.6180666863088237E-3</v>
      </c>
      <c r="Y176" s="178">
        <f>IFERROR(IF(RIGHT(F176,3)="Exp",VLOOKUP(F176,#REF!,2,FALSE),VLOOKUP(F176,#REF!,9,FALSE)),1)</f>
        <v>1</v>
      </c>
      <c r="Z176" s="167">
        <f t="shared" si="17"/>
        <v>9.0909090909090912E-2</v>
      </c>
      <c r="AA176" s="189">
        <f t="shared" si="15"/>
        <v>6.9255151693716583E-4</v>
      </c>
      <c r="AB176" s="2">
        <f>IFERROR(SUMIFS('Comp2016-2017 (3)'!$G$5:$G$289,'Comp2016-2017 (3)'!$A$5:$A$289,A176,'Comp2016-2017 (3)'!$R$5:$R$289,V176)*AA176/SUMIFS($AA$4:$AA$1116,$A$4:$A$1116,A176,$V$4:$V$1116,V176),0)</f>
        <v>416.00071811144932</v>
      </c>
      <c r="AC176" s="2" t="str">
        <f>IF($W176=AC$3,$AB176,IF(NOT($W176=0),"",SUMIFS('Val-Vol (2)'!AC$4:AC$1116,'Val-Vol (2)'!$A$4:$A$1116,$D176,'Val-Vol (2)'!$V$4:$V$1116,$V176)/SUMIFS('Comp2016-2017 (3)'!$G$5:$G$289,'Comp2016-2017 (3)'!$A$5:$A$289,$D176,'Comp2016-2017 (3)'!$R$5:$R$289,$V176)*$AB176))</f>
        <v/>
      </c>
      <c r="AD176" s="2">
        <f>IF($W176=AD$3,$AB176,IF(NOT($W176=0),"",SUMIFS('Val-Vol (2)'!AD$4:AD$1116,'Val-Vol (2)'!$A$4:$A$1116,$D176,'Val-Vol (2)'!$V$4:$V$1116,$V176)/SUMIFS('Comp2016-2017 (3)'!$G$5:$G$289,'Comp2016-2017 (3)'!$A$5:$A$289,$D176,'Comp2016-2017 (3)'!$R$5:$R$289,$V176)*$AB176))</f>
        <v>416.00071811144932</v>
      </c>
      <c r="AE176" s="2" t="str">
        <f>IF($W176=AE$3,$AB176,IF(NOT($W176=0),"",SUMIFS('Val-Vol (2)'!AE$4:AE$1116,'Val-Vol (2)'!$A$4:$A$1116,$D176,'Val-Vol (2)'!$V$4:$V$1116,$V176)/SUMIFS('Comp2016-2017 (3)'!$G$5:$G$289,'Comp2016-2017 (3)'!$A$5:$A$289,$D176,'Comp2016-2017 (3)'!$R$5:$R$289,$V176)*$AB176))</f>
        <v/>
      </c>
      <c r="AF176" s="2" t="str">
        <f>IF($W176=AF$3,$AB176,IF(NOT($W176=0),"",SUMIFS('Val-Vol (2)'!AF$4:AF$1116,'Val-Vol (2)'!$A$4:$A$1116,$D176,'Val-Vol (2)'!$V$4:$V$1116,$V176)/SUMIFS('Comp2016-2017 (3)'!$G$5:$G$289,'Comp2016-2017 (3)'!$A$5:$A$289,$D176,'Comp2016-2017 (3)'!$R$5:$R$289,$V176)*$AB176))</f>
        <v/>
      </c>
      <c r="AG176" s="2" t="str">
        <f>IF($W176=AG$3,$AB176,IF(NOT($W176=0),"",SUMIFS('Val-Vol (2)'!AG$4:AG$1116,'Val-Vol (2)'!$A$4:$A$1116,$D176,'Val-Vol (2)'!$V$4:$V$1116,$V176)/SUMIFS('Comp2016-2017 (3)'!$G$5:$G$289,'Comp2016-2017 (3)'!$A$5:$A$289,$D176,'Comp2016-2017 (3)'!$R$5:$R$289,$V176)*$AB176))</f>
        <v/>
      </c>
      <c r="AH176" s="2" t="str">
        <f>IF($W176=AH$3,$AB176,IF(NOT($W176=0),"",SUMIFS('Val-Vol (2)'!AH$4:AH$1116,'Val-Vol (2)'!$A$4:$A$1116,$D176,'Val-Vol (2)'!$V$4:$V$1116,$V176)/SUMIFS('Comp2016-2017 (3)'!$G$5:$G$289,'Comp2016-2017 (3)'!$A$5:$A$289,$D176,'Comp2016-2017 (3)'!$R$5:$R$289,$V176)*$AB176))</f>
        <v/>
      </c>
      <c r="AI176" s="2" t="str">
        <f>IF($W176=AI$3,$AB176,IF(NOT($W176=0),"",SUMIFS('Val-Vol (2)'!AI$4:AI$1116,'Val-Vol (2)'!$A$4:$A$1116,$D176,'Val-Vol (2)'!$V$4:$V$1116,$V176)/SUMIFS('Comp2016-2017 (3)'!$G$5:$G$289,'Comp2016-2017 (3)'!$A$5:$A$289,$D176,'Comp2016-2017 (3)'!$R$5:$R$289,$V176)*$AB176))</f>
        <v/>
      </c>
      <c r="AJ176" s="2" t="str">
        <f>IF($W176=AJ$3,$AB176,IF(NOT($W176=0),"",SUMIFS('Val-Vol (2)'!AJ$4:AJ$1116,'Val-Vol (2)'!$A$4:$A$1116,$D176,'Val-Vol (2)'!$V$4:$V$1116,$V176)/SUMIFS('Comp2016-2017 (3)'!$G$5:$G$289,'Comp2016-2017 (3)'!$A$5:$A$289,$D176,'Comp2016-2017 (3)'!$R$5:$R$289,$V176)*$AB176))</f>
        <v/>
      </c>
      <c r="AK176" s="2">
        <f t="shared" si="16"/>
        <v>0</v>
      </c>
      <c r="AL176" t="str">
        <f t="shared" si="13"/>
        <v/>
      </c>
      <c r="AM176" t="str">
        <f>VLOOKUP(A176,'Table corresp.'!$M$4:$U$63,8,FALSE)</f>
        <v>Production intermédiaire</v>
      </c>
      <c r="AN176" t="str">
        <f>VLOOKUP(D176,'Table corresp.'!$M$4:$U$63,9,FALSE)</f>
        <v xml:space="preserve">Mise en œuvre </v>
      </c>
    </row>
    <row r="177" spans="1:40" x14ac:dyDescent="0.25">
      <c r="A177" t="s">
        <v>9</v>
      </c>
      <c r="B177" t="str">
        <f>VLOOKUP(LEFT(A177,3),'Table corresp.'!$A$4:$D$63,3,FALSE)</f>
        <v>Transformation</v>
      </c>
      <c r="C177" t="str">
        <f>VLOOKUP(A177,'Table corresp.'!$M$4:$P$63,4,FALSE)</f>
        <v>Production et transformation de produits bois</v>
      </c>
      <c r="D177" t="s">
        <v>26</v>
      </c>
      <c r="E177" t="str">
        <f>VLOOKUP(LEFT(D177,3),'Table corresp.'!$A$4:$D$63,4,FALSE)</f>
        <v>Transformation</v>
      </c>
      <c r="F177" t="str">
        <f t="shared" si="12"/>
        <v xml:space="preserve">15  - 59 </v>
      </c>
      <c r="G177" s="1">
        <v>810</v>
      </c>
      <c r="H177" s="1">
        <v>0</v>
      </c>
      <c r="I177" s="1">
        <v>810</v>
      </c>
      <c r="J177" s="1">
        <v>11.138356423648474</v>
      </c>
      <c r="K177" s="1">
        <v>0</v>
      </c>
      <c r="L177" s="1">
        <v>11.138356423648474</v>
      </c>
      <c r="M177" s="1">
        <v>0</v>
      </c>
      <c r="N177" s="1">
        <v>0</v>
      </c>
      <c r="O177" s="1">
        <v>0</v>
      </c>
      <c r="P177" s="1">
        <v>0</v>
      </c>
      <c r="Q177" s="1">
        <v>0</v>
      </c>
      <c r="R177" s="1">
        <v>0</v>
      </c>
      <c r="S177" s="67"/>
      <c r="T177">
        <f>VLOOKUP(A177,'Groupe de branches'!$Z$27:$AM$86,14,FALSE)</f>
        <v>0</v>
      </c>
      <c r="U177">
        <f>VLOOKUP(D177,'Groupe de branches'!$Z$27:$AM$86,14,FALSE)</f>
        <v>0</v>
      </c>
      <c r="V177">
        <v>2016</v>
      </c>
      <c r="W177" t="str">
        <f>VLOOKUP(D177,'Table corresp.'!$M$4:$S$63,7,FALSE)</f>
        <v>Construction</v>
      </c>
      <c r="X177" s="167">
        <f>IFERROR(G177/SUMIFS('Comp2016-2017 (3)'!$I$5:$I$289,'Comp2016-2017 (3)'!$A$5:$A$289,A177,'Comp2016-2017 (3)'!$R$5:$R$289,V177),0)</f>
        <v>3.0853170079550734E-3</v>
      </c>
      <c r="Y177" s="178">
        <f>IFERROR(IF(RIGHT(F177,3)="Exp",VLOOKUP(F177,#REF!,2,FALSE),VLOOKUP(F177,#REF!,9,FALSE)),1)</f>
        <v>1</v>
      </c>
      <c r="Z177" s="167">
        <f t="shared" si="17"/>
        <v>9.0909090909090912E-2</v>
      </c>
      <c r="AA177" s="189">
        <f t="shared" si="15"/>
        <v>2.8048336435955212E-4</v>
      </c>
      <c r="AB177" s="2">
        <f>IFERROR(SUMIFS('Comp2016-2017 (3)'!$G$5:$G$289,'Comp2016-2017 (3)'!$A$5:$A$289,A177,'Comp2016-2017 (3)'!$R$5:$R$289,V177)*AA177/SUMIFS($AA$4:$AA$1116,$A$4:$A$1116,A177,$V$4:$V$1116,V177),0)</f>
        <v>168.48029083513694</v>
      </c>
      <c r="AC177" s="2" t="str">
        <f>IF($W177=AC$3,$AB177,IF(NOT($W177=0),"",SUMIFS('Val-Vol (2)'!AC$4:AC$1116,'Val-Vol (2)'!$A$4:$A$1116,$D177,'Val-Vol (2)'!$V$4:$V$1116,$V177)/SUMIFS('Comp2016-2017 (3)'!$G$5:$G$289,'Comp2016-2017 (3)'!$A$5:$A$289,$D177,'Comp2016-2017 (3)'!$R$5:$R$289,$V177)*$AB177))</f>
        <v/>
      </c>
      <c r="AD177" s="2">
        <f>IF($W177=AD$3,$AB177,IF(NOT($W177=0),"",SUMIFS('Val-Vol (2)'!AD$4:AD$1116,'Val-Vol (2)'!$A$4:$A$1116,$D177,'Val-Vol (2)'!$V$4:$V$1116,$V177)/SUMIFS('Comp2016-2017 (3)'!$G$5:$G$289,'Comp2016-2017 (3)'!$A$5:$A$289,$D177,'Comp2016-2017 (3)'!$R$5:$R$289,$V177)*$AB177))</f>
        <v>168.48029083513694</v>
      </c>
      <c r="AE177" s="2" t="str">
        <f>IF($W177=AE$3,$AB177,IF(NOT($W177=0),"",SUMIFS('Val-Vol (2)'!AE$4:AE$1116,'Val-Vol (2)'!$A$4:$A$1116,$D177,'Val-Vol (2)'!$V$4:$V$1116,$V177)/SUMIFS('Comp2016-2017 (3)'!$G$5:$G$289,'Comp2016-2017 (3)'!$A$5:$A$289,$D177,'Comp2016-2017 (3)'!$R$5:$R$289,$V177)*$AB177))</f>
        <v/>
      </c>
      <c r="AF177" s="2" t="str">
        <f>IF($W177=AF$3,$AB177,IF(NOT($W177=0),"",SUMIFS('Val-Vol (2)'!AF$4:AF$1116,'Val-Vol (2)'!$A$4:$A$1116,$D177,'Val-Vol (2)'!$V$4:$V$1116,$V177)/SUMIFS('Comp2016-2017 (3)'!$G$5:$G$289,'Comp2016-2017 (3)'!$A$5:$A$289,$D177,'Comp2016-2017 (3)'!$R$5:$R$289,$V177)*$AB177))</f>
        <v/>
      </c>
      <c r="AG177" s="2" t="str">
        <f>IF($W177=AG$3,$AB177,IF(NOT($W177=0),"",SUMIFS('Val-Vol (2)'!AG$4:AG$1116,'Val-Vol (2)'!$A$4:$A$1116,$D177,'Val-Vol (2)'!$V$4:$V$1116,$V177)/SUMIFS('Comp2016-2017 (3)'!$G$5:$G$289,'Comp2016-2017 (3)'!$A$5:$A$289,$D177,'Comp2016-2017 (3)'!$R$5:$R$289,$V177)*$AB177))</f>
        <v/>
      </c>
      <c r="AH177" s="2" t="str">
        <f>IF($W177=AH$3,$AB177,IF(NOT($W177=0),"",SUMIFS('Val-Vol (2)'!AH$4:AH$1116,'Val-Vol (2)'!$A$4:$A$1116,$D177,'Val-Vol (2)'!$V$4:$V$1116,$V177)/SUMIFS('Comp2016-2017 (3)'!$G$5:$G$289,'Comp2016-2017 (3)'!$A$5:$A$289,$D177,'Comp2016-2017 (3)'!$R$5:$R$289,$V177)*$AB177))</f>
        <v/>
      </c>
      <c r="AI177" s="2" t="str">
        <f>IF($W177=AI$3,$AB177,IF(NOT($W177=0),"",SUMIFS('Val-Vol (2)'!AI$4:AI$1116,'Val-Vol (2)'!$A$4:$A$1116,$D177,'Val-Vol (2)'!$V$4:$V$1116,$V177)/SUMIFS('Comp2016-2017 (3)'!$G$5:$G$289,'Comp2016-2017 (3)'!$A$5:$A$289,$D177,'Comp2016-2017 (3)'!$R$5:$R$289,$V177)*$AB177))</f>
        <v/>
      </c>
      <c r="AJ177" s="2" t="str">
        <f>IF($W177=AJ$3,$AB177,IF(NOT($W177=0),"",SUMIFS('Val-Vol (2)'!AJ$4:AJ$1116,'Val-Vol (2)'!$A$4:$A$1116,$D177,'Val-Vol (2)'!$V$4:$V$1116,$V177)/SUMIFS('Comp2016-2017 (3)'!$G$5:$G$289,'Comp2016-2017 (3)'!$A$5:$A$289,$D177,'Comp2016-2017 (3)'!$R$5:$R$289,$V177)*$AB177))</f>
        <v/>
      </c>
      <c r="AK177" s="2">
        <f t="shared" si="16"/>
        <v>0</v>
      </c>
      <c r="AL177" t="str">
        <f t="shared" si="13"/>
        <v/>
      </c>
      <c r="AM177" t="str">
        <f>VLOOKUP(A177,'Table corresp.'!$M$4:$U$63,8,FALSE)</f>
        <v>Production intermédiaire</v>
      </c>
      <c r="AN177" t="str">
        <f>VLOOKUP(D177,'Table corresp.'!$M$4:$U$63,9,FALSE)</f>
        <v xml:space="preserve">Mise en œuvre </v>
      </c>
    </row>
    <row r="178" spans="1:40" x14ac:dyDescent="0.25">
      <c r="A178" t="s">
        <v>9</v>
      </c>
      <c r="B178" t="str">
        <f>VLOOKUP(LEFT(A178,3),'Table corresp.'!$A$4:$D$63,3,FALSE)</f>
        <v>Transformation</v>
      </c>
      <c r="C178" t="str">
        <f>VLOOKUP(A178,'Table corresp.'!$M$4:$P$63,4,FALSE)</f>
        <v>Production et transformation de produits bois</v>
      </c>
      <c r="D178" t="s">
        <v>54</v>
      </c>
      <c r="E178" t="str">
        <f>VLOOKUP(LEFT(D178,3),'Table corresp.'!$A$4:$D$63,4,FALSE)</f>
        <v>Consommation finale</v>
      </c>
      <c r="F178" t="str">
        <f t="shared" si="12"/>
        <v>15  - Con</v>
      </c>
      <c r="G178" s="1">
        <v>61348.310110000006</v>
      </c>
      <c r="H178" s="1">
        <v>0</v>
      </c>
      <c r="I178" s="1">
        <v>61348.310110000006</v>
      </c>
      <c r="J178" s="1">
        <v>555.3927185162845</v>
      </c>
      <c r="K178" s="1">
        <v>0</v>
      </c>
      <c r="L178" s="1">
        <v>555.3927185162845</v>
      </c>
      <c r="M178" s="1">
        <v>0</v>
      </c>
      <c r="N178" s="1">
        <v>0</v>
      </c>
      <c r="O178" s="1">
        <v>0</v>
      </c>
      <c r="P178" s="1">
        <v>0</v>
      </c>
      <c r="Q178" s="1">
        <v>0</v>
      </c>
      <c r="R178" s="1">
        <v>0</v>
      </c>
      <c r="S178" s="67"/>
      <c r="T178">
        <f>VLOOKUP(A178,'Groupe de branches'!$Z$27:$AM$86,14,FALSE)</f>
        <v>0</v>
      </c>
      <c r="U178">
        <f>VLOOKUP(D178,'Groupe de branches'!$Z$27:$AM$86,14,FALSE)</f>
        <v>0</v>
      </c>
      <c r="V178">
        <v>2016</v>
      </c>
      <c r="W178" t="str">
        <f>VLOOKUP(D178,'Table corresp.'!$M$4:$S$63,7,FALSE)</f>
        <v>Consommation finale</v>
      </c>
      <c r="X178" s="167">
        <f>IFERROR(G178/SUMIFS('Comp2016-2017 (3)'!$I$5:$I$289,'Comp2016-2017 (3)'!$A$5:$A$289,A178,'Comp2016-2017 (3)'!$R$5:$R$289,V178),0)</f>
        <v>0.23367775875516691</v>
      </c>
      <c r="Y178" s="178">
        <f>IFERROR(IF(RIGHT(F178,3)="Exp",VLOOKUP(F178,#REF!,2,FALSE),VLOOKUP(F178,#REF!,9,FALSE)),1)</f>
        <v>1</v>
      </c>
      <c r="Z178" s="167">
        <f t="shared" si="17"/>
        <v>9.0909090909090912E-2</v>
      </c>
      <c r="AA178" s="189">
        <f t="shared" si="15"/>
        <v>2.1243432614106085E-2</v>
      </c>
      <c r="AB178" s="2">
        <f>IFERROR(SUMIFS('Comp2016-2017 (3)'!$G$5:$G$289,'Comp2016-2017 (3)'!$A$5:$A$289,A178,'Comp2016-2017 (3)'!$R$5:$R$289,V178)*AA178/SUMIFS($AA$4:$AA$1116,$A$4:$A$1116,A178,$V$4:$V$1116,V178),0)</f>
        <v>12760.470530341941</v>
      </c>
      <c r="AC178" s="2" t="str">
        <f>IF($W178=AC$3,$AB178,IF(NOT($W178=0),"",SUMIFS('Val-Vol (2)'!AC$4:AC$1116,'Val-Vol (2)'!$A$4:$A$1116,$D178,'Val-Vol (2)'!$V$4:$V$1116,$V178)/SUMIFS('Comp2016-2017 (3)'!$G$5:$G$289,'Comp2016-2017 (3)'!$A$5:$A$289,$D178,'Comp2016-2017 (3)'!$R$5:$R$289,$V178)*$AB178))</f>
        <v/>
      </c>
      <c r="AD178" s="2" t="str">
        <f>IF($W178=AD$3,$AB178,IF(NOT($W178=0),"",SUMIFS('Val-Vol (2)'!AD$4:AD$1116,'Val-Vol (2)'!$A$4:$A$1116,$D178,'Val-Vol (2)'!$V$4:$V$1116,$V178)/SUMIFS('Comp2016-2017 (3)'!$G$5:$G$289,'Comp2016-2017 (3)'!$A$5:$A$289,$D178,'Comp2016-2017 (3)'!$R$5:$R$289,$V178)*$AB178))</f>
        <v/>
      </c>
      <c r="AE178" s="2" t="str">
        <f>IF($W178=AE$3,$AB178,IF(NOT($W178=0),"",SUMIFS('Val-Vol (2)'!AE$4:AE$1116,'Val-Vol (2)'!$A$4:$A$1116,$D178,'Val-Vol (2)'!$V$4:$V$1116,$V178)/SUMIFS('Comp2016-2017 (3)'!$G$5:$G$289,'Comp2016-2017 (3)'!$A$5:$A$289,$D178,'Comp2016-2017 (3)'!$R$5:$R$289,$V178)*$AB178))</f>
        <v/>
      </c>
      <c r="AF178" s="2" t="str">
        <f>IF($W178=AF$3,$AB178,IF(NOT($W178=0),"",SUMIFS('Val-Vol (2)'!AF$4:AF$1116,'Val-Vol (2)'!$A$4:$A$1116,$D178,'Val-Vol (2)'!$V$4:$V$1116,$V178)/SUMIFS('Comp2016-2017 (3)'!$G$5:$G$289,'Comp2016-2017 (3)'!$A$5:$A$289,$D178,'Comp2016-2017 (3)'!$R$5:$R$289,$V178)*$AB178))</f>
        <v/>
      </c>
      <c r="AG178" s="2" t="str">
        <f>IF($W178=AG$3,$AB178,IF(NOT($W178=0),"",SUMIFS('Val-Vol (2)'!AG$4:AG$1116,'Val-Vol (2)'!$A$4:$A$1116,$D178,'Val-Vol (2)'!$V$4:$V$1116,$V178)/SUMIFS('Comp2016-2017 (3)'!$G$5:$G$289,'Comp2016-2017 (3)'!$A$5:$A$289,$D178,'Comp2016-2017 (3)'!$R$5:$R$289,$V178)*$AB178))</f>
        <v/>
      </c>
      <c r="AH178" s="2" t="str">
        <f>IF($W178=AH$3,$AB178,IF(NOT($W178=0),"",SUMIFS('Val-Vol (2)'!AH$4:AH$1116,'Val-Vol (2)'!$A$4:$A$1116,$D178,'Val-Vol (2)'!$V$4:$V$1116,$V178)/SUMIFS('Comp2016-2017 (3)'!$G$5:$G$289,'Comp2016-2017 (3)'!$A$5:$A$289,$D178,'Comp2016-2017 (3)'!$R$5:$R$289,$V178)*$AB178))</f>
        <v/>
      </c>
      <c r="AI178" s="2" t="str">
        <f>IF($W178=AI$3,$AB178,IF(NOT($W178=0),"",SUMIFS('Val-Vol (2)'!AI$4:AI$1116,'Val-Vol (2)'!$A$4:$A$1116,$D178,'Val-Vol (2)'!$V$4:$V$1116,$V178)/SUMIFS('Comp2016-2017 (3)'!$G$5:$G$289,'Comp2016-2017 (3)'!$A$5:$A$289,$D178,'Comp2016-2017 (3)'!$R$5:$R$289,$V178)*$AB178))</f>
        <v/>
      </c>
      <c r="AJ178" s="2">
        <f>IF($W178=AJ$3,$AB178,IF(NOT($W178=0),"",SUMIFS('Val-Vol (2)'!AJ$4:AJ$1116,'Val-Vol (2)'!$A$4:$A$1116,$D178,'Val-Vol (2)'!$V$4:$V$1116,$V178)/SUMIFS('Comp2016-2017 (3)'!$G$5:$G$289,'Comp2016-2017 (3)'!$A$5:$A$289,$D178,'Comp2016-2017 (3)'!$R$5:$R$289,$V178)*$AB178))</f>
        <v>12760.470530341941</v>
      </c>
      <c r="AK178" s="2">
        <f t="shared" si="16"/>
        <v>0</v>
      </c>
      <c r="AL178" t="str">
        <f t="shared" si="13"/>
        <v/>
      </c>
      <c r="AM178" t="str">
        <f>VLOOKUP(A178,'Table corresp.'!$M$4:$U$63,8,FALSE)</f>
        <v>Production intermédiaire</v>
      </c>
      <c r="AN178" t="str">
        <f>VLOOKUP(D178,'Table corresp.'!$M$4:$U$63,9,FALSE)</f>
        <v>Consommation finale française</v>
      </c>
    </row>
    <row r="179" spans="1:40" x14ac:dyDescent="0.25">
      <c r="A179" t="s">
        <v>10</v>
      </c>
      <c r="B179" t="str">
        <f>VLOOKUP(LEFT(A179,3),'Table corresp.'!$A$4:$D$63,3,FALSE)</f>
        <v>Transformation</v>
      </c>
      <c r="C179" t="str">
        <f>VLOOKUP(A179,'Table corresp.'!$M$4:$P$63,4,FALSE)</f>
        <v>Production et transformation de produits bois</v>
      </c>
      <c r="D179" t="s">
        <v>17</v>
      </c>
      <c r="E179" t="str">
        <f>VLOOKUP(LEFT(D179,3),'Table corresp.'!$A$4:$D$63,4,FALSE)</f>
        <v>Transformation</v>
      </c>
      <c r="F179" t="str">
        <f t="shared" si="12"/>
        <v xml:space="preserve">16  - 38 </v>
      </c>
      <c r="G179" s="1">
        <v>179069.353</v>
      </c>
      <c r="H179" s="1">
        <v>0</v>
      </c>
      <c r="I179" s="1">
        <v>179069.353</v>
      </c>
      <c r="J179" s="1">
        <v>266.35780568756621</v>
      </c>
      <c r="K179" s="1">
        <v>0</v>
      </c>
      <c r="L179" s="1">
        <v>266.35780568756621</v>
      </c>
      <c r="M179" s="1">
        <v>0</v>
      </c>
      <c r="N179" s="1">
        <v>0</v>
      </c>
      <c r="O179" s="1">
        <v>0</v>
      </c>
      <c r="P179" s="1">
        <v>0</v>
      </c>
      <c r="Q179" s="1">
        <v>0</v>
      </c>
      <c r="R179" s="1">
        <v>0</v>
      </c>
      <c r="S179" s="67"/>
      <c r="T179">
        <f>VLOOKUP(A179,'Groupe de branches'!$Z$27:$AM$86,14,FALSE)</f>
        <v>0</v>
      </c>
      <c r="U179">
        <f>VLOOKUP(D179,'Groupe de branches'!$Z$27:$AM$86,14,FALSE)</f>
        <v>0</v>
      </c>
      <c r="V179">
        <v>2016</v>
      </c>
      <c r="W179" t="str">
        <f>VLOOKUP(D179,'Table corresp.'!$M$4:$S$63,7,FALSE)</f>
        <v>Emballage bois et carton</v>
      </c>
      <c r="X179" s="167">
        <f>IFERROR(G179/SUMIFS('Comp2016-2017 (3)'!$I$5:$I$289,'Comp2016-2017 (3)'!$A$5:$A$289,A179,'Comp2016-2017 (3)'!$R$5:$R$289,V179),0)</f>
        <v>0.82944967184185314</v>
      </c>
      <c r="Y179" s="178">
        <f>IFERROR(IF(RIGHT(F179,3)="Exp",VLOOKUP(F179,#REF!,2,FALSE),VLOOKUP(F179,#REF!,9,FALSE)),1)</f>
        <v>1</v>
      </c>
      <c r="Z179" s="167">
        <f t="shared" si="17"/>
        <v>0.5</v>
      </c>
      <c r="AA179" s="189">
        <f t="shared" si="15"/>
        <v>0.41472483592092657</v>
      </c>
      <c r="AB179" s="2">
        <f>IFERROR(SUMIFS('Comp2016-2017 (3)'!$G$5:$G$289,'Comp2016-2017 (3)'!$A$5:$A$289,A179,'Comp2016-2017 (3)'!$R$5:$R$289,V179)*AA179/SUMIFS($AA$4:$AA$1116,$A$4:$A$1116,A179,$V$4:$V$1116,V179),0)</f>
        <v>41540.707346888732</v>
      </c>
      <c r="AC179" s="2" t="str">
        <f>IF($W179=AC$3,$AB179,IF(NOT($W179=0),"",SUMIFS('Val-Vol (2)'!AC$4:AC$1116,'Val-Vol (2)'!$A$4:$A$1116,$D179,'Val-Vol (2)'!$V$4:$V$1116,$V179)/SUMIFS('Comp2016-2017 (3)'!$G$5:$G$289,'Comp2016-2017 (3)'!$A$5:$A$289,$D179,'Comp2016-2017 (3)'!$R$5:$R$289,$V179)*$AB179))</f>
        <v/>
      </c>
      <c r="AD179" s="2" t="str">
        <f>IF($W179=AD$3,$AB179,IF(NOT($W179=0),"",SUMIFS('Val-Vol (2)'!AD$4:AD$1116,'Val-Vol (2)'!$A$4:$A$1116,$D179,'Val-Vol (2)'!$V$4:$V$1116,$V179)/SUMIFS('Comp2016-2017 (3)'!$G$5:$G$289,'Comp2016-2017 (3)'!$A$5:$A$289,$D179,'Comp2016-2017 (3)'!$R$5:$R$289,$V179)*$AB179))</f>
        <v/>
      </c>
      <c r="AE179" s="2" t="str">
        <f>IF($W179=AE$3,$AB179,IF(NOT($W179=0),"",SUMIFS('Val-Vol (2)'!AE$4:AE$1116,'Val-Vol (2)'!$A$4:$A$1116,$D179,'Val-Vol (2)'!$V$4:$V$1116,$V179)/SUMIFS('Comp2016-2017 (3)'!$G$5:$G$289,'Comp2016-2017 (3)'!$A$5:$A$289,$D179,'Comp2016-2017 (3)'!$R$5:$R$289,$V179)*$AB179))</f>
        <v/>
      </c>
      <c r="AF179" s="2" t="str">
        <f>IF($W179=AF$3,$AB179,IF(NOT($W179=0),"",SUMIFS('Val-Vol (2)'!AF$4:AF$1116,'Val-Vol (2)'!$A$4:$A$1116,$D179,'Val-Vol (2)'!$V$4:$V$1116,$V179)/SUMIFS('Comp2016-2017 (3)'!$G$5:$G$289,'Comp2016-2017 (3)'!$A$5:$A$289,$D179,'Comp2016-2017 (3)'!$R$5:$R$289,$V179)*$AB179))</f>
        <v/>
      </c>
      <c r="AG179" s="2">
        <f>IF($W179=AG$3,$AB179,IF(NOT($W179=0),"",SUMIFS('Val-Vol (2)'!AG$4:AG$1116,'Val-Vol (2)'!$A$4:$A$1116,$D179,'Val-Vol (2)'!$V$4:$V$1116,$V179)/SUMIFS('Comp2016-2017 (3)'!$G$5:$G$289,'Comp2016-2017 (3)'!$A$5:$A$289,$D179,'Comp2016-2017 (3)'!$R$5:$R$289,$V179)*$AB179))</f>
        <v>41540.707346888732</v>
      </c>
      <c r="AH179" s="2" t="str">
        <f>IF($W179=AH$3,$AB179,IF(NOT($W179=0),"",SUMIFS('Val-Vol (2)'!AH$4:AH$1116,'Val-Vol (2)'!$A$4:$A$1116,$D179,'Val-Vol (2)'!$V$4:$V$1116,$V179)/SUMIFS('Comp2016-2017 (3)'!$G$5:$G$289,'Comp2016-2017 (3)'!$A$5:$A$289,$D179,'Comp2016-2017 (3)'!$R$5:$R$289,$V179)*$AB179))</f>
        <v/>
      </c>
      <c r="AI179" s="2" t="str">
        <f>IF($W179=AI$3,$AB179,IF(NOT($W179=0),"",SUMIFS('Val-Vol (2)'!AI$4:AI$1116,'Val-Vol (2)'!$A$4:$A$1116,$D179,'Val-Vol (2)'!$V$4:$V$1116,$V179)/SUMIFS('Comp2016-2017 (3)'!$G$5:$G$289,'Comp2016-2017 (3)'!$A$5:$A$289,$D179,'Comp2016-2017 (3)'!$R$5:$R$289,$V179)*$AB179))</f>
        <v/>
      </c>
      <c r="AJ179" s="2" t="str">
        <f>IF($W179=AJ$3,$AB179,IF(NOT($W179=0),"",SUMIFS('Val-Vol (2)'!AJ$4:AJ$1116,'Val-Vol (2)'!$A$4:$A$1116,$D179,'Val-Vol (2)'!$V$4:$V$1116,$V179)/SUMIFS('Comp2016-2017 (3)'!$G$5:$G$289,'Comp2016-2017 (3)'!$A$5:$A$289,$D179,'Comp2016-2017 (3)'!$R$5:$R$289,$V179)*$AB179))</f>
        <v/>
      </c>
      <c r="AK179" s="2">
        <f t="shared" si="16"/>
        <v>0</v>
      </c>
      <c r="AL179" t="str">
        <f t="shared" si="13"/>
        <v/>
      </c>
      <c r="AM179" t="str">
        <f>VLOOKUP(A179,'Table corresp.'!$M$4:$U$63,8,FALSE)</f>
        <v>Production intermédiaire</v>
      </c>
      <c r="AN179" t="str">
        <f>VLOOKUP(D179,'Table corresp.'!$M$4:$U$63,9,FALSE)</f>
        <v>Production finale</v>
      </c>
    </row>
    <row r="180" spans="1:40" x14ac:dyDescent="0.25">
      <c r="A180" t="s">
        <v>10</v>
      </c>
      <c r="B180" t="str">
        <f>VLOOKUP(LEFT(A180,3),'Table corresp.'!$A$4:$D$63,3,FALSE)</f>
        <v>Transformation</v>
      </c>
      <c r="C180" t="str">
        <f>VLOOKUP(A180,'Table corresp.'!$M$4:$P$63,4,FALSE)</f>
        <v>Production et transformation de produits bois</v>
      </c>
      <c r="D180" t="s">
        <v>53</v>
      </c>
      <c r="E180" t="str">
        <f>VLOOKUP(LEFT(D180,3),'Table corresp.'!$A$4:$D$63,4,FALSE)</f>
        <v>Exportation</v>
      </c>
      <c r="F180" t="str">
        <f t="shared" si="12"/>
        <v>16  - Exp</v>
      </c>
      <c r="G180" s="1">
        <v>36820</v>
      </c>
      <c r="H180" s="1">
        <v>0</v>
      </c>
      <c r="I180" s="1">
        <v>36820</v>
      </c>
      <c r="J180" s="1">
        <v>41.335220371328084</v>
      </c>
      <c r="K180" s="1">
        <v>0</v>
      </c>
      <c r="L180" s="1">
        <v>41.335220371328084</v>
      </c>
      <c r="M180" s="1">
        <v>0</v>
      </c>
      <c r="N180" s="1">
        <v>0</v>
      </c>
      <c r="O180" s="1">
        <v>0</v>
      </c>
      <c r="P180" s="1">
        <v>0</v>
      </c>
      <c r="Q180" s="1">
        <v>0</v>
      </c>
      <c r="R180" s="1">
        <v>0</v>
      </c>
      <c r="S180" s="67"/>
      <c r="T180">
        <f>VLOOKUP(A180,'Groupe de branches'!$Z$27:$AM$86,14,FALSE)</f>
        <v>0</v>
      </c>
      <c r="U180">
        <f>VLOOKUP(D180,'Groupe de branches'!$Z$27:$AM$86,14,FALSE)</f>
        <v>0</v>
      </c>
      <c r="V180">
        <v>2016</v>
      </c>
      <c r="W180" t="str">
        <f>VLOOKUP(D180,'Table corresp.'!$M$4:$S$63,7,FALSE)</f>
        <v>Exportation</v>
      </c>
      <c r="X180" s="167">
        <f>IFERROR(G180/SUMIFS('Comp2016-2017 (3)'!$I$5:$I$289,'Comp2016-2017 (3)'!$A$5:$A$289,A180,'Comp2016-2017 (3)'!$R$5:$R$289,V180),0)</f>
        <v>0.17055032815814683</v>
      </c>
      <c r="Y180" s="178">
        <f>IFERROR(IF(RIGHT(F180,3)="Exp",VLOOKUP(F180,#REF!,2,FALSE),VLOOKUP(F180,#REF!,9,FALSE)),1)</f>
        <v>1</v>
      </c>
      <c r="Z180" s="167">
        <f t="shared" si="17"/>
        <v>0.5</v>
      </c>
      <c r="AA180" s="189">
        <f t="shared" si="15"/>
        <v>8.5275164079073415E-2</v>
      </c>
      <c r="AB180" s="2">
        <f>IFERROR(SUMIFS('Comp2016-2017 (3)'!$G$5:$G$289,'Comp2016-2017 (3)'!$A$5:$A$289,A180,'Comp2016-2017 (3)'!$R$5:$R$289,V180)*AA180/SUMIFS($AA$4:$AA$1116,$A$4:$A$1116,A180,$V$4:$V$1116,V180),0)</f>
        <v>8541.5444847921208</v>
      </c>
      <c r="AC180" s="2">
        <f>IF($W180=AC$3,$AB180,IF(NOT($W180=0),"",SUMIFS('Val-Vol (2)'!AC$4:AC$1116,'Val-Vol (2)'!$A$4:$A$1116,$D180,'Val-Vol (2)'!$V$4:$V$1116,$V180)/SUMIFS('Comp2016-2017 (3)'!$G$5:$G$289,'Comp2016-2017 (3)'!$A$5:$A$289,$D180,'Comp2016-2017 (3)'!$R$5:$R$289,$V180)*$AB180))</f>
        <v>8541.5444847921208</v>
      </c>
      <c r="AD180" s="2" t="str">
        <f>IF($W180=AD$3,$AB180,IF(NOT($W180=0),"",SUMIFS('Val-Vol (2)'!AD$4:AD$1116,'Val-Vol (2)'!$A$4:$A$1116,$D180,'Val-Vol (2)'!$V$4:$V$1116,$V180)/SUMIFS('Comp2016-2017 (3)'!$G$5:$G$289,'Comp2016-2017 (3)'!$A$5:$A$289,$D180,'Comp2016-2017 (3)'!$R$5:$R$289,$V180)*$AB180))</f>
        <v/>
      </c>
      <c r="AE180" s="2" t="str">
        <f>IF($W180=AE$3,$AB180,IF(NOT($W180=0),"",SUMIFS('Val-Vol (2)'!AE$4:AE$1116,'Val-Vol (2)'!$A$4:$A$1116,$D180,'Val-Vol (2)'!$V$4:$V$1116,$V180)/SUMIFS('Comp2016-2017 (3)'!$G$5:$G$289,'Comp2016-2017 (3)'!$A$5:$A$289,$D180,'Comp2016-2017 (3)'!$R$5:$R$289,$V180)*$AB180))</f>
        <v/>
      </c>
      <c r="AF180" s="2" t="str">
        <f>IF($W180=AF$3,$AB180,IF(NOT($W180=0),"",SUMIFS('Val-Vol (2)'!AF$4:AF$1116,'Val-Vol (2)'!$A$4:$A$1116,$D180,'Val-Vol (2)'!$V$4:$V$1116,$V180)/SUMIFS('Comp2016-2017 (3)'!$G$5:$G$289,'Comp2016-2017 (3)'!$A$5:$A$289,$D180,'Comp2016-2017 (3)'!$R$5:$R$289,$V180)*$AB180))</f>
        <v/>
      </c>
      <c r="AG180" s="2" t="str">
        <f>IF($W180=AG$3,$AB180,IF(NOT($W180=0),"",SUMIFS('Val-Vol (2)'!AG$4:AG$1116,'Val-Vol (2)'!$A$4:$A$1116,$D180,'Val-Vol (2)'!$V$4:$V$1116,$V180)/SUMIFS('Comp2016-2017 (3)'!$G$5:$G$289,'Comp2016-2017 (3)'!$A$5:$A$289,$D180,'Comp2016-2017 (3)'!$R$5:$R$289,$V180)*$AB180))</f>
        <v/>
      </c>
      <c r="AH180" s="2" t="str">
        <f>IF($W180=AH$3,$AB180,IF(NOT($W180=0),"",SUMIFS('Val-Vol (2)'!AH$4:AH$1116,'Val-Vol (2)'!$A$4:$A$1116,$D180,'Val-Vol (2)'!$V$4:$V$1116,$V180)/SUMIFS('Comp2016-2017 (3)'!$G$5:$G$289,'Comp2016-2017 (3)'!$A$5:$A$289,$D180,'Comp2016-2017 (3)'!$R$5:$R$289,$V180)*$AB180))</f>
        <v/>
      </c>
      <c r="AI180" s="2" t="str">
        <f>IF($W180=AI$3,$AB180,IF(NOT($W180=0),"",SUMIFS('Val-Vol (2)'!AI$4:AI$1116,'Val-Vol (2)'!$A$4:$A$1116,$D180,'Val-Vol (2)'!$V$4:$V$1116,$V180)/SUMIFS('Comp2016-2017 (3)'!$G$5:$G$289,'Comp2016-2017 (3)'!$A$5:$A$289,$D180,'Comp2016-2017 (3)'!$R$5:$R$289,$V180)*$AB180))</f>
        <v/>
      </c>
      <c r="AJ180" s="2" t="str">
        <f>IF($W180=AJ$3,$AB180,IF(NOT($W180=0),"",SUMIFS('Val-Vol (2)'!AJ$4:AJ$1116,'Val-Vol (2)'!$A$4:$A$1116,$D180,'Val-Vol (2)'!$V$4:$V$1116,$V180)/SUMIFS('Comp2016-2017 (3)'!$G$5:$G$289,'Comp2016-2017 (3)'!$A$5:$A$289,$D180,'Comp2016-2017 (3)'!$R$5:$R$289,$V180)*$AB180))</f>
        <v/>
      </c>
      <c r="AK180" s="2">
        <f t="shared" si="16"/>
        <v>0</v>
      </c>
      <c r="AL180" t="str">
        <f t="shared" si="13"/>
        <v/>
      </c>
      <c r="AM180" t="str">
        <f>VLOOKUP(A180,'Table corresp.'!$M$4:$U$63,8,FALSE)</f>
        <v>Production intermédiaire</v>
      </c>
      <c r="AN180" t="str">
        <f>VLOOKUP(D180,'Table corresp.'!$M$4:$U$63,9,FALSE)</f>
        <v>Exportation</v>
      </c>
    </row>
    <row r="181" spans="1:40" x14ac:dyDescent="0.25">
      <c r="A181" t="s">
        <v>84</v>
      </c>
      <c r="B181" t="str">
        <f>VLOOKUP(LEFT(A181,3),'Table corresp.'!$A$4:$D$63,3,FALSE)</f>
        <v>Transformation</v>
      </c>
      <c r="C181" t="str">
        <f>VLOOKUP(A181,'Table corresp.'!$M$4:$P$63,4,FALSE)</f>
        <v>Production et transformation de produits bois</v>
      </c>
      <c r="D181" t="s">
        <v>85</v>
      </c>
      <c r="E181" t="str">
        <f>VLOOKUP(LEFT(D181,3),'Table corresp.'!$A$4:$D$63,4,FALSE)</f>
        <v>Transformation</v>
      </c>
      <c r="F181" t="str">
        <f t="shared" si="12"/>
        <v xml:space="preserve">17  - 29 </v>
      </c>
      <c r="G181" s="1">
        <v>25280.128999999994</v>
      </c>
      <c r="H181" s="1">
        <v>8422.1270000000004</v>
      </c>
      <c r="I181" s="1">
        <v>33702.255999999994</v>
      </c>
      <c r="J181" s="1">
        <v>189.16383002768291</v>
      </c>
      <c r="K181" s="1">
        <v>41.602040808223656</v>
      </c>
      <c r="L181" s="1">
        <v>230.76587083590655</v>
      </c>
      <c r="M181" s="1">
        <v>0</v>
      </c>
      <c r="N181" s="1">
        <v>0</v>
      </c>
      <c r="O181" s="1">
        <v>0</v>
      </c>
      <c r="P181" s="1">
        <v>0</v>
      </c>
      <c r="Q181" s="1">
        <v>0</v>
      </c>
      <c r="R181" s="1">
        <v>0</v>
      </c>
      <c r="S181" s="67"/>
      <c r="T181">
        <f>VLOOKUP(A181,'Groupe de branches'!$Z$27:$AM$86,14,FALSE)</f>
        <v>0</v>
      </c>
      <c r="U181">
        <f>VLOOKUP(D181,'Groupe de branches'!$Z$27:$AM$86,14,FALSE)</f>
        <v>0</v>
      </c>
      <c r="V181">
        <v>2016</v>
      </c>
      <c r="W181" t="str">
        <f>VLOOKUP(D181,'Table corresp.'!$M$4:$S$63,7,FALSE)</f>
        <v>Construction</v>
      </c>
      <c r="X181" s="167">
        <f>IFERROR(G181/SUMIFS('Comp2016-2017 (3)'!$I$5:$I$289,'Comp2016-2017 (3)'!$A$5:$A$289,A181,'Comp2016-2017 (3)'!$R$5:$R$289,V181),0)</f>
        <v>0.50929336792212754</v>
      </c>
      <c r="Y181" s="178">
        <f>IFERROR(IF(RIGHT(F181,3)="Exp",VLOOKUP(F181,#REF!,2,FALSE),VLOOKUP(F181,#REF!,9,FALSE)),1)</f>
        <v>1</v>
      </c>
      <c r="Z181" s="167">
        <f t="shared" si="17"/>
        <v>0.5</v>
      </c>
      <c r="AA181" s="189">
        <f t="shared" si="15"/>
        <v>0.25464668396106377</v>
      </c>
      <c r="AB181" s="2">
        <f>IFERROR(SUMIFS('Comp2016-2017 (3)'!$G$5:$G$289,'Comp2016-2017 (3)'!$A$5:$A$289,A181,'Comp2016-2017 (3)'!$R$5:$R$289,V181)*AA181/SUMIFS($AA$4:$AA$1116,$A$4:$A$1116,A181,$V$4:$V$1116,V181),0)</f>
        <v>5814.4296699999995</v>
      </c>
      <c r="AC181" s="2" t="str">
        <f>IF($W181=AC$3,$AB181,IF(NOT($W181=0),"",SUMIFS('Val-Vol (2)'!AC$4:AC$1116,'Val-Vol (2)'!$A$4:$A$1116,$D181,'Val-Vol (2)'!$V$4:$V$1116,$V181)/SUMIFS('Comp2016-2017 (3)'!$G$5:$G$289,'Comp2016-2017 (3)'!$A$5:$A$289,$D181,'Comp2016-2017 (3)'!$R$5:$R$289,$V181)*$AB181))</f>
        <v/>
      </c>
      <c r="AD181" s="2">
        <f>IF($W181=AD$3,$AB181,IF(NOT($W181=0),"",SUMIFS('Val-Vol (2)'!AD$4:AD$1116,'Val-Vol (2)'!$A$4:$A$1116,$D181,'Val-Vol (2)'!$V$4:$V$1116,$V181)/SUMIFS('Comp2016-2017 (3)'!$G$5:$G$289,'Comp2016-2017 (3)'!$A$5:$A$289,$D181,'Comp2016-2017 (3)'!$R$5:$R$289,$V181)*$AB181))</f>
        <v>5814.4296699999995</v>
      </c>
      <c r="AE181" s="2" t="str">
        <f>IF($W181=AE$3,$AB181,IF(NOT($W181=0),"",SUMIFS('Val-Vol (2)'!AE$4:AE$1116,'Val-Vol (2)'!$A$4:$A$1116,$D181,'Val-Vol (2)'!$V$4:$V$1116,$V181)/SUMIFS('Comp2016-2017 (3)'!$G$5:$G$289,'Comp2016-2017 (3)'!$A$5:$A$289,$D181,'Comp2016-2017 (3)'!$R$5:$R$289,$V181)*$AB181))</f>
        <v/>
      </c>
      <c r="AF181" s="2" t="str">
        <f>IF($W181=AF$3,$AB181,IF(NOT($W181=0),"",SUMIFS('Val-Vol (2)'!AF$4:AF$1116,'Val-Vol (2)'!$A$4:$A$1116,$D181,'Val-Vol (2)'!$V$4:$V$1116,$V181)/SUMIFS('Comp2016-2017 (3)'!$G$5:$G$289,'Comp2016-2017 (3)'!$A$5:$A$289,$D181,'Comp2016-2017 (3)'!$R$5:$R$289,$V181)*$AB181))</f>
        <v/>
      </c>
      <c r="AG181" s="2" t="str">
        <f>IF($W181=AG$3,$AB181,IF(NOT($W181=0),"",SUMIFS('Val-Vol (2)'!AG$4:AG$1116,'Val-Vol (2)'!$A$4:$A$1116,$D181,'Val-Vol (2)'!$V$4:$V$1116,$V181)/SUMIFS('Comp2016-2017 (3)'!$G$5:$G$289,'Comp2016-2017 (3)'!$A$5:$A$289,$D181,'Comp2016-2017 (3)'!$R$5:$R$289,$V181)*$AB181))</f>
        <v/>
      </c>
      <c r="AH181" s="2" t="str">
        <f>IF($W181=AH$3,$AB181,IF(NOT($W181=0),"",SUMIFS('Val-Vol (2)'!AH$4:AH$1116,'Val-Vol (2)'!$A$4:$A$1116,$D181,'Val-Vol (2)'!$V$4:$V$1116,$V181)/SUMIFS('Comp2016-2017 (3)'!$G$5:$G$289,'Comp2016-2017 (3)'!$A$5:$A$289,$D181,'Comp2016-2017 (3)'!$R$5:$R$289,$V181)*$AB181))</f>
        <v/>
      </c>
      <c r="AI181" s="2" t="str">
        <f>IF($W181=AI$3,$AB181,IF(NOT($W181=0),"",SUMIFS('Val-Vol (2)'!AI$4:AI$1116,'Val-Vol (2)'!$A$4:$A$1116,$D181,'Val-Vol (2)'!$V$4:$V$1116,$V181)/SUMIFS('Comp2016-2017 (3)'!$G$5:$G$289,'Comp2016-2017 (3)'!$A$5:$A$289,$D181,'Comp2016-2017 (3)'!$R$5:$R$289,$V181)*$AB181))</f>
        <v/>
      </c>
      <c r="AJ181" s="2" t="str">
        <f>IF($W181=AJ$3,$AB181,IF(NOT($W181=0),"",SUMIFS('Val-Vol (2)'!AJ$4:AJ$1116,'Val-Vol (2)'!$A$4:$A$1116,$D181,'Val-Vol (2)'!$V$4:$V$1116,$V181)/SUMIFS('Comp2016-2017 (3)'!$G$5:$G$289,'Comp2016-2017 (3)'!$A$5:$A$289,$D181,'Comp2016-2017 (3)'!$R$5:$R$289,$V181)*$AB181))</f>
        <v/>
      </c>
      <c r="AK181" s="2">
        <f t="shared" si="16"/>
        <v>0</v>
      </c>
      <c r="AL181" t="str">
        <f t="shared" si="13"/>
        <v/>
      </c>
      <c r="AM181" t="str">
        <f>VLOOKUP(A181,'Table corresp.'!$M$4:$U$63,8,FALSE)</f>
        <v>Production intermédiaire</v>
      </c>
      <c r="AN181" t="str">
        <f>VLOOKUP(D181,'Table corresp.'!$M$4:$U$63,9,FALSE)</f>
        <v>Production intermédiaire</v>
      </c>
    </row>
    <row r="182" spans="1:40" x14ac:dyDescent="0.25">
      <c r="A182" t="s">
        <v>84</v>
      </c>
      <c r="B182" t="str">
        <f>VLOOKUP(LEFT(A182,3),'Table corresp.'!$A$4:$D$63,3,FALSE)</f>
        <v>Transformation</v>
      </c>
      <c r="C182" t="str">
        <f>VLOOKUP(A182,'Table corresp.'!$M$4:$P$63,4,FALSE)</f>
        <v>Production et transformation de produits bois</v>
      </c>
      <c r="D182" t="s">
        <v>53</v>
      </c>
      <c r="E182" t="str">
        <f>VLOOKUP(LEFT(D182,3),'Table corresp.'!$A$4:$D$63,4,FALSE)</f>
        <v>Exportation</v>
      </c>
      <c r="F182" t="str">
        <f t="shared" si="12"/>
        <v>17  - Exp</v>
      </c>
      <c r="G182" s="1">
        <v>24357.526999999998</v>
      </c>
      <c r="H182" s="1">
        <v>0</v>
      </c>
      <c r="I182" s="1">
        <v>24357.526999999998</v>
      </c>
      <c r="J182" s="1">
        <v>186.20208222819878</v>
      </c>
      <c r="K182" s="1">
        <v>0</v>
      </c>
      <c r="L182" s="1">
        <v>186.20208222819878</v>
      </c>
      <c r="M182" s="1">
        <v>0</v>
      </c>
      <c r="N182" s="1">
        <v>0</v>
      </c>
      <c r="O182" s="1">
        <v>0</v>
      </c>
      <c r="P182" s="1">
        <v>0</v>
      </c>
      <c r="Q182" s="1">
        <v>0</v>
      </c>
      <c r="R182" s="1">
        <v>0</v>
      </c>
      <c r="S182" s="67"/>
      <c r="T182">
        <f>VLOOKUP(A182,'Groupe de branches'!$Z$27:$AM$86,14,FALSE)</f>
        <v>0</v>
      </c>
      <c r="U182">
        <f>VLOOKUP(D182,'Groupe de branches'!$Z$27:$AM$86,14,FALSE)</f>
        <v>0</v>
      </c>
      <c r="V182">
        <v>2016</v>
      </c>
      <c r="W182" t="str">
        <f>VLOOKUP(D182,'Table corresp.'!$M$4:$S$63,7,FALSE)</f>
        <v>Exportation</v>
      </c>
      <c r="X182" s="167">
        <f>IFERROR(G182/SUMIFS('Comp2016-2017 (3)'!$I$5:$I$289,'Comp2016-2017 (3)'!$A$5:$A$289,A182,'Comp2016-2017 (3)'!$R$5:$R$289,V182),0)</f>
        <v>0.49070663207787257</v>
      </c>
      <c r="Y182" s="178">
        <f>IFERROR(IF(RIGHT(F182,3)="Exp",VLOOKUP(F182,#REF!,2,FALSE),VLOOKUP(F182,#REF!,9,FALSE)),1)</f>
        <v>1</v>
      </c>
      <c r="Z182" s="167">
        <f t="shared" si="17"/>
        <v>0.5</v>
      </c>
      <c r="AA182" s="189">
        <f t="shared" si="15"/>
        <v>0.24535331603893629</v>
      </c>
      <c r="AB182" s="2">
        <f>IFERROR(SUMIFS('Comp2016-2017 (3)'!$G$5:$G$289,'Comp2016-2017 (3)'!$A$5:$A$289,A182,'Comp2016-2017 (3)'!$R$5:$R$289,V182)*AA182/SUMIFS($AA$4:$AA$1116,$A$4:$A$1116,A182,$V$4:$V$1116,V182),0)</f>
        <v>5602.2312099999999</v>
      </c>
      <c r="AC182" s="2">
        <f>IF($W182=AC$3,$AB182,IF(NOT($W182=0),"",SUMIFS('Val-Vol (2)'!AC$4:AC$1116,'Val-Vol (2)'!$A$4:$A$1116,$D182,'Val-Vol (2)'!$V$4:$V$1116,$V182)/SUMIFS('Comp2016-2017 (3)'!$G$5:$G$289,'Comp2016-2017 (3)'!$A$5:$A$289,$D182,'Comp2016-2017 (3)'!$R$5:$R$289,$V182)*$AB182))</f>
        <v>5602.2312099999999</v>
      </c>
      <c r="AD182" s="2" t="str">
        <f>IF($W182=AD$3,$AB182,IF(NOT($W182=0),"",SUMIFS('Val-Vol (2)'!AD$4:AD$1116,'Val-Vol (2)'!$A$4:$A$1116,$D182,'Val-Vol (2)'!$V$4:$V$1116,$V182)/SUMIFS('Comp2016-2017 (3)'!$G$5:$G$289,'Comp2016-2017 (3)'!$A$5:$A$289,$D182,'Comp2016-2017 (3)'!$R$5:$R$289,$V182)*$AB182))</f>
        <v/>
      </c>
      <c r="AE182" s="2" t="str">
        <f>IF($W182=AE$3,$AB182,IF(NOT($W182=0),"",SUMIFS('Val-Vol (2)'!AE$4:AE$1116,'Val-Vol (2)'!$A$4:$A$1116,$D182,'Val-Vol (2)'!$V$4:$V$1116,$V182)/SUMIFS('Comp2016-2017 (3)'!$G$5:$G$289,'Comp2016-2017 (3)'!$A$5:$A$289,$D182,'Comp2016-2017 (3)'!$R$5:$R$289,$V182)*$AB182))</f>
        <v/>
      </c>
      <c r="AF182" s="2" t="str">
        <f>IF($W182=AF$3,$AB182,IF(NOT($W182=0),"",SUMIFS('Val-Vol (2)'!AF$4:AF$1116,'Val-Vol (2)'!$A$4:$A$1116,$D182,'Val-Vol (2)'!$V$4:$V$1116,$V182)/SUMIFS('Comp2016-2017 (3)'!$G$5:$G$289,'Comp2016-2017 (3)'!$A$5:$A$289,$D182,'Comp2016-2017 (3)'!$R$5:$R$289,$V182)*$AB182))</f>
        <v/>
      </c>
      <c r="AG182" s="2" t="str">
        <f>IF($W182=AG$3,$AB182,IF(NOT($W182=0),"",SUMIFS('Val-Vol (2)'!AG$4:AG$1116,'Val-Vol (2)'!$A$4:$A$1116,$D182,'Val-Vol (2)'!$V$4:$V$1116,$V182)/SUMIFS('Comp2016-2017 (3)'!$G$5:$G$289,'Comp2016-2017 (3)'!$A$5:$A$289,$D182,'Comp2016-2017 (3)'!$R$5:$R$289,$V182)*$AB182))</f>
        <v/>
      </c>
      <c r="AH182" s="2" t="str">
        <f>IF($W182=AH$3,$AB182,IF(NOT($W182=0),"",SUMIFS('Val-Vol (2)'!AH$4:AH$1116,'Val-Vol (2)'!$A$4:$A$1116,$D182,'Val-Vol (2)'!$V$4:$V$1116,$V182)/SUMIFS('Comp2016-2017 (3)'!$G$5:$G$289,'Comp2016-2017 (3)'!$A$5:$A$289,$D182,'Comp2016-2017 (3)'!$R$5:$R$289,$V182)*$AB182))</f>
        <v/>
      </c>
      <c r="AI182" s="2" t="str">
        <f>IF($W182=AI$3,$AB182,IF(NOT($W182=0),"",SUMIFS('Val-Vol (2)'!AI$4:AI$1116,'Val-Vol (2)'!$A$4:$A$1116,$D182,'Val-Vol (2)'!$V$4:$V$1116,$V182)/SUMIFS('Comp2016-2017 (3)'!$G$5:$G$289,'Comp2016-2017 (3)'!$A$5:$A$289,$D182,'Comp2016-2017 (3)'!$R$5:$R$289,$V182)*$AB182))</f>
        <v/>
      </c>
      <c r="AJ182" s="2" t="str">
        <f>IF($W182=AJ$3,$AB182,IF(NOT($W182=0),"",SUMIFS('Val-Vol (2)'!AJ$4:AJ$1116,'Val-Vol (2)'!$A$4:$A$1116,$D182,'Val-Vol (2)'!$V$4:$V$1116,$V182)/SUMIFS('Comp2016-2017 (3)'!$G$5:$G$289,'Comp2016-2017 (3)'!$A$5:$A$289,$D182,'Comp2016-2017 (3)'!$R$5:$R$289,$V182)*$AB182))</f>
        <v/>
      </c>
      <c r="AK182" s="2">
        <f t="shared" si="16"/>
        <v>0</v>
      </c>
      <c r="AL182" t="str">
        <f t="shared" si="13"/>
        <v/>
      </c>
      <c r="AM182" t="str">
        <f>VLOOKUP(A182,'Table corresp.'!$M$4:$U$63,8,FALSE)</f>
        <v>Production intermédiaire</v>
      </c>
      <c r="AN182" t="str">
        <f>VLOOKUP(D182,'Table corresp.'!$M$4:$U$63,9,FALSE)</f>
        <v>Exportation</v>
      </c>
    </row>
    <row r="183" spans="1:40" x14ac:dyDescent="0.25">
      <c r="A183" t="s">
        <v>11</v>
      </c>
      <c r="B183" t="str">
        <f>VLOOKUP(LEFT(A183,3),'Table corresp.'!$A$4:$D$63,3,FALSE)</f>
        <v>Produits connexes du sciage</v>
      </c>
      <c r="C183" t="str">
        <f>VLOOKUP(A183,'Table corresp.'!$M$4:$P$63,4,FALSE)</f>
        <v>Production et transformation de produits bois</v>
      </c>
      <c r="D183" t="s">
        <v>87</v>
      </c>
      <c r="E183" t="str">
        <f>VLOOKUP(LEFT(D183,3),'Table corresp.'!$A$4:$D$63,4,FALSE)</f>
        <v>Transformation</v>
      </c>
      <c r="F183" t="str">
        <f t="shared" si="12"/>
        <v xml:space="preserve">18  - 31 </v>
      </c>
      <c r="G183" s="1">
        <v>33887.98599999999</v>
      </c>
      <c r="H183" s="1">
        <v>19212.263999999999</v>
      </c>
      <c r="I183" s="1">
        <v>53100.249999999985</v>
      </c>
      <c r="J183" s="1">
        <v>0</v>
      </c>
      <c r="K183" s="1">
        <v>0</v>
      </c>
      <c r="L183" s="1">
        <v>0</v>
      </c>
      <c r="M183" s="1">
        <v>1144.4612861901344</v>
      </c>
      <c r="N183" s="1">
        <v>285.04991693441599</v>
      </c>
      <c r="O183" s="1">
        <v>1429.5112031245503</v>
      </c>
      <c r="P183" s="1">
        <v>0</v>
      </c>
      <c r="Q183" s="1">
        <v>0</v>
      </c>
      <c r="R183" s="1">
        <v>0</v>
      </c>
      <c r="S183" s="67"/>
      <c r="T183">
        <f>VLOOKUP(A183,'Groupe de branches'!$Z$27:$AM$86,14,FALSE)</f>
        <v>0</v>
      </c>
      <c r="U183">
        <f>VLOOKUP(D183,'Groupe de branches'!$Z$27:$AM$86,14,FALSE)</f>
        <v>0</v>
      </c>
      <c r="V183">
        <v>2016</v>
      </c>
      <c r="W183">
        <f>VLOOKUP(D183,'Table corresp.'!$M$4:$S$63,7,FALSE)</f>
        <v>0</v>
      </c>
      <c r="X183" s="167">
        <f>IFERROR(G183/SUMIFS('Comp2016-2017 (3)'!$I$5:$I$289,'Comp2016-2017 (3)'!$A$5:$A$289,A183,'Comp2016-2017 (3)'!$R$5:$R$289,V183),0)</f>
        <v>0.35888551264760532</v>
      </c>
      <c r="Y183" s="178">
        <f>IFERROR(IF(RIGHT(F183,3)="Exp",VLOOKUP(F183,#REF!,2,FALSE),VLOOKUP(F183,#REF!,9,FALSE)),1)</f>
        <v>1</v>
      </c>
      <c r="Z183" s="167">
        <f t="shared" si="17"/>
        <v>0.25</v>
      </c>
      <c r="AA183" s="189">
        <f t="shared" si="15"/>
        <v>8.972137816190133E-2</v>
      </c>
      <c r="AB183" s="2">
        <f>IFERROR(SUMIFS('Comp2016-2017 (3)'!$G$5:$G$289,'Comp2016-2017 (3)'!$A$5:$A$289,A183,'Comp2016-2017 (3)'!$R$5:$R$289,V183)*AA183/SUMIFS($AA$4:$AA$1116,$A$4:$A$1116,A183,$V$4:$V$1116,V183),0)</f>
        <v>33887.987232966254</v>
      </c>
      <c r="AC183" s="2">
        <f>IF($W183=AC$3,$AB183,IF(NOT($W183=0),"",SUMIFS('Val-Vol (2)'!AC$4:AC$1116,'Val-Vol (2)'!$A$4:$A$1116,$D183,'Val-Vol (2)'!$V$4:$V$1116,$V183)/SUMIFS('Comp2016-2017 (3)'!$G$5:$G$289,'Comp2016-2017 (3)'!$A$5:$A$289,$D183,'Comp2016-2017 (3)'!$R$5:$R$289,$V183)*$AB183))</f>
        <v>18593.320928182318</v>
      </c>
      <c r="AD183" s="2">
        <f>IF($W183=AD$3,$AB183,IF(NOT($W183=0),"",SUMIFS('Val-Vol (2)'!AD$4:AD$1116,'Val-Vol (2)'!$A$4:$A$1116,$D183,'Val-Vol (2)'!$V$4:$V$1116,$V183)/SUMIFS('Comp2016-2017 (3)'!$G$5:$G$289,'Comp2016-2017 (3)'!$A$5:$A$289,$D183,'Comp2016-2017 (3)'!$R$5:$R$289,$V183)*$AB183))</f>
        <v>5133.2340685173413</v>
      </c>
      <c r="AE183" s="2">
        <f>IF($W183=AE$3,$AB183,IF(NOT($W183=0),"",SUMIFS('Val-Vol (2)'!AE$4:AE$1116,'Val-Vol (2)'!$A$4:$A$1116,$D183,'Val-Vol (2)'!$V$4:$V$1116,$V183)/SUMIFS('Comp2016-2017 (3)'!$G$5:$G$289,'Comp2016-2017 (3)'!$A$5:$A$289,$D183,'Comp2016-2017 (3)'!$R$5:$R$289,$V183)*$AB183))</f>
        <v>6417.153989777049</v>
      </c>
      <c r="AF183" s="2">
        <f>IF($W183=AF$3,$AB183,IF(NOT($W183=0),"",SUMIFS('Val-Vol (2)'!AF$4:AF$1116,'Val-Vol (2)'!$A$4:$A$1116,$D183,'Val-Vol (2)'!$V$4:$V$1116,$V183)/SUMIFS('Comp2016-2017 (3)'!$G$5:$G$289,'Comp2016-2017 (3)'!$A$5:$A$289,$D183,'Comp2016-2017 (3)'!$R$5:$R$289,$V183)*$AB183))</f>
        <v>0</v>
      </c>
      <c r="AG183" s="2">
        <f>IF($W183=AG$3,$AB183,IF(NOT($W183=0),"",SUMIFS('Val-Vol (2)'!AG$4:AG$1116,'Val-Vol (2)'!$A$4:$A$1116,$D183,'Val-Vol (2)'!$V$4:$V$1116,$V183)/SUMIFS('Comp2016-2017 (3)'!$G$5:$G$289,'Comp2016-2017 (3)'!$A$5:$A$289,$D183,'Comp2016-2017 (3)'!$R$5:$R$289,$V183)*$AB183))</f>
        <v>2768.0525346723825</v>
      </c>
      <c r="AH183" s="2">
        <f>IF($W183=AH$3,$AB183,IF(NOT($W183=0),"",SUMIFS('Val-Vol (2)'!AH$4:AH$1116,'Val-Vol (2)'!$A$4:$A$1116,$D183,'Val-Vol (2)'!$V$4:$V$1116,$V183)/SUMIFS('Comp2016-2017 (3)'!$G$5:$G$289,'Comp2016-2017 (3)'!$A$5:$A$289,$D183,'Comp2016-2017 (3)'!$R$5:$R$289,$V183)*$AB183))</f>
        <v>0</v>
      </c>
      <c r="AI183" s="2">
        <f>IF($W183=AI$3,$AB183,IF(NOT($W183=0),"",SUMIFS('Val-Vol (2)'!AI$4:AI$1116,'Val-Vol (2)'!$A$4:$A$1116,$D183,'Val-Vol (2)'!$V$4:$V$1116,$V183)/SUMIFS('Comp2016-2017 (3)'!$G$5:$G$289,'Comp2016-2017 (3)'!$A$5:$A$289,$D183,'Comp2016-2017 (3)'!$R$5:$R$289,$V183)*$AB183))</f>
        <v>0</v>
      </c>
      <c r="AJ183" s="2">
        <f>IF($W183=AJ$3,$AB183,IF(NOT($W183=0),"",SUMIFS('Val-Vol (2)'!AJ$4:AJ$1116,'Val-Vol (2)'!$A$4:$A$1116,$D183,'Val-Vol (2)'!$V$4:$V$1116,$V183)/SUMIFS('Comp2016-2017 (3)'!$G$5:$G$289,'Comp2016-2017 (3)'!$A$5:$A$289,$D183,'Comp2016-2017 (3)'!$R$5:$R$289,$V183)*$AB183))</f>
        <v>976.22571181716683</v>
      </c>
      <c r="AK183" s="2">
        <f t="shared" si="16"/>
        <v>0</v>
      </c>
      <c r="AL183" t="str">
        <f t="shared" si="13"/>
        <v/>
      </c>
      <c r="AM183" t="str">
        <f>VLOOKUP(A183,'Table corresp.'!$M$4:$U$63,8,FALSE)</f>
        <v>Produits connexes du sciage</v>
      </c>
      <c r="AN183" t="str">
        <f>VLOOKUP(D183,'Table corresp.'!$M$4:$U$63,9,FALSE)</f>
        <v>Production intermédiaire</v>
      </c>
    </row>
    <row r="184" spans="1:40" x14ac:dyDescent="0.25">
      <c r="A184" t="s">
        <v>11</v>
      </c>
      <c r="B184" t="str">
        <f>VLOOKUP(LEFT(A184,3),'Table corresp.'!$A$4:$D$63,3,FALSE)</f>
        <v>Produits connexes du sciage</v>
      </c>
      <c r="C184" t="str">
        <f>VLOOKUP(A184,'Table corresp.'!$M$4:$P$63,4,FALSE)</f>
        <v>Production et transformation de produits bois</v>
      </c>
      <c r="D184" t="s">
        <v>95</v>
      </c>
      <c r="E184" t="str">
        <f>VLOOKUP(LEFT(D184,3),'Table corresp.'!$A$4:$D$63,4,FALSE)</f>
        <v>Transformation</v>
      </c>
      <c r="F184" t="str">
        <f t="shared" si="12"/>
        <v xml:space="preserve">18  - 43 </v>
      </c>
      <c r="G184" s="1">
        <v>49621.816065842177</v>
      </c>
      <c r="H184" s="1">
        <v>0</v>
      </c>
      <c r="I184" s="1">
        <v>49621.816065842177</v>
      </c>
      <c r="J184" s="1">
        <v>0</v>
      </c>
      <c r="K184" s="1">
        <v>0</v>
      </c>
      <c r="L184" s="1">
        <v>0</v>
      </c>
      <c r="M184" s="1">
        <v>1491.6275235325481</v>
      </c>
      <c r="N184" s="1">
        <v>0</v>
      </c>
      <c r="O184" s="1">
        <v>1491.6275235325481</v>
      </c>
      <c r="P184" s="1">
        <v>0</v>
      </c>
      <c r="Q184" s="1">
        <v>0</v>
      </c>
      <c r="R184" s="1">
        <v>0</v>
      </c>
      <c r="S184" s="67"/>
      <c r="T184">
        <f>VLOOKUP(A184,'Groupe de branches'!$Z$27:$AM$86,14,FALSE)</f>
        <v>0</v>
      </c>
      <c r="U184">
        <f>VLOOKUP(D184,'Groupe de branches'!$Z$27:$AM$86,14,FALSE)</f>
        <v>0</v>
      </c>
      <c r="V184">
        <v>2016</v>
      </c>
      <c r="W184" t="str">
        <f>VLOOKUP(D184,'Table corresp.'!$M$4:$S$63,7,FALSE)</f>
        <v>Pate &amp; papier &amp; carton</v>
      </c>
      <c r="X184" s="167">
        <f>IFERROR(G184/SUMIFS('Comp2016-2017 (3)'!$I$5:$I$289,'Comp2016-2017 (3)'!$A$5:$A$289,A184,'Comp2016-2017 (3)'!$R$5:$R$289,V184),0)</f>
        <v>0.52551222422291355</v>
      </c>
      <c r="Y184" s="178">
        <f>IFERROR(IF(RIGHT(F184,3)="Exp",VLOOKUP(F184,#REF!,2,FALSE),VLOOKUP(F184,#REF!,9,FALSE)),1)</f>
        <v>1</v>
      </c>
      <c r="Z184" s="167">
        <f t="shared" si="17"/>
        <v>0.25</v>
      </c>
      <c r="AA184" s="189">
        <f t="shared" si="15"/>
        <v>0.13137805605572839</v>
      </c>
      <c r="AB184" s="2">
        <f>IFERROR(SUMIFS('Comp2016-2017 (3)'!$G$5:$G$289,'Comp2016-2017 (3)'!$A$5:$A$289,A184,'Comp2016-2017 (3)'!$R$5:$R$289,V184)*AA184/SUMIFS($AA$4:$AA$1116,$A$4:$A$1116,A184,$V$4:$V$1116,V184),0)</f>
        <v>49621.817871261519</v>
      </c>
      <c r="AC184" s="2" t="str">
        <f>IF($W184=AC$3,$AB184,IF(NOT($W184=0),"",SUMIFS('Val-Vol (2)'!AC$4:AC$1116,'Val-Vol (2)'!$A$4:$A$1116,$D184,'Val-Vol (2)'!$V$4:$V$1116,$V184)/SUMIFS('Comp2016-2017 (3)'!$G$5:$G$289,'Comp2016-2017 (3)'!$A$5:$A$289,$D184,'Comp2016-2017 (3)'!$R$5:$R$289,$V184)*$AB184))</f>
        <v/>
      </c>
      <c r="AD184" s="2" t="str">
        <f>IF($W184=AD$3,$AB184,IF(NOT($W184=0),"",SUMIFS('Val-Vol (2)'!AD$4:AD$1116,'Val-Vol (2)'!$A$4:$A$1116,$D184,'Val-Vol (2)'!$V$4:$V$1116,$V184)/SUMIFS('Comp2016-2017 (3)'!$G$5:$G$289,'Comp2016-2017 (3)'!$A$5:$A$289,$D184,'Comp2016-2017 (3)'!$R$5:$R$289,$V184)*$AB184))</f>
        <v/>
      </c>
      <c r="AE184" s="2" t="str">
        <f>IF($W184=AE$3,$AB184,IF(NOT($W184=0),"",SUMIFS('Val-Vol (2)'!AE$4:AE$1116,'Val-Vol (2)'!$A$4:$A$1116,$D184,'Val-Vol (2)'!$V$4:$V$1116,$V184)/SUMIFS('Comp2016-2017 (3)'!$G$5:$G$289,'Comp2016-2017 (3)'!$A$5:$A$289,$D184,'Comp2016-2017 (3)'!$R$5:$R$289,$V184)*$AB184))</f>
        <v/>
      </c>
      <c r="AF184" s="2">
        <f>IF($W184=AF$3,$AB184,IF(NOT($W184=0),"",SUMIFS('Val-Vol (2)'!AF$4:AF$1116,'Val-Vol (2)'!$A$4:$A$1116,$D184,'Val-Vol (2)'!$V$4:$V$1116,$V184)/SUMIFS('Comp2016-2017 (3)'!$G$5:$G$289,'Comp2016-2017 (3)'!$A$5:$A$289,$D184,'Comp2016-2017 (3)'!$R$5:$R$289,$V184)*$AB184))</f>
        <v>49621.817871261519</v>
      </c>
      <c r="AG184" s="2" t="str">
        <f>IF($W184=AG$3,$AB184,IF(NOT($W184=0),"",SUMIFS('Val-Vol (2)'!AG$4:AG$1116,'Val-Vol (2)'!$A$4:$A$1116,$D184,'Val-Vol (2)'!$V$4:$V$1116,$V184)/SUMIFS('Comp2016-2017 (3)'!$G$5:$G$289,'Comp2016-2017 (3)'!$A$5:$A$289,$D184,'Comp2016-2017 (3)'!$R$5:$R$289,$V184)*$AB184))</f>
        <v/>
      </c>
      <c r="AH184" s="2" t="str">
        <f>IF($W184=AH$3,$AB184,IF(NOT($W184=0),"",SUMIFS('Val-Vol (2)'!AH$4:AH$1116,'Val-Vol (2)'!$A$4:$A$1116,$D184,'Val-Vol (2)'!$V$4:$V$1116,$V184)/SUMIFS('Comp2016-2017 (3)'!$G$5:$G$289,'Comp2016-2017 (3)'!$A$5:$A$289,$D184,'Comp2016-2017 (3)'!$R$5:$R$289,$V184)*$AB184))</f>
        <v/>
      </c>
      <c r="AI184" s="2" t="str">
        <f>IF($W184=AI$3,$AB184,IF(NOT($W184=0),"",SUMIFS('Val-Vol (2)'!AI$4:AI$1116,'Val-Vol (2)'!$A$4:$A$1116,$D184,'Val-Vol (2)'!$V$4:$V$1116,$V184)/SUMIFS('Comp2016-2017 (3)'!$G$5:$G$289,'Comp2016-2017 (3)'!$A$5:$A$289,$D184,'Comp2016-2017 (3)'!$R$5:$R$289,$V184)*$AB184))</f>
        <v/>
      </c>
      <c r="AJ184" s="2" t="str">
        <f>IF($W184=AJ$3,$AB184,IF(NOT($W184=0),"",SUMIFS('Val-Vol (2)'!AJ$4:AJ$1116,'Val-Vol (2)'!$A$4:$A$1116,$D184,'Val-Vol (2)'!$V$4:$V$1116,$V184)/SUMIFS('Comp2016-2017 (3)'!$G$5:$G$289,'Comp2016-2017 (3)'!$A$5:$A$289,$D184,'Comp2016-2017 (3)'!$R$5:$R$289,$V184)*$AB184))</f>
        <v/>
      </c>
      <c r="AK184" s="2">
        <f t="shared" si="16"/>
        <v>0</v>
      </c>
      <c r="AL184" t="str">
        <f t="shared" si="13"/>
        <v/>
      </c>
      <c r="AM184" t="str">
        <f>VLOOKUP(A184,'Table corresp.'!$M$4:$U$63,8,FALSE)</f>
        <v>Produits connexes du sciage</v>
      </c>
      <c r="AN184" t="str">
        <f>VLOOKUP(D184,'Table corresp.'!$M$4:$U$63,9,FALSE)</f>
        <v>Production intermédiaire</v>
      </c>
    </row>
    <row r="185" spans="1:40" x14ac:dyDescent="0.25">
      <c r="A185" t="s">
        <v>11</v>
      </c>
      <c r="B185" t="str">
        <f>VLOOKUP(LEFT(A185,3),'Table corresp.'!$A$4:$D$63,3,FALSE)</f>
        <v>Produits connexes du sciage</v>
      </c>
      <c r="C185" t="str">
        <f>VLOOKUP(A185,'Table corresp.'!$M$4:$P$63,4,FALSE)</f>
        <v>Production et transformation de produits bois</v>
      </c>
      <c r="D185" t="s">
        <v>98</v>
      </c>
      <c r="E185" t="str">
        <f>VLOOKUP(LEFT(D185,3),'Table corresp.'!$A$4:$D$63,4,FALSE)</f>
        <v>Transformation</v>
      </c>
      <c r="F185" t="str">
        <f t="shared" si="12"/>
        <v xml:space="preserve">18  - 46 </v>
      </c>
      <c r="G185" s="1">
        <v>2226.6435986159167</v>
      </c>
      <c r="H185" s="1">
        <v>0</v>
      </c>
      <c r="I185" s="1">
        <v>2226.6435986159167</v>
      </c>
      <c r="J185" s="1">
        <v>0</v>
      </c>
      <c r="K185" s="1">
        <v>0</v>
      </c>
      <c r="L185" s="1">
        <v>0</v>
      </c>
      <c r="M185" s="1">
        <v>66.932715086164237</v>
      </c>
      <c r="N185" s="1">
        <v>0</v>
      </c>
      <c r="O185" s="1">
        <v>66.932715086164237</v>
      </c>
      <c r="P185" s="1">
        <v>0</v>
      </c>
      <c r="Q185" s="1">
        <v>0</v>
      </c>
      <c r="R185" s="1">
        <v>0</v>
      </c>
      <c r="S185" s="67"/>
      <c r="T185">
        <f>VLOOKUP(A185,'Groupe de branches'!$Z$27:$AM$86,14,FALSE)</f>
        <v>0</v>
      </c>
      <c r="U185">
        <f>VLOOKUP(D185,'Groupe de branches'!$Z$27:$AM$86,14,FALSE)</f>
        <v>0</v>
      </c>
      <c r="V185">
        <v>2016</v>
      </c>
      <c r="W185" t="str">
        <f>VLOOKUP(D185,'Table corresp.'!$M$4:$S$63,7,FALSE)</f>
        <v>Produits de consommation courante</v>
      </c>
      <c r="X185" s="167">
        <f>IFERROR(G185/SUMIFS('Comp2016-2017 (3)'!$I$5:$I$289,'Comp2016-2017 (3)'!$A$5:$A$289,A185,'Comp2016-2017 (3)'!$R$5:$R$289,V185),0)</f>
        <v>2.3580927157275805E-2</v>
      </c>
      <c r="Y185" s="178">
        <f>IFERROR(IF(RIGHT(F185,3)="Exp",VLOOKUP(F185,#REF!,2,FALSE),VLOOKUP(F185,#REF!,9,FALSE)),1)</f>
        <v>1</v>
      </c>
      <c r="Z185" s="167">
        <f t="shared" si="17"/>
        <v>0.25</v>
      </c>
      <c r="AA185" s="189">
        <f t="shared" si="15"/>
        <v>5.8952317893189513E-3</v>
      </c>
      <c r="AB185" s="2">
        <f>IFERROR(SUMIFS('Comp2016-2017 (3)'!$G$5:$G$289,'Comp2016-2017 (3)'!$A$5:$A$289,A185,'Comp2016-2017 (3)'!$R$5:$R$289,V185)*AA185/SUMIFS($AA$4:$AA$1116,$A$4:$A$1116,A185,$V$4:$V$1116,V185),0)</f>
        <v>2226.6436796291832</v>
      </c>
      <c r="AC185" s="2" t="str">
        <f>IF($W185=AC$3,$AB185,IF(NOT($W185=0),"",SUMIFS('Val-Vol (2)'!AC$4:AC$1116,'Val-Vol (2)'!$A$4:$A$1116,$D185,'Val-Vol (2)'!$V$4:$V$1116,$V185)/SUMIFS('Comp2016-2017 (3)'!$G$5:$G$289,'Comp2016-2017 (3)'!$A$5:$A$289,$D185,'Comp2016-2017 (3)'!$R$5:$R$289,$V185)*$AB185))</f>
        <v/>
      </c>
      <c r="AD185" s="2" t="str">
        <f>IF($W185=AD$3,$AB185,IF(NOT($W185=0),"",SUMIFS('Val-Vol (2)'!AD$4:AD$1116,'Val-Vol (2)'!$A$4:$A$1116,$D185,'Val-Vol (2)'!$V$4:$V$1116,$V185)/SUMIFS('Comp2016-2017 (3)'!$G$5:$G$289,'Comp2016-2017 (3)'!$A$5:$A$289,$D185,'Comp2016-2017 (3)'!$R$5:$R$289,$V185)*$AB185))</f>
        <v/>
      </c>
      <c r="AE185" s="2" t="str">
        <f>IF($W185=AE$3,$AB185,IF(NOT($W185=0),"",SUMIFS('Val-Vol (2)'!AE$4:AE$1116,'Val-Vol (2)'!$A$4:$A$1116,$D185,'Val-Vol (2)'!$V$4:$V$1116,$V185)/SUMIFS('Comp2016-2017 (3)'!$G$5:$G$289,'Comp2016-2017 (3)'!$A$5:$A$289,$D185,'Comp2016-2017 (3)'!$R$5:$R$289,$V185)*$AB185))</f>
        <v/>
      </c>
      <c r="AF185" s="2" t="str">
        <f>IF($W185=AF$3,$AB185,IF(NOT($W185=0),"",SUMIFS('Val-Vol (2)'!AF$4:AF$1116,'Val-Vol (2)'!$A$4:$A$1116,$D185,'Val-Vol (2)'!$V$4:$V$1116,$V185)/SUMIFS('Comp2016-2017 (3)'!$G$5:$G$289,'Comp2016-2017 (3)'!$A$5:$A$289,$D185,'Comp2016-2017 (3)'!$R$5:$R$289,$V185)*$AB185))</f>
        <v/>
      </c>
      <c r="AG185" s="2" t="str">
        <f>IF($W185=AG$3,$AB185,IF(NOT($W185=0),"",SUMIFS('Val-Vol (2)'!AG$4:AG$1116,'Val-Vol (2)'!$A$4:$A$1116,$D185,'Val-Vol (2)'!$V$4:$V$1116,$V185)/SUMIFS('Comp2016-2017 (3)'!$G$5:$G$289,'Comp2016-2017 (3)'!$A$5:$A$289,$D185,'Comp2016-2017 (3)'!$R$5:$R$289,$V185)*$AB185))</f>
        <v/>
      </c>
      <c r="AH185" s="2" t="str">
        <f>IF($W185=AH$3,$AB185,IF(NOT($W185=0),"",SUMIFS('Val-Vol (2)'!AH$4:AH$1116,'Val-Vol (2)'!$A$4:$A$1116,$D185,'Val-Vol (2)'!$V$4:$V$1116,$V185)/SUMIFS('Comp2016-2017 (3)'!$G$5:$G$289,'Comp2016-2017 (3)'!$A$5:$A$289,$D185,'Comp2016-2017 (3)'!$R$5:$R$289,$V185)*$AB185))</f>
        <v/>
      </c>
      <c r="AI185" s="2">
        <f>IF($W185=AI$3,$AB185,IF(NOT($W185=0),"",SUMIFS('Val-Vol (2)'!AI$4:AI$1116,'Val-Vol (2)'!$A$4:$A$1116,$D185,'Val-Vol (2)'!$V$4:$V$1116,$V185)/SUMIFS('Comp2016-2017 (3)'!$G$5:$G$289,'Comp2016-2017 (3)'!$A$5:$A$289,$D185,'Comp2016-2017 (3)'!$R$5:$R$289,$V185)*$AB185))</f>
        <v>2226.6436796291832</v>
      </c>
      <c r="AJ185" s="2" t="str">
        <f>IF($W185=AJ$3,$AB185,IF(NOT($W185=0),"",SUMIFS('Val-Vol (2)'!AJ$4:AJ$1116,'Val-Vol (2)'!$A$4:$A$1116,$D185,'Val-Vol (2)'!$V$4:$V$1116,$V185)/SUMIFS('Comp2016-2017 (3)'!$G$5:$G$289,'Comp2016-2017 (3)'!$A$5:$A$289,$D185,'Comp2016-2017 (3)'!$R$5:$R$289,$V185)*$AB185))</f>
        <v/>
      </c>
      <c r="AK185" s="2">
        <f t="shared" si="16"/>
        <v>0</v>
      </c>
      <c r="AL185" t="str">
        <f t="shared" si="13"/>
        <v/>
      </c>
      <c r="AM185" t="str">
        <f>VLOOKUP(A185,'Table corresp.'!$M$4:$U$63,8,FALSE)</f>
        <v>Produits connexes du sciage</v>
      </c>
      <c r="AN185" t="str">
        <f>VLOOKUP(D185,'Table corresp.'!$M$4:$U$63,9,FALSE)</f>
        <v>Production intermédiaire</v>
      </c>
    </row>
    <row r="186" spans="1:40" x14ac:dyDescent="0.25">
      <c r="A186" t="s">
        <v>11</v>
      </c>
      <c r="B186" t="str">
        <f>VLOOKUP(LEFT(A186,3),'Table corresp.'!$A$4:$D$63,3,FALSE)</f>
        <v>Produits connexes du sciage</v>
      </c>
      <c r="C186" t="str">
        <f>VLOOKUP(A186,'Table corresp.'!$M$4:$P$63,4,FALSE)</f>
        <v>Production et transformation de produits bois</v>
      </c>
      <c r="D186" t="s">
        <v>53</v>
      </c>
      <c r="E186" t="str">
        <f>VLOOKUP(LEFT(D186,3),'Table corresp.'!$A$4:$D$63,4,FALSE)</f>
        <v>Exportation</v>
      </c>
      <c r="F186" t="str">
        <f t="shared" si="12"/>
        <v>18  - Exp</v>
      </c>
      <c r="G186" s="1">
        <v>8689.1679999999997</v>
      </c>
      <c r="H186" s="1">
        <v>0</v>
      </c>
      <c r="I186" s="1">
        <v>8689.1679999999997</v>
      </c>
      <c r="J186" s="1">
        <v>0</v>
      </c>
      <c r="K186" s="1">
        <v>0</v>
      </c>
      <c r="L186" s="1">
        <v>0</v>
      </c>
      <c r="M186" s="1">
        <v>272.56040907649663</v>
      </c>
      <c r="N186" s="1">
        <v>0</v>
      </c>
      <c r="O186" s="1">
        <v>272.56040907649663</v>
      </c>
      <c r="P186" s="1">
        <v>0</v>
      </c>
      <c r="Q186" s="1">
        <v>0</v>
      </c>
      <c r="R186" s="1">
        <v>0</v>
      </c>
      <c r="S186" s="67"/>
      <c r="T186">
        <f>VLOOKUP(A186,'Groupe de branches'!$Z$27:$AM$86,14,FALSE)</f>
        <v>0</v>
      </c>
      <c r="U186">
        <f>VLOOKUP(D186,'Groupe de branches'!$Z$27:$AM$86,14,FALSE)</f>
        <v>0</v>
      </c>
      <c r="V186">
        <v>2016</v>
      </c>
      <c r="W186" t="str">
        <f>VLOOKUP(D186,'Table corresp.'!$M$4:$S$63,7,FALSE)</f>
        <v>Exportation</v>
      </c>
      <c r="X186" s="167">
        <f>IFERROR(G186/SUMIFS('Comp2016-2017 (3)'!$I$5:$I$289,'Comp2016-2017 (3)'!$A$5:$A$289,A186,'Comp2016-2017 (3)'!$R$5:$R$289,V186),0)</f>
        <v>9.2021299588626135E-2</v>
      </c>
      <c r="Y186" s="178">
        <f>IFERROR(IF(RIGHT(F186,3)="Exp",VLOOKUP(F186,#REF!,2,FALSE),VLOOKUP(F186,#REF!,9,FALSE)),1)</f>
        <v>1</v>
      </c>
      <c r="Z186" s="167">
        <f t="shared" si="17"/>
        <v>0.25</v>
      </c>
      <c r="AA186" s="189">
        <f t="shared" si="15"/>
        <v>2.3005324897156534E-2</v>
      </c>
      <c r="AB186" s="2">
        <f>IFERROR(SUMIFS('Comp2016-2017 (3)'!$G$5:$G$289,'Comp2016-2017 (3)'!$A$5:$A$289,A186,'Comp2016-2017 (3)'!$R$5:$R$289,V186)*AA186/SUMIFS($AA$4:$AA$1116,$A$4:$A$1116,A186,$V$4:$V$1116,V186),0)</f>
        <v>8689.1683161430428</v>
      </c>
      <c r="AC186" s="2">
        <f>IF($W186=AC$3,$AB186,IF(NOT($W186=0),"",SUMIFS('Val-Vol (2)'!AC$4:AC$1116,'Val-Vol (2)'!$A$4:$A$1116,$D186,'Val-Vol (2)'!$V$4:$V$1116,$V186)/SUMIFS('Comp2016-2017 (3)'!$G$5:$G$289,'Comp2016-2017 (3)'!$A$5:$A$289,$D186,'Comp2016-2017 (3)'!$R$5:$R$289,$V186)*$AB186))</f>
        <v>8689.1683161430428</v>
      </c>
      <c r="AD186" s="2" t="str">
        <f>IF($W186=AD$3,$AB186,IF(NOT($W186=0),"",SUMIFS('Val-Vol (2)'!AD$4:AD$1116,'Val-Vol (2)'!$A$4:$A$1116,$D186,'Val-Vol (2)'!$V$4:$V$1116,$V186)/SUMIFS('Comp2016-2017 (3)'!$G$5:$G$289,'Comp2016-2017 (3)'!$A$5:$A$289,$D186,'Comp2016-2017 (3)'!$R$5:$R$289,$V186)*$AB186))</f>
        <v/>
      </c>
      <c r="AE186" s="2" t="str">
        <f>IF($W186=AE$3,$AB186,IF(NOT($W186=0),"",SUMIFS('Val-Vol (2)'!AE$4:AE$1116,'Val-Vol (2)'!$A$4:$A$1116,$D186,'Val-Vol (2)'!$V$4:$V$1116,$V186)/SUMIFS('Comp2016-2017 (3)'!$G$5:$G$289,'Comp2016-2017 (3)'!$A$5:$A$289,$D186,'Comp2016-2017 (3)'!$R$5:$R$289,$V186)*$AB186))</f>
        <v/>
      </c>
      <c r="AF186" s="2" t="str">
        <f>IF($W186=AF$3,$AB186,IF(NOT($W186=0),"",SUMIFS('Val-Vol (2)'!AF$4:AF$1116,'Val-Vol (2)'!$A$4:$A$1116,$D186,'Val-Vol (2)'!$V$4:$V$1116,$V186)/SUMIFS('Comp2016-2017 (3)'!$G$5:$G$289,'Comp2016-2017 (3)'!$A$5:$A$289,$D186,'Comp2016-2017 (3)'!$R$5:$R$289,$V186)*$AB186))</f>
        <v/>
      </c>
      <c r="AG186" s="2" t="str">
        <f>IF($W186=AG$3,$AB186,IF(NOT($W186=0),"",SUMIFS('Val-Vol (2)'!AG$4:AG$1116,'Val-Vol (2)'!$A$4:$A$1116,$D186,'Val-Vol (2)'!$V$4:$V$1116,$V186)/SUMIFS('Comp2016-2017 (3)'!$G$5:$G$289,'Comp2016-2017 (3)'!$A$5:$A$289,$D186,'Comp2016-2017 (3)'!$R$5:$R$289,$V186)*$AB186))</f>
        <v/>
      </c>
      <c r="AH186" s="2" t="str">
        <f>IF($W186=AH$3,$AB186,IF(NOT($W186=0),"",SUMIFS('Val-Vol (2)'!AH$4:AH$1116,'Val-Vol (2)'!$A$4:$A$1116,$D186,'Val-Vol (2)'!$V$4:$V$1116,$V186)/SUMIFS('Comp2016-2017 (3)'!$G$5:$G$289,'Comp2016-2017 (3)'!$A$5:$A$289,$D186,'Comp2016-2017 (3)'!$R$5:$R$289,$V186)*$AB186))</f>
        <v/>
      </c>
      <c r="AI186" s="2" t="str">
        <f>IF($W186=AI$3,$AB186,IF(NOT($W186=0),"",SUMIFS('Val-Vol (2)'!AI$4:AI$1116,'Val-Vol (2)'!$A$4:$A$1116,$D186,'Val-Vol (2)'!$V$4:$V$1116,$V186)/SUMIFS('Comp2016-2017 (3)'!$G$5:$G$289,'Comp2016-2017 (3)'!$A$5:$A$289,$D186,'Comp2016-2017 (3)'!$R$5:$R$289,$V186)*$AB186))</f>
        <v/>
      </c>
      <c r="AJ186" s="2" t="str">
        <f>IF($W186=AJ$3,$AB186,IF(NOT($W186=0),"",SUMIFS('Val-Vol (2)'!AJ$4:AJ$1116,'Val-Vol (2)'!$A$4:$A$1116,$D186,'Val-Vol (2)'!$V$4:$V$1116,$V186)/SUMIFS('Comp2016-2017 (3)'!$G$5:$G$289,'Comp2016-2017 (3)'!$A$5:$A$289,$D186,'Comp2016-2017 (3)'!$R$5:$R$289,$V186)*$AB186))</f>
        <v/>
      </c>
      <c r="AK186" s="2">
        <f t="shared" si="16"/>
        <v>0</v>
      </c>
      <c r="AL186" t="str">
        <f t="shared" si="13"/>
        <v/>
      </c>
      <c r="AM186" t="str">
        <f>VLOOKUP(A186,'Table corresp.'!$M$4:$U$63,8,FALSE)</f>
        <v>Produits connexes du sciage</v>
      </c>
      <c r="AN186" t="str">
        <f>VLOOKUP(D186,'Table corresp.'!$M$4:$U$63,9,FALSE)</f>
        <v>Exportation</v>
      </c>
    </row>
    <row r="187" spans="1:40" x14ac:dyDescent="0.25">
      <c r="A187" t="s">
        <v>12</v>
      </c>
      <c r="B187" t="str">
        <f>VLOOKUP(LEFT(A187,3),'Table corresp.'!$A$4:$D$63,3,FALSE)</f>
        <v>Produits connexes du sciage</v>
      </c>
      <c r="C187" t="str">
        <f>VLOOKUP(A187,'Table corresp.'!$M$4:$P$63,4,FALSE)</f>
        <v>Production et transformation de produits bois</v>
      </c>
      <c r="D187" t="s">
        <v>86</v>
      </c>
      <c r="E187" t="str">
        <f>VLOOKUP(LEFT(D187,3),'Table corresp.'!$A$4:$D$63,4,FALSE)</f>
        <v>Transformation</v>
      </c>
      <c r="F187" t="str">
        <f t="shared" si="12"/>
        <v xml:space="preserve">19  - 30 </v>
      </c>
      <c r="G187" s="1">
        <v>68293.897279355559</v>
      </c>
      <c r="H187" s="1">
        <v>5702.692</v>
      </c>
      <c r="I187" s="1">
        <v>73996.589279355554</v>
      </c>
      <c r="J187" s="1">
        <v>0</v>
      </c>
      <c r="K187" s="1">
        <v>0</v>
      </c>
      <c r="L187" s="1">
        <v>0</v>
      </c>
      <c r="M187" s="1">
        <v>0</v>
      </c>
      <c r="N187" s="1">
        <v>0</v>
      </c>
      <c r="O187" s="1">
        <v>0</v>
      </c>
      <c r="P187" s="1">
        <v>2618.188368730403</v>
      </c>
      <c r="Q187" s="1">
        <v>76.535260260722367</v>
      </c>
      <c r="R187" s="1">
        <v>2694.7236289911252</v>
      </c>
      <c r="S187" s="67" t="s">
        <v>198</v>
      </c>
      <c r="T187">
        <f>VLOOKUP(A187,'Groupe de branches'!$Z$27:$AM$86,14,FALSE)</f>
        <v>0</v>
      </c>
      <c r="U187">
        <f>VLOOKUP(D187,'Groupe de branches'!$Z$27:$AM$86,14,FALSE)</f>
        <v>1</v>
      </c>
      <c r="V187">
        <v>2016</v>
      </c>
      <c r="W187" t="str">
        <f>VLOOKUP(D187,'Table corresp.'!$M$4:$S$63,7,FALSE)</f>
        <v>Energie</v>
      </c>
      <c r="X187" s="167">
        <f>IFERROR(G187/SUMIFS('Comp2016-2017 (3)'!$I$5:$I$289,'Comp2016-2017 (3)'!$A$5:$A$289,A187,'Comp2016-2017 (3)'!$R$5:$R$289,V187),0)</f>
        <v>0.49511130160962064</v>
      </c>
      <c r="Y187" s="178">
        <f>IFERROR(IF(RIGHT(F187,3)="Exp",VLOOKUP(F187,#REF!,2,FALSE),VLOOKUP(F187,#REF!,9,FALSE)),1)</f>
        <v>1</v>
      </c>
      <c r="Z187" s="167">
        <f t="shared" si="17"/>
        <v>0.25</v>
      </c>
      <c r="AA187" s="189">
        <f t="shared" si="15"/>
        <v>0.12377782540240516</v>
      </c>
      <c r="AB187" s="2">
        <f>IFERROR(SUMIFS('Comp2016-2017 (3)'!$G$5:$G$289,'Comp2016-2017 (3)'!$A$5:$A$289,A187,'Comp2016-2017 (3)'!$R$5:$R$289,V187)*AA187/SUMIFS($AA$4:$AA$1116,$A$4:$A$1116,A187,$V$4:$V$1116,V187),0)</f>
        <v>68293.896100451151</v>
      </c>
      <c r="AC187" s="2" t="str">
        <f>IF($W187=AC$3,$AB187,IF(NOT($W187=0),"",SUMIFS('Val-Vol (2)'!AC$4:AC$1116,'Val-Vol (2)'!$A$4:$A$1116,$D187,'Val-Vol (2)'!$V$4:$V$1116,$V187)/SUMIFS('Comp2016-2017 (3)'!$G$5:$G$289,'Comp2016-2017 (3)'!$A$5:$A$289,$D187,'Comp2016-2017 (3)'!$R$5:$R$289,$V187)*$AB187))</f>
        <v/>
      </c>
      <c r="AD187" s="2" t="str">
        <f>IF($W187=AD$3,$AB187,IF(NOT($W187=0),"",SUMIFS('Val-Vol (2)'!AD$4:AD$1116,'Val-Vol (2)'!$A$4:$A$1116,$D187,'Val-Vol (2)'!$V$4:$V$1116,$V187)/SUMIFS('Comp2016-2017 (3)'!$G$5:$G$289,'Comp2016-2017 (3)'!$A$5:$A$289,$D187,'Comp2016-2017 (3)'!$R$5:$R$289,$V187)*$AB187))</f>
        <v/>
      </c>
      <c r="AE187" s="2" t="str">
        <f>IF($W187=AE$3,$AB187,IF(NOT($W187=0),"",SUMIFS('Val-Vol (2)'!AE$4:AE$1116,'Val-Vol (2)'!$A$4:$A$1116,$D187,'Val-Vol (2)'!$V$4:$V$1116,$V187)/SUMIFS('Comp2016-2017 (3)'!$G$5:$G$289,'Comp2016-2017 (3)'!$A$5:$A$289,$D187,'Comp2016-2017 (3)'!$R$5:$R$289,$V187)*$AB187))</f>
        <v/>
      </c>
      <c r="AF187" s="2" t="str">
        <f>IF($W187=AF$3,$AB187,IF(NOT($W187=0),"",SUMIFS('Val-Vol (2)'!AF$4:AF$1116,'Val-Vol (2)'!$A$4:$A$1116,$D187,'Val-Vol (2)'!$V$4:$V$1116,$V187)/SUMIFS('Comp2016-2017 (3)'!$G$5:$G$289,'Comp2016-2017 (3)'!$A$5:$A$289,$D187,'Comp2016-2017 (3)'!$R$5:$R$289,$V187)*$AB187))</f>
        <v/>
      </c>
      <c r="AG187" s="2" t="str">
        <f>IF($W187=AG$3,$AB187,IF(NOT($W187=0),"",SUMIFS('Val-Vol (2)'!AG$4:AG$1116,'Val-Vol (2)'!$A$4:$A$1116,$D187,'Val-Vol (2)'!$V$4:$V$1116,$V187)/SUMIFS('Comp2016-2017 (3)'!$G$5:$G$289,'Comp2016-2017 (3)'!$A$5:$A$289,$D187,'Comp2016-2017 (3)'!$R$5:$R$289,$V187)*$AB187))</f>
        <v/>
      </c>
      <c r="AH187" s="2">
        <f>IF($W187=AH$3,$AB187,IF(NOT($W187=0),"",SUMIFS('Val-Vol (2)'!AH$4:AH$1116,'Val-Vol (2)'!$A$4:$A$1116,$D187,'Val-Vol (2)'!$V$4:$V$1116,$V187)/SUMIFS('Comp2016-2017 (3)'!$G$5:$G$289,'Comp2016-2017 (3)'!$A$5:$A$289,$D187,'Comp2016-2017 (3)'!$R$5:$R$289,$V187)*$AB187))</f>
        <v>68293.896100451151</v>
      </c>
      <c r="AI187" s="2" t="str">
        <f>IF($W187=AI$3,$AB187,IF(NOT($W187=0),"",SUMIFS('Val-Vol (2)'!AI$4:AI$1116,'Val-Vol (2)'!$A$4:$A$1116,$D187,'Val-Vol (2)'!$V$4:$V$1116,$V187)/SUMIFS('Comp2016-2017 (3)'!$G$5:$G$289,'Comp2016-2017 (3)'!$A$5:$A$289,$D187,'Comp2016-2017 (3)'!$R$5:$R$289,$V187)*$AB187))</f>
        <v/>
      </c>
      <c r="AJ187" s="2" t="str">
        <f>IF($W187=AJ$3,$AB187,IF(NOT($W187=0),"",SUMIFS('Val-Vol (2)'!AJ$4:AJ$1116,'Val-Vol (2)'!$A$4:$A$1116,$D187,'Val-Vol (2)'!$V$4:$V$1116,$V187)/SUMIFS('Comp2016-2017 (3)'!$G$5:$G$289,'Comp2016-2017 (3)'!$A$5:$A$289,$D187,'Comp2016-2017 (3)'!$R$5:$R$289,$V187)*$AB187))</f>
        <v/>
      </c>
      <c r="AK187" s="2">
        <f t="shared" si="16"/>
        <v>0</v>
      </c>
      <c r="AL187" t="str">
        <f t="shared" si="13"/>
        <v/>
      </c>
      <c r="AM187" t="str">
        <f>VLOOKUP(A187,'Table corresp.'!$M$4:$U$63,8,FALSE)</f>
        <v>Produits connexes du sciage</v>
      </c>
      <c r="AN187" t="str">
        <f>VLOOKUP(D187,'Table corresp.'!$M$4:$U$63,9,FALSE)</f>
        <v>Production intermédiaire</v>
      </c>
    </row>
    <row r="188" spans="1:40" x14ac:dyDescent="0.25">
      <c r="A188" t="s">
        <v>12</v>
      </c>
      <c r="B188" t="str">
        <f>VLOOKUP(LEFT(A188,3),'Table corresp.'!$A$4:$D$63,3,FALSE)</f>
        <v>Produits connexes du sciage</v>
      </c>
      <c r="C188" t="str">
        <f>VLOOKUP(A188,'Table corresp.'!$M$4:$P$63,4,FALSE)</f>
        <v>Production et transformation de produits bois</v>
      </c>
      <c r="D188" t="s">
        <v>101</v>
      </c>
      <c r="E188" t="str">
        <f>VLOOKUP(LEFT(D188,3),'Table corresp.'!$A$4:$D$63,4,FALSE)</f>
        <v>Transformation</v>
      </c>
      <c r="F188" t="str">
        <f t="shared" si="12"/>
        <v xml:space="preserve">19  - 49 </v>
      </c>
      <c r="G188" s="1">
        <v>18975.245449884358</v>
      </c>
      <c r="H188" s="1">
        <v>34451.408000000003</v>
      </c>
      <c r="I188" s="1">
        <v>53426.653449884361</v>
      </c>
      <c r="J188" s="1">
        <v>0</v>
      </c>
      <c r="K188" s="1">
        <v>0</v>
      </c>
      <c r="L188" s="1">
        <v>0</v>
      </c>
      <c r="M188" s="1">
        <v>0</v>
      </c>
      <c r="N188" s="1">
        <v>0</v>
      </c>
      <c r="O188" s="1">
        <v>0</v>
      </c>
      <c r="P188" s="1">
        <v>846.27315907345167</v>
      </c>
      <c r="Q188" s="1">
        <v>462.36890886415279</v>
      </c>
      <c r="R188" s="1">
        <v>1308.6420679376045</v>
      </c>
      <c r="S188" s="67" t="s">
        <v>198</v>
      </c>
      <c r="T188">
        <f>VLOOKUP(A188,'Groupe de branches'!$Z$27:$AM$86,14,FALSE)</f>
        <v>0</v>
      </c>
      <c r="U188">
        <f>VLOOKUP(D188,'Groupe de branches'!$Z$27:$AM$86,14,FALSE)</f>
        <v>1</v>
      </c>
      <c r="V188">
        <v>2016</v>
      </c>
      <c r="W188" t="str">
        <f>VLOOKUP(D188,'Table corresp.'!$M$4:$S$63,7,FALSE)</f>
        <v>Energie</v>
      </c>
      <c r="X188" s="167">
        <f>IFERROR(G188/SUMIFS('Comp2016-2017 (3)'!$I$5:$I$289,'Comp2016-2017 (3)'!$A$5:$A$289,A188,'Comp2016-2017 (3)'!$R$5:$R$289,V188),0)</f>
        <v>0.13756512437157736</v>
      </c>
      <c r="Y188" s="178">
        <f>IFERROR(IF(RIGHT(F188,3)="Exp",VLOOKUP(F188,#REF!,2,FALSE),VLOOKUP(F188,#REF!,9,FALSE)),1)</f>
        <v>1</v>
      </c>
      <c r="Z188" s="167">
        <f t="shared" si="17"/>
        <v>0.25</v>
      </c>
      <c r="AA188" s="189">
        <f t="shared" si="15"/>
        <v>3.4391281092894341E-2</v>
      </c>
      <c r="AB188" s="2">
        <f>IFERROR(SUMIFS('Comp2016-2017 (3)'!$G$5:$G$289,'Comp2016-2017 (3)'!$A$5:$A$289,A188,'Comp2016-2017 (3)'!$R$5:$R$289,V188)*AA188/SUMIFS($AA$4:$AA$1116,$A$4:$A$1116,A188,$V$4:$V$1116,V188),0)</f>
        <v>18975.245122329463</v>
      </c>
      <c r="AC188" s="2" t="str">
        <f>IF($W188=AC$3,$AB188,IF(NOT($W188=0),"",SUMIFS('Val-Vol (2)'!AC$4:AC$1116,'Val-Vol (2)'!$A$4:$A$1116,$D188,'Val-Vol (2)'!$V$4:$V$1116,$V188)/SUMIFS('Comp2016-2017 (3)'!$G$5:$G$289,'Comp2016-2017 (3)'!$A$5:$A$289,$D188,'Comp2016-2017 (3)'!$R$5:$R$289,$V188)*$AB188))</f>
        <v/>
      </c>
      <c r="AD188" s="2" t="str">
        <f>IF($W188=AD$3,$AB188,IF(NOT($W188=0),"",SUMIFS('Val-Vol (2)'!AD$4:AD$1116,'Val-Vol (2)'!$A$4:$A$1116,$D188,'Val-Vol (2)'!$V$4:$V$1116,$V188)/SUMIFS('Comp2016-2017 (3)'!$G$5:$G$289,'Comp2016-2017 (3)'!$A$5:$A$289,$D188,'Comp2016-2017 (3)'!$R$5:$R$289,$V188)*$AB188))</f>
        <v/>
      </c>
      <c r="AE188" s="2" t="str">
        <f>IF($W188=AE$3,$AB188,IF(NOT($W188=0),"",SUMIFS('Val-Vol (2)'!AE$4:AE$1116,'Val-Vol (2)'!$A$4:$A$1116,$D188,'Val-Vol (2)'!$V$4:$V$1116,$V188)/SUMIFS('Comp2016-2017 (3)'!$G$5:$G$289,'Comp2016-2017 (3)'!$A$5:$A$289,$D188,'Comp2016-2017 (3)'!$R$5:$R$289,$V188)*$AB188))</f>
        <v/>
      </c>
      <c r="AF188" s="2" t="str">
        <f>IF($W188=AF$3,$AB188,IF(NOT($W188=0),"",SUMIFS('Val-Vol (2)'!AF$4:AF$1116,'Val-Vol (2)'!$A$4:$A$1116,$D188,'Val-Vol (2)'!$V$4:$V$1116,$V188)/SUMIFS('Comp2016-2017 (3)'!$G$5:$G$289,'Comp2016-2017 (3)'!$A$5:$A$289,$D188,'Comp2016-2017 (3)'!$R$5:$R$289,$V188)*$AB188))</f>
        <v/>
      </c>
      <c r="AG188" s="2" t="str">
        <f>IF($W188=AG$3,$AB188,IF(NOT($W188=0),"",SUMIFS('Val-Vol (2)'!AG$4:AG$1116,'Val-Vol (2)'!$A$4:$A$1116,$D188,'Val-Vol (2)'!$V$4:$V$1116,$V188)/SUMIFS('Comp2016-2017 (3)'!$G$5:$G$289,'Comp2016-2017 (3)'!$A$5:$A$289,$D188,'Comp2016-2017 (3)'!$R$5:$R$289,$V188)*$AB188))</f>
        <v/>
      </c>
      <c r="AH188" s="2">
        <f>IF($W188=AH$3,$AB188,IF(NOT($W188=0),"",SUMIFS('Val-Vol (2)'!AH$4:AH$1116,'Val-Vol (2)'!$A$4:$A$1116,$D188,'Val-Vol (2)'!$V$4:$V$1116,$V188)/SUMIFS('Comp2016-2017 (3)'!$G$5:$G$289,'Comp2016-2017 (3)'!$A$5:$A$289,$D188,'Comp2016-2017 (3)'!$R$5:$R$289,$V188)*$AB188))</f>
        <v>18975.245122329463</v>
      </c>
      <c r="AI188" s="2" t="str">
        <f>IF($W188=AI$3,$AB188,IF(NOT($W188=0),"",SUMIFS('Val-Vol (2)'!AI$4:AI$1116,'Val-Vol (2)'!$A$4:$A$1116,$D188,'Val-Vol (2)'!$V$4:$V$1116,$V188)/SUMIFS('Comp2016-2017 (3)'!$G$5:$G$289,'Comp2016-2017 (3)'!$A$5:$A$289,$D188,'Comp2016-2017 (3)'!$R$5:$R$289,$V188)*$AB188))</f>
        <v/>
      </c>
      <c r="AJ188" s="2" t="str">
        <f>IF($W188=AJ$3,$AB188,IF(NOT($W188=0),"",SUMIFS('Val-Vol (2)'!AJ$4:AJ$1116,'Val-Vol (2)'!$A$4:$A$1116,$D188,'Val-Vol (2)'!$V$4:$V$1116,$V188)/SUMIFS('Comp2016-2017 (3)'!$G$5:$G$289,'Comp2016-2017 (3)'!$A$5:$A$289,$D188,'Comp2016-2017 (3)'!$R$5:$R$289,$V188)*$AB188))</f>
        <v/>
      </c>
      <c r="AK188" s="2">
        <f t="shared" si="16"/>
        <v>0</v>
      </c>
      <c r="AL188" t="str">
        <f t="shared" si="13"/>
        <v/>
      </c>
      <c r="AM188" t="str">
        <f>VLOOKUP(A188,'Table corresp.'!$M$4:$U$63,8,FALSE)</f>
        <v>Produits connexes du sciage</v>
      </c>
      <c r="AN188" t="str">
        <f>VLOOKUP(D188,'Table corresp.'!$M$4:$U$63,9,FALSE)</f>
        <v>Production finale</v>
      </c>
    </row>
    <row r="189" spans="1:40" x14ac:dyDescent="0.25">
      <c r="A189" t="s">
        <v>12</v>
      </c>
      <c r="B189" t="str">
        <f>VLOOKUP(LEFT(A189,3),'Table corresp.'!$A$4:$D$63,3,FALSE)</f>
        <v>Produits connexes du sciage</v>
      </c>
      <c r="C189" t="str">
        <f>VLOOKUP(A189,'Table corresp.'!$M$4:$P$63,4,FALSE)</f>
        <v>Production et transformation de produits bois</v>
      </c>
      <c r="D189" t="s">
        <v>54</v>
      </c>
      <c r="E189" t="str">
        <f>VLOOKUP(LEFT(D189,3),'Table corresp.'!$A$4:$D$63,4,FALSE)</f>
        <v>Consommation finale</v>
      </c>
      <c r="F189" t="str">
        <f t="shared" si="12"/>
        <v>19  - Con</v>
      </c>
      <c r="G189" s="1">
        <v>15322.400651849786</v>
      </c>
      <c r="H189" s="1">
        <v>8879.1540000000005</v>
      </c>
      <c r="I189" s="1">
        <v>24201.554651849787</v>
      </c>
      <c r="J189" s="1">
        <v>0</v>
      </c>
      <c r="K189" s="1">
        <v>0</v>
      </c>
      <c r="L189" s="1">
        <v>0</v>
      </c>
      <c r="M189" s="1">
        <v>0</v>
      </c>
      <c r="N189" s="1">
        <v>0</v>
      </c>
      <c r="O189" s="1">
        <v>0</v>
      </c>
      <c r="P189" s="1">
        <v>683.36066790161397</v>
      </c>
      <c r="Q189" s="1">
        <v>119.16623978377827</v>
      </c>
      <c r="R189" s="1">
        <v>802.52690768539219</v>
      </c>
      <c r="S189" s="67" t="s">
        <v>198</v>
      </c>
      <c r="T189">
        <f>VLOOKUP(A189,'Groupe de branches'!$Z$27:$AM$86,14,FALSE)</f>
        <v>0</v>
      </c>
      <c r="U189">
        <f>VLOOKUP(D189,'Groupe de branches'!$Z$27:$AM$86,14,FALSE)</f>
        <v>0</v>
      </c>
      <c r="V189">
        <v>2016</v>
      </c>
      <c r="W189" t="str">
        <f>VLOOKUP(D189,'Table corresp.'!$M$4:$S$63,7,FALSE)</f>
        <v>Consommation finale</v>
      </c>
      <c r="X189" s="167">
        <f>IFERROR(G189/SUMIFS('Comp2016-2017 (3)'!$I$5:$I$289,'Comp2016-2017 (3)'!$A$5:$A$289,A189,'Comp2016-2017 (3)'!$R$5:$R$289,V189),0)</f>
        <v>0.11108304010664061</v>
      </c>
      <c r="Y189" s="178">
        <f>IFERROR(IF(RIGHT(F189,3)="Exp",VLOOKUP(F189,#REF!,2,FALSE),VLOOKUP(F189,#REF!,9,FALSE)),1)</f>
        <v>1</v>
      </c>
      <c r="Z189" s="167">
        <f t="shared" si="17"/>
        <v>0.25</v>
      </c>
      <c r="AA189" s="189">
        <f t="shared" si="15"/>
        <v>2.7770760026660152E-2</v>
      </c>
      <c r="AB189" s="2">
        <f>IFERROR(SUMIFS('Comp2016-2017 (3)'!$G$5:$G$289,'Comp2016-2017 (3)'!$A$5:$A$289,A189,'Comp2016-2017 (3)'!$R$5:$R$289,V189)*AA189/SUMIFS($AA$4:$AA$1116,$A$4:$A$1116,A189,$V$4:$V$1116,V189),0)</f>
        <v>15322.400387351108</v>
      </c>
      <c r="AC189" s="2" t="str">
        <f>IF($W189=AC$3,$AB189,IF(NOT($W189=0),"",SUMIFS('Val-Vol (2)'!AC$4:AC$1116,'Val-Vol (2)'!$A$4:$A$1116,$D189,'Val-Vol (2)'!$V$4:$V$1116,$V189)/SUMIFS('Comp2016-2017 (3)'!$G$5:$G$289,'Comp2016-2017 (3)'!$A$5:$A$289,$D189,'Comp2016-2017 (3)'!$R$5:$R$289,$V189)*$AB189))</f>
        <v/>
      </c>
      <c r="AD189" s="2" t="str">
        <f>IF($W189=AD$3,$AB189,IF(NOT($W189=0),"",SUMIFS('Val-Vol (2)'!AD$4:AD$1116,'Val-Vol (2)'!$A$4:$A$1116,$D189,'Val-Vol (2)'!$V$4:$V$1116,$V189)/SUMIFS('Comp2016-2017 (3)'!$G$5:$G$289,'Comp2016-2017 (3)'!$A$5:$A$289,$D189,'Comp2016-2017 (3)'!$R$5:$R$289,$V189)*$AB189))</f>
        <v/>
      </c>
      <c r="AE189" s="2" t="str">
        <f>IF($W189=AE$3,$AB189,IF(NOT($W189=0),"",SUMIFS('Val-Vol (2)'!AE$4:AE$1116,'Val-Vol (2)'!$A$4:$A$1116,$D189,'Val-Vol (2)'!$V$4:$V$1116,$V189)/SUMIFS('Comp2016-2017 (3)'!$G$5:$G$289,'Comp2016-2017 (3)'!$A$5:$A$289,$D189,'Comp2016-2017 (3)'!$R$5:$R$289,$V189)*$AB189))</f>
        <v/>
      </c>
      <c r="AF189" s="2" t="str">
        <f>IF($W189=AF$3,$AB189,IF(NOT($W189=0),"",SUMIFS('Val-Vol (2)'!AF$4:AF$1116,'Val-Vol (2)'!$A$4:$A$1116,$D189,'Val-Vol (2)'!$V$4:$V$1116,$V189)/SUMIFS('Comp2016-2017 (3)'!$G$5:$G$289,'Comp2016-2017 (3)'!$A$5:$A$289,$D189,'Comp2016-2017 (3)'!$R$5:$R$289,$V189)*$AB189))</f>
        <v/>
      </c>
      <c r="AG189" s="2" t="str">
        <f>IF($W189=AG$3,$AB189,IF(NOT($W189=0),"",SUMIFS('Val-Vol (2)'!AG$4:AG$1116,'Val-Vol (2)'!$A$4:$A$1116,$D189,'Val-Vol (2)'!$V$4:$V$1116,$V189)/SUMIFS('Comp2016-2017 (3)'!$G$5:$G$289,'Comp2016-2017 (3)'!$A$5:$A$289,$D189,'Comp2016-2017 (3)'!$R$5:$R$289,$V189)*$AB189))</f>
        <v/>
      </c>
      <c r="AH189" s="2" t="str">
        <f>IF($W189=AH$3,$AB189,IF(NOT($W189=0),"",SUMIFS('Val-Vol (2)'!AH$4:AH$1116,'Val-Vol (2)'!$A$4:$A$1116,$D189,'Val-Vol (2)'!$V$4:$V$1116,$V189)/SUMIFS('Comp2016-2017 (3)'!$G$5:$G$289,'Comp2016-2017 (3)'!$A$5:$A$289,$D189,'Comp2016-2017 (3)'!$R$5:$R$289,$V189)*$AB189))</f>
        <v/>
      </c>
      <c r="AI189" s="2" t="str">
        <f>IF($W189=AI$3,$AB189,IF(NOT($W189=0),"",SUMIFS('Val-Vol (2)'!AI$4:AI$1116,'Val-Vol (2)'!$A$4:$A$1116,$D189,'Val-Vol (2)'!$V$4:$V$1116,$V189)/SUMIFS('Comp2016-2017 (3)'!$G$5:$G$289,'Comp2016-2017 (3)'!$A$5:$A$289,$D189,'Comp2016-2017 (3)'!$R$5:$R$289,$V189)*$AB189))</f>
        <v/>
      </c>
      <c r="AJ189" s="2">
        <f>IF($W189=AJ$3,$AB189,IF(NOT($W189=0),"",SUMIFS('Val-Vol (2)'!AJ$4:AJ$1116,'Val-Vol (2)'!$A$4:$A$1116,$D189,'Val-Vol (2)'!$V$4:$V$1116,$V189)/SUMIFS('Comp2016-2017 (3)'!$G$5:$G$289,'Comp2016-2017 (3)'!$A$5:$A$289,$D189,'Comp2016-2017 (3)'!$R$5:$R$289,$V189)*$AB189))</f>
        <v>15322.400387351108</v>
      </c>
      <c r="AK189" s="2">
        <f t="shared" si="16"/>
        <v>0</v>
      </c>
      <c r="AL189" t="str">
        <f t="shared" si="13"/>
        <v/>
      </c>
      <c r="AM189" t="str">
        <f>VLOOKUP(A189,'Table corresp.'!$M$4:$U$63,8,FALSE)</f>
        <v>Produits connexes du sciage</v>
      </c>
      <c r="AN189" t="str">
        <f>VLOOKUP(D189,'Table corresp.'!$M$4:$U$63,9,FALSE)</f>
        <v>Consommation finale française</v>
      </c>
    </row>
    <row r="190" spans="1:40" x14ac:dyDescent="0.25">
      <c r="A190" t="s">
        <v>12</v>
      </c>
      <c r="B190" t="str">
        <f>VLOOKUP(LEFT(A190,3),'Table corresp.'!$A$4:$D$63,3,FALSE)</f>
        <v>Produits connexes du sciage</v>
      </c>
      <c r="C190" t="str">
        <f>VLOOKUP(A190,'Table corresp.'!$M$4:$P$63,4,FALSE)</f>
        <v>Production et transformation de produits bois</v>
      </c>
      <c r="D190" t="s">
        <v>53</v>
      </c>
      <c r="E190" t="str">
        <f>VLOOKUP(LEFT(D190,3),'Table corresp.'!$A$4:$D$63,4,FALSE)</f>
        <v>Exportation</v>
      </c>
      <c r="F190" t="str">
        <f t="shared" si="12"/>
        <v>19  - Exp</v>
      </c>
      <c r="G190" s="1">
        <v>35344.913</v>
      </c>
      <c r="H190" s="1">
        <v>0</v>
      </c>
      <c r="I190" s="1">
        <v>35344.913</v>
      </c>
      <c r="J190" s="1">
        <v>0</v>
      </c>
      <c r="K190" s="1">
        <v>0</v>
      </c>
      <c r="L190" s="1">
        <v>0</v>
      </c>
      <c r="M190" s="1">
        <v>0</v>
      </c>
      <c r="N190" s="1">
        <v>0</v>
      </c>
      <c r="O190" s="1">
        <v>0</v>
      </c>
      <c r="P190" s="1">
        <v>477.04302644030935</v>
      </c>
      <c r="Q190" s="1">
        <v>0</v>
      </c>
      <c r="R190" s="1">
        <v>477.04302644030935</v>
      </c>
      <c r="S190" s="67" t="s">
        <v>198</v>
      </c>
      <c r="T190">
        <f>VLOOKUP(A190,'Groupe de branches'!$Z$27:$AM$86,14,FALSE)</f>
        <v>0</v>
      </c>
      <c r="U190">
        <f>VLOOKUP(D190,'Groupe de branches'!$Z$27:$AM$86,14,FALSE)</f>
        <v>0</v>
      </c>
      <c r="V190">
        <v>2016</v>
      </c>
      <c r="W190" t="str">
        <f>VLOOKUP(D190,'Table corresp.'!$M$4:$S$63,7,FALSE)</f>
        <v>Exportation</v>
      </c>
      <c r="X190" s="167">
        <f>IFERROR(G190/SUMIFS('Comp2016-2017 (3)'!$I$5:$I$289,'Comp2016-2017 (3)'!$A$5:$A$289,A190,'Comp2016-2017 (3)'!$R$5:$R$289,V190),0)</f>
        <v>0.25624055117438355</v>
      </c>
      <c r="Y190" s="178">
        <f>IFERROR(IF(RIGHT(F190,3)="Exp",VLOOKUP(F190,#REF!,2,FALSE),VLOOKUP(F190,#REF!,9,FALSE)),1)</f>
        <v>1</v>
      </c>
      <c r="Z190" s="167">
        <f t="shared" si="17"/>
        <v>0.25</v>
      </c>
      <c r="AA190" s="189">
        <f t="shared" si="15"/>
        <v>6.4060137793595887E-2</v>
      </c>
      <c r="AB190" s="2">
        <f>IFERROR(SUMIFS('Comp2016-2017 (3)'!$G$5:$G$289,'Comp2016-2017 (3)'!$A$5:$A$289,A190,'Comp2016-2017 (3)'!$R$5:$R$289,V190)*AA190/SUMIFS($AA$4:$AA$1116,$A$4:$A$1116,A190,$V$4:$V$1116,V190),0)</f>
        <v>35344.912389868274</v>
      </c>
      <c r="AC190" s="2">
        <f>IF($W190=AC$3,$AB190,IF(NOT($W190=0),"",SUMIFS('Val-Vol (2)'!AC$4:AC$1116,'Val-Vol (2)'!$A$4:$A$1116,$D190,'Val-Vol (2)'!$V$4:$V$1116,$V190)/SUMIFS('Comp2016-2017 (3)'!$G$5:$G$289,'Comp2016-2017 (3)'!$A$5:$A$289,$D190,'Comp2016-2017 (3)'!$R$5:$R$289,$V190)*$AB190))</f>
        <v>35344.912389868274</v>
      </c>
      <c r="AD190" s="2" t="str">
        <f>IF($W190=AD$3,$AB190,IF(NOT($W190=0),"",SUMIFS('Val-Vol (2)'!AD$4:AD$1116,'Val-Vol (2)'!$A$4:$A$1116,$D190,'Val-Vol (2)'!$V$4:$V$1116,$V190)/SUMIFS('Comp2016-2017 (3)'!$G$5:$G$289,'Comp2016-2017 (3)'!$A$5:$A$289,$D190,'Comp2016-2017 (3)'!$R$5:$R$289,$V190)*$AB190))</f>
        <v/>
      </c>
      <c r="AE190" s="2" t="str">
        <f>IF($W190=AE$3,$AB190,IF(NOT($W190=0),"",SUMIFS('Val-Vol (2)'!AE$4:AE$1116,'Val-Vol (2)'!$A$4:$A$1116,$D190,'Val-Vol (2)'!$V$4:$V$1116,$V190)/SUMIFS('Comp2016-2017 (3)'!$G$5:$G$289,'Comp2016-2017 (3)'!$A$5:$A$289,$D190,'Comp2016-2017 (3)'!$R$5:$R$289,$V190)*$AB190))</f>
        <v/>
      </c>
      <c r="AF190" s="2" t="str">
        <f>IF($W190=AF$3,$AB190,IF(NOT($W190=0),"",SUMIFS('Val-Vol (2)'!AF$4:AF$1116,'Val-Vol (2)'!$A$4:$A$1116,$D190,'Val-Vol (2)'!$V$4:$V$1116,$V190)/SUMIFS('Comp2016-2017 (3)'!$G$5:$G$289,'Comp2016-2017 (3)'!$A$5:$A$289,$D190,'Comp2016-2017 (3)'!$R$5:$R$289,$V190)*$AB190))</f>
        <v/>
      </c>
      <c r="AG190" s="2" t="str">
        <f>IF($W190=AG$3,$AB190,IF(NOT($W190=0),"",SUMIFS('Val-Vol (2)'!AG$4:AG$1116,'Val-Vol (2)'!$A$4:$A$1116,$D190,'Val-Vol (2)'!$V$4:$V$1116,$V190)/SUMIFS('Comp2016-2017 (3)'!$G$5:$G$289,'Comp2016-2017 (3)'!$A$5:$A$289,$D190,'Comp2016-2017 (3)'!$R$5:$R$289,$V190)*$AB190))</f>
        <v/>
      </c>
      <c r="AH190" s="2" t="str">
        <f>IF($W190=AH$3,$AB190,IF(NOT($W190=0),"",SUMIFS('Val-Vol (2)'!AH$4:AH$1116,'Val-Vol (2)'!$A$4:$A$1116,$D190,'Val-Vol (2)'!$V$4:$V$1116,$V190)/SUMIFS('Comp2016-2017 (3)'!$G$5:$G$289,'Comp2016-2017 (3)'!$A$5:$A$289,$D190,'Comp2016-2017 (3)'!$R$5:$R$289,$V190)*$AB190))</f>
        <v/>
      </c>
      <c r="AI190" s="2" t="str">
        <f>IF($W190=AI$3,$AB190,IF(NOT($W190=0),"",SUMIFS('Val-Vol (2)'!AI$4:AI$1116,'Val-Vol (2)'!$A$4:$A$1116,$D190,'Val-Vol (2)'!$V$4:$V$1116,$V190)/SUMIFS('Comp2016-2017 (3)'!$G$5:$G$289,'Comp2016-2017 (3)'!$A$5:$A$289,$D190,'Comp2016-2017 (3)'!$R$5:$R$289,$V190)*$AB190))</f>
        <v/>
      </c>
      <c r="AJ190" s="2" t="str">
        <f>IF($W190=AJ$3,$AB190,IF(NOT($W190=0),"",SUMIFS('Val-Vol (2)'!AJ$4:AJ$1116,'Val-Vol (2)'!$A$4:$A$1116,$D190,'Val-Vol (2)'!$V$4:$V$1116,$V190)/SUMIFS('Comp2016-2017 (3)'!$G$5:$G$289,'Comp2016-2017 (3)'!$A$5:$A$289,$D190,'Comp2016-2017 (3)'!$R$5:$R$289,$V190)*$AB190))</f>
        <v/>
      </c>
      <c r="AK190" s="2">
        <f t="shared" si="16"/>
        <v>0</v>
      </c>
      <c r="AL190" t="str">
        <f t="shared" si="13"/>
        <v/>
      </c>
      <c r="AM190" t="str">
        <f>VLOOKUP(A190,'Table corresp.'!$M$4:$U$63,8,FALSE)</f>
        <v>Produits connexes du sciage</v>
      </c>
      <c r="AN190" t="str">
        <f>VLOOKUP(D190,'Table corresp.'!$M$4:$U$63,9,FALSE)</f>
        <v>Exportation</v>
      </c>
    </row>
    <row r="191" spans="1:40" x14ac:dyDescent="0.25">
      <c r="A191" t="s">
        <v>13</v>
      </c>
      <c r="B191" t="str">
        <f>VLOOKUP(LEFT(A191,3),'Table corresp.'!$A$4:$D$63,3,FALSE)</f>
        <v>Transformation</v>
      </c>
      <c r="C191" t="str">
        <f>VLOOKUP(A191,'Table corresp.'!$M$4:$P$63,4,FALSE)</f>
        <v>Production et transformation de produits bois</v>
      </c>
      <c r="D191" t="s">
        <v>85</v>
      </c>
      <c r="E191" t="str">
        <f>VLOOKUP(LEFT(D191,3),'Table corresp.'!$A$4:$D$63,4,FALSE)</f>
        <v>Transformation</v>
      </c>
      <c r="F191" t="str">
        <f t="shared" si="12"/>
        <v xml:space="preserve">20  - 29 </v>
      </c>
      <c r="G191" s="1">
        <v>101216.65331502008</v>
      </c>
      <c r="H191" s="1">
        <v>35241.346684979908</v>
      </c>
      <c r="I191" s="1">
        <v>136458</v>
      </c>
      <c r="J191" s="1">
        <v>595.79250110273438</v>
      </c>
      <c r="K191" s="1">
        <v>260.72156396654009</v>
      </c>
      <c r="L191" s="1">
        <v>856.51406506927447</v>
      </c>
      <c r="M191" s="1">
        <v>0</v>
      </c>
      <c r="N191" s="1">
        <v>0</v>
      </c>
      <c r="O191" s="1">
        <v>0</v>
      </c>
      <c r="P191" s="1">
        <v>0</v>
      </c>
      <c r="Q191" s="1">
        <v>0</v>
      </c>
      <c r="R191" s="1">
        <v>0</v>
      </c>
      <c r="S191" s="67"/>
      <c r="T191">
        <f>VLOOKUP(A191,'Groupe de branches'!$Z$27:$AM$86,14,FALSE)</f>
        <v>0</v>
      </c>
      <c r="U191">
        <f>VLOOKUP(D191,'Groupe de branches'!$Z$27:$AM$86,14,FALSE)</f>
        <v>0</v>
      </c>
      <c r="V191">
        <v>2016</v>
      </c>
      <c r="W191" t="str">
        <f>VLOOKUP(D191,'Table corresp.'!$M$4:$S$63,7,FALSE)</f>
        <v>Construction</v>
      </c>
      <c r="X191" s="167">
        <f>IFERROR(G191/SUMIFS('Comp2016-2017 (3)'!$I$5:$I$289,'Comp2016-2017 (3)'!$A$5:$A$289,A191,'Comp2016-2017 (3)'!$R$5:$R$289,V191),0)</f>
        <v>0.14582430963120599</v>
      </c>
      <c r="Y191" s="178">
        <f>IFERROR(IF(RIGHT(F191,3)="Exp",VLOOKUP(F191,#REF!,2,FALSE),VLOOKUP(F191,#REF!,9,FALSE)),1)</f>
        <v>1</v>
      </c>
      <c r="Z191" s="167">
        <f t="shared" si="17"/>
        <v>0.1</v>
      </c>
      <c r="AA191" s="189">
        <f t="shared" si="15"/>
        <v>1.4582430963120599E-2</v>
      </c>
      <c r="AB191" s="2">
        <f>IFERROR(SUMIFS('Comp2016-2017 (3)'!$G$5:$G$289,'Comp2016-2017 (3)'!$A$5:$A$289,A191,'Comp2016-2017 (3)'!$R$5:$R$289,V191)*AA191/SUMIFS($AA$4:$AA$1116,$A$4:$A$1116,A191,$V$4:$V$1116,V191),0)</f>
        <v>19344.158579305215</v>
      </c>
      <c r="AC191" s="2" t="str">
        <f>IF($W191=AC$3,$AB191,IF(NOT($W191=0),"",SUMIFS('Val-Vol (2)'!AC$4:AC$1116,'Val-Vol (2)'!$A$4:$A$1116,$D191,'Val-Vol (2)'!$V$4:$V$1116,$V191)/SUMIFS('Comp2016-2017 (3)'!$G$5:$G$289,'Comp2016-2017 (3)'!$A$5:$A$289,$D191,'Comp2016-2017 (3)'!$R$5:$R$289,$V191)*$AB191))</f>
        <v/>
      </c>
      <c r="AD191" s="2">
        <f>IF($W191=AD$3,$AB191,IF(NOT($W191=0),"",SUMIFS('Val-Vol (2)'!AD$4:AD$1116,'Val-Vol (2)'!$A$4:$A$1116,$D191,'Val-Vol (2)'!$V$4:$V$1116,$V191)/SUMIFS('Comp2016-2017 (3)'!$G$5:$G$289,'Comp2016-2017 (3)'!$A$5:$A$289,$D191,'Comp2016-2017 (3)'!$R$5:$R$289,$V191)*$AB191))</f>
        <v>19344.158579305215</v>
      </c>
      <c r="AE191" s="2" t="str">
        <f>IF($W191=AE$3,$AB191,IF(NOT($W191=0),"",SUMIFS('Val-Vol (2)'!AE$4:AE$1116,'Val-Vol (2)'!$A$4:$A$1116,$D191,'Val-Vol (2)'!$V$4:$V$1116,$V191)/SUMIFS('Comp2016-2017 (3)'!$G$5:$G$289,'Comp2016-2017 (3)'!$A$5:$A$289,$D191,'Comp2016-2017 (3)'!$R$5:$R$289,$V191)*$AB191))</f>
        <v/>
      </c>
      <c r="AF191" s="2" t="str">
        <f>IF($W191=AF$3,$AB191,IF(NOT($W191=0),"",SUMIFS('Val-Vol (2)'!AF$4:AF$1116,'Val-Vol (2)'!$A$4:$A$1116,$D191,'Val-Vol (2)'!$V$4:$V$1116,$V191)/SUMIFS('Comp2016-2017 (3)'!$G$5:$G$289,'Comp2016-2017 (3)'!$A$5:$A$289,$D191,'Comp2016-2017 (3)'!$R$5:$R$289,$V191)*$AB191))</f>
        <v/>
      </c>
      <c r="AG191" s="2" t="str">
        <f>IF($W191=AG$3,$AB191,IF(NOT($W191=0),"",SUMIFS('Val-Vol (2)'!AG$4:AG$1116,'Val-Vol (2)'!$A$4:$A$1116,$D191,'Val-Vol (2)'!$V$4:$V$1116,$V191)/SUMIFS('Comp2016-2017 (3)'!$G$5:$G$289,'Comp2016-2017 (3)'!$A$5:$A$289,$D191,'Comp2016-2017 (3)'!$R$5:$R$289,$V191)*$AB191))</f>
        <v/>
      </c>
      <c r="AH191" s="2" t="str">
        <f>IF($W191=AH$3,$AB191,IF(NOT($W191=0),"",SUMIFS('Val-Vol (2)'!AH$4:AH$1116,'Val-Vol (2)'!$A$4:$A$1116,$D191,'Val-Vol (2)'!$V$4:$V$1116,$V191)/SUMIFS('Comp2016-2017 (3)'!$G$5:$G$289,'Comp2016-2017 (3)'!$A$5:$A$289,$D191,'Comp2016-2017 (3)'!$R$5:$R$289,$V191)*$AB191))</f>
        <v/>
      </c>
      <c r="AI191" s="2" t="str">
        <f>IF($W191=AI$3,$AB191,IF(NOT($W191=0),"",SUMIFS('Val-Vol (2)'!AI$4:AI$1116,'Val-Vol (2)'!$A$4:$A$1116,$D191,'Val-Vol (2)'!$V$4:$V$1116,$V191)/SUMIFS('Comp2016-2017 (3)'!$G$5:$G$289,'Comp2016-2017 (3)'!$A$5:$A$289,$D191,'Comp2016-2017 (3)'!$R$5:$R$289,$V191)*$AB191))</f>
        <v/>
      </c>
      <c r="AJ191" s="2" t="str">
        <f>IF($W191=AJ$3,$AB191,IF(NOT($W191=0),"",SUMIFS('Val-Vol (2)'!AJ$4:AJ$1116,'Val-Vol (2)'!$A$4:$A$1116,$D191,'Val-Vol (2)'!$V$4:$V$1116,$V191)/SUMIFS('Comp2016-2017 (3)'!$G$5:$G$289,'Comp2016-2017 (3)'!$A$5:$A$289,$D191,'Comp2016-2017 (3)'!$R$5:$R$289,$V191)*$AB191))</f>
        <v/>
      </c>
      <c r="AK191" s="2">
        <f t="shared" si="16"/>
        <v>0</v>
      </c>
      <c r="AL191" t="str">
        <f t="shared" si="13"/>
        <v/>
      </c>
      <c r="AM191" t="str">
        <f>VLOOKUP(A191,'Table corresp.'!$M$4:$U$63,8,FALSE)</f>
        <v>Production intermédiaire</v>
      </c>
      <c r="AN191" t="str">
        <f>VLOOKUP(D191,'Table corresp.'!$M$4:$U$63,9,FALSE)</f>
        <v>Production intermédiaire</v>
      </c>
    </row>
    <row r="192" spans="1:40" x14ac:dyDescent="0.25">
      <c r="A192" t="s">
        <v>13</v>
      </c>
      <c r="B192" t="str">
        <f>VLOOKUP(LEFT(A192,3),'Table corresp.'!$A$4:$D$63,3,FALSE)</f>
        <v>Transformation</v>
      </c>
      <c r="C192" t="str">
        <f>VLOOKUP(A192,'Table corresp.'!$M$4:$P$63,4,FALSE)</f>
        <v>Production et transformation de produits bois</v>
      </c>
      <c r="D192" t="s">
        <v>15</v>
      </c>
      <c r="E192" t="str">
        <f>VLOOKUP(LEFT(D192,3),'Table corresp.'!$A$4:$D$63,4,FALSE)</f>
        <v>Transformation</v>
      </c>
      <c r="F192" t="str">
        <f t="shared" si="12"/>
        <v xml:space="preserve">20  - 35 </v>
      </c>
      <c r="G192" s="1">
        <v>2666.6026167122436</v>
      </c>
      <c r="H192" s="1">
        <v>928.45064728775583</v>
      </c>
      <c r="I192" s="1">
        <v>3595.0532639999992</v>
      </c>
      <c r="J192" s="1">
        <v>15.696447080831527</v>
      </c>
      <c r="K192" s="1">
        <v>4.7689361669952248</v>
      </c>
      <c r="L192" s="1">
        <v>20.46538324782675</v>
      </c>
      <c r="M192" s="1">
        <v>0</v>
      </c>
      <c r="N192" s="1">
        <v>0</v>
      </c>
      <c r="O192" s="1">
        <v>0</v>
      </c>
      <c r="P192" s="1">
        <v>0</v>
      </c>
      <c r="Q192" s="1">
        <v>0</v>
      </c>
      <c r="R192" s="1">
        <v>0</v>
      </c>
      <c r="S192" s="67"/>
      <c r="T192">
        <f>VLOOKUP(A192,'Groupe de branches'!$Z$27:$AM$86,14,FALSE)</f>
        <v>0</v>
      </c>
      <c r="U192">
        <f>VLOOKUP(D192,'Groupe de branches'!$Z$27:$AM$86,14,FALSE)</f>
        <v>0</v>
      </c>
      <c r="V192">
        <v>2016</v>
      </c>
      <c r="W192" t="str">
        <f>VLOOKUP(D192,'Table corresp.'!$M$4:$S$63,7,FALSE)</f>
        <v>Construction</v>
      </c>
      <c r="X192" s="167">
        <f>IFERROR(G192/SUMIFS('Comp2016-2017 (3)'!$I$5:$I$289,'Comp2016-2017 (3)'!$A$5:$A$289,A192,'Comp2016-2017 (3)'!$R$5:$R$289,V192),0)</f>
        <v>3.8418133074661341E-3</v>
      </c>
      <c r="Y192" s="178">
        <f>IFERROR(IF(RIGHT(F192,3)="Exp",VLOOKUP(F192,#REF!,2,FALSE),VLOOKUP(F192,#REF!,9,FALSE)),1)</f>
        <v>1</v>
      </c>
      <c r="Z192" s="167">
        <f t="shared" si="17"/>
        <v>0.1</v>
      </c>
      <c r="AA192" s="189">
        <f t="shared" si="15"/>
        <v>3.8418133074661341E-4</v>
      </c>
      <c r="AB192" s="2">
        <f>IFERROR(SUMIFS('Comp2016-2017 (3)'!$G$5:$G$289,'Comp2016-2017 (3)'!$A$5:$A$289,A192,'Comp2016-2017 (3)'!$R$5:$R$289,V192)*AA192/SUMIFS($AA$4:$AA$1116,$A$4:$A$1116,A192,$V$4:$V$1116,V192),0)</f>
        <v>509.63139163599641</v>
      </c>
      <c r="AC192" s="2" t="str">
        <f>IF($W192=AC$3,$AB192,IF(NOT($W192=0),"",SUMIFS('Val-Vol (2)'!AC$4:AC$1116,'Val-Vol (2)'!$A$4:$A$1116,$D192,'Val-Vol (2)'!$V$4:$V$1116,$V192)/SUMIFS('Comp2016-2017 (3)'!$G$5:$G$289,'Comp2016-2017 (3)'!$A$5:$A$289,$D192,'Comp2016-2017 (3)'!$R$5:$R$289,$V192)*$AB192))</f>
        <v/>
      </c>
      <c r="AD192" s="2">
        <f>IF($W192=AD$3,$AB192,IF(NOT($W192=0),"",SUMIFS('Val-Vol (2)'!AD$4:AD$1116,'Val-Vol (2)'!$A$4:$A$1116,$D192,'Val-Vol (2)'!$V$4:$V$1116,$V192)/SUMIFS('Comp2016-2017 (3)'!$G$5:$G$289,'Comp2016-2017 (3)'!$A$5:$A$289,$D192,'Comp2016-2017 (3)'!$R$5:$R$289,$V192)*$AB192))</f>
        <v>509.63139163599641</v>
      </c>
      <c r="AE192" s="2" t="str">
        <f>IF($W192=AE$3,$AB192,IF(NOT($W192=0),"",SUMIFS('Val-Vol (2)'!AE$4:AE$1116,'Val-Vol (2)'!$A$4:$A$1116,$D192,'Val-Vol (2)'!$V$4:$V$1116,$V192)/SUMIFS('Comp2016-2017 (3)'!$G$5:$G$289,'Comp2016-2017 (3)'!$A$5:$A$289,$D192,'Comp2016-2017 (3)'!$R$5:$R$289,$V192)*$AB192))</f>
        <v/>
      </c>
      <c r="AF192" s="2" t="str">
        <f>IF($W192=AF$3,$AB192,IF(NOT($W192=0),"",SUMIFS('Val-Vol (2)'!AF$4:AF$1116,'Val-Vol (2)'!$A$4:$A$1116,$D192,'Val-Vol (2)'!$V$4:$V$1116,$V192)/SUMIFS('Comp2016-2017 (3)'!$G$5:$G$289,'Comp2016-2017 (3)'!$A$5:$A$289,$D192,'Comp2016-2017 (3)'!$R$5:$R$289,$V192)*$AB192))</f>
        <v/>
      </c>
      <c r="AG192" s="2" t="str">
        <f>IF($W192=AG$3,$AB192,IF(NOT($W192=0),"",SUMIFS('Val-Vol (2)'!AG$4:AG$1116,'Val-Vol (2)'!$A$4:$A$1116,$D192,'Val-Vol (2)'!$V$4:$V$1116,$V192)/SUMIFS('Comp2016-2017 (3)'!$G$5:$G$289,'Comp2016-2017 (3)'!$A$5:$A$289,$D192,'Comp2016-2017 (3)'!$R$5:$R$289,$V192)*$AB192))</f>
        <v/>
      </c>
      <c r="AH192" s="2" t="str">
        <f>IF($W192=AH$3,$AB192,IF(NOT($W192=0),"",SUMIFS('Val-Vol (2)'!AH$4:AH$1116,'Val-Vol (2)'!$A$4:$A$1116,$D192,'Val-Vol (2)'!$V$4:$V$1116,$V192)/SUMIFS('Comp2016-2017 (3)'!$G$5:$G$289,'Comp2016-2017 (3)'!$A$5:$A$289,$D192,'Comp2016-2017 (3)'!$R$5:$R$289,$V192)*$AB192))</f>
        <v/>
      </c>
      <c r="AI192" s="2" t="str">
        <f>IF($W192=AI$3,$AB192,IF(NOT($W192=0),"",SUMIFS('Val-Vol (2)'!AI$4:AI$1116,'Val-Vol (2)'!$A$4:$A$1116,$D192,'Val-Vol (2)'!$V$4:$V$1116,$V192)/SUMIFS('Comp2016-2017 (3)'!$G$5:$G$289,'Comp2016-2017 (3)'!$A$5:$A$289,$D192,'Comp2016-2017 (3)'!$R$5:$R$289,$V192)*$AB192))</f>
        <v/>
      </c>
      <c r="AJ192" s="2" t="str">
        <f>IF($W192=AJ$3,$AB192,IF(NOT($W192=0),"",SUMIFS('Val-Vol (2)'!AJ$4:AJ$1116,'Val-Vol (2)'!$A$4:$A$1116,$D192,'Val-Vol (2)'!$V$4:$V$1116,$V192)/SUMIFS('Comp2016-2017 (3)'!$G$5:$G$289,'Comp2016-2017 (3)'!$A$5:$A$289,$D192,'Comp2016-2017 (3)'!$R$5:$R$289,$V192)*$AB192))</f>
        <v/>
      </c>
      <c r="AK192" s="2">
        <f t="shared" si="16"/>
        <v>0</v>
      </c>
      <c r="AL192" t="str">
        <f t="shared" si="13"/>
        <v/>
      </c>
      <c r="AM192" t="str">
        <f>VLOOKUP(A192,'Table corresp.'!$M$4:$U$63,8,FALSE)</f>
        <v>Production intermédiaire</v>
      </c>
      <c r="AN192" t="str">
        <f>VLOOKUP(D192,'Table corresp.'!$M$4:$U$63,9,FALSE)</f>
        <v>Production finale</v>
      </c>
    </row>
    <row r="193" spans="1:40" x14ac:dyDescent="0.25">
      <c r="A193" t="s">
        <v>13</v>
      </c>
      <c r="B193" t="str">
        <f>VLOOKUP(LEFT(A193,3),'Table corresp.'!$A$4:$D$63,3,FALSE)</f>
        <v>Transformation</v>
      </c>
      <c r="C193" t="str">
        <f>VLOOKUP(A193,'Table corresp.'!$M$4:$P$63,4,FALSE)</f>
        <v>Production et transformation de produits bois</v>
      </c>
      <c r="D193" t="s">
        <v>20</v>
      </c>
      <c r="E193" t="str">
        <f>VLOOKUP(LEFT(D193,3),'Table corresp.'!$A$4:$D$63,4,FALSE)</f>
        <v>Transformation</v>
      </c>
      <c r="F193" t="str">
        <f t="shared" si="12"/>
        <v xml:space="preserve">20  - 53 </v>
      </c>
      <c r="G193" s="1">
        <v>3156.1129421170654</v>
      </c>
      <c r="H193" s="1">
        <v>1098.8870578829349</v>
      </c>
      <c r="I193" s="1">
        <v>4255</v>
      </c>
      <c r="J193" s="1">
        <v>32.511248232688715</v>
      </c>
      <c r="K193" s="1">
        <v>10.97517070318192</v>
      </c>
      <c r="L193" s="1">
        <v>43.486418935870631</v>
      </c>
      <c r="M193" s="1">
        <v>0</v>
      </c>
      <c r="N193" s="1">
        <v>0</v>
      </c>
      <c r="O193" s="1">
        <v>0</v>
      </c>
      <c r="P193" s="1">
        <v>0</v>
      </c>
      <c r="Q193" s="1">
        <v>0</v>
      </c>
      <c r="R193" s="1">
        <v>0</v>
      </c>
      <c r="S193" s="67"/>
      <c r="T193">
        <f>VLOOKUP(A193,'Groupe de branches'!$Z$27:$AM$86,14,FALSE)</f>
        <v>0</v>
      </c>
      <c r="U193">
        <f>VLOOKUP(D193,'Groupe de branches'!$Z$27:$AM$86,14,FALSE)</f>
        <v>0</v>
      </c>
      <c r="V193">
        <v>2016</v>
      </c>
      <c r="W193" t="str">
        <f>VLOOKUP(D193,'Table corresp.'!$M$4:$S$63,7,FALSE)</f>
        <v>Construction</v>
      </c>
      <c r="X193" s="167">
        <f>IFERROR(G193/SUMIFS('Comp2016-2017 (3)'!$I$5:$I$289,'Comp2016-2017 (3)'!$A$5:$A$289,A193,'Comp2016-2017 (3)'!$R$5:$R$289,V193),0)</f>
        <v>4.5470579774053669E-3</v>
      </c>
      <c r="Y193" s="178">
        <f>IFERROR(IF(RIGHT(F193,3)="Exp",VLOOKUP(F193,#REF!,2,FALSE),VLOOKUP(F193,#REF!,9,FALSE)),1)</f>
        <v>1</v>
      </c>
      <c r="Z193" s="167">
        <f t="shared" si="17"/>
        <v>0.1</v>
      </c>
      <c r="AA193" s="189">
        <f t="shared" si="15"/>
        <v>4.5470579774053673E-4</v>
      </c>
      <c r="AB193" s="2">
        <f>IFERROR(SUMIFS('Comp2016-2017 (3)'!$G$5:$G$289,'Comp2016-2017 (3)'!$A$5:$A$289,A193,'Comp2016-2017 (3)'!$R$5:$R$289,V193)*AA193/SUMIFS($AA$4:$AA$1116,$A$4:$A$1116,A193,$V$4:$V$1116,V193),0)</f>
        <v>603.18482430450172</v>
      </c>
      <c r="AC193" s="2" t="str">
        <f>IF($W193=AC$3,$AB193,IF(NOT($W193=0),"",SUMIFS('Val-Vol (2)'!AC$4:AC$1116,'Val-Vol (2)'!$A$4:$A$1116,$D193,'Val-Vol (2)'!$V$4:$V$1116,$V193)/SUMIFS('Comp2016-2017 (3)'!$G$5:$G$289,'Comp2016-2017 (3)'!$A$5:$A$289,$D193,'Comp2016-2017 (3)'!$R$5:$R$289,$V193)*$AB193))</f>
        <v/>
      </c>
      <c r="AD193" s="2">
        <f>IF($W193=AD$3,$AB193,IF(NOT($W193=0),"",SUMIFS('Val-Vol (2)'!AD$4:AD$1116,'Val-Vol (2)'!$A$4:$A$1116,$D193,'Val-Vol (2)'!$V$4:$V$1116,$V193)/SUMIFS('Comp2016-2017 (3)'!$G$5:$G$289,'Comp2016-2017 (3)'!$A$5:$A$289,$D193,'Comp2016-2017 (3)'!$R$5:$R$289,$V193)*$AB193))</f>
        <v>603.18482430450172</v>
      </c>
      <c r="AE193" s="2" t="str">
        <f>IF($W193=AE$3,$AB193,IF(NOT($W193=0),"",SUMIFS('Val-Vol (2)'!AE$4:AE$1116,'Val-Vol (2)'!$A$4:$A$1116,$D193,'Val-Vol (2)'!$V$4:$V$1116,$V193)/SUMIFS('Comp2016-2017 (3)'!$G$5:$G$289,'Comp2016-2017 (3)'!$A$5:$A$289,$D193,'Comp2016-2017 (3)'!$R$5:$R$289,$V193)*$AB193))</f>
        <v/>
      </c>
      <c r="AF193" s="2" t="str">
        <f>IF($W193=AF$3,$AB193,IF(NOT($W193=0),"",SUMIFS('Val-Vol (2)'!AF$4:AF$1116,'Val-Vol (2)'!$A$4:$A$1116,$D193,'Val-Vol (2)'!$V$4:$V$1116,$V193)/SUMIFS('Comp2016-2017 (3)'!$G$5:$G$289,'Comp2016-2017 (3)'!$A$5:$A$289,$D193,'Comp2016-2017 (3)'!$R$5:$R$289,$V193)*$AB193))</f>
        <v/>
      </c>
      <c r="AG193" s="2" t="str">
        <f>IF($W193=AG$3,$AB193,IF(NOT($W193=0),"",SUMIFS('Val-Vol (2)'!AG$4:AG$1116,'Val-Vol (2)'!$A$4:$A$1116,$D193,'Val-Vol (2)'!$V$4:$V$1116,$V193)/SUMIFS('Comp2016-2017 (3)'!$G$5:$G$289,'Comp2016-2017 (3)'!$A$5:$A$289,$D193,'Comp2016-2017 (3)'!$R$5:$R$289,$V193)*$AB193))</f>
        <v/>
      </c>
      <c r="AH193" s="2" t="str">
        <f>IF($W193=AH$3,$AB193,IF(NOT($W193=0),"",SUMIFS('Val-Vol (2)'!AH$4:AH$1116,'Val-Vol (2)'!$A$4:$A$1116,$D193,'Val-Vol (2)'!$V$4:$V$1116,$V193)/SUMIFS('Comp2016-2017 (3)'!$G$5:$G$289,'Comp2016-2017 (3)'!$A$5:$A$289,$D193,'Comp2016-2017 (3)'!$R$5:$R$289,$V193)*$AB193))</f>
        <v/>
      </c>
      <c r="AI193" s="2" t="str">
        <f>IF($W193=AI$3,$AB193,IF(NOT($W193=0),"",SUMIFS('Val-Vol (2)'!AI$4:AI$1116,'Val-Vol (2)'!$A$4:$A$1116,$D193,'Val-Vol (2)'!$V$4:$V$1116,$V193)/SUMIFS('Comp2016-2017 (3)'!$G$5:$G$289,'Comp2016-2017 (3)'!$A$5:$A$289,$D193,'Comp2016-2017 (3)'!$R$5:$R$289,$V193)*$AB193))</f>
        <v/>
      </c>
      <c r="AJ193" s="2" t="str">
        <f>IF($W193=AJ$3,$AB193,IF(NOT($W193=0),"",SUMIFS('Val-Vol (2)'!AJ$4:AJ$1116,'Val-Vol (2)'!$A$4:$A$1116,$D193,'Val-Vol (2)'!$V$4:$V$1116,$V193)/SUMIFS('Comp2016-2017 (3)'!$G$5:$G$289,'Comp2016-2017 (3)'!$A$5:$A$289,$D193,'Comp2016-2017 (3)'!$R$5:$R$289,$V193)*$AB193))</f>
        <v/>
      </c>
      <c r="AK193" s="2">
        <f t="shared" si="16"/>
        <v>0</v>
      </c>
      <c r="AL193" t="str">
        <f t="shared" si="13"/>
        <v/>
      </c>
      <c r="AM193" t="str">
        <f>VLOOKUP(A193,'Table corresp.'!$M$4:$U$63,8,FALSE)</f>
        <v>Production intermédiaire</v>
      </c>
      <c r="AN193" t="str">
        <f>VLOOKUP(D193,'Table corresp.'!$M$4:$U$63,9,FALSE)</f>
        <v xml:space="preserve">Mise en œuvre </v>
      </c>
    </row>
    <row r="194" spans="1:40" x14ac:dyDescent="0.25">
      <c r="A194" t="s">
        <v>13</v>
      </c>
      <c r="B194" t="str">
        <f>VLOOKUP(LEFT(A194,3),'Table corresp.'!$A$4:$D$63,3,FALSE)</f>
        <v>Transformation</v>
      </c>
      <c r="C194" t="str">
        <f>VLOOKUP(A194,'Table corresp.'!$M$4:$P$63,4,FALSE)</f>
        <v>Production et transformation de produits bois</v>
      </c>
      <c r="D194" t="s">
        <v>21</v>
      </c>
      <c r="E194" t="str">
        <f>VLOOKUP(LEFT(D194,3),'Table corresp.'!$A$4:$D$63,4,FALSE)</f>
        <v>Transformation</v>
      </c>
      <c r="F194" t="str">
        <f t="shared" si="12"/>
        <v xml:space="preserve">20  - 54 </v>
      </c>
      <c r="G194" s="1">
        <v>91976.029335491447</v>
      </c>
      <c r="H194" s="1">
        <v>32023.970664508553</v>
      </c>
      <c r="I194" s="1">
        <v>124000</v>
      </c>
      <c r="J194" s="1">
        <v>270.69966633227466</v>
      </c>
      <c r="K194" s="1">
        <v>82.244690312244543</v>
      </c>
      <c r="L194" s="1">
        <v>352.94435664451919</v>
      </c>
      <c r="M194" s="1">
        <v>0</v>
      </c>
      <c r="N194" s="1">
        <v>0</v>
      </c>
      <c r="O194" s="1">
        <v>0</v>
      </c>
      <c r="P194" s="1">
        <v>0</v>
      </c>
      <c r="Q194" s="1">
        <v>0</v>
      </c>
      <c r="R194" s="1">
        <v>0</v>
      </c>
      <c r="S194" s="67"/>
      <c r="T194">
        <f>VLOOKUP(A194,'Groupe de branches'!$Z$27:$AM$86,14,FALSE)</f>
        <v>0</v>
      </c>
      <c r="U194">
        <f>VLOOKUP(D194,'Groupe de branches'!$Z$27:$AM$86,14,FALSE)</f>
        <v>0</v>
      </c>
      <c r="V194">
        <v>2016</v>
      </c>
      <c r="W194" t="str">
        <f>VLOOKUP(D194,'Table corresp.'!$M$4:$S$63,7,FALSE)</f>
        <v>Construction</v>
      </c>
      <c r="X194" s="167">
        <f>IFERROR(G194/SUMIFS('Comp2016-2017 (3)'!$I$5:$I$289,'Comp2016-2017 (3)'!$A$5:$A$289,A194,'Comp2016-2017 (3)'!$R$5:$R$289,V194),0)</f>
        <v>0.13251120780217757</v>
      </c>
      <c r="Y194" s="178">
        <f>IFERROR(IF(RIGHT(F194,3)="Exp",VLOOKUP(F194,#REF!,2,FALSE),VLOOKUP(F194,#REF!,9,FALSE)),1)</f>
        <v>1</v>
      </c>
      <c r="Z194" s="167">
        <f t="shared" si="17"/>
        <v>0.1</v>
      </c>
      <c r="AA194" s="189">
        <f t="shared" si="15"/>
        <v>1.3251120780217757E-2</v>
      </c>
      <c r="AB194" s="2">
        <f>IFERROR(SUMIFS('Comp2016-2017 (3)'!$G$5:$G$289,'Comp2016-2017 (3)'!$A$5:$A$289,A194,'Comp2016-2017 (3)'!$R$5:$R$289,V194)*AA194/SUMIFS($AA$4:$AA$1116,$A$4:$A$1116,A194,$V$4:$V$1116,V194),0)</f>
        <v>17578.124139543645</v>
      </c>
      <c r="AC194" s="2" t="str">
        <f>IF($W194=AC$3,$AB194,IF(NOT($W194=0),"",SUMIFS('Val-Vol (2)'!AC$4:AC$1116,'Val-Vol (2)'!$A$4:$A$1116,$D194,'Val-Vol (2)'!$V$4:$V$1116,$V194)/SUMIFS('Comp2016-2017 (3)'!$G$5:$G$289,'Comp2016-2017 (3)'!$A$5:$A$289,$D194,'Comp2016-2017 (3)'!$R$5:$R$289,$V194)*$AB194))</f>
        <v/>
      </c>
      <c r="AD194" s="2">
        <f>IF($W194=AD$3,$AB194,IF(NOT($W194=0),"",SUMIFS('Val-Vol (2)'!AD$4:AD$1116,'Val-Vol (2)'!$A$4:$A$1116,$D194,'Val-Vol (2)'!$V$4:$V$1116,$V194)/SUMIFS('Comp2016-2017 (3)'!$G$5:$G$289,'Comp2016-2017 (3)'!$A$5:$A$289,$D194,'Comp2016-2017 (3)'!$R$5:$R$289,$V194)*$AB194))</f>
        <v>17578.124139543645</v>
      </c>
      <c r="AE194" s="2" t="str">
        <f>IF($W194=AE$3,$AB194,IF(NOT($W194=0),"",SUMIFS('Val-Vol (2)'!AE$4:AE$1116,'Val-Vol (2)'!$A$4:$A$1116,$D194,'Val-Vol (2)'!$V$4:$V$1116,$V194)/SUMIFS('Comp2016-2017 (3)'!$G$5:$G$289,'Comp2016-2017 (3)'!$A$5:$A$289,$D194,'Comp2016-2017 (3)'!$R$5:$R$289,$V194)*$AB194))</f>
        <v/>
      </c>
      <c r="AF194" s="2" t="str">
        <f>IF($W194=AF$3,$AB194,IF(NOT($W194=0),"",SUMIFS('Val-Vol (2)'!AF$4:AF$1116,'Val-Vol (2)'!$A$4:$A$1116,$D194,'Val-Vol (2)'!$V$4:$V$1116,$V194)/SUMIFS('Comp2016-2017 (3)'!$G$5:$G$289,'Comp2016-2017 (3)'!$A$5:$A$289,$D194,'Comp2016-2017 (3)'!$R$5:$R$289,$V194)*$AB194))</f>
        <v/>
      </c>
      <c r="AG194" s="2" t="str">
        <f>IF($W194=AG$3,$AB194,IF(NOT($W194=0),"",SUMIFS('Val-Vol (2)'!AG$4:AG$1116,'Val-Vol (2)'!$A$4:$A$1116,$D194,'Val-Vol (2)'!$V$4:$V$1116,$V194)/SUMIFS('Comp2016-2017 (3)'!$G$5:$G$289,'Comp2016-2017 (3)'!$A$5:$A$289,$D194,'Comp2016-2017 (3)'!$R$5:$R$289,$V194)*$AB194))</f>
        <v/>
      </c>
      <c r="AH194" s="2" t="str">
        <f>IF($W194=AH$3,$AB194,IF(NOT($W194=0),"",SUMIFS('Val-Vol (2)'!AH$4:AH$1116,'Val-Vol (2)'!$A$4:$A$1116,$D194,'Val-Vol (2)'!$V$4:$V$1116,$V194)/SUMIFS('Comp2016-2017 (3)'!$G$5:$G$289,'Comp2016-2017 (3)'!$A$5:$A$289,$D194,'Comp2016-2017 (3)'!$R$5:$R$289,$V194)*$AB194))</f>
        <v/>
      </c>
      <c r="AI194" s="2" t="str">
        <f>IF($W194=AI$3,$AB194,IF(NOT($W194=0),"",SUMIFS('Val-Vol (2)'!AI$4:AI$1116,'Val-Vol (2)'!$A$4:$A$1116,$D194,'Val-Vol (2)'!$V$4:$V$1116,$V194)/SUMIFS('Comp2016-2017 (3)'!$G$5:$G$289,'Comp2016-2017 (3)'!$A$5:$A$289,$D194,'Comp2016-2017 (3)'!$R$5:$R$289,$V194)*$AB194))</f>
        <v/>
      </c>
      <c r="AJ194" s="2" t="str">
        <f>IF($W194=AJ$3,$AB194,IF(NOT($W194=0),"",SUMIFS('Val-Vol (2)'!AJ$4:AJ$1116,'Val-Vol (2)'!$A$4:$A$1116,$D194,'Val-Vol (2)'!$V$4:$V$1116,$V194)/SUMIFS('Comp2016-2017 (3)'!$G$5:$G$289,'Comp2016-2017 (3)'!$A$5:$A$289,$D194,'Comp2016-2017 (3)'!$R$5:$R$289,$V194)*$AB194))</f>
        <v/>
      </c>
      <c r="AK194" s="2">
        <f t="shared" si="16"/>
        <v>0</v>
      </c>
      <c r="AL194" t="str">
        <f t="shared" si="13"/>
        <v/>
      </c>
      <c r="AM194" t="str">
        <f>VLOOKUP(A194,'Table corresp.'!$M$4:$U$63,8,FALSE)</f>
        <v>Production intermédiaire</v>
      </c>
      <c r="AN194" t="str">
        <f>VLOOKUP(D194,'Table corresp.'!$M$4:$U$63,9,FALSE)</f>
        <v xml:space="preserve">Mise en œuvre </v>
      </c>
    </row>
    <row r="195" spans="1:40" x14ac:dyDescent="0.25">
      <c r="A195" t="s">
        <v>13</v>
      </c>
      <c r="B195" t="str">
        <f>VLOOKUP(LEFT(A195,3),'Table corresp.'!$A$4:$D$63,3,FALSE)</f>
        <v>Transformation</v>
      </c>
      <c r="C195" t="str">
        <f>VLOOKUP(A195,'Table corresp.'!$M$4:$P$63,4,FALSE)</f>
        <v>Production et transformation de produits bois</v>
      </c>
      <c r="D195" t="s">
        <v>22</v>
      </c>
      <c r="E195" t="str">
        <f>VLOOKUP(LEFT(D195,3),'Table corresp.'!$A$4:$D$63,4,FALSE)</f>
        <v>Transformation</v>
      </c>
      <c r="F195" t="str">
        <f t="shared" si="12"/>
        <v xml:space="preserve">20  - 55 </v>
      </c>
      <c r="G195" s="1">
        <v>8276.5608719176053</v>
      </c>
      <c r="H195" s="1">
        <v>2881.7110771168354</v>
      </c>
      <c r="I195" s="1">
        <v>11158.271949034441</v>
      </c>
      <c r="J195" s="1">
        <v>24.359197527809702</v>
      </c>
      <c r="K195" s="1">
        <v>7.4008759747430881</v>
      </c>
      <c r="L195" s="1">
        <v>31.760073502552789</v>
      </c>
      <c r="M195" s="1">
        <v>0</v>
      </c>
      <c r="N195" s="1">
        <v>0</v>
      </c>
      <c r="O195" s="1">
        <v>0</v>
      </c>
      <c r="P195" s="1">
        <v>0</v>
      </c>
      <c r="Q195" s="1">
        <v>0</v>
      </c>
      <c r="R195" s="1">
        <v>0</v>
      </c>
      <c r="S195" s="67"/>
      <c r="T195">
        <f>VLOOKUP(A195,'Groupe de branches'!$Z$27:$AM$86,14,FALSE)</f>
        <v>0</v>
      </c>
      <c r="U195">
        <f>VLOOKUP(D195,'Groupe de branches'!$Z$27:$AM$86,14,FALSE)</f>
        <v>0</v>
      </c>
      <c r="V195">
        <v>2016</v>
      </c>
      <c r="W195" t="str">
        <f>VLOOKUP(D195,'Table corresp.'!$M$4:$S$63,7,FALSE)</f>
        <v>Construction</v>
      </c>
      <c r="X195" s="167">
        <f>IFERROR(G195/SUMIFS('Comp2016-2017 (3)'!$I$5:$I$289,'Comp2016-2017 (3)'!$A$5:$A$289,A195,'Comp2016-2017 (3)'!$R$5:$R$289,V195),0)</f>
        <v>1.1924162039933158E-2</v>
      </c>
      <c r="Y195" s="178">
        <f>IFERROR(IF(RIGHT(F195,3)="Exp",VLOOKUP(F195,#REF!,2,FALSE),VLOOKUP(F195,#REF!,9,FALSE)),1)</f>
        <v>1</v>
      </c>
      <c r="Z195" s="167">
        <f t="shared" si="17"/>
        <v>0.1</v>
      </c>
      <c r="AA195" s="189">
        <f t="shared" si="15"/>
        <v>1.1924162039933159E-3</v>
      </c>
      <c r="AB195" s="2">
        <f>IFERROR(SUMIFS('Comp2016-2017 (3)'!$G$5:$G$289,'Comp2016-2017 (3)'!$A$5:$A$289,A195,'Comp2016-2017 (3)'!$R$5:$R$289,V195)*AA195/SUMIFS($AA$4:$AA$1116,$A$4:$A$1116,A195,$V$4:$V$1116,V195),0)</f>
        <v>1581.7862056686695</v>
      </c>
      <c r="AC195" s="2" t="str">
        <f>IF($W195=AC$3,$AB195,IF(NOT($W195=0),"",SUMIFS('Val-Vol (2)'!AC$4:AC$1116,'Val-Vol (2)'!$A$4:$A$1116,$D195,'Val-Vol (2)'!$V$4:$V$1116,$V195)/SUMIFS('Comp2016-2017 (3)'!$G$5:$G$289,'Comp2016-2017 (3)'!$A$5:$A$289,$D195,'Comp2016-2017 (3)'!$R$5:$R$289,$V195)*$AB195))</f>
        <v/>
      </c>
      <c r="AD195" s="2">
        <f>IF($W195=AD$3,$AB195,IF(NOT($W195=0),"",SUMIFS('Val-Vol (2)'!AD$4:AD$1116,'Val-Vol (2)'!$A$4:$A$1116,$D195,'Val-Vol (2)'!$V$4:$V$1116,$V195)/SUMIFS('Comp2016-2017 (3)'!$G$5:$G$289,'Comp2016-2017 (3)'!$A$5:$A$289,$D195,'Comp2016-2017 (3)'!$R$5:$R$289,$V195)*$AB195))</f>
        <v>1581.7862056686695</v>
      </c>
      <c r="AE195" s="2" t="str">
        <f>IF($W195=AE$3,$AB195,IF(NOT($W195=0),"",SUMIFS('Val-Vol (2)'!AE$4:AE$1116,'Val-Vol (2)'!$A$4:$A$1116,$D195,'Val-Vol (2)'!$V$4:$V$1116,$V195)/SUMIFS('Comp2016-2017 (3)'!$G$5:$G$289,'Comp2016-2017 (3)'!$A$5:$A$289,$D195,'Comp2016-2017 (3)'!$R$5:$R$289,$V195)*$AB195))</f>
        <v/>
      </c>
      <c r="AF195" s="2" t="str">
        <f>IF($W195=AF$3,$AB195,IF(NOT($W195=0),"",SUMIFS('Val-Vol (2)'!AF$4:AF$1116,'Val-Vol (2)'!$A$4:$A$1116,$D195,'Val-Vol (2)'!$V$4:$V$1116,$V195)/SUMIFS('Comp2016-2017 (3)'!$G$5:$G$289,'Comp2016-2017 (3)'!$A$5:$A$289,$D195,'Comp2016-2017 (3)'!$R$5:$R$289,$V195)*$AB195))</f>
        <v/>
      </c>
      <c r="AG195" s="2" t="str">
        <f>IF($W195=AG$3,$AB195,IF(NOT($W195=0),"",SUMIFS('Val-Vol (2)'!AG$4:AG$1116,'Val-Vol (2)'!$A$4:$A$1116,$D195,'Val-Vol (2)'!$V$4:$V$1116,$V195)/SUMIFS('Comp2016-2017 (3)'!$G$5:$G$289,'Comp2016-2017 (3)'!$A$5:$A$289,$D195,'Comp2016-2017 (3)'!$R$5:$R$289,$V195)*$AB195))</f>
        <v/>
      </c>
      <c r="AH195" s="2" t="str">
        <f>IF($W195=AH$3,$AB195,IF(NOT($W195=0),"",SUMIFS('Val-Vol (2)'!AH$4:AH$1116,'Val-Vol (2)'!$A$4:$A$1116,$D195,'Val-Vol (2)'!$V$4:$V$1116,$V195)/SUMIFS('Comp2016-2017 (3)'!$G$5:$G$289,'Comp2016-2017 (3)'!$A$5:$A$289,$D195,'Comp2016-2017 (3)'!$R$5:$R$289,$V195)*$AB195))</f>
        <v/>
      </c>
      <c r="AI195" s="2" t="str">
        <f>IF($W195=AI$3,$AB195,IF(NOT($W195=0),"",SUMIFS('Val-Vol (2)'!AI$4:AI$1116,'Val-Vol (2)'!$A$4:$A$1116,$D195,'Val-Vol (2)'!$V$4:$V$1116,$V195)/SUMIFS('Comp2016-2017 (3)'!$G$5:$G$289,'Comp2016-2017 (3)'!$A$5:$A$289,$D195,'Comp2016-2017 (3)'!$R$5:$R$289,$V195)*$AB195))</f>
        <v/>
      </c>
      <c r="AJ195" s="2" t="str">
        <f>IF($W195=AJ$3,$AB195,IF(NOT($W195=0),"",SUMIFS('Val-Vol (2)'!AJ$4:AJ$1116,'Val-Vol (2)'!$A$4:$A$1116,$D195,'Val-Vol (2)'!$V$4:$V$1116,$V195)/SUMIFS('Comp2016-2017 (3)'!$G$5:$G$289,'Comp2016-2017 (3)'!$A$5:$A$289,$D195,'Comp2016-2017 (3)'!$R$5:$R$289,$V195)*$AB195))</f>
        <v/>
      </c>
      <c r="AK195" s="2">
        <f t="shared" si="16"/>
        <v>0</v>
      </c>
      <c r="AL195" t="str">
        <f t="shared" si="13"/>
        <v/>
      </c>
      <c r="AM195" t="str">
        <f>VLOOKUP(A195,'Table corresp.'!$M$4:$U$63,8,FALSE)</f>
        <v>Production intermédiaire</v>
      </c>
      <c r="AN195" t="str">
        <f>VLOOKUP(D195,'Table corresp.'!$M$4:$U$63,9,FALSE)</f>
        <v xml:space="preserve">Mise en œuvre </v>
      </c>
    </row>
    <row r="196" spans="1:40" x14ac:dyDescent="0.25">
      <c r="A196" t="s">
        <v>13</v>
      </c>
      <c r="B196" t="str">
        <f>VLOOKUP(LEFT(A196,3),'Table corresp.'!$A$4:$D$63,3,FALSE)</f>
        <v>Transformation</v>
      </c>
      <c r="C196" t="str">
        <f>VLOOKUP(A196,'Table corresp.'!$M$4:$P$63,4,FALSE)</f>
        <v>Production et transformation de produits bois</v>
      </c>
      <c r="D196" t="s">
        <v>23</v>
      </c>
      <c r="E196" t="str">
        <f>VLOOKUP(LEFT(D196,3),'Table corresp.'!$A$4:$D$63,4,FALSE)</f>
        <v>Transformation</v>
      </c>
      <c r="F196" t="str">
        <f t="shared" ref="F196:F259" si="18">LEFT(A196,3)&amp;" - "&amp;LEFT(D196,3)</f>
        <v xml:space="preserve">20  - 56 </v>
      </c>
      <c r="G196" s="1">
        <v>59339.373764833188</v>
      </c>
      <c r="H196" s="1">
        <v>20660.626235166812</v>
      </c>
      <c r="I196" s="1">
        <v>80000</v>
      </c>
      <c r="J196" s="1">
        <v>271.66991603239029</v>
      </c>
      <c r="K196" s="1">
        <v>82.539474148489163</v>
      </c>
      <c r="L196" s="1">
        <v>354.20939018087944</v>
      </c>
      <c r="M196" s="1">
        <v>0</v>
      </c>
      <c r="N196" s="1">
        <v>0</v>
      </c>
      <c r="O196" s="1">
        <v>0</v>
      </c>
      <c r="P196" s="1">
        <v>0</v>
      </c>
      <c r="Q196" s="1">
        <v>0</v>
      </c>
      <c r="R196" s="1">
        <v>0</v>
      </c>
      <c r="S196" s="67"/>
      <c r="T196">
        <f>VLOOKUP(A196,'Groupe de branches'!$Z$27:$AM$86,14,FALSE)</f>
        <v>0</v>
      </c>
      <c r="U196">
        <f>VLOOKUP(D196,'Groupe de branches'!$Z$27:$AM$86,14,FALSE)</f>
        <v>0</v>
      </c>
      <c r="V196">
        <v>2016</v>
      </c>
      <c r="W196" t="str">
        <f>VLOOKUP(D196,'Table corresp.'!$M$4:$S$63,7,FALSE)</f>
        <v>Construction</v>
      </c>
      <c r="X196" s="167">
        <f>IFERROR(G196/SUMIFS('Comp2016-2017 (3)'!$I$5:$I$289,'Comp2016-2017 (3)'!$A$5:$A$289,A196,'Comp2016-2017 (3)'!$R$5:$R$289,V196),0)</f>
        <v>8.549110180785649E-2</v>
      </c>
      <c r="Y196" s="178">
        <f>IFERROR(IF(RIGHT(F196,3)="Exp",VLOOKUP(F196,#REF!,2,FALSE),VLOOKUP(F196,#REF!,9,FALSE)),1)</f>
        <v>1</v>
      </c>
      <c r="Z196" s="167">
        <f t="shared" si="17"/>
        <v>0.1</v>
      </c>
      <c r="AA196" s="189">
        <f t="shared" si="15"/>
        <v>8.549110180785649E-3</v>
      </c>
      <c r="AB196" s="2">
        <f>IFERROR(SUMIFS('Comp2016-2017 (3)'!$G$5:$G$289,'Comp2016-2017 (3)'!$A$5:$A$289,A196,'Comp2016-2017 (3)'!$R$5:$R$289,V196)*AA196/SUMIFS($AA$4:$AA$1116,$A$4:$A$1116,A196,$V$4:$V$1116,V196),0)</f>
        <v>11340.725251318479</v>
      </c>
      <c r="AC196" s="2" t="str">
        <f>IF($W196=AC$3,$AB196,IF(NOT($W196=0),"",SUMIFS('Val-Vol (2)'!AC$4:AC$1116,'Val-Vol (2)'!$A$4:$A$1116,$D196,'Val-Vol (2)'!$V$4:$V$1116,$V196)/SUMIFS('Comp2016-2017 (3)'!$G$5:$G$289,'Comp2016-2017 (3)'!$A$5:$A$289,$D196,'Comp2016-2017 (3)'!$R$5:$R$289,$V196)*$AB196))</f>
        <v/>
      </c>
      <c r="AD196" s="2">
        <f>IF($W196=AD$3,$AB196,IF(NOT($W196=0),"",SUMIFS('Val-Vol (2)'!AD$4:AD$1116,'Val-Vol (2)'!$A$4:$A$1116,$D196,'Val-Vol (2)'!$V$4:$V$1116,$V196)/SUMIFS('Comp2016-2017 (3)'!$G$5:$G$289,'Comp2016-2017 (3)'!$A$5:$A$289,$D196,'Comp2016-2017 (3)'!$R$5:$R$289,$V196)*$AB196))</f>
        <v>11340.725251318479</v>
      </c>
      <c r="AE196" s="2" t="str">
        <f>IF($W196=AE$3,$AB196,IF(NOT($W196=0),"",SUMIFS('Val-Vol (2)'!AE$4:AE$1116,'Val-Vol (2)'!$A$4:$A$1116,$D196,'Val-Vol (2)'!$V$4:$V$1116,$V196)/SUMIFS('Comp2016-2017 (3)'!$G$5:$G$289,'Comp2016-2017 (3)'!$A$5:$A$289,$D196,'Comp2016-2017 (3)'!$R$5:$R$289,$V196)*$AB196))</f>
        <v/>
      </c>
      <c r="AF196" s="2" t="str">
        <f>IF($W196=AF$3,$AB196,IF(NOT($W196=0),"",SUMIFS('Val-Vol (2)'!AF$4:AF$1116,'Val-Vol (2)'!$A$4:$A$1116,$D196,'Val-Vol (2)'!$V$4:$V$1116,$V196)/SUMIFS('Comp2016-2017 (3)'!$G$5:$G$289,'Comp2016-2017 (3)'!$A$5:$A$289,$D196,'Comp2016-2017 (3)'!$R$5:$R$289,$V196)*$AB196))</f>
        <v/>
      </c>
      <c r="AG196" s="2" t="str">
        <f>IF($W196=AG$3,$AB196,IF(NOT($W196=0),"",SUMIFS('Val-Vol (2)'!AG$4:AG$1116,'Val-Vol (2)'!$A$4:$A$1116,$D196,'Val-Vol (2)'!$V$4:$V$1116,$V196)/SUMIFS('Comp2016-2017 (3)'!$G$5:$G$289,'Comp2016-2017 (3)'!$A$5:$A$289,$D196,'Comp2016-2017 (3)'!$R$5:$R$289,$V196)*$AB196))</f>
        <v/>
      </c>
      <c r="AH196" s="2" t="str">
        <f>IF($W196=AH$3,$AB196,IF(NOT($W196=0),"",SUMIFS('Val-Vol (2)'!AH$4:AH$1116,'Val-Vol (2)'!$A$4:$A$1116,$D196,'Val-Vol (2)'!$V$4:$V$1116,$V196)/SUMIFS('Comp2016-2017 (3)'!$G$5:$G$289,'Comp2016-2017 (3)'!$A$5:$A$289,$D196,'Comp2016-2017 (3)'!$R$5:$R$289,$V196)*$AB196))</f>
        <v/>
      </c>
      <c r="AI196" s="2" t="str">
        <f>IF($W196=AI$3,$AB196,IF(NOT($W196=0),"",SUMIFS('Val-Vol (2)'!AI$4:AI$1116,'Val-Vol (2)'!$A$4:$A$1116,$D196,'Val-Vol (2)'!$V$4:$V$1116,$V196)/SUMIFS('Comp2016-2017 (3)'!$G$5:$G$289,'Comp2016-2017 (3)'!$A$5:$A$289,$D196,'Comp2016-2017 (3)'!$R$5:$R$289,$V196)*$AB196))</f>
        <v/>
      </c>
      <c r="AJ196" s="2" t="str">
        <f>IF($W196=AJ$3,$AB196,IF(NOT($W196=0),"",SUMIFS('Val-Vol (2)'!AJ$4:AJ$1116,'Val-Vol (2)'!$A$4:$A$1116,$D196,'Val-Vol (2)'!$V$4:$V$1116,$V196)/SUMIFS('Comp2016-2017 (3)'!$G$5:$G$289,'Comp2016-2017 (3)'!$A$5:$A$289,$D196,'Comp2016-2017 (3)'!$R$5:$R$289,$V196)*$AB196))</f>
        <v/>
      </c>
      <c r="AK196" s="2">
        <f t="shared" si="16"/>
        <v>0</v>
      </c>
      <c r="AL196" t="str">
        <f t="shared" ref="AL196:AL259" si="19">IF(A196=D196,"remplir à la main","")</f>
        <v/>
      </c>
      <c r="AM196" t="str">
        <f>VLOOKUP(A196,'Table corresp.'!$M$4:$U$63,8,FALSE)</f>
        <v>Production intermédiaire</v>
      </c>
      <c r="AN196" t="str">
        <f>VLOOKUP(D196,'Table corresp.'!$M$4:$U$63,9,FALSE)</f>
        <v xml:space="preserve">Mise en œuvre </v>
      </c>
    </row>
    <row r="197" spans="1:40" x14ac:dyDescent="0.25">
      <c r="A197" t="s">
        <v>13</v>
      </c>
      <c r="B197" t="str">
        <f>VLOOKUP(LEFT(A197,3),'Table corresp.'!$A$4:$D$63,3,FALSE)</f>
        <v>Transformation</v>
      </c>
      <c r="C197" t="str">
        <f>VLOOKUP(A197,'Table corresp.'!$M$4:$P$63,4,FALSE)</f>
        <v>Production et transformation de produits bois</v>
      </c>
      <c r="D197" t="s">
        <v>24</v>
      </c>
      <c r="E197" t="str">
        <f>VLOOKUP(LEFT(D197,3),'Table corresp.'!$A$4:$D$63,4,FALSE)</f>
        <v>Transformation</v>
      </c>
      <c r="F197" t="str">
        <f t="shared" si="18"/>
        <v xml:space="preserve">20  - 57 </v>
      </c>
      <c r="G197" s="1">
        <v>98019.854441168893</v>
      </c>
      <c r="H197" s="1">
        <v>34128.293706979246</v>
      </c>
      <c r="I197" s="1">
        <v>132148.14814814815</v>
      </c>
      <c r="J197" s="1">
        <v>576.97515500212421</v>
      </c>
      <c r="K197" s="1">
        <v>194.77569031865693</v>
      </c>
      <c r="L197" s="1">
        <v>771.75084532078108</v>
      </c>
      <c r="M197" s="1">
        <v>0</v>
      </c>
      <c r="N197" s="1">
        <v>0</v>
      </c>
      <c r="O197" s="1">
        <v>0</v>
      </c>
      <c r="P197" s="1">
        <v>0</v>
      </c>
      <c r="Q197" s="1">
        <v>0</v>
      </c>
      <c r="R197" s="1">
        <v>0</v>
      </c>
      <c r="S197" s="67"/>
      <c r="T197">
        <f>VLOOKUP(A197,'Groupe de branches'!$Z$27:$AM$86,14,FALSE)</f>
        <v>0</v>
      </c>
      <c r="U197">
        <f>VLOOKUP(D197,'Groupe de branches'!$Z$27:$AM$86,14,FALSE)</f>
        <v>0</v>
      </c>
      <c r="V197">
        <v>2016</v>
      </c>
      <c r="W197" t="str">
        <f>VLOOKUP(D197,'Table corresp.'!$M$4:$S$63,7,FALSE)</f>
        <v>Construction</v>
      </c>
      <c r="X197" s="167">
        <f>IFERROR(G197/SUMIFS('Comp2016-2017 (3)'!$I$5:$I$289,'Comp2016-2017 (3)'!$A$5:$A$289,A197,'Comp2016-2017 (3)'!$R$5:$R$289,V197),0)</f>
        <v>0.14121863483816294</v>
      </c>
      <c r="Y197" s="178">
        <f>IFERROR(IF(RIGHT(F197,3)="Exp",VLOOKUP(F197,#REF!,2,FALSE),VLOOKUP(F197,#REF!,9,FALSE)),1)</f>
        <v>1</v>
      </c>
      <c r="Z197" s="167">
        <f t="shared" ref="Z197:Z228" si="20">Y197/SUMIFS($Y$4:$Y$1116,$V$4:$V$1116,V197,$A$4:$A$1116,A197)</f>
        <v>0.1</v>
      </c>
      <c r="AA197" s="189">
        <f t="shared" ref="AA197:AA260" si="21">X197*Z197</f>
        <v>1.4121863483816294E-2</v>
      </c>
      <c r="AB197" s="2">
        <f>IFERROR(SUMIFS('Comp2016-2017 (3)'!$G$5:$G$289,'Comp2016-2017 (3)'!$A$5:$A$289,A197,'Comp2016-2017 (3)'!$R$5:$R$289,V197)*AA197/SUMIFS($AA$4:$AA$1116,$A$4:$A$1116,A197,$V$4:$V$1116,V197),0)</f>
        <v>18733.198007733492</v>
      </c>
      <c r="AC197" s="2" t="str">
        <f>IF($W197=AC$3,$AB197,IF(NOT($W197=0),"",SUMIFS('Val-Vol (2)'!AC$4:AC$1116,'Val-Vol (2)'!$A$4:$A$1116,$D197,'Val-Vol (2)'!$V$4:$V$1116,$V197)/SUMIFS('Comp2016-2017 (3)'!$G$5:$G$289,'Comp2016-2017 (3)'!$A$5:$A$289,$D197,'Comp2016-2017 (3)'!$R$5:$R$289,$V197)*$AB197))</f>
        <v/>
      </c>
      <c r="AD197" s="2">
        <f>IF($W197=AD$3,$AB197,IF(NOT($W197=0),"",SUMIFS('Val-Vol (2)'!AD$4:AD$1116,'Val-Vol (2)'!$A$4:$A$1116,$D197,'Val-Vol (2)'!$V$4:$V$1116,$V197)/SUMIFS('Comp2016-2017 (3)'!$G$5:$G$289,'Comp2016-2017 (3)'!$A$5:$A$289,$D197,'Comp2016-2017 (3)'!$R$5:$R$289,$V197)*$AB197))</f>
        <v>18733.198007733492</v>
      </c>
      <c r="AE197" s="2" t="str">
        <f>IF($W197=AE$3,$AB197,IF(NOT($W197=0),"",SUMIFS('Val-Vol (2)'!AE$4:AE$1116,'Val-Vol (2)'!$A$4:$A$1116,$D197,'Val-Vol (2)'!$V$4:$V$1116,$V197)/SUMIFS('Comp2016-2017 (3)'!$G$5:$G$289,'Comp2016-2017 (3)'!$A$5:$A$289,$D197,'Comp2016-2017 (3)'!$R$5:$R$289,$V197)*$AB197))</f>
        <v/>
      </c>
      <c r="AF197" s="2" t="str">
        <f>IF($W197=AF$3,$AB197,IF(NOT($W197=0),"",SUMIFS('Val-Vol (2)'!AF$4:AF$1116,'Val-Vol (2)'!$A$4:$A$1116,$D197,'Val-Vol (2)'!$V$4:$V$1116,$V197)/SUMIFS('Comp2016-2017 (3)'!$G$5:$G$289,'Comp2016-2017 (3)'!$A$5:$A$289,$D197,'Comp2016-2017 (3)'!$R$5:$R$289,$V197)*$AB197))</f>
        <v/>
      </c>
      <c r="AG197" s="2" t="str">
        <f>IF($W197=AG$3,$AB197,IF(NOT($W197=0),"",SUMIFS('Val-Vol (2)'!AG$4:AG$1116,'Val-Vol (2)'!$A$4:$A$1116,$D197,'Val-Vol (2)'!$V$4:$V$1116,$V197)/SUMIFS('Comp2016-2017 (3)'!$G$5:$G$289,'Comp2016-2017 (3)'!$A$5:$A$289,$D197,'Comp2016-2017 (3)'!$R$5:$R$289,$V197)*$AB197))</f>
        <v/>
      </c>
      <c r="AH197" s="2" t="str">
        <f>IF($W197=AH$3,$AB197,IF(NOT($W197=0),"",SUMIFS('Val-Vol (2)'!AH$4:AH$1116,'Val-Vol (2)'!$A$4:$A$1116,$D197,'Val-Vol (2)'!$V$4:$V$1116,$V197)/SUMIFS('Comp2016-2017 (3)'!$G$5:$G$289,'Comp2016-2017 (3)'!$A$5:$A$289,$D197,'Comp2016-2017 (3)'!$R$5:$R$289,$V197)*$AB197))</f>
        <v/>
      </c>
      <c r="AI197" s="2" t="str">
        <f>IF($W197=AI$3,$AB197,IF(NOT($W197=0),"",SUMIFS('Val-Vol (2)'!AI$4:AI$1116,'Val-Vol (2)'!$A$4:$A$1116,$D197,'Val-Vol (2)'!$V$4:$V$1116,$V197)/SUMIFS('Comp2016-2017 (3)'!$G$5:$G$289,'Comp2016-2017 (3)'!$A$5:$A$289,$D197,'Comp2016-2017 (3)'!$R$5:$R$289,$V197)*$AB197))</f>
        <v/>
      </c>
      <c r="AJ197" s="2" t="str">
        <f>IF($W197=AJ$3,$AB197,IF(NOT($W197=0),"",SUMIFS('Val-Vol (2)'!AJ$4:AJ$1116,'Val-Vol (2)'!$A$4:$A$1116,$D197,'Val-Vol (2)'!$V$4:$V$1116,$V197)/SUMIFS('Comp2016-2017 (3)'!$G$5:$G$289,'Comp2016-2017 (3)'!$A$5:$A$289,$D197,'Comp2016-2017 (3)'!$R$5:$R$289,$V197)*$AB197))</f>
        <v/>
      </c>
      <c r="AK197" s="2">
        <f t="shared" ref="AK197:AK223" si="22">SUM(AC197:AJ197)-AB197</f>
        <v>0</v>
      </c>
      <c r="AL197" t="str">
        <f t="shared" si="19"/>
        <v/>
      </c>
      <c r="AM197" t="str">
        <f>VLOOKUP(A197,'Table corresp.'!$M$4:$U$63,8,FALSE)</f>
        <v>Production intermédiaire</v>
      </c>
      <c r="AN197" t="str">
        <f>VLOOKUP(D197,'Table corresp.'!$M$4:$U$63,9,FALSE)</f>
        <v xml:space="preserve">Mise en œuvre </v>
      </c>
    </row>
    <row r="198" spans="1:40" x14ac:dyDescent="0.25">
      <c r="A198" t="s">
        <v>13</v>
      </c>
      <c r="B198" t="str">
        <f>VLOOKUP(LEFT(A198,3),'Table corresp.'!$A$4:$D$63,3,FALSE)</f>
        <v>Transformation</v>
      </c>
      <c r="C198" t="str">
        <f>VLOOKUP(A198,'Table corresp.'!$M$4:$P$63,4,FALSE)</f>
        <v>Production et transformation de produits bois</v>
      </c>
      <c r="D198" t="s">
        <v>25</v>
      </c>
      <c r="E198" t="str">
        <f>VLOOKUP(LEFT(D198,3),'Table corresp.'!$A$4:$D$63,4,FALSE)</f>
        <v>Transformation</v>
      </c>
      <c r="F198" t="str">
        <f t="shared" si="18"/>
        <v xml:space="preserve">20  - 58 </v>
      </c>
      <c r="G198" s="1">
        <v>9251.3474520732925</v>
      </c>
      <c r="H198" s="1">
        <v>3221.1096907838501</v>
      </c>
      <c r="I198" s="1">
        <v>12472.457142857143</v>
      </c>
      <c r="J198" s="1">
        <v>63.532338463454742</v>
      </c>
      <c r="K198" s="1">
        <v>19.302563510831177</v>
      </c>
      <c r="L198" s="1">
        <v>82.834901974285913</v>
      </c>
      <c r="M198" s="1">
        <v>0</v>
      </c>
      <c r="N198" s="1">
        <v>0</v>
      </c>
      <c r="O198" s="1">
        <v>0</v>
      </c>
      <c r="P198" s="1">
        <v>0</v>
      </c>
      <c r="Q198" s="1">
        <v>0</v>
      </c>
      <c r="R198" s="1">
        <v>0</v>
      </c>
      <c r="S198" s="67"/>
      <c r="T198">
        <f>VLOOKUP(A198,'Groupe de branches'!$Z$27:$AM$86,14,FALSE)</f>
        <v>0</v>
      </c>
      <c r="U198">
        <f>VLOOKUP(D198,'Groupe de branches'!$Z$27:$AM$86,14,FALSE)</f>
        <v>0</v>
      </c>
      <c r="V198">
        <v>2016</v>
      </c>
      <c r="W198" t="str">
        <f>VLOOKUP(D198,'Table corresp.'!$M$4:$S$63,7,FALSE)</f>
        <v>Construction</v>
      </c>
      <c r="X198" s="167">
        <f>IFERROR(G198/SUMIFS('Comp2016-2017 (3)'!$I$5:$I$289,'Comp2016-2017 (3)'!$A$5:$A$289,A198,'Comp2016-2017 (3)'!$R$5:$R$289,V198),0)</f>
        <v>1.3328551292426586E-2</v>
      </c>
      <c r="Y198" s="178">
        <f>IFERROR(IF(RIGHT(F198,3)="Exp",VLOOKUP(F198,#REF!,2,FALSE),VLOOKUP(F198,#REF!,9,FALSE)),1)</f>
        <v>1</v>
      </c>
      <c r="Z198" s="167">
        <f t="shared" si="20"/>
        <v>0.1</v>
      </c>
      <c r="AA198" s="189">
        <f t="shared" si="21"/>
        <v>1.3328551292426587E-3</v>
      </c>
      <c r="AB198" s="2">
        <f>IFERROR(SUMIFS('Comp2016-2017 (3)'!$G$5:$G$289,'Comp2016-2017 (3)'!$A$5:$A$289,A198,'Comp2016-2017 (3)'!$R$5:$R$289,V198)*AA198/SUMIFS($AA$4:$AA$1116,$A$4:$A$1116,A198,$V$4:$V$1116,V198),0)</f>
        <v>1768.0838708248446</v>
      </c>
      <c r="AC198" s="2" t="str">
        <f>IF($W198=AC$3,$AB198,IF(NOT($W198=0),"",SUMIFS('Val-Vol (2)'!AC$4:AC$1116,'Val-Vol (2)'!$A$4:$A$1116,$D198,'Val-Vol (2)'!$V$4:$V$1116,$V198)/SUMIFS('Comp2016-2017 (3)'!$G$5:$G$289,'Comp2016-2017 (3)'!$A$5:$A$289,$D198,'Comp2016-2017 (3)'!$R$5:$R$289,$V198)*$AB198))</f>
        <v/>
      </c>
      <c r="AD198" s="2">
        <f>IF($W198=AD$3,$AB198,IF(NOT($W198=0),"",SUMIFS('Val-Vol (2)'!AD$4:AD$1116,'Val-Vol (2)'!$A$4:$A$1116,$D198,'Val-Vol (2)'!$V$4:$V$1116,$V198)/SUMIFS('Comp2016-2017 (3)'!$G$5:$G$289,'Comp2016-2017 (3)'!$A$5:$A$289,$D198,'Comp2016-2017 (3)'!$R$5:$R$289,$V198)*$AB198))</f>
        <v>1768.0838708248446</v>
      </c>
      <c r="AE198" s="2" t="str">
        <f>IF($W198=AE$3,$AB198,IF(NOT($W198=0),"",SUMIFS('Val-Vol (2)'!AE$4:AE$1116,'Val-Vol (2)'!$A$4:$A$1116,$D198,'Val-Vol (2)'!$V$4:$V$1116,$V198)/SUMIFS('Comp2016-2017 (3)'!$G$5:$G$289,'Comp2016-2017 (3)'!$A$5:$A$289,$D198,'Comp2016-2017 (3)'!$R$5:$R$289,$V198)*$AB198))</f>
        <v/>
      </c>
      <c r="AF198" s="2" t="str">
        <f>IF($W198=AF$3,$AB198,IF(NOT($W198=0),"",SUMIFS('Val-Vol (2)'!AF$4:AF$1116,'Val-Vol (2)'!$A$4:$A$1116,$D198,'Val-Vol (2)'!$V$4:$V$1116,$V198)/SUMIFS('Comp2016-2017 (3)'!$G$5:$G$289,'Comp2016-2017 (3)'!$A$5:$A$289,$D198,'Comp2016-2017 (3)'!$R$5:$R$289,$V198)*$AB198))</f>
        <v/>
      </c>
      <c r="AG198" s="2" t="str">
        <f>IF($W198=AG$3,$AB198,IF(NOT($W198=0),"",SUMIFS('Val-Vol (2)'!AG$4:AG$1116,'Val-Vol (2)'!$A$4:$A$1116,$D198,'Val-Vol (2)'!$V$4:$V$1116,$V198)/SUMIFS('Comp2016-2017 (3)'!$G$5:$G$289,'Comp2016-2017 (3)'!$A$5:$A$289,$D198,'Comp2016-2017 (3)'!$R$5:$R$289,$V198)*$AB198))</f>
        <v/>
      </c>
      <c r="AH198" s="2" t="str">
        <f>IF($W198=AH$3,$AB198,IF(NOT($W198=0),"",SUMIFS('Val-Vol (2)'!AH$4:AH$1116,'Val-Vol (2)'!$A$4:$A$1116,$D198,'Val-Vol (2)'!$V$4:$V$1116,$V198)/SUMIFS('Comp2016-2017 (3)'!$G$5:$G$289,'Comp2016-2017 (3)'!$A$5:$A$289,$D198,'Comp2016-2017 (3)'!$R$5:$R$289,$V198)*$AB198))</f>
        <v/>
      </c>
      <c r="AI198" s="2" t="str">
        <f>IF($W198=AI$3,$AB198,IF(NOT($W198=0),"",SUMIFS('Val-Vol (2)'!AI$4:AI$1116,'Val-Vol (2)'!$A$4:$A$1116,$D198,'Val-Vol (2)'!$V$4:$V$1116,$V198)/SUMIFS('Comp2016-2017 (3)'!$G$5:$G$289,'Comp2016-2017 (3)'!$A$5:$A$289,$D198,'Comp2016-2017 (3)'!$R$5:$R$289,$V198)*$AB198))</f>
        <v/>
      </c>
      <c r="AJ198" s="2" t="str">
        <f>IF($W198=AJ$3,$AB198,IF(NOT($W198=0),"",SUMIFS('Val-Vol (2)'!AJ$4:AJ$1116,'Val-Vol (2)'!$A$4:$A$1116,$D198,'Val-Vol (2)'!$V$4:$V$1116,$V198)/SUMIFS('Comp2016-2017 (3)'!$G$5:$G$289,'Comp2016-2017 (3)'!$A$5:$A$289,$D198,'Comp2016-2017 (3)'!$R$5:$R$289,$V198)*$AB198))</f>
        <v/>
      </c>
      <c r="AK198" s="2">
        <f t="shared" si="22"/>
        <v>0</v>
      </c>
      <c r="AL198" t="str">
        <f t="shared" si="19"/>
        <v/>
      </c>
      <c r="AM198" t="str">
        <f>VLOOKUP(A198,'Table corresp.'!$M$4:$U$63,8,FALSE)</f>
        <v>Production intermédiaire</v>
      </c>
      <c r="AN198" t="str">
        <f>VLOOKUP(D198,'Table corresp.'!$M$4:$U$63,9,FALSE)</f>
        <v xml:space="preserve">Mise en œuvre </v>
      </c>
    </row>
    <row r="199" spans="1:40" x14ac:dyDescent="0.25">
      <c r="A199" t="s">
        <v>13</v>
      </c>
      <c r="B199" t="str">
        <f>VLOOKUP(LEFT(A199,3),'Table corresp.'!$A$4:$D$63,3,FALSE)</f>
        <v>Transformation</v>
      </c>
      <c r="C199" t="str">
        <f>VLOOKUP(A199,'Table corresp.'!$M$4:$P$63,4,FALSE)</f>
        <v>Production et transformation de produits bois</v>
      </c>
      <c r="D199" t="s">
        <v>54</v>
      </c>
      <c r="E199" t="str">
        <f>VLOOKUP(LEFT(D199,3),'Table corresp.'!$A$4:$D$63,4,FALSE)</f>
        <v>Consommation finale</v>
      </c>
      <c r="F199" t="str">
        <f t="shared" si="18"/>
        <v>20  - Con</v>
      </c>
      <c r="G199" s="1">
        <v>241545</v>
      </c>
      <c r="H199" s="1">
        <v>185977.70823529409</v>
      </c>
      <c r="I199" s="1">
        <v>427522.70823529409</v>
      </c>
      <c r="J199" s="1">
        <v>414.6941505995444</v>
      </c>
      <c r="K199" s="1">
        <v>278.61877345265236</v>
      </c>
      <c r="L199" s="1">
        <v>693.31292405219676</v>
      </c>
      <c r="M199" s="1">
        <v>0</v>
      </c>
      <c r="N199" s="1">
        <v>0</v>
      </c>
      <c r="O199" s="1">
        <v>0</v>
      </c>
      <c r="P199" s="1">
        <v>0</v>
      </c>
      <c r="Q199" s="1">
        <v>0</v>
      </c>
      <c r="R199" s="1">
        <v>0</v>
      </c>
      <c r="S199" s="67"/>
      <c r="T199">
        <f>VLOOKUP(A199,'Groupe de branches'!$Z$27:$AM$86,14,FALSE)</f>
        <v>0</v>
      </c>
      <c r="U199">
        <f>VLOOKUP(D199,'Groupe de branches'!$Z$27:$AM$86,14,FALSE)</f>
        <v>0</v>
      </c>
      <c r="V199">
        <v>2016</v>
      </c>
      <c r="W199" t="str">
        <f>VLOOKUP(D199,'Table corresp.'!$M$4:$S$63,7,FALSE)</f>
        <v>Consommation finale</v>
      </c>
      <c r="X199" s="167">
        <f>IFERROR(G199/SUMIFS('Comp2016-2017 (3)'!$I$5:$I$289,'Comp2016-2017 (3)'!$A$5:$A$289,A199,'Comp2016-2017 (3)'!$R$5:$R$289,V199),0)</f>
        <v>0.34799740671373003</v>
      </c>
      <c r="Y199" s="178">
        <f>IFERROR(IF(RIGHT(F199,3)="Exp",VLOOKUP(F199,#REF!,2,FALSE),VLOOKUP(F199,#REF!,9,FALSE)),1)</f>
        <v>1</v>
      </c>
      <c r="Z199" s="167">
        <f t="shared" si="20"/>
        <v>0.1</v>
      </c>
      <c r="AA199" s="189">
        <f t="shared" si="21"/>
        <v>3.4799740671373001E-2</v>
      </c>
      <c r="AB199" s="2">
        <f>IFERROR(SUMIFS('Comp2016-2017 (3)'!$G$5:$G$289,'Comp2016-2017 (3)'!$A$5:$A$289,A199,'Comp2016-2017 (3)'!$R$5:$R$289,V199)*AA199/SUMIFS($AA$4:$AA$1116,$A$4:$A$1116,A199,$V$4:$V$1116,V199),0)</f>
        <v>46163.201716381023</v>
      </c>
      <c r="AC199" s="2" t="str">
        <f>IF($W199=AC$3,$AB199,IF(NOT($W199=0),"",SUMIFS('Val-Vol (2)'!AC$4:AC$1116,'Val-Vol (2)'!$A$4:$A$1116,$D199,'Val-Vol (2)'!$V$4:$V$1116,$V199)/SUMIFS('Comp2016-2017 (3)'!$G$5:$G$289,'Comp2016-2017 (3)'!$A$5:$A$289,$D199,'Comp2016-2017 (3)'!$R$5:$R$289,$V199)*$AB199))</f>
        <v/>
      </c>
      <c r="AD199" s="2" t="str">
        <f>IF($W199=AD$3,$AB199,IF(NOT($W199=0),"",SUMIFS('Val-Vol (2)'!AD$4:AD$1116,'Val-Vol (2)'!$A$4:$A$1116,$D199,'Val-Vol (2)'!$V$4:$V$1116,$V199)/SUMIFS('Comp2016-2017 (3)'!$G$5:$G$289,'Comp2016-2017 (3)'!$A$5:$A$289,$D199,'Comp2016-2017 (3)'!$R$5:$R$289,$V199)*$AB199))</f>
        <v/>
      </c>
      <c r="AE199" s="2" t="str">
        <f>IF($W199=AE$3,$AB199,IF(NOT($W199=0),"",SUMIFS('Val-Vol (2)'!AE$4:AE$1116,'Val-Vol (2)'!$A$4:$A$1116,$D199,'Val-Vol (2)'!$V$4:$V$1116,$V199)/SUMIFS('Comp2016-2017 (3)'!$G$5:$G$289,'Comp2016-2017 (3)'!$A$5:$A$289,$D199,'Comp2016-2017 (3)'!$R$5:$R$289,$V199)*$AB199))</f>
        <v/>
      </c>
      <c r="AF199" s="2" t="str">
        <f>IF($W199=AF$3,$AB199,IF(NOT($W199=0),"",SUMIFS('Val-Vol (2)'!AF$4:AF$1116,'Val-Vol (2)'!$A$4:$A$1116,$D199,'Val-Vol (2)'!$V$4:$V$1116,$V199)/SUMIFS('Comp2016-2017 (3)'!$G$5:$G$289,'Comp2016-2017 (3)'!$A$5:$A$289,$D199,'Comp2016-2017 (3)'!$R$5:$R$289,$V199)*$AB199))</f>
        <v/>
      </c>
      <c r="AG199" s="2" t="str">
        <f>IF($W199=AG$3,$AB199,IF(NOT($W199=0),"",SUMIFS('Val-Vol (2)'!AG$4:AG$1116,'Val-Vol (2)'!$A$4:$A$1116,$D199,'Val-Vol (2)'!$V$4:$V$1116,$V199)/SUMIFS('Comp2016-2017 (3)'!$G$5:$G$289,'Comp2016-2017 (3)'!$A$5:$A$289,$D199,'Comp2016-2017 (3)'!$R$5:$R$289,$V199)*$AB199))</f>
        <v/>
      </c>
      <c r="AH199" s="2" t="str">
        <f>IF($W199=AH$3,$AB199,IF(NOT($W199=0),"",SUMIFS('Val-Vol (2)'!AH$4:AH$1116,'Val-Vol (2)'!$A$4:$A$1116,$D199,'Val-Vol (2)'!$V$4:$V$1116,$V199)/SUMIFS('Comp2016-2017 (3)'!$G$5:$G$289,'Comp2016-2017 (3)'!$A$5:$A$289,$D199,'Comp2016-2017 (3)'!$R$5:$R$289,$V199)*$AB199))</f>
        <v/>
      </c>
      <c r="AI199" s="2" t="str">
        <f>IF($W199=AI$3,$AB199,IF(NOT($W199=0),"",SUMIFS('Val-Vol (2)'!AI$4:AI$1116,'Val-Vol (2)'!$A$4:$A$1116,$D199,'Val-Vol (2)'!$V$4:$V$1116,$V199)/SUMIFS('Comp2016-2017 (3)'!$G$5:$G$289,'Comp2016-2017 (3)'!$A$5:$A$289,$D199,'Comp2016-2017 (3)'!$R$5:$R$289,$V199)*$AB199))</f>
        <v/>
      </c>
      <c r="AJ199" s="2">
        <f>IF($W199=AJ$3,$AB199,IF(NOT($W199=0),"",SUMIFS('Val-Vol (2)'!AJ$4:AJ$1116,'Val-Vol (2)'!$A$4:$A$1116,$D199,'Val-Vol (2)'!$V$4:$V$1116,$V199)/SUMIFS('Comp2016-2017 (3)'!$G$5:$G$289,'Comp2016-2017 (3)'!$A$5:$A$289,$D199,'Comp2016-2017 (3)'!$R$5:$R$289,$V199)*$AB199))</f>
        <v>46163.201716381023</v>
      </c>
      <c r="AK199" s="2">
        <f t="shared" si="22"/>
        <v>0</v>
      </c>
      <c r="AL199" t="str">
        <f t="shared" si="19"/>
        <v/>
      </c>
      <c r="AM199" t="str">
        <f>VLOOKUP(A199,'Table corresp.'!$M$4:$U$63,8,FALSE)</f>
        <v>Production intermédiaire</v>
      </c>
      <c r="AN199" t="str">
        <f>VLOOKUP(D199,'Table corresp.'!$M$4:$U$63,9,FALSE)</f>
        <v>Consommation finale française</v>
      </c>
    </row>
    <row r="200" spans="1:40" x14ac:dyDescent="0.25">
      <c r="A200" t="s">
        <v>13</v>
      </c>
      <c r="B200" t="str">
        <f>VLOOKUP(LEFT(A200,3),'Table corresp.'!$A$4:$D$63,3,FALSE)</f>
        <v>Transformation</v>
      </c>
      <c r="C200" t="str">
        <f>VLOOKUP(A200,'Table corresp.'!$M$4:$P$63,4,FALSE)</f>
        <v>Production et transformation de produits bois</v>
      </c>
      <c r="D200" t="s">
        <v>53</v>
      </c>
      <c r="E200" t="str">
        <f>VLOOKUP(LEFT(D200,3),'Table corresp.'!$A$4:$D$63,4,FALSE)</f>
        <v>Exportation</v>
      </c>
      <c r="F200" t="str">
        <f t="shared" si="18"/>
        <v>20  - Exp</v>
      </c>
      <c r="G200" s="1">
        <v>78652.824000000008</v>
      </c>
      <c r="H200" s="1">
        <v>0</v>
      </c>
      <c r="I200" s="1">
        <v>78652.824000000008</v>
      </c>
      <c r="J200" s="1">
        <v>254.95076016490657</v>
      </c>
      <c r="K200" s="1">
        <v>0</v>
      </c>
      <c r="L200" s="1">
        <v>254.95076016490657</v>
      </c>
      <c r="M200" s="1">
        <v>0</v>
      </c>
      <c r="N200" s="1">
        <v>0</v>
      </c>
      <c r="O200" s="1">
        <v>0</v>
      </c>
      <c r="P200" s="1">
        <v>0</v>
      </c>
      <c r="Q200" s="1">
        <v>0</v>
      </c>
      <c r="R200" s="1">
        <v>0</v>
      </c>
      <c r="S200" s="67"/>
      <c r="T200">
        <f>VLOOKUP(A200,'Groupe de branches'!$Z$27:$AM$86,14,FALSE)</f>
        <v>0</v>
      </c>
      <c r="U200">
        <f>VLOOKUP(D200,'Groupe de branches'!$Z$27:$AM$86,14,FALSE)</f>
        <v>0</v>
      </c>
      <c r="V200">
        <v>2016</v>
      </c>
      <c r="W200" t="str">
        <f>VLOOKUP(D200,'Table corresp.'!$M$4:$S$63,7,FALSE)</f>
        <v>Exportation</v>
      </c>
      <c r="X200" s="167">
        <f>IFERROR(G200/SUMIFS('Comp2016-2017 (3)'!$I$5:$I$289,'Comp2016-2017 (3)'!$A$5:$A$289,A200,'Comp2016-2017 (3)'!$R$5:$R$289,V200),0)</f>
        <v>0.1133162714306296</v>
      </c>
      <c r="Y200" s="178">
        <f>IFERROR(IF(RIGHT(F200,3)="Exp",VLOOKUP(F200,#REF!,2,FALSE),VLOOKUP(F200,#REF!,9,FALSE)),1)</f>
        <v>1</v>
      </c>
      <c r="Z200" s="167">
        <f t="shared" si="20"/>
        <v>0.1</v>
      </c>
      <c r="AA200" s="189">
        <f t="shared" si="21"/>
        <v>1.1331627143062961E-2</v>
      </c>
      <c r="AB200" s="2">
        <f>IFERROR(SUMIFS('Comp2016-2017 (3)'!$G$5:$G$289,'Comp2016-2017 (3)'!$A$5:$A$289,A200,'Comp2016-2017 (3)'!$R$5:$R$289,V200)*AA200/SUMIFS($AA$4:$AA$1116,$A$4:$A$1116,A200,$V$4:$V$1116,V200),0)</f>
        <v>15031.841602496492</v>
      </c>
      <c r="AC200" s="2">
        <f>IF($W200=AC$3,$AB200,IF(NOT($W200=0),"",SUMIFS('Val-Vol (2)'!AC$4:AC$1116,'Val-Vol (2)'!$A$4:$A$1116,$D200,'Val-Vol (2)'!$V$4:$V$1116,$V200)/SUMIFS('Comp2016-2017 (3)'!$G$5:$G$289,'Comp2016-2017 (3)'!$A$5:$A$289,$D200,'Comp2016-2017 (3)'!$R$5:$R$289,$V200)*$AB200))</f>
        <v>15031.841602496492</v>
      </c>
      <c r="AD200" s="2" t="str">
        <f>IF($W200=AD$3,$AB200,IF(NOT($W200=0),"",SUMIFS('Val-Vol (2)'!AD$4:AD$1116,'Val-Vol (2)'!$A$4:$A$1116,$D200,'Val-Vol (2)'!$V$4:$V$1116,$V200)/SUMIFS('Comp2016-2017 (3)'!$G$5:$G$289,'Comp2016-2017 (3)'!$A$5:$A$289,$D200,'Comp2016-2017 (3)'!$R$5:$R$289,$V200)*$AB200))</f>
        <v/>
      </c>
      <c r="AE200" s="2" t="str">
        <f>IF($W200=AE$3,$AB200,IF(NOT($W200=0),"",SUMIFS('Val-Vol (2)'!AE$4:AE$1116,'Val-Vol (2)'!$A$4:$A$1116,$D200,'Val-Vol (2)'!$V$4:$V$1116,$V200)/SUMIFS('Comp2016-2017 (3)'!$G$5:$G$289,'Comp2016-2017 (3)'!$A$5:$A$289,$D200,'Comp2016-2017 (3)'!$R$5:$R$289,$V200)*$AB200))</f>
        <v/>
      </c>
      <c r="AF200" s="2" t="str">
        <f>IF($W200=AF$3,$AB200,IF(NOT($W200=0),"",SUMIFS('Val-Vol (2)'!AF$4:AF$1116,'Val-Vol (2)'!$A$4:$A$1116,$D200,'Val-Vol (2)'!$V$4:$V$1116,$V200)/SUMIFS('Comp2016-2017 (3)'!$G$5:$G$289,'Comp2016-2017 (3)'!$A$5:$A$289,$D200,'Comp2016-2017 (3)'!$R$5:$R$289,$V200)*$AB200))</f>
        <v/>
      </c>
      <c r="AG200" s="2" t="str">
        <f>IF($W200=AG$3,$AB200,IF(NOT($W200=0),"",SUMIFS('Val-Vol (2)'!AG$4:AG$1116,'Val-Vol (2)'!$A$4:$A$1116,$D200,'Val-Vol (2)'!$V$4:$V$1116,$V200)/SUMIFS('Comp2016-2017 (3)'!$G$5:$G$289,'Comp2016-2017 (3)'!$A$5:$A$289,$D200,'Comp2016-2017 (3)'!$R$5:$R$289,$V200)*$AB200))</f>
        <v/>
      </c>
      <c r="AH200" s="2" t="str">
        <f>IF($W200=AH$3,$AB200,IF(NOT($W200=0),"",SUMIFS('Val-Vol (2)'!AH$4:AH$1116,'Val-Vol (2)'!$A$4:$A$1116,$D200,'Val-Vol (2)'!$V$4:$V$1116,$V200)/SUMIFS('Comp2016-2017 (3)'!$G$5:$G$289,'Comp2016-2017 (3)'!$A$5:$A$289,$D200,'Comp2016-2017 (3)'!$R$5:$R$289,$V200)*$AB200))</f>
        <v/>
      </c>
      <c r="AI200" s="2" t="str">
        <f>IF($W200=AI$3,$AB200,IF(NOT($W200=0),"",SUMIFS('Val-Vol (2)'!AI$4:AI$1116,'Val-Vol (2)'!$A$4:$A$1116,$D200,'Val-Vol (2)'!$V$4:$V$1116,$V200)/SUMIFS('Comp2016-2017 (3)'!$G$5:$G$289,'Comp2016-2017 (3)'!$A$5:$A$289,$D200,'Comp2016-2017 (3)'!$R$5:$R$289,$V200)*$AB200))</f>
        <v/>
      </c>
      <c r="AJ200" s="2" t="str">
        <f>IF($W200=AJ$3,$AB200,IF(NOT($W200=0),"",SUMIFS('Val-Vol (2)'!AJ$4:AJ$1116,'Val-Vol (2)'!$A$4:$A$1116,$D200,'Val-Vol (2)'!$V$4:$V$1116,$V200)/SUMIFS('Comp2016-2017 (3)'!$G$5:$G$289,'Comp2016-2017 (3)'!$A$5:$A$289,$D200,'Comp2016-2017 (3)'!$R$5:$R$289,$V200)*$AB200))</f>
        <v/>
      </c>
      <c r="AK200" s="2">
        <f t="shared" si="22"/>
        <v>0</v>
      </c>
      <c r="AL200" t="str">
        <f t="shared" si="19"/>
        <v/>
      </c>
      <c r="AM200" t="str">
        <f>VLOOKUP(A200,'Table corresp.'!$M$4:$U$63,8,FALSE)</f>
        <v>Production intermédiaire</v>
      </c>
      <c r="AN200" t="str">
        <f>VLOOKUP(D200,'Table corresp.'!$M$4:$U$63,9,FALSE)</f>
        <v>Exportation</v>
      </c>
    </row>
    <row r="201" spans="1:40" x14ac:dyDescent="0.25">
      <c r="A201" t="s">
        <v>14</v>
      </c>
      <c r="B201" t="str">
        <f>VLOOKUP(LEFT(A201,3),'Table corresp.'!$A$4:$D$63,3,FALSE)</f>
        <v>Transformation</v>
      </c>
      <c r="C201" t="str">
        <f>VLOOKUP(A201,'Table corresp.'!$M$4:$P$63,4,FALSE)</f>
        <v>Production et transformation de produits bois</v>
      </c>
      <c r="D201" t="s">
        <v>85</v>
      </c>
      <c r="E201" t="str">
        <f>VLOOKUP(LEFT(D201,3),'Table corresp.'!$A$4:$D$63,4,FALSE)</f>
        <v>Transformation</v>
      </c>
      <c r="F201" t="str">
        <f t="shared" si="18"/>
        <v xml:space="preserve">20b - 29 </v>
      </c>
      <c r="G201" s="1">
        <v>4112</v>
      </c>
      <c r="H201" s="1">
        <v>3070</v>
      </c>
      <c r="I201" s="1">
        <v>7182</v>
      </c>
      <c r="J201" s="1">
        <v>15.205722937183662</v>
      </c>
      <c r="K201" s="1">
        <v>12.613913050463102</v>
      </c>
      <c r="L201" s="1">
        <v>27.819635987646762</v>
      </c>
      <c r="M201" s="1">
        <v>0</v>
      </c>
      <c r="N201" s="1">
        <v>0</v>
      </c>
      <c r="O201" s="1">
        <v>0</v>
      </c>
      <c r="P201" s="1">
        <v>0</v>
      </c>
      <c r="Q201" s="1">
        <v>0</v>
      </c>
      <c r="R201" s="1">
        <v>0</v>
      </c>
      <c r="S201" s="67"/>
      <c r="T201">
        <f>VLOOKUP(A201,'Groupe de branches'!$Z$27:$AM$86,14,FALSE)</f>
        <v>0</v>
      </c>
      <c r="U201">
        <f>VLOOKUP(D201,'Groupe de branches'!$Z$27:$AM$86,14,FALSE)</f>
        <v>0</v>
      </c>
      <c r="V201">
        <v>2016</v>
      </c>
      <c r="W201" t="str">
        <f>VLOOKUP(D201,'Table corresp.'!$M$4:$S$63,7,FALSE)</f>
        <v>Construction</v>
      </c>
      <c r="X201" s="167">
        <f>IFERROR(G201/SUMIFS('Comp2016-2017 (3)'!$I$5:$I$289,'Comp2016-2017 (3)'!$A$5:$A$289,A201,'Comp2016-2017 (3)'!$R$5:$R$289,V201),0)</f>
        <v>2.4983291816027705E-2</v>
      </c>
      <c r="Y201" s="178">
        <f>IFERROR(IF(RIGHT(F201,3)="Exp",VLOOKUP(F201,#REF!,2,FALSE),VLOOKUP(F201,#REF!,9,FALSE)),1)</f>
        <v>1</v>
      </c>
      <c r="Z201" s="167">
        <f t="shared" si="20"/>
        <v>7.1428571428571425E-2</v>
      </c>
      <c r="AA201" s="189">
        <f t="shared" si="21"/>
        <v>1.7845208440019789E-3</v>
      </c>
      <c r="AB201" s="2">
        <f>IFERROR(SUMIFS('Comp2016-2017 (3)'!$G$5:$G$289,'Comp2016-2017 (3)'!$A$5:$A$289,A201,'Comp2016-2017 (3)'!$R$5:$R$289,V201)*AA201/SUMIFS($AA$4:$AA$1116,$A$4:$A$1116,A201,$V$4:$V$1116,V201),0)</f>
        <v>1122.4323335422218</v>
      </c>
      <c r="AC201" s="2" t="str">
        <f>IF($W201=AC$3,$AB201,IF(NOT($W201=0),"",SUMIFS('Val-Vol (2)'!AC$4:AC$1116,'Val-Vol (2)'!$A$4:$A$1116,$D201,'Val-Vol (2)'!$V$4:$V$1116,$V201)/SUMIFS('Comp2016-2017 (3)'!$G$5:$G$289,'Comp2016-2017 (3)'!$A$5:$A$289,$D201,'Comp2016-2017 (3)'!$R$5:$R$289,$V201)*$AB201))</f>
        <v/>
      </c>
      <c r="AD201" s="2">
        <f>IF($W201=AD$3,$AB201,IF(NOT($W201=0),"",SUMIFS('Val-Vol (2)'!AD$4:AD$1116,'Val-Vol (2)'!$A$4:$A$1116,$D201,'Val-Vol (2)'!$V$4:$V$1116,$V201)/SUMIFS('Comp2016-2017 (3)'!$G$5:$G$289,'Comp2016-2017 (3)'!$A$5:$A$289,$D201,'Comp2016-2017 (3)'!$R$5:$R$289,$V201)*$AB201))</f>
        <v>1122.4323335422218</v>
      </c>
      <c r="AE201" s="2" t="str">
        <f>IF($W201=AE$3,$AB201,IF(NOT($W201=0),"",SUMIFS('Val-Vol (2)'!AE$4:AE$1116,'Val-Vol (2)'!$A$4:$A$1116,$D201,'Val-Vol (2)'!$V$4:$V$1116,$V201)/SUMIFS('Comp2016-2017 (3)'!$G$5:$G$289,'Comp2016-2017 (3)'!$A$5:$A$289,$D201,'Comp2016-2017 (3)'!$R$5:$R$289,$V201)*$AB201))</f>
        <v/>
      </c>
      <c r="AF201" s="2" t="str">
        <f>IF($W201=AF$3,$AB201,IF(NOT($W201=0),"",SUMIFS('Val-Vol (2)'!AF$4:AF$1116,'Val-Vol (2)'!$A$4:$A$1116,$D201,'Val-Vol (2)'!$V$4:$V$1116,$V201)/SUMIFS('Comp2016-2017 (3)'!$G$5:$G$289,'Comp2016-2017 (3)'!$A$5:$A$289,$D201,'Comp2016-2017 (3)'!$R$5:$R$289,$V201)*$AB201))</f>
        <v/>
      </c>
      <c r="AG201" s="2" t="str">
        <f>IF($W201=AG$3,$AB201,IF(NOT($W201=0),"",SUMIFS('Val-Vol (2)'!AG$4:AG$1116,'Val-Vol (2)'!$A$4:$A$1116,$D201,'Val-Vol (2)'!$V$4:$V$1116,$V201)/SUMIFS('Comp2016-2017 (3)'!$G$5:$G$289,'Comp2016-2017 (3)'!$A$5:$A$289,$D201,'Comp2016-2017 (3)'!$R$5:$R$289,$V201)*$AB201))</f>
        <v/>
      </c>
      <c r="AH201" s="2" t="str">
        <f>IF($W201=AH$3,$AB201,IF(NOT($W201=0),"",SUMIFS('Val-Vol (2)'!AH$4:AH$1116,'Val-Vol (2)'!$A$4:$A$1116,$D201,'Val-Vol (2)'!$V$4:$V$1116,$V201)/SUMIFS('Comp2016-2017 (3)'!$G$5:$G$289,'Comp2016-2017 (3)'!$A$5:$A$289,$D201,'Comp2016-2017 (3)'!$R$5:$R$289,$V201)*$AB201))</f>
        <v/>
      </c>
      <c r="AI201" s="2" t="str">
        <f>IF($W201=AI$3,$AB201,IF(NOT($W201=0),"",SUMIFS('Val-Vol (2)'!AI$4:AI$1116,'Val-Vol (2)'!$A$4:$A$1116,$D201,'Val-Vol (2)'!$V$4:$V$1116,$V201)/SUMIFS('Comp2016-2017 (3)'!$G$5:$G$289,'Comp2016-2017 (3)'!$A$5:$A$289,$D201,'Comp2016-2017 (3)'!$R$5:$R$289,$V201)*$AB201))</f>
        <v/>
      </c>
      <c r="AJ201" s="2" t="str">
        <f>IF($W201=AJ$3,$AB201,IF(NOT($W201=0),"",SUMIFS('Val-Vol (2)'!AJ$4:AJ$1116,'Val-Vol (2)'!$A$4:$A$1116,$D201,'Val-Vol (2)'!$V$4:$V$1116,$V201)/SUMIFS('Comp2016-2017 (3)'!$G$5:$G$289,'Comp2016-2017 (3)'!$A$5:$A$289,$D201,'Comp2016-2017 (3)'!$R$5:$R$289,$V201)*$AB201))</f>
        <v/>
      </c>
      <c r="AK201" s="2">
        <f t="shared" si="22"/>
        <v>0</v>
      </c>
      <c r="AL201" t="str">
        <f t="shared" si="19"/>
        <v/>
      </c>
      <c r="AM201" t="str">
        <f>VLOOKUP(A201,'Table corresp.'!$M$4:$U$63,8,FALSE)</f>
        <v>Production intermédiaire</v>
      </c>
      <c r="AN201" t="str">
        <f>VLOOKUP(D201,'Table corresp.'!$M$4:$U$63,9,FALSE)</f>
        <v>Production intermédiaire</v>
      </c>
    </row>
    <row r="202" spans="1:40" x14ac:dyDescent="0.25">
      <c r="A202" t="s">
        <v>14</v>
      </c>
      <c r="B202" t="str">
        <f>VLOOKUP(LEFT(A202,3),'Table corresp.'!$A$4:$D$63,3,FALSE)</f>
        <v>Transformation</v>
      </c>
      <c r="C202" t="str">
        <f>VLOOKUP(A202,'Table corresp.'!$M$4:$P$63,4,FALSE)</f>
        <v>Production et transformation de produits bois</v>
      </c>
      <c r="D202" t="s">
        <v>90</v>
      </c>
      <c r="E202" t="str">
        <f>VLOOKUP(LEFT(D202,3),'Table corresp.'!$A$4:$D$63,4,FALSE)</f>
        <v>Transformation</v>
      </c>
      <c r="F202" t="str">
        <f t="shared" si="18"/>
        <v xml:space="preserve">20b - 34 </v>
      </c>
      <c r="G202" s="1">
        <v>3000</v>
      </c>
      <c r="H202" s="1">
        <v>5000</v>
      </c>
      <c r="I202" s="1">
        <v>8000</v>
      </c>
      <c r="J202" s="1">
        <v>9.3869510798986262</v>
      </c>
      <c r="K202" s="1">
        <v>18.489449096770016</v>
      </c>
      <c r="L202" s="1">
        <v>27.876400176668643</v>
      </c>
      <c r="M202" s="1">
        <v>0</v>
      </c>
      <c r="N202" s="1">
        <v>0</v>
      </c>
      <c r="O202" s="1">
        <v>0</v>
      </c>
      <c r="P202" s="1">
        <v>0</v>
      </c>
      <c r="Q202" s="1">
        <v>0</v>
      </c>
      <c r="R202" s="1">
        <v>0</v>
      </c>
      <c r="S202" s="67"/>
      <c r="T202">
        <f>VLOOKUP(A202,'Groupe de branches'!$Z$27:$AM$86,14,FALSE)</f>
        <v>0</v>
      </c>
      <c r="U202">
        <f>VLOOKUP(D202,'Groupe de branches'!$Z$27:$AM$86,14,FALSE)</f>
        <v>0</v>
      </c>
      <c r="V202">
        <v>2016</v>
      </c>
      <c r="W202" t="str">
        <f>VLOOKUP(D202,'Table corresp.'!$M$4:$S$63,7,FALSE)</f>
        <v>Construction</v>
      </c>
      <c r="X202" s="167">
        <f>IFERROR(G202/SUMIFS('Comp2016-2017 (3)'!$I$5:$I$289,'Comp2016-2017 (3)'!$A$5:$A$289,A202,'Comp2016-2017 (3)'!$R$5:$R$289,V202),0)</f>
        <v>1.8227109787957958E-2</v>
      </c>
      <c r="Y202" s="178">
        <f>IFERROR(IF(RIGHT(F202,3)="Exp",VLOOKUP(F202,#REF!,2,FALSE),VLOOKUP(F202,#REF!,9,FALSE)),1)</f>
        <v>1</v>
      </c>
      <c r="Z202" s="167">
        <f t="shared" si="20"/>
        <v>7.1428571428571425E-2</v>
      </c>
      <c r="AA202" s="189">
        <f t="shared" si="21"/>
        <v>1.3019364134255684E-3</v>
      </c>
      <c r="AB202" s="2">
        <f>IFERROR(SUMIFS('Comp2016-2017 (3)'!$G$5:$G$289,'Comp2016-2017 (3)'!$A$5:$A$289,A202,'Comp2016-2017 (3)'!$R$5:$R$289,V202)*AA202/SUMIFS($AA$4:$AA$1116,$A$4:$A$1116,A202,$V$4:$V$1116,V202),0)</f>
        <v>818.89518497730205</v>
      </c>
      <c r="AC202" s="2" t="str">
        <f>IF($W202=AC$3,$AB202,IF(NOT($W202=0),"",SUMIFS('Val-Vol (2)'!AC$4:AC$1116,'Val-Vol (2)'!$A$4:$A$1116,$D202,'Val-Vol (2)'!$V$4:$V$1116,$V202)/SUMIFS('Comp2016-2017 (3)'!$G$5:$G$289,'Comp2016-2017 (3)'!$A$5:$A$289,$D202,'Comp2016-2017 (3)'!$R$5:$R$289,$V202)*$AB202))</f>
        <v/>
      </c>
      <c r="AD202" s="2">
        <f>IF($W202=AD$3,$AB202,IF(NOT($W202=0),"",SUMIFS('Val-Vol (2)'!AD$4:AD$1116,'Val-Vol (2)'!$A$4:$A$1116,$D202,'Val-Vol (2)'!$V$4:$V$1116,$V202)/SUMIFS('Comp2016-2017 (3)'!$G$5:$G$289,'Comp2016-2017 (3)'!$A$5:$A$289,$D202,'Comp2016-2017 (3)'!$R$5:$R$289,$V202)*$AB202))</f>
        <v>818.89518497730205</v>
      </c>
      <c r="AE202" s="2" t="str">
        <f>IF($W202=AE$3,$AB202,IF(NOT($W202=0),"",SUMIFS('Val-Vol (2)'!AE$4:AE$1116,'Val-Vol (2)'!$A$4:$A$1116,$D202,'Val-Vol (2)'!$V$4:$V$1116,$V202)/SUMIFS('Comp2016-2017 (3)'!$G$5:$G$289,'Comp2016-2017 (3)'!$A$5:$A$289,$D202,'Comp2016-2017 (3)'!$R$5:$R$289,$V202)*$AB202))</f>
        <v/>
      </c>
      <c r="AF202" s="2" t="str">
        <f>IF($W202=AF$3,$AB202,IF(NOT($W202=0),"",SUMIFS('Val-Vol (2)'!AF$4:AF$1116,'Val-Vol (2)'!$A$4:$A$1116,$D202,'Val-Vol (2)'!$V$4:$V$1116,$V202)/SUMIFS('Comp2016-2017 (3)'!$G$5:$G$289,'Comp2016-2017 (3)'!$A$5:$A$289,$D202,'Comp2016-2017 (3)'!$R$5:$R$289,$V202)*$AB202))</f>
        <v/>
      </c>
      <c r="AG202" s="2" t="str">
        <f>IF($W202=AG$3,$AB202,IF(NOT($W202=0),"",SUMIFS('Val-Vol (2)'!AG$4:AG$1116,'Val-Vol (2)'!$A$4:$A$1116,$D202,'Val-Vol (2)'!$V$4:$V$1116,$V202)/SUMIFS('Comp2016-2017 (3)'!$G$5:$G$289,'Comp2016-2017 (3)'!$A$5:$A$289,$D202,'Comp2016-2017 (3)'!$R$5:$R$289,$V202)*$AB202))</f>
        <v/>
      </c>
      <c r="AH202" s="2" t="str">
        <f>IF($W202=AH$3,$AB202,IF(NOT($W202=0),"",SUMIFS('Val-Vol (2)'!AH$4:AH$1116,'Val-Vol (2)'!$A$4:$A$1116,$D202,'Val-Vol (2)'!$V$4:$V$1116,$V202)/SUMIFS('Comp2016-2017 (3)'!$G$5:$G$289,'Comp2016-2017 (3)'!$A$5:$A$289,$D202,'Comp2016-2017 (3)'!$R$5:$R$289,$V202)*$AB202))</f>
        <v/>
      </c>
      <c r="AI202" s="2" t="str">
        <f>IF($W202=AI$3,$AB202,IF(NOT($W202=0),"",SUMIFS('Val-Vol (2)'!AI$4:AI$1116,'Val-Vol (2)'!$A$4:$A$1116,$D202,'Val-Vol (2)'!$V$4:$V$1116,$V202)/SUMIFS('Comp2016-2017 (3)'!$G$5:$G$289,'Comp2016-2017 (3)'!$A$5:$A$289,$D202,'Comp2016-2017 (3)'!$R$5:$R$289,$V202)*$AB202))</f>
        <v/>
      </c>
      <c r="AJ202" s="2" t="str">
        <f>IF($W202=AJ$3,$AB202,IF(NOT($W202=0),"",SUMIFS('Val-Vol (2)'!AJ$4:AJ$1116,'Val-Vol (2)'!$A$4:$A$1116,$D202,'Val-Vol (2)'!$V$4:$V$1116,$V202)/SUMIFS('Comp2016-2017 (3)'!$G$5:$G$289,'Comp2016-2017 (3)'!$A$5:$A$289,$D202,'Comp2016-2017 (3)'!$R$5:$R$289,$V202)*$AB202))</f>
        <v/>
      </c>
      <c r="AK202" s="2">
        <f t="shared" si="22"/>
        <v>0</v>
      </c>
      <c r="AL202" t="str">
        <f t="shared" si="19"/>
        <v/>
      </c>
      <c r="AM202" t="str">
        <f>VLOOKUP(A202,'Table corresp.'!$M$4:$U$63,8,FALSE)</f>
        <v>Production intermédiaire</v>
      </c>
      <c r="AN202" t="str">
        <f>VLOOKUP(D202,'Table corresp.'!$M$4:$U$63,9,FALSE)</f>
        <v>Production finale</v>
      </c>
    </row>
    <row r="203" spans="1:40" x14ac:dyDescent="0.25">
      <c r="A203" t="s">
        <v>14</v>
      </c>
      <c r="B203" t="str">
        <f>VLOOKUP(LEFT(A203,3),'Table corresp.'!$A$4:$D$63,3,FALSE)</f>
        <v>Transformation</v>
      </c>
      <c r="C203" t="str">
        <f>VLOOKUP(A203,'Table corresp.'!$M$4:$P$63,4,FALSE)</f>
        <v>Production et transformation de produits bois</v>
      </c>
      <c r="D203" t="s">
        <v>15</v>
      </c>
      <c r="E203" t="str">
        <f>VLOOKUP(LEFT(D203,3),'Table corresp.'!$A$4:$D$63,4,FALSE)</f>
        <v>Transformation</v>
      </c>
      <c r="F203" t="str">
        <f t="shared" si="18"/>
        <v xml:space="preserve">20b - 35 </v>
      </c>
      <c r="G203" s="1">
        <v>59160.951863261158</v>
      </c>
      <c r="H203" s="1">
        <v>47190</v>
      </c>
      <c r="I203" s="1">
        <v>106350.95186326116</v>
      </c>
      <c r="J203" s="1">
        <v>171.89124982735021</v>
      </c>
      <c r="K203" s="1">
        <v>137.10983045203355</v>
      </c>
      <c r="L203" s="1">
        <v>309.00108027938376</v>
      </c>
      <c r="M203" s="1">
        <v>0</v>
      </c>
      <c r="N203" s="1">
        <v>0</v>
      </c>
      <c r="O203" s="1">
        <v>0</v>
      </c>
      <c r="P203" s="1">
        <v>0</v>
      </c>
      <c r="Q203" s="1">
        <v>0</v>
      </c>
      <c r="R203" s="1">
        <v>0</v>
      </c>
      <c r="S203" s="67"/>
      <c r="T203">
        <f>VLOOKUP(A203,'Groupe de branches'!$Z$27:$AM$86,14,FALSE)</f>
        <v>0</v>
      </c>
      <c r="U203">
        <f>VLOOKUP(D203,'Groupe de branches'!$Z$27:$AM$86,14,FALSE)</f>
        <v>0</v>
      </c>
      <c r="V203">
        <v>2016</v>
      </c>
      <c r="W203" t="str">
        <f>VLOOKUP(D203,'Table corresp.'!$M$4:$S$63,7,FALSE)</f>
        <v>Construction</v>
      </c>
      <c r="X203" s="167">
        <f>IFERROR(G203/SUMIFS('Comp2016-2017 (3)'!$I$5:$I$289,'Comp2016-2017 (3)'!$A$5:$A$289,A203,'Comp2016-2017 (3)'!$R$5:$R$289,V203),0)</f>
        <v>0.35944438825725233</v>
      </c>
      <c r="Y203" s="178">
        <f>IFERROR(IF(RIGHT(F203,3)="Exp",VLOOKUP(F203,#REF!,2,FALSE),VLOOKUP(F203,#REF!,9,FALSE)),1)</f>
        <v>1</v>
      </c>
      <c r="Z203" s="167">
        <f t="shared" si="20"/>
        <v>7.1428571428571425E-2</v>
      </c>
      <c r="AA203" s="189">
        <f t="shared" si="21"/>
        <v>2.5674599161232308E-2</v>
      </c>
      <c r="AB203" s="2">
        <f>IFERROR(SUMIFS('Comp2016-2017 (3)'!$G$5:$G$289,'Comp2016-2017 (3)'!$A$5:$A$289,A203,'Comp2016-2017 (3)'!$R$5:$R$289,V203)*AA203/SUMIFS($AA$4:$AA$1116,$A$4:$A$1116,A203,$V$4:$V$1116,V203),0)</f>
        <v>16148.872873166167</v>
      </c>
      <c r="AC203" s="2" t="str">
        <f>IF($W203=AC$3,$AB203,IF(NOT($W203=0),"",SUMIFS('Val-Vol (2)'!AC$4:AC$1116,'Val-Vol (2)'!$A$4:$A$1116,$D203,'Val-Vol (2)'!$V$4:$V$1116,$V203)/SUMIFS('Comp2016-2017 (3)'!$G$5:$G$289,'Comp2016-2017 (3)'!$A$5:$A$289,$D203,'Comp2016-2017 (3)'!$R$5:$R$289,$V203)*$AB203))</f>
        <v/>
      </c>
      <c r="AD203" s="2">
        <f>IF($W203=AD$3,$AB203,IF(NOT($W203=0),"",SUMIFS('Val-Vol (2)'!AD$4:AD$1116,'Val-Vol (2)'!$A$4:$A$1116,$D203,'Val-Vol (2)'!$V$4:$V$1116,$V203)/SUMIFS('Comp2016-2017 (3)'!$G$5:$G$289,'Comp2016-2017 (3)'!$A$5:$A$289,$D203,'Comp2016-2017 (3)'!$R$5:$R$289,$V203)*$AB203))</f>
        <v>16148.872873166167</v>
      </c>
      <c r="AE203" s="2" t="str">
        <f>IF($W203=AE$3,$AB203,IF(NOT($W203=0),"",SUMIFS('Val-Vol (2)'!AE$4:AE$1116,'Val-Vol (2)'!$A$4:$A$1116,$D203,'Val-Vol (2)'!$V$4:$V$1116,$V203)/SUMIFS('Comp2016-2017 (3)'!$G$5:$G$289,'Comp2016-2017 (3)'!$A$5:$A$289,$D203,'Comp2016-2017 (3)'!$R$5:$R$289,$V203)*$AB203))</f>
        <v/>
      </c>
      <c r="AF203" s="2" t="str">
        <f>IF($W203=AF$3,$AB203,IF(NOT($W203=0),"",SUMIFS('Val-Vol (2)'!AF$4:AF$1116,'Val-Vol (2)'!$A$4:$A$1116,$D203,'Val-Vol (2)'!$V$4:$V$1116,$V203)/SUMIFS('Comp2016-2017 (3)'!$G$5:$G$289,'Comp2016-2017 (3)'!$A$5:$A$289,$D203,'Comp2016-2017 (3)'!$R$5:$R$289,$V203)*$AB203))</f>
        <v/>
      </c>
      <c r="AG203" s="2" t="str">
        <f>IF($W203=AG$3,$AB203,IF(NOT($W203=0),"",SUMIFS('Val-Vol (2)'!AG$4:AG$1116,'Val-Vol (2)'!$A$4:$A$1116,$D203,'Val-Vol (2)'!$V$4:$V$1116,$V203)/SUMIFS('Comp2016-2017 (3)'!$G$5:$G$289,'Comp2016-2017 (3)'!$A$5:$A$289,$D203,'Comp2016-2017 (3)'!$R$5:$R$289,$V203)*$AB203))</f>
        <v/>
      </c>
      <c r="AH203" s="2" t="str">
        <f>IF($W203=AH$3,$AB203,IF(NOT($W203=0),"",SUMIFS('Val-Vol (2)'!AH$4:AH$1116,'Val-Vol (2)'!$A$4:$A$1116,$D203,'Val-Vol (2)'!$V$4:$V$1116,$V203)/SUMIFS('Comp2016-2017 (3)'!$G$5:$G$289,'Comp2016-2017 (3)'!$A$5:$A$289,$D203,'Comp2016-2017 (3)'!$R$5:$R$289,$V203)*$AB203))</f>
        <v/>
      </c>
      <c r="AI203" s="2" t="str">
        <f>IF($W203=AI$3,$AB203,IF(NOT($W203=0),"",SUMIFS('Val-Vol (2)'!AI$4:AI$1116,'Val-Vol (2)'!$A$4:$A$1116,$D203,'Val-Vol (2)'!$V$4:$V$1116,$V203)/SUMIFS('Comp2016-2017 (3)'!$G$5:$G$289,'Comp2016-2017 (3)'!$A$5:$A$289,$D203,'Comp2016-2017 (3)'!$R$5:$R$289,$V203)*$AB203))</f>
        <v/>
      </c>
      <c r="AJ203" s="2" t="str">
        <f>IF($W203=AJ$3,$AB203,IF(NOT($W203=0),"",SUMIFS('Val-Vol (2)'!AJ$4:AJ$1116,'Val-Vol (2)'!$A$4:$A$1116,$D203,'Val-Vol (2)'!$V$4:$V$1116,$V203)/SUMIFS('Comp2016-2017 (3)'!$G$5:$G$289,'Comp2016-2017 (3)'!$A$5:$A$289,$D203,'Comp2016-2017 (3)'!$R$5:$R$289,$V203)*$AB203))</f>
        <v/>
      </c>
      <c r="AK203" s="2">
        <f t="shared" si="22"/>
        <v>0</v>
      </c>
      <c r="AL203" t="str">
        <f t="shared" si="19"/>
        <v/>
      </c>
      <c r="AM203" t="str">
        <f>VLOOKUP(A203,'Table corresp.'!$M$4:$U$63,8,FALSE)</f>
        <v>Production intermédiaire</v>
      </c>
      <c r="AN203" t="str">
        <f>VLOOKUP(D203,'Table corresp.'!$M$4:$U$63,9,FALSE)</f>
        <v>Production finale</v>
      </c>
    </row>
    <row r="204" spans="1:40" x14ac:dyDescent="0.25">
      <c r="A204" t="s">
        <v>14</v>
      </c>
      <c r="B204" t="str">
        <f>VLOOKUP(LEFT(A204,3),'Table corresp.'!$A$4:$D$63,3,FALSE)</f>
        <v>Transformation</v>
      </c>
      <c r="C204" t="str">
        <f>VLOOKUP(A204,'Table corresp.'!$M$4:$P$63,4,FALSE)</f>
        <v>Production et transformation de produits bois</v>
      </c>
      <c r="D204" t="s">
        <v>16</v>
      </c>
      <c r="E204" t="str">
        <f>VLOOKUP(LEFT(D204,3),'Table corresp.'!$A$4:$D$63,4,FALSE)</f>
        <v>Transformation</v>
      </c>
      <c r="F204" t="str">
        <f t="shared" si="18"/>
        <v xml:space="preserve">20b - 36 </v>
      </c>
      <c r="G204" s="1">
        <v>4200</v>
      </c>
      <c r="H204" s="1">
        <v>15400</v>
      </c>
      <c r="I204" s="1">
        <v>19600</v>
      </c>
      <c r="J204" s="1">
        <v>14.236875804512914</v>
      </c>
      <c r="K204" s="1">
        <v>52.201877949880689</v>
      </c>
      <c r="L204" s="1">
        <v>66.438753754393602</v>
      </c>
      <c r="M204" s="1">
        <v>0</v>
      </c>
      <c r="N204" s="1">
        <v>0</v>
      </c>
      <c r="O204" s="1">
        <v>0</v>
      </c>
      <c r="P204" s="1">
        <v>0</v>
      </c>
      <c r="Q204" s="1">
        <v>0</v>
      </c>
      <c r="R204" s="1">
        <v>0</v>
      </c>
      <c r="S204" s="67"/>
      <c r="T204">
        <f>VLOOKUP(A204,'Groupe de branches'!$Z$27:$AM$86,14,FALSE)</f>
        <v>0</v>
      </c>
      <c r="U204">
        <f>VLOOKUP(D204,'Groupe de branches'!$Z$27:$AM$86,14,FALSE)</f>
        <v>0</v>
      </c>
      <c r="V204">
        <v>2016</v>
      </c>
      <c r="W204" t="str">
        <f>VLOOKUP(D204,'Table corresp.'!$M$4:$S$63,7,FALSE)</f>
        <v>Construction</v>
      </c>
      <c r="X204" s="167">
        <f>IFERROR(G204/SUMIFS('Comp2016-2017 (3)'!$I$5:$I$289,'Comp2016-2017 (3)'!$A$5:$A$289,A204,'Comp2016-2017 (3)'!$R$5:$R$289,V204),0)</f>
        <v>2.5517953703141139E-2</v>
      </c>
      <c r="Y204" s="178">
        <f>IFERROR(IF(RIGHT(F204,3)="Exp",VLOOKUP(F204,#REF!,2,FALSE),VLOOKUP(F204,#REF!,9,FALSE)),1)</f>
        <v>1</v>
      </c>
      <c r="Z204" s="167">
        <f t="shared" si="20"/>
        <v>7.1428571428571425E-2</v>
      </c>
      <c r="AA204" s="189">
        <f t="shared" si="21"/>
        <v>1.8227109787957955E-3</v>
      </c>
      <c r="AB204" s="2">
        <f>IFERROR(SUMIFS('Comp2016-2017 (3)'!$G$5:$G$289,'Comp2016-2017 (3)'!$A$5:$A$289,A204,'Comp2016-2017 (3)'!$R$5:$R$289,V204)*AA204/SUMIFS($AA$4:$AA$1116,$A$4:$A$1116,A204,$V$4:$V$1116,V204),0)</f>
        <v>1146.4532589682226</v>
      </c>
      <c r="AC204" s="2" t="str">
        <f>IF($W204=AC$3,$AB204,IF(NOT($W204=0),"",SUMIFS('Val-Vol (2)'!AC$4:AC$1116,'Val-Vol (2)'!$A$4:$A$1116,$D204,'Val-Vol (2)'!$V$4:$V$1116,$V204)/SUMIFS('Comp2016-2017 (3)'!$G$5:$G$289,'Comp2016-2017 (3)'!$A$5:$A$289,$D204,'Comp2016-2017 (3)'!$R$5:$R$289,$V204)*$AB204))</f>
        <v/>
      </c>
      <c r="AD204" s="2">
        <f>IF($W204=AD$3,$AB204,IF(NOT($W204=0),"",SUMIFS('Val-Vol (2)'!AD$4:AD$1116,'Val-Vol (2)'!$A$4:$A$1116,$D204,'Val-Vol (2)'!$V$4:$V$1116,$V204)/SUMIFS('Comp2016-2017 (3)'!$G$5:$G$289,'Comp2016-2017 (3)'!$A$5:$A$289,$D204,'Comp2016-2017 (3)'!$R$5:$R$289,$V204)*$AB204))</f>
        <v>1146.4532589682226</v>
      </c>
      <c r="AE204" s="2" t="str">
        <f>IF($W204=AE$3,$AB204,IF(NOT($W204=0),"",SUMIFS('Val-Vol (2)'!AE$4:AE$1116,'Val-Vol (2)'!$A$4:$A$1116,$D204,'Val-Vol (2)'!$V$4:$V$1116,$V204)/SUMIFS('Comp2016-2017 (3)'!$G$5:$G$289,'Comp2016-2017 (3)'!$A$5:$A$289,$D204,'Comp2016-2017 (3)'!$R$5:$R$289,$V204)*$AB204))</f>
        <v/>
      </c>
      <c r="AF204" s="2" t="str">
        <f>IF($W204=AF$3,$AB204,IF(NOT($W204=0),"",SUMIFS('Val-Vol (2)'!AF$4:AF$1116,'Val-Vol (2)'!$A$4:$A$1116,$D204,'Val-Vol (2)'!$V$4:$V$1116,$V204)/SUMIFS('Comp2016-2017 (3)'!$G$5:$G$289,'Comp2016-2017 (3)'!$A$5:$A$289,$D204,'Comp2016-2017 (3)'!$R$5:$R$289,$V204)*$AB204))</f>
        <v/>
      </c>
      <c r="AG204" s="2" t="str">
        <f>IF($W204=AG$3,$AB204,IF(NOT($W204=0),"",SUMIFS('Val-Vol (2)'!AG$4:AG$1116,'Val-Vol (2)'!$A$4:$A$1116,$D204,'Val-Vol (2)'!$V$4:$V$1116,$V204)/SUMIFS('Comp2016-2017 (3)'!$G$5:$G$289,'Comp2016-2017 (3)'!$A$5:$A$289,$D204,'Comp2016-2017 (3)'!$R$5:$R$289,$V204)*$AB204))</f>
        <v/>
      </c>
      <c r="AH204" s="2" t="str">
        <f>IF($W204=AH$3,$AB204,IF(NOT($W204=0),"",SUMIFS('Val-Vol (2)'!AH$4:AH$1116,'Val-Vol (2)'!$A$4:$A$1116,$D204,'Val-Vol (2)'!$V$4:$V$1116,$V204)/SUMIFS('Comp2016-2017 (3)'!$G$5:$G$289,'Comp2016-2017 (3)'!$A$5:$A$289,$D204,'Comp2016-2017 (3)'!$R$5:$R$289,$V204)*$AB204))</f>
        <v/>
      </c>
      <c r="AI204" s="2" t="str">
        <f>IF($W204=AI$3,$AB204,IF(NOT($W204=0),"",SUMIFS('Val-Vol (2)'!AI$4:AI$1116,'Val-Vol (2)'!$A$4:$A$1116,$D204,'Val-Vol (2)'!$V$4:$V$1116,$V204)/SUMIFS('Comp2016-2017 (3)'!$G$5:$G$289,'Comp2016-2017 (3)'!$A$5:$A$289,$D204,'Comp2016-2017 (3)'!$R$5:$R$289,$V204)*$AB204))</f>
        <v/>
      </c>
      <c r="AJ204" s="2" t="str">
        <f>IF($W204=AJ$3,$AB204,IF(NOT($W204=0),"",SUMIFS('Val-Vol (2)'!AJ$4:AJ$1116,'Val-Vol (2)'!$A$4:$A$1116,$D204,'Val-Vol (2)'!$V$4:$V$1116,$V204)/SUMIFS('Comp2016-2017 (3)'!$G$5:$G$289,'Comp2016-2017 (3)'!$A$5:$A$289,$D204,'Comp2016-2017 (3)'!$R$5:$R$289,$V204)*$AB204))</f>
        <v/>
      </c>
      <c r="AK204" s="2">
        <f t="shared" si="22"/>
        <v>0</v>
      </c>
      <c r="AL204" t="str">
        <f t="shared" si="19"/>
        <v/>
      </c>
      <c r="AM204" t="str">
        <f>VLOOKUP(A204,'Table corresp.'!$M$4:$U$63,8,FALSE)</f>
        <v>Production intermédiaire</v>
      </c>
      <c r="AN204" t="str">
        <f>VLOOKUP(D204,'Table corresp.'!$M$4:$U$63,9,FALSE)</f>
        <v>Production finale</v>
      </c>
    </row>
    <row r="205" spans="1:40" x14ac:dyDescent="0.25">
      <c r="A205" t="s">
        <v>14</v>
      </c>
      <c r="B205" t="str">
        <f>VLOOKUP(LEFT(A205,3),'Table corresp.'!$A$4:$D$63,3,FALSE)</f>
        <v>Transformation</v>
      </c>
      <c r="C205" t="str">
        <f>VLOOKUP(A205,'Table corresp.'!$M$4:$P$63,4,FALSE)</f>
        <v>Production et transformation de produits bois</v>
      </c>
      <c r="D205" t="s">
        <v>92</v>
      </c>
      <c r="E205" t="str">
        <f>VLOOKUP(LEFT(D205,3),'Table corresp.'!$A$4:$D$63,4,FALSE)</f>
        <v>Transformation</v>
      </c>
      <c r="F205" t="str">
        <f t="shared" si="18"/>
        <v xml:space="preserve">20b - 40 </v>
      </c>
      <c r="G205" s="1">
        <v>1930</v>
      </c>
      <c r="H205" s="1">
        <v>3070</v>
      </c>
      <c r="I205" s="1">
        <v>5000</v>
      </c>
      <c r="J205" s="1">
        <v>7.1369273513532256</v>
      </c>
      <c r="K205" s="1">
        <v>12.613913050463102</v>
      </c>
      <c r="L205" s="1">
        <v>19.750840401816326</v>
      </c>
      <c r="M205" s="1">
        <v>0</v>
      </c>
      <c r="N205" s="1">
        <v>0</v>
      </c>
      <c r="O205" s="1">
        <v>0</v>
      </c>
      <c r="P205" s="1">
        <v>0</v>
      </c>
      <c r="Q205" s="1">
        <v>0</v>
      </c>
      <c r="R205" s="1">
        <v>0</v>
      </c>
      <c r="S205" s="67"/>
      <c r="T205">
        <f>VLOOKUP(A205,'Groupe de branches'!$Z$27:$AM$86,14,FALSE)</f>
        <v>0</v>
      </c>
      <c r="U205">
        <f>VLOOKUP(D205,'Groupe de branches'!$Z$27:$AM$86,14,FALSE)</f>
        <v>0</v>
      </c>
      <c r="V205">
        <v>2016</v>
      </c>
      <c r="W205" t="str">
        <f>VLOOKUP(D205,'Table corresp.'!$M$4:$S$63,7,FALSE)</f>
        <v>Construction</v>
      </c>
      <c r="X205" s="167">
        <f>IFERROR(G205/SUMIFS('Comp2016-2017 (3)'!$I$5:$I$289,'Comp2016-2017 (3)'!$A$5:$A$289,A205,'Comp2016-2017 (3)'!$R$5:$R$289,V205),0)</f>
        <v>1.1726107296919619E-2</v>
      </c>
      <c r="Y205" s="178">
        <f>IFERROR(IF(RIGHT(F205,3)="Exp",VLOOKUP(F205,#REF!,2,FALSE),VLOOKUP(F205,#REF!,9,FALSE)),1)</f>
        <v>1</v>
      </c>
      <c r="Z205" s="167">
        <f t="shared" si="20"/>
        <v>7.1428571428571425E-2</v>
      </c>
      <c r="AA205" s="189">
        <f t="shared" si="21"/>
        <v>8.3757909263711561E-4</v>
      </c>
      <c r="AB205" s="2">
        <f>IFERROR(SUMIFS('Comp2016-2017 (3)'!$G$5:$G$289,'Comp2016-2017 (3)'!$A$5:$A$289,A205,'Comp2016-2017 (3)'!$R$5:$R$289,V205)*AA205/SUMIFS($AA$4:$AA$1116,$A$4:$A$1116,A205,$V$4:$V$1116,V205),0)</f>
        <v>526.82256900206414</v>
      </c>
      <c r="AC205" s="2" t="str">
        <f>IF($W205=AC$3,$AB205,IF(NOT($W205=0),"",SUMIFS('Val-Vol (2)'!AC$4:AC$1116,'Val-Vol (2)'!$A$4:$A$1116,$D205,'Val-Vol (2)'!$V$4:$V$1116,$V205)/SUMIFS('Comp2016-2017 (3)'!$G$5:$G$289,'Comp2016-2017 (3)'!$A$5:$A$289,$D205,'Comp2016-2017 (3)'!$R$5:$R$289,$V205)*$AB205))</f>
        <v/>
      </c>
      <c r="AD205" s="2">
        <f>IF($W205=AD$3,$AB205,IF(NOT($W205=0),"",SUMIFS('Val-Vol (2)'!AD$4:AD$1116,'Val-Vol (2)'!$A$4:$A$1116,$D205,'Val-Vol (2)'!$V$4:$V$1116,$V205)/SUMIFS('Comp2016-2017 (3)'!$G$5:$G$289,'Comp2016-2017 (3)'!$A$5:$A$289,$D205,'Comp2016-2017 (3)'!$R$5:$R$289,$V205)*$AB205))</f>
        <v>526.82256900206414</v>
      </c>
      <c r="AE205" s="2" t="str">
        <f>IF($W205=AE$3,$AB205,IF(NOT($W205=0),"",SUMIFS('Val-Vol (2)'!AE$4:AE$1116,'Val-Vol (2)'!$A$4:$A$1116,$D205,'Val-Vol (2)'!$V$4:$V$1116,$V205)/SUMIFS('Comp2016-2017 (3)'!$G$5:$G$289,'Comp2016-2017 (3)'!$A$5:$A$289,$D205,'Comp2016-2017 (3)'!$R$5:$R$289,$V205)*$AB205))</f>
        <v/>
      </c>
      <c r="AF205" s="2" t="str">
        <f>IF($W205=AF$3,$AB205,IF(NOT($W205=0),"",SUMIFS('Val-Vol (2)'!AF$4:AF$1116,'Val-Vol (2)'!$A$4:$A$1116,$D205,'Val-Vol (2)'!$V$4:$V$1116,$V205)/SUMIFS('Comp2016-2017 (3)'!$G$5:$G$289,'Comp2016-2017 (3)'!$A$5:$A$289,$D205,'Comp2016-2017 (3)'!$R$5:$R$289,$V205)*$AB205))</f>
        <v/>
      </c>
      <c r="AG205" s="2" t="str">
        <f>IF($W205=AG$3,$AB205,IF(NOT($W205=0),"",SUMIFS('Val-Vol (2)'!AG$4:AG$1116,'Val-Vol (2)'!$A$4:$A$1116,$D205,'Val-Vol (2)'!$V$4:$V$1116,$V205)/SUMIFS('Comp2016-2017 (3)'!$G$5:$G$289,'Comp2016-2017 (3)'!$A$5:$A$289,$D205,'Comp2016-2017 (3)'!$R$5:$R$289,$V205)*$AB205))</f>
        <v/>
      </c>
      <c r="AH205" s="2" t="str">
        <f>IF($W205=AH$3,$AB205,IF(NOT($W205=0),"",SUMIFS('Val-Vol (2)'!AH$4:AH$1116,'Val-Vol (2)'!$A$4:$A$1116,$D205,'Val-Vol (2)'!$V$4:$V$1116,$V205)/SUMIFS('Comp2016-2017 (3)'!$G$5:$G$289,'Comp2016-2017 (3)'!$A$5:$A$289,$D205,'Comp2016-2017 (3)'!$R$5:$R$289,$V205)*$AB205))</f>
        <v/>
      </c>
      <c r="AI205" s="2" t="str">
        <f>IF($W205=AI$3,$AB205,IF(NOT($W205=0),"",SUMIFS('Val-Vol (2)'!AI$4:AI$1116,'Val-Vol (2)'!$A$4:$A$1116,$D205,'Val-Vol (2)'!$V$4:$V$1116,$V205)/SUMIFS('Comp2016-2017 (3)'!$G$5:$G$289,'Comp2016-2017 (3)'!$A$5:$A$289,$D205,'Comp2016-2017 (3)'!$R$5:$R$289,$V205)*$AB205))</f>
        <v/>
      </c>
      <c r="AJ205" s="2" t="str">
        <f>IF($W205=AJ$3,$AB205,IF(NOT($W205=0),"",SUMIFS('Val-Vol (2)'!AJ$4:AJ$1116,'Val-Vol (2)'!$A$4:$A$1116,$D205,'Val-Vol (2)'!$V$4:$V$1116,$V205)/SUMIFS('Comp2016-2017 (3)'!$G$5:$G$289,'Comp2016-2017 (3)'!$A$5:$A$289,$D205,'Comp2016-2017 (3)'!$R$5:$R$289,$V205)*$AB205))</f>
        <v/>
      </c>
      <c r="AK205" s="2">
        <f t="shared" si="22"/>
        <v>0</v>
      </c>
      <c r="AL205" t="str">
        <f t="shared" si="19"/>
        <v/>
      </c>
      <c r="AM205" t="str">
        <f>VLOOKUP(A205,'Table corresp.'!$M$4:$U$63,8,FALSE)</f>
        <v>Production intermédiaire</v>
      </c>
      <c r="AN205" t="str">
        <f>VLOOKUP(D205,'Table corresp.'!$M$4:$U$63,9,FALSE)</f>
        <v>Production finale</v>
      </c>
    </row>
    <row r="206" spans="1:40" x14ac:dyDescent="0.25">
      <c r="A206" t="s">
        <v>14</v>
      </c>
      <c r="B206" t="str">
        <f>VLOOKUP(LEFT(A206,3),'Table corresp.'!$A$4:$D$63,3,FALSE)</f>
        <v>Transformation</v>
      </c>
      <c r="C206" t="str">
        <f>VLOOKUP(A206,'Table corresp.'!$M$4:$P$63,4,FALSE)</f>
        <v>Production et transformation de produits bois</v>
      </c>
      <c r="D206" t="s">
        <v>99</v>
      </c>
      <c r="E206" t="str">
        <f>VLOOKUP(LEFT(D206,3),'Table corresp.'!$A$4:$D$63,4,FALSE)</f>
        <v>Transformation</v>
      </c>
      <c r="F206" t="str">
        <f t="shared" si="18"/>
        <v xml:space="preserve">20b - 47 </v>
      </c>
      <c r="G206" s="1">
        <v>360</v>
      </c>
      <c r="H206" s="1">
        <v>6140</v>
      </c>
      <c r="I206" s="1">
        <v>6500</v>
      </c>
      <c r="J206" s="1">
        <v>1.2203036403868213</v>
      </c>
      <c r="K206" s="1">
        <v>20.812956533264117</v>
      </c>
      <c r="L206" s="1">
        <v>22.033260173650937</v>
      </c>
      <c r="M206" s="1">
        <v>0</v>
      </c>
      <c r="N206" s="1">
        <v>0</v>
      </c>
      <c r="O206" s="1">
        <v>0</v>
      </c>
      <c r="P206" s="1">
        <v>0</v>
      </c>
      <c r="Q206" s="1">
        <v>0</v>
      </c>
      <c r="R206" s="1">
        <v>0</v>
      </c>
      <c r="S206" s="67"/>
      <c r="T206">
        <f>VLOOKUP(A206,'Groupe de branches'!$Z$27:$AM$86,14,FALSE)</f>
        <v>0</v>
      </c>
      <c r="U206">
        <f>VLOOKUP(D206,'Groupe de branches'!$Z$27:$AM$86,14,FALSE)</f>
        <v>0</v>
      </c>
      <c r="V206">
        <v>2016</v>
      </c>
      <c r="W206" t="str">
        <f>VLOOKUP(D206,'Table corresp.'!$M$4:$S$63,7,FALSE)</f>
        <v>Meuble</v>
      </c>
      <c r="X206" s="167">
        <f>IFERROR(G206/SUMIFS('Comp2016-2017 (3)'!$I$5:$I$289,'Comp2016-2017 (3)'!$A$5:$A$289,A206,'Comp2016-2017 (3)'!$R$5:$R$289,V206),0)</f>
        <v>2.1872531745549548E-3</v>
      </c>
      <c r="Y206" s="178">
        <f>IFERROR(IF(RIGHT(F206,3)="Exp",VLOOKUP(F206,#REF!,2,FALSE),VLOOKUP(F206,#REF!,9,FALSE)),1)</f>
        <v>1</v>
      </c>
      <c r="Z206" s="167">
        <f t="shared" si="20"/>
        <v>7.1428571428571425E-2</v>
      </c>
      <c r="AA206" s="189">
        <f t="shared" si="21"/>
        <v>1.562323696110682E-4</v>
      </c>
      <c r="AB206" s="2">
        <f>IFERROR(SUMIFS('Comp2016-2017 (3)'!$G$5:$G$289,'Comp2016-2017 (3)'!$A$5:$A$289,A206,'Comp2016-2017 (3)'!$R$5:$R$289,V206)*AA206/SUMIFS($AA$4:$AA$1116,$A$4:$A$1116,A206,$V$4:$V$1116,V206),0)</f>
        <v>98.267422197276233</v>
      </c>
      <c r="AC206" s="2" t="str">
        <f>IF($W206=AC$3,$AB206,IF(NOT($W206=0),"",SUMIFS('Val-Vol (2)'!AC$4:AC$1116,'Val-Vol (2)'!$A$4:$A$1116,$D206,'Val-Vol (2)'!$V$4:$V$1116,$V206)/SUMIFS('Comp2016-2017 (3)'!$G$5:$G$289,'Comp2016-2017 (3)'!$A$5:$A$289,$D206,'Comp2016-2017 (3)'!$R$5:$R$289,$V206)*$AB206))</f>
        <v/>
      </c>
      <c r="AD206" s="2" t="str">
        <f>IF($W206=AD$3,$AB206,IF(NOT($W206=0),"",SUMIFS('Val-Vol (2)'!AD$4:AD$1116,'Val-Vol (2)'!$A$4:$A$1116,$D206,'Val-Vol (2)'!$V$4:$V$1116,$V206)/SUMIFS('Comp2016-2017 (3)'!$G$5:$G$289,'Comp2016-2017 (3)'!$A$5:$A$289,$D206,'Comp2016-2017 (3)'!$R$5:$R$289,$V206)*$AB206))</f>
        <v/>
      </c>
      <c r="AE206" s="2">
        <f>IF($W206=AE$3,$AB206,IF(NOT($W206=0),"",SUMIFS('Val-Vol (2)'!AE$4:AE$1116,'Val-Vol (2)'!$A$4:$A$1116,$D206,'Val-Vol (2)'!$V$4:$V$1116,$V206)/SUMIFS('Comp2016-2017 (3)'!$G$5:$G$289,'Comp2016-2017 (3)'!$A$5:$A$289,$D206,'Comp2016-2017 (3)'!$R$5:$R$289,$V206)*$AB206))</f>
        <v>98.267422197276233</v>
      </c>
      <c r="AF206" s="2" t="str">
        <f>IF($W206=AF$3,$AB206,IF(NOT($W206=0),"",SUMIFS('Val-Vol (2)'!AF$4:AF$1116,'Val-Vol (2)'!$A$4:$A$1116,$D206,'Val-Vol (2)'!$V$4:$V$1116,$V206)/SUMIFS('Comp2016-2017 (3)'!$G$5:$G$289,'Comp2016-2017 (3)'!$A$5:$A$289,$D206,'Comp2016-2017 (3)'!$R$5:$R$289,$V206)*$AB206))</f>
        <v/>
      </c>
      <c r="AG206" s="2" t="str">
        <f>IF($W206=AG$3,$AB206,IF(NOT($W206=0),"",SUMIFS('Val-Vol (2)'!AG$4:AG$1116,'Val-Vol (2)'!$A$4:$A$1116,$D206,'Val-Vol (2)'!$V$4:$V$1116,$V206)/SUMIFS('Comp2016-2017 (3)'!$G$5:$G$289,'Comp2016-2017 (3)'!$A$5:$A$289,$D206,'Comp2016-2017 (3)'!$R$5:$R$289,$V206)*$AB206))</f>
        <v/>
      </c>
      <c r="AH206" s="2" t="str">
        <f>IF($W206=AH$3,$AB206,IF(NOT($W206=0),"",SUMIFS('Val-Vol (2)'!AH$4:AH$1116,'Val-Vol (2)'!$A$4:$A$1116,$D206,'Val-Vol (2)'!$V$4:$V$1116,$V206)/SUMIFS('Comp2016-2017 (3)'!$G$5:$G$289,'Comp2016-2017 (3)'!$A$5:$A$289,$D206,'Comp2016-2017 (3)'!$R$5:$R$289,$V206)*$AB206))</f>
        <v/>
      </c>
      <c r="AI206" s="2" t="str">
        <f>IF($W206=AI$3,$AB206,IF(NOT($W206=0),"",SUMIFS('Val-Vol (2)'!AI$4:AI$1116,'Val-Vol (2)'!$A$4:$A$1116,$D206,'Val-Vol (2)'!$V$4:$V$1116,$V206)/SUMIFS('Comp2016-2017 (3)'!$G$5:$G$289,'Comp2016-2017 (3)'!$A$5:$A$289,$D206,'Comp2016-2017 (3)'!$R$5:$R$289,$V206)*$AB206))</f>
        <v/>
      </c>
      <c r="AJ206" s="2" t="str">
        <f>IF($W206=AJ$3,$AB206,IF(NOT($W206=0),"",SUMIFS('Val-Vol (2)'!AJ$4:AJ$1116,'Val-Vol (2)'!$A$4:$A$1116,$D206,'Val-Vol (2)'!$V$4:$V$1116,$V206)/SUMIFS('Comp2016-2017 (3)'!$G$5:$G$289,'Comp2016-2017 (3)'!$A$5:$A$289,$D206,'Comp2016-2017 (3)'!$R$5:$R$289,$V206)*$AB206))</f>
        <v/>
      </c>
      <c r="AK206" s="2">
        <f t="shared" si="22"/>
        <v>0</v>
      </c>
      <c r="AL206" t="str">
        <f t="shared" si="19"/>
        <v/>
      </c>
      <c r="AM206" t="str">
        <f>VLOOKUP(A206,'Table corresp.'!$M$4:$U$63,8,FALSE)</f>
        <v>Production intermédiaire</v>
      </c>
      <c r="AN206" t="str">
        <f>VLOOKUP(D206,'Table corresp.'!$M$4:$U$63,9,FALSE)</f>
        <v>Production finale</v>
      </c>
    </row>
    <row r="207" spans="1:40" x14ac:dyDescent="0.25">
      <c r="A207" t="s">
        <v>14</v>
      </c>
      <c r="B207" t="str">
        <f>VLOOKUP(LEFT(A207,3),'Table corresp.'!$A$4:$D$63,3,FALSE)</f>
        <v>Transformation</v>
      </c>
      <c r="C207" t="str">
        <f>VLOOKUP(A207,'Table corresp.'!$M$4:$P$63,4,FALSE)</f>
        <v>Production et transformation de produits bois</v>
      </c>
      <c r="D207" t="s">
        <v>19</v>
      </c>
      <c r="E207" t="str">
        <f>VLOOKUP(LEFT(D207,3),'Table corresp.'!$A$4:$D$63,4,FALSE)</f>
        <v>Transformation</v>
      </c>
      <c r="F207" t="str">
        <f t="shared" si="18"/>
        <v xml:space="preserve">20b - 52 </v>
      </c>
      <c r="G207" s="1">
        <v>3850</v>
      </c>
      <c r="H207" s="1">
        <v>0</v>
      </c>
      <c r="I207" s="1">
        <v>3850</v>
      </c>
      <c r="J207" s="1">
        <v>12.046587219203234</v>
      </c>
      <c r="K207" s="1">
        <v>0</v>
      </c>
      <c r="L207" s="1">
        <v>12.046587219203234</v>
      </c>
      <c r="M207" s="1">
        <v>0</v>
      </c>
      <c r="N207" s="1">
        <v>0</v>
      </c>
      <c r="O207" s="1">
        <v>0</v>
      </c>
      <c r="P207" s="1">
        <v>0</v>
      </c>
      <c r="Q207" s="1">
        <v>0</v>
      </c>
      <c r="R207" s="1">
        <v>0</v>
      </c>
      <c r="S207" s="67"/>
      <c r="T207">
        <f>VLOOKUP(A207,'Groupe de branches'!$Z$27:$AM$86,14,FALSE)</f>
        <v>0</v>
      </c>
      <c r="U207">
        <f>VLOOKUP(D207,'Groupe de branches'!$Z$27:$AM$86,14,FALSE)</f>
        <v>0</v>
      </c>
      <c r="V207">
        <v>2016</v>
      </c>
      <c r="W207" t="str">
        <f>VLOOKUP(D207,'Table corresp.'!$M$4:$S$63,7,FALSE)</f>
        <v>Construction</v>
      </c>
      <c r="X207" s="167">
        <f>IFERROR(G207/SUMIFS('Comp2016-2017 (3)'!$I$5:$I$289,'Comp2016-2017 (3)'!$A$5:$A$289,A207,'Comp2016-2017 (3)'!$R$5:$R$289,V207),0)</f>
        <v>2.3391457561212709E-2</v>
      </c>
      <c r="Y207" s="178">
        <f>IFERROR(IF(RIGHT(F207,3)="Exp",VLOOKUP(F207,#REF!,2,FALSE),VLOOKUP(F207,#REF!,9,FALSE)),1)</f>
        <v>1</v>
      </c>
      <c r="Z207" s="167">
        <f t="shared" si="20"/>
        <v>7.1428571428571425E-2</v>
      </c>
      <c r="AA207" s="189">
        <f t="shared" si="21"/>
        <v>1.670818397229479E-3</v>
      </c>
      <c r="AB207" s="2">
        <f>IFERROR(SUMIFS('Comp2016-2017 (3)'!$G$5:$G$289,'Comp2016-2017 (3)'!$A$5:$A$289,A207,'Comp2016-2017 (3)'!$R$5:$R$289,V207)*AA207/SUMIFS($AA$4:$AA$1116,$A$4:$A$1116,A207,$V$4:$V$1116,V207),0)</f>
        <v>1050.9154873875373</v>
      </c>
      <c r="AC207" s="2" t="str">
        <f>IF($W207=AC$3,$AB207,IF(NOT($W207=0),"",SUMIFS('Val-Vol (2)'!AC$4:AC$1116,'Val-Vol (2)'!$A$4:$A$1116,$D207,'Val-Vol (2)'!$V$4:$V$1116,$V207)/SUMIFS('Comp2016-2017 (3)'!$G$5:$G$289,'Comp2016-2017 (3)'!$A$5:$A$289,$D207,'Comp2016-2017 (3)'!$R$5:$R$289,$V207)*$AB207))</f>
        <v/>
      </c>
      <c r="AD207" s="2">
        <f>IF($W207=AD$3,$AB207,IF(NOT($W207=0),"",SUMIFS('Val-Vol (2)'!AD$4:AD$1116,'Val-Vol (2)'!$A$4:$A$1116,$D207,'Val-Vol (2)'!$V$4:$V$1116,$V207)/SUMIFS('Comp2016-2017 (3)'!$G$5:$G$289,'Comp2016-2017 (3)'!$A$5:$A$289,$D207,'Comp2016-2017 (3)'!$R$5:$R$289,$V207)*$AB207))</f>
        <v>1050.9154873875373</v>
      </c>
      <c r="AE207" s="2" t="str">
        <f>IF($W207=AE$3,$AB207,IF(NOT($W207=0),"",SUMIFS('Val-Vol (2)'!AE$4:AE$1116,'Val-Vol (2)'!$A$4:$A$1116,$D207,'Val-Vol (2)'!$V$4:$V$1116,$V207)/SUMIFS('Comp2016-2017 (3)'!$G$5:$G$289,'Comp2016-2017 (3)'!$A$5:$A$289,$D207,'Comp2016-2017 (3)'!$R$5:$R$289,$V207)*$AB207))</f>
        <v/>
      </c>
      <c r="AF207" s="2" t="str">
        <f>IF($W207=AF$3,$AB207,IF(NOT($W207=0),"",SUMIFS('Val-Vol (2)'!AF$4:AF$1116,'Val-Vol (2)'!$A$4:$A$1116,$D207,'Val-Vol (2)'!$V$4:$V$1116,$V207)/SUMIFS('Comp2016-2017 (3)'!$G$5:$G$289,'Comp2016-2017 (3)'!$A$5:$A$289,$D207,'Comp2016-2017 (3)'!$R$5:$R$289,$V207)*$AB207))</f>
        <v/>
      </c>
      <c r="AG207" s="2" t="str">
        <f>IF($W207=AG$3,$AB207,IF(NOT($W207=0),"",SUMIFS('Val-Vol (2)'!AG$4:AG$1116,'Val-Vol (2)'!$A$4:$A$1116,$D207,'Val-Vol (2)'!$V$4:$V$1116,$V207)/SUMIFS('Comp2016-2017 (3)'!$G$5:$G$289,'Comp2016-2017 (3)'!$A$5:$A$289,$D207,'Comp2016-2017 (3)'!$R$5:$R$289,$V207)*$AB207))</f>
        <v/>
      </c>
      <c r="AH207" s="2" t="str">
        <f>IF($W207=AH$3,$AB207,IF(NOT($W207=0),"",SUMIFS('Val-Vol (2)'!AH$4:AH$1116,'Val-Vol (2)'!$A$4:$A$1116,$D207,'Val-Vol (2)'!$V$4:$V$1116,$V207)/SUMIFS('Comp2016-2017 (3)'!$G$5:$G$289,'Comp2016-2017 (3)'!$A$5:$A$289,$D207,'Comp2016-2017 (3)'!$R$5:$R$289,$V207)*$AB207))</f>
        <v/>
      </c>
      <c r="AI207" s="2" t="str">
        <f>IF($W207=AI$3,$AB207,IF(NOT($W207=0),"",SUMIFS('Val-Vol (2)'!AI$4:AI$1116,'Val-Vol (2)'!$A$4:$A$1116,$D207,'Val-Vol (2)'!$V$4:$V$1116,$V207)/SUMIFS('Comp2016-2017 (3)'!$G$5:$G$289,'Comp2016-2017 (3)'!$A$5:$A$289,$D207,'Comp2016-2017 (3)'!$R$5:$R$289,$V207)*$AB207))</f>
        <v/>
      </c>
      <c r="AJ207" s="2" t="str">
        <f>IF($W207=AJ$3,$AB207,IF(NOT($W207=0),"",SUMIFS('Val-Vol (2)'!AJ$4:AJ$1116,'Val-Vol (2)'!$A$4:$A$1116,$D207,'Val-Vol (2)'!$V$4:$V$1116,$V207)/SUMIFS('Comp2016-2017 (3)'!$G$5:$G$289,'Comp2016-2017 (3)'!$A$5:$A$289,$D207,'Comp2016-2017 (3)'!$R$5:$R$289,$V207)*$AB207))</f>
        <v/>
      </c>
      <c r="AK207" s="2">
        <f t="shared" si="22"/>
        <v>0</v>
      </c>
      <c r="AL207" t="str">
        <f t="shared" si="19"/>
        <v/>
      </c>
      <c r="AM207" t="str">
        <f>VLOOKUP(A207,'Table corresp.'!$M$4:$U$63,8,FALSE)</f>
        <v>Production intermédiaire</v>
      </c>
      <c r="AN207" t="str">
        <f>VLOOKUP(D207,'Table corresp.'!$M$4:$U$63,9,FALSE)</f>
        <v xml:space="preserve">Mise en œuvre </v>
      </c>
    </row>
    <row r="208" spans="1:40" x14ac:dyDescent="0.25">
      <c r="A208" t="s">
        <v>14</v>
      </c>
      <c r="B208" t="str">
        <f>VLOOKUP(LEFT(A208,3),'Table corresp.'!$A$4:$D$63,3,FALSE)</f>
        <v>Transformation</v>
      </c>
      <c r="C208" t="str">
        <f>VLOOKUP(A208,'Table corresp.'!$M$4:$P$63,4,FALSE)</f>
        <v>Production et transformation de produits bois</v>
      </c>
      <c r="D208" t="s">
        <v>20</v>
      </c>
      <c r="E208" t="str">
        <f>VLOOKUP(LEFT(D208,3),'Table corresp.'!$A$4:$D$63,4,FALSE)</f>
        <v>Transformation</v>
      </c>
      <c r="F208" t="str">
        <f t="shared" si="18"/>
        <v xml:space="preserve">20b - 53 </v>
      </c>
      <c r="G208" s="1">
        <v>1185</v>
      </c>
      <c r="H208" s="1">
        <v>3070</v>
      </c>
      <c r="I208" s="1">
        <v>4255</v>
      </c>
      <c r="J208" s="1">
        <v>8.0336656325465743</v>
      </c>
      <c r="K208" s="1">
        <v>23.125507259182353</v>
      </c>
      <c r="L208" s="1">
        <v>31.159172891728929</v>
      </c>
      <c r="M208" s="1">
        <v>0</v>
      </c>
      <c r="N208" s="1">
        <v>0</v>
      </c>
      <c r="O208" s="1">
        <v>0</v>
      </c>
      <c r="P208" s="1">
        <v>0</v>
      </c>
      <c r="Q208" s="1">
        <v>0</v>
      </c>
      <c r="R208" s="1">
        <v>0</v>
      </c>
      <c r="S208" s="67"/>
      <c r="T208">
        <f>VLOOKUP(A208,'Groupe de branches'!$Z$27:$AM$86,14,FALSE)</f>
        <v>0</v>
      </c>
      <c r="U208">
        <f>VLOOKUP(D208,'Groupe de branches'!$Z$27:$AM$86,14,FALSE)</f>
        <v>0</v>
      </c>
      <c r="V208">
        <v>2016</v>
      </c>
      <c r="W208" t="str">
        <f>VLOOKUP(D208,'Table corresp.'!$M$4:$S$63,7,FALSE)</f>
        <v>Construction</v>
      </c>
      <c r="X208" s="167">
        <f>IFERROR(G208/SUMIFS('Comp2016-2017 (3)'!$I$5:$I$289,'Comp2016-2017 (3)'!$A$5:$A$289,A208,'Comp2016-2017 (3)'!$R$5:$R$289,V208),0)</f>
        <v>7.1997083662433924E-3</v>
      </c>
      <c r="Y208" s="178">
        <f>IFERROR(IF(RIGHT(F208,3)="Exp",VLOOKUP(F208,#REF!,2,FALSE),VLOOKUP(F208,#REF!,9,FALSE)),1)</f>
        <v>1</v>
      </c>
      <c r="Z208" s="167">
        <f t="shared" si="20"/>
        <v>7.1428571428571425E-2</v>
      </c>
      <c r="AA208" s="189">
        <f t="shared" si="21"/>
        <v>5.1426488330309945E-4</v>
      </c>
      <c r="AB208" s="2">
        <f>IFERROR(SUMIFS('Comp2016-2017 (3)'!$G$5:$G$289,'Comp2016-2017 (3)'!$A$5:$A$289,A208,'Comp2016-2017 (3)'!$R$5:$R$289,V208)*AA208/SUMIFS($AA$4:$AA$1116,$A$4:$A$1116,A208,$V$4:$V$1116,V208),0)</f>
        <v>323.46359806603425</v>
      </c>
      <c r="AC208" s="2" t="str">
        <f>IF($W208=AC$3,$AB208,IF(NOT($W208=0),"",SUMIFS('Val-Vol (2)'!AC$4:AC$1116,'Val-Vol (2)'!$A$4:$A$1116,$D208,'Val-Vol (2)'!$V$4:$V$1116,$V208)/SUMIFS('Comp2016-2017 (3)'!$G$5:$G$289,'Comp2016-2017 (3)'!$A$5:$A$289,$D208,'Comp2016-2017 (3)'!$R$5:$R$289,$V208)*$AB208))</f>
        <v/>
      </c>
      <c r="AD208" s="2">
        <f>IF($W208=AD$3,$AB208,IF(NOT($W208=0),"",SUMIFS('Val-Vol (2)'!AD$4:AD$1116,'Val-Vol (2)'!$A$4:$A$1116,$D208,'Val-Vol (2)'!$V$4:$V$1116,$V208)/SUMIFS('Comp2016-2017 (3)'!$G$5:$G$289,'Comp2016-2017 (3)'!$A$5:$A$289,$D208,'Comp2016-2017 (3)'!$R$5:$R$289,$V208)*$AB208))</f>
        <v>323.46359806603425</v>
      </c>
      <c r="AE208" s="2" t="str">
        <f>IF($W208=AE$3,$AB208,IF(NOT($W208=0),"",SUMIFS('Val-Vol (2)'!AE$4:AE$1116,'Val-Vol (2)'!$A$4:$A$1116,$D208,'Val-Vol (2)'!$V$4:$V$1116,$V208)/SUMIFS('Comp2016-2017 (3)'!$G$5:$G$289,'Comp2016-2017 (3)'!$A$5:$A$289,$D208,'Comp2016-2017 (3)'!$R$5:$R$289,$V208)*$AB208))</f>
        <v/>
      </c>
      <c r="AF208" s="2" t="str">
        <f>IF($W208=AF$3,$AB208,IF(NOT($W208=0),"",SUMIFS('Val-Vol (2)'!AF$4:AF$1116,'Val-Vol (2)'!$A$4:$A$1116,$D208,'Val-Vol (2)'!$V$4:$V$1116,$V208)/SUMIFS('Comp2016-2017 (3)'!$G$5:$G$289,'Comp2016-2017 (3)'!$A$5:$A$289,$D208,'Comp2016-2017 (3)'!$R$5:$R$289,$V208)*$AB208))</f>
        <v/>
      </c>
      <c r="AG208" s="2" t="str">
        <f>IF($W208=AG$3,$AB208,IF(NOT($W208=0),"",SUMIFS('Val-Vol (2)'!AG$4:AG$1116,'Val-Vol (2)'!$A$4:$A$1116,$D208,'Val-Vol (2)'!$V$4:$V$1116,$V208)/SUMIFS('Comp2016-2017 (3)'!$G$5:$G$289,'Comp2016-2017 (3)'!$A$5:$A$289,$D208,'Comp2016-2017 (3)'!$R$5:$R$289,$V208)*$AB208))</f>
        <v/>
      </c>
      <c r="AH208" s="2" t="str">
        <f>IF($W208=AH$3,$AB208,IF(NOT($W208=0),"",SUMIFS('Val-Vol (2)'!AH$4:AH$1116,'Val-Vol (2)'!$A$4:$A$1116,$D208,'Val-Vol (2)'!$V$4:$V$1116,$V208)/SUMIFS('Comp2016-2017 (3)'!$G$5:$G$289,'Comp2016-2017 (3)'!$A$5:$A$289,$D208,'Comp2016-2017 (3)'!$R$5:$R$289,$V208)*$AB208))</f>
        <v/>
      </c>
      <c r="AI208" s="2" t="str">
        <f>IF($W208=AI$3,$AB208,IF(NOT($W208=0),"",SUMIFS('Val-Vol (2)'!AI$4:AI$1116,'Val-Vol (2)'!$A$4:$A$1116,$D208,'Val-Vol (2)'!$V$4:$V$1116,$V208)/SUMIFS('Comp2016-2017 (3)'!$G$5:$G$289,'Comp2016-2017 (3)'!$A$5:$A$289,$D208,'Comp2016-2017 (3)'!$R$5:$R$289,$V208)*$AB208))</f>
        <v/>
      </c>
      <c r="AJ208" s="2" t="str">
        <f>IF($W208=AJ$3,$AB208,IF(NOT($W208=0),"",SUMIFS('Val-Vol (2)'!AJ$4:AJ$1116,'Val-Vol (2)'!$A$4:$A$1116,$D208,'Val-Vol (2)'!$V$4:$V$1116,$V208)/SUMIFS('Comp2016-2017 (3)'!$G$5:$G$289,'Comp2016-2017 (3)'!$A$5:$A$289,$D208,'Comp2016-2017 (3)'!$R$5:$R$289,$V208)*$AB208))</f>
        <v/>
      </c>
      <c r="AK208" s="2">
        <f t="shared" si="22"/>
        <v>0</v>
      </c>
      <c r="AL208" t="str">
        <f t="shared" si="19"/>
        <v/>
      </c>
      <c r="AM208" t="str">
        <f>VLOOKUP(A208,'Table corresp.'!$M$4:$U$63,8,FALSE)</f>
        <v>Production intermédiaire</v>
      </c>
      <c r="AN208" t="str">
        <f>VLOOKUP(D208,'Table corresp.'!$M$4:$U$63,9,FALSE)</f>
        <v xml:space="preserve">Mise en œuvre </v>
      </c>
    </row>
    <row r="209" spans="1:40" x14ac:dyDescent="0.25">
      <c r="A209" t="s">
        <v>14</v>
      </c>
      <c r="B209" t="str">
        <f>VLOOKUP(LEFT(A209,3),'Table corresp.'!$A$4:$D$63,3,FALSE)</f>
        <v>Transformation</v>
      </c>
      <c r="C209" t="str">
        <f>VLOOKUP(A209,'Table corresp.'!$M$4:$P$63,4,FALSE)</f>
        <v>Production et transformation de produits bois</v>
      </c>
      <c r="D209" t="s">
        <v>21</v>
      </c>
      <c r="E209" t="str">
        <f>VLOOKUP(LEFT(D209,3),'Table corresp.'!$A$4:$D$63,4,FALSE)</f>
        <v>Transformation</v>
      </c>
      <c r="F209" t="str">
        <f t="shared" si="18"/>
        <v xml:space="preserve">20b - 54 </v>
      </c>
      <c r="G209" s="1">
        <v>23010</v>
      </c>
      <c r="H209" s="1">
        <v>6140</v>
      </c>
      <c r="I209" s="1">
        <v>29150</v>
      </c>
      <c r="J209" s="1">
        <v>66.855206584049427</v>
      </c>
      <c r="K209" s="1">
        <v>17.839677028512103</v>
      </c>
      <c r="L209" s="1">
        <v>84.694883612561526</v>
      </c>
      <c r="M209" s="1">
        <v>0</v>
      </c>
      <c r="N209" s="1">
        <v>0</v>
      </c>
      <c r="O209" s="1">
        <v>0</v>
      </c>
      <c r="P209" s="1">
        <v>0</v>
      </c>
      <c r="Q209" s="1">
        <v>0</v>
      </c>
      <c r="R209" s="1">
        <v>0</v>
      </c>
      <c r="S209" s="67"/>
      <c r="T209">
        <f>VLOOKUP(A209,'Groupe de branches'!$Z$27:$AM$86,14,FALSE)</f>
        <v>0</v>
      </c>
      <c r="U209">
        <f>VLOOKUP(D209,'Groupe de branches'!$Z$27:$AM$86,14,FALSE)</f>
        <v>0</v>
      </c>
      <c r="V209">
        <v>2016</v>
      </c>
      <c r="W209" t="str">
        <f>VLOOKUP(D209,'Table corresp.'!$M$4:$S$63,7,FALSE)</f>
        <v>Construction</v>
      </c>
      <c r="X209" s="167">
        <f>IFERROR(G209/SUMIFS('Comp2016-2017 (3)'!$I$5:$I$289,'Comp2016-2017 (3)'!$A$5:$A$289,A209,'Comp2016-2017 (3)'!$R$5:$R$289,V209),0)</f>
        <v>0.13980193207363753</v>
      </c>
      <c r="Y209" s="178">
        <f>IFERROR(IF(RIGHT(F209,3)="Exp",VLOOKUP(F209,#REF!,2,FALSE),VLOOKUP(F209,#REF!,9,FALSE)),1)</f>
        <v>1</v>
      </c>
      <c r="Z209" s="167">
        <f t="shared" si="20"/>
        <v>7.1428571428571425E-2</v>
      </c>
      <c r="AA209" s="189">
        <f t="shared" si="21"/>
        <v>9.9858522909741093E-3</v>
      </c>
      <c r="AB209" s="2">
        <f>IFERROR(SUMIFS('Comp2016-2017 (3)'!$G$5:$G$289,'Comp2016-2017 (3)'!$A$5:$A$289,A209,'Comp2016-2017 (3)'!$R$5:$R$289,V209)*AA209/SUMIFS($AA$4:$AA$1116,$A$4:$A$1116,A209,$V$4:$V$1116,V209),0)</f>
        <v>6280.9260687759061</v>
      </c>
      <c r="AC209" s="2" t="str">
        <f>IF($W209=AC$3,$AB209,IF(NOT($W209=0),"",SUMIFS('Val-Vol (2)'!AC$4:AC$1116,'Val-Vol (2)'!$A$4:$A$1116,$D209,'Val-Vol (2)'!$V$4:$V$1116,$V209)/SUMIFS('Comp2016-2017 (3)'!$G$5:$G$289,'Comp2016-2017 (3)'!$A$5:$A$289,$D209,'Comp2016-2017 (3)'!$R$5:$R$289,$V209)*$AB209))</f>
        <v/>
      </c>
      <c r="AD209" s="2">
        <f>IF($W209=AD$3,$AB209,IF(NOT($W209=0),"",SUMIFS('Val-Vol (2)'!AD$4:AD$1116,'Val-Vol (2)'!$A$4:$A$1116,$D209,'Val-Vol (2)'!$V$4:$V$1116,$V209)/SUMIFS('Comp2016-2017 (3)'!$G$5:$G$289,'Comp2016-2017 (3)'!$A$5:$A$289,$D209,'Comp2016-2017 (3)'!$R$5:$R$289,$V209)*$AB209))</f>
        <v>6280.9260687759061</v>
      </c>
      <c r="AE209" s="2" t="str">
        <f>IF($W209=AE$3,$AB209,IF(NOT($W209=0),"",SUMIFS('Val-Vol (2)'!AE$4:AE$1116,'Val-Vol (2)'!$A$4:$A$1116,$D209,'Val-Vol (2)'!$V$4:$V$1116,$V209)/SUMIFS('Comp2016-2017 (3)'!$G$5:$G$289,'Comp2016-2017 (3)'!$A$5:$A$289,$D209,'Comp2016-2017 (3)'!$R$5:$R$289,$V209)*$AB209))</f>
        <v/>
      </c>
      <c r="AF209" s="2" t="str">
        <f>IF($W209=AF$3,$AB209,IF(NOT($W209=0),"",SUMIFS('Val-Vol (2)'!AF$4:AF$1116,'Val-Vol (2)'!$A$4:$A$1116,$D209,'Val-Vol (2)'!$V$4:$V$1116,$V209)/SUMIFS('Comp2016-2017 (3)'!$G$5:$G$289,'Comp2016-2017 (3)'!$A$5:$A$289,$D209,'Comp2016-2017 (3)'!$R$5:$R$289,$V209)*$AB209))</f>
        <v/>
      </c>
      <c r="AG209" s="2" t="str">
        <f>IF($W209=AG$3,$AB209,IF(NOT($W209=0),"",SUMIFS('Val-Vol (2)'!AG$4:AG$1116,'Val-Vol (2)'!$A$4:$A$1116,$D209,'Val-Vol (2)'!$V$4:$V$1116,$V209)/SUMIFS('Comp2016-2017 (3)'!$G$5:$G$289,'Comp2016-2017 (3)'!$A$5:$A$289,$D209,'Comp2016-2017 (3)'!$R$5:$R$289,$V209)*$AB209))</f>
        <v/>
      </c>
      <c r="AH209" s="2" t="str">
        <f>IF($W209=AH$3,$AB209,IF(NOT($W209=0),"",SUMIFS('Val-Vol (2)'!AH$4:AH$1116,'Val-Vol (2)'!$A$4:$A$1116,$D209,'Val-Vol (2)'!$V$4:$V$1116,$V209)/SUMIFS('Comp2016-2017 (3)'!$G$5:$G$289,'Comp2016-2017 (3)'!$A$5:$A$289,$D209,'Comp2016-2017 (3)'!$R$5:$R$289,$V209)*$AB209))</f>
        <v/>
      </c>
      <c r="AI209" s="2" t="str">
        <f>IF($W209=AI$3,$AB209,IF(NOT($W209=0),"",SUMIFS('Val-Vol (2)'!AI$4:AI$1116,'Val-Vol (2)'!$A$4:$A$1116,$D209,'Val-Vol (2)'!$V$4:$V$1116,$V209)/SUMIFS('Comp2016-2017 (3)'!$G$5:$G$289,'Comp2016-2017 (3)'!$A$5:$A$289,$D209,'Comp2016-2017 (3)'!$R$5:$R$289,$V209)*$AB209))</f>
        <v/>
      </c>
      <c r="AJ209" s="2" t="str">
        <f>IF($W209=AJ$3,$AB209,IF(NOT($W209=0),"",SUMIFS('Val-Vol (2)'!AJ$4:AJ$1116,'Val-Vol (2)'!$A$4:$A$1116,$D209,'Val-Vol (2)'!$V$4:$V$1116,$V209)/SUMIFS('Comp2016-2017 (3)'!$G$5:$G$289,'Comp2016-2017 (3)'!$A$5:$A$289,$D209,'Comp2016-2017 (3)'!$R$5:$R$289,$V209)*$AB209))</f>
        <v/>
      </c>
      <c r="AK209" s="2">
        <f t="shared" si="22"/>
        <v>0</v>
      </c>
      <c r="AL209" t="str">
        <f t="shared" si="19"/>
        <v/>
      </c>
      <c r="AM209" t="str">
        <f>VLOOKUP(A209,'Table corresp.'!$M$4:$U$63,8,FALSE)</f>
        <v>Production intermédiaire</v>
      </c>
      <c r="AN209" t="str">
        <f>VLOOKUP(D209,'Table corresp.'!$M$4:$U$63,9,FALSE)</f>
        <v xml:space="preserve">Mise en œuvre </v>
      </c>
    </row>
    <row r="210" spans="1:40" x14ac:dyDescent="0.25">
      <c r="A210" t="s">
        <v>14</v>
      </c>
      <c r="B210" t="str">
        <f>VLOOKUP(LEFT(A210,3),'Table corresp.'!$A$4:$D$63,3,FALSE)</f>
        <v>Transformation</v>
      </c>
      <c r="C210" t="str">
        <f>VLOOKUP(A210,'Table corresp.'!$M$4:$P$63,4,FALSE)</f>
        <v>Production et transformation de produits bois</v>
      </c>
      <c r="D210" t="s">
        <v>22</v>
      </c>
      <c r="E210" t="str">
        <f>VLOOKUP(LEFT(D210,3),'Table corresp.'!$A$4:$D$63,4,FALSE)</f>
        <v>Transformation</v>
      </c>
      <c r="F210" t="str">
        <f t="shared" si="18"/>
        <v xml:space="preserve">20b - 55 </v>
      </c>
      <c r="G210" s="1">
        <v>69.038423253035944</v>
      </c>
      <c r="H210" s="1">
        <v>6140</v>
      </c>
      <c r="I210" s="1">
        <v>6209.0384232530359</v>
      </c>
      <c r="J210" s="1">
        <v>0.31202903415646643</v>
      </c>
      <c r="K210" s="1">
        <v>27.750608711018824</v>
      </c>
      <c r="L210" s="1">
        <v>28.062637745175291</v>
      </c>
      <c r="M210" s="1">
        <v>0</v>
      </c>
      <c r="N210" s="1">
        <v>0</v>
      </c>
      <c r="O210" s="1">
        <v>0</v>
      </c>
      <c r="P210" s="1">
        <v>0</v>
      </c>
      <c r="Q210" s="1">
        <v>0</v>
      </c>
      <c r="R210" s="1">
        <v>0</v>
      </c>
      <c r="S210" s="67"/>
      <c r="T210">
        <f>VLOOKUP(A210,'Groupe de branches'!$Z$27:$AM$86,14,FALSE)</f>
        <v>0</v>
      </c>
      <c r="U210">
        <f>VLOOKUP(D210,'Groupe de branches'!$Z$27:$AM$86,14,FALSE)</f>
        <v>0</v>
      </c>
      <c r="V210">
        <v>2016</v>
      </c>
      <c r="W210" t="str">
        <f>VLOOKUP(D210,'Table corresp.'!$M$4:$S$63,7,FALSE)</f>
        <v>Construction</v>
      </c>
      <c r="X210" s="167">
        <f>IFERROR(G210/SUMIFS('Comp2016-2017 (3)'!$I$5:$I$289,'Comp2016-2017 (3)'!$A$5:$A$289,A210,'Comp2016-2017 (3)'!$R$5:$R$289,V210),0)</f>
        <v>4.1945697340686522E-4</v>
      </c>
      <c r="Y210" s="178">
        <f>IFERROR(IF(RIGHT(F210,3)="Exp",VLOOKUP(F210,#REF!,2,FALSE),VLOOKUP(F210,#REF!,9,FALSE)),1)</f>
        <v>1</v>
      </c>
      <c r="Z210" s="167">
        <f t="shared" si="20"/>
        <v>7.1428571428571425E-2</v>
      </c>
      <c r="AA210" s="189">
        <f t="shared" si="21"/>
        <v>2.9961212386204659E-5</v>
      </c>
      <c r="AB210" s="2">
        <f>IFERROR(SUMIFS('Comp2016-2017 (3)'!$G$5:$G$289,'Comp2016-2017 (3)'!$A$5:$A$289,A210,'Comp2016-2017 (3)'!$R$5:$R$289,V210)*AA210/SUMIFS($AA$4:$AA$1116,$A$4:$A$1116,A210,$V$4:$V$1116,V210),0)</f>
        <v>18.845077460112044</v>
      </c>
      <c r="AC210" s="2" t="str">
        <f>IF($W210=AC$3,$AB210,IF(NOT($W210=0),"",SUMIFS('Val-Vol (2)'!AC$4:AC$1116,'Val-Vol (2)'!$A$4:$A$1116,$D210,'Val-Vol (2)'!$V$4:$V$1116,$V210)/SUMIFS('Comp2016-2017 (3)'!$G$5:$G$289,'Comp2016-2017 (3)'!$A$5:$A$289,$D210,'Comp2016-2017 (3)'!$R$5:$R$289,$V210)*$AB210))</f>
        <v/>
      </c>
      <c r="AD210" s="2">
        <f>IF($W210=AD$3,$AB210,IF(NOT($W210=0),"",SUMIFS('Val-Vol (2)'!AD$4:AD$1116,'Val-Vol (2)'!$A$4:$A$1116,$D210,'Val-Vol (2)'!$V$4:$V$1116,$V210)/SUMIFS('Comp2016-2017 (3)'!$G$5:$G$289,'Comp2016-2017 (3)'!$A$5:$A$289,$D210,'Comp2016-2017 (3)'!$R$5:$R$289,$V210)*$AB210))</f>
        <v>18.845077460112044</v>
      </c>
      <c r="AE210" s="2" t="str">
        <f>IF($W210=AE$3,$AB210,IF(NOT($W210=0),"",SUMIFS('Val-Vol (2)'!AE$4:AE$1116,'Val-Vol (2)'!$A$4:$A$1116,$D210,'Val-Vol (2)'!$V$4:$V$1116,$V210)/SUMIFS('Comp2016-2017 (3)'!$G$5:$G$289,'Comp2016-2017 (3)'!$A$5:$A$289,$D210,'Comp2016-2017 (3)'!$R$5:$R$289,$V210)*$AB210))</f>
        <v/>
      </c>
      <c r="AF210" s="2" t="str">
        <f>IF($W210=AF$3,$AB210,IF(NOT($W210=0),"",SUMIFS('Val-Vol (2)'!AF$4:AF$1116,'Val-Vol (2)'!$A$4:$A$1116,$D210,'Val-Vol (2)'!$V$4:$V$1116,$V210)/SUMIFS('Comp2016-2017 (3)'!$G$5:$G$289,'Comp2016-2017 (3)'!$A$5:$A$289,$D210,'Comp2016-2017 (3)'!$R$5:$R$289,$V210)*$AB210))</f>
        <v/>
      </c>
      <c r="AG210" s="2" t="str">
        <f>IF($W210=AG$3,$AB210,IF(NOT($W210=0),"",SUMIFS('Val-Vol (2)'!AG$4:AG$1116,'Val-Vol (2)'!$A$4:$A$1116,$D210,'Val-Vol (2)'!$V$4:$V$1116,$V210)/SUMIFS('Comp2016-2017 (3)'!$G$5:$G$289,'Comp2016-2017 (3)'!$A$5:$A$289,$D210,'Comp2016-2017 (3)'!$R$5:$R$289,$V210)*$AB210))</f>
        <v/>
      </c>
      <c r="AH210" s="2" t="str">
        <f>IF($W210=AH$3,$AB210,IF(NOT($W210=0),"",SUMIFS('Val-Vol (2)'!AH$4:AH$1116,'Val-Vol (2)'!$A$4:$A$1116,$D210,'Val-Vol (2)'!$V$4:$V$1116,$V210)/SUMIFS('Comp2016-2017 (3)'!$G$5:$G$289,'Comp2016-2017 (3)'!$A$5:$A$289,$D210,'Comp2016-2017 (3)'!$R$5:$R$289,$V210)*$AB210))</f>
        <v/>
      </c>
      <c r="AI210" s="2" t="str">
        <f>IF($W210=AI$3,$AB210,IF(NOT($W210=0),"",SUMIFS('Val-Vol (2)'!AI$4:AI$1116,'Val-Vol (2)'!$A$4:$A$1116,$D210,'Val-Vol (2)'!$V$4:$V$1116,$V210)/SUMIFS('Comp2016-2017 (3)'!$G$5:$G$289,'Comp2016-2017 (3)'!$A$5:$A$289,$D210,'Comp2016-2017 (3)'!$R$5:$R$289,$V210)*$AB210))</f>
        <v/>
      </c>
      <c r="AJ210" s="2" t="str">
        <f>IF($W210=AJ$3,$AB210,IF(NOT($W210=0),"",SUMIFS('Val-Vol (2)'!AJ$4:AJ$1116,'Val-Vol (2)'!$A$4:$A$1116,$D210,'Val-Vol (2)'!$V$4:$V$1116,$V210)/SUMIFS('Comp2016-2017 (3)'!$G$5:$G$289,'Comp2016-2017 (3)'!$A$5:$A$289,$D210,'Comp2016-2017 (3)'!$R$5:$R$289,$V210)*$AB210))</f>
        <v/>
      </c>
      <c r="AK210" s="2">
        <f t="shared" si="22"/>
        <v>0</v>
      </c>
      <c r="AL210" t="str">
        <f t="shared" si="19"/>
        <v/>
      </c>
      <c r="AM210" t="str">
        <f>VLOOKUP(A210,'Table corresp.'!$M$4:$U$63,8,FALSE)</f>
        <v>Production intermédiaire</v>
      </c>
      <c r="AN210" t="str">
        <f>VLOOKUP(D210,'Table corresp.'!$M$4:$U$63,9,FALSE)</f>
        <v xml:space="preserve">Mise en œuvre </v>
      </c>
    </row>
    <row r="211" spans="1:40" x14ac:dyDescent="0.25">
      <c r="A211" t="s">
        <v>14</v>
      </c>
      <c r="B211" t="str">
        <f>VLOOKUP(LEFT(A211,3),'Table corresp.'!$A$4:$D$63,3,FALSE)</f>
        <v>Transformation</v>
      </c>
      <c r="C211" t="str">
        <f>VLOOKUP(A211,'Table corresp.'!$M$4:$P$63,4,FALSE)</f>
        <v>Production et transformation de produits bois</v>
      </c>
      <c r="D211" t="s">
        <v>24</v>
      </c>
      <c r="E211" t="str">
        <f>VLOOKUP(LEFT(D211,3),'Table corresp.'!$A$4:$D$63,4,FALSE)</f>
        <v>Transformation</v>
      </c>
      <c r="F211" t="str">
        <f t="shared" si="18"/>
        <v xml:space="preserve">20b - 57 </v>
      </c>
      <c r="G211" s="1">
        <v>17863.096284778032</v>
      </c>
      <c r="H211" s="1">
        <v>171920</v>
      </c>
      <c r="I211" s="1">
        <v>189783.09628477803</v>
      </c>
      <c r="J211" s="1">
        <v>60.551115069152594</v>
      </c>
      <c r="K211" s="1">
        <v>647.51420325710581</v>
      </c>
      <c r="L211" s="1">
        <v>708.06531832625842</v>
      </c>
      <c r="M211" s="1">
        <v>0</v>
      </c>
      <c r="N211" s="1">
        <v>0</v>
      </c>
      <c r="O211" s="1">
        <v>0</v>
      </c>
      <c r="P211" s="1">
        <v>0</v>
      </c>
      <c r="Q211" s="1">
        <v>0</v>
      </c>
      <c r="R211" s="1">
        <v>0</v>
      </c>
      <c r="S211" s="67"/>
      <c r="T211">
        <f>VLOOKUP(A211,'Groupe de branches'!$Z$27:$AM$86,14,FALSE)</f>
        <v>0</v>
      </c>
      <c r="U211">
        <f>VLOOKUP(D211,'Groupe de branches'!$Z$27:$AM$86,14,FALSE)</f>
        <v>0</v>
      </c>
      <c r="V211">
        <v>2016</v>
      </c>
      <c r="W211" t="str">
        <f>VLOOKUP(D211,'Table corresp.'!$M$4:$S$63,7,FALSE)</f>
        <v>Construction</v>
      </c>
      <c r="X211" s="167">
        <f>IFERROR(G211/SUMIFS('Comp2016-2017 (3)'!$I$5:$I$289,'Comp2016-2017 (3)'!$A$5:$A$289,A211,'Comp2016-2017 (3)'!$R$5:$R$289,V211),0)</f>
        <v>0.10853087237850435</v>
      </c>
      <c r="Y211" s="178">
        <f>IFERROR(IF(RIGHT(F211,3)="Exp",VLOOKUP(F211,#REF!,2,FALSE),VLOOKUP(F211,#REF!,9,FALSE)),1)</f>
        <v>1</v>
      </c>
      <c r="Z211" s="167">
        <f t="shared" si="20"/>
        <v>7.1428571428571425E-2</v>
      </c>
      <c r="AA211" s="189">
        <f t="shared" si="21"/>
        <v>7.752205169893168E-3</v>
      </c>
      <c r="AB211" s="2">
        <f>IFERROR(SUMIFS('Comp2016-2017 (3)'!$G$5:$G$289,'Comp2016-2017 (3)'!$A$5:$A$289,A211,'Comp2016-2017 (3)'!$R$5:$R$289,V211)*AA211/SUMIFS($AA$4:$AA$1116,$A$4:$A$1116,A211,$V$4:$V$1116,V211),0)</f>
        <v>4876.001178796887</v>
      </c>
      <c r="AC211" s="2" t="str">
        <f>IF($W211=AC$3,$AB211,IF(NOT($W211=0),"",SUMIFS('Val-Vol (2)'!AC$4:AC$1116,'Val-Vol (2)'!$A$4:$A$1116,$D211,'Val-Vol (2)'!$V$4:$V$1116,$V211)/SUMIFS('Comp2016-2017 (3)'!$G$5:$G$289,'Comp2016-2017 (3)'!$A$5:$A$289,$D211,'Comp2016-2017 (3)'!$R$5:$R$289,$V211)*$AB211))</f>
        <v/>
      </c>
      <c r="AD211" s="2">
        <f>IF($W211=AD$3,$AB211,IF(NOT($W211=0),"",SUMIFS('Val-Vol (2)'!AD$4:AD$1116,'Val-Vol (2)'!$A$4:$A$1116,$D211,'Val-Vol (2)'!$V$4:$V$1116,$V211)/SUMIFS('Comp2016-2017 (3)'!$G$5:$G$289,'Comp2016-2017 (3)'!$A$5:$A$289,$D211,'Comp2016-2017 (3)'!$R$5:$R$289,$V211)*$AB211))</f>
        <v>4876.001178796887</v>
      </c>
      <c r="AE211" s="2" t="str">
        <f>IF($W211=AE$3,$AB211,IF(NOT($W211=0),"",SUMIFS('Val-Vol (2)'!AE$4:AE$1116,'Val-Vol (2)'!$A$4:$A$1116,$D211,'Val-Vol (2)'!$V$4:$V$1116,$V211)/SUMIFS('Comp2016-2017 (3)'!$G$5:$G$289,'Comp2016-2017 (3)'!$A$5:$A$289,$D211,'Comp2016-2017 (3)'!$R$5:$R$289,$V211)*$AB211))</f>
        <v/>
      </c>
      <c r="AF211" s="2" t="str">
        <f>IF($W211=AF$3,$AB211,IF(NOT($W211=0),"",SUMIFS('Val-Vol (2)'!AF$4:AF$1116,'Val-Vol (2)'!$A$4:$A$1116,$D211,'Val-Vol (2)'!$V$4:$V$1116,$V211)/SUMIFS('Comp2016-2017 (3)'!$G$5:$G$289,'Comp2016-2017 (3)'!$A$5:$A$289,$D211,'Comp2016-2017 (3)'!$R$5:$R$289,$V211)*$AB211))</f>
        <v/>
      </c>
      <c r="AG211" s="2" t="str">
        <f>IF($W211=AG$3,$AB211,IF(NOT($W211=0),"",SUMIFS('Val-Vol (2)'!AG$4:AG$1116,'Val-Vol (2)'!$A$4:$A$1116,$D211,'Val-Vol (2)'!$V$4:$V$1116,$V211)/SUMIFS('Comp2016-2017 (3)'!$G$5:$G$289,'Comp2016-2017 (3)'!$A$5:$A$289,$D211,'Comp2016-2017 (3)'!$R$5:$R$289,$V211)*$AB211))</f>
        <v/>
      </c>
      <c r="AH211" s="2" t="str">
        <f>IF($W211=AH$3,$AB211,IF(NOT($W211=0),"",SUMIFS('Val-Vol (2)'!AH$4:AH$1116,'Val-Vol (2)'!$A$4:$A$1116,$D211,'Val-Vol (2)'!$V$4:$V$1116,$V211)/SUMIFS('Comp2016-2017 (3)'!$G$5:$G$289,'Comp2016-2017 (3)'!$A$5:$A$289,$D211,'Comp2016-2017 (3)'!$R$5:$R$289,$V211)*$AB211))</f>
        <v/>
      </c>
      <c r="AI211" s="2" t="str">
        <f>IF($W211=AI$3,$AB211,IF(NOT($W211=0),"",SUMIFS('Val-Vol (2)'!AI$4:AI$1116,'Val-Vol (2)'!$A$4:$A$1116,$D211,'Val-Vol (2)'!$V$4:$V$1116,$V211)/SUMIFS('Comp2016-2017 (3)'!$G$5:$G$289,'Comp2016-2017 (3)'!$A$5:$A$289,$D211,'Comp2016-2017 (3)'!$R$5:$R$289,$V211)*$AB211))</f>
        <v/>
      </c>
      <c r="AJ211" s="2" t="str">
        <f>IF($W211=AJ$3,$AB211,IF(NOT($W211=0),"",SUMIFS('Val-Vol (2)'!AJ$4:AJ$1116,'Val-Vol (2)'!$A$4:$A$1116,$D211,'Val-Vol (2)'!$V$4:$V$1116,$V211)/SUMIFS('Comp2016-2017 (3)'!$G$5:$G$289,'Comp2016-2017 (3)'!$A$5:$A$289,$D211,'Comp2016-2017 (3)'!$R$5:$R$289,$V211)*$AB211))</f>
        <v/>
      </c>
      <c r="AK211" s="2">
        <f t="shared" si="22"/>
        <v>0</v>
      </c>
      <c r="AL211" t="str">
        <f t="shared" si="19"/>
        <v/>
      </c>
      <c r="AM211" t="str">
        <f>VLOOKUP(A211,'Table corresp.'!$M$4:$U$63,8,FALSE)</f>
        <v>Production intermédiaire</v>
      </c>
      <c r="AN211" t="str">
        <f>VLOOKUP(D211,'Table corresp.'!$M$4:$U$63,9,FALSE)</f>
        <v xml:space="preserve">Mise en œuvre </v>
      </c>
    </row>
    <row r="212" spans="1:40" x14ac:dyDescent="0.25">
      <c r="A212" t="s">
        <v>14</v>
      </c>
      <c r="B212" t="str">
        <f>VLOOKUP(LEFT(A212,3),'Table corresp.'!$A$4:$D$63,3,FALSE)</f>
        <v>Transformation</v>
      </c>
      <c r="C212" t="str">
        <f>VLOOKUP(A212,'Table corresp.'!$M$4:$P$63,4,FALSE)</f>
        <v>Production et transformation de produits bois</v>
      </c>
      <c r="D212" t="s">
        <v>26</v>
      </c>
      <c r="E212" t="str">
        <f>VLOOKUP(LEFT(D212,3),'Table corresp.'!$A$4:$D$63,4,FALSE)</f>
        <v>Transformation</v>
      </c>
      <c r="F212" t="str">
        <f t="shared" si="18"/>
        <v xml:space="preserve">20b - 59 </v>
      </c>
      <c r="G212" s="1">
        <v>3850</v>
      </c>
      <c r="H212" s="1">
        <v>0</v>
      </c>
      <c r="I212" s="1">
        <v>3850</v>
      </c>
      <c r="J212" s="1">
        <v>15.660563384964204</v>
      </c>
      <c r="K212" s="1">
        <v>0</v>
      </c>
      <c r="L212" s="1">
        <v>15.660563384964204</v>
      </c>
      <c r="M212" s="1">
        <v>0</v>
      </c>
      <c r="N212" s="1">
        <v>0</v>
      </c>
      <c r="O212" s="1">
        <v>0</v>
      </c>
      <c r="P212" s="1">
        <v>0</v>
      </c>
      <c r="Q212" s="1">
        <v>0</v>
      </c>
      <c r="R212" s="1">
        <v>0</v>
      </c>
      <c r="S212" s="67"/>
      <c r="T212">
        <f>VLOOKUP(A212,'Groupe de branches'!$Z$27:$AM$86,14,FALSE)</f>
        <v>0</v>
      </c>
      <c r="U212">
        <f>VLOOKUP(D212,'Groupe de branches'!$Z$27:$AM$86,14,FALSE)</f>
        <v>0</v>
      </c>
      <c r="V212">
        <v>2016</v>
      </c>
      <c r="W212" t="str">
        <f>VLOOKUP(D212,'Table corresp.'!$M$4:$S$63,7,FALSE)</f>
        <v>Construction</v>
      </c>
      <c r="X212" s="167">
        <f>IFERROR(G212/SUMIFS('Comp2016-2017 (3)'!$I$5:$I$289,'Comp2016-2017 (3)'!$A$5:$A$289,A212,'Comp2016-2017 (3)'!$R$5:$R$289,V212),0)</f>
        <v>2.3391457561212709E-2</v>
      </c>
      <c r="Y212" s="178">
        <f>IFERROR(IF(RIGHT(F212,3)="Exp",VLOOKUP(F212,#REF!,2,FALSE),VLOOKUP(F212,#REF!,9,FALSE)),1)</f>
        <v>1</v>
      </c>
      <c r="Z212" s="167">
        <f t="shared" si="20"/>
        <v>7.1428571428571425E-2</v>
      </c>
      <c r="AA212" s="189">
        <f t="shared" si="21"/>
        <v>1.670818397229479E-3</v>
      </c>
      <c r="AB212" s="2">
        <f>IFERROR(SUMIFS('Comp2016-2017 (3)'!$G$5:$G$289,'Comp2016-2017 (3)'!$A$5:$A$289,A212,'Comp2016-2017 (3)'!$R$5:$R$289,V212)*AA212/SUMIFS($AA$4:$AA$1116,$A$4:$A$1116,A212,$V$4:$V$1116,V212),0)</f>
        <v>1050.9154873875373</v>
      </c>
      <c r="AC212" s="2" t="str">
        <f>IF($W212=AC$3,$AB212,IF(NOT($W212=0),"",SUMIFS('Val-Vol (2)'!AC$4:AC$1116,'Val-Vol (2)'!$A$4:$A$1116,$D212,'Val-Vol (2)'!$V$4:$V$1116,$V212)/SUMIFS('Comp2016-2017 (3)'!$G$5:$G$289,'Comp2016-2017 (3)'!$A$5:$A$289,$D212,'Comp2016-2017 (3)'!$R$5:$R$289,$V212)*$AB212))</f>
        <v/>
      </c>
      <c r="AD212" s="2">
        <f>IF($W212=AD$3,$AB212,IF(NOT($W212=0),"",SUMIFS('Val-Vol (2)'!AD$4:AD$1116,'Val-Vol (2)'!$A$4:$A$1116,$D212,'Val-Vol (2)'!$V$4:$V$1116,$V212)/SUMIFS('Comp2016-2017 (3)'!$G$5:$G$289,'Comp2016-2017 (3)'!$A$5:$A$289,$D212,'Comp2016-2017 (3)'!$R$5:$R$289,$V212)*$AB212))</f>
        <v>1050.9154873875373</v>
      </c>
      <c r="AE212" s="2" t="str">
        <f>IF($W212=AE$3,$AB212,IF(NOT($W212=0),"",SUMIFS('Val-Vol (2)'!AE$4:AE$1116,'Val-Vol (2)'!$A$4:$A$1116,$D212,'Val-Vol (2)'!$V$4:$V$1116,$V212)/SUMIFS('Comp2016-2017 (3)'!$G$5:$G$289,'Comp2016-2017 (3)'!$A$5:$A$289,$D212,'Comp2016-2017 (3)'!$R$5:$R$289,$V212)*$AB212))</f>
        <v/>
      </c>
      <c r="AF212" s="2" t="str">
        <f>IF($W212=AF$3,$AB212,IF(NOT($W212=0),"",SUMIFS('Val-Vol (2)'!AF$4:AF$1116,'Val-Vol (2)'!$A$4:$A$1116,$D212,'Val-Vol (2)'!$V$4:$V$1116,$V212)/SUMIFS('Comp2016-2017 (3)'!$G$5:$G$289,'Comp2016-2017 (3)'!$A$5:$A$289,$D212,'Comp2016-2017 (3)'!$R$5:$R$289,$V212)*$AB212))</f>
        <v/>
      </c>
      <c r="AG212" s="2" t="str">
        <f>IF($W212=AG$3,$AB212,IF(NOT($W212=0),"",SUMIFS('Val-Vol (2)'!AG$4:AG$1116,'Val-Vol (2)'!$A$4:$A$1116,$D212,'Val-Vol (2)'!$V$4:$V$1116,$V212)/SUMIFS('Comp2016-2017 (3)'!$G$5:$G$289,'Comp2016-2017 (3)'!$A$5:$A$289,$D212,'Comp2016-2017 (3)'!$R$5:$R$289,$V212)*$AB212))</f>
        <v/>
      </c>
      <c r="AH212" s="2" t="str">
        <f>IF($W212=AH$3,$AB212,IF(NOT($W212=0),"",SUMIFS('Val-Vol (2)'!AH$4:AH$1116,'Val-Vol (2)'!$A$4:$A$1116,$D212,'Val-Vol (2)'!$V$4:$V$1116,$V212)/SUMIFS('Comp2016-2017 (3)'!$G$5:$G$289,'Comp2016-2017 (3)'!$A$5:$A$289,$D212,'Comp2016-2017 (3)'!$R$5:$R$289,$V212)*$AB212))</f>
        <v/>
      </c>
      <c r="AI212" s="2" t="str">
        <f>IF($W212=AI$3,$AB212,IF(NOT($W212=0),"",SUMIFS('Val-Vol (2)'!AI$4:AI$1116,'Val-Vol (2)'!$A$4:$A$1116,$D212,'Val-Vol (2)'!$V$4:$V$1116,$V212)/SUMIFS('Comp2016-2017 (3)'!$G$5:$G$289,'Comp2016-2017 (3)'!$A$5:$A$289,$D212,'Comp2016-2017 (3)'!$R$5:$R$289,$V212)*$AB212))</f>
        <v/>
      </c>
      <c r="AJ212" s="2" t="str">
        <f>IF($W212=AJ$3,$AB212,IF(NOT($W212=0),"",SUMIFS('Val-Vol (2)'!AJ$4:AJ$1116,'Val-Vol (2)'!$A$4:$A$1116,$D212,'Val-Vol (2)'!$V$4:$V$1116,$V212)/SUMIFS('Comp2016-2017 (3)'!$G$5:$G$289,'Comp2016-2017 (3)'!$A$5:$A$289,$D212,'Comp2016-2017 (3)'!$R$5:$R$289,$V212)*$AB212))</f>
        <v/>
      </c>
      <c r="AK212" s="2">
        <f t="shared" si="22"/>
        <v>0</v>
      </c>
      <c r="AL212" t="str">
        <f t="shared" si="19"/>
        <v/>
      </c>
      <c r="AM212" t="str">
        <f>VLOOKUP(A212,'Table corresp.'!$M$4:$U$63,8,FALSE)</f>
        <v>Production intermédiaire</v>
      </c>
      <c r="AN212" t="str">
        <f>VLOOKUP(D212,'Table corresp.'!$M$4:$U$63,9,FALSE)</f>
        <v xml:space="preserve">Mise en œuvre </v>
      </c>
    </row>
    <row r="213" spans="1:40" x14ac:dyDescent="0.25">
      <c r="A213" t="s">
        <v>14</v>
      </c>
      <c r="B213" t="str">
        <f>VLOOKUP(LEFT(A213,3),'Table corresp.'!$A$4:$D$63,3,FALSE)</f>
        <v>Transformation</v>
      </c>
      <c r="C213" t="str">
        <f>VLOOKUP(A213,'Table corresp.'!$M$4:$P$63,4,FALSE)</f>
        <v>Production et transformation de produits bois</v>
      </c>
      <c r="D213" t="s">
        <v>54</v>
      </c>
      <c r="E213" t="str">
        <f>VLOOKUP(LEFT(D213,3),'Table corresp.'!$A$4:$D$63,4,FALSE)</f>
        <v>Consommation finale</v>
      </c>
      <c r="F213" t="str">
        <f t="shared" si="18"/>
        <v>20b - Con</v>
      </c>
      <c r="G213" s="1">
        <v>0</v>
      </c>
      <c r="H213" s="1">
        <v>39860</v>
      </c>
      <c r="I213" s="1">
        <v>39860</v>
      </c>
      <c r="J213" s="1">
        <v>0</v>
      </c>
      <c r="K213" s="1">
        <v>231.62525288485094</v>
      </c>
      <c r="L213" s="1">
        <v>231.62525288485094</v>
      </c>
      <c r="M213" s="1">
        <v>0</v>
      </c>
      <c r="N213" s="1">
        <v>0</v>
      </c>
      <c r="O213" s="1">
        <v>0</v>
      </c>
      <c r="P213" s="1">
        <v>0</v>
      </c>
      <c r="Q213" s="1">
        <v>0</v>
      </c>
      <c r="R213" s="1">
        <v>0</v>
      </c>
      <c r="S213" s="67"/>
      <c r="T213">
        <f>VLOOKUP(A213,'Groupe de branches'!$Z$27:$AM$86,14,FALSE)</f>
        <v>0</v>
      </c>
      <c r="U213">
        <f>VLOOKUP(D213,'Groupe de branches'!$Z$27:$AM$86,14,FALSE)</f>
        <v>0</v>
      </c>
      <c r="V213">
        <v>2016</v>
      </c>
      <c r="W213" t="str">
        <f>VLOOKUP(D213,'Table corresp.'!$M$4:$S$63,7,FALSE)</f>
        <v>Consommation finale</v>
      </c>
      <c r="X213" s="167">
        <f>IFERROR(G213/SUMIFS('Comp2016-2017 (3)'!$I$5:$I$289,'Comp2016-2017 (3)'!$A$5:$A$289,A213,'Comp2016-2017 (3)'!$R$5:$R$289,V213),0)</f>
        <v>0</v>
      </c>
      <c r="Y213" s="178">
        <f>IFERROR(IF(RIGHT(F213,3)="Exp",VLOOKUP(F213,#REF!,2,FALSE),VLOOKUP(F213,#REF!,9,FALSE)),1)</f>
        <v>1</v>
      </c>
      <c r="Z213" s="167">
        <f t="shared" si="20"/>
        <v>7.1428571428571425E-2</v>
      </c>
      <c r="AA213" s="189">
        <f t="shared" si="21"/>
        <v>0</v>
      </c>
      <c r="AB213" s="2">
        <f>IFERROR(SUMIFS('Comp2016-2017 (3)'!$G$5:$G$289,'Comp2016-2017 (3)'!$A$5:$A$289,A213,'Comp2016-2017 (3)'!$R$5:$R$289,V213)*AA213/SUMIFS($AA$4:$AA$1116,$A$4:$A$1116,A213,$V$4:$V$1116,V213),0)</f>
        <v>0</v>
      </c>
      <c r="AC213" s="2" t="str">
        <f>IF($W213=AC$3,$AB213,IF(NOT($W213=0),"",SUMIFS('Val-Vol (2)'!AC$4:AC$1116,'Val-Vol (2)'!$A$4:$A$1116,$D213,'Val-Vol (2)'!$V$4:$V$1116,$V213)/SUMIFS('Comp2016-2017 (3)'!$G$5:$G$289,'Comp2016-2017 (3)'!$A$5:$A$289,$D213,'Comp2016-2017 (3)'!$R$5:$R$289,$V213)*$AB213))</f>
        <v/>
      </c>
      <c r="AD213" s="2" t="str">
        <f>IF($W213=AD$3,$AB213,IF(NOT($W213=0),"",SUMIFS('Val-Vol (2)'!AD$4:AD$1116,'Val-Vol (2)'!$A$4:$A$1116,$D213,'Val-Vol (2)'!$V$4:$V$1116,$V213)/SUMIFS('Comp2016-2017 (3)'!$G$5:$G$289,'Comp2016-2017 (3)'!$A$5:$A$289,$D213,'Comp2016-2017 (3)'!$R$5:$R$289,$V213)*$AB213))</f>
        <v/>
      </c>
      <c r="AE213" s="2" t="str">
        <f>IF($W213=AE$3,$AB213,IF(NOT($W213=0),"",SUMIFS('Val-Vol (2)'!AE$4:AE$1116,'Val-Vol (2)'!$A$4:$A$1116,$D213,'Val-Vol (2)'!$V$4:$V$1116,$V213)/SUMIFS('Comp2016-2017 (3)'!$G$5:$G$289,'Comp2016-2017 (3)'!$A$5:$A$289,$D213,'Comp2016-2017 (3)'!$R$5:$R$289,$V213)*$AB213))</f>
        <v/>
      </c>
      <c r="AF213" s="2" t="str">
        <f>IF($W213=AF$3,$AB213,IF(NOT($W213=0),"",SUMIFS('Val-Vol (2)'!AF$4:AF$1116,'Val-Vol (2)'!$A$4:$A$1116,$D213,'Val-Vol (2)'!$V$4:$V$1116,$V213)/SUMIFS('Comp2016-2017 (3)'!$G$5:$G$289,'Comp2016-2017 (3)'!$A$5:$A$289,$D213,'Comp2016-2017 (3)'!$R$5:$R$289,$V213)*$AB213))</f>
        <v/>
      </c>
      <c r="AG213" s="2" t="str">
        <f>IF($W213=AG$3,$AB213,IF(NOT($W213=0),"",SUMIFS('Val-Vol (2)'!AG$4:AG$1116,'Val-Vol (2)'!$A$4:$A$1116,$D213,'Val-Vol (2)'!$V$4:$V$1116,$V213)/SUMIFS('Comp2016-2017 (3)'!$G$5:$G$289,'Comp2016-2017 (3)'!$A$5:$A$289,$D213,'Comp2016-2017 (3)'!$R$5:$R$289,$V213)*$AB213))</f>
        <v/>
      </c>
      <c r="AH213" s="2" t="str">
        <f>IF($W213=AH$3,$AB213,IF(NOT($W213=0),"",SUMIFS('Val-Vol (2)'!AH$4:AH$1116,'Val-Vol (2)'!$A$4:$A$1116,$D213,'Val-Vol (2)'!$V$4:$V$1116,$V213)/SUMIFS('Comp2016-2017 (3)'!$G$5:$G$289,'Comp2016-2017 (3)'!$A$5:$A$289,$D213,'Comp2016-2017 (3)'!$R$5:$R$289,$V213)*$AB213))</f>
        <v/>
      </c>
      <c r="AI213" s="2" t="str">
        <f>IF($W213=AI$3,$AB213,IF(NOT($W213=0),"",SUMIFS('Val-Vol (2)'!AI$4:AI$1116,'Val-Vol (2)'!$A$4:$A$1116,$D213,'Val-Vol (2)'!$V$4:$V$1116,$V213)/SUMIFS('Comp2016-2017 (3)'!$G$5:$G$289,'Comp2016-2017 (3)'!$A$5:$A$289,$D213,'Comp2016-2017 (3)'!$R$5:$R$289,$V213)*$AB213))</f>
        <v/>
      </c>
      <c r="AJ213" s="2">
        <f>IF($W213=AJ$3,$AB213,IF(NOT($W213=0),"",SUMIFS('Val-Vol (2)'!AJ$4:AJ$1116,'Val-Vol (2)'!$A$4:$A$1116,$D213,'Val-Vol (2)'!$V$4:$V$1116,$V213)/SUMIFS('Comp2016-2017 (3)'!$G$5:$G$289,'Comp2016-2017 (3)'!$A$5:$A$289,$D213,'Comp2016-2017 (3)'!$R$5:$R$289,$V213)*$AB213))</f>
        <v>0</v>
      </c>
      <c r="AK213" s="2">
        <f t="shared" si="22"/>
        <v>0</v>
      </c>
      <c r="AL213" t="str">
        <f t="shared" si="19"/>
        <v/>
      </c>
      <c r="AM213" t="str">
        <f>VLOOKUP(A213,'Table corresp.'!$M$4:$U$63,8,FALSE)</f>
        <v>Production intermédiaire</v>
      </c>
      <c r="AN213" t="str">
        <f>VLOOKUP(D213,'Table corresp.'!$M$4:$U$63,9,FALSE)</f>
        <v>Consommation finale française</v>
      </c>
    </row>
    <row r="214" spans="1:40" x14ac:dyDescent="0.25">
      <c r="A214" t="s">
        <v>14</v>
      </c>
      <c r="B214" t="str">
        <f>VLOOKUP(LEFT(A214,3),'Table corresp.'!$A$4:$D$63,3,FALSE)</f>
        <v>Transformation</v>
      </c>
      <c r="C214" t="str">
        <f>VLOOKUP(A214,'Table corresp.'!$M$4:$P$63,4,FALSE)</f>
        <v>Production et transformation de produits bois</v>
      </c>
      <c r="D214" t="s">
        <v>53</v>
      </c>
      <c r="E214" t="str">
        <f>VLOOKUP(LEFT(D214,3),'Table corresp.'!$A$4:$D$63,4,FALSE)</f>
        <v>Exportation</v>
      </c>
      <c r="F214" t="str">
        <f t="shared" si="18"/>
        <v>20b - Exp</v>
      </c>
      <c r="G214" s="1">
        <v>42000</v>
      </c>
      <c r="H214" s="1">
        <v>0</v>
      </c>
      <c r="I214" s="1">
        <v>42000</v>
      </c>
      <c r="J214" s="1">
        <v>131.05895941787131</v>
      </c>
      <c r="K214" s="1">
        <v>0</v>
      </c>
      <c r="L214" s="1">
        <v>131.05895941787131</v>
      </c>
      <c r="M214" s="1">
        <v>0</v>
      </c>
      <c r="N214" s="1">
        <v>0</v>
      </c>
      <c r="O214" s="1">
        <v>0</v>
      </c>
      <c r="P214" s="1">
        <v>0</v>
      </c>
      <c r="Q214" s="1">
        <v>0</v>
      </c>
      <c r="R214" s="1">
        <v>0</v>
      </c>
      <c r="S214" s="67"/>
      <c r="T214">
        <f>VLOOKUP(A214,'Groupe de branches'!$Z$27:$AM$86,14,FALSE)</f>
        <v>0</v>
      </c>
      <c r="U214">
        <f>VLOOKUP(D214,'Groupe de branches'!$Z$27:$AM$86,14,FALSE)</f>
        <v>0</v>
      </c>
      <c r="V214">
        <v>2016</v>
      </c>
      <c r="W214" t="str">
        <f>VLOOKUP(D214,'Table corresp.'!$M$4:$S$63,7,FALSE)</f>
        <v>Exportation</v>
      </c>
      <c r="X214" s="167">
        <f>IFERROR(G214/SUMIFS('Comp2016-2017 (3)'!$I$5:$I$289,'Comp2016-2017 (3)'!$A$5:$A$289,A214,'Comp2016-2017 (3)'!$R$5:$R$289,V214),0)</f>
        <v>0.25517953703141139</v>
      </c>
      <c r="Y214" s="178">
        <f>IFERROR(IF(RIGHT(F214,3)="Exp",VLOOKUP(F214,#REF!,2,FALSE),VLOOKUP(F214,#REF!,9,FALSE)),1)</f>
        <v>1</v>
      </c>
      <c r="Z214" s="167">
        <f t="shared" si="20"/>
        <v>7.1428571428571425E-2</v>
      </c>
      <c r="AA214" s="189">
        <f t="shared" si="21"/>
        <v>1.8227109787957954E-2</v>
      </c>
      <c r="AB214" s="2">
        <f>IFERROR(SUMIFS('Comp2016-2017 (3)'!$G$5:$G$289,'Comp2016-2017 (3)'!$A$5:$A$289,A214,'Comp2016-2017 (3)'!$R$5:$R$289,V214)*AA214/SUMIFS($AA$4:$AA$1116,$A$4:$A$1116,A214,$V$4:$V$1116,V214),0)</f>
        <v>11464.532589682227</v>
      </c>
      <c r="AC214" s="2">
        <f>IF($W214=AC$3,$AB214,IF(NOT($W214=0),"",SUMIFS('Val-Vol (2)'!AC$4:AC$1116,'Val-Vol (2)'!$A$4:$A$1116,$D214,'Val-Vol (2)'!$V$4:$V$1116,$V214)/SUMIFS('Comp2016-2017 (3)'!$G$5:$G$289,'Comp2016-2017 (3)'!$A$5:$A$289,$D214,'Comp2016-2017 (3)'!$R$5:$R$289,$V214)*$AB214))</f>
        <v>11464.532589682227</v>
      </c>
      <c r="AD214" s="2" t="str">
        <f>IF($W214=AD$3,$AB214,IF(NOT($W214=0),"",SUMIFS('Val-Vol (2)'!AD$4:AD$1116,'Val-Vol (2)'!$A$4:$A$1116,$D214,'Val-Vol (2)'!$V$4:$V$1116,$V214)/SUMIFS('Comp2016-2017 (3)'!$G$5:$G$289,'Comp2016-2017 (3)'!$A$5:$A$289,$D214,'Comp2016-2017 (3)'!$R$5:$R$289,$V214)*$AB214))</f>
        <v/>
      </c>
      <c r="AE214" s="2" t="str">
        <f>IF($W214=AE$3,$AB214,IF(NOT($W214=0),"",SUMIFS('Val-Vol (2)'!AE$4:AE$1116,'Val-Vol (2)'!$A$4:$A$1116,$D214,'Val-Vol (2)'!$V$4:$V$1116,$V214)/SUMIFS('Comp2016-2017 (3)'!$G$5:$G$289,'Comp2016-2017 (3)'!$A$5:$A$289,$D214,'Comp2016-2017 (3)'!$R$5:$R$289,$V214)*$AB214))</f>
        <v/>
      </c>
      <c r="AF214" s="2" t="str">
        <f>IF($W214=AF$3,$AB214,IF(NOT($W214=0),"",SUMIFS('Val-Vol (2)'!AF$4:AF$1116,'Val-Vol (2)'!$A$4:$A$1116,$D214,'Val-Vol (2)'!$V$4:$V$1116,$V214)/SUMIFS('Comp2016-2017 (3)'!$G$5:$G$289,'Comp2016-2017 (3)'!$A$5:$A$289,$D214,'Comp2016-2017 (3)'!$R$5:$R$289,$V214)*$AB214))</f>
        <v/>
      </c>
      <c r="AG214" s="2" t="str">
        <f>IF($W214=AG$3,$AB214,IF(NOT($W214=0),"",SUMIFS('Val-Vol (2)'!AG$4:AG$1116,'Val-Vol (2)'!$A$4:$A$1116,$D214,'Val-Vol (2)'!$V$4:$V$1116,$V214)/SUMIFS('Comp2016-2017 (3)'!$G$5:$G$289,'Comp2016-2017 (3)'!$A$5:$A$289,$D214,'Comp2016-2017 (3)'!$R$5:$R$289,$V214)*$AB214))</f>
        <v/>
      </c>
      <c r="AH214" s="2" t="str">
        <f>IF($W214=AH$3,$AB214,IF(NOT($W214=0),"",SUMIFS('Val-Vol (2)'!AH$4:AH$1116,'Val-Vol (2)'!$A$4:$A$1116,$D214,'Val-Vol (2)'!$V$4:$V$1116,$V214)/SUMIFS('Comp2016-2017 (3)'!$G$5:$G$289,'Comp2016-2017 (3)'!$A$5:$A$289,$D214,'Comp2016-2017 (3)'!$R$5:$R$289,$V214)*$AB214))</f>
        <v/>
      </c>
      <c r="AI214" s="2" t="str">
        <f>IF($W214=AI$3,$AB214,IF(NOT($W214=0),"",SUMIFS('Val-Vol (2)'!AI$4:AI$1116,'Val-Vol (2)'!$A$4:$A$1116,$D214,'Val-Vol (2)'!$V$4:$V$1116,$V214)/SUMIFS('Comp2016-2017 (3)'!$G$5:$G$289,'Comp2016-2017 (3)'!$A$5:$A$289,$D214,'Comp2016-2017 (3)'!$R$5:$R$289,$V214)*$AB214))</f>
        <v/>
      </c>
      <c r="AJ214" s="2" t="str">
        <f>IF($W214=AJ$3,$AB214,IF(NOT($W214=0),"",SUMIFS('Val-Vol (2)'!AJ$4:AJ$1116,'Val-Vol (2)'!$A$4:$A$1116,$D214,'Val-Vol (2)'!$V$4:$V$1116,$V214)/SUMIFS('Comp2016-2017 (3)'!$G$5:$G$289,'Comp2016-2017 (3)'!$A$5:$A$289,$D214,'Comp2016-2017 (3)'!$R$5:$R$289,$V214)*$AB214))</f>
        <v/>
      </c>
      <c r="AK214" s="2">
        <f t="shared" si="22"/>
        <v>0</v>
      </c>
      <c r="AL214" t="str">
        <f t="shared" si="19"/>
        <v/>
      </c>
      <c r="AM214" t="str">
        <f>VLOOKUP(A214,'Table corresp.'!$M$4:$U$63,8,FALSE)</f>
        <v>Production intermédiaire</v>
      </c>
      <c r="AN214" t="str">
        <f>VLOOKUP(D214,'Table corresp.'!$M$4:$U$63,9,FALSE)</f>
        <v>Exportation</v>
      </c>
    </row>
    <row r="215" spans="1:40" x14ac:dyDescent="0.25">
      <c r="A215" t="s">
        <v>85</v>
      </c>
      <c r="B215" t="str">
        <f>VLOOKUP(LEFT(A215,3),'Table corresp.'!$A$4:$D$63,3,FALSE)</f>
        <v>Transformation</v>
      </c>
      <c r="C215" t="str">
        <f>VLOOKUP(A215,'Table corresp.'!$M$4:$P$63,4,FALSE)</f>
        <v>Production et transformation de produits bois</v>
      </c>
      <c r="D215" t="s">
        <v>19</v>
      </c>
      <c r="E215" t="str">
        <f>VLOOKUP(LEFT(D215,3),'Table corresp.'!$A$4:$D$63,4,FALSE)</f>
        <v>Transformation</v>
      </c>
      <c r="F215" t="str">
        <f t="shared" si="18"/>
        <v xml:space="preserve">29  - 52 </v>
      </c>
      <c r="G215" s="1">
        <v>63108.536319999999</v>
      </c>
      <c r="H215" s="1">
        <v>19479</v>
      </c>
      <c r="I215" s="1">
        <v>82587.536319999999</v>
      </c>
      <c r="J215" s="1">
        <v>390.45874316211945</v>
      </c>
      <c r="K215" s="1">
        <v>107.56642507730436</v>
      </c>
      <c r="L215" s="1">
        <v>498.02516823942381</v>
      </c>
      <c r="M215" s="1">
        <v>0</v>
      </c>
      <c r="N215" s="1">
        <v>0</v>
      </c>
      <c r="O215" s="1">
        <v>0</v>
      </c>
      <c r="P215" s="1">
        <v>0</v>
      </c>
      <c r="Q215" s="1">
        <v>0</v>
      </c>
      <c r="R215" s="1">
        <v>0</v>
      </c>
      <c r="S215" s="67"/>
      <c r="T215">
        <f>VLOOKUP(A215,'Groupe de branches'!$Z$27:$AM$86,14,FALSE)</f>
        <v>0</v>
      </c>
      <c r="U215">
        <f>VLOOKUP(D215,'Groupe de branches'!$Z$27:$AM$86,14,FALSE)</f>
        <v>0</v>
      </c>
      <c r="V215">
        <v>2016</v>
      </c>
      <c r="W215" t="str">
        <f>VLOOKUP(D215,'Table corresp.'!$M$4:$S$63,7,FALSE)</f>
        <v>Construction</v>
      </c>
      <c r="X215" s="167">
        <f>IFERROR(G215/SUMIFS('Comp2016-2017 (3)'!$I$5:$I$289,'Comp2016-2017 (3)'!$A$5:$A$289,A215,'Comp2016-2017 (3)'!$R$5:$R$289,V215),0)</f>
        <v>0.23127468264081436</v>
      </c>
      <c r="Y215" s="178">
        <f>IFERROR(IF(RIGHT(F215,3)="Exp",VLOOKUP(F215,#REF!,2,FALSE),VLOOKUP(F215,#REF!,9,FALSE)),1)</f>
        <v>1</v>
      </c>
      <c r="Z215" s="167">
        <f t="shared" si="20"/>
        <v>0.25</v>
      </c>
      <c r="AA215" s="189">
        <f t="shared" si="21"/>
        <v>5.7818670660203589E-2</v>
      </c>
      <c r="AB215" s="2">
        <f>IFERROR(SUMIFS('Comp2016-2017 (3)'!$G$5:$G$289,'Comp2016-2017 (3)'!$A$5:$A$289,A215,'Comp2016-2017 (3)'!$R$5:$R$289,V215)*AA215/SUMIFS($AA$4:$AA$1116,$A$4:$A$1116,A215,$V$4:$V$1116,V215),0)</f>
        <v>2676.7584826797802</v>
      </c>
      <c r="AC215" s="2" t="str">
        <f>IF($W215=AC$3,$AB215,IF(NOT($W215=0),"",SUMIFS('Val-Vol (2)'!AC$4:AC$1116,'Val-Vol (2)'!$A$4:$A$1116,$D215,'Val-Vol (2)'!$V$4:$V$1116,$V215)/SUMIFS('Comp2016-2017 (3)'!$G$5:$G$289,'Comp2016-2017 (3)'!$A$5:$A$289,$D215,'Comp2016-2017 (3)'!$R$5:$R$289,$V215)*$AB215))</f>
        <v/>
      </c>
      <c r="AD215" s="2">
        <f>IF($W215=AD$3,$AB215,IF(NOT($W215=0),"",SUMIFS('Val-Vol (2)'!AD$4:AD$1116,'Val-Vol (2)'!$A$4:$A$1116,$D215,'Val-Vol (2)'!$V$4:$V$1116,$V215)/SUMIFS('Comp2016-2017 (3)'!$G$5:$G$289,'Comp2016-2017 (3)'!$A$5:$A$289,$D215,'Comp2016-2017 (3)'!$R$5:$R$289,$V215)*$AB215))</f>
        <v>2676.7584826797802</v>
      </c>
      <c r="AE215" s="2" t="str">
        <f>IF($W215=AE$3,$AB215,IF(NOT($W215=0),"",SUMIFS('Val-Vol (2)'!AE$4:AE$1116,'Val-Vol (2)'!$A$4:$A$1116,$D215,'Val-Vol (2)'!$V$4:$V$1116,$V215)/SUMIFS('Comp2016-2017 (3)'!$G$5:$G$289,'Comp2016-2017 (3)'!$A$5:$A$289,$D215,'Comp2016-2017 (3)'!$R$5:$R$289,$V215)*$AB215))</f>
        <v/>
      </c>
      <c r="AF215" s="2" t="str">
        <f>IF($W215=AF$3,$AB215,IF(NOT($W215=0),"",SUMIFS('Val-Vol (2)'!AF$4:AF$1116,'Val-Vol (2)'!$A$4:$A$1116,$D215,'Val-Vol (2)'!$V$4:$V$1116,$V215)/SUMIFS('Comp2016-2017 (3)'!$G$5:$G$289,'Comp2016-2017 (3)'!$A$5:$A$289,$D215,'Comp2016-2017 (3)'!$R$5:$R$289,$V215)*$AB215))</f>
        <v/>
      </c>
      <c r="AG215" s="2" t="str">
        <f>IF($W215=AG$3,$AB215,IF(NOT($W215=0),"",SUMIFS('Val-Vol (2)'!AG$4:AG$1116,'Val-Vol (2)'!$A$4:$A$1116,$D215,'Val-Vol (2)'!$V$4:$V$1116,$V215)/SUMIFS('Comp2016-2017 (3)'!$G$5:$G$289,'Comp2016-2017 (3)'!$A$5:$A$289,$D215,'Comp2016-2017 (3)'!$R$5:$R$289,$V215)*$AB215))</f>
        <v/>
      </c>
      <c r="AH215" s="2" t="str">
        <f>IF($W215=AH$3,$AB215,IF(NOT($W215=0),"",SUMIFS('Val-Vol (2)'!AH$4:AH$1116,'Val-Vol (2)'!$A$4:$A$1116,$D215,'Val-Vol (2)'!$V$4:$V$1116,$V215)/SUMIFS('Comp2016-2017 (3)'!$G$5:$G$289,'Comp2016-2017 (3)'!$A$5:$A$289,$D215,'Comp2016-2017 (3)'!$R$5:$R$289,$V215)*$AB215))</f>
        <v/>
      </c>
      <c r="AI215" s="2" t="str">
        <f>IF($W215=AI$3,$AB215,IF(NOT($W215=0),"",SUMIFS('Val-Vol (2)'!AI$4:AI$1116,'Val-Vol (2)'!$A$4:$A$1116,$D215,'Val-Vol (2)'!$V$4:$V$1116,$V215)/SUMIFS('Comp2016-2017 (3)'!$G$5:$G$289,'Comp2016-2017 (3)'!$A$5:$A$289,$D215,'Comp2016-2017 (3)'!$R$5:$R$289,$V215)*$AB215))</f>
        <v/>
      </c>
      <c r="AJ215" s="2" t="str">
        <f>IF($W215=AJ$3,$AB215,IF(NOT($W215=0),"",SUMIFS('Val-Vol (2)'!AJ$4:AJ$1116,'Val-Vol (2)'!$A$4:$A$1116,$D215,'Val-Vol (2)'!$V$4:$V$1116,$V215)/SUMIFS('Comp2016-2017 (3)'!$G$5:$G$289,'Comp2016-2017 (3)'!$A$5:$A$289,$D215,'Comp2016-2017 (3)'!$R$5:$R$289,$V215)*$AB215))</f>
        <v/>
      </c>
      <c r="AK215" s="2">
        <f t="shared" si="22"/>
        <v>0</v>
      </c>
      <c r="AL215" t="str">
        <f t="shared" si="19"/>
        <v/>
      </c>
      <c r="AM215" t="str">
        <f>VLOOKUP(A215,'Table corresp.'!$M$4:$U$63,8,FALSE)</f>
        <v>Production intermédiaire</v>
      </c>
      <c r="AN215" t="str">
        <f>VLOOKUP(D215,'Table corresp.'!$M$4:$U$63,9,FALSE)</f>
        <v xml:space="preserve">Mise en œuvre </v>
      </c>
    </row>
    <row r="216" spans="1:40" x14ac:dyDescent="0.25">
      <c r="A216" t="s">
        <v>85</v>
      </c>
      <c r="B216" t="str">
        <f>VLOOKUP(LEFT(A216,3),'Table corresp.'!$A$4:$D$63,3,FALSE)</f>
        <v>Transformation</v>
      </c>
      <c r="C216" t="str">
        <f>VLOOKUP(A216,'Table corresp.'!$M$4:$P$63,4,FALSE)</f>
        <v>Production et transformation de produits bois</v>
      </c>
      <c r="D216" t="s">
        <v>24</v>
      </c>
      <c r="E216" t="str">
        <f>VLOOKUP(LEFT(D216,3),'Table corresp.'!$A$4:$D$63,4,FALSE)</f>
        <v>Transformation</v>
      </c>
      <c r="F216" t="str">
        <f t="shared" si="18"/>
        <v xml:space="preserve">29  - 57 </v>
      </c>
      <c r="G216" s="1">
        <v>115474.73324773234</v>
      </c>
      <c r="H216" s="1">
        <v>136353</v>
      </c>
      <c r="I216" s="1">
        <v>251827.73324773234</v>
      </c>
      <c r="J216" s="1">
        <v>595.37797684327836</v>
      </c>
      <c r="K216" s="1">
        <v>651.21295181935614</v>
      </c>
      <c r="L216" s="1">
        <v>1246.5909286626345</v>
      </c>
      <c r="M216" s="1">
        <v>0</v>
      </c>
      <c r="N216" s="1">
        <v>0</v>
      </c>
      <c r="O216" s="1">
        <v>0</v>
      </c>
      <c r="P216" s="1">
        <v>0</v>
      </c>
      <c r="Q216" s="1">
        <v>0</v>
      </c>
      <c r="R216" s="1">
        <v>0</v>
      </c>
      <c r="S216" s="67"/>
      <c r="T216">
        <f>VLOOKUP(A216,'Groupe de branches'!$Z$27:$AM$86,14,FALSE)</f>
        <v>0</v>
      </c>
      <c r="U216">
        <f>VLOOKUP(D216,'Groupe de branches'!$Z$27:$AM$86,14,FALSE)</f>
        <v>0</v>
      </c>
      <c r="V216">
        <v>2016</v>
      </c>
      <c r="W216" t="str">
        <f>VLOOKUP(D216,'Table corresp.'!$M$4:$S$63,7,FALSE)</f>
        <v>Construction</v>
      </c>
      <c r="X216" s="167">
        <f>IFERROR(G216/SUMIFS('Comp2016-2017 (3)'!$I$5:$I$289,'Comp2016-2017 (3)'!$A$5:$A$289,A216,'Comp2016-2017 (3)'!$R$5:$R$289,V216),0)</f>
        <v>0.42318177289810405</v>
      </c>
      <c r="Y216" s="178">
        <f>IFERROR(IF(RIGHT(F216,3)="Exp",VLOOKUP(F216,#REF!,2,FALSE),VLOOKUP(F216,#REF!,9,FALSE)),1)</f>
        <v>1</v>
      </c>
      <c r="Z216" s="167">
        <f t="shared" si="20"/>
        <v>0.25</v>
      </c>
      <c r="AA216" s="189">
        <f t="shared" si="21"/>
        <v>0.10579544322452601</v>
      </c>
      <c r="AB216" s="2">
        <f>IFERROR(SUMIFS('Comp2016-2017 (3)'!$G$5:$G$289,'Comp2016-2017 (3)'!$A$5:$A$289,A216,'Comp2016-2017 (3)'!$R$5:$R$289,V216)*AA216/SUMIFS($AA$4:$AA$1116,$A$4:$A$1116,A216,$V$4:$V$1116,V216),0)</f>
        <v>4897.8789523612313</v>
      </c>
      <c r="AC216" s="2" t="str">
        <f>IF($W216=AC$3,$AB216,IF(NOT($W216=0),"",SUMIFS('Val-Vol (2)'!AC$4:AC$1116,'Val-Vol (2)'!$A$4:$A$1116,$D216,'Val-Vol (2)'!$V$4:$V$1116,$V216)/SUMIFS('Comp2016-2017 (3)'!$G$5:$G$289,'Comp2016-2017 (3)'!$A$5:$A$289,$D216,'Comp2016-2017 (3)'!$R$5:$R$289,$V216)*$AB216))</f>
        <v/>
      </c>
      <c r="AD216" s="2">
        <f>IF($W216=AD$3,$AB216,IF(NOT($W216=0),"",SUMIFS('Val-Vol (2)'!AD$4:AD$1116,'Val-Vol (2)'!$A$4:$A$1116,$D216,'Val-Vol (2)'!$V$4:$V$1116,$V216)/SUMIFS('Comp2016-2017 (3)'!$G$5:$G$289,'Comp2016-2017 (3)'!$A$5:$A$289,$D216,'Comp2016-2017 (3)'!$R$5:$R$289,$V216)*$AB216))</f>
        <v>4897.8789523612313</v>
      </c>
      <c r="AE216" s="2" t="str">
        <f>IF($W216=AE$3,$AB216,IF(NOT($W216=0),"",SUMIFS('Val-Vol (2)'!AE$4:AE$1116,'Val-Vol (2)'!$A$4:$A$1116,$D216,'Val-Vol (2)'!$V$4:$V$1116,$V216)/SUMIFS('Comp2016-2017 (3)'!$G$5:$G$289,'Comp2016-2017 (3)'!$A$5:$A$289,$D216,'Comp2016-2017 (3)'!$R$5:$R$289,$V216)*$AB216))</f>
        <v/>
      </c>
      <c r="AF216" s="2" t="str">
        <f>IF($W216=AF$3,$AB216,IF(NOT($W216=0),"",SUMIFS('Val-Vol (2)'!AF$4:AF$1116,'Val-Vol (2)'!$A$4:$A$1116,$D216,'Val-Vol (2)'!$V$4:$V$1116,$V216)/SUMIFS('Comp2016-2017 (3)'!$G$5:$G$289,'Comp2016-2017 (3)'!$A$5:$A$289,$D216,'Comp2016-2017 (3)'!$R$5:$R$289,$V216)*$AB216))</f>
        <v/>
      </c>
      <c r="AG216" s="2" t="str">
        <f>IF($W216=AG$3,$AB216,IF(NOT($W216=0),"",SUMIFS('Val-Vol (2)'!AG$4:AG$1116,'Val-Vol (2)'!$A$4:$A$1116,$D216,'Val-Vol (2)'!$V$4:$V$1116,$V216)/SUMIFS('Comp2016-2017 (3)'!$G$5:$G$289,'Comp2016-2017 (3)'!$A$5:$A$289,$D216,'Comp2016-2017 (3)'!$R$5:$R$289,$V216)*$AB216))</f>
        <v/>
      </c>
      <c r="AH216" s="2" t="str">
        <f>IF($W216=AH$3,$AB216,IF(NOT($W216=0),"",SUMIFS('Val-Vol (2)'!AH$4:AH$1116,'Val-Vol (2)'!$A$4:$A$1116,$D216,'Val-Vol (2)'!$V$4:$V$1116,$V216)/SUMIFS('Comp2016-2017 (3)'!$G$5:$G$289,'Comp2016-2017 (3)'!$A$5:$A$289,$D216,'Comp2016-2017 (3)'!$R$5:$R$289,$V216)*$AB216))</f>
        <v/>
      </c>
      <c r="AI216" s="2" t="str">
        <f>IF($W216=AI$3,$AB216,IF(NOT($W216=0),"",SUMIFS('Val-Vol (2)'!AI$4:AI$1116,'Val-Vol (2)'!$A$4:$A$1116,$D216,'Val-Vol (2)'!$V$4:$V$1116,$V216)/SUMIFS('Comp2016-2017 (3)'!$G$5:$G$289,'Comp2016-2017 (3)'!$A$5:$A$289,$D216,'Comp2016-2017 (3)'!$R$5:$R$289,$V216)*$AB216))</f>
        <v/>
      </c>
      <c r="AJ216" s="2" t="str">
        <f>IF($W216=AJ$3,$AB216,IF(NOT($W216=0),"",SUMIFS('Val-Vol (2)'!AJ$4:AJ$1116,'Val-Vol (2)'!$A$4:$A$1116,$D216,'Val-Vol (2)'!$V$4:$V$1116,$V216)/SUMIFS('Comp2016-2017 (3)'!$G$5:$G$289,'Comp2016-2017 (3)'!$A$5:$A$289,$D216,'Comp2016-2017 (3)'!$R$5:$R$289,$V216)*$AB216))</f>
        <v/>
      </c>
      <c r="AK216" s="2">
        <f t="shared" si="22"/>
        <v>0</v>
      </c>
      <c r="AL216" t="str">
        <f t="shared" si="19"/>
        <v/>
      </c>
      <c r="AM216" t="str">
        <f>VLOOKUP(A216,'Table corresp.'!$M$4:$U$63,8,FALSE)</f>
        <v>Production intermédiaire</v>
      </c>
      <c r="AN216" t="str">
        <f>VLOOKUP(D216,'Table corresp.'!$M$4:$U$63,9,FALSE)</f>
        <v xml:space="preserve">Mise en œuvre </v>
      </c>
    </row>
    <row r="217" spans="1:40" x14ac:dyDescent="0.25">
      <c r="A217" t="s">
        <v>85</v>
      </c>
      <c r="B217" t="str">
        <f>VLOOKUP(LEFT(A217,3),'Table corresp.'!$A$4:$D$63,3,FALSE)</f>
        <v>Transformation</v>
      </c>
      <c r="C217" t="str">
        <f>VLOOKUP(A217,'Table corresp.'!$M$4:$P$63,4,FALSE)</f>
        <v>Production et transformation de produits bois</v>
      </c>
      <c r="D217" t="s">
        <v>54</v>
      </c>
      <c r="E217" t="str">
        <f>VLOOKUP(LEFT(D217,3),'Table corresp.'!$A$4:$D$63,4,FALSE)</f>
        <v>Consommation finale</v>
      </c>
      <c r="F217" t="str">
        <f t="shared" si="18"/>
        <v>29  - Con</v>
      </c>
      <c r="G217" s="1">
        <v>81839.37</v>
      </c>
      <c r="H217" s="1">
        <v>38958</v>
      </c>
      <c r="I217" s="1">
        <v>120797.37</v>
      </c>
      <c r="J217" s="1">
        <v>347.49390386285569</v>
      </c>
      <c r="K217" s="1">
        <v>143.42190010307249</v>
      </c>
      <c r="L217" s="1">
        <v>490.91580396592815</v>
      </c>
      <c r="M217" s="1">
        <v>0</v>
      </c>
      <c r="N217" s="1">
        <v>0</v>
      </c>
      <c r="O217" s="1">
        <v>0</v>
      </c>
      <c r="P217" s="1">
        <v>0</v>
      </c>
      <c r="Q217" s="1">
        <v>0</v>
      </c>
      <c r="R217" s="1">
        <v>0</v>
      </c>
      <c r="S217" s="67"/>
      <c r="T217">
        <f>VLOOKUP(A217,'Groupe de branches'!$Z$27:$AM$86,14,FALSE)</f>
        <v>0</v>
      </c>
      <c r="U217">
        <f>VLOOKUP(D217,'Groupe de branches'!$Z$27:$AM$86,14,FALSE)</f>
        <v>0</v>
      </c>
      <c r="V217">
        <v>2016</v>
      </c>
      <c r="W217" t="str">
        <f>VLOOKUP(D217,'Table corresp.'!$M$4:$S$63,7,FALSE)</f>
        <v>Consommation finale</v>
      </c>
      <c r="X217" s="167">
        <f>IFERROR(G217/SUMIFS('Comp2016-2017 (3)'!$I$5:$I$289,'Comp2016-2017 (3)'!$A$5:$A$289,A217,'Comp2016-2017 (3)'!$R$5:$R$289,V217),0)</f>
        <v>0.29991781505279225</v>
      </c>
      <c r="Y217" s="178">
        <f>IFERROR(IF(RIGHT(F217,3)="Exp",VLOOKUP(F217,#REF!,2,FALSE),VLOOKUP(F217,#REF!,9,FALSE)),1)</f>
        <v>1</v>
      </c>
      <c r="Z217" s="167">
        <f t="shared" si="20"/>
        <v>0.25</v>
      </c>
      <c r="AA217" s="189">
        <f t="shared" si="21"/>
        <v>7.4979453763198062E-2</v>
      </c>
      <c r="AB217" s="2">
        <f>IFERROR(SUMIFS('Comp2016-2017 (3)'!$G$5:$G$289,'Comp2016-2017 (3)'!$A$5:$A$289,A217,'Comp2016-2017 (3)'!$R$5:$R$289,V217)*AA217/SUMIFS($AA$4:$AA$1116,$A$4:$A$1116,A217,$V$4:$V$1116,V217),0)</f>
        <v>3471.2297359247182</v>
      </c>
      <c r="AC217" s="2" t="str">
        <f>IF($W217=AC$3,$AB217,IF(NOT($W217=0),"",SUMIFS('Val-Vol (2)'!AC$4:AC$1116,'Val-Vol (2)'!$A$4:$A$1116,$D217,'Val-Vol (2)'!$V$4:$V$1116,$V217)/SUMIFS('Comp2016-2017 (3)'!$G$5:$G$289,'Comp2016-2017 (3)'!$A$5:$A$289,$D217,'Comp2016-2017 (3)'!$R$5:$R$289,$V217)*$AB217))</f>
        <v/>
      </c>
      <c r="AD217" s="2" t="str">
        <f>IF($W217=AD$3,$AB217,IF(NOT($W217=0),"",SUMIFS('Val-Vol (2)'!AD$4:AD$1116,'Val-Vol (2)'!$A$4:$A$1116,$D217,'Val-Vol (2)'!$V$4:$V$1116,$V217)/SUMIFS('Comp2016-2017 (3)'!$G$5:$G$289,'Comp2016-2017 (3)'!$A$5:$A$289,$D217,'Comp2016-2017 (3)'!$R$5:$R$289,$V217)*$AB217))</f>
        <v/>
      </c>
      <c r="AE217" s="2" t="str">
        <f>IF($W217=AE$3,$AB217,IF(NOT($W217=0),"",SUMIFS('Val-Vol (2)'!AE$4:AE$1116,'Val-Vol (2)'!$A$4:$A$1116,$D217,'Val-Vol (2)'!$V$4:$V$1116,$V217)/SUMIFS('Comp2016-2017 (3)'!$G$5:$G$289,'Comp2016-2017 (3)'!$A$5:$A$289,$D217,'Comp2016-2017 (3)'!$R$5:$R$289,$V217)*$AB217))</f>
        <v/>
      </c>
      <c r="AF217" s="2" t="str">
        <f>IF($W217=AF$3,$AB217,IF(NOT($W217=0),"",SUMIFS('Val-Vol (2)'!AF$4:AF$1116,'Val-Vol (2)'!$A$4:$A$1116,$D217,'Val-Vol (2)'!$V$4:$V$1116,$V217)/SUMIFS('Comp2016-2017 (3)'!$G$5:$G$289,'Comp2016-2017 (3)'!$A$5:$A$289,$D217,'Comp2016-2017 (3)'!$R$5:$R$289,$V217)*$AB217))</f>
        <v/>
      </c>
      <c r="AG217" s="2" t="str">
        <f>IF($W217=AG$3,$AB217,IF(NOT($W217=0),"",SUMIFS('Val-Vol (2)'!AG$4:AG$1116,'Val-Vol (2)'!$A$4:$A$1116,$D217,'Val-Vol (2)'!$V$4:$V$1116,$V217)/SUMIFS('Comp2016-2017 (3)'!$G$5:$G$289,'Comp2016-2017 (3)'!$A$5:$A$289,$D217,'Comp2016-2017 (3)'!$R$5:$R$289,$V217)*$AB217))</f>
        <v/>
      </c>
      <c r="AH217" s="2" t="str">
        <f>IF($W217=AH$3,$AB217,IF(NOT($W217=0),"",SUMIFS('Val-Vol (2)'!AH$4:AH$1116,'Val-Vol (2)'!$A$4:$A$1116,$D217,'Val-Vol (2)'!$V$4:$V$1116,$V217)/SUMIFS('Comp2016-2017 (3)'!$G$5:$G$289,'Comp2016-2017 (3)'!$A$5:$A$289,$D217,'Comp2016-2017 (3)'!$R$5:$R$289,$V217)*$AB217))</f>
        <v/>
      </c>
      <c r="AI217" s="2" t="str">
        <f>IF($W217=AI$3,$AB217,IF(NOT($W217=0),"",SUMIFS('Val-Vol (2)'!AI$4:AI$1116,'Val-Vol (2)'!$A$4:$A$1116,$D217,'Val-Vol (2)'!$V$4:$V$1116,$V217)/SUMIFS('Comp2016-2017 (3)'!$G$5:$G$289,'Comp2016-2017 (3)'!$A$5:$A$289,$D217,'Comp2016-2017 (3)'!$R$5:$R$289,$V217)*$AB217))</f>
        <v/>
      </c>
      <c r="AJ217" s="2">
        <f>IF($W217=AJ$3,$AB217,IF(NOT($W217=0),"",SUMIFS('Val-Vol (2)'!AJ$4:AJ$1116,'Val-Vol (2)'!$A$4:$A$1116,$D217,'Val-Vol (2)'!$V$4:$V$1116,$V217)/SUMIFS('Comp2016-2017 (3)'!$G$5:$G$289,'Comp2016-2017 (3)'!$A$5:$A$289,$D217,'Comp2016-2017 (3)'!$R$5:$R$289,$V217)*$AB217))</f>
        <v>3471.2297359247182</v>
      </c>
      <c r="AK217" s="2">
        <f t="shared" si="22"/>
        <v>0</v>
      </c>
      <c r="AL217" t="str">
        <f t="shared" si="19"/>
        <v/>
      </c>
      <c r="AM217" t="str">
        <f>VLOOKUP(A217,'Table corresp.'!$M$4:$U$63,8,FALSE)</f>
        <v>Production intermédiaire</v>
      </c>
      <c r="AN217" t="str">
        <f>VLOOKUP(D217,'Table corresp.'!$M$4:$U$63,9,FALSE)</f>
        <v>Consommation finale française</v>
      </c>
    </row>
    <row r="218" spans="1:40" x14ac:dyDescent="0.25">
      <c r="A218" t="s">
        <v>85</v>
      </c>
      <c r="B218" t="str">
        <f>VLOOKUP(LEFT(A218,3),'Table corresp.'!$A$4:$D$63,3,FALSE)</f>
        <v>Transformation</v>
      </c>
      <c r="C218" t="str">
        <f>VLOOKUP(A218,'Table corresp.'!$M$4:$P$63,4,FALSE)</f>
        <v>Production et transformation de produits bois</v>
      </c>
      <c r="D218" t="s">
        <v>53</v>
      </c>
      <c r="E218" t="str">
        <f>VLOOKUP(LEFT(D218,3),'Table corresp.'!$A$4:$D$63,4,FALSE)</f>
        <v>Exportation</v>
      </c>
      <c r="F218" t="str">
        <f t="shared" si="18"/>
        <v>29  - Exp</v>
      </c>
      <c r="G218" s="1">
        <v>12450</v>
      </c>
      <c r="H218" s="1">
        <v>0</v>
      </c>
      <c r="I218" s="1">
        <v>12450</v>
      </c>
      <c r="J218" s="1">
        <v>64.964536372917962</v>
      </c>
      <c r="K218" s="1">
        <v>0</v>
      </c>
      <c r="L218" s="1">
        <v>64.964536372917962</v>
      </c>
      <c r="M218" s="1">
        <v>0</v>
      </c>
      <c r="N218" s="1">
        <v>0</v>
      </c>
      <c r="O218" s="1">
        <v>0</v>
      </c>
      <c r="P218" s="1">
        <v>0</v>
      </c>
      <c r="Q218" s="1">
        <v>0</v>
      </c>
      <c r="R218" s="1">
        <v>0</v>
      </c>
      <c r="S218" s="67"/>
      <c r="T218">
        <f>VLOOKUP(A218,'Groupe de branches'!$Z$27:$AM$86,14,FALSE)</f>
        <v>0</v>
      </c>
      <c r="U218">
        <f>VLOOKUP(D218,'Groupe de branches'!$Z$27:$AM$86,14,FALSE)</f>
        <v>0</v>
      </c>
      <c r="V218">
        <v>2016</v>
      </c>
      <c r="W218" t="str">
        <f>VLOOKUP(D218,'Table corresp.'!$M$4:$S$63,7,FALSE)</f>
        <v>Exportation</v>
      </c>
      <c r="X218" s="167">
        <f>IFERROR(G218/SUMIFS('Comp2016-2017 (3)'!$I$5:$I$289,'Comp2016-2017 (3)'!$A$5:$A$289,A218,'Comp2016-2017 (3)'!$R$5:$R$289,V218),0)</f>
        <v>4.5625678660616079E-2</v>
      </c>
      <c r="Y218" s="178">
        <f>IFERROR(IF(RIGHT(F218,3)="Exp",VLOOKUP(F218,#REF!,2,FALSE),VLOOKUP(F218,#REF!,9,FALSE)),1)</f>
        <v>1</v>
      </c>
      <c r="Z218" s="167">
        <f t="shared" si="20"/>
        <v>0.25</v>
      </c>
      <c r="AA218" s="189">
        <f t="shared" si="21"/>
        <v>1.140641966515402E-2</v>
      </c>
      <c r="AB218" s="2">
        <f>IFERROR(SUMIFS('Comp2016-2017 (3)'!$G$5:$G$289,'Comp2016-2017 (3)'!$A$5:$A$289,A218,'Comp2016-2017 (3)'!$R$5:$R$289,V218)*AA218/SUMIFS($AA$4:$AA$1116,$A$4:$A$1116,A218,$V$4:$V$1116,V218),0)</f>
        <v>528.06870595732528</v>
      </c>
      <c r="AC218" s="2">
        <f>IF($W218=AC$3,$AB218,IF(NOT($W218=0),"",SUMIFS('Val-Vol (2)'!AC$4:AC$1116,'Val-Vol (2)'!$A$4:$A$1116,$D218,'Val-Vol (2)'!$V$4:$V$1116,$V218)/SUMIFS('Comp2016-2017 (3)'!$G$5:$G$289,'Comp2016-2017 (3)'!$A$5:$A$289,$D218,'Comp2016-2017 (3)'!$R$5:$R$289,$V218)*$AB218))</f>
        <v>528.06870595732528</v>
      </c>
      <c r="AD218" s="2" t="str">
        <f>IF($W218=AD$3,$AB218,IF(NOT($W218=0),"",SUMIFS('Val-Vol (2)'!AD$4:AD$1116,'Val-Vol (2)'!$A$4:$A$1116,$D218,'Val-Vol (2)'!$V$4:$V$1116,$V218)/SUMIFS('Comp2016-2017 (3)'!$G$5:$G$289,'Comp2016-2017 (3)'!$A$5:$A$289,$D218,'Comp2016-2017 (3)'!$R$5:$R$289,$V218)*$AB218))</f>
        <v/>
      </c>
      <c r="AE218" s="2" t="str">
        <f>IF($W218=AE$3,$AB218,IF(NOT($W218=0),"",SUMIFS('Val-Vol (2)'!AE$4:AE$1116,'Val-Vol (2)'!$A$4:$A$1116,$D218,'Val-Vol (2)'!$V$4:$V$1116,$V218)/SUMIFS('Comp2016-2017 (3)'!$G$5:$G$289,'Comp2016-2017 (3)'!$A$5:$A$289,$D218,'Comp2016-2017 (3)'!$R$5:$R$289,$V218)*$AB218))</f>
        <v/>
      </c>
      <c r="AF218" s="2" t="str">
        <f>IF($W218=AF$3,$AB218,IF(NOT($W218=0),"",SUMIFS('Val-Vol (2)'!AF$4:AF$1116,'Val-Vol (2)'!$A$4:$A$1116,$D218,'Val-Vol (2)'!$V$4:$V$1116,$V218)/SUMIFS('Comp2016-2017 (3)'!$G$5:$G$289,'Comp2016-2017 (3)'!$A$5:$A$289,$D218,'Comp2016-2017 (3)'!$R$5:$R$289,$V218)*$AB218))</f>
        <v/>
      </c>
      <c r="AG218" s="2" t="str">
        <f>IF($W218=AG$3,$AB218,IF(NOT($W218=0),"",SUMIFS('Val-Vol (2)'!AG$4:AG$1116,'Val-Vol (2)'!$A$4:$A$1116,$D218,'Val-Vol (2)'!$V$4:$V$1116,$V218)/SUMIFS('Comp2016-2017 (3)'!$G$5:$G$289,'Comp2016-2017 (3)'!$A$5:$A$289,$D218,'Comp2016-2017 (3)'!$R$5:$R$289,$V218)*$AB218))</f>
        <v/>
      </c>
      <c r="AH218" s="2" t="str">
        <f>IF($W218=AH$3,$AB218,IF(NOT($W218=0),"",SUMIFS('Val-Vol (2)'!AH$4:AH$1116,'Val-Vol (2)'!$A$4:$A$1116,$D218,'Val-Vol (2)'!$V$4:$V$1116,$V218)/SUMIFS('Comp2016-2017 (3)'!$G$5:$G$289,'Comp2016-2017 (3)'!$A$5:$A$289,$D218,'Comp2016-2017 (3)'!$R$5:$R$289,$V218)*$AB218))</f>
        <v/>
      </c>
      <c r="AI218" s="2" t="str">
        <f>IF($W218=AI$3,$AB218,IF(NOT($W218=0),"",SUMIFS('Val-Vol (2)'!AI$4:AI$1116,'Val-Vol (2)'!$A$4:$A$1116,$D218,'Val-Vol (2)'!$V$4:$V$1116,$V218)/SUMIFS('Comp2016-2017 (3)'!$G$5:$G$289,'Comp2016-2017 (3)'!$A$5:$A$289,$D218,'Comp2016-2017 (3)'!$R$5:$R$289,$V218)*$AB218))</f>
        <v/>
      </c>
      <c r="AJ218" s="2" t="str">
        <f>IF($W218=AJ$3,$AB218,IF(NOT($W218=0),"",SUMIFS('Val-Vol (2)'!AJ$4:AJ$1116,'Val-Vol (2)'!$A$4:$A$1116,$D218,'Val-Vol (2)'!$V$4:$V$1116,$V218)/SUMIFS('Comp2016-2017 (3)'!$G$5:$G$289,'Comp2016-2017 (3)'!$A$5:$A$289,$D218,'Comp2016-2017 (3)'!$R$5:$R$289,$V218)*$AB218))</f>
        <v/>
      </c>
      <c r="AK218" s="2">
        <f t="shared" si="22"/>
        <v>0</v>
      </c>
      <c r="AL218" t="str">
        <f t="shared" si="19"/>
        <v/>
      </c>
      <c r="AM218" t="str">
        <f>VLOOKUP(A218,'Table corresp.'!$M$4:$U$63,8,FALSE)</f>
        <v>Production intermédiaire</v>
      </c>
      <c r="AN218" t="str">
        <f>VLOOKUP(D218,'Table corresp.'!$M$4:$U$63,9,FALSE)</f>
        <v>Exportation</v>
      </c>
    </row>
    <row r="219" spans="1:40" x14ac:dyDescent="0.25">
      <c r="A219" t="s">
        <v>86</v>
      </c>
      <c r="B219" t="str">
        <f>VLOOKUP(LEFT(A219,3),'Table corresp.'!$A$4:$D$63,3,FALSE)</f>
        <v>Transformation</v>
      </c>
      <c r="C219" t="str">
        <f>VLOOKUP(A219,'Table corresp.'!$M$4:$P$63,4,FALSE)</f>
        <v>Production et transformation de produits bois</v>
      </c>
      <c r="D219" t="s">
        <v>101</v>
      </c>
      <c r="E219" t="str">
        <f>VLOOKUP(LEFT(D219,3),'Table corresp.'!$A$4:$D$63,4,FALSE)</f>
        <v>Transformation</v>
      </c>
      <c r="F219" t="str">
        <f t="shared" si="18"/>
        <v xml:space="preserve">30  - 49 </v>
      </c>
      <c r="G219" s="1">
        <v>172281.21180000002</v>
      </c>
      <c r="H219" s="1">
        <v>24960.858</v>
      </c>
      <c r="I219" s="1">
        <v>197242.06980000003</v>
      </c>
      <c r="J219" s="1">
        <v>0</v>
      </c>
      <c r="K219" s="1">
        <v>0</v>
      </c>
      <c r="L219" s="1">
        <v>0</v>
      </c>
      <c r="M219" s="1">
        <v>0</v>
      </c>
      <c r="N219" s="1">
        <v>0</v>
      </c>
      <c r="O219" s="1">
        <v>0</v>
      </c>
      <c r="P219" s="1">
        <v>2257.9529333490418</v>
      </c>
      <c r="Q219" s="1">
        <v>289.99191218888632</v>
      </c>
      <c r="R219" s="1">
        <v>2547.9448455379279</v>
      </c>
      <c r="S219" s="67" t="s">
        <v>198</v>
      </c>
      <c r="T219">
        <f>VLOOKUP(A219,'Groupe de branches'!$Z$27:$AM$86,14,FALSE)</f>
        <v>1</v>
      </c>
      <c r="U219">
        <f>VLOOKUP(D219,'Groupe de branches'!$Z$27:$AM$86,14,FALSE)</f>
        <v>1</v>
      </c>
      <c r="V219">
        <v>2016</v>
      </c>
      <c r="W219" t="str">
        <f>VLOOKUP(D219,'Table corresp.'!$M$4:$S$63,7,FALSE)</f>
        <v>Energie</v>
      </c>
      <c r="X219" s="167">
        <f>IFERROR(G219/SUMIFS('Comp2016-2017 (3)'!$I$5:$I$289,'Comp2016-2017 (3)'!$A$5:$A$289,A219,'Comp2016-2017 (3)'!$R$5:$R$289,V219),0)</f>
        <v>0.40313655015308414</v>
      </c>
      <c r="Y219" s="178">
        <f>IFERROR(IF(RIGHT(F219,3)="Exp",VLOOKUP(F219,#REF!,2,FALSE),VLOOKUP(F219,#REF!,9,FALSE)),1)</f>
        <v>1</v>
      </c>
      <c r="Z219" s="167">
        <f t="shared" si="20"/>
        <v>0.33333333333333331</v>
      </c>
      <c r="AA219" s="189">
        <f t="shared" si="21"/>
        <v>0.13437885005102804</v>
      </c>
      <c r="AB219" s="2">
        <f>IFERROR(SUMIFS('Comp2016-2017 (3)'!$G$5:$G$289,'Comp2016-2017 (3)'!$A$5:$A$289,A219,'Comp2016-2017 (3)'!$R$5:$R$289,V219)*AA219/SUMIFS($AA$4:$AA$1116,$A$4:$A$1116,A219,$V$4:$V$1116,V219),0)</f>
        <v>31010.618124000004</v>
      </c>
      <c r="AC219" s="2" t="str">
        <f>IF($W219=AC$3,$AB219,IF(NOT($W219=0),"",SUMIFS('Val-Vol (2)'!AC$4:AC$1116,'Val-Vol (2)'!$A$4:$A$1116,$D219,'Val-Vol (2)'!$V$4:$V$1116,$V219)/SUMIFS('Comp2016-2017 (3)'!$G$5:$G$289,'Comp2016-2017 (3)'!$A$5:$A$289,$D219,'Comp2016-2017 (3)'!$R$5:$R$289,$V219)*$AB219))</f>
        <v/>
      </c>
      <c r="AD219" s="2" t="str">
        <f>IF($W219=AD$3,$AB219,IF(NOT($W219=0),"",SUMIFS('Val-Vol (2)'!AD$4:AD$1116,'Val-Vol (2)'!$A$4:$A$1116,$D219,'Val-Vol (2)'!$V$4:$V$1116,$V219)/SUMIFS('Comp2016-2017 (3)'!$G$5:$G$289,'Comp2016-2017 (3)'!$A$5:$A$289,$D219,'Comp2016-2017 (3)'!$R$5:$R$289,$V219)*$AB219))</f>
        <v/>
      </c>
      <c r="AE219" s="2" t="str">
        <f>IF($W219=AE$3,$AB219,IF(NOT($W219=0),"",SUMIFS('Val-Vol (2)'!AE$4:AE$1116,'Val-Vol (2)'!$A$4:$A$1116,$D219,'Val-Vol (2)'!$V$4:$V$1116,$V219)/SUMIFS('Comp2016-2017 (3)'!$G$5:$G$289,'Comp2016-2017 (3)'!$A$5:$A$289,$D219,'Comp2016-2017 (3)'!$R$5:$R$289,$V219)*$AB219))</f>
        <v/>
      </c>
      <c r="AF219" s="2" t="str">
        <f>IF($W219=AF$3,$AB219,IF(NOT($W219=0),"",SUMIFS('Val-Vol (2)'!AF$4:AF$1116,'Val-Vol (2)'!$A$4:$A$1116,$D219,'Val-Vol (2)'!$V$4:$V$1116,$V219)/SUMIFS('Comp2016-2017 (3)'!$G$5:$G$289,'Comp2016-2017 (3)'!$A$5:$A$289,$D219,'Comp2016-2017 (3)'!$R$5:$R$289,$V219)*$AB219))</f>
        <v/>
      </c>
      <c r="AG219" s="2" t="str">
        <f>IF($W219=AG$3,$AB219,IF(NOT($W219=0),"",SUMIFS('Val-Vol (2)'!AG$4:AG$1116,'Val-Vol (2)'!$A$4:$A$1116,$D219,'Val-Vol (2)'!$V$4:$V$1116,$V219)/SUMIFS('Comp2016-2017 (3)'!$G$5:$G$289,'Comp2016-2017 (3)'!$A$5:$A$289,$D219,'Comp2016-2017 (3)'!$R$5:$R$289,$V219)*$AB219))</f>
        <v/>
      </c>
      <c r="AH219" s="2">
        <f>IF($W219=AH$3,$AB219,IF(NOT($W219=0),"",SUMIFS('Val-Vol (2)'!AH$4:AH$1116,'Val-Vol (2)'!$A$4:$A$1116,$D219,'Val-Vol (2)'!$V$4:$V$1116,$V219)/SUMIFS('Comp2016-2017 (3)'!$G$5:$G$289,'Comp2016-2017 (3)'!$A$5:$A$289,$D219,'Comp2016-2017 (3)'!$R$5:$R$289,$V219)*$AB219))</f>
        <v>31010.618124000004</v>
      </c>
      <c r="AI219" s="2" t="str">
        <f>IF($W219=AI$3,$AB219,IF(NOT($W219=0),"",SUMIFS('Val-Vol (2)'!AI$4:AI$1116,'Val-Vol (2)'!$A$4:$A$1116,$D219,'Val-Vol (2)'!$V$4:$V$1116,$V219)/SUMIFS('Comp2016-2017 (3)'!$G$5:$G$289,'Comp2016-2017 (3)'!$A$5:$A$289,$D219,'Comp2016-2017 (3)'!$R$5:$R$289,$V219)*$AB219))</f>
        <v/>
      </c>
      <c r="AJ219" s="2" t="str">
        <f>IF($W219=AJ$3,$AB219,IF(NOT($W219=0),"",SUMIFS('Val-Vol (2)'!AJ$4:AJ$1116,'Val-Vol (2)'!$A$4:$A$1116,$D219,'Val-Vol (2)'!$V$4:$V$1116,$V219)/SUMIFS('Comp2016-2017 (3)'!$G$5:$G$289,'Comp2016-2017 (3)'!$A$5:$A$289,$D219,'Comp2016-2017 (3)'!$R$5:$R$289,$V219)*$AB219))</f>
        <v/>
      </c>
      <c r="AK219" s="2">
        <f t="shared" si="22"/>
        <v>0</v>
      </c>
      <c r="AL219" t="str">
        <f t="shared" si="19"/>
        <v/>
      </c>
      <c r="AM219" t="str">
        <f>VLOOKUP(A219,'Table corresp.'!$M$4:$U$63,8,FALSE)</f>
        <v>Production intermédiaire</v>
      </c>
      <c r="AN219" t="str">
        <f>VLOOKUP(D219,'Table corresp.'!$M$4:$U$63,9,FALSE)</f>
        <v>Production finale</v>
      </c>
    </row>
    <row r="220" spans="1:40" x14ac:dyDescent="0.25">
      <c r="A220" t="s">
        <v>86</v>
      </c>
      <c r="B220" t="str">
        <f>VLOOKUP(LEFT(A220,3),'Table corresp.'!$A$4:$D$63,3,FALSE)</f>
        <v>Transformation</v>
      </c>
      <c r="C220" t="str">
        <f>VLOOKUP(A220,'Table corresp.'!$M$4:$P$63,4,FALSE)</f>
        <v>Production et transformation de produits bois</v>
      </c>
      <c r="D220" t="s">
        <v>54</v>
      </c>
      <c r="E220" t="str">
        <f>VLOOKUP(LEFT(D220,3),'Table corresp.'!$A$4:$D$63,4,FALSE)</f>
        <v>Consommation finale</v>
      </c>
      <c r="F220" t="str">
        <f t="shared" si="18"/>
        <v>30  - Con</v>
      </c>
      <c r="G220" s="1">
        <v>208983.74823151814</v>
      </c>
      <c r="H220" s="1">
        <v>72156.608999999997</v>
      </c>
      <c r="I220" s="1">
        <v>281140.35723151814</v>
      </c>
      <c r="J220" s="1">
        <v>0</v>
      </c>
      <c r="K220" s="1">
        <v>0</v>
      </c>
      <c r="L220" s="1">
        <v>0</v>
      </c>
      <c r="M220" s="1">
        <v>0</v>
      </c>
      <c r="N220" s="1">
        <v>0</v>
      </c>
      <c r="O220" s="1">
        <v>0</v>
      </c>
      <c r="P220" s="1">
        <v>2738.9839113125736</v>
      </c>
      <c r="Q220" s="1">
        <v>838.30583952586107</v>
      </c>
      <c r="R220" s="1">
        <v>3577.2897508384349</v>
      </c>
      <c r="S220" s="67" t="s">
        <v>198</v>
      </c>
      <c r="T220">
        <f>VLOOKUP(A220,'Groupe de branches'!$Z$27:$AM$86,14,FALSE)</f>
        <v>1</v>
      </c>
      <c r="U220">
        <f>VLOOKUP(D220,'Groupe de branches'!$Z$27:$AM$86,14,FALSE)</f>
        <v>0</v>
      </c>
      <c r="V220">
        <v>2016</v>
      </c>
      <c r="W220" t="str">
        <f>VLOOKUP(D220,'Table corresp.'!$M$4:$S$63,7,FALSE)</f>
        <v>Consommation finale</v>
      </c>
      <c r="X220" s="167">
        <f>IFERROR(G220/SUMIFS('Comp2016-2017 (3)'!$I$5:$I$289,'Comp2016-2017 (3)'!$A$5:$A$289,A220,'Comp2016-2017 (3)'!$R$5:$R$289,V220),0)</f>
        <v>0.48902016894284989</v>
      </c>
      <c r="Y220" s="178">
        <f>IFERROR(IF(RIGHT(F220,3)="Exp",VLOOKUP(F220,#REF!,2,FALSE),VLOOKUP(F220,#REF!,9,FALSE)),1)</f>
        <v>1</v>
      </c>
      <c r="Z220" s="167">
        <f t="shared" si="20"/>
        <v>0.33333333333333331</v>
      </c>
      <c r="AA220" s="189">
        <f t="shared" si="21"/>
        <v>0.16300672298094995</v>
      </c>
      <c r="AB220" s="2">
        <f>IFERROR(SUMIFS('Comp2016-2017 (3)'!$G$5:$G$289,'Comp2016-2017 (3)'!$A$5:$A$289,A220,'Comp2016-2017 (3)'!$R$5:$R$289,V220)*AA220/SUMIFS($AA$4:$AA$1116,$A$4:$A$1116,A220,$V$4:$V$1116,V220),0)</f>
        <v>37617.074681673264</v>
      </c>
      <c r="AC220" s="2" t="str">
        <f>IF($W220=AC$3,$AB220,IF(NOT($W220=0),"",SUMIFS('Val-Vol (2)'!AC$4:AC$1116,'Val-Vol (2)'!$A$4:$A$1116,$D220,'Val-Vol (2)'!$V$4:$V$1116,$V220)/SUMIFS('Comp2016-2017 (3)'!$G$5:$G$289,'Comp2016-2017 (3)'!$A$5:$A$289,$D220,'Comp2016-2017 (3)'!$R$5:$R$289,$V220)*$AB220))</f>
        <v/>
      </c>
      <c r="AD220" s="2" t="str">
        <f>IF($W220=AD$3,$AB220,IF(NOT($W220=0),"",SUMIFS('Val-Vol (2)'!AD$4:AD$1116,'Val-Vol (2)'!$A$4:$A$1116,$D220,'Val-Vol (2)'!$V$4:$V$1116,$V220)/SUMIFS('Comp2016-2017 (3)'!$G$5:$G$289,'Comp2016-2017 (3)'!$A$5:$A$289,$D220,'Comp2016-2017 (3)'!$R$5:$R$289,$V220)*$AB220))</f>
        <v/>
      </c>
      <c r="AE220" s="2" t="str">
        <f>IF($W220=AE$3,$AB220,IF(NOT($W220=0),"",SUMIFS('Val-Vol (2)'!AE$4:AE$1116,'Val-Vol (2)'!$A$4:$A$1116,$D220,'Val-Vol (2)'!$V$4:$V$1116,$V220)/SUMIFS('Comp2016-2017 (3)'!$G$5:$G$289,'Comp2016-2017 (3)'!$A$5:$A$289,$D220,'Comp2016-2017 (3)'!$R$5:$R$289,$V220)*$AB220))</f>
        <v/>
      </c>
      <c r="AF220" s="2" t="str">
        <f>IF($W220=AF$3,$AB220,IF(NOT($W220=0),"",SUMIFS('Val-Vol (2)'!AF$4:AF$1116,'Val-Vol (2)'!$A$4:$A$1116,$D220,'Val-Vol (2)'!$V$4:$V$1116,$V220)/SUMIFS('Comp2016-2017 (3)'!$G$5:$G$289,'Comp2016-2017 (3)'!$A$5:$A$289,$D220,'Comp2016-2017 (3)'!$R$5:$R$289,$V220)*$AB220))</f>
        <v/>
      </c>
      <c r="AG220" s="2" t="str">
        <f>IF($W220=AG$3,$AB220,IF(NOT($W220=0),"",SUMIFS('Val-Vol (2)'!AG$4:AG$1116,'Val-Vol (2)'!$A$4:$A$1116,$D220,'Val-Vol (2)'!$V$4:$V$1116,$V220)/SUMIFS('Comp2016-2017 (3)'!$G$5:$G$289,'Comp2016-2017 (3)'!$A$5:$A$289,$D220,'Comp2016-2017 (3)'!$R$5:$R$289,$V220)*$AB220))</f>
        <v/>
      </c>
      <c r="AH220" s="2" t="str">
        <f>IF($W220=AH$3,$AB220,IF(NOT($W220=0),"",SUMIFS('Val-Vol (2)'!AH$4:AH$1116,'Val-Vol (2)'!$A$4:$A$1116,$D220,'Val-Vol (2)'!$V$4:$V$1116,$V220)/SUMIFS('Comp2016-2017 (3)'!$G$5:$G$289,'Comp2016-2017 (3)'!$A$5:$A$289,$D220,'Comp2016-2017 (3)'!$R$5:$R$289,$V220)*$AB220))</f>
        <v/>
      </c>
      <c r="AI220" s="2" t="str">
        <f>IF($W220=AI$3,$AB220,IF(NOT($W220=0),"",SUMIFS('Val-Vol (2)'!AI$4:AI$1116,'Val-Vol (2)'!$A$4:$A$1116,$D220,'Val-Vol (2)'!$V$4:$V$1116,$V220)/SUMIFS('Comp2016-2017 (3)'!$G$5:$G$289,'Comp2016-2017 (3)'!$A$5:$A$289,$D220,'Comp2016-2017 (3)'!$R$5:$R$289,$V220)*$AB220))</f>
        <v/>
      </c>
      <c r="AJ220" s="2">
        <f>IF($W220=AJ$3,$AB220,IF(NOT($W220=0),"",SUMIFS('Val-Vol (2)'!AJ$4:AJ$1116,'Val-Vol (2)'!$A$4:$A$1116,$D220,'Val-Vol (2)'!$V$4:$V$1116,$V220)/SUMIFS('Comp2016-2017 (3)'!$G$5:$G$289,'Comp2016-2017 (3)'!$A$5:$A$289,$D220,'Comp2016-2017 (3)'!$R$5:$R$289,$V220)*$AB220))</f>
        <v>37617.074681673264</v>
      </c>
      <c r="AK220" s="2">
        <f t="shared" si="22"/>
        <v>0</v>
      </c>
      <c r="AL220" t="str">
        <f t="shared" si="19"/>
        <v/>
      </c>
      <c r="AM220" t="str">
        <f>VLOOKUP(A220,'Table corresp.'!$M$4:$U$63,8,FALSE)</f>
        <v>Production intermédiaire</v>
      </c>
      <c r="AN220" t="str">
        <f>VLOOKUP(D220,'Table corresp.'!$M$4:$U$63,9,FALSE)</f>
        <v>Consommation finale française</v>
      </c>
    </row>
    <row r="221" spans="1:40" x14ac:dyDescent="0.25">
      <c r="A221" t="s">
        <v>86</v>
      </c>
      <c r="B221" t="str">
        <f>VLOOKUP(LEFT(A221,3),'Table corresp.'!$A$4:$D$63,3,FALSE)</f>
        <v>Transformation</v>
      </c>
      <c r="C221" t="str">
        <f>VLOOKUP(A221,'Table corresp.'!$M$4:$P$63,4,FALSE)</f>
        <v>Production et transformation de produits bois</v>
      </c>
      <c r="D221" t="s">
        <v>53</v>
      </c>
      <c r="E221" t="str">
        <f>VLOOKUP(LEFT(D221,3),'Table corresp.'!$A$4:$D$63,4,FALSE)</f>
        <v>Exportation</v>
      </c>
      <c r="F221" t="str">
        <f t="shared" si="18"/>
        <v>30  - Exp</v>
      </c>
      <c r="G221" s="1">
        <v>46087.042000000001</v>
      </c>
      <c r="H221" s="1">
        <v>0</v>
      </c>
      <c r="I221" s="1">
        <v>46087.042000000001</v>
      </c>
      <c r="J221" s="1">
        <v>0</v>
      </c>
      <c r="K221" s="1">
        <v>0</v>
      </c>
      <c r="L221" s="1">
        <v>0</v>
      </c>
      <c r="M221" s="1">
        <v>0</v>
      </c>
      <c r="N221" s="1">
        <v>0</v>
      </c>
      <c r="O221" s="1">
        <v>0</v>
      </c>
      <c r="P221" s="1">
        <v>510.83857743275644</v>
      </c>
      <c r="Q221" s="1">
        <v>0</v>
      </c>
      <c r="R221" s="1">
        <v>510.83857743275644</v>
      </c>
      <c r="S221" s="67" t="s">
        <v>198</v>
      </c>
      <c r="T221">
        <f>VLOOKUP(A221,'Groupe de branches'!$Z$27:$AM$86,14,FALSE)</f>
        <v>1</v>
      </c>
      <c r="U221">
        <f>VLOOKUP(D221,'Groupe de branches'!$Z$27:$AM$86,14,FALSE)</f>
        <v>0</v>
      </c>
      <c r="V221">
        <v>2016</v>
      </c>
      <c r="W221" t="str">
        <f>VLOOKUP(D221,'Table corresp.'!$M$4:$S$63,7,FALSE)</f>
        <v>Exportation</v>
      </c>
      <c r="X221" s="167">
        <f>IFERROR(G221/SUMIFS('Comp2016-2017 (3)'!$I$5:$I$289,'Comp2016-2017 (3)'!$A$5:$A$289,A221,'Comp2016-2017 (3)'!$R$5:$R$289,V221),0)</f>
        <v>0.10784328090406602</v>
      </c>
      <c r="Y221" s="178">
        <f>IFERROR(IF(RIGHT(F221,3)="Exp",VLOOKUP(F221,#REF!,2,FALSE),VLOOKUP(F221,#REF!,9,FALSE)),1)</f>
        <v>1</v>
      </c>
      <c r="Z221" s="167">
        <f t="shared" si="20"/>
        <v>0.33333333333333331</v>
      </c>
      <c r="AA221" s="189">
        <f t="shared" si="21"/>
        <v>3.5947760301355339E-2</v>
      </c>
      <c r="AB221" s="2">
        <f>IFERROR(SUMIFS('Comp2016-2017 (3)'!$G$5:$G$289,'Comp2016-2017 (3)'!$A$5:$A$289,A221,'Comp2016-2017 (3)'!$R$5:$R$289,V221)*AA221/SUMIFS($AA$4:$AA$1116,$A$4:$A$1116,A221,$V$4:$V$1116,V221),0)</f>
        <v>8295.6675599999999</v>
      </c>
      <c r="AC221" s="2">
        <f>IF($W221=AC$3,$AB221,IF(NOT($W221=0),"",SUMIFS('Val-Vol (2)'!AC$4:AC$1116,'Val-Vol (2)'!$A$4:$A$1116,$D221,'Val-Vol (2)'!$V$4:$V$1116,$V221)/SUMIFS('Comp2016-2017 (3)'!$G$5:$G$289,'Comp2016-2017 (3)'!$A$5:$A$289,$D221,'Comp2016-2017 (3)'!$R$5:$R$289,$V221)*$AB221))</f>
        <v>8295.6675599999999</v>
      </c>
      <c r="AD221" s="2" t="str">
        <f>IF($W221=AD$3,$AB221,IF(NOT($W221=0),"",SUMIFS('Val-Vol (2)'!AD$4:AD$1116,'Val-Vol (2)'!$A$4:$A$1116,$D221,'Val-Vol (2)'!$V$4:$V$1116,$V221)/SUMIFS('Comp2016-2017 (3)'!$G$5:$G$289,'Comp2016-2017 (3)'!$A$5:$A$289,$D221,'Comp2016-2017 (3)'!$R$5:$R$289,$V221)*$AB221))</f>
        <v/>
      </c>
      <c r="AE221" s="2" t="str">
        <f>IF($W221=AE$3,$AB221,IF(NOT($W221=0),"",SUMIFS('Val-Vol (2)'!AE$4:AE$1116,'Val-Vol (2)'!$A$4:$A$1116,$D221,'Val-Vol (2)'!$V$4:$V$1116,$V221)/SUMIFS('Comp2016-2017 (3)'!$G$5:$G$289,'Comp2016-2017 (3)'!$A$5:$A$289,$D221,'Comp2016-2017 (3)'!$R$5:$R$289,$V221)*$AB221))</f>
        <v/>
      </c>
      <c r="AF221" s="2" t="str">
        <f>IF($W221=AF$3,$AB221,IF(NOT($W221=0),"",SUMIFS('Val-Vol (2)'!AF$4:AF$1116,'Val-Vol (2)'!$A$4:$A$1116,$D221,'Val-Vol (2)'!$V$4:$V$1116,$V221)/SUMIFS('Comp2016-2017 (3)'!$G$5:$G$289,'Comp2016-2017 (3)'!$A$5:$A$289,$D221,'Comp2016-2017 (3)'!$R$5:$R$289,$V221)*$AB221))</f>
        <v/>
      </c>
      <c r="AG221" s="2" t="str">
        <f>IF($W221=AG$3,$AB221,IF(NOT($W221=0),"",SUMIFS('Val-Vol (2)'!AG$4:AG$1116,'Val-Vol (2)'!$A$4:$A$1116,$D221,'Val-Vol (2)'!$V$4:$V$1116,$V221)/SUMIFS('Comp2016-2017 (3)'!$G$5:$G$289,'Comp2016-2017 (3)'!$A$5:$A$289,$D221,'Comp2016-2017 (3)'!$R$5:$R$289,$V221)*$AB221))</f>
        <v/>
      </c>
      <c r="AH221" s="2" t="str">
        <f>IF($W221=AH$3,$AB221,IF(NOT($W221=0),"",SUMIFS('Val-Vol (2)'!AH$4:AH$1116,'Val-Vol (2)'!$A$4:$A$1116,$D221,'Val-Vol (2)'!$V$4:$V$1116,$V221)/SUMIFS('Comp2016-2017 (3)'!$G$5:$G$289,'Comp2016-2017 (3)'!$A$5:$A$289,$D221,'Comp2016-2017 (3)'!$R$5:$R$289,$V221)*$AB221))</f>
        <v/>
      </c>
      <c r="AI221" s="2" t="str">
        <f>IF($W221=AI$3,$AB221,IF(NOT($W221=0),"",SUMIFS('Val-Vol (2)'!AI$4:AI$1116,'Val-Vol (2)'!$A$4:$A$1116,$D221,'Val-Vol (2)'!$V$4:$V$1116,$V221)/SUMIFS('Comp2016-2017 (3)'!$G$5:$G$289,'Comp2016-2017 (3)'!$A$5:$A$289,$D221,'Comp2016-2017 (3)'!$R$5:$R$289,$V221)*$AB221))</f>
        <v/>
      </c>
      <c r="AJ221" s="2" t="str">
        <f>IF($W221=AJ$3,$AB221,IF(NOT($W221=0),"",SUMIFS('Val-Vol (2)'!AJ$4:AJ$1116,'Val-Vol (2)'!$A$4:$A$1116,$D221,'Val-Vol (2)'!$V$4:$V$1116,$V221)/SUMIFS('Comp2016-2017 (3)'!$G$5:$G$289,'Comp2016-2017 (3)'!$A$5:$A$289,$D221,'Comp2016-2017 (3)'!$R$5:$R$289,$V221)*$AB221))</f>
        <v/>
      </c>
      <c r="AK221" s="2">
        <f t="shared" si="22"/>
        <v>0</v>
      </c>
      <c r="AL221" t="str">
        <f t="shared" si="19"/>
        <v/>
      </c>
      <c r="AM221" t="str">
        <f>VLOOKUP(A221,'Table corresp.'!$M$4:$U$63,8,FALSE)</f>
        <v>Production intermédiaire</v>
      </c>
      <c r="AN221" t="str">
        <f>VLOOKUP(D221,'Table corresp.'!$M$4:$U$63,9,FALSE)</f>
        <v>Exportation</v>
      </c>
    </row>
    <row r="222" spans="1:40" x14ac:dyDescent="0.25">
      <c r="A222" t="s">
        <v>87</v>
      </c>
      <c r="B222" t="str">
        <f>VLOOKUP(LEFT(A222,3),'Table corresp.'!$A$4:$D$63,3,FALSE)</f>
        <v>Transformation</v>
      </c>
      <c r="C222" t="str">
        <f>VLOOKUP(A222,'Table corresp.'!$M$4:$P$63,4,FALSE)</f>
        <v>Production et transformation de produits bois</v>
      </c>
      <c r="D222" t="s">
        <v>87</v>
      </c>
      <c r="E222" t="str">
        <f>VLOOKUP(LEFT(D222,3),'Table corresp.'!$A$4:$D$63,4,FALSE)</f>
        <v>Transformation</v>
      </c>
      <c r="F222" t="str">
        <f t="shared" si="18"/>
        <v xml:space="preserve">31  - 31 </v>
      </c>
      <c r="G222" s="1">
        <v>0</v>
      </c>
      <c r="H222" s="1">
        <v>56739.241999999998</v>
      </c>
      <c r="I222" s="1">
        <v>56739.241999999998</v>
      </c>
      <c r="J222" s="1">
        <v>0</v>
      </c>
      <c r="K222" s="1">
        <v>0</v>
      </c>
      <c r="L222" s="1">
        <v>0</v>
      </c>
      <c r="M222" s="1">
        <v>0</v>
      </c>
      <c r="N222" s="1">
        <v>0</v>
      </c>
      <c r="O222" s="1">
        <v>0</v>
      </c>
      <c r="P222" s="1">
        <v>0</v>
      </c>
      <c r="Q222" s="1">
        <v>0</v>
      </c>
      <c r="R222" s="1">
        <v>0</v>
      </c>
      <c r="S222" s="67"/>
      <c r="T222">
        <f>VLOOKUP(A222,'Groupe de branches'!$Z$27:$AM$86,14,FALSE)</f>
        <v>0</v>
      </c>
      <c r="U222">
        <f>VLOOKUP(D222,'Groupe de branches'!$Z$27:$AM$86,14,FALSE)</f>
        <v>0</v>
      </c>
      <c r="V222">
        <v>2016</v>
      </c>
      <c r="W222">
        <f>VLOOKUP(D222,'Table corresp.'!$M$4:$S$63,7,FALSE)</f>
        <v>0</v>
      </c>
      <c r="X222" s="167">
        <f>IFERROR(G222/SUMIFS('Comp2016-2017 (3)'!$I$5:$I$289,'Comp2016-2017 (3)'!$A$5:$A$289,A222,'Comp2016-2017 (3)'!$R$5:$R$289,V222),0)</f>
        <v>0</v>
      </c>
      <c r="Y222" s="178">
        <f>IFERROR(IF(RIGHT(F222,3)="Exp",VLOOKUP(F222,#REF!,2,FALSE),VLOOKUP(F222,#REF!,9,FALSE)),1)</f>
        <v>1</v>
      </c>
      <c r="Z222" s="167">
        <f t="shared" si="20"/>
        <v>5.8823529411764705E-2</v>
      </c>
      <c r="AA222" s="189">
        <f t="shared" si="21"/>
        <v>0</v>
      </c>
      <c r="AB222" s="2">
        <f>IFERROR(SUMIFS('Comp2016-2017 (3)'!$G$5:$G$289,'Comp2016-2017 (3)'!$A$5:$A$289,A222,'Comp2016-2017 (3)'!$R$5:$R$289,V222)*AA222/SUMIFS($AA$4:$AA$1116,$A$4:$A$1116,A222,$V$4:$V$1116,V222),0)</f>
        <v>0</v>
      </c>
      <c r="AJ222" s="198">
        <f>AB222</f>
        <v>0</v>
      </c>
      <c r="AK222" s="2">
        <f t="shared" si="22"/>
        <v>0</v>
      </c>
      <c r="AL222" t="str">
        <f t="shared" si="19"/>
        <v>remplir à la main</v>
      </c>
      <c r="AM222" t="str">
        <f>VLOOKUP(A222,'Table corresp.'!$M$4:$U$63,8,FALSE)</f>
        <v>Production intermédiaire</v>
      </c>
      <c r="AN222" t="str">
        <f>VLOOKUP(D222,'Table corresp.'!$M$4:$U$63,9,FALSE)</f>
        <v>Production intermédiaire</v>
      </c>
    </row>
    <row r="223" spans="1:40" x14ac:dyDescent="0.25">
      <c r="A223" t="s">
        <v>87</v>
      </c>
      <c r="B223" t="str">
        <f>VLOOKUP(LEFT(A223,3),'Table corresp.'!$A$4:$D$63,3,FALSE)</f>
        <v>Transformation</v>
      </c>
      <c r="C223" t="str">
        <f>VLOOKUP(A223,'Table corresp.'!$M$4:$P$63,4,FALSE)</f>
        <v>Production et transformation de produits bois</v>
      </c>
      <c r="D223" t="s">
        <v>89</v>
      </c>
      <c r="E223" t="str">
        <f>VLOOKUP(LEFT(D223,3),'Table corresp.'!$A$4:$D$63,4,FALSE)</f>
        <v>Transformation</v>
      </c>
      <c r="F223" t="str">
        <f t="shared" si="18"/>
        <v xml:space="preserve">31  - 33 </v>
      </c>
      <c r="G223" s="1">
        <v>4455.5240228723706</v>
      </c>
      <c r="H223" s="1">
        <v>4500</v>
      </c>
      <c r="I223" s="1">
        <v>8955.5240228723706</v>
      </c>
      <c r="J223" s="1">
        <v>0.91509419006408854</v>
      </c>
      <c r="K223" s="1">
        <v>0.6033641405154212</v>
      </c>
      <c r="L223" s="1">
        <v>1.5184583305795099</v>
      </c>
      <c r="M223" s="1">
        <v>11.328285040248904</v>
      </c>
      <c r="N223" s="1">
        <v>8.2808975062969328</v>
      </c>
      <c r="O223" s="1">
        <v>19.609182546545838</v>
      </c>
      <c r="P223" s="1">
        <v>2.6086506405559016</v>
      </c>
      <c r="Q223" s="1">
        <v>2.6707887402978789</v>
      </c>
      <c r="R223" s="1">
        <v>5.2794393808537805</v>
      </c>
      <c r="S223" s="67" t="s">
        <v>192</v>
      </c>
      <c r="T223">
        <f>VLOOKUP(A223,'Groupe de branches'!$Z$27:$AM$86,14,FALSE)</f>
        <v>0</v>
      </c>
      <c r="U223">
        <f>VLOOKUP(D223,'Groupe de branches'!$Z$27:$AM$86,14,FALSE)</f>
        <v>0</v>
      </c>
      <c r="V223">
        <v>2016</v>
      </c>
      <c r="W223" t="str">
        <f>VLOOKUP(D223,'Table corresp.'!$M$4:$S$63,7,FALSE)</f>
        <v>Construction</v>
      </c>
      <c r="X223" s="167">
        <f>IFERROR(G223/SUMIFS('Comp2016-2017 (3)'!$I$5:$I$289,'Comp2016-2017 (3)'!$A$5:$A$289,A223,'Comp2016-2017 (3)'!$R$5:$R$289,V223),0)</f>
        <v>2.7715843509230013E-3</v>
      </c>
      <c r="Y223" s="178">
        <f>IFERROR(IF(RIGHT(F223,3)="Exp",VLOOKUP(F223,#REF!,2,FALSE),VLOOKUP(F223,#REF!,9,FALSE)),1)</f>
        <v>1</v>
      </c>
      <c r="Z223" s="167">
        <f t="shared" si="20"/>
        <v>5.8823529411764705E-2</v>
      </c>
      <c r="AA223" s="189">
        <f t="shared" si="21"/>
        <v>1.6303437358370596E-4</v>
      </c>
      <c r="AB223" s="2">
        <f>IFERROR(SUMIFS('Comp2016-2017 (3)'!$G$5:$G$289,'Comp2016-2017 (3)'!$A$5:$A$289,A223,'Comp2016-2017 (3)'!$R$5:$R$289,V223)*AA223/SUMIFS($AA$4:$AA$1116,$A$4:$A$1116,A223,$V$4:$V$1116,V223),0)</f>
        <v>1158.436246098094</v>
      </c>
      <c r="AC223" s="2" t="str">
        <f>IF($W223=AC$3,$AB223,IF(NOT($W223=0),"",SUMIFS('Val-Vol (2)'!AC$4:AC$1116,'Val-Vol (2)'!$A$4:$A$1116,$D223,'Val-Vol (2)'!$V$4:$V$1116,$V223)/SUMIFS('Comp2016-2017 (3)'!$G$5:$G$289,'Comp2016-2017 (3)'!$A$5:$A$289,$D223,'Comp2016-2017 (3)'!$R$5:$R$289,$V223)*$AB223))</f>
        <v/>
      </c>
      <c r="AD223" s="2">
        <f>IF($W223=AD$3,$AB223,IF(NOT($W223=0),"",SUMIFS('Val-Vol (2)'!AD$4:AD$1116,'Val-Vol (2)'!$A$4:$A$1116,$D223,'Val-Vol (2)'!$V$4:$V$1116,$V223)/SUMIFS('Comp2016-2017 (3)'!$G$5:$G$289,'Comp2016-2017 (3)'!$A$5:$A$289,$D223,'Comp2016-2017 (3)'!$R$5:$R$289,$V223)*$AB223))</f>
        <v>1158.436246098094</v>
      </c>
      <c r="AE223" s="2" t="str">
        <f>IF($W223=AE$3,$AB223,IF(NOT($W223=0),"",SUMIFS('Val-Vol (2)'!AE$4:AE$1116,'Val-Vol (2)'!$A$4:$A$1116,$D223,'Val-Vol (2)'!$V$4:$V$1116,$V223)/SUMIFS('Comp2016-2017 (3)'!$G$5:$G$289,'Comp2016-2017 (3)'!$A$5:$A$289,$D223,'Comp2016-2017 (3)'!$R$5:$R$289,$V223)*$AB223))</f>
        <v/>
      </c>
      <c r="AF223" s="2" t="str">
        <f>IF($W223=AF$3,$AB223,IF(NOT($W223=0),"",SUMIFS('Val-Vol (2)'!AF$4:AF$1116,'Val-Vol (2)'!$A$4:$A$1116,$D223,'Val-Vol (2)'!$V$4:$V$1116,$V223)/SUMIFS('Comp2016-2017 (3)'!$G$5:$G$289,'Comp2016-2017 (3)'!$A$5:$A$289,$D223,'Comp2016-2017 (3)'!$R$5:$R$289,$V223)*$AB223))</f>
        <v/>
      </c>
      <c r="AG223" s="2" t="str">
        <f>IF($W223=AG$3,$AB223,IF(NOT($W223=0),"",SUMIFS('Val-Vol (2)'!AG$4:AG$1116,'Val-Vol (2)'!$A$4:$A$1116,$D223,'Val-Vol (2)'!$V$4:$V$1116,$V223)/SUMIFS('Comp2016-2017 (3)'!$G$5:$G$289,'Comp2016-2017 (3)'!$A$5:$A$289,$D223,'Comp2016-2017 (3)'!$R$5:$R$289,$V223)*$AB223))</f>
        <v/>
      </c>
      <c r="AH223" s="2" t="str">
        <f>IF($W223=AH$3,$AB223,IF(NOT($W223=0),"",SUMIFS('Val-Vol (2)'!AH$4:AH$1116,'Val-Vol (2)'!$A$4:$A$1116,$D223,'Val-Vol (2)'!$V$4:$V$1116,$V223)/SUMIFS('Comp2016-2017 (3)'!$G$5:$G$289,'Comp2016-2017 (3)'!$A$5:$A$289,$D223,'Comp2016-2017 (3)'!$R$5:$R$289,$V223)*$AB223))</f>
        <v/>
      </c>
      <c r="AI223" s="2" t="str">
        <f>IF($W223=AI$3,$AB223,IF(NOT($W223=0),"",SUMIFS('Val-Vol (2)'!AI$4:AI$1116,'Val-Vol (2)'!$A$4:$A$1116,$D223,'Val-Vol (2)'!$V$4:$V$1116,$V223)/SUMIFS('Comp2016-2017 (3)'!$G$5:$G$289,'Comp2016-2017 (3)'!$A$5:$A$289,$D223,'Comp2016-2017 (3)'!$R$5:$R$289,$V223)*$AB223))</f>
        <v/>
      </c>
      <c r="AJ223" s="2" t="str">
        <f>IF($W223=AJ$3,$AB223,IF(NOT($W223=0),"",SUMIFS('Val-Vol (2)'!AJ$4:AJ$1116,'Val-Vol (2)'!$A$4:$A$1116,$D223,'Val-Vol (2)'!$V$4:$V$1116,$V223)/SUMIFS('Comp2016-2017 (3)'!$G$5:$G$289,'Comp2016-2017 (3)'!$A$5:$A$289,$D223,'Comp2016-2017 (3)'!$R$5:$R$289,$V223)*$AB223))</f>
        <v/>
      </c>
      <c r="AK223" s="2">
        <f t="shared" si="22"/>
        <v>0</v>
      </c>
      <c r="AL223" t="str">
        <f t="shared" si="19"/>
        <v/>
      </c>
      <c r="AM223" t="str">
        <f>VLOOKUP(A223,'Table corresp.'!$M$4:$U$63,8,FALSE)</f>
        <v>Production intermédiaire</v>
      </c>
      <c r="AN223" t="str">
        <f>VLOOKUP(D223,'Table corresp.'!$M$4:$U$63,9,FALSE)</f>
        <v>Production finale</v>
      </c>
    </row>
    <row r="224" spans="1:40" x14ac:dyDescent="0.25">
      <c r="A224" t="s">
        <v>87</v>
      </c>
      <c r="B224" t="str">
        <f>VLOOKUP(LEFT(A224,3),'Table corresp.'!$A$4:$D$63,3,FALSE)</f>
        <v>Transformation</v>
      </c>
      <c r="C224" t="str">
        <f>VLOOKUP(A224,'Table corresp.'!$M$4:$P$63,4,FALSE)</f>
        <v>Production et transformation de produits bois</v>
      </c>
      <c r="D224" t="s">
        <v>90</v>
      </c>
      <c r="E224" t="str">
        <f>VLOOKUP(LEFT(D224,3),'Table corresp.'!$A$4:$D$63,4,FALSE)</f>
        <v>Transformation</v>
      </c>
      <c r="F224" t="str">
        <f t="shared" si="18"/>
        <v xml:space="preserve">31  - 34 </v>
      </c>
      <c r="G224" s="1">
        <v>12371.123978885509</v>
      </c>
      <c r="H224" s="1">
        <v>9732.3262980677464</v>
      </c>
      <c r="I224" s="1">
        <v>22103.450276953256</v>
      </c>
      <c r="J224" s="1">
        <v>3.6757387989038541</v>
      </c>
      <c r="K224" s="1">
        <v>1.8877832032217678</v>
      </c>
      <c r="L224" s="1">
        <v>5.5635220021256222</v>
      </c>
      <c r="M224" s="1">
        <v>45.503312445431185</v>
      </c>
      <c r="N224" s="1">
        <v>25.908963046153765</v>
      </c>
      <c r="O224" s="1">
        <v>71.41227549158495</v>
      </c>
      <c r="P224" s="1">
        <v>7.2431301741946861</v>
      </c>
      <c r="Q224" s="1">
        <v>5.7762194430631713</v>
      </c>
      <c r="R224" s="1">
        <v>13.019349617257857</v>
      </c>
      <c r="S224" s="67" t="s">
        <v>192</v>
      </c>
      <c r="T224">
        <f>VLOOKUP(A224,'Groupe de branches'!$Z$27:$AM$86,14,FALSE)</f>
        <v>0</v>
      </c>
      <c r="U224">
        <f>VLOOKUP(D224,'Groupe de branches'!$Z$27:$AM$86,14,FALSE)</f>
        <v>0</v>
      </c>
      <c r="V224">
        <v>2016</v>
      </c>
      <c r="W224" t="str">
        <f>VLOOKUP(D224,'Table corresp.'!$M$4:$S$63,7,FALSE)</f>
        <v>Construction</v>
      </c>
      <c r="X224" s="167">
        <f>IFERROR(G224/SUMIFS('Comp2016-2017 (3)'!$I$5:$I$289,'Comp2016-2017 (3)'!$A$5:$A$289,A224,'Comp2016-2017 (3)'!$R$5:$R$289,V224),0)</f>
        <v>7.695528841768641E-3</v>
      </c>
      <c r="Y224" s="178">
        <f>IFERROR(IF(RIGHT(F224,3)="Exp",VLOOKUP(F224,#REF!,2,FALSE),VLOOKUP(F224,#REF!,9,FALSE)),1)</f>
        <v>1</v>
      </c>
      <c r="Z224" s="167">
        <f t="shared" si="20"/>
        <v>5.8823529411764705E-2</v>
      </c>
      <c r="AA224" s="189">
        <f t="shared" si="21"/>
        <v>4.5267816716286122E-4</v>
      </c>
      <c r="AB224" s="2">
        <f>IFERROR(SUMIFS('Comp2016-2017 (3)'!$G$5:$G$289,'Comp2016-2017 (3)'!$A$5:$A$289,A224,'Comp2016-2017 (3)'!$R$5:$R$289,V224)*AA224/SUMIFS($AA$4:$AA$1116,$A$4:$A$1116,A224,$V$4:$V$1116,V224),0)</f>
        <v>3216.4922349302674</v>
      </c>
      <c r="AC224" s="2" t="str">
        <f>IF($W224=AC$3,$AB224,IF(NOT($W224=0),"",SUMIFS('Val-Vol (2)'!AC$4:AC$1116,'Val-Vol (2)'!$A$4:$A$1116,$D224,'Val-Vol (2)'!$V$4:$V$1116,$V224)/SUMIFS('Comp2016-2017 (3)'!$G$5:$G$289,'Comp2016-2017 (3)'!$A$5:$A$289,$D224,'Comp2016-2017 (3)'!$R$5:$R$289,$V224)*$AB224))</f>
        <v/>
      </c>
      <c r="AD224" s="2">
        <f>IF($W224=AD$3,$AB224,IF(NOT($W224=0),"",SUMIFS('Val-Vol (2)'!AD$4:AD$1116,'Val-Vol (2)'!$A$4:$A$1116,$D224,'Val-Vol (2)'!$V$4:$V$1116,$V224)/SUMIFS('Comp2016-2017 (3)'!$G$5:$G$289,'Comp2016-2017 (3)'!$A$5:$A$289,$D224,'Comp2016-2017 (3)'!$R$5:$R$289,$V224)*$AB224))</f>
        <v>3216.4922349302674</v>
      </c>
      <c r="AE224" s="2" t="str">
        <f>IF($W224=AE$3,$AB224,IF(NOT($W224=0),"",SUMIFS('Val-Vol (2)'!AE$4:AE$1116,'Val-Vol (2)'!$A$4:$A$1116,$D224,'Val-Vol (2)'!$V$4:$V$1116,$V224)/SUMIFS('Comp2016-2017 (3)'!$G$5:$G$289,'Comp2016-2017 (3)'!$A$5:$A$289,$D224,'Comp2016-2017 (3)'!$R$5:$R$289,$V224)*$AB224))</f>
        <v/>
      </c>
      <c r="AF224" s="2" t="str">
        <f>IF($W224=AF$3,$AB224,IF(NOT($W224=0),"",SUMIFS('Val-Vol (2)'!AF$4:AF$1116,'Val-Vol (2)'!$A$4:$A$1116,$D224,'Val-Vol (2)'!$V$4:$V$1116,$V224)/SUMIFS('Comp2016-2017 (3)'!$G$5:$G$289,'Comp2016-2017 (3)'!$A$5:$A$289,$D224,'Comp2016-2017 (3)'!$R$5:$R$289,$V224)*$AB224))</f>
        <v/>
      </c>
      <c r="AG224" s="2" t="str">
        <f>IF($W224=AG$3,$AB224,IF(NOT($W224=0),"",SUMIFS('Val-Vol (2)'!AG$4:AG$1116,'Val-Vol (2)'!$A$4:$A$1116,$D224,'Val-Vol (2)'!$V$4:$V$1116,$V224)/SUMIFS('Comp2016-2017 (3)'!$G$5:$G$289,'Comp2016-2017 (3)'!$A$5:$A$289,$D224,'Comp2016-2017 (3)'!$R$5:$R$289,$V224)*$AB224))</f>
        <v/>
      </c>
      <c r="AH224" s="2" t="str">
        <f>IF($W224=AH$3,$AB224,IF(NOT($W224=0),"",SUMIFS('Val-Vol (2)'!AH$4:AH$1116,'Val-Vol (2)'!$A$4:$A$1116,$D224,'Val-Vol (2)'!$V$4:$V$1116,$V224)/SUMIFS('Comp2016-2017 (3)'!$G$5:$G$289,'Comp2016-2017 (3)'!$A$5:$A$289,$D224,'Comp2016-2017 (3)'!$R$5:$R$289,$V224)*$AB224))</f>
        <v/>
      </c>
      <c r="AI224" s="2" t="str">
        <f>IF($W224=AI$3,$AB224,IF(NOT($W224=0),"",SUMIFS('Val-Vol (2)'!AI$4:AI$1116,'Val-Vol (2)'!$A$4:$A$1116,$D224,'Val-Vol (2)'!$V$4:$V$1116,$V224)/SUMIFS('Comp2016-2017 (3)'!$G$5:$G$289,'Comp2016-2017 (3)'!$A$5:$A$289,$D224,'Comp2016-2017 (3)'!$R$5:$R$289,$V224)*$AB224))</f>
        <v/>
      </c>
      <c r="AJ224" s="2" t="str">
        <f>IF($W224=AJ$3,$AB224,IF(NOT($W224=0),"",SUMIFS('Val-Vol (2)'!AJ$4:AJ$1116,'Val-Vol (2)'!$A$4:$A$1116,$D224,'Val-Vol (2)'!$V$4:$V$1116,$V224)/SUMIFS('Comp2016-2017 (3)'!$G$5:$G$289,'Comp2016-2017 (3)'!$A$5:$A$289,$D224,'Comp2016-2017 (3)'!$R$5:$R$289,$V224)*$AB224))</f>
        <v/>
      </c>
      <c r="AK224" s="2">
        <f t="shared" ref="AK224:AK253" si="23">SUM(AC224:AJ224)-AB224</f>
        <v>0</v>
      </c>
      <c r="AL224" t="str">
        <f t="shared" si="19"/>
        <v/>
      </c>
      <c r="AM224" t="str">
        <f>VLOOKUP(A224,'Table corresp.'!$M$4:$U$63,8,FALSE)</f>
        <v>Production intermédiaire</v>
      </c>
      <c r="AN224" t="str">
        <f>VLOOKUP(D224,'Table corresp.'!$M$4:$U$63,9,FALSE)</f>
        <v>Production finale</v>
      </c>
    </row>
    <row r="225" spans="1:40" x14ac:dyDescent="0.25">
      <c r="A225" t="s">
        <v>87</v>
      </c>
      <c r="B225" t="str">
        <f>VLOOKUP(LEFT(A225,3),'Table corresp.'!$A$4:$D$63,3,FALSE)</f>
        <v>Transformation</v>
      </c>
      <c r="C225" t="str">
        <f>VLOOKUP(A225,'Table corresp.'!$M$4:$P$63,4,FALSE)</f>
        <v>Production et transformation de produits bois</v>
      </c>
      <c r="D225" t="s">
        <v>15</v>
      </c>
      <c r="E225" t="str">
        <f>VLOOKUP(LEFT(D225,3),'Table corresp.'!$A$4:$D$63,4,FALSE)</f>
        <v>Transformation</v>
      </c>
      <c r="F225" t="str">
        <f t="shared" si="18"/>
        <v xml:space="preserve">31  - 35 </v>
      </c>
      <c r="G225" s="1">
        <v>12942.191750399998</v>
      </c>
      <c r="H225" s="1">
        <v>3235.5479375999998</v>
      </c>
      <c r="I225" s="1">
        <v>16177.739687999998</v>
      </c>
      <c r="J225" s="1">
        <v>1.6480353687573226</v>
      </c>
      <c r="K225" s="1">
        <v>0.26897165161982456</v>
      </c>
      <c r="L225" s="1">
        <v>1.9170070203771472</v>
      </c>
      <c r="M225" s="1">
        <v>20.401631456524882</v>
      </c>
      <c r="N225" s="1">
        <v>3.6915131834989192</v>
      </c>
      <c r="O225" s="1">
        <v>24.093144640023802</v>
      </c>
      <c r="P225" s="1">
        <v>7.5774828340198059</v>
      </c>
      <c r="Q225" s="1">
        <v>1.9203255556524672</v>
      </c>
      <c r="R225" s="1">
        <v>9.4978083896722723</v>
      </c>
      <c r="S225" s="67" t="s">
        <v>192</v>
      </c>
      <c r="T225">
        <f>VLOOKUP(A225,'Groupe de branches'!$Z$27:$AM$86,14,FALSE)</f>
        <v>0</v>
      </c>
      <c r="U225">
        <f>VLOOKUP(D225,'Groupe de branches'!$Z$27:$AM$86,14,FALSE)</f>
        <v>0</v>
      </c>
      <c r="V225">
        <v>2016</v>
      </c>
      <c r="W225" t="str">
        <f>VLOOKUP(D225,'Table corresp.'!$M$4:$S$63,7,FALSE)</f>
        <v>Construction</v>
      </c>
      <c r="X225" s="167">
        <f>IFERROR(G225/SUMIFS('Comp2016-2017 (3)'!$I$5:$I$289,'Comp2016-2017 (3)'!$A$5:$A$289,A225,'Comp2016-2017 (3)'!$R$5:$R$289,V225),0)</f>
        <v>8.0507648343748853E-3</v>
      </c>
      <c r="Y225" s="178">
        <f>IFERROR(IF(RIGHT(F225,3)="Exp",VLOOKUP(F225,#REF!,2,FALSE),VLOOKUP(F225,#REF!,9,FALSE)),1)</f>
        <v>1</v>
      </c>
      <c r="Z225" s="167">
        <f t="shared" si="20"/>
        <v>5.8823529411764705E-2</v>
      </c>
      <c r="AA225" s="189">
        <f t="shared" si="21"/>
        <v>4.7357440202205209E-4</v>
      </c>
      <c r="AB225" s="2">
        <f>IFERROR(SUMIFS('Comp2016-2017 (3)'!$G$5:$G$289,'Comp2016-2017 (3)'!$A$5:$A$289,A225,'Comp2016-2017 (3)'!$R$5:$R$289,V225)*AA225/SUMIFS($AA$4:$AA$1116,$A$4:$A$1116,A225,$V$4:$V$1116,V225),0)</f>
        <v>3364.9698555434243</v>
      </c>
      <c r="AC225" s="2" t="str">
        <f>IF($W225=AC$3,$AB225,IF(NOT($W225=0),"",SUMIFS('Val-Vol (2)'!AC$4:AC$1116,'Val-Vol (2)'!$A$4:$A$1116,$D225,'Val-Vol (2)'!$V$4:$V$1116,$V225)/SUMIFS('Comp2016-2017 (3)'!$G$5:$G$289,'Comp2016-2017 (3)'!$A$5:$A$289,$D225,'Comp2016-2017 (3)'!$R$5:$R$289,$V225)*$AB225))</f>
        <v/>
      </c>
      <c r="AD225" s="2">
        <f>IF($W225=AD$3,$AB225,IF(NOT($W225=0),"",SUMIFS('Val-Vol (2)'!AD$4:AD$1116,'Val-Vol (2)'!$A$4:$A$1116,$D225,'Val-Vol (2)'!$V$4:$V$1116,$V225)/SUMIFS('Comp2016-2017 (3)'!$G$5:$G$289,'Comp2016-2017 (3)'!$A$5:$A$289,$D225,'Comp2016-2017 (3)'!$R$5:$R$289,$V225)*$AB225))</f>
        <v>3364.9698555434243</v>
      </c>
      <c r="AE225" s="2" t="str">
        <f>IF($W225=AE$3,$AB225,IF(NOT($W225=0),"",SUMIFS('Val-Vol (2)'!AE$4:AE$1116,'Val-Vol (2)'!$A$4:$A$1116,$D225,'Val-Vol (2)'!$V$4:$V$1116,$V225)/SUMIFS('Comp2016-2017 (3)'!$G$5:$G$289,'Comp2016-2017 (3)'!$A$5:$A$289,$D225,'Comp2016-2017 (3)'!$R$5:$R$289,$V225)*$AB225))</f>
        <v/>
      </c>
      <c r="AF225" s="2" t="str">
        <f>IF($W225=AF$3,$AB225,IF(NOT($W225=0),"",SUMIFS('Val-Vol (2)'!AF$4:AF$1116,'Val-Vol (2)'!$A$4:$A$1116,$D225,'Val-Vol (2)'!$V$4:$V$1116,$V225)/SUMIFS('Comp2016-2017 (3)'!$G$5:$G$289,'Comp2016-2017 (3)'!$A$5:$A$289,$D225,'Comp2016-2017 (3)'!$R$5:$R$289,$V225)*$AB225))</f>
        <v/>
      </c>
      <c r="AG225" s="2" t="str">
        <f>IF($W225=AG$3,$AB225,IF(NOT($W225=0),"",SUMIFS('Val-Vol (2)'!AG$4:AG$1116,'Val-Vol (2)'!$A$4:$A$1116,$D225,'Val-Vol (2)'!$V$4:$V$1116,$V225)/SUMIFS('Comp2016-2017 (3)'!$G$5:$G$289,'Comp2016-2017 (3)'!$A$5:$A$289,$D225,'Comp2016-2017 (3)'!$R$5:$R$289,$V225)*$AB225))</f>
        <v/>
      </c>
      <c r="AH225" s="2" t="str">
        <f>IF($W225=AH$3,$AB225,IF(NOT($W225=0),"",SUMIFS('Val-Vol (2)'!AH$4:AH$1116,'Val-Vol (2)'!$A$4:$A$1116,$D225,'Val-Vol (2)'!$V$4:$V$1116,$V225)/SUMIFS('Comp2016-2017 (3)'!$G$5:$G$289,'Comp2016-2017 (3)'!$A$5:$A$289,$D225,'Comp2016-2017 (3)'!$R$5:$R$289,$V225)*$AB225))</f>
        <v/>
      </c>
      <c r="AI225" s="2" t="str">
        <f>IF($W225=AI$3,$AB225,IF(NOT($W225=0),"",SUMIFS('Val-Vol (2)'!AI$4:AI$1116,'Val-Vol (2)'!$A$4:$A$1116,$D225,'Val-Vol (2)'!$V$4:$V$1116,$V225)/SUMIFS('Comp2016-2017 (3)'!$G$5:$G$289,'Comp2016-2017 (3)'!$A$5:$A$289,$D225,'Comp2016-2017 (3)'!$R$5:$R$289,$V225)*$AB225))</f>
        <v/>
      </c>
      <c r="AJ225" s="2" t="str">
        <f>IF($W225=AJ$3,$AB225,IF(NOT($W225=0),"",SUMIFS('Val-Vol (2)'!AJ$4:AJ$1116,'Val-Vol (2)'!$A$4:$A$1116,$D225,'Val-Vol (2)'!$V$4:$V$1116,$V225)/SUMIFS('Comp2016-2017 (3)'!$G$5:$G$289,'Comp2016-2017 (3)'!$A$5:$A$289,$D225,'Comp2016-2017 (3)'!$R$5:$R$289,$V225)*$AB225))</f>
        <v/>
      </c>
      <c r="AK225" s="2">
        <f t="shared" si="23"/>
        <v>0</v>
      </c>
      <c r="AL225" t="str">
        <f t="shared" si="19"/>
        <v/>
      </c>
      <c r="AM225" t="str">
        <f>VLOOKUP(A225,'Table corresp.'!$M$4:$U$63,8,FALSE)</f>
        <v>Production intermédiaire</v>
      </c>
      <c r="AN225" t="str">
        <f>VLOOKUP(D225,'Table corresp.'!$M$4:$U$63,9,FALSE)</f>
        <v>Production finale</v>
      </c>
    </row>
    <row r="226" spans="1:40" x14ac:dyDescent="0.25">
      <c r="A226" t="s">
        <v>87</v>
      </c>
      <c r="B226" t="str">
        <f>VLOOKUP(LEFT(A226,3),'Table corresp.'!$A$4:$D$63,3,FALSE)</f>
        <v>Transformation</v>
      </c>
      <c r="C226" t="str">
        <f>VLOOKUP(A226,'Table corresp.'!$M$4:$P$63,4,FALSE)</f>
        <v>Production et transformation de produits bois</v>
      </c>
      <c r="D226" t="s">
        <v>16</v>
      </c>
      <c r="E226" t="str">
        <f>VLOOKUP(LEFT(D226,3),'Table corresp.'!$A$4:$D$63,4,FALSE)</f>
        <v>Transformation</v>
      </c>
      <c r="F226" t="str">
        <f t="shared" si="18"/>
        <v xml:space="preserve">31  - 36 </v>
      </c>
      <c r="G226" s="1">
        <v>36523.44346000001</v>
      </c>
      <c r="H226" s="1">
        <v>69449.071859999996</v>
      </c>
      <c r="I226" s="1">
        <v>105972.51532000001</v>
      </c>
      <c r="J226" s="1">
        <v>6.3483822066941062</v>
      </c>
      <c r="K226" s="1">
        <v>7.8805724944885229</v>
      </c>
      <c r="L226" s="1">
        <v>14.22895470118263</v>
      </c>
      <c r="M226" s="1">
        <v>68.768912127805805</v>
      </c>
      <c r="N226" s="1">
        <v>94.642542959121059</v>
      </c>
      <c r="O226" s="1">
        <v>163.41145508692688</v>
      </c>
      <c r="P226" s="1">
        <v>21.383995168275071</v>
      </c>
      <c r="Q226" s="1">
        <v>41.21862203285027</v>
      </c>
      <c r="R226" s="1">
        <v>62.602617201125341</v>
      </c>
      <c r="S226" s="67" t="s">
        <v>192</v>
      </c>
      <c r="T226">
        <f>VLOOKUP(A226,'Groupe de branches'!$Z$27:$AM$86,14,FALSE)</f>
        <v>0</v>
      </c>
      <c r="U226">
        <f>VLOOKUP(D226,'Groupe de branches'!$Z$27:$AM$86,14,FALSE)</f>
        <v>0</v>
      </c>
      <c r="V226">
        <v>2016</v>
      </c>
      <c r="W226" t="str">
        <f>VLOOKUP(D226,'Table corresp.'!$M$4:$S$63,7,FALSE)</f>
        <v>Construction</v>
      </c>
      <c r="X226" s="167">
        <f>IFERROR(G226/SUMIFS('Comp2016-2017 (3)'!$I$5:$I$289,'Comp2016-2017 (3)'!$A$5:$A$289,A226,'Comp2016-2017 (3)'!$R$5:$R$289,V226),0)</f>
        <v>2.2719618122561014E-2</v>
      </c>
      <c r="Y226" s="178">
        <f>IFERROR(IF(RIGHT(F226,3)="Exp",VLOOKUP(F226,#REF!,2,FALSE),VLOOKUP(F226,#REF!,9,FALSE)),1)</f>
        <v>1</v>
      </c>
      <c r="Z226" s="167">
        <f t="shared" si="20"/>
        <v>5.8823529411764705E-2</v>
      </c>
      <c r="AA226" s="189">
        <f t="shared" si="21"/>
        <v>1.3364481248565301E-3</v>
      </c>
      <c r="AB226" s="2">
        <f>IFERROR(SUMIFS('Comp2016-2017 (3)'!$G$5:$G$289,'Comp2016-2017 (3)'!$A$5:$A$289,A226,'Comp2016-2017 (3)'!$R$5:$R$289,V226)*AA226/SUMIFS($AA$4:$AA$1116,$A$4:$A$1116,A226,$V$4:$V$1116,V226),0)</f>
        <v>9496.0953008400775</v>
      </c>
      <c r="AC226" s="2" t="str">
        <f>IF($W226=AC$3,$AB226,IF(NOT($W226=0),"",SUMIFS('Val-Vol (2)'!AC$4:AC$1116,'Val-Vol (2)'!$A$4:$A$1116,$D226,'Val-Vol (2)'!$V$4:$V$1116,$V226)/SUMIFS('Comp2016-2017 (3)'!$G$5:$G$289,'Comp2016-2017 (3)'!$A$5:$A$289,$D226,'Comp2016-2017 (3)'!$R$5:$R$289,$V226)*$AB226))</f>
        <v/>
      </c>
      <c r="AD226" s="2">
        <f>IF($W226=AD$3,$AB226,IF(NOT($W226=0),"",SUMIFS('Val-Vol (2)'!AD$4:AD$1116,'Val-Vol (2)'!$A$4:$A$1116,$D226,'Val-Vol (2)'!$V$4:$V$1116,$V226)/SUMIFS('Comp2016-2017 (3)'!$G$5:$G$289,'Comp2016-2017 (3)'!$A$5:$A$289,$D226,'Comp2016-2017 (3)'!$R$5:$R$289,$V226)*$AB226))</f>
        <v>9496.0953008400775</v>
      </c>
      <c r="AE226" s="2" t="str">
        <f>IF($W226=AE$3,$AB226,IF(NOT($W226=0),"",SUMIFS('Val-Vol (2)'!AE$4:AE$1116,'Val-Vol (2)'!$A$4:$A$1116,$D226,'Val-Vol (2)'!$V$4:$V$1116,$V226)/SUMIFS('Comp2016-2017 (3)'!$G$5:$G$289,'Comp2016-2017 (3)'!$A$5:$A$289,$D226,'Comp2016-2017 (3)'!$R$5:$R$289,$V226)*$AB226))</f>
        <v/>
      </c>
      <c r="AF226" s="2" t="str">
        <f>IF($W226=AF$3,$AB226,IF(NOT($W226=0),"",SUMIFS('Val-Vol (2)'!AF$4:AF$1116,'Val-Vol (2)'!$A$4:$A$1116,$D226,'Val-Vol (2)'!$V$4:$V$1116,$V226)/SUMIFS('Comp2016-2017 (3)'!$G$5:$G$289,'Comp2016-2017 (3)'!$A$5:$A$289,$D226,'Comp2016-2017 (3)'!$R$5:$R$289,$V226)*$AB226))</f>
        <v/>
      </c>
      <c r="AG226" s="2" t="str">
        <f>IF($W226=AG$3,$AB226,IF(NOT($W226=0),"",SUMIFS('Val-Vol (2)'!AG$4:AG$1116,'Val-Vol (2)'!$A$4:$A$1116,$D226,'Val-Vol (2)'!$V$4:$V$1116,$V226)/SUMIFS('Comp2016-2017 (3)'!$G$5:$G$289,'Comp2016-2017 (3)'!$A$5:$A$289,$D226,'Comp2016-2017 (3)'!$R$5:$R$289,$V226)*$AB226))</f>
        <v/>
      </c>
      <c r="AH226" s="2" t="str">
        <f>IF($W226=AH$3,$AB226,IF(NOT($W226=0),"",SUMIFS('Val-Vol (2)'!AH$4:AH$1116,'Val-Vol (2)'!$A$4:$A$1116,$D226,'Val-Vol (2)'!$V$4:$V$1116,$V226)/SUMIFS('Comp2016-2017 (3)'!$G$5:$G$289,'Comp2016-2017 (3)'!$A$5:$A$289,$D226,'Comp2016-2017 (3)'!$R$5:$R$289,$V226)*$AB226))</f>
        <v/>
      </c>
      <c r="AI226" s="2" t="str">
        <f>IF($W226=AI$3,$AB226,IF(NOT($W226=0),"",SUMIFS('Val-Vol (2)'!AI$4:AI$1116,'Val-Vol (2)'!$A$4:$A$1116,$D226,'Val-Vol (2)'!$V$4:$V$1116,$V226)/SUMIFS('Comp2016-2017 (3)'!$G$5:$G$289,'Comp2016-2017 (3)'!$A$5:$A$289,$D226,'Comp2016-2017 (3)'!$R$5:$R$289,$V226)*$AB226))</f>
        <v/>
      </c>
      <c r="AJ226" s="2" t="str">
        <f>IF($W226=AJ$3,$AB226,IF(NOT($W226=0),"",SUMIFS('Val-Vol (2)'!AJ$4:AJ$1116,'Val-Vol (2)'!$A$4:$A$1116,$D226,'Val-Vol (2)'!$V$4:$V$1116,$V226)/SUMIFS('Comp2016-2017 (3)'!$G$5:$G$289,'Comp2016-2017 (3)'!$A$5:$A$289,$D226,'Comp2016-2017 (3)'!$R$5:$R$289,$V226)*$AB226))</f>
        <v/>
      </c>
      <c r="AK226" s="2">
        <f t="shared" si="23"/>
        <v>0</v>
      </c>
      <c r="AL226" t="str">
        <f t="shared" si="19"/>
        <v/>
      </c>
      <c r="AM226" t="str">
        <f>VLOOKUP(A226,'Table corresp.'!$M$4:$U$63,8,FALSE)</f>
        <v>Production intermédiaire</v>
      </c>
      <c r="AN226" t="str">
        <f>VLOOKUP(D226,'Table corresp.'!$M$4:$U$63,9,FALSE)</f>
        <v>Production finale</v>
      </c>
    </row>
    <row r="227" spans="1:40" x14ac:dyDescent="0.25">
      <c r="A227" t="s">
        <v>87</v>
      </c>
      <c r="B227" t="str">
        <f>VLOOKUP(LEFT(A227,3),'Table corresp.'!$A$4:$D$63,3,FALSE)</f>
        <v>Transformation</v>
      </c>
      <c r="C227" t="str">
        <f>VLOOKUP(A227,'Table corresp.'!$M$4:$P$63,4,FALSE)</f>
        <v>Production et transformation de produits bois</v>
      </c>
      <c r="D227" t="s">
        <v>91</v>
      </c>
      <c r="E227" t="str">
        <f>VLOOKUP(LEFT(D227,3),'Table corresp.'!$A$4:$D$63,4,FALSE)</f>
        <v>Transformation</v>
      </c>
      <c r="F227" t="str">
        <f t="shared" si="18"/>
        <v xml:space="preserve">31  - 37 </v>
      </c>
      <c r="G227" s="1">
        <v>131310.43574356026</v>
      </c>
      <c r="H227" s="1">
        <v>34000</v>
      </c>
      <c r="I227" s="1">
        <v>165310.43574356026</v>
      </c>
      <c r="J227" s="1">
        <v>19.281923773828161</v>
      </c>
      <c r="K227" s="1">
        <v>3.2593425729863696</v>
      </c>
      <c r="L227" s="1">
        <v>22.541266346814531</v>
      </c>
      <c r="M227" s="1">
        <v>448.84226144365857</v>
      </c>
      <c r="N227" s="1">
        <v>84.11490009492293</v>
      </c>
      <c r="O227" s="1">
        <v>532.95716153858154</v>
      </c>
      <c r="P227" s="1">
        <v>2.1965865971299132E-3</v>
      </c>
      <c r="Q227" s="1">
        <v>5.76551220127796E-4</v>
      </c>
      <c r="R227" s="1">
        <v>2.7731378172577092E-3</v>
      </c>
      <c r="S227" s="67"/>
      <c r="T227">
        <f>VLOOKUP(A227,'Groupe de branches'!$Z$27:$AM$86,14,FALSE)</f>
        <v>0</v>
      </c>
      <c r="U227">
        <f>VLOOKUP(D227,'Groupe de branches'!$Z$27:$AM$86,14,FALSE)</f>
        <v>0</v>
      </c>
      <c r="V227">
        <v>2016</v>
      </c>
      <c r="W227" t="str">
        <f>VLOOKUP(D227,'Table corresp.'!$M$4:$S$63,7,FALSE)</f>
        <v>Emballage bois et carton</v>
      </c>
      <c r="X227" s="167">
        <f>IFERROR(G227/SUMIFS('Comp2016-2017 (3)'!$I$5:$I$289,'Comp2016-2017 (3)'!$A$5:$A$289,A227,'Comp2016-2017 (3)'!$R$5:$R$289,V227),0)</f>
        <v>8.1682411979255756E-2</v>
      </c>
      <c r="Y227" s="178">
        <f>IFERROR(IF(RIGHT(F227,3)="Exp",VLOOKUP(F227,#REF!,2,FALSE),VLOOKUP(F227,#REF!,9,FALSE)),1)</f>
        <v>1</v>
      </c>
      <c r="Z227" s="167">
        <f t="shared" si="20"/>
        <v>5.8823529411764705E-2</v>
      </c>
      <c r="AA227" s="189">
        <f t="shared" si="21"/>
        <v>4.8048477634856325E-3</v>
      </c>
      <c r="AB227" s="2">
        <f>IFERROR(SUMIFS('Comp2016-2017 (3)'!$G$5:$G$289,'Comp2016-2017 (3)'!$A$5:$A$289,A227,'Comp2016-2017 (3)'!$R$5:$R$289,V227)*AA227/SUMIFS($AA$4:$AA$1116,$A$4:$A$1116,A227,$V$4:$V$1116,V227),0)</f>
        <v>34140.71329778403</v>
      </c>
      <c r="AC227" s="2" t="str">
        <f>IF($W227=AC$3,$AB227,IF(NOT($W227=0),"",SUMIFS('Val-Vol (2)'!AC$4:AC$1116,'Val-Vol (2)'!$A$4:$A$1116,$D227,'Val-Vol (2)'!$V$4:$V$1116,$V227)/SUMIFS('Comp2016-2017 (3)'!$G$5:$G$289,'Comp2016-2017 (3)'!$A$5:$A$289,$D227,'Comp2016-2017 (3)'!$R$5:$R$289,$V227)*$AB227))</f>
        <v/>
      </c>
      <c r="AD227" s="2" t="str">
        <f>IF($W227=AD$3,$AB227,IF(NOT($W227=0),"",SUMIFS('Val-Vol (2)'!AD$4:AD$1116,'Val-Vol (2)'!$A$4:$A$1116,$D227,'Val-Vol (2)'!$V$4:$V$1116,$V227)/SUMIFS('Comp2016-2017 (3)'!$G$5:$G$289,'Comp2016-2017 (3)'!$A$5:$A$289,$D227,'Comp2016-2017 (3)'!$R$5:$R$289,$V227)*$AB227))</f>
        <v/>
      </c>
      <c r="AE227" s="2" t="str">
        <f>IF($W227=AE$3,$AB227,IF(NOT($W227=0),"",SUMIFS('Val-Vol (2)'!AE$4:AE$1116,'Val-Vol (2)'!$A$4:$A$1116,$D227,'Val-Vol (2)'!$V$4:$V$1116,$V227)/SUMIFS('Comp2016-2017 (3)'!$G$5:$G$289,'Comp2016-2017 (3)'!$A$5:$A$289,$D227,'Comp2016-2017 (3)'!$R$5:$R$289,$V227)*$AB227))</f>
        <v/>
      </c>
      <c r="AF227" s="2" t="str">
        <f>IF($W227=AF$3,$AB227,IF(NOT($W227=0),"",SUMIFS('Val-Vol (2)'!AF$4:AF$1116,'Val-Vol (2)'!$A$4:$A$1116,$D227,'Val-Vol (2)'!$V$4:$V$1116,$V227)/SUMIFS('Comp2016-2017 (3)'!$G$5:$G$289,'Comp2016-2017 (3)'!$A$5:$A$289,$D227,'Comp2016-2017 (3)'!$R$5:$R$289,$V227)*$AB227))</f>
        <v/>
      </c>
      <c r="AG227" s="2">
        <f>IF($W227=AG$3,$AB227,IF(NOT($W227=0),"",SUMIFS('Val-Vol (2)'!AG$4:AG$1116,'Val-Vol (2)'!$A$4:$A$1116,$D227,'Val-Vol (2)'!$V$4:$V$1116,$V227)/SUMIFS('Comp2016-2017 (3)'!$G$5:$G$289,'Comp2016-2017 (3)'!$A$5:$A$289,$D227,'Comp2016-2017 (3)'!$R$5:$R$289,$V227)*$AB227))</f>
        <v>34140.71329778403</v>
      </c>
      <c r="AH227" s="2" t="str">
        <f>IF($W227=AH$3,$AB227,IF(NOT($W227=0),"",SUMIFS('Val-Vol (2)'!AH$4:AH$1116,'Val-Vol (2)'!$A$4:$A$1116,$D227,'Val-Vol (2)'!$V$4:$V$1116,$V227)/SUMIFS('Comp2016-2017 (3)'!$G$5:$G$289,'Comp2016-2017 (3)'!$A$5:$A$289,$D227,'Comp2016-2017 (3)'!$R$5:$R$289,$V227)*$AB227))</f>
        <v/>
      </c>
      <c r="AI227" s="2" t="str">
        <f>IF($W227=AI$3,$AB227,IF(NOT($W227=0),"",SUMIFS('Val-Vol (2)'!AI$4:AI$1116,'Val-Vol (2)'!$A$4:$A$1116,$D227,'Val-Vol (2)'!$V$4:$V$1116,$V227)/SUMIFS('Comp2016-2017 (3)'!$G$5:$G$289,'Comp2016-2017 (3)'!$A$5:$A$289,$D227,'Comp2016-2017 (3)'!$R$5:$R$289,$V227)*$AB227))</f>
        <v/>
      </c>
      <c r="AJ227" s="2" t="str">
        <f>IF($W227=AJ$3,$AB227,IF(NOT($W227=0),"",SUMIFS('Val-Vol (2)'!AJ$4:AJ$1116,'Val-Vol (2)'!$A$4:$A$1116,$D227,'Val-Vol (2)'!$V$4:$V$1116,$V227)/SUMIFS('Comp2016-2017 (3)'!$G$5:$G$289,'Comp2016-2017 (3)'!$A$5:$A$289,$D227,'Comp2016-2017 (3)'!$R$5:$R$289,$V227)*$AB227))</f>
        <v/>
      </c>
      <c r="AK227" s="2">
        <f t="shared" si="23"/>
        <v>0</v>
      </c>
      <c r="AL227" t="str">
        <f t="shared" si="19"/>
        <v/>
      </c>
      <c r="AM227" t="str">
        <f>VLOOKUP(A227,'Table corresp.'!$M$4:$U$63,8,FALSE)</f>
        <v>Production intermédiaire</v>
      </c>
      <c r="AN227" t="str">
        <f>VLOOKUP(D227,'Table corresp.'!$M$4:$U$63,9,FALSE)</f>
        <v>Production finale</v>
      </c>
    </row>
    <row r="228" spans="1:40" x14ac:dyDescent="0.25">
      <c r="A228" t="s">
        <v>87</v>
      </c>
      <c r="B228" t="str">
        <f>VLOOKUP(LEFT(A228,3),'Table corresp.'!$A$4:$D$63,3,FALSE)</f>
        <v>Transformation</v>
      </c>
      <c r="C228" t="str">
        <f>VLOOKUP(A228,'Table corresp.'!$M$4:$P$63,4,FALSE)</f>
        <v>Production et transformation de produits bois</v>
      </c>
      <c r="D228" t="s">
        <v>18</v>
      </c>
      <c r="E228" t="str">
        <f>VLOOKUP(LEFT(D228,3),'Table corresp.'!$A$4:$D$63,4,FALSE)</f>
        <v>Transformation</v>
      </c>
      <c r="F228" t="str">
        <f t="shared" si="18"/>
        <v xml:space="preserve">31  - 39 </v>
      </c>
      <c r="G228" s="1">
        <v>3149.7202379999999</v>
      </c>
      <c r="H228" s="1">
        <v>0</v>
      </c>
      <c r="I228" s="1">
        <v>3149.7202379999999</v>
      </c>
      <c r="J228" s="1">
        <v>0.40107969762959983</v>
      </c>
      <c r="K228" s="1">
        <v>0</v>
      </c>
      <c r="L228" s="1">
        <v>0.40107969762959983</v>
      </c>
      <c r="M228" s="1">
        <v>4.965111993866711</v>
      </c>
      <c r="N228" s="1">
        <v>0</v>
      </c>
      <c r="O228" s="1">
        <v>4.965111993866711</v>
      </c>
      <c r="P228" s="1">
        <v>1.8441197206548989</v>
      </c>
      <c r="Q228" s="1">
        <v>0</v>
      </c>
      <c r="R228" s="1">
        <v>1.8441197206548989</v>
      </c>
      <c r="S228" s="67" t="s">
        <v>192</v>
      </c>
      <c r="T228">
        <f>VLOOKUP(A228,'Groupe de branches'!$Z$27:$AM$86,14,FALSE)</f>
        <v>0</v>
      </c>
      <c r="U228">
        <f>VLOOKUP(D228,'Groupe de branches'!$Z$27:$AM$86,14,FALSE)</f>
        <v>0</v>
      </c>
      <c r="V228">
        <v>2016</v>
      </c>
      <c r="W228" t="str">
        <f>VLOOKUP(D228,'Table corresp.'!$M$4:$S$63,7,FALSE)</f>
        <v>Construction</v>
      </c>
      <c r="X228" s="167">
        <f>IFERROR(G228/SUMIFS('Comp2016-2017 (3)'!$I$5:$I$289,'Comp2016-2017 (3)'!$A$5:$A$289,A228,'Comp2016-2017 (3)'!$R$5:$R$289,V228),0)</f>
        <v>1.9593015942933759E-3</v>
      </c>
      <c r="Y228" s="178">
        <f>IFERROR(IF(RIGHT(F228,3)="Exp",VLOOKUP(F228,#REF!,2,FALSE),VLOOKUP(F228,#REF!,9,FALSE)),1)</f>
        <v>1</v>
      </c>
      <c r="Z228" s="167">
        <f t="shared" si="20"/>
        <v>5.8823529411764705E-2</v>
      </c>
      <c r="AA228" s="189">
        <f t="shared" si="21"/>
        <v>1.1525303495843387E-4</v>
      </c>
      <c r="AB228" s="2">
        <f>IFERROR(SUMIFS('Comp2016-2017 (3)'!$G$5:$G$289,'Comp2016-2017 (3)'!$A$5:$A$289,A228,'Comp2016-2017 (3)'!$R$5:$R$289,V228)*AA228/SUMIFS($AA$4:$AA$1116,$A$4:$A$1116,A228,$V$4:$V$1116,V228),0)</f>
        <v>818.92726198694197</v>
      </c>
      <c r="AC228" s="2" t="str">
        <f>IF($W228=AC$3,$AB228,IF(NOT($W228=0),"",SUMIFS('Val-Vol (2)'!AC$4:AC$1116,'Val-Vol (2)'!$A$4:$A$1116,$D228,'Val-Vol (2)'!$V$4:$V$1116,$V228)/SUMIFS('Comp2016-2017 (3)'!$G$5:$G$289,'Comp2016-2017 (3)'!$A$5:$A$289,$D228,'Comp2016-2017 (3)'!$R$5:$R$289,$V228)*$AB228))</f>
        <v/>
      </c>
      <c r="AD228" s="2">
        <f>IF($W228=AD$3,$AB228,IF(NOT($W228=0),"",SUMIFS('Val-Vol (2)'!AD$4:AD$1116,'Val-Vol (2)'!$A$4:$A$1116,$D228,'Val-Vol (2)'!$V$4:$V$1116,$V228)/SUMIFS('Comp2016-2017 (3)'!$G$5:$G$289,'Comp2016-2017 (3)'!$A$5:$A$289,$D228,'Comp2016-2017 (3)'!$R$5:$R$289,$V228)*$AB228))</f>
        <v>818.92726198694197</v>
      </c>
      <c r="AE228" s="2" t="str">
        <f>IF($W228=AE$3,$AB228,IF(NOT($W228=0),"",SUMIFS('Val-Vol (2)'!AE$4:AE$1116,'Val-Vol (2)'!$A$4:$A$1116,$D228,'Val-Vol (2)'!$V$4:$V$1116,$V228)/SUMIFS('Comp2016-2017 (3)'!$G$5:$G$289,'Comp2016-2017 (3)'!$A$5:$A$289,$D228,'Comp2016-2017 (3)'!$R$5:$R$289,$V228)*$AB228))</f>
        <v/>
      </c>
      <c r="AF228" s="2" t="str">
        <f>IF($W228=AF$3,$AB228,IF(NOT($W228=0),"",SUMIFS('Val-Vol (2)'!AF$4:AF$1116,'Val-Vol (2)'!$A$4:$A$1116,$D228,'Val-Vol (2)'!$V$4:$V$1116,$V228)/SUMIFS('Comp2016-2017 (3)'!$G$5:$G$289,'Comp2016-2017 (3)'!$A$5:$A$289,$D228,'Comp2016-2017 (3)'!$R$5:$R$289,$V228)*$AB228))</f>
        <v/>
      </c>
      <c r="AG228" s="2" t="str">
        <f>IF($W228=AG$3,$AB228,IF(NOT($W228=0),"",SUMIFS('Val-Vol (2)'!AG$4:AG$1116,'Val-Vol (2)'!$A$4:$A$1116,$D228,'Val-Vol (2)'!$V$4:$V$1116,$V228)/SUMIFS('Comp2016-2017 (3)'!$G$5:$G$289,'Comp2016-2017 (3)'!$A$5:$A$289,$D228,'Comp2016-2017 (3)'!$R$5:$R$289,$V228)*$AB228))</f>
        <v/>
      </c>
      <c r="AH228" s="2" t="str">
        <f>IF($W228=AH$3,$AB228,IF(NOT($W228=0),"",SUMIFS('Val-Vol (2)'!AH$4:AH$1116,'Val-Vol (2)'!$A$4:$A$1116,$D228,'Val-Vol (2)'!$V$4:$V$1116,$V228)/SUMIFS('Comp2016-2017 (3)'!$G$5:$G$289,'Comp2016-2017 (3)'!$A$5:$A$289,$D228,'Comp2016-2017 (3)'!$R$5:$R$289,$V228)*$AB228))</f>
        <v/>
      </c>
      <c r="AI228" s="2" t="str">
        <f>IF($W228=AI$3,$AB228,IF(NOT($W228=0),"",SUMIFS('Val-Vol (2)'!AI$4:AI$1116,'Val-Vol (2)'!$A$4:$A$1116,$D228,'Val-Vol (2)'!$V$4:$V$1116,$V228)/SUMIFS('Comp2016-2017 (3)'!$G$5:$G$289,'Comp2016-2017 (3)'!$A$5:$A$289,$D228,'Comp2016-2017 (3)'!$R$5:$R$289,$V228)*$AB228))</f>
        <v/>
      </c>
      <c r="AJ228" s="2" t="str">
        <f>IF($W228=AJ$3,$AB228,IF(NOT($W228=0),"",SUMIFS('Val-Vol (2)'!AJ$4:AJ$1116,'Val-Vol (2)'!$A$4:$A$1116,$D228,'Val-Vol (2)'!$V$4:$V$1116,$V228)/SUMIFS('Comp2016-2017 (3)'!$G$5:$G$289,'Comp2016-2017 (3)'!$A$5:$A$289,$D228,'Comp2016-2017 (3)'!$R$5:$R$289,$V228)*$AB228))</f>
        <v/>
      </c>
      <c r="AK228" s="2">
        <f t="shared" si="23"/>
        <v>0</v>
      </c>
      <c r="AL228" t="str">
        <f t="shared" si="19"/>
        <v/>
      </c>
      <c r="AM228" t="str">
        <f>VLOOKUP(A228,'Table corresp.'!$M$4:$U$63,8,FALSE)</f>
        <v>Production intermédiaire</v>
      </c>
      <c r="AN228" t="str">
        <f>VLOOKUP(D228,'Table corresp.'!$M$4:$U$63,9,FALSE)</f>
        <v>Production finale</v>
      </c>
    </row>
    <row r="229" spans="1:40" x14ac:dyDescent="0.25">
      <c r="A229" t="s">
        <v>87</v>
      </c>
      <c r="B229" t="str">
        <f>VLOOKUP(LEFT(A229,3),'Table corresp.'!$A$4:$D$63,3,FALSE)</f>
        <v>Transformation</v>
      </c>
      <c r="C229" t="str">
        <f>VLOOKUP(A229,'Table corresp.'!$M$4:$P$63,4,FALSE)</f>
        <v>Production et transformation de produits bois</v>
      </c>
      <c r="D229" t="s">
        <v>99</v>
      </c>
      <c r="E229" t="str">
        <f>VLOOKUP(LEFT(D229,3),'Table corresp.'!$A$4:$D$63,4,FALSE)</f>
        <v>Transformation</v>
      </c>
      <c r="F229" t="str">
        <f t="shared" si="18"/>
        <v xml:space="preserve">31  - 47 </v>
      </c>
      <c r="G229" s="1">
        <v>304415.93</v>
      </c>
      <c r="H229" s="1">
        <v>210710</v>
      </c>
      <c r="I229" s="1">
        <v>515125.93</v>
      </c>
      <c r="J229" s="1">
        <v>66.686016745788976</v>
      </c>
      <c r="K229" s="1">
        <v>30.133704297048556</v>
      </c>
      <c r="L229" s="1">
        <v>96.819721042837529</v>
      </c>
      <c r="M229" s="1">
        <v>832.5713058759294</v>
      </c>
      <c r="N229" s="1">
        <v>417.09859607377985</v>
      </c>
      <c r="O229" s="1">
        <v>1249.6699019497091</v>
      </c>
      <c r="P229" s="1">
        <v>178.23151815888394</v>
      </c>
      <c r="Q229" s="1">
        <v>125.05819899292578</v>
      </c>
      <c r="R229" s="1">
        <v>303.28971715180973</v>
      </c>
      <c r="S229" s="67" t="s">
        <v>192</v>
      </c>
      <c r="T229">
        <f>VLOOKUP(A229,'Groupe de branches'!$Z$27:$AM$86,14,FALSE)</f>
        <v>0</v>
      </c>
      <c r="U229">
        <f>VLOOKUP(D229,'Groupe de branches'!$Z$27:$AM$86,14,FALSE)</f>
        <v>0</v>
      </c>
      <c r="V229">
        <v>2016</v>
      </c>
      <c r="W229" t="str">
        <f>VLOOKUP(D229,'Table corresp.'!$M$4:$S$63,7,FALSE)</f>
        <v>Meuble</v>
      </c>
      <c r="X229" s="167">
        <f>IFERROR(G229/SUMIFS('Comp2016-2017 (3)'!$I$5:$I$289,'Comp2016-2017 (3)'!$A$5:$A$289,A229,'Comp2016-2017 (3)'!$R$5:$R$289,V229),0)</f>
        <v>0.18936368055215852</v>
      </c>
      <c r="Y229" s="178">
        <f>IFERROR(IF(RIGHT(F229,3)="Exp",VLOOKUP(F229,#REF!,2,FALSE),VLOOKUP(F229,#REF!,9,FALSE)),1)</f>
        <v>1</v>
      </c>
      <c r="Z229" s="167">
        <f t="shared" ref="Z229:Z238" si="24">Y229/SUMIFS($Y$4:$Y$1116,$V$4:$V$1116,V229,$A$4:$A$1116,A229)</f>
        <v>5.8823529411764705E-2</v>
      </c>
      <c r="AA229" s="189">
        <f t="shared" si="21"/>
        <v>1.1139040032479912E-2</v>
      </c>
      <c r="AB229" s="2">
        <f>IFERROR(SUMIFS('Comp2016-2017 (3)'!$G$5:$G$289,'Comp2016-2017 (3)'!$A$5:$A$289,A229,'Comp2016-2017 (3)'!$R$5:$R$289,V229)*AA229/SUMIFS($AA$4:$AA$1116,$A$4:$A$1116,A229,$V$4:$V$1116,V229),0)</f>
        <v>79148.141810335786</v>
      </c>
      <c r="AC229" s="2" t="str">
        <f>IF($W229=AC$3,$AB229,IF(NOT($W229=0),"",SUMIFS('Val-Vol (2)'!AC$4:AC$1116,'Val-Vol (2)'!$A$4:$A$1116,$D229,'Val-Vol (2)'!$V$4:$V$1116,$V229)/SUMIFS('Comp2016-2017 (3)'!$G$5:$G$289,'Comp2016-2017 (3)'!$A$5:$A$289,$D229,'Comp2016-2017 (3)'!$R$5:$R$289,$V229)*$AB229))</f>
        <v/>
      </c>
      <c r="AD229" s="2" t="str">
        <f>IF($W229=AD$3,$AB229,IF(NOT($W229=0),"",SUMIFS('Val-Vol (2)'!AD$4:AD$1116,'Val-Vol (2)'!$A$4:$A$1116,$D229,'Val-Vol (2)'!$V$4:$V$1116,$V229)/SUMIFS('Comp2016-2017 (3)'!$G$5:$G$289,'Comp2016-2017 (3)'!$A$5:$A$289,$D229,'Comp2016-2017 (3)'!$R$5:$R$289,$V229)*$AB229))</f>
        <v/>
      </c>
      <c r="AE229" s="2">
        <f>IF($W229=AE$3,$AB229,IF(NOT($W229=0),"",SUMIFS('Val-Vol (2)'!AE$4:AE$1116,'Val-Vol (2)'!$A$4:$A$1116,$D229,'Val-Vol (2)'!$V$4:$V$1116,$V229)/SUMIFS('Comp2016-2017 (3)'!$G$5:$G$289,'Comp2016-2017 (3)'!$A$5:$A$289,$D229,'Comp2016-2017 (3)'!$R$5:$R$289,$V229)*$AB229))</f>
        <v>79148.141810335786</v>
      </c>
      <c r="AF229" s="2" t="str">
        <f>IF($W229=AF$3,$AB229,IF(NOT($W229=0),"",SUMIFS('Val-Vol (2)'!AF$4:AF$1116,'Val-Vol (2)'!$A$4:$A$1116,$D229,'Val-Vol (2)'!$V$4:$V$1116,$V229)/SUMIFS('Comp2016-2017 (3)'!$G$5:$G$289,'Comp2016-2017 (3)'!$A$5:$A$289,$D229,'Comp2016-2017 (3)'!$R$5:$R$289,$V229)*$AB229))</f>
        <v/>
      </c>
      <c r="AG229" s="2" t="str">
        <f>IF($W229=AG$3,$AB229,IF(NOT($W229=0),"",SUMIFS('Val-Vol (2)'!AG$4:AG$1116,'Val-Vol (2)'!$A$4:$A$1116,$D229,'Val-Vol (2)'!$V$4:$V$1116,$V229)/SUMIFS('Comp2016-2017 (3)'!$G$5:$G$289,'Comp2016-2017 (3)'!$A$5:$A$289,$D229,'Comp2016-2017 (3)'!$R$5:$R$289,$V229)*$AB229))</f>
        <v/>
      </c>
      <c r="AH229" s="2" t="str">
        <f>IF($W229=AH$3,$AB229,IF(NOT($W229=0),"",SUMIFS('Val-Vol (2)'!AH$4:AH$1116,'Val-Vol (2)'!$A$4:$A$1116,$D229,'Val-Vol (2)'!$V$4:$V$1116,$V229)/SUMIFS('Comp2016-2017 (3)'!$G$5:$G$289,'Comp2016-2017 (3)'!$A$5:$A$289,$D229,'Comp2016-2017 (3)'!$R$5:$R$289,$V229)*$AB229))</f>
        <v/>
      </c>
      <c r="AI229" s="2" t="str">
        <f>IF($W229=AI$3,$AB229,IF(NOT($W229=0),"",SUMIFS('Val-Vol (2)'!AI$4:AI$1116,'Val-Vol (2)'!$A$4:$A$1116,$D229,'Val-Vol (2)'!$V$4:$V$1116,$V229)/SUMIFS('Comp2016-2017 (3)'!$G$5:$G$289,'Comp2016-2017 (3)'!$A$5:$A$289,$D229,'Comp2016-2017 (3)'!$R$5:$R$289,$V229)*$AB229))</f>
        <v/>
      </c>
      <c r="AJ229" s="2" t="str">
        <f>IF($W229=AJ$3,$AB229,IF(NOT($W229=0),"",SUMIFS('Val-Vol (2)'!AJ$4:AJ$1116,'Val-Vol (2)'!$A$4:$A$1116,$D229,'Val-Vol (2)'!$V$4:$V$1116,$V229)/SUMIFS('Comp2016-2017 (3)'!$G$5:$G$289,'Comp2016-2017 (3)'!$A$5:$A$289,$D229,'Comp2016-2017 (3)'!$R$5:$R$289,$V229)*$AB229))</f>
        <v/>
      </c>
      <c r="AK229" s="2">
        <f t="shared" si="23"/>
        <v>0</v>
      </c>
      <c r="AL229" t="str">
        <f t="shared" si="19"/>
        <v/>
      </c>
      <c r="AM229" t="str">
        <f>VLOOKUP(A229,'Table corresp.'!$M$4:$U$63,8,FALSE)</f>
        <v>Production intermédiaire</v>
      </c>
      <c r="AN229" t="str">
        <f>VLOOKUP(D229,'Table corresp.'!$M$4:$U$63,9,FALSE)</f>
        <v>Production finale</v>
      </c>
    </row>
    <row r="230" spans="1:40" x14ac:dyDescent="0.25">
      <c r="A230" t="s">
        <v>87</v>
      </c>
      <c r="B230" t="str">
        <f>VLOOKUP(LEFT(A230,3),'Table corresp.'!$A$4:$D$63,3,FALSE)</f>
        <v>Transformation</v>
      </c>
      <c r="C230" t="str">
        <f>VLOOKUP(A230,'Table corresp.'!$M$4:$P$63,4,FALSE)</f>
        <v>Production et transformation de produits bois</v>
      </c>
      <c r="D230" t="s">
        <v>19</v>
      </c>
      <c r="E230" t="str">
        <f>VLOOKUP(LEFT(D230,3),'Table corresp.'!$A$4:$D$63,4,FALSE)</f>
        <v>Transformation</v>
      </c>
      <c r="F230" t="str">
        <f t="shared" si="18"/>
        <v xml:space="preserve">31  - 52 </v>
      </c>
      <c r="G230" s="1">
        <v>3101.7</v>
      </c>
      <c r="H230" s="1">
        <v>1329.3</v>
      </c>
      <c r="I230" s="1">
        <v>4431</v>
      </c>
      <c r="J230" s="1">
        <v>0.39496488708078387</v>
      </c>
      <c r="K230" s="1">
        <v>0.1105049356071184</v>
      </c>
      <c r="L230" s="1">
        <v>0.5054698226879023</v>
      </c>
      <c r="M230" s="1">
        <v>4.8894145218291536</v>
      </c>
      <c r="N230" s="1">
        <v>1.5166298164832706</v>
      </c>
      <c r="O230" s="1">
        <v>6.4060443383124239</v>
      </c>
      <c r="P230" s="1">
        <v>1.8160045036848442</v>
      </c>
      <c r="Q230" s="1">
        <v>0.78895099388399337</v>
      </c>
      <c r="R230" s="1">
        <v>2.6049554975688376</v>
      </c>
      <c r="S230" s="67" t="s">
        <v>192</v>
      </c>
      <c r="T230">
        <f>VLOOKUP(A230,'Groupe de branches'!$Z$27:$AM$86,14,FALSE)</f>
        <v>0</v>
      </c>
      <c r="U230">
        <f>VLOOKUP(D230,'Groupe de branches'!$Z$27:$AM$86,14,FALSE)</f>
        <v>0</v>
      </c>
      <c r="V230">
        <v>2016</v>
      </c>
      <c r="W230" t="str">
        <f>VLOOKUP(D230,'Table corresp.'!$M$4:$S$63,7,FALSE)</f>
        <v>Construction</v>
      </c>
      <c r="X230" s="167">
        <f>IFERROR(G230/SUMIFS('Comp2016-2017 (3)'!$I$5:$I$289,'Comp2016-2017 (3)'!$A$5:$A$289,A230,'Comp2016-2017 (3)'!$R$5:$R$289,V230),0)</f>
        <v>1.9294303289864956E-3</v>
      </c>
      <c r="Y230" s="178">
        <f>IFERROR(IF(RIGHT(F230,3)="Exp",VLOOKUP(F230,#REF!,2,FALSE),VLOOKUP(F230,#REF!,9,FALSE)),1)</f>
        <v>1</v>
      </c>
      <c r="Z230" s="167">
        <f t="shared" si="24"/>
        <v>5.8823529411764705E-2</v>
      </c>
      <c r="AA230" s="189">
        <f t="shared" si="21"/>
        <v>1.1349590170508798E-4</v>
      </c>
      <c r="AB230" s="2">
        <f>IFERROR(SUMIFS('Comp2016-2017 (3)'!$G$5:$G$289,'Comp2016-2017 (3)'!$A$5:$A$289,A230,'Comp2016-2017 (3)'!$R$5:$R$289,V230)*AA230/SUMIFS($AA$4:$AA$1116,$A$4:$A$1116,A230,$V$4:$V$1116,V230),0)</f>
        <v>806.44200010531154</v>
      </c>
      <c r="AC230" s="2" t="str">
        <f>IF($W230=AC$3,$AB230,IF(NOT($W230=0),"",SUMIFS('Val-Vol (2)'!AC$4:AC$1116,'Val-Vol (2)'!$A$4:$A$1116,$D230,'Val-Vol (2)'!$V$4:$V$1116,$V230)/SUMIFS('Comp2016-2017 (3)'!$G$5:$G$289,'Comp2016-2017 (3)'!$A$5:$A$289,$D230,'Comp2016-2017 (3)'!$R$5:$R$289,$V230)*$AB230))</f>
        <v/>
      </c>
      <c r="AD230" s="2">
        <f>IF($W230=AD$3,$AB230,IF(NOT($W230=0),"",SUMIFS('Val-Vol (2)'!AD$4:AD$1116,'Val-Vol (2)'!$A$4:$A$1116,$D230,'Val-Vol (2)'!$V$4:$V$1116,$V230)/SUMIFS('Comp2016-2017 (3)'!$G$5:$G$289,'Comp2016-2017 (3)'!$A$5:$A$289,$D230,'Comp2016-2017 (3)'!$R$5:$R$289,$V230)*$AB230))</f>
        <v>806.44200010531154</v>
      </c>
      <c r="AE230" s="2" t="str">
        <f>IF($W230=AE$3,$AB230,IF(NOT($W230=0),"",SUMIFS('Val-Vol (2)'!AE$4:AE$1116,'Val-Vol (2)'!$A$4:$A$1116,$D230,'Val-Vol (2)'!$V$4:$V$1116,$V230)/SUMIFS('Comp2016-2017 (3)'!$G$5:$G$289,'Comp2016-2017 (3)'!$A$5:$A$289,$D230,'Comp2016-2017 (3)'!$R$5:$R$289,$V230)*$AB230))</f>
        <v/>
      </c>
      <c r="AF230" s="2" t="str">
        <f>IF($W230=AF$3,$AB230,IF(NOT($W230=0),"",SUMIFS('Val-Vol (2)'!AF$4:AF$1116,'Val-Vol (2)'!$A$4:$A$1116,$D230,'Val-Vol (2)'!$V$4:$V$1116,$V230)/SUMIFS('Comp2016-2017 (3)'!$G$5:$G$289,'Comp2016-2017 (3)'!$A$5:$A$289,$D230,'Comp2016-2017 (3)'!$R$5:$R$289,$V230)*$AB230))</f>
        <v/>
      </c>
      <c r="AG230" s="2" t="str">
        <f>IF($W230=AG$3,$AB230,IF(NOT($W230=0),"",SUMIFS('Val-Vol (2)'!AG$4:AG$1116,'Val-Vol (2)'!$A$4:$A$1116,$D230,'Val-Vol (2)'!$V$4:$V$1116,$V230)/SUMIFS('Comp2016-2017 (3)'!$G$5:$G$289,'Comp2016-2017 (3)'!$A$5:$A$289,$D230,'Comp2016-2017 (3)'!$R$5:$R$289,$V230)*$AB230))</f>
        <v/>
      </c>
      <c r="AH230" s="2" t="str">
        <f>IF($W230=AH$3,$AB230,IF(NOT($W230=0),"",SUMIFS('Val-Vol (2)'!AH$4:AH$1116,'Val-Vol (2)'!$A$4:$A$1116,$D230,'Val-Vol (2)'!$V$4:$V$1116,$V230)/SUMIFS('Comp2016-2017 (3)'!$G$5:$G$289,'Comp2016-2017 (3)'!$A$5:$A$289,$D230,'Comp2016-2017 (3)'!$R$5:$R$289,$V230)*$AB230))</f>
        <v/>
      </c>
      <c r="AI230" s="2" t="str">
        <f>IF($W230=AI$3,$AB230,IF(NOT($W230=0),"",SUMIFS('Val-Vol (2)'!AI$4:AI$1116,'Val-Vol (2)'!$A$4:$A$1116,$D230,'Val-Vol (2)'!$V$4:$V$1116,$V230)/SUMIFS('Comp2016-2017 (3)'!$G$5:$G$289,'Comp2016-2017 (3)'!$A$5:$A$289,$D230,'Comp2016-2017 (3)'!$R$5:$R$289,$V230)*$AB230))</f>
        <v/>
      </c>
      <c r="AJ230" s="2" t="str">
        <f>IF($W230=AJ$3,$AB230,IF(NOT($W230=0),"",SUMIFS('Val-Vol (2)'!AJ$4:AJ$1116,'Val-Vol (2)'!$A$4:$A$1116,$D230,'Val-Vol (2)'!$V$4:$V$1116,$V230)/SUMIFS('Comp2016-2017 (3)'!$G$5:$G$289,'Comp2016-2017 (3)'!$A$5:$A$289,$D230,'Comp2016-2017 (3)'!$R$5:$R$289,$V230)*$AB230))</f>
        <v/>
      </c>
      <c r="AK230" s="2">
        <f t="shared" si="23"/>
        <v>0</v>
      </c>
      <c r="AL230" t="str">
        <f t="shared" si="19"/>
        <v/>
      </c>
      <c r="AM230" t="str">
        <f>VLOOKUP(A230,'Table corresp.'!$M$4:$U$63,8,FALSE)</f>
        <v>Production intermédiaire</v>
      </c>
      <c r="AN230" t="str">
        <f>VLOOKUP(D230,'Table corresp.'!$M$4:$U$63,9,FALSE)</f>
        <v xml:space="preserve">Mise en œuvre </v>
      </c>
    </row>
    <row r="231" spans="1:40" x14ac:dyDescent="0.25">
      <c r="A231" t="s">
        <v>87</v>
      </c>
      <c r="B231" t="str">
        <f>VLOOKUP(LEFT(A231,3),'Table corresp.'!$A$4:$D$63,3,FALSE)</f>
        <v>Transformation</v>
      </c>
      <c r="C231" t="str">
        <f>VLOOKUP(A231,'Table corresp.'!$M$4:$P$63,4,FALSE)</f>
        <v>Production et transformation de produits bois</v>
      </c>
      <c r="D231" t="s">
        <v>20</v>
      </c>
      <c r="E231" t="str">
        <f>VLOOKUP(LEFT(D231,3),'Table corresp.'!$A$4:$D$63,4,FALSE)</f>
        <v>Transformation</v>
      </c>
      <c r="F231" t="str">
        <f t="shared" si="18"/>
        <v xml:space="preserve">31  - 53 </v>
      </c>
      <c r="G231" s="1">
        <v>4940</v>
      </c>
      <c r="H231" s="1">
        <v>8910</v>
      </c>
      <c r="I231" s="1">
        <v>13850</v>
      </c>
      <c r="J231" s="1">
        <v>2.8046846295412498</v>
      </c>
      <c r="K231" s="1">
        <v>3.3024386829790568</v>
      </c>
      <c r="L231" s="1">
        <v>6.1071233125203062</v>
      </c>
      <c r="M231" s="1">
        <v>34.720214898559256</v>
      </c>
      <c r="N231" s="1">
        <v>45.324463981599237</v>
      </c>
      <c r="O231" s="1">
        <v>80.0446788801585</v>
      </c>
      <c r="P231" s="1">
        <v>2.8923049450956348</v>
      </c>
      <c r="Q231" s="1">
        <v>5.2881617057897996</v>
      </c>
      <c r="R231" s="1">
        <v>8.1804666508854353</v>
      </c>
      <c r="S231" s="67" t="s">
        <v>192</v>
      </c>
      <c r="T231">
        <f>VLOOKUP(A231,'Groupe de branches'!$Z$27:$AM$86,14,FALSE)</f>
        <v>0</v>
      </c>
      <c r="U231">
        <f>VLOOKUP(D231,'Groupe de branches'!$Z$27:$AM$86,14,FALSE)</f>
        <v>0</v>
      </c>
      <c r="V231">
        <v>2016</v>
      </c>
      <c r="W231" t="str">
        <f>VLOOKUP(D231,'Table corresp.'!$M$4:$S$63,7,FALSE)</f>
        <v>Construction</v>
      </c>
      <c r="X231" s="167">
        <f>IFERROR(G231/SUMIFS('Comp2016-2017 (3)'!$I$5:$I$289,'Comp2016-2017 (3)'!$A$5:$A$289,A231,'Comp2016-2017 (3)'!$R$5:$R$289,V231),0)</f>
        <v>3.0729554196709192E-3</v>
      </c>
      <c r="Y231" s="178">
        <f>IFERROR(IF(RIGHT(F231,3)="Exp",VLOOKUP(F231,#REF!,2,FALSE),VLOOKUP(F231,#REF!,9,FALSE)),1)</f>
        <v>1</v>
      </c>
      <c r="Z231" s="167">
        <f t="shared" si="24"/>
        <v>5.8823529411764705E-2</v>
      </c>
      <c r="AA231" s="189">
        <f t="shared" si="21"/>
        <v>1.8076208351005407E-4</v>
      </c>
      <c r="AB231" s="2">
        <f>IFERROR(SUMIFS('Comp2016-2017 (3)'!$G$5:$G$289,'Comp2016-2017 (3)'!$A$5:$A$289,A231,'Comp2016-2017 (3)'!$R$5:$R$289,V231)*AA231/SUMIFS($AA$4:$AA$1116,$A$4:$A$1116,A231,$V$4:$V$1116,V231),0)</f>
        <v>1284.4000001677273</v>
      </c>
      <c r="AC231" s="2" t="str">
        <f>IF($W231=AC$3,$AB231,IF(NOT($W231=0),"",SUMIFS('Val-Vol (2)'!AC$4:AC$1116,'Val-Vol (2)'!$A$4:$A$1116,$D231,'Val-Vol (2)'!$V$4:$V$1116,$V231)/SUMIFS('Comp2016-2017 (3)'!$G$5:$G$289,'Comp2016-2017 (3)'!$A$5:$A$289,$D231,'Comp2016-2017 (3)'!$R$5:$R$289,$V231)*$AB231))</f>
        <v/>
      </c>
      <c r="AD231" s="2">
        <f>IF($W231=AD$3,$AB231,IF(NOT($W231=0),"",SUMIFS('Val-Vol (2)'!AD$4:AD$1116,'Val-Vol (2)'!$A$4:$A$1116,$D231,'Val-Vol (2)'!$V$4:$V$1116,$V231)/SUMIFS('Comp2016-2017 (3)'!$G$5:$G$289,'Comp2016-2017 (3)'!$A$5:$A$289,$D231,'Comp2016-2017 (3)'!$R$5:$R$289,$V231)*$AB231))</f>
        <v>1284.4000001677273</v>
      </c>
      <c r="AE231" s="2" t="str">
        <f>IF($W231=AE$3,$AB231,IF(NOT($W231=0),"",SUMIFS('Val-Vol (2)'!AE$4:AE$1116,'Val-Vol (2)'!$A$4:$A$1116,$D231,'Val-Vol (2)'!$V$4:$V$1116,$V231)/SUMIFS('Comp2016-2017 (3)'!$G$5:$G$289,'Comp2016-2017 (3)'!$A$5:$A$289,$D231,'Comp2016-2017 (3)'!$R$5:$R$289,$V231)*$AB231))</f>
        <v/>
      </c>
      <c r="AF231" s="2" t="str">
        <f>IF($W231=AF$3,$AB231,IF(NOT($W231=0),"",SUMIFS('Val-Vol (2)'!AF$4:AF$1116,'Val-Vol (2)'!$A$4:$A$1116,$D231,'Val-Vol (2)'!$V$4:$V$1116,$V231)/SUMIFS('Comp2016-2017 (3)'!$G$5:$G$289,'Comp2016-2017 (3)'!$A$5:$A$289,$D231,'Comp2016-2017 (3)'!$R$5:$R$289,$V231)*$AB231))</f>
        <v/>
      </c>
      <c r="AG231" s="2" t="str">
        <f>IF($W231=AG$3,$AB231,IF(NOT($W231=0),"",SUMIFS('Val-Vol (2)'!AG$4:AG$1116,'Val-Vol (2)'!$A$4:$A$1116,$D231,'Val-Vol (2)'!$V$4:$V$1116,$V231)/SUMIFS('Comp2016-2017 (3)'!$G$5:$G$289,'Comp2016-2017 (3)'!$A$5:$A$289,$D231,'Comp2016-2017 (3)'!$R$5:$R$289,$V231)*$AB231))</f>
        <v/>
      </c>
      <c r="AH231" s="2" t="str">
        <f>IF($W231=AH$3,$AB231,IF(NOT($W231=0),"",SUMIFS('Val-Vol (2)'!AH$4:AH$1116,'Val-Vol (2)'!$A$4:$A$1116,$D231,'Val-Vol (2)'!$V$4:$V$1116,$V231)/SUMIFS('Comp2016-2017 (3)'!$G$5:$G$289,'Comp2016-2017 (3)'!$A$5:$A$289,$D231,'Comp2016-2017 (3)'!$R$5:$R$289,$V231)*$AB231))</f>
        <v/>
      </c>
      <c r="AI231" s="2" t="str">
        <f>IF($W231=AI$3,$AB231,IF(NOT($W231=0),"",SUMIFS('Val-Vol (2)'!AI$4:AI$1116,'Val-Vol (2)'!$A$4:$A$1116,$D231,'Val-Vol (2)'!$V$4:$V$1116,$V231)/SUMIFS('Comp2016-2017 (3)'!$G$5:$G$289,'Comp2016-2017 (3)'!$A$5:$A$289,$D231,'Comp2016-2017 (3)'!$R$5:$R$289,$V231)*$AB231))</f>
        <v/>
      </c>
      <c r="AJ231" s="2" t="str">
        <f>IF($W231=AJ$3,$AB231,IF(NOT($W231=0),"",SUMIFS('Val-Vol (2)'!AJ$4:AJ$1116,'Val-Vol (2)'!$A$4:$A$1116,$D231,'Val-Vol (2)'!$V$4:$V$1116,$V231)/SUMIFS('Comp2016-2017 (3)'!$G$5:$G$289,'Comp2016-2017 (3)'!$A$5:$A$289,$D231,'Comp2016-2017 (3)'!$R$5:$R$289,$V231)*$AB231))</f>
        <v/>
      </c>
      <c r="AK231" s="2">
        <f t="shared" si="23"/>
        <v>0</v>
      </c>
      <c r="AL231" t="str">
        <f t="shared" si="19"/>
        <v/>
      </c>
      <c r="AM231" t="str">
        <f>VLOOKUP(A231,'Table corresp.'!$M$4:$U$63,8,FALSE)</f>
        <v>Production intermédiaire</v>
      </c>
      <c r="AN231" t="str">
        <f>VLOOKUP(D231,'Table corresp.'!$M$4:$U$63,9,FALSE)</f>
        <v xml:space="preserve">Mise en œuvre </v>
      </c>
    </row>
    <row r="232" spans="1:40" x14ac:dyDescent="0.25">
      <c r="A232" t="s">
        <v>87</v>
      </c>
      <c r="B232" t="str">
        <f>VLOOKUP(LEFT(A232,3),'Table corresp.'!$A$4:$D$63,3,FALSE)</f>
        <v>Transformation</v>
      </c>
      <c r="C232" t="str">
        <f>VLOOKUP(A232,'Table corresp.'!$M$4:$P$63,4,FALSE)</f>
        <v>Production et transformation de produits bois</v>
      </c>
      <c r="D232" t="s">
        <v>21</v>
      </c>
      <c r="E232" t="str">
        <f>VLOOKUP(LEFT(D232,3),'Table corresp.'!$A$4:$D$63,4,FALSE)</f>
        <v>Transformation</v>
      </c>
      <c r="F232" t="str">
        <f t="shared" si="18"/>
        <v xml:space="preserve">31  - 54 </v>
      </c>
      <c r="G232" s="1">
        <v>117870.15955829865</v>
      </c>
      <c r="H232" s="1">
        <v>349328.63750000001</v>
      </c>
      <c r="I232" s="1">
        <v>467198.79705829866</v>
      </c>
      <c r="J232" s="1">
        <v>26.229925902920602</v>
      </c>
      <c r="K232" s="1">
        <v>50.748984400155024</v>
      </c>
      <c r="L232" s="1">
        <v>76.978910303075622</v>
      </c>
      <c r="M232" s="1">
        <v>282.74904567359653</v>
      </c>
      <c r="N232" s="1">
        <v>606.50024885406037</v>
      </c>
      <c r="O232" s="1">
        <v>889.24929452765696</v>
      </c>
      <c r="P232" s="1">
        <v>69.011426188194079</v>
      </c>
      <c r="Q232" s="1">
        <v>207.32955371079984</v>
      </c>
      <c r="R232" s="1">
        <v>276.34097989899391</v>
      </c>
      <c r="S232" s="67" t="s">
        <v>192</v>
      </c>
      <c r="T232">
        <f>VLOOKUP(A232,'Groupe de branches'!$Z$27:$AM$86,14,FALSE)</f>
        <v>0</v>
      </c>
      <c r="U232">
        <f>VLOOKUP(D232,'Groupe de branches'!$Z$27:$AM$86,14,FALSE)</f>
        <v>0</v>
      </c>
      <c r="V232">
        <v>2016</v>
      </c>
      <c r="W232" t="str">
        <f>VLOOKUP(D232,'Table corresp.'!$M$4:$S$63,7,FALSE)</f>
        <v>Construction</v>
      </c>
      <c r="X232" s="167">
        <f>IFERROR(G232/SUMIFS('Comp2016-2017 (3)'!$I$5:$I$289,'Comp2016-2017 (3)'!$A$5:$A$289,A232,'Comp2016-2017 (3)'!$R$5:$R$289,V232),0)</f>
        <v>7.3321810856710481E-2</v>
      </c>
      <c r="Y232" s="178">
        <f>IFERROR(IF(RIGHT(F232,3)="Exp",VLOOKUP(F232,#REF!,2,FALSE),VLOOKUP(F232,#REF!,9,FALSE)),1)</f>
        <v>1</v>
      </c>
      <c r="Z232" s="167">
        <f t="shared" si="24"/>
        <v>5.8823529411764705E-2</v>
      </c>
      <c r="AA232" s="189">
        <f t="shared" si="21"/>
        <v>4.313047697453558E-3</v>
      </c>
      <c r="AB232" s="2">
        <f>IFERROR(SUMIFS('Comp2016-2017 (3)'!$G$5:$G$289,'Comp2016-2017 (3)'!$A$5:$A$289,A232,'Comp2016-2017 (3)'!$R$5:$R$289,V232)*AA232/SUMIFS($AA$4:$AA$1116,$A$4:$A$1116,A232,$V$4:$V$1116,V232),0)</f>
        <v>30646.241489159682</v>
      </c>
      <c r="AC232" s="2" t="str">
        <f>IF($W232=AC$3,$AB232,IF(NOT($W232=0),"",SUMIFS('Val-Vol (2)'!AC$4:AC$1116,'Val-Vol (2)'!$A$4:$A$1116,$D232,'Val-Vol (2)'!$V$4:$V$1116,$V232)/SUMIFS('Comp2016-2017 (3)'!$G$5:$G$289,'Comp2016-2017 (3)'!$A$5:$A$289,$D232,'Comp2016-2017 (3)'!$R$5:$R$289,$V232)*$AB232))</f>
        <v/>
      </c>
      <c r="AD232" s="2">
        <f>IF($W232=AD$3,$AB232,IF(NOT($W232=0),"",SUMIFS('Val-Vol (2)'!AD$4:AD$1116,'Val-Vol (2)'!$A$4:$A$1116,$D232,'Val-Vol (2)'!$V$4:$V$1116,$V232)/SUMIFS('Comp2016-2017 (3)'!$G$5:$G$289,'Comp2016-2017 (3)'!$A$5:$A$289,$D232,'Comp2016-2017 (3)'!$R$5:$R$289,$V232)*$AB232))</f>
        <v>30646.241489159682</v>
      </c>
      <c r="AE232" s="2" t="str">
        <f>IF($W232=AE$3,$AB232,IF(NOT($W232=0),"",SUMIFS('Val-Vol (2)'!AE$4:AE$1116,'Val-Vol (2)'!$A$4:$A$1116,$D232,'Val-Vol (2)'!$V$4:$V$1116,$V232)/SUMIFS('Comp2016-2017 (3)'!$G$5:$G$289,'Comp2016-2017 (3)'!$A$5:$A$289,$D232,'Comp2016-2017 (3)'!$R$5:$R$289,$V232)*$AB232))</f>
        <v/>
      </c>
      <c r="AF232" s="2" t="str">
        <f>IF($W232=AF$3,$AB232,IF(NOT($W232=0),"",SUMIFS('Val-Vol (2)'!AF$4:AF$1116,'Val-Vol (2)'!$A$4:$A$1116,$D232,'Val-Vol (2)'!$V$4:$V$1116,$V232)/SUMIFS('Comp2016-2017 (3)'!$G$5:$G$289,'Comp2016-2017 (3)'!$A$5:$A$289,$D232,'Comp2016-2017 (3)'!$R$5:$R$289,$V232)*$AB232))</f>
        <v/>
      </c>
      <c r="AG232" s="2" t="str">
        <f>IF($W232=AG$3,$AB232,IF(NOT($W232=0),"",SUMIFS('Val-Vol (2)'!AG$4:AG$1116,'Val-Vol (2)'!$A$4:$A$1116,$D232,'Val-Vol (2)'!$V$4:$V$1116,$V232)/SUMIFS('Comp2016-2017 (3)'!$G$5:$G$289,'Comp2016-2017 (3)'!$A$5:$A$289,$D232,'Comp2016-2017 (3)'!$R$5:$R$289,$V232)*$AB232))</f>
        <v/>
      </c>
      <c r="AH232" s="2" t="str">
        <f>IF($W232=AH$3,$AB232,IF(NOT($W232=0),"",SUMIFS('Val-Vol (2)'!AH$4:AH$1116,'Val-Vol (2)'!$A$4:$A$1116,$D232,'Val-Vol (2)'!$V$4:$V$1116,$V232)/SUMIFS('Comp2016-2017 (3)'!$G$5:$G$289,'Comp2016-2017 (3)'!$A$5:$A$289,$D232,'Comp2016-2017 (3)'!$R$5:$R$289,$V232)*$AB232))</f>
        <v/>
      </c>
      <c r="AI232" s="2" t="str">
        <f>IF($W232=AI$3,$AB232,IF(NOT($W232=0),"",SUMIFS('Val-Vol (2)'!AI$4:AI$1116,'Val-Vol (2)'!$A$4:$A$1116,$D232,'Val-Vol (2)'!$V$4:$V$1116,$V232)/SUMIFS('Comp2016-2017 (3)'!$G$5:$G$289,'Comp2016-2017 (3)'!$A$5:$A$289,$D232,'Comp2016-2017 (3)'!$R$5:$R$289,$V232)*$AB232))</f>
        <v/>
      </c>
      <c r="AJ232" s="2" t="str">
        <f>IF($W232=AJ$3,$AB232,IF(NOT($W232=0),"",SUMIFS('Val-Vol (2)'!AJ$4:AJ$1116,'Val-Vol (2)'!$A$4:$A$1116,$D232,'Val-Vol (2)'!$V$4:$V$1116,$V232)/SUMIFS('Comp2016-2017 (3)'!$G$5:$G$289,'Comp2016-2017 (3)'!$A$5:$A$289,$D232,'Comp2016-2017 (3)'!$R$5:$R$289,$V232)*$AB232))</f>
        <v/>
      </c>
      <c r="AK232" s="2">
        <f t="shared" si="23"/>
        <v>0</v>
      </c>
      <c r="AL232" t="str">
        <f t="shared" si="19"/>
        <v/>
      </c>
      <c r="AM232" t="str">
        <f>VLOOKUP(A232,'Table corresp.'!$M$4:$U$63,8,FALSE)</f>
        <v>Production intermédiaire</v>
      </c>
      <c r="AN232" t="str">
        <f>VLOOKUP(D232,'Table corresp.'!$M$4:$U$63,9,FALSE)</f>
        <v xml:space="preserve">Mise en œuvre </v>
      </c>
    </row>
    <row r="233" spans="1:40" x14ac:dyDescent="0.25">
      <c r="A233" t="s">
        <v>87</v>
      </c>
      <c r="B233" t="str">
        <f>VLOOKUP(LEFT(A233,3),'Table corresp.'!$A$4:$D$63,3,FALSE)</f>
        <v>Transformation</v>
      </c>
      <c r="C233" t="str">
        <f>VLOOKUP(A233,'Table corresp.'!$M$4:$P$63,4,FALSE)</f>
        <v>Production et transformation de produits bois</v>
      </c>
      <c r="D233" t="s">
        <v>22</v>
      </c>
      <c r="E233" t="str">
        <f>VLOOKUP(LEFT(D233,3),'Table corresp.'!$A$4:$D$63,4,FALSE)</f>
        <v>Transformation</v>
      </c>
      <c r="F233" t="str">
        <f t="shared" si="18"/>
        <v xml:space="preserve">31  - 55 </v>
      </c>
      <c r="G233" s="1">
        <v>35155.752752339235</v>
      </c>
      <c r="H233" s="1">
        <v>26713.75</v>
      </c>
      <c r="I233" s="1">
        <v>61869.502752339235</v>
      </c>
      <c r="J233" s="1">
        <v>6.2658419970306634</v>
      </c>
      <c r="K233" s="1">
        <v>3.108263784334707</v>
      </c>
      <c r="L233" s="1">
        <v>9.3741057813653708</v>
      </c>
      <c r="M233" s="1">
        <v>86.206298068217706</v>
      </c>
      <c r="N233" s="1">
        <v>47.410765619425405</v>
      </c>
      <c r="O233" s="1">
        <v>133.61706368764311</v>
      </c>
      <c r="P233" s="1">
        <v>20.583230270070903</v>
      </c>
      <c r="Q233" s="1">
        <v>15.854840602473878</v>
      </c>
      <c r="R233" s="1">
        <v>36.438070872544785</v>
      </c>
      <c r="S233" s="67" t="s">
        <v>192</v>
      </c>
      <c r="T233">
        <f>VLOOKUP(A233,'Groupe de branches'!$Z$27:$AM$86,14,FALSE)</f>
        <v>0</v>
      </c>
      <c r="U233">
        <f>VLOOKUP(D233,'Groupe de branches'!$Z$27:$AM$86,14,FALSE)</f>
        <v>0</v>
      </c>
      <c r="V233">
        <v>2016</v>
      </c>
      <c r="W233" t="str">
        <f>VLOOKUP(D233,'Table corresp.'!$M$4:$S$63,7,FALSE)</f>
        <v>Construction</v>
      </c>
      <c r="X233" s="167">
        <f>IFERROR(G233/SUMIFS('Comp2016-2017 (3)'!$I$5:$I$289,'Comp2016-2017 (3)'!$A$5:$A$289,A233,'Comp2016-2017 (3)'!$R$5:$R$289,V233),0)</f>
        <v>2.1868838249577263E-2</v>
      </c>
      <c r="Y233" s="178">
        <f>IFERROR(IF(RIGHT(F233,3)="Exp",VLOOKUP(F233,#REF!,2,FALSE),VLOOKUP(F233,#REF!,9,FALSE)),1)</f>
        <v>1</v>
      </c>
      <c r="Z233" s="167">
        <f t="shared" si="24"/>
        <v>5.8823529411764705E-2</v>
      </c>
      <c r="AA233" s="189">
        <f t="shared" si="21"/>
        <v>1.2864022499751331E-3</v>
      </c>
      <c r="AB233" s="2">
        <f>IFERROR(SUMIFS('Comp2016-2017 (3)'!$G$5:$G$289,'Comp2016-2017 (3)'!$A$5:$A$289,A233,'Comp2016-2017 (3)'!$R$5:$R$289,V233)*AA233/SUMIFS($AA$4:$AA$1116,$A$4:$A$1116,A233,$V$4:$V$1116,V233),0)</f>
        <v>9140.4957168018391</v>
      </c>
      <c r="AC233" s="2" t="str">
        <f>IF($W233=AC$3,$AB233,IF(NOT($W233=0),"",SUMIFS('Val-Vol (2)'!AC$4:AC$1116,'Val-Vol (2)'!$A$4:$A$1116,$D233,'Val-Vol (2)'!$V$4:$V$1116,$V233)/SUMIFS('Comp2016-2017 (3)'!$G$5:$G$289,'Comp2016-2017 (3)'!$A$5:$A$289,$D233,'Comp2016-2017 (3)'!$R$5:$R$289,$V233)*$AB233))</f>
        <v/>
      </c>
      <c r="AD233" s="2">
        <f>IF($W233=AD$3,$AB233,IF(NOT($W233=0),"",SUMIFS('Val-Vol (2)'!AD$4:AD$1116,'Val-Vol (2)'!$A$4:$A$1116,$D233,'Val-Vol (2)'!$V$4:$V$1116,$V233)/SUMIFS('Comp2016-2017 (3)'!$G$5:$G$289,'Comp2016-2017 (3)'!$A$5:$A$289,$D233,'Comp2016-2017 (3)'!$R$5:$R$289,$V233)*$AB233))</f>
        <v>9140.4957168018391</v>
      </c>
      <c r="AE233" s="2" t="str">
        <f>IF($W233=AE$3,$AB233,IF(NOT($W233=0),"",SUMIFS('Val-Vol (2)'!AE$4:AE$1116,'Val-Vol (2)'!$A$4:$A$1116,$D233,'Val-Vol (2)'!$V$4:$V$1116,$V233)/SUMIFS('Comp2016-2017 (3)'!$G$5:$G$289,'Comp2016-2017 (3)'!$A$5:$A$289,$D233,'Comp2016-2017 (3)'!$R$5:$R$289,$V233)*$AB233))</f>
        <v/>
      </c>
      <c r="AF233" s="2" t="str">
        <f>IF($W233=AF$3,$AB233,IF(NOT($W233=0),"",SUMIFS('Val-Vol (2)'!AF$4:AF$1116,'Val-Vol (2)'!$A$4:$A$1116,$D233,'Val-Vol (2)'!$V$4:$V$1116,$V233)/SUMIFS('Comp2016-2017 (3)'!$G$5:$G$289,'Comp2016-2017 (3)'!$A$5:$A$289,$D233,'Comp2016-2017 (3)'!$R$5:$R$289,$V233)*$AB233))</f>
        <v/>
      </c>
      <c r="AG233" s="2" t="str">
        <f>IF($W233=AG$3,$AB233,IF(NOT($W233=0),"",SUMIFS('Val-Vol (2)'!AG$4:AG$1116,'Val-Vol (2)'!$A$4:$A$1116,$D233,'Val-Vol (2)'!$V$4:$V$1116,$V233)/SUMIFS('Comp2016-2017 (3)'!$G$5:$G$289,'Comp2016-2017 (3)'!$A$5:$A$289,$D233,'Comp2016-2017 (3)'!$R$5:$R$289,$V233)*$AB233))</f>
        <v/>
      </c>
      <c r="AH233" s="2" t="str">
        <f>IF($W233=AH$3,$AB233,IF(NOT($W233=0),"",SUMIFS('Val-Vol (2)'!AH$4:AH$1116,'Val-Vol (2)'!$A$4:$A$1116,$D233,'Val-Vol (2)'!$V$4:$V$1116,$V233)/SUMIFS('Comp2016-2017 (3)'!$G$5:$G$289,'Comp2016-2017 (3)'!$A$5:$A$289,$D233,'Comp2016-2017 (3)'!$R$5:$R$289,$V233)*$AB233))</f>
        <v/>
      </c>
      <c r="AI233" s="2" t="str">
        <f>IF($W233=AI$3,$AB233,IF(NOT($W233=0),"",SUMIFS('Val-Vol (2)'!AI$4:AI$1116,'Val-Vol (2)'!$A$4:$A$1116,$D233,'Val-Vol (2)'!$V$4:$V$1116,$V233)/SUMIFS('Comp2016-2017 (3)'!$G$5:$G$289,'Comp2016-2017 (3)'!$A$5:$A$289,$D233,'Comp2016-2017 (3)'!$R$5:$R$289,$V233)*$AB233))</f>
        <v/>
      </c>
      <c r="AJ233" s="2" t="str">
        <f>IF($W233=AJ$3,$AB233,IF(NOT($W233=0),"",SUMIFS('Val-Vol (2)'!AJ$4:AJ$1116,'Val-Vol (2)'!$A$4:$A$1116,$D233,'Val-Vol (2)'!$V$4:$V$1116,$V233)/SUMIFS('Comp2016-2017 (3)'!$G$5:$G$289,'Comp2016-2017 (3)'!$A$5:$A$289,$D233,'Comp2016-2017 (3)'!$R$5:$R$289,$V233)*$AB233))</f>
        <v/>
      </c>
      <c r="AK233" s="2">
        <f t="shared" si="23"/>
        <v>0</v>
      </c>
      <c r="AL233" t="str">
        <f t="shared" si="19"/>
        <v/>
      </c>
      <c r="AM233" t="str">
        <f>VLOOKUP(A233,'Table corresp.'!$M$4:$U$63,8,FALSE)</f>
        <v>Production intermédiaire</v>
      </c>
      <c r="AN233" t="str">
        <f>VLOOKUP(D233,'Table corresp.'!$M$4:$U$63,9,FALSE)</f>
        <v xml:space="preserve">Mise en œuvre </v>
      </c>
    </row>
    <row r="234" spans="1:40" x14ac:dyDescent="0.25">
      <c r="A234" t="s">
        <v>87</v>
      </c>
      <c r="B234" t="str">
        <f>VLOOKUP(LEFT(A234,3),'Table corresp.'!$A$4:$D$63,3,FALSE)</f>
        <v>Transformation</v>
      </c>
      <c r="C234" t="str">
        <f>VLOOKUP(A234,'Table corresp.'!$M$4:$P$63,4,FALSE)</f>
        <v>Production et transformation de produits bois</v>
      </c>
      <c r="D234" t="s">
        <v>24</v>
      </c>
      <c r="E234" t="str">
        <f>VLOOKUP(LEFT(D234,3),'Table corresp.'!$A$4:$D$63,4,FALSE)</f>
        <v>Transformation</v>
      </c>
      <c r="F234" t="str">
        <f t="shared" si="18"/>
        <v xml:space="preserve">31  - 57 </v>
      </c>
      <c r="G234" s="1">
        <v>10007.630999999994</v>
      </c>
      <c r="H234" s="1">
        <v>33358.770000000004</v>
      </c>
      <c r="I234" s="1">
        <v>43366.400999999998</v>
      </c>
      <c r="J234" s="1">
        <v>3.0252048525033084</v>
      </c>
      <c r="K234" s="1">
        <v>6.5831463012809595</v>
      </c>
      <c r="L234" s="1">
        <v>9.6083511537842679</v>
      </c>
      <c r="M234" s="1">
        <v>36.809942330931754</v>
      </c>
      <c r="N234" s="1">
        <v>88.806222965082767</v>
      </c>
      <c r="O234" s="1">
        <v>125.61616529601451</v>
      </c>
      <c r="P234" s="1">
        <v>5.8593361599174809</v>
      </c>
      <c r="Q234" s="1">
        <v>19.798717179152593</v>
      </c>
      <c r="R234" s="1">
        <v>25.658053339070072</v>
      </c>
      <c r="S234" s="67" t="s">
        <v>192</v>
      </c>
      <c r="T234">
        <f>VLOOKUP(A234,'Groupe de branches'!$Z$27:$AM$86,14,FALSE)</f>
        <v>0</v>
      </c>
      <c r="U234">
        <f>VLOOKUP(D234,'Groupe de branches'!$Z$27:$AM$86,14,FALSE)</f>
        <v>0</v>
      </c>
      <c r="V234">
        <v>2016</v>
      </c>
      <c r="W234" t="str">
        <f>VLOOKUP(D234,'Table corresp.'!$M$4:$S$63,7,FALSE)</f>
        <v>Construction</v>
      </c>
      <c r="X234" s="167">
        <f>IFERROR(G234/SUMIFS('Comp2016-2017 (3)'!$I$5:$I$289,'Comp2016-2017 (3)'!$A$5:$A$289,A234,'Comp2016-2017 (3)'!$R$5:$R$289,V234),0)</f>
        <v>6.2253044371491251E-3</v>
      </c>
      <c r="Y234" s="178">
        <f>IFERROR(IF(RIGHT(F234,3)="Exp",VLOOKUP(F234,#REF!,2,FALSE),VLOOKUP(F234,#REF!,9,FALSE)),1)</f>
        <v>1</v>
      </c>
      <c r="Z234" s="167">
        <f t="shared" si="24"/>
        <v>5.8823529411764705E-2</v>
      </c>
      <c r="AA234" s="189">
        <f t="shared" si="21"/>
        <v>3.6619437865583089E-4</v>
      </c>
      <c r="AB234" s="2">
        <f>IFERROR(SUMIFS('Comp2016-2017 (3)'!$G$5:$G$289,'Comp2016-2017 (3)'!$A$5:$A$289,A234,'Comp2016-2017 (3)'!$R$5:$R$289,V234)*AA234/SUMIFS($AA$4:$AA$1116,$A$4:$A$1116,A234,$V$4:$V$1116,V234),0)</f>
        <v>2601.9840603397861</v>
      </c>
      <c r="AC234" s="2" t="str">
        <f>IF($W234=AC$3,$AB234,IF(NOT($W234=0),"",SUMIFS('Val-Vol (2)'!AC$4:AC$1116,'Val-Vol (2)'!$A$4:$A$1116,$D234,'Val-Vol (2)'!$V$4:$V$1116,$V234)/SUMIFS('Comp2016-2017 (3)'!$G$5:$G$289,'Comp2016-2017 (3)'!$A$5:$A$289,$D234,'Comp2016-2017 (3)'!$R$5:$R$289,$V234)*$AB234))</f>
        <v/>
      </c>
      <c r="AD234" s="2">
        <f>IF($W234=AD$3,$AB234,IF(NOT($W234=0),"",SUMIFS('Val-Vol (2)'!AD$4:AD$1116,'Val-Vol (2)'!$A$4:$A$1116,$D234,'Val-Vol (2)'!$V$4:$V$1116,$V234)/SUMIFS('Comp2016-2017 (3)'!$G$5:$G$289,'Comp2016-2017 (3)'!$A$5:$A$289,$D234,'Comp2016-2017 (3)'!$R$5:$R$289,$V234)*$AB234))</f>
        <v>2601.9840603397861</v>
      </c>
      <c r="AE234" s="2" t="str">
        <f>IF($W234=AE$3,$AB234,IF(NOT($W234=0),"",SUMIFS('Val-Vol (2)'!AE$4:AE$1116,'Val-Vol (2)'!$A$4:$A$1116,$D234,'Val-Vol (2)'!$V$4:$V$1116,$V234)/SUMIFS('Comp2016-2017 (3)'!$G$5:$G$289,'Comp2016-2017 (3)'!$A$5:$A$289,$D234,'Comp2016-2017 (3)'!$R$5:$R$289,$V234)*$AB234))</f>
        <v/>
      </c>
      <c r="AF234" s="2" t="str">
        <f>IF($W234=AF$3,$AB234,IF(NOT($W234=0),"",SUMIFS('Val-Vol (2)'!AF$4:AF$1116,'Val-Vol (2)'!$A$4:$A$1116,$D234,'Val-Vol (2)'!$V$4:$V$1116,$V234)/SUMIFS('Comp2016-2017 (3)'!$G$5:$G$289,'Comp2016-2017 (3)'!$A$5:$A$289,$D234,'Comp2016-2017 (3)'!$R$5:$R$289,$V234)*$AB234))</f>
        <v/>
      </c>
      <c r="AG234" s="2" t="str">
        <f>IF($W234=AG$3,$AB234,IF(NOT($W234=0),"",SUMIFS('Val-Vol (2)'!AG$4:AG$1116,'Val-Vol (2)'!$A$4:$A$1116,$D234,'Val-Vol (2)'!$V$4:$V$1116,$V234)/SUMIFS('Comp2016-2017 (3)'!$G$5:$G$289,'Comp2016-2017 (3)'!$A$5:$A$289,$D234,'Comp2016-2017 (3)'!$R$5:$R$289,$V234)*$AB234))</f>
        <v/>
      </c>
      <c r="AH234" s="2" t="str">
        <f>IF($W234=AH$3,$AB234,IF(NOT($W234=0),"",SUMIFS('Val-Vol (2)'!AH$4:AH$1116,'Val-Vol (2)'!$A$4:$A$1116,$D234,'Val-Vol (2)'!$V$4:$V$1116,$V234)/SUMIFS('Comp2016-2017 (3)'!$G$5:$G$289,'Comp2016-2017 (3)'!$A$5:$A$289,$D234,'Comp2016-2017 (3)'!$R$5:$R$289,$V234)*$AB234))</f>
        <v/>
      </c>
      <c r="AI234" s="2" t="str">
        <f>IF($W234=AI$3,$AB234,IF(NOT($W234=0),"",SUMIFS('Val-Vol (2)'!AI$4:AI$1116,'Val-Vol (2)'!$A$4:$A$1116,$D234,'Val-Vol (2)'!$V$4:$V$1116,$V234)/SUMIFS('Comp2016-2017 (3)'!$G$5:$G$289,'Comp2016-2017 (3)'!$A$5:$A$289,$D234,'Comp2016-2017 (3)'!$R$5:$R$289,$V234)*$AB234))</f>
        <v/>
      </c>
      <c r="AJ234" s="2" t="str">
        <f>IF($W234=AJ$3,$AB234,IF(NOT($W234=0),"",SUMIFS('Val-Vol (2)'!AJ$4:AJ$1116,'Val-Vol (2)'!$A$4:$A$1116,$D234,'Val-Vol (2)'!$V$4:$V$1116,$V234)/SUMIFS('Comp2016-2017 (3)'!$G$5:$G$289,'Comp2016-2017 (3)'!$A$5:$A$289,$D234,'Comp2016-2017 (3)'!$R$5:$R$289,$V234)*$AB234))</f>
        <v/>
      </c>
      <c r="AK234" s="2">
        <f t="shared" si="23"/>
        <v>0</v>
      </c>
      <c r="AL234" t="str">
        <f t="shared" si="19"/>
        <v/>
      </c>
      <c r="AM234" t="str">
        <f>VLOOKUP(A234,'Table corresp.'!$M$4:$U$63,8,FALSE)</f>
        <v>Production intermédiaire</v>
      </c>
      <c r="AN234" t="str">
        <f>VLOOKUP(D234,'Table corresp.'!$M$4:$U$63,9,FALSE)</f>
        <v xml:space="preserve">Mise en œuvre </v>
      </c>
    </row>
    <row r="235" spans="1:40" x14ac:dyDescent="0.25">
      <c r="A235" t="s">
        <v>87</v>
      </c>
      <c r="B235" t="str">
        <f>VLOOKUP(LEFT(A235,3),'Table corresp.'!$A$4:$D$63,3,FALSE)</f>
        <v>Transformation</v>
      </c>
      <c r="C235" t="str">
        <f>VLOOKUP(A235,'Table corresp.'!$M$4:$P$63,4,FALSE)</f>
        <v>Production et transformation de produits bois</v>
      </c>
      <c r="D235" t="s">
        <v>25</v>
      </c>
      <c r="E235" t="str">
        <f>VLOOKUP(LEFT(D235,3),'Table corresp.'!$A$4:$D$63,4,FALSE)</f>
        <v>Transformation</v>
      </c>
      <c r="F235" t="str">
        <f t="shared" si="18"/>
        <v xml:space="preserve">31  - 58 </v>
      </c>
      <c r="G235" s="1">
        <v>1662.9942857142855</v>
      </c>
      <c r="H235" s="1">
        <v>2494.4914285714281</v>
      </c>
      <c r="I235" s="1">
        <v>4157.4857142857136</v>
      </c>
      <c r="J235" s="1">
        <v>0.502706223163917</v>
      </c>
      <c r="K235" s="1">
        <v>0.49227240757309249</v>
      </c>
      <c r="L235" s="1">
        <v>0.99497863073700943</v>
      </c>
      <c r="M235" s="1">
        <v>6.1168046417590682</v>
      </c>
      <c r="N235" s="1">
        <v>6.6407233237377161</v>
      </c>
      <c r="O235" s="1">
        <v>12.757527965496784</v>
      </c>
      <c r="P235" s="1">
        <v>0.97366125429903061</v>
      </c>
      <c r="Q235" s="1">
        <v>1.4805021378218088</v>
      </c>
      <c r="R235" s="1">
        <v>2.4541633921208392</v>
      </c>
      <c r="S235" s="67" t="s">
        <v>192</v>
      </c>
      <c r="T235">
        <f>VLOOKUP(A235,'Groupe de branches'!$Z$27:$AM$86,14,FALSE)</f>
        <v>0</v>
      </c>
      <c r="U235">
        <f>VLOOKUP(D235,'Groupe de branches'!$Z$27:$AM$86,14,FALSE)</f>
        <v>0</v>
      </c>
      <c r="V235">
        <v>2016</v>
      </c>
      <c r="W235" t="str">
        <f>VLOOKUP(D235,'Table corresp.'!$M$4:$S$63,7,FALSE)</f>
        <v>Construction</v>
      </c>
      <c r="X235" s="167">
        <f>IFERROR(G235/SUMIFS('Comp2016-2017 (3)'!$I$5:$I$289,'Comp2016-2017 (3)'!$A$5:$A$289,A235,'Comp2016-2017 (3)'!$R$5:$R$289,V235),0)</f>
        <v>1.0344751625845105E-3</v>
      </c>
      <c r="Y235" s="178">
        <f>IFERROR(IF(RIGHT(F235,3)="Exp",VLOOKUP(F235,#REF!,2,FALSE),VLOOKUP(F235,#REF!,9,FALSE)),1)</f>
        <v>1</v>
      </c>
      <c r="Z235" s="167">
        <f t="shared" si="24"/>
        <v>5.8823529411764705E-2</v>
      </c>
      <c r="AA235" s="189">
        <f t="shared" si="21"/>
        <v>6.0851480152030031E-5</v>
      </c>
      <c r="AB235" s="2">
        <f>IFERROR(SUMIFS('Comp2016-2017 (3)'!$G$5:$G$289,'Comp2016-2017 (3)'!$A$5:$A$289,A235,'Comp2016-2017 (3)'!$R$5:$R$289,V235)*AA235/SUMIFS($AA$4:$AA$1116,$A$4:$A$1116,A235,$V$4:$V$1116,V235),0)</f>
        <v>432.3785143421776</v>
      </c>
      <c r="AC235" s="2" t="str">
        <f>IF($W235=AC$3,$AB235,IF(NOT($W235=0),"",SUMIFS('Val-Vol (2)'!AC$4:AC$1116,'Val-Vol (2)'!$A$4:$A$1116,$D235,'Val-Vol (2)'!$V$4:$V$1116,$V235)/SUMIFS('Comp2016-2017 (3)'!$G$5:$G$289,'Comp2016-2017 (3)'!$A$5:$A$289,$D235,'Comp2016-2017 (3)'!$R$5:$R$289,$V235)*$AB235))</f>
        <v/>
      </c>
      <c r="AD235" s="2">
        <f>IF($W235=AD$3,$AB235,IF(NOT($W235=0),"",SUMIFS('Val-Vol (2)'!AD$4:AD$1116,'Val-Vol (2)'!$A$4:$A$1116,$D235,'Val-Vol (2)'!$V$4:$V$1116,$V235)/SUMIFS('Comp2016-2017 (3)'!$G$5:$G$289,'Comp2016-2017 (3)'!$A$5:$A$289,$D235,'Comp2016-2017 (3)'!$R$5:$R$289,$V235)*$AB235))</f>
        <v>432.3785143421776</v>
      </c>
      <c r="AE235" s="2" t="str">
        <f>IF($W235=AE$3,$AB235,IF(NOT($W235=0),"",SUMIFS('Val-Vol (2)'!AE$4:AE$1116,'Val-Vol (2)'!$A$4:$A$1116,$D235,'Val-Vol (2)'!$V$4:$V$1116,$V235)/SUMIFS('Comp2016-2017 (3)'!$G$5:$G$289,'Comp2016-2017 (3)'!$A$5:$A$289,$D235,'Comp2016-2017 (3)'!$R$5:$R$289,$V235)*$AB235))</f>
        <v/>
      </c>
      <c r="AF235" s="2" t="str">
        <f>IF($W235=AF$3,$AB235,IF(NOT($W235=0),"",SUMIFS('Val-Vol (2)'!AF$4:AF$1116,'Val-Vol (2)'!$A$4:$A$1116,$D235,'Val-Vol (2)'!$V$4:$V$1116,$V235)/SUMIFS('Comp2016-2017 (3)'!$G$5:$G$289,'Comp2016-2017 (3)'!$A$5:$A$289,$D235,'Comp2016-2017 (3)'!$R$5:$R$289,$V235)*$AB235))</f>
        <v/>
      </c>
      <c r="AG235" s="2" t="str">
        <f>IF($W235=AG$3,$AB235,IF(NOT($W235=0),"",SUMIFS('Val-Vol (2)'!AG$4:AG$1116,'Val-Vol (2)'!$A$4:$A$1116,$D235,'Val-Vol (2)'!$V$4:$V$1116,$V235)/SUMIFS('Comp2016-2017 (3)'!$G$5:$G$289,'Comp2016-2017 (3)'!$A$5:$A$289,$D235,'Comp2016-2017 (3)'!$R$5:$R$289,$V235)*$AB235))</f>
        <v/>
      </c>
      <c r="AH235" s="2" t="str">
        <f>IF($W235=AH$3,$AB235,IF(NOT($W235=0),"",SUMIFS('Val-Vol (2)'!AH$4:AH$1116,'Val-Vol (2)'!$A$4:$A$1116,$D235,'Val-Vol (2)'!$V$4:$V$1116,$V235)/SUMIFS('Comp2016-2017 (3)'!$G$5:$G$289,'Comp2016-2017 (3)'!$A$5:$A$289,$D235,'Comp2016-2017 (3)'!$R$5:$R$289,$V235)*$AB235))</f>
        <v/>
      </c>
      <c r="AI235" s="2" t="str">
        <f>IF($W235=AI$3,$AB235,IF(NOT($W235=0),"",SUMIFS('Val-Vol (2)'!AI$4:AI$1116,'Val-Vol (2)'!$A$4:$A$1116,$D235,'Val-Vol (2)'!$V$4:$V$1116,$V235)/SUMIFS('Comp2016-2017 (3)'!$G$5:$G$289,'Comp2016-2017 (3)'!$A$5:$A$289,$D235,'Comp2016-2017 (3)'!$R$5:$R$289,$V235)*$AB235))</f>
        <v/>
      </c>
      <c r="AJ235" s="2" t="str">
        <f>IF($W235=AJ$3,$AB235,IF(NOT($W235=0),"",SUMIFS('Val-Vol (2)'!AJ$4:AJ$1116,'Val-Vol (2)'!$A$4:$A$1116,$D235,'Val-Vol (2)'!$V$4:$V$1116,$V235)/SUMIFS('Comp2016-2017 (3)'!$G$5:$G$289,'Comp2016-2017 (3)'!$A$5:$A$289,$D235,'Comp2016-2017 (3)'!$R$5:$R$289,$V235)*$AB235))</f>
        <v/>
      </c>
      <c r="AK235" s="2">
        <f t="shared" si="23"/>
        <v>0</v>
      </c>
      <c r="AL235" t="str">
        <f t="shared" si="19"/>
        <v/>
      </c>
      <c r="AM235" t="str">
        <f>VLOOKUP(A235,'Table corresp.'!$M$4:$U$63,8,FALSE)</f>
        <v>Production intermédiaire</v>
      </c>
      <c r="AN235" t="str">
        <f>VLOOKUP(D235,'Table corresp.'!$M$4:$U$63,9,FALSE)</f>
        <v xml:space="preserve">Mise en œuvre </v>
      </c>
    </row>
    <row r="236" spans="1:40" x14ac:dyDescent="0.25">
      <c r="A236" t="s">
        <v>87</v>
      </c>
      <c r="B236" t="str">
        <f>VLOOKUP(LEFT(A236,3),'Table corresp.'!$A$4:$D$63,3,FALSE)</f>
        <v>Transformation</v>
      </c>
      <c r="C236" t="str">
        <f>VLOOKUP(A236,'Table corresp.'!$M$4:$P$63,4,FALSE)</f>
        <v>Production et transformation de produits bois</v>
      </c>
      <c r="D236" t="s">
        <v>26</v>
      </c>
      <c r="E236" t="str">
        <f>VLOOKUP(LEFT(D236,3),'Table corresp.'!$A$4:$D$63,4,FALSE)</f>
        <v>Transformation</v>
      </c>
      <c r="F236" t="str">
        <f t="shared" si="18"/>
        <v xml:space="preserve">31  - 59 </v>
      </c>
      <c r="G236" s="1">
        <v>1329.3000000000002</v>
      </c>
      <c r="H236" s="1">
        <v>3101.7</v>
      </c>
      <c r="I236" s="1">
        <v>4431</v>
      </c>
      <c r="J236" s="1">
        <v>0.17115145106833973</v>
      </c>
      <c r="K236" s="1">
        <v>0.26070979252494225</v>
      </c>
      <c r="L236" s="1">
        <v>0.43186124359328198</v>
      </c>
      <c r="M236" s="1">
        <v>2.0954633664982092</v>
      </c>
      <c r="N236" s="1">
        <v>3.5388029051276315</v>
      </c>
      <c r="O236" s="1">
        <v>5.6342662716258403</v>
      </c>
      <c r="P236" s="1">
        <v>0.77828764443636189</v>
      </c>
      <c r="Q236" s="1">
        <v>1.8408856523959845</v>
      </c>
      <c r="R236" s="1">
        <v>2.6191732968323462</v>
      </c>
      <c r="S236" s="67" t="s">
        <v>192</v>
      </c>
      <c r="T236">
        <f>VLOOKUP(A236,'Groupe de branches'!$Z$27:$AM$86,14,FALSE)</f>
        <v>0</v>
      </c>
      <c r="U236">
        <f>VLOOKUP(D236,'Groupe de branches'!$Z$27:$AM$86,14,FALSE)</f>
        <v>0</v>
      </c>
      <c r="V236">
        <v>2016</v>
      </c>
      <c r="W236" t="str">
        <f>VLOOKUP(D236,'Table corresp.'!$M$4:$S$63,7,FALSE)</f>
        <v>Construction</v>
      </c>
      <c r="X236" s="167">
        <f>IFERROR(G236/SUMIFS('Comp2016-2017 (3)'!$I$5:$I$289,'Comp2016-2017 (3)'!$A$5:$A$289,A236,'Comp2016-2017 (3)'!$R$5:$R$289,V236),0)</f>
        <v>8.2689871242278402E-4</v>
      </c>
      <c r="Y236" s="178">
        <f>IFERROR(IF(RIGHT(F236,3)="Exp",VLOOKUP(F236,#REF!,2,FALSE),VLOOKUP(F236,#REF!,9,FALSE)),1)</f>
        <v>1</v>
      </c>
      <c r="Z236" s="167">
        <f t="shared" si="24"/>
        <v>5.8823529411764705E-2</v>
      </c>
      <c r="AA236" s="189">
        <f t="shared" si="21"/>
        <v>4.8641100730751997E-5</v>
      </c>
      <c r="AB236" s="2">
        <f>IFERROR(SUMIFS('Comp2016-2017 (3)'!$G$5:$G$289,'Comp2016-2017 (3)'!$A$5:$A$289,A236,'Comp2016-2017 (3)'!$R$5:$R$289,V236)*AA236/SUMIFS($AA$4:$AA$1116,$A$4:$A$1116,A236,$V$4:$V$1116,V236),0)</f>
        <v>345.61800004513361</v>
      </c>
      <c r="AC236" s="2" t="str">
        <f>IF($W236=AC$3,$AB236,IF(NOT($W236=0),"",SUMIFS('Val-Vol (2)'!AC$4:AC$1116,'Val-Vol (2)'!$A$4:$A$1116,$D236,'Val-Vol (2)'!$V$4:$V$1116,$V236)/SUMIFS('Comp2016-2017 (3)'!$G$5:$G$289,'Comp2016-2017 (3)'!$A$5:$A$289,$D236,'Comp2016-2017 (3)'!$R$5:$R$289,$V236)*$AB236))</f>
        <v/>
      </c>
      <c r="AD236" s="2">
        <f>IF($W236=AD$3,$AB236,IF(NOT($W236=0),"",SUMIFS('Val-Vol (2)'!AD$4:AD$1116,'Val-Vol (2)'!$A$4:$A$1116,$D236,'Val-Vol (2)'!$V$4:$V$1116,$V236)/SUMIFS('Comp2016-2017 (3)'!$G$5:$G$289,'Comp2016-2017 (3)'!$A$5:$A$289,$D236,'Comp2016-2017 (3)'!$R$5:$R$289,$V236)*$AB236))</f>
        <v>345.61800004513361</v>
      </c>
      <c r="AE236" s="2" t="str">
        <f>IF($W236=AE$3,$AB236,IF(NOT($W236=0),"",SUMIFS('Val-Vol (2)'!AE$4:AE$1116,'Val-Vol (2)'!$A$4:$A$1116,$D236,'Val-Vol (2)'!$V$4:$V$1116,$V236)/SUMIFS('Comp2016-2017 (3)'!$G$5:$G$289,'Comp2016-2017 (3)'!$A$5:$A$289,$D236,'Comp2016-2017 (3)'!$R$5:$R$289,$V236)*$AB236))</f>
        <v/>
      </c>
      <c r="AF236" s="2" t="str">
        <f>IF($W236=AF$3,$AB236,IF(NOT($W236=0),"",SUMIFS('Val-Vol (2)'!AF$4:AF$1116,'Val-Vol (2)'!$A$4:$A$1116,$D236,'Val-Vol (2)'!$V$4:$V$1116,$V236)/SUMIFS('Comp2016-2017 (3)'!$G$5:$G$289,'Comp2016-2017 (3)'!$A$5:$A$289,$D236,'Comp2016-2017 (3)'!$R$5:$R$289,$V236)*$AB236))</f>
        <v/>
      </c>
      <c r="AG236" s="2" t="str">
        <f>IF($W236=AG$3,$AB236,IF(NOT($W236=0),"",SUMIFS('Val-Vol (2)'!AG$4:AG$1116,'Val-Vol (2)'!$A$4:$A$1116,$D236,'Val-Vol (2)'!$V$4:$V$1116,$V236)/SUMIFS('Comp2016-2017 (3)'!$G$5:$G$289,'Comp2016-2017 (3)'!$A$5:$A$289,$D236,'Comp2016-2017 (3)'!$R$5:$R$289,$V236)*$AB236))</f>
        <v/>
      </c>
      <c r="AH236" s="2" t="str">
        <f>IF($W236=AH$3,$AB236,IF(NOT($W236=0),"",SUMIFS('Val-Vol (2)'!AH$4:AH$1116,'Val-Vol (2)'!$A$4:$A$1116,$D236,'Val-Vol (2)'!$V$4:$V$1116,$V236)/SUMIFS('Comp2016-2017 (3)'!$G$5:$G$289,'Comp2016-2017 (3)'!$A$5:$A$289,$D236,'Comp2016-2017 (3)'!$R$5:$R$289,$V236)*$AB236))</f>
        <v/>
      </c>
      <c r="AI236" s="2" t="str">
        <f>IF($W236=AI$3,$AB236,IF(NOT($W236=0),"",SUMIFS('Val-Vol (2)'!AI$4:AI$1116,'Val-Vol (2)'!$A$4:$A$1116,$D236,'Val-Vol (2)'!$V$4:$V$1116,$V236)/SUMIFS('Comp2016-2017 (3)'!$G$5:$G$289,'Comp2016-2017 (3)'!$A$5:$A$289,$D236,'Comp2016-2017 (3)'!$R$5:$R$289,$V236)*$AB236))</f>
        <v/>
      </c>
      <c r="AJ236" s="2" t="str">
        <f>IF($W236=AJ$3,$AB236,IF(NOT($W236=0),"",SUMIFS('Val-Vol (2)'!AJ$4:AJ$1116,'Val-Vol (2)'!$A$4:$A$1116,$D236,'Val-Vol (2)'!$V$4:$V$1116,$V236)/SUMIFS('Comp2016-2017 (3)'!$G$5:$G$289,'Comp2016-2017 (3)'!$A$5:$A$289,$D236,'Comp2016-2017 (3)'!$R$5:$R$289,$V236)*$AB236))</f>
        <v/>
      </c>
      <c r="AK236" s="2">
        <f t="shared" si="23"/>
        <v>0</v>
      </c>
      <c r="AL236" t="str">
        <f t="shared" si="19"/>
        <v/>
      </c>
      <c r="AM236" t="str">
        <f>VLOOKUP(A236,'Table corresp.'!$M$4:$U$63,8,FALSE)</f>
        <v>Production intermédiaire</v>
      </c>
      <c r="AN236" t="str">
        <f>VLOOKUP(D236,'Table corresp.'!$M$4:$U$63,9,FALSE)</f>
        <v xml:space="preserve">Mise en œuvre </v>
      </c>
    </row>
    <row r="237" spans="1:40" x14ac:dyDescent="0.25">
      <c r="A237" t="s">
        <v>87</v>
      </c>
      <c r="B237" t="str">
        <f>VLOOKUP(LEFT(A237,3),'Table corresp.'!$A$4:$D$63,3,FALSE)</f>
        <v>Transformation</v>
      </c>
      <c r="C237" t="str">
        <f>VLOOKUP(A237,'Table corresp.'!$M$4:$P$63,4,FALSE)</f>
        <v>Production et transformation de produits bois</v>
      </c>
      <c r="D237" t="s">
        <v>54</v>
      </c>
      <c r="E237" t="str">
        <f>VLOOKUP(LEFT(D237,3),'Table corresp.'!$A$4:$D$63,4,FALSE)</f>
        <v>Consommation finale</v>
      </c>
      <c r="F237" t="str">
        <f t="shared" si="18"/>
        <v>31  - Con</v>
      </c>
      <c r="G237" s="1">
        <v>46310.040000000008</v>
      </c>
      <c r="H237" s="1">
        <v>150151.46797576101</v>
      </c>
      <c r="I237" s="1">
        <v>196461.50797576102</v>
      </c>
      <c r="J237" s="1">
        <v>10.732607373097975</v>
      </c>
      <c r="K237" s="1">
        <v>22.433085298222142</v>
      </c>
      <c r="L237" s="1">
        <v>33.165692671320116</v>
      </c>
      <c r="M237" s="1">
        <v>125.24779853311176</v>
      </c>
      <c r="N237" s="1">
        <v>321.78599318692073</v>
      </c>
      <c r="O237" s="1">
        <v>447.03379172003247</v>
      </c>
      <c r="P237" s="1">
        <v>27.113918562667347</v>
      </c>
      <c r="Q237" s="1">
        <v>89.116188890857785</v>
      </c>
      <c r="R237" s="1">
        <v>116.23010745352514</v>
      </c>
      <c r="S237" s="67" t="s">
        <v>192</v>
      </c>
      <c r="T237">
        <f>VLOOKUP(A237,'Groupe de branches'!$Z$27:$AM$86,14,FALSE)</f>
        <v>0</v>
      </c>
      <c r="U237">
        <f>VLOOKUP(D237,'Groupe de branches'!$Z$27:$AM$86,14,FALSE)</f>
        <v>0</v>
      </c>
      <c r="V237">
        <v>2016</v>
      </c>
      <c r="W237" t="str">
        <f>VLOOKUP(D237,'Table corresp.'!$M$4:$S$63,7,FALSE)</f>
        <v>Consommation finale</v>
      </c>
      <c r="X237" s="167">
        <f>IFERROR(G237/SUMIFS('Comp2016-2017 (3)'!$I$5:$I$289,'Comp2016-2017 (3)'!$A$5:$A$289,A237,'Comp2016-2017 (3)'!$R$5:$R$289,V237),0)</f>
        <v>2.8807426802262566E-2</v>
      </c>
      <c r="Y237" s="178">
        <f>IFERROR(IF(RIGHT(F237,3)="Exp",VLOOKUP(F237,#REF!,2,FALSE),VLOOKUP(F237,#REF!,9,FALSE)),1)</f>
        <v>1</v>
      </c>
      <c r="Z237" s="167">
        <f t="shared" si="24"/>
        <v>5.8823529411764705E-2</v>
      </c>
      <c r="AA237" s="189">
        <f t="shared" si="21"/>
        <v>1.6945545177801508E-3</v>
      </c>
      <c r="AB237" s="2">
        <f>IFERROR(SUMIFS('Comp2016-2017 (3)'!$G$5:$G$289,'Comp2016-2017 (3)'!$A$5:$A$289,A237,'Comp2016-2017 (3)'!$R$5:$R$289,V237)*AA237/SUMIFS($AA$4:$AA$1116,$A$4:$A$1116,A237,$V$4:$V$1116,V237),0)</f>
        <v>12040.610401572361</v>
      </c>
      <c r="AC237" s="2" t="str">
        <f>IF($W237=AC$3,$AB237,IF(NOT($W237=0),"",SUMIFS('Val-Vol (2)'!AC$4:AC$1116,'Val-Vol (2)'!$A$4:$A$1116,$D237,'Val-Vol (2)'!$V$4:$V$1116,$V237)/SUMIFS('Comp2016-2017 (3)'!$G$5:$G$289,'Comp2016-2017 (3)'!$A$5:$A$289,$D237,'Comp2016-2017 (3)'!$R$5:$R$289,$V237)*$AB237))</f>
        <v/>
      </c>
      <c r="AD237" s="2" t="str">
        <f>IF($W237=AD$3,$AB237,IF(NOT($W237=0),"",SUMIFS('Val-Vol (2)'!AD$4:AD$1116,'Val-Vol (2)'!$A$4:$A$1116,$D237,'Val-Vol (2)'!$V$4:$V$1116,$V237)/SUMIFS('Comp2016-2017 (3)'!$G$5:$G$289,'Comp2016-2017 (3)'!$A$5:$A$289,$D237,'Comp2016-2017 (3)'!$R$5:$R$289,$V237)*$AB237))</f>
        <v/>
      </c>
      <c r="AE237" s="2" t="str">
        <f>IF($W237=AE$3,$AB237,IF(NOT($W237=0),"",SUMIFS('Val-Vol (2)'!AE$4:AE$1116,'Val-Vol (2)'!$A$4:$A$1116,$D237,'Val-Vol (2)'!$V$4:$V$1116,$V237)/SUMIFS('Comp2016-2017 (3)'!$G$5:$G$289,'Comp2016-2017 (3)'!$A$5:$A$289,$D237,'Comp2016-2017 (3)'!$R$5:$R$289,$V237)*$AB237))</f>
        <v/>
      </c>
      <c r="AF237" s="2" t="str">
        <f>IF($W237=AF$3,$AB237,IF(NOT($W237=0),"",SUMIFS('Val-Vol (2)'!AF$4:AF$1116,'Val-Vol (2)'!$A$4:$A$1116,$D237,'Val-Vol (2)'!$V$4:$V$1116,$V237)/SUMIFS('Comp2016-2017 (3)'!$G$5:$G$289,'Comp2016-2017 (3)'!$A$5:$A$289,$D237,'Comp2016-2017 (3)'!$R$5:$R$289,$V237)*$AB237))</f>
        <v/>
      </c>
      <c r="AG237" s="2" t="str">
        <f>IF($W237=AG$3,$AB237,IF(NOT($W237=0),"",SUMIFS('Val-Vol (2)'!AG$4:AG$1116,'Val-Vol (2)'!$A$4:$A$1116,$D237,'Val-Vol (2)'!$V$4:$V$1116,$V237)/SUMIFS('Comp2016-2017 (3)'!$G$5:$G$289,'Comp2016-2017 (3)'!$A$5:$A$289,$D237,'Comp2016-2017 (3)'!$R$5:$R$289,$V237)*$AB237))</f>
        <v/>
      </c>
      <c r="AH237" s="2" t="str">
        <f>IF($W237=AH$3,$AB237,IF(NOT($W237=0),"",SUMIFS('Val-Vol (2)'!AH$4:AH$1116,'Val-Vol (2)'!$A$4:$A$1116,$D237,'Val-Vol (2)'!$V$4:$V$1116,$V237)/SUMIFS('Comp2016-2017 (3)'!$G$5:$G$289,'Comp2016-2017 (3)'!$A$5:$A$289,$D237,'Comp2016-2017 (3)'!$R$5:$R$289,$V237)*$AB237))</f>
        <v/>
      </c>
      <c r="AI237" s="2" t="str">
        <f>IF($W237=AI$3,$AB237,IF(NOT($W237=0),"",SUMIFS('Val-Vol (2)'!AI$4:AI$1116,'Val-Vol (2)'!$A$4:$A$1116,$D237,'Val-Vol (2)'!$V$4:$V$1116,$V237)/SUMIFS('Comp2016-2017 (3)'!$G$5:$G$289,'Comp2016-2017 (3)'!$A$5:$A$289,$D237,'Comp2016-2017 (3)'!$R$5:$R$289,$V237)*$AB237))</f>
        <v/>
      </c>
      <c r="AJ237" s="2">
        <f>IF($W237=AJ$3,$AB237,IF(NOT($W237=0),"",SUMIFS('Val-Vol (2)'!AJ$4:AJ$1116,'Val-Vol (2)'!$A$4:$A$1116,$D237,'Val-Vol (2)'!$V$4:$V$1116,$V237)/SUMIFS('Comp2016-2017 (3)'!$G$5:$G$289,'Comp2016-2017 (3)'!$A$5:$A$289,$D237,'Comp2016-2017 (3)'!$R$5:$R$289,$V237)*$AB237))</f>
        <v>12040.610401572361</v>
      </c>
      <c r="AK237" s="2">
        <f t="shared" si="23"/>
        <v>0</v>
      </c>
      <c r="AL237" t="str">
        <f t="shared" si="19"/>
        <v/>
      </c>
      <c r="AM237" t="str">
        <f>VLOOKUP(A237,'Table corresp.'!$M$4:$U$63,8,FALSE)</f>
        <v>Production intermédiaire</v>
      </c>
      <c r="AN237" t="str">
        <f>VLOOKUP(D237,'Table corresp.'!$M$4:$U$63,9,FALSE)</f>
        <v>Consommation finale française</v>
      </c>
    </row>
    <row r="238" spans="1:40" x14ac:dyDescent="0.25">
      <c r="A238" t="s">
        <v>87</v>
      </c>
      <c r="B238" t="str">
        <f>VLOOKUP(LEFT(A238,3),'Table corresp.'!$A$4:$D$63,3,FALSE)</f>
        <v>Transformation</v>
      </c>
      <c r="C238" t="str">
        <f>VLOOKUP(A238,'Table corresp.'!$M$4:$P$63,4,FALSE)</f>
        <v>Production et transformation de produits bois</v>
      </c>
      <c r="D238" t="s">
        <v>53</v>
      </c>
      <c r="E238" t="str">
        <f>VLOOKUP(LEFT(D238,3),'Table corresp.'!$A$4:$D$63,4,FALSE)</f>
        <v>Exportation</v>
      </c>
      <c r="F238" t="str">
        <f t="shared" si="18"/>
        <v>31  - Exp</v>
      </c>
      <c r="G238" s="1">
        <v>882027</v>
      </c>
      <c r="H238" s="1">
        <v>0</v>
      </c>
      <c r="I238" s="1">
        <v>882027</v>
      </c>
      <c r="J238" s="1">
        <v>194.94759793699882</v>
      </c>
      <c r="K238" s="1">
        <v>0</v>
      </c>
      <c r="L238" s="1">
        <v>194.94759793699882</v>
      </c>
      <c r="M238" s="1">
        <v>2413.3274818273026</v>
      </c>
      <c r="N238" s="1">
        <v>0</v>
      </c>
      <c r="O238" s="1">
        <v>2413.3274818273026</v>
      </c>
      <c r="P238" s="1">
        <v>516.4151930785157</v>
      </c>
      <c r="Q238" s="1">
        <v>0</v>
      </c>
      <c r="R238" s="1">
        <v>516.4151930785157</v>
      </c>
      <c r="S238" s="67" t="s">
        <v>192</v>
      </c>
      <c r="T238">
        <f>VLOOKUP(A238,'Groupe de branches'!$Z$27:$AM$86,14,FALSE)</f>
        <v>0</v>
      </c>
      <c r="U238">
        <f>VLOOKUP(D238,'Groupe de branches'!$Z$27:$AM$86,14,FALSE)</f>
        <v>0</v>
      </c>
      <c r="V238">
        <v>2016</v>
      </c>
      <c r="W238" t="str">
        <f>VLOOKUP(D238,'Table corresp.'!$M$4:$S$63,7,FALSE)</f>
        <v>Exportation</v>
      </c>
      <c r="X238" s="167">
        <f>IFERROR(G238/SUMIFS('Comp2016-2017 (3)'!$I$5:$I$289,'Comp2016-2017 (3)'!$A$5:$A$289,A238,'Comp2016-2017 (3)'!$R$5:$R$289,V238),0)</f>
        <v>0.54866996962471293</v>
      </c>
      <c r="Y238" s="178">
        <f>IFERROR(IF(RIGHT(F238,3)="Exp",VLOOKUP(F238,#REF!,2,FALSE),VLOOKUP(F238,#REF!,9,FALSE)),1)</f>
        <v>1</v>
      </c>
      <c r="Z238" s="167">
        <f t="shared" si="24"/>
        <v>5.8823529411764705E-2</v>
      </c>
      <c r="AA238" s="189">
        <f t="shared" si="21"/>
        <v>3.2274704095571351E-2</v>
      </c>
      <c r="AB238" s="2">
        <f>IFERROR(SUMIFS('Comp2016-2017 (3)'!$G$5:$G$289,'Comp2016-2017 (3)'!$A$5:$A$289,A238,'Comp2016-2017 (3)'!$R$5:$R$289,V238)*AA238/SUMIFS($AA$4:$AA$1116,$A$4:$A$1116,A238,$V$4:$V$1116,V238),0)</f>
        <v>229327.02002994739</v>
      </c>
      <c r="AC238" s="2">
        <f>IF($W238=AC$3,$AB238,IF(NOT($W238=0),"",SUMIFS('Val-Vol (2)'!AC$4:AC$1116,'Val-Vol (2)'!$A$4:$A$1116,$D238,'Val-Vol (2)'!$V$4:$V$1116,$V238)/SUMIFS('Comp2016-2017 (3)'!$G$5:$G$289,'Comp2016-2017 (3)'!$A$5:$A$289,$D238,'Comp2016-2017 (3)'!$R$5:$R$289,$V238)*$AB238))</f>
        <v>229327.02002994739</v>
      </c>
      <c r="AD238" s="2" t="str">
        <f>IF($W238=AD$3,$AB238,IF(NOT($W238=0),"",SUMIFS('Val-Vol (2)'!AD$4:AD$1116,'Val-Vol (2)'!$A$4:$A$1116,$D238,'Val-Vol (2)'!$V$4:$V$1116,$V238)/SUMIFS('Comp2016-2017 (3)'!$G$5:$G$289,'Comp2016-2017 (3)'!$A$5:$A$289,$D238,'Comp2016-2017 (3)'!$R$5:$R$289,$V238)*$AB238))</f>
        <v/>
      </c>
      <c r="AE238" s="2" t="str">
        <f>IF($W238=AE$3,$AB238,IF(NOT($W238=0),"",SUMIFS('Val-Vol (2)'!AE$4:AE$1116,'Val-Vol (2)'!$A$4:$A$1116,$D238,'Val-Vol (2)'!$V$4:$V$1116,$V238)/SUMIFS('Comp2016-2017 (3)'!$G$5:$G$289,'Comp2016-2017 (3)'!$A$5:$A$289,$D238,'Comp2016-2017 (3)'!$R$5:$R$289,$V238)*$AB238))</f>
        <v/>
      </c>
      <c r="AF238" s="2" t="str">
        <f>IF($W238=AF$3,$AB238,IF(NOT($W238=0),"",SUMIFS('Val-Vol (2)'!AF$4:AF$1116,'Val-Vol (2)'!$A$4:$A$1116,$D238,'Val-Vol (2)'!$V$4:$V$1116,$V238)/SUMIFS('Comp2016-2017 (3)'!$G$5:$G$289,'Comp2016-2017 (3)'!$A$5:$A$289,$D238,'Comp2016-2017 (3)'!$R$5:$R$289,$V238)*$AB238))</f>
        <v/>
      </c>
      <c r="AG238" s="2" t="str">
        <f>IF($W238=AG$3,$AB238,IF(NOT($W238=0),"",SUMIFS('Val-Vol (2)'!AG$4:AG$1116,'Val-Vol (2)'!$A$4:$A$1116,$D238,'Val-Vol (2)'!$V$4:$V$1116,$V238)/SUMIFS('Comp2016-2017 (3)'!$G$5:$G$289,'Comp2016-2017 (3)'!$A$5:$A$289,$D238,'Comp2016-2017 (3)'!$R$5:$R$289,$V238)*$AB238))</f>
        <v/>
      </c>
      <c r="AH238" s="2" t="str">
        <f>IF($W238=AH$3,$AB238,IF(NOT($W238=0),"",SUMIFS('Val-Vol (2)'!AH$4:AH$1116,'Val-Vol (2)'!$A$4:$A$1116,$D238,'Val-Vol (2)'!$V$4:$V$1116,$V238)/SUMIFS('Comp2016-2017 (3)'!$G$5:$G$289,'Comp2016-2017 (3)'!$A$5:$A$289,$D238,'Comp2016-2017 (3)'!$R$5:$R$289,$V238)*$AB238))</f>
        <v/>
      </c>
      <c r="AI238" s="2" t="str">
        <f>IF($W238=AI$3,$AB238,IF(NOT($W238=0),"",SUMIFS('Val-Vol (2)'!AI$4:AI$1116,'Val-Vol (2)'!$A$4:$A$1116,$D238,'Val-Vol (2)'!$V$4:$V$1116,$V238)/SUMIFS('Comp2016-2017 (3)'!$G$5:$G$289,'Comp2016-2017 (3)'!$A$5:$A$289,$D238,'Comp2016-2017 (3)'!$R$5:$R$289,$V238)*$AB238))</f>
        <v/>
      </c>
      <c r="AJ238" s="2" t="str">
        <f>IF($W238=AJ$3,$AB238,IF(NOT($W238=0),"",SUMIFS('Val-Vol (2)'!AJ$4:AJ$1116,'Val-Vol (2)'!$A$4:$A$1116,$D238,'Val-Vol (2)'!$V$4:$V$1116,$V238)/SUMIFS('Comp2016-2017 (3)'!$G$5:$G$289,'Comp2016-2017 (3)'!$A$5:$A$289,$D238,'Comp2016-2017 (3)'!$R$5:$R$289,$V238)*$AB238))</f>
        <v/>
      </c>
      <c r="AK238" s="2">
        <f t="shared" si="23"/>
        <v>0</v>
      </c>
      <c r="AL238" t="str">
        <f t="shared" si="19"/>
        <v/>
      </c>
      <c r="AM238" t="str">
        <f>VLOOKUP(A238,'Table corresp.'!$M$4:$U$63,8,FALSE)</f>
        <v>Production intermédiaire</v>
      </c>
      <c r="AN238" t="str">
        <f>VLOOKUP(D238,'Table corresp.'!$M$4:$U$63,9,FALSE)</f>
        <v>Exportation</v>
      </c>
    </row>
    <row r="239" spans="1:40" x14ac:dyDescent="0.25">
      <c r="A239" t="s">
        <v>88</v>
      </c>
      <c r="B239" t="str">
        <f>VLOOKUP(LEFT(A239,3),'Table corresp.'!$A$4:$D$63,3,FALSE)</f>
        <v>Transformation</v>
      </c>
      <c r="C239" t="str">
        <f>VLOOKUP(A239,'Table corresp.'!$M$4:$P$63,4,FALSE)</f>
        <v>Production et transformation de produits bois</v>
      </c>
      <c r="D239" t="s">
        <v>54</v>
      </c>
      <c r="E239" t="str">
        <f>VLOOKUP(LEFT(D239,3),'Table corresp.'!$A$4:$D$63,4,FALSE)</f>
        <v>Consommation finale</v>
      </c>
      <c r="F239" t="str">
        <f t="shared" si="18"/>
        <v>32  - Con</v>
      </c>
      <c r="G239" s="1">
        <v>1</v>
      </c>
      <c r="H239" s="1">
        <v>0</v>
      </c>
      <c r="I239" s="1">
        <v>1</v>
      </c>
      <c r="J239" s="1">
        <v>2.804328880096899E-3</v>
      </c>
      <c r="K239" s="1">
        <v>0</v>
      </c>
      <c r="L239" s="1">
        <v>2.804328880096899E-3</v>
      </c>
      <c r="M239" s="1">
        <v>0</v>
      </c>
      <c r="N239" s="1">
        <v>0</v>
      </c>
      <c r="O239" s="1">
        <v>0</v>
      </c>
      <c r="P239" s="1">
        <v>0</v>
      </c>
      <c r="Q239" s="1">
        <v>0</v>
      </c>
      <c r="R239" s="1">
        <v>0</v>
      </c>
      <c r="S239" s="67"/>
      <c r="T239">
        <f>VLOOKUP(A239,'Groupe de branches'!$Z$27:$AM$86,14,FALSE)</f>
        <v>0</v>
      </c>
      <c r="U239">
        <f>VLOOKUP(D239,'Groupe de branches'!$Z$27:$AM$86,14,FALSE)</f>
        <v>0</v>
      </c>
      <c r="V239">
        <v>2016</v>
      </c>
      <c r="W239" t="str">
        <f>VLOOKUP(D239,'Table corresp.'!$M$4:$S$63,7,FALSE)</f>
        <v>Consommation finale</v>
      </c>
      <c r="X239" s="167">
        <f>IFERROR(G239/SUMIFS('Comp2016-2017 (3)'!$I$5:$I$289,'Comp2016-2017 (3)'!$A$5:$A$289,A239,'Comp2016-2017 (3)'!$R$5:$R$289,V239),0)</f>
        <v>1</v>
      </c>
      <c r="Y239" s="232"/>
      <c r="Z239" s="233"/>
      <c r="AA239" s="189">
        <f t="shared" si="21"/>
        <v>0</v>
      </c>
      <c r="AB239" s="2">
        <f>IFERROR(SUMIFS('Comp2016-2017 (3)'!$G$5:$G$289,'Comp2016-2017 (3)'!$A$5:$A$289,A239,'Comp2016-2017 (3)'!$R$5:$R$289,V239)*AA239/SUMIFS($AA$4:$AA$1116,$A$4:$A$1116,A239,$V$4:$V$1116,V239),0)</f>
        <v>0</v>
      </c>
      <c r="AC239" s="2" t="str">
        <f>IF($W239=AC$3,$AB239,IF(NOT($W239=0),"",SUMIFS('Val-Vol (2)'!AC$4:AC$1116,'Val-Vol (2)'!$A$4:$A$1116,$D239,'Val-Vol (2)'!$V$4:$V$1116,$V239)/SUMIFS('Comp2016-2017 (3)'!$G$5:$G$289,'Comp2016-2017 (3)'!$A$5:$A$289,$D239,'Comp2016-2017 (3)'!$R$5:$R$289,$V239)*$AB239))</f>
        <v/>
      </c>
      <c r="AD239" s="2" t="str">
        <f>IF($W239=AD$3,$AB239,IF(NOT($W239=0),"",SUMIFS('Val-Vol (2)'!AD$4:AD$1116,'Val-Vol (2)'!$A$4:$A$1116,$D239,'Val-Vol (2)'!$V$4:$V$1116,$V239)/SUMIFS('Comp2016-2017 (3)'!$G$5:$G$289,'Comp2016-2017 (3)'!$A$5:$A$289,$D239,'Comp2016-2017 (3)'!$R$5:$R$289,$V239)*$AB239))</f>
        <v/>
      </c>
      <c r="AE239" s="2" t="str">
        <f>IF($W239=AE$3,$AB239,IF(NOT($W239=0),"",SUMIFS('Val-Vol (2)'!AE$4:AE$1116,'Val-Vol (2)'!$A$4:$A$1116,$D239,'Val-Vol (2)'!$V$4:$V$1116,$V239)/SUMIFS('Comp2016-2017 (3)'!$G$5:$G$289,'Comp2016-2017 (3)'!$A$5:$A$289,$D239,'Comp2016-2017 (3)'!$R$5:$R$289,$V239)*$AB239))</f>
        <v/>
      </c>
      <c r="AF239" s="2" t="str">
        <f>IF($W239=AF$3,$AB239,IF(NOT($W239=0),"",SUMIFS('Val-Vol (2)'!AF$4:AF$1116,'Val-Vol (2)'!$A$4:$A$1116,$D239,'Val-Vol (2)'!$V$4:$V$1116,$V239)/SUMIFS('Comp2016-2017 (3)'!$G$5:$G$289,'Comp2016-2017 (3)'!$A$5:$A$289,$D239,'Comp2016-2017 (3)'!$R$5:$R$289,$V239)*$AB239))</f>
        <v/>
      </c>
      <c r="AG239" s="2" t="str">
        <f>IF($W239=AG$3,$AB239,IF(NOT($W239=0),"",SUMIFS('Val-Vol (2)'!AG$4:AG$1116,'Val-Vol (2)'!$A$4:$A$1116,$D239,'Val-Vol (2)'!$V$4:$V$1116,$V239)/SUMIFS('Comp2016-2017 (3)'!$G$5:$G$289,'Comp2016-2017 (3)'!$A$5:$A$289,$D239,'Comp2016-2017 (3)'!$R$5:$R$289,$V239)*$AB239))</f>
        <v/>
      </c>
      <c r="AH239" s="2" t="str">
        <f>IF($W239=AH$3,$AB239,IF(NOT($W239=0),"",SUMIFS('Val-Vol (2)'!AH$4:AH$1116,'Val-Vol (2)'!$A$4:$A$1116,$D239,'Val-Vol (2)'!$V$4:$V$1116,$V239)/SUMIFS('Comp2016-2017 (3)'!$G$5:$G$289,'Comp2016-2017 (3)'!$A$5:$A$289,$D239,'Comp2016-2017 (3)'!$R$5:$R$289,$V239)*$AB239))</f>
        <v/>
      </c>
      <c r="AI239" s="2" t="str">
        <f>IF($W239=AI$3,$AB239,IF(NOT($W239=0),"",SUMIFS('Val-Vol (2)'!AI$4:AI$1116,'Val-Vol (2)'!$A$4:$A$1116,$D239,'Val-Vol (2)'!$V$4:$V$1116,$V239)/SUMIFS('Comp2016-2017 (3)'!$G$5:$G$289,'Comp2016-2017 (3)'!$A$5:$A$289,$D239,'Comp2016-2017 (3)'!$R$5:$R$289,$V239)*$AB239))</f>
        <v/>
      </c>
      <c r="AJ239" s="2">
        <f>IF($W239=AJ$3,$AB239,IF(NOT($W239=0),"",SUMIFS('Val-Vol (2)'!AJ$4:AJ$1116,'Val-Vol (2)'!$A$4:$A$1116,$D239,'Val-Vol (2)'!$V$4:$V$1116,$V239)/SUMIFS('Comp2016-2017 (3)'!$G$5:$G$289,'Comp2016-2017 (3)'!$A$5:$A$289,$D239,'Comp2016-2017 (3)'!$R$5:$R$289,$V239)*$AB239))</f>
        <v>0</v>
      </c>
      <c r="AK239" s="2">
        <f t="shared" si="23"/>
        <v>0</v>
      </c>
      <c r="AL239" t="str">
        <f t="shared" si="19"/>
        <v/>
      </c>
      <c r="AM239" t="str">
        <f>VLOOKUP(A239,'Table corresp.'!$M$4:$U$63,8,FALSE)</f>
        <v>Production finale</v>
      </c>
      <c r="AN239" t="str">
        <f>VLOOKUP(D239,'Table corresp.'!$M$4:$U$63,9,FALSE)</f>
        <v>Consommation finale française</v>
      </c>
    </row>
    <row r="240" spans="1:40" x14ac:dyDescent="0.25">
      <c r="A240" t="s">
        <v>89</v>
      </c>
      <c r="B240" t="str">
        <f>VLOOKUP(LEFT(A240,3),'Table corresp.'!$A$4:$D$63,3,FALSE)</f>
        <v>Transformation</v>
      </c>
      <c r="C240" t="str">
        <f>VLOOKUP(A240,'Table corresp.'!$M$4:$P$63,4,FALSE)</f>
        <v>Production et transformation de produits bois</v>
      </c>
      <c r="D240" t="s">
        <v>22</v>
      </c>
      <c r="E240" t="str">
        <f>VLOOKUP(LEFT(D240,3),'Table corresp.'!$A$4:$D$63,4,FALSE)</f>
        <v>Transformation</v>
      </c>
      <c r="F240" t="str">
        <f t="shared" si="18"/>
        <v xml:space="preserve">33  - 55 </v>
      </c>
      <c r="G240" s="1">
        <v>5000</v>
      </c>
      <c r="H240" s="1">
        <v>0</v>
      </c>
      <c r="I240" s="1">
        <v>5000</v>
      </c>
      <c r="J240" s="1">
        <v>0.70970302284278242</v>
      </c>
      <c r="K240" s="1">
        <v>0</v>
      </c>
      <c r="L240" s="1">
        <v>0.70970302284278242</v>
      </c>
      <c r="M240" s="1">
        <v>0.78387915689246979</v>
      </c>
      <c r="N240" s="1">
        <v>0</v>
      </c>
      <c r="O240" s="1">
        <v>0.78387915689246979</v>
      </c>
      <c r="P240" s="1">
        <v>0.21104615049124278</v>
      </c>
      <c r="Q240" s="1">
        <v>0</v>
      </c>
      <c r="R240" s="1">
        <v>0.21104615049124278</v>
      </c>
      <c r="S240" s="67"/>
      <c r="T240">
        <f>VLOOKUP(A240,'Groupe de branches'!$Z$27:$AM$86,14,FALSE)</f>
        <v>0</v>
      </c>
      <c r="U240">
        <f>VLOOKUP(D240,'Groupe de branches'!$Z$27:$AM$86,14,FALSE)</f>
        <v>0</v>
      </c>
      <c r="V240">
        <v>2016</v>
      </c>
      <c r="W240" t="str">
        <f>VLOOKUP(D240,'Table corresp.'!$M$4:$S$63,7,FALSE)</f>
        <v>Construction</v>
      </c>
      <c r="X240" s="167">
        <f>IFERROR(G240/SUMIFS('Comp2016-2017 (3)'!$I$5:$I$289,'Comp2016-2017 (3)'!$A$5:$A$289,A240,'Comp2016-2017 (3)'!$R$5:$R$289,V240),0)</f>
        <v>6.1285172892087077E-2</v>
      </c>
      <c r="Y240" s="178">
        <f>IFERROR(IF(RIGHT(F240,3)="Exp",VLOOKUP(F240,#REF!,2,FALSE),VLOOKUP(F240,#REF!,9,FALSE)),1)</f>
        <v>1</v>
      </c>
      <c r="Z240" s="167">
        <f t="shared" ref="Z240:Z271" si="25">Y240/SUMIFS($Y$4:$Y$1116,$V$4:$V$1116,V240,$A$4:$A$1116,A240)</f>
        <v>0.25</v>
      </c>
      <c r="AA240" s="189">
        <f t="shared" si="21"/>
        <v>1.5321293223021769E-2</v>
      </c>
      <c r="AB240" s="2">
        <f>IFERROR(SUMIFS('Comp2016-2017 (3)'!$G$5:$G$289,'Comp2016-2017 (3)'!$A$5:$A$289,A240,'Comp2016-2017 (3)'!$R$5:$R$289,V240)*AA240/SUMIFS($AA$4:$AA$1116,$A$4:$A$1116,A240,$V$4:$V$1116,V240),0)</f>
        <v>1300.0000367797991</v>
      </c>
      <c r="AC240" s="2" t="str">
        <f>IF($W240=AC$3,$AB240,IF(NOT($W240=0),"",SUMIFS('Val-Vol (2)'!AC$4:AC$1116,'Val-Vol (2)'!$A$4:$A$1116,$D240,'Val-Vol (2)'!$V$4:$V$1116,$V240)/SUMIFS('Comp2016-2017 (3)'!$G$5:$G$289,'Comp2016-2017 (3)'!$A$5:$A$289,$D240,'Comp2016-2017 (3)'!$R$5:$R$289,$V240)*$AB240))</f>
        <v/>
      </c>
      <c r="AD240" s="2">
        <f>IF($W240=AD$3,$AB240,IF(NOT($W240=0),"",SUMIFS('Val-Vol (2)'!AD$4:AD$1116,'Val-Vol (2)'!$A$4:$A$1116,$D240,'Val-Vol (2)'!$V$4:$V$1116,$V240)/SUMIFS('Comp2016-2017 (3)'!$G$5:$G$289,'Comp2016-2017 (3)'!$A$5:$A$289,$D240,'Comp2016-2017 (3)'!$R$5:$R$289,$V240)*$AB240))</f>
        <v>1300.0000367797991</v>
      </c>
      <c r="AE240" s="2" t="str">
        <f>IF($W240=AE$3,$AB240,IF(NOT($W240=0),"",SUMIFS('Val-Vol (2)'!AE$4:AE$1116,'Val-Vol (2)'!$A$4:$A$1116,$D240,'Val-Vol (2)'!$V$4:$V$1116,$V240)/SUMIFS('Comp2016-2017 (3)'!$G$5:$G$289,'Comp2016-2017 (3)'!$A$5:$A$289,$D240,'Comp2016-2017 (3)'!$R$5:$R$289,$V240)*$AB240))</f>
        <v/>
      </c>
      <c r="AF240" s="2" t="str">
        <f>IF($W240=AF$3,$AB240,IF(NOT($W240=0),"",SUMIFS('Val-Vol (2)'!AF$4:AF$1116,'Val-Vol (2)'!$A$4:$A$1116,$D240,'Val-Vol (2)'!$V$4:$V$1116,$V240)/SUMIFS('Comp2016-2017 (3)'!$G$5:$G$289,'Comp2016-2017 (3)'!$A$5:$A$289,$D240,'Comp2016-2017 (3)'!$R$5:$R$289,$V240)*$AB240))</f>
        <v/>
      </c>
      <c r="AG240" s="2" t="str">
        <f>IF($W240=AG$3,$AB240,IF(NOT($W240=0),"",SUMIFS('Val-Vol (2)'!AG$4:AG$1116,'Val-Vol (2)'!$A$4:$A$1116,$D240,'Val-Vol (2)'!$V$4:$V$1116,$V240)/SUMIFS('Comp2016-2017 (3)'!$G$5:$G$289,'Comp2016-2017 (3)'!$A$5:$A$289,$D240,'Comp2016-2017 (3)'!$R$5:$R$289,$V240)*$AB240))</f>
        <v/>
      </c>
      <c r="AH240" s="2" t="str">
        <f>IF($W240=AH$3,$AB240,IF(NOT($W240=0),"",SUMIFS('Val-Vol (2)'!AH$4:AH$1116,'Val-Vol (2)'!$A$4:$A$1116,$D240,'Val-Vol (2)'!$V$4:$V$1116,$V240)/SUMIFS('Comp2016-2017 (3)'!$G$5:$G$289,'Comp2016-2017 (3)'!$A$5:$A$289,$D240,'Comp2016-2017 (3)'!$R$5:$R$289,$V240)*$AB240))</f>
        <v/>
      </c>
      <c r="AI240" s="2" t="str">
        <f>IF($W240=AI$3,$AB240,IF(NOT($W240=0),"",SUMIFS('Val-Vol (2)'!AI$4:AI$1116,'Val-Vol (2)'!$A$4:$A$1116,$D240,'Val-Vol (2)'!$V$4:$V$1116,$V240)/SUMIFS('Comp2016-2017 (3)'!$G$5:$G$289,'Comp2016-2017 (3)'!$A$5:$A$289,$D240,'Comp2016-2017 (3)'!$R$5:$R$289,$V240)*$AB240))</f>
        <v/>
      </c>
      <c r="AJ240" s="2" t="str">
        <f>IF($W240=AJ$3,$AB240,IF(NOT($W240=0),"",SUMIFS('Val-Vol (2)'!AJ$4:AJ$1116,'Val-Vol (2)'!$A$4:$A$1116,$D240,'Val-Vol (2)'!$V$4:$V$1116,$V240)/SUMIFS('Comp2016-2017 (3)'!$G$5:$G$289,'Comp2016-2017 (3)'!$A$5:$A$289,$D240,'Comp2016-2017 (3)'!$R$5:$R$289,$V240)*$AB240))</f>
        <v/>
      </c>
      <c r="AK240" s="2">
        <f t="shared" si="23"/>
        <v>0</v>
      </c>
      <c r="AL240" t="str">
        <f t="shared" si="19"/>
        <v/>
      </c>
      <c r="AM240" t="str">
        <f>VLOOKUP(A240,'Table corresp.'!$M$4:$U$63,8,FALSE)</f>
        <v>Production finale</v>
      </c>
      <c r="AN240" t="str">
        <f>VLOOKUP(D240,'Table corresp.'!$M$4:$U$63,9,FALSE)</f>
        <v xml:space="preserve">Mise en œuvre </v>
      </c>
    </row>
    <row r="241" spans="1:40" x14ac:dyDescent="0.25">
      <c r="A241" t="s">
        <v>89</v>
      </c>
      <c r="B241" t="str">
        <f>VLOOKUP(LEFT(A241,3),'Table corresp.'!$A$4:$D$63,3,FALSE)</f>
        <v>Transformation</v>
      </c>
      <c r="C241" t="str">
        <f>VLOOKUP(A241,'Table corresp.'!$M$4:$P$63,4,FALSE)</f>
        <v>Production et transformation de produits bois</v>
      </c>
      <c r="D241" t="s">
        <v>23</v>
      </c>
      <c r="E241" t="str">
        <f>VLOOKUP(LEFT(D241,3),'Table corresp.'!$A$4:$D$63,4,FALSE)</f>
        <v>Transformation</v>
      </c>
      <c r="F241" t="str">
        <f t="shared" si="18"/>
        <v xml:space="preserve">33  - 56 </v>
      </c>
      <c r="G241" s="1">
        <v>22983.200000000001</v>
      </c>
      <c r="H241" s="1">
        <v>24805.8</v>
      </c>
      <c r="I241" s="1">
        <v>47789</v>
      </c>
      <c r="J241" s="1">
        <v>3.9146991635040576</v>
      </c>
      <c r="K241" s="1">
        <v>4.387826766475631</v>
      </c>
      <c r="L241" s="1">
        <v>8.302525929979689</v>
      </c>
      <c r="M241" s="1">
        <v>4.3238523452858431</v>
      </c>
      <c r="N241" s="1">
        <v>4.8464298947435562</v>
      </c>
      <c r="O241" s="1">
        <v>9.1702822400293993</v>
      </c>
      <c r="P241" s="1">
        <v>1.1641238126328795</v>
      </c>
      <c r="Q241" s="1">
        <v>1.3048189429682895</v>
      </c>
      <c r="R241" s="1">
        <v>2.4689427556011689</v>
      </c>
      <c r="S241" s="67" t="s">
        <v>192</v>
      </c>
      <c r="T241">
        <f>VLOOKUP(A241,'Groupe de branches'!$Z$27:$AM$86,14,FALSE)</f>
        <v>0</v>
      </c>
      <c r="U241">
        <f>VLOOKUP(D241,'Groupe de branches'!$Z$27:$AM$86,14,FALSE)</f>
        <v>0</v>
      </c>
      <c r="V241">
        <v>2016</v>
      </c>
      <c r="W241" t="str">
        <f>VLOOKUP(D241,'Table corresp.'!$M$4:$S$63,7,FALSE)</f>
        <v>Construction</v>
      </c>
      <c r="X241" s="167">
        <f>IFERROR(G241/SUMIFS('Comp2016-2017 (3)'!$I$5:$I$289,'Comp2016-2017 (3)'!$A$5:$A$289,A241,'Comp2016-2017 (3)'!$R$5:$R$289,V241),0)</f>
        <v>0.28170587712268319</v>
      </c>
      <c r="Y241" s="178">
        <f>IFERROR(IF(RIGHT(F241,3)="Exp",VLOOKUP(F241,#REF!,2,FALSE),VLOOKUP(F241,#REF!,9,FALSE)),1)</f>
        <v>1</v>
      </c>
      <c r="Z241" s="167">
        <f t="shared" si="25"/>
        <v>0.25</v>
      </c>
      <c r="AA241" s="189">
        <f t="shared" si="21"/>
        <v>7.0426469280670798E-2</v>
      </c>
      <c r="AB241" s="2">
        <f>IFERROR(SUMIFS('Comp2016-2017 (3)'!$G$5:$G$289,'Comp2016-2017 (3)'!$A$5:$A$289,A241,'Comp2016-2017 (3)'!$R$5:$R$289,V241)*AA241/SUMIFS($AA$4:$AA$1116,$A$4:$A$1116,A241,$V$4:$V$1116,V241),0)</f>
        <v>5975.6321690634968</v>
      </c>
      <c r="AC241" s="2" t="str">
        <f>IF($W241=AC$3,$AB241,IF(NOT($W241=0),"",SUMIFS('Val-Vol (2)'!AC$4:AC$1116,'Val-Vol (2)'!$A$4:$A$1116,$D241,'Val-Vol (2)'!$V$4:$V$1116,$V241)/SUMIFS('Comp2016-2017 (3)'!$G$5:$G$289,'Comp2016-2017 (3)'!$A$5:$A$289,$D241,'Comp2016-2017 (3)'!$R$5:$R$289,$V241)*$AB241))</f>
        <v/>
      </c>
      <c r="AD241" s="2">
        <f>IF($W241=AD$3,$AB241,IF(NOT($W241=0),"",SUMIFS('Val-Vol (2)'!AD$4:AD$1116,'Val-Vol (2)'!$A$4:$A$1116,$D241,'Val-Vol (2)'!$V$4:$V$1116,$V241)/SUMIFS('Comp2016-2017 (3)'!$G$5:$G$289,'Comp2016-2017 (3)'!$A$5:$A$289,$D241,'Comp2016-2017 (3)'!$R$5:$R$289,$V241)*$AB241))</f>
        <v>5975.6321690634968</v>
      </c>
      <c r="AE241" s="2" t="str">
        <f>IF($W241=AE$3,$AB241,IF(NOT($W241=0),"",SUMIFS('Val-Vol (2)'!AE$4:AE$1116,'Val-Vol (2)'!$A$4:$A$1116,$D241,'Val-Vol (2)'!$V$4:$V$1116,$V241)/SUMIFS('Comp2016-2017 (3)'!$G$5:$G$289,'Comp2016-2017 (3)'!$A$5:$A$289,$D241,'Comp2016-2017 (3)'!$R$5:$R$289,$V241)*$AB241))</f>
        <v/>
      </c>
      <c r="AF241" s="2" t="str">
        <f>IF($W241=AF$3,$AB241,IF(NOT($W241=0),"",SUMIFS('Val-Vol (2)'!AF$4:AF$1116,'Val-Vol (2)'!$A$4:$A$1116,$D241,'Val-Vol (2)'!$V$4:$V$1116,$V241)/SUMIFS('Comp2016-2017 (3)'!$G$5:$G$289,'Comp2016-2017 (3)'!$A$5:$A$289,$D241,'Comp2016-2017 (3)'!$R$5:$R$289,$V241)*$AB241))</f>
        <v/>
      </c>
      <c r="AG241" s="2" t="str">
        <f>IF($W241=AG$3,$AB241,IF(NOT($W241=0),"",SUMIFS('Val-Vol (2)'!AG$4:AG$1116,'Val-Vol (2)'!$A$4:$A$1116,$D241,'Val-Vol (2)'!$V$4:$V$1116,$V241)/SUMIFS('Comp2016-2017 (3)'!$G$5:$G$289,'Comp2016-2017 (3)'!$A$5:$A$289,$D241,'Comp2016-2017 (3)'!$R$5:$R$289,$V241)*$AB241))</f>
        <v/>
      </c>
      <c r="AH241" s="2" t="str">
        <f>IF($W241=AH$3,$AB241,IF(NOT($W241=0),"",SUMIFS('Val-Vol (2)'!AH$4:AH$1116,'Val-Vol (2)'!$A$4:$A$1116,$D241,'Val-Vol (2)'!$V$4:$V$1116,$V241)/SUMIFS('Comp2016-2017 (3)'!$G$5:$G$289,'Comp2016-2017 (3)'!$A$5:$A$289,$D241,'Comp2016-2017 (3)'!$R$5:$R$289,$V241)*$AB241))</f>
        <v/>
      </c>
      <c r="AI241" s="2" t="str">
        <f>IF($W241=AI$3,$AB241,IF(NOT($W241=0),"",SUMIFS('Val-Vol (2)'!AI$4:AI$1116,'Val-Vol (2)'!$A$4:$A$1116,$D241,'Val-Vol (2)'!$V$4:$V$1116,$V241)/SUMIFS('Comp2016-2017 (3)'!$G$5:$G$289,'Comp2016-2017 (3)'!$A$5:$A$289,$D241,'Comp2016-2017 (3)'!$R$5:$R$289,$V241)*$AB241))</f>
        <v/>
      </c>
      <c r="AJ241" s="2" t="str">
        <f>IF($W241=AJ$3,$AB241,IF(NOT($W241=0),"",SUMIFS('Val-Vol (2)'!AJ$4:AJ$1116,'Val-Vol (2)'!$A$4:$A$1116,$D241,'Val-Vol (2)'!$V$4:$V$1116,$V241)/SUMIFS('Comp2016-2017 (3)'!$G$5:$G$289,'Comp2016-2017 (3)'!$A$5:$A$289,$D241,'Comp2016-2017 (3)'!$R$5:$R$289,$V241)*$AB241))</f>
        <v/>
      </c>
      <c r="AK241" s="2">
        <f t="shared" si="23"/>
        <v>0</v>
      </c>
      <c r="AL241" t="str">
        <f t="shared" si="19"/>
        <v/>
      </c>
      <c r="AM241" t="str">
        <f>VLOOKUP(A241,'Table corresp.'!$M$4:$U$63,8,FALSE)</f>
        <v>Production finale</v>
      </c>
      <c r="AN241" t="str">
        <f>VLOOKUP(D241,'Table corresp.'!$M$4:$U$63,9,FALSE)</f>
        <v xml:space="preserve">Mise en œuvre </v>
      </c>
    </row>
    <row r="242" spans="1:40" x14ac:dyDescent="0.25">
      <c r="A242" t="s">
        <v>89</v>
      </c>
      <c r="B242" t="str">
        <f>VLOOKUP(LEFT(A242,3),'Table corresp.'!$A$4:$D$63,3,FALSE)</f>
        <v>Transformation</v>
      </c>
      <c r="C242" t="str">
        <f>VLOOKUP(A242,'Table corresp.'!$M$4:$P$63,4,FALSE)</f>
        <v>Production et transformation de produits bois</v>
      </c>
      <c r="D242" t="s">
        <v>54</v>
      </c>
      <c r="E242" t="str">
        <f>VLOOKUP(LEFT(D242,3),'Table corresp.'!$A$4:$D$63,4,FALSE)</f>
        <v>Consommation finale</v>
      </c>
      <c r="F242" t="str">
        <f t="shared" si="18"/>
        <v>33  - Con</v>
      </c>
      <c r="G242" s="1">
        <v>33039.599999999991</v>
      </c>
      <c r="H242" s="1">
        <v>57880.2</v>
      </c>
      <c r="I242" s="1">
        <v>90919.799999999988</v>
      </c>
      <c r="J242" s="1">
        <v>8.4413894376659009</v>
      </c>
      <c r="K242" s="1">
        <v>15.357393682664707</v>
      </c>
      <c r="L242" s="1">
        <v>23.798783120330608</v>
      </c>
      <c r="M242" s="1">
        <v>9.3236593651431985</v>
      </c>
      <c r="N242" s="1">
        <v>16.962504631602446</v>
      </c>
      <c r="O242" s="1">
        <v>26.286163996745643</v>
      </c>
      <c r="P242" s="1">
        <v>2.5102369417573667</v>
      </c>
      <c r="Q242" s="1">
        <v>4.5668663003890133</v>
      </c>
      <c r="R242" s="1">
        <v>7.0771032421463804</v>
      </c>
      <c r="S242" s="67" t="s">
        <v>192</v>
      </c>
      <c r="T242">
        <f>VLOOKUP(A242,'Groupe de branches'!$Z$27:$AM$86,14,FALSE)</f>
        <v>0</v>
      </c>
      <c r="U242">
        <f>VLOOKUP(D242,'Groupe de branches'!$Z$27:$AM$86,14,FALSE)</f>
        <v>0</v>
      </c>
      <c r="V242">
        <v>2016</v>
      </c>
      <c r="W242" t="str">
        <f>VLOOKUP(D242,'Table corresp.'!$M$4:$S$63,7,FALSE)</f>
        <v>Consommation finale</v>
      </c>
      <c r="X242" s="167">
        <f>IFERROR(G242/SUMIFS('Comp2016-2017 (3)'!$I$5:$I$289,'Comp2016-2017 (3)'!$A$5:$A$289,A242,'Comp2016-2017 (3)'!$R$5:$R$289,V242),0)</f>
        <v>0.40496751965707994</v>
      </c>
      <c r="Y242" s="178">
        <f>IFERROR(IF(RIGHT(F242,3)="Exp",VLOOKUP(F242,#REF!,2,FALSE),VLOOKUP(F242,#REF!,9,FALSE)),1)</f>
        <v>1</v>
      </c>
      <c r="Z242" s="167">
        <f t="shared" si="25"/>
        <v>0.25</v>
      </c>
      <c r="AA242" s="189">
        <f t="shared" si="21"/>
        <v>0.10124187991426999</v>
      </c>
      <c r="AB242" s="2">
        <f>IFERROR(SUMIFS('Comp2016-2017 (3)'!$G$5:$G$289,'Comp2016-2017 (3)'!$A$5:$A$289,A242,'Comp2016-2017 (3)'!$R$5:$R$289,V242)*AA242/SUMIFS($AA$4:$AA$1116,$A$4:$A$1116,A242,$V$4:$V$1116,V242),0)</f>
        <v>8590.2962430379666</v>
      </c>
      <c r="AC242" s="2" t="str">
        <f>IF($W242=AC$3,$AB242,IF(NOT($W242=0),"",SUMIFS('Val-Vol (2)'!AC$4:AC$1116,'Val-Vol (2)'!$A$4:$A$1116,$D242,'Val-Vol (2)'!$V$4:$V$1116,$V242)/SUMIFS('Comp2016-2017 (3)'!$G$5:$G$289,'Comp2016-2017 (3)'!$A$5:$A$289,$D242,'Comp2016-2017 (3)'!$R$5:$R$289,$V242)*$AB242))</f>
        <v/>
      </c>
      <c r="AD242" s="2" t="str">
        <f>IF($W242=AD$3,$AB242,IF(NOT($W242=0),"",SUMIFS('Val-Vol (2)'!AD$4:AD$1116,'Val-Vol (2)'!$A$4:$A$1116,$D242,'Val-Vol (2)'!$V$4:$V$1116,$V242)/SUMIFS('Comp2016-2017 (3)'!$G$5:$G$289,'Comp2016-2017 (3)'!$A$5:$A$289,$D242,'Comp2016-2017 (3)'!$R$5:$R$289,$V242)*$AB242))</f>
        <v/>
      </c>
      <c r="AE242" s="2" t="str">
        <f>IF($W242=AE$3,$AB242,IF(NOT($W242=0),"",SUMIFS('Val-Vol (2)'!AE$4:AE$1116,'Val-Vol (2)'!$A$4:$A$1116,$D242,'Val-Vol (2)'!$V$4:$V$1116,$V242)/SUMIFS('Comp2016-2017 (3)'!$G$5:$G$289,'Comp2016-2017 (3)'!$A$5:$A$289,$D242,'Comp2016-2017 (3)'!$R$5:$R$289,$V242)*$AB242))</f>
        <v/>
      </c>
      <c r="AF242" s="2" t="str">
        <f>IF($W242=AF$3,$AB242,IF(NOT($W242=0),"",SUMIFS('Val-Vol (2)'!AF$4:AF$1116,'Val-Vol (2)'!$A$4:$A$1116,$D242,'Val-Vol (2)'!$V$4:$V$1116,$V242)/SUMIFS('Comp2016-2017 (3)'!$G$5:$G$289,'Comp2016-2017 (3)'!$A$5:$A$289,$D242,'Comp2016-2017 (3)'!$R$5:$R$289,$V242)*$AB242))</f>
        <v/>
      </c>
      <c r="AG242" s="2" t="str">
        <f>IF($W242=AG$3,$AB242,IF(NOT($W242=0),"",SUMIFS('Val-Vol (2)'!AG$4:AG$1116,'Val-Vol (2)'!$A$4:$A$1116,$D242,'Val-Vol (2)'!$V$4:$V$1116,$V242)/SUMIFS('Comp2016-2017 (3)'!$G$5:$G$289,'Comp2016-2017 (3)'!$A$5:$A$289,$D242,'Comp2016-2017 (3)'!$R$5:$R$289,$V242)*$AB242))</f>
        <v/>
      </c>
      <c r="AH242" s="2" t="str">
        <f>IF($W242=AH$3,$AB242,IF(NOT($W242=0),"",SUMIFS('Val-Vol (2)'!AH$4:AH$1116,'Val-Vol (2)'!$A$4:$A$1116,$D242,'Val-Vol (2)'!$V$4:$V$1116,$V242)/SUMIFS('Comp2016-2017 (3)'!$G$5:$G$289,'Comp2016-2017 (3)'!$A$5:$A$289,$D242,'Comp2016-2017 (3)'!$R$5:$R$289,$V242)*$AB242))</f>
        <v/>
      </c>
      <c r="AI242" s="2" t="str">
        <f>IF($W242=AI$3,$AB242,IF(NOT($W242=0),"",SUMIFS('Val-Vol (2)'!AI$4:AI$1116,'Val-Vol (2)'!$A$4:$A$1116,$D242,'Val-Vol (2)'!$V$4:$V$1116,$V242)/SUMIFS('Comp2016-2017 (3)'!$G$5:$G$289,'Comp2016-2017 (3)'!$A$5:$A$289,$D242,'Comp2016-2017 (3)'!$R$5:$R$289,$V242)*$AB242))</f>
        <v/>
      </c>
      <c r="AJ242" s="2">
        <f>IF($W242=AJ$3,$AB242,IF(NOT($W242=0),"",SUMIFS('Val-Vol (2)'!AJ$4:AJ$1116,'Val-Vol (2)'!$A$4:$A$1116,$D242,'Val-Vol (2)'!$V$4:$V$1116,$V242)/SUMIFS('Comp2016-2017 (3)'!$G$5:$G$289,'Comp2016-2017 (3)'!$A$5:$A$289,$D242,'Comp2016-2017 (3)'!$R$5:$R$289,$V242)*$AB242))</f>
        <v>8590.2962430379666</v>
      </c>
      <c r="AK242" s="2">
        <f t="shared" si="23"/>
        <v>0</v>
      </c>
      <c r="AL242" t="str">
        <f t="shared" si="19"/>
        <v/>
      </c>
      <c r="AM242" t="str">
        <f>VLOOKUP(A242,'Table corresp.'!$M$4:$U$63,8,FALSE)</f>
        <v>Production finale</v>
      </c>
      <c r="AN242" t="str">
        <f>VLOOKUP(D242,'Table corresp.'!$M$4:$U$63,9,FALSE)</f>
        <v>Consommation finale française</v>
      </c>
    </row>
    <row r="243" spans="1:40" x14ac:dyDescent="0.25">
      <c r="A243" t="s">
        <v>89</v>
      </c>
      <c r="B243" t="str">
        <f>VLOOKUP(LEFT(A243,3),'Table corresp.'!$A$4:$D$63,3,FALSE)</f>
        <v>Transformation</v>
      </c>
      <c r="C243" t="str">
        <f>VLOOKUP(A243,'Table corresp.'!$M$4:$P$63,4,FALSE)</f>
        <v>Production et transformation de produits bois</v>
      </c>
      <c r="D243" t="s">
        <v>53</v>
      </c>
      <c r="E243" t="str">
        <f>VLOOKUP(LEFT(D243,3),'Table corresp.'!$A$4:$D$63,4,FALSE)</f>
        <v>Exportation</v>
      </c>
      <c r="F243" t="str">
        <f t="shared" si="18"/>
        <v>33  - Exp</v>
      </c>
      <c r="G243" s="1">
        <v>20563</v>
      </c>
      <c r="H243" s="1">
        <v>0</v>
      </c>
      <c r="I243" s="1">
        <v>20563</v>
      </c>
      <c r="J243" s="1">
        <v>4.6878327789238501</v>
      </c>
      <c r="K243" s="1">
        <v>0</v>
      </c>
      <c r="L243" s="1">
        <v>4.6878327789238501</v>
      </c>
      <c r="M243" s="1">
        <v>5.1777916792243275</v>
      </c>
      <c r="N243" s="1">
        <v>0</v>
      </c>
      <c r="O243" s="1">
        <v>5.1777916792243275</v>
      </c>
      <c r="P243" s="1">
        <v>1.3940324759722915</v>
      </c>
      <c r="Q243" s="1">
        <v>0</v>
      </c>
      <c r="R243" s="1">
        <v>1.3940324759722915</v>
      </c>
      <c r="S243" s="67" t="s">
        <v>192</v>
      </c>
      <c r="T243">
        <f>VLOOKUP(A243,'Groupe de branches'!$Z$27:$AM$86,14,FALSE)</f>
        <v>0</v>
      </c>
      <c r="U243">
        <f>VLOOKUP(D243,'Groupe de branches'!$Z$27:$AM$86,14,FALSE)</f>
        <v>0</v>
      </c>
      <c r="V243">
        <v>2016</v>
      </c>
      <c r="W243" t="str">
        <f>VLOOKUP(D243,'Table corresp.'!$M$4:$S$63,7,FALSE)</f>
        <v>Exportation</v>
      </c>
      <c r="X243" s="167">
        <f>IFERROR(G243/SUMIFS('Comp2016-2017 (3)'!$I$5:$I$289,'Comp2016-2017 (3)'!$A$5:$A$289,A243,'Comp2016-2017 (3)'!$R$5:$R$289,V243),0)</f>
        <v>0.25204140203599734</v>
      </c>
      <c r="Y243" s="178">
        <f>IFERROR(IF(RIGHT(F243,3)="Exp",VLOOKUP(F243,#REF!,2,FALSE),VLOOKUP(F243,#REF!,9,FALSE)),1)</f>
        <v>1</v>
      </c>
      <c r="Z243" s="167">
        <f t="shared" si="25"/>
        <v>0.25</v>
      </c>
      <c r="AA243" s="189">
        <f t="shared" si="21"/>
        <v>6.3010350508999335E-2</v>
      </c>
      <c r="AB243" s="2">
        <f>IFERROR(SUMIFS('Comp2016-2017 (3)'!$G$5:$G$289,'Comp2016-2017 (3)'!$A$5:$A$289,A243,'Comp2016-2017 (3)'!$R$5:$R$289,V243)*AA243/SUMIFS($AA$4:$AA$1116,$A$4:$A$1116,A243,$V$4:$V$1116,V243),0)</f>
        <v>5346.3801512606024</v>
      </c>
      <c r="AC243" s="2">
        <f>IF($W243=AC$3,$AB243,IF(NOT($W243=0),"",SUMIFS('Val-Vol (2)'!AC$4:AC$1116,'Val-Vol (2)'!$A$4:$A$1116,$D243,'Val-Vol (2)'!$V$4:$V$1116,$V243)/SUMIFS('Comp2016-2017 (3)'!$G$5:$G$289,'Comp2016-2017 (3)'!$A$5:$A$289,$D243,'Comp2016-2017 (3)'!$R$5:$R$289,$V243)*$AB243))</f>
        <v>5346.3801512606024</v>
      </c>
      <c r="AD243" s="2" t="str">
        <f>IF($W243=AD$3,$AB243,IF(NOT($W243=0),"",SUMIFS('Val-Vol (2)'!AD$4:AD$1116,'Val-Vol (2)'!$A$4:$A$1116,$D243,'Val-Vol (2)'!$V$4:$V$1116,$V243)/SUMIFS('Comp2016-2017 (3)'!$G$5:$G$289,'Comp2016-2017 (3)'!$A$5:$A$289,$D243,'Comp2016-2017 (3)'!$R$5:$R$289,$V243)*$AB243))</f>
        <v/>
      </c>
      <c r="AE243" s="2" t="str">
        <f>IF($W243=AE$3,$AB243,IF(NOT($W243=0),"",SUMIFS('Val-Vol (2)'!AE$4:AE$1116,'Val-Vol (2)'!$A$4:$A$1116,$D243,'Val-Vol (2)'!$V$4:$V$1116,$V243)/SUMIFS('Comp2016-2017 (3)'!$G$5:$G$289,'Comp2016-2017 (3)'!$A$5:$A$289,$D243,'Comp2016-2017 (3)'!$R$5:$R$289,$V243)*$AB243))</f>
        <v/>
      </c>
      <c r="AF243" s="2" t="str">
        <f>IF($W243=AF$3,$AB243,IF(NOT($W243=0),"",SUMIFS('Val-Vol (2)'!AF$4:AF$1116,'Val-Vol (2)'!$A$4:$A$1116,$D243,'Val-Vol (2)'!$V$4:$V$1116,$V243)/SUMIFS('Comp2016-2017 (3)'!$G$5:$G$289,'Comp2016-2017 (3)'!$A$5:$A$289,$D243,'Comp2016-2017 (3)'!$R$5:$R$289,$V243)*$AB243))</f>
        <v/>
      </c>
      <c r="AG243" s="2" t="str">
        <f>IF($W243=AG$3,$AB243,IF(NOT($W243=0),"",SUMIFS('Val-Vol (2)'!AG$4:AG$1116,'Val-Vol (2)'!$A$4:$A$1116,$D243,'Val-Vol (2)'!$V$4:$V$1116,$V243)/SUMIFS('Comp2016-2017 (3)'!$G$5:$G$289,'Comp2016-2017 (3)'!$A$5:$A$289,$D243,'Comp2016-2017 (3)'!$R$5:$R$289,$V243)*$AB243))</f>
        <v/>
      </c>
      <c r="AH243" s="2" t="str">
        <f>IF($W243=AH$3,$AB243,IF(NOT($W243=0),"",SUMIFS('Val-Vol (2)'!AH$4:AH$1116,'Val-Vol (2)'!$A$4:$A$1116,$D243,'Val-Vol (2)'!$V$4:$V$1116,$V243)/SUMIFS('Comp2016-2017 (3)'!$G$5:$G$289,'Comp2016-2017 (3)'!$A$5:$A$289,$D243,'Comp2016-2017 (3)'!$R$5:$R$289,$V243)*$AB243))</f>
        <v/>
      </c>
      <c r="AI243" s="2" t="str">
        <f>IF($W243=AI$3,$AB243,IF(NOT($W243=0),"",SUMIFS('Val-Vol (2)'!AI$4:AI$1116,'Val-Vol (2)'!$A$4:$A$1116,$D243,'Val-Vol (2)'!$V$4:$V$1116,$V243)/SUMIFS('Comp2016-2017 (3)'!$G$5:$G$289,'Comp2016-2017 (3)'!$A$5:$A$289,$D243,'Comp2016-2017 (3)'!$R$5:$R$289,$V243)*$AB243))</f>
        <v/>
      </c>
      <c r="AJ243" s="2" t="str">
        <f>IF($W243=AJ$3,$AB243,IF(NOT($W243=0),"",SUMIFS('Val-Vol (2)'!AJ$4:AJ$1116,'Val-Vol (2)'!$A$4:$A$1116,$D243,'Val-Vol (2)'!$V$4:$V$1116,$V243)/SUMIFS('Comp2016-2017 (3)'!$G$5:$G$289,'Comp2016-2017 (3)'!$A$5:$A$289,$D243,'Comp2016-2017 (3)'!$R$5:$R$289,$V243)*$AB243))</f>
        <v/>
      </c>
      <c r="AK243" s="2">
        <f t="shared" si="23"/>
        <v>0</v>
      </c>
      <c r="AL243" t="str">
        <f t="shared" si="19"/>
        <v/>
      </c>
      <c r="AM243" t="str">
        <f>VLOOKUP(A243,'Table corresp.'!$M$4:$U$63,8,FALSE)</f>
        <v>Production finale</v>
      </c>
      <c r="AN243" t="str">
        <f>VLOOKUP(D243,'Table corresp.'!$M$4:$U$63,9,FALSE)</f>
        <v>Exportation</v>
      </c>
    </row>
    <row r="244" spans="1:40" x14ac:dyDescent="0.25">
      <c r="A244" t="s">
        <v>90</v>
      </c>
      <c r="B244" t="str">
        <f>VLOOKUP(LEFT(A244,3),'Table corresp.'!$A$4:$D$63,3,FALSE)</f>
        <v>Transformation</v>
      </c>
      <c r="C244" t="str">
        <f>VLOOKUP(A244,'Table corresp.'!$M$4:$P$63,4,FALSE)</f>
        <v>Production et transformation de produits bois</v>
      </c>
      <c r="D244" t="s">
        <v>24</v>
      </c>
      <c r="E244" t="str">
        <f>VLOOKUP(LEFT(D244,3),'Table corresp.'!$A$4:$D$63,4,FALSE)</f>
        <v>Transformation</v>
      </c>
      <c r="F244" t="str">
        <f t="shared" si="18"/>
        <v xml:space="preserve">34  - 57 </v>
      </c>
      <c r="G244" s="1">
        <v>495803.56060000003</v>
      </c>
      <c r="H244" s="1">
        <v>47694.989399999999</v>
      </c>
      <c r="I244" s="1">
        <v>543498.55000000005</v>
      </c>
      <c r="J244" s="1">
        <v>416.34231804863123</v>
      </c>
      <c r="K244" s="1">
        <v>53.208865938883221</v>
      </c>
      <c r="L244" s="1">
        <v>469.55118398751443</v>
      </c>
      <c r="M244" s="1">
        <v>48.081395531036875</v>
      </c>
      <c r="N244" s="1">
        <v>6.1448390376366424</v>
      </c>
      <c r="O244" s="1">
        <v>54.226234568673519</v>
      </c>
      <c r="P244" s="1">
        <v>8.8268394397992402</v>
      </c>
      <c r="Q244" s="1">
        <v>1.1280768157741414</v>
      </c>
      <c r="R244" s="1">
        <v>9.9549162555733819</v>
      </c>
      <c r="S244" s="67" t="s">
        <v>192</v>
      </c>
      <c r="T244">
        <f>VLOOKUP(A244,'Groupe de branches'!$Z$27:$AM$86,14,FALSE)</f>
        <v>0</v>
      </c>
      <c r="U244">
        <f>VLOOKUP(D244,'Groupe de branches'!$Z$27:$AM$86,14,FALSE)</f>
        <v>0</v>
      </c>
      <c r="V244">
        <v>2016</v>
      </c>
      <c r="W244" t="str">
        <f>VLOOKUP(D244,'Table corresp.'!$M$4:$S$63,7,FALSE)</f>
        <v>Construction</v>
      </c>
      <c r="X244" s="167">
        <f>IFERROR(G244/SUMIFS('Comp2016-2017 (3)'!$I$5:$I$289,'Comp2016-2017 (3)'!$A$5:$A$289,A244,'Comp2016-2017 (3)'!$R$5:$R$289,V244),0)</f>
        <v>0.68303341766974657</v>
      </c>
      <c r="Y244" s="178">
        <f>IFERROR(IF(RIGHT(F244,3)="Exp",VLOOKUP(F244,#REF!,2,FALSE),VLOOKUP(F244,#REF!,9,FALSE)),1)</f>
        <v>1</v>
      </c>
      <c r="Z244" s="167">
        <f t="shared" si="25"/>
        <v>0.33333333333333331</v>
      </c>
      <c r="AA244" s="189">
        <f t="shared" si="21"/>
        <v>0.22767780588991551</v>
      </c>
      <c r="AB244" s="2">
        <f>IFERROR(SUMIFS('Comp2016-2017 (3)'!$G$5:$G$289,'Comp2016-2017 (3)'!$A$5:$A$289,A244,'Comp2016-2017 (3)'!$R$5:$R$289,V244)*AA244/SUMIFS($AA$4:$AA$1116,$A$4:$A$1116,A244,$V$4:$V$1116,V244),0)</f>
        <v>148741.06698696828</v>
      </c>
      <c r="AC244" s="2" t="str">
        <f>IF($W244=AC$3,$AB244,IF(NOT($W244=0),"",SUMIFS('Val-Vol (2)'!AC$4:AC$1116,'Val-Vol (2)'!$A$4:$A$1116,$D244,'Val-Vol (2)'!$V$4:$V$1116,$V244)/SUMIFS('Comp2016-2017 (3)'!$G$5:$G$289,'Comp2016-2017 (3)'!$A$5:$A$289,$D244,'Comp2016-2017 (3)'!$R$5:$R$289,$V244)*$AB244))</f>
        <v/>
      </c>
      <c r="AD244" s="2">
        <f>IF($W244=AD$3,$AB244,IF(NOT($W244=0),"",SUMIFS('Val-Vol (2)'!AD$4:AD$1116,'Val-Vol (2)'!$A$4:$A$1116,$D244,'Val-Vol (2)'!$V$4:$V$1116,$V244)/SUMIFS('Comp2016-2017 (3)'!$G$5:$G$289,'Comp2016-2017 (3)'!$A$5:$A$289,$D244,'Comp2016-2017 (3)'!$R$5:$R$289,$V244)*$AB244))</f>
        <v>148741.06698696828</v>
      </c>
      <c r="AE244" s="2" t="str">
        <f>IF($W244=AE$3,$AB244,IF(NOT($W244=0),"",SUMIFS('Val-Vol (2)'!AE$4:AE$1116,'Val-Vol (2)'!$A$4:$A$1116,$D244,'Val-Vol (2)'!$V$4:$V$1116,$V244)/SUMIFS('Comp2016-2017 (3)'!$G$5:$G$289,'Comp2016-2017 (3)'!$A$5:$A$289,$D244,'Comp2016-2017 (3)'!$R$5:$R$289,$V244)*$AB244))</f>
        <v/>
      </c>
      <c r="AF244" s="2" t="str">
        <f>IF($W244=AF$3,$AB244,IF(NOT($W244=0),"",SUMIFS('Val-Vol (2)'!AF$4:AF$1116,'Val-Vol (2)'!$A$4:$A$1116,$D244,'Val-Vol (2)'!$V$4:$V$1116,$V244)/SUMIFS('Comp2016-2017 (3)'!$G$5:$G$289,'Comp2016-2017 (3)'!$A$5:$A$289,$D244,'Comp2016-2017 (3)'!$R$5:$R$289,$V244)*$AB244))</f>
        <v/>
      </c>
      <c r="AG244" s="2" t="str">
        <f>IF($W244=AG$3,$AB244,IF(NOT($W244=0),"",SUMIFS('Val-Vol (2)'!AG$4:AG$1116,'Val-Vol (2)'!$A$4:$A$1116,$D244,'Val-Vol (2)'!$V$4:$V$1116,$V244)/SUMIFS('Comp2016-2017 (3)'!$G$5:$G$289,'Comp2016-2017 (3)'!$A$5:$A$289,$D244,'Comp2016-2017 (3)'!$R$5:$R$289,$V244)*$AB244))</f>
        <v/>
      </c>
      <c r="AH244" s="2" t="str">
        <f>IF($W244=AH$3,$AB244,IF(NOT($W244=0),"",SUMIFS('Val-Vol (2)'!AH$4:AH$1116,'Val-Vol (2)'!$A$4:$A$1116,$D244,'Val-Vol (2)'!$V$4:$V$1116,$V244)/SUMIFS('Comp2016-2017 (3)'!$G$5:$G$289,'Comp2016-2017 (3)'!$A$5:$A$289,$D244,'Comp2016-2017 (3)'!$R$5:$R$289,$V244)*$AB244))</f>
        <v/>
      </c>
      <c r="AI244" s="2" t="str">
        <f>IF($W244=AI$3,$AB244,IF(NOT($W244=0),"",SUMIFS('Val-Vol (2)'!AI$4:AI$1116,'Val-Vol (2)'!$A$4:$A$1116,$D244,'Val-Vol (2)'!$V$4:$V$1116,$V244)/SUMIFS('Comp2016-2017 (3)'!$G$5:$G$289,'Comp2016-2017 (3)'!$A$5:$A$289,$D244,'Comp2016-2017 (3)'!$R$5:$R$289,$V244)*$AB244))</f>
        <v/>
      </c>
      <c r="AJ244" s="2" t="str">
        <f>IF($W244=AJ$3,$AB244,IF(NOT($W244=0),"",SUMIFS('Val-Vol (2)'!AJ$4:AJ$1116,'Val-Vol (2)'!$A$4:$A$1116,$D244,'Val-Vol (2)'!$V$4:$V$1116,$V244)/SUMIFS('Comp2016-2017 (3)'!$G$5:$G$289,'Comp2016-2017 (3)'!$A$5:$A$289,$D244,'Comp2016-2017 (3)'!$R$5:$R$289,$V244)*$AB244))</f>
        <v/>
      </c>
      <c r="AK244" s="2">
        <f t="shared" si="23"/>
        <v>0</v>
      </c>
      <c r="AL244" t="str">
        <f t="shared" si="19"/>
        <v/>
      </c>
      <c r="AM244" t="str">
        <f>VLOOKUP(A244,'Table corresp.'!$M$4:$U$63,8,FALSE)</f>
        <v>Production finale</v>
      </c>
      <c r="AN244" t="str">
        <f>VLOOKUP(D244,'Table corresp.'!$M$4:$U$63,9,FALSE)</f>
        <v xml:space="preserve">Mise en œuvre </v>
      </c>
    </row>
    <row r="245" spans="1:40" x14ac:dyDescent="0.25">
      <c r="A245" t="s">
        <v>90</v>
      </c>
      <c r="B245" t="str">
        <f>VLOOKUP(LEFT(A245,3),'Table corresp.'!$A$4:$D$63,3,FALSE)</f>
        <v>Transformation</v>
      </c>
      <c r="C245" t="str">
        <f>VLOOKUP(A245,'Table corresp.'!$M$4:$P$63,4,FALSE)</f>
        <v>Production et transformation de produits bois</v>
      </c>
      <c r="D245" t="s">
        <v>54</v>
      </c>
      <c r="E245" t="str">
        <f>VLOOKUP(LEFT(D245,3),'Table corresp.'!$A$4:$D$63,4,FALSE)</f>
        <v>Consommation finale</v>
      </c>
      <c r="F245" t="str">
        <f t="shared" si="18"/>
        <v>34  - Con</v>
      </c>
      <c r="G245" s="1">
        <v>193476.18</v>
      </c>
      <c r="H245" s="1">
        <v>111288.3086</v>
      </c>
      <c r="I245" s="1">
        <v>304764.48859999998</v>
      </c>
      <c r="J245" s="1">
        <v>188.1210952261323</v>
      </c>
      <c r="K245" s="1">
        <v>186.23103078609128</v>
      </c>
      <c r="L245" s="1">
        <v>374.35212601222361</v>
      </c>
      <c r="M245" s="1">
        <v>21.725211190861931</v>
      </c>
      <c r="N245" s="1">
        <v>21.506936631728248</v>
      </c>
      <c r="O245" s="1">
        <v>43.232147822590179</v>
      </c>
      <c r="P245" s="1">
        <v>3.9883399568484297</v>
      </c>
      <c r="Q245" s="1">
        <v>3.9482688552094953</v>
      </c>
      <c r="R245" s="1">
        <v>7.9366088120579246</v>
      </c>
      <c r="S245" s="67" t="s">
        <v>192</v>
      </c>
      <c r="T245">
        <f>VLOOKUP(A245,'Groupe de branches'!$Z$27:$AM$86,14,FALSE)</f>
        <v>0</v>
      </c>
      <c r="U245">
        <f>VLOOKUP(D245,'Groupe de branches'!$Z$27:$AM$86,14,FALSE)</f>
        <v>0</v>
      </c>
      <c r="V245">
        <v>2016</v>
      </c>
      <c r="W245" t="str">
        <f>VLOOKUP(D245,'Table corresp.'!$M$4:$S$63,7,FALSE)</f>
        <v>Consommation finale</v>
      </c>
      <c r="X245" s="167">
        <f>IFERROR(G245/SUMIFS('Comp2016-2017 (3)'!$I$5:$I$289,'Comp2016-2017 (3)'!$A$5:$A$289,A245,'Comp2016-2017 (3)'!$R$5:$R$289,V245),0)</f>
        <v>0.2665384175603015</v>
      </c>
      <c r="Y245" s="178">
        <f>IFERROR(IF(RIGHT(F245,3)="Exp",VLOOKUP(F245,#REF!,2,FALSE),VLOOKUP(F245,#REF!,9,FALSE)),1)</f>
        <v>1</v>
      </c>
      <c r="Z245" s="167">
        <f t="shared" si="25"/>
        <v>0.33333333333333331</v>
      </c>
      <c r="AA245" s="189">
        <f t="shared" si="21"/>
        <v>8.8846139186767162E-2</v>
      </c>
      <c r="AB245" s="2">
        <f>IFERROR(SUMIFS('Comp2016-2017 (3)'!$G$5:$G$289,'Comp2016-2017 (3)'!$A$5:$A$289,A245,'Comp2016-2017 (3)'!$R$5:$R$289,V245)*AA245/SUMIFS($AA$4:$AA$1116,$A$4:$A$1116,A245,$V$4:$V$1116,V245),0)</f>
        <v>58042.853534446222</v>
      </c>
      <c r="AC245" s="2" t="str">
        <f>IF($W245=AC$3,$AB245,IF(NOT($W245=0),"",SUMIFS('Val-Vol (2)'!AC$4:AC$1116,'Val-Vol (2)'!$A$4:$A$1116,$D245,'Val-Vol (2)'!$V$4:$V$1116,$V245)/SUMIFS('Comp2016-2017 (3)'!$G$5:$G$289,'Comp2016-2017 (3)'!$A$5:$A$289,$D245,'Comp2016-2017 (3)'!$R$5:$R$289,$V245)*$AB245))</f>
        <v/>
      </c>
      <c r="AD245" s="2" t="str">
        <f>IF($W245=AD$3,$AB245,IF(NOT($W245=0),"",SUMIFS('Val-Vol (2)'!AD$4:AD$1116,'Val-Vol (2)'!$A$4:$A$1116,$D245,'Val-Vol (2)'!$V$4:$V$1116,$V245)/SUMIFS('Comp2016-2017 (3)'!$G$5:$G$289,'Comp2016-2017 (3)'!$A$5:$A$289,$D245,'Comp2016-2017 (3)'!$R$5:$R$289,$V245)*$AB245))</f>
        <v/>
      </c>
      <c r="AE245" s="2" t="str">
        <f>IF($W245=AE$3,$AB245,IF(NOT($W245=0),"",SUMIFS('Val-Vol (2)'!AE$4:AE$1116,'Val-Vol (2)'!$A$4:$A$1116,$D245,'Val-Vol (2)'!$V$4:$V$1116,$V245)/SUMIFS('Comp2016-2017 (3)'!$G$5:$G$289,'Comp2016-2017 (3)'!$A$5:$A$289,$D245,'Comp2016-2017 (3)'!$R$5:$R$289,$V245)*$AB245))</f>
        <v/>
      </c>
      <c r="AF245" s="2" t="str">
        <f>IF($W245=AF$3,$AB245,IF(NOT($W245=0),"",SUMIFS('Val-Vol (2)'!AF$4:AF$1116,'Val-Vol (2)'!$A$4:$A$1116,$D245,'Val-Vol (2)'!$V$4:$V$1116,$V245)/SUMIFS('Comp2016-2017 (3)'!$G$5:$G$289,'Comp2016-2017 (3)'!$A$5:$A$289,$D245,'Comp2016-2017 (3)'!$R$5:$R$289,$V245)*$AB245))</f>
        <v/>
      </c>
      <c r="AG245" s="2" t="str">
        <f>IF($W245=AG$3,$AB245,IF(NOT($W245=0),"",SUMIFS('Val-Vol (2)'!AG$4:AG$1116,'Val-Vol (2)'!$A$4:$A$1116,$D245,'Val-Vol (2)'!$V$4:$V$1116,$V245)/SUMIFS('Comp2016-2017 (3)'!$G$5:$G$289,'Comp2016-2017 (3)'!$A$5:$A$289,$D245,'Comp2016-2017 (3)'!$R$5:$R$289,$V245)*$AB245))</f>
        <v/>
      </c>
      <c r="AH245" s="2" t="str">
        <f>IF($W245=AH$3,$AB245,IF(NOT($W245=0),"",SUMIFS('Val-Vol (2)'!AH$4:AH$1116,'Val-Vol (2)'!$A$4:$A$1116,$D245,'Val-Vol (2)'!$V$4:$V$1116,$V245)/SUMIFS('Comp2016-2017 (3)'!$G$5:$G$289,'Comp2016-2017 (3)'!$A$5:$A$289,$D245,'Comp2016-2017 (3)'!$R$5:$R$289,$V245)*$AB245))</f>
        <v/>
      </c>
      <c r="AI245" s="2" t="str">
        <f>IF($W245=AI$3,$AB245,IF(NOT($W245=0),"",SUMIFS('Val-Vol (2)'!AI$4:AI$1116,'Val-Vol (2)'!$A$4:$A$1116,$D245,'Val-Vol (2)'!$V$4:$V$1116,$V245)/SUMIFS('Comp2016-2017 (3)'!$G$5:$G$289,'Comp2016-2017 (3)'!$A$5:$A$289,$D245,'Comp2016-2017 (3)'!$R$5:$R$289,$V245)*$AB245))</f>
        <v/>
      </c>
      <c r="AJ245" s="2">
        <f>IF($W245=AJ$3,$AB245,IF(NOT($W245=0),"",SUMIFS('Val-Vol (2)'!AJ$4:AJ$1116,'Val-Vol (2)'!$A$4:$A$1116,$D245,'Val-Vol (2)'!$V$4:$V$1116,$V245)/SUMIFS('Comp2016-2017 (3)'!$G$5:$G$289,'Comp2016-2017 (3)'!$A$5:$A$289,$D245,'Comp2016-2017 (3)'!$R$5:$R$289,$V245)*$AB245))</f>
        <v>58042.853534446222</v>
      </c>
      <c r="AK245" s="2">
        <f t="shared" si="23"/>
        <v>0</v>
      </c>
      <c r="AL245" t="str">
        <f t="shared" si="19"/>
        <v/>
      </c>
      <c r="AM245" t="str">
        <f>VLOOKUP(A245,'Table corresp.'!$M$4:$U$63,8,FALSE)</f>
        <v>Production finale</v>
      </c>
      <c r="AN245" t="str">
        <f>VLOOKUP(D245,'Table corresp.'!$M$4:$U$63,9,FALSE)</f>
        <v>Consommation finale française</v>
      </c>
    </row>
    <row r="246" spans="1:40" x14ac:dyDescent="0.25">
      <c r="A246" t="s">
        <v>90</v>
      </c>
      <c r="B246" t="str">
        <f>VLOOKUP(LEFT(A246,3),'Table corresp.'!$A$4:$D$63,3,FALSE)</f>
        <v>Transformation</v>
      </c>
      <c r="C246" t="str">
        <f>VLOOKUP(A246,'Table corresp.'!$M$4:$P$63,4,FALSE)</f>
        <v>Production et transformation de produits bois</v>
      </c>
      <c r="D246" t="s">
        <v>53</v>
      </c>
      <c r="E246" t="str">
        <f>VLOOKUP(LEFT(D246,3),'Table corresp.'!$A$4:$D$63,4,FALSE)</f>
        <v>Exportation</v>
      </c>
      <c r="F246" t="str">
        <f t="shared" si="18"/>
        <v>34  - Exp</v>
      </c>
      <c r="G246" s="1">
        <v>36605.042999999998</v>
      </c>
      <c r="H246" s="1">
        <v>0</v>
      </c>
      <c r="I246" s="1">
        <v>36605.042999999998</v>
      </c>
      <c r="J246" s="1">
        <v>27.174803308909379</v>
      </c>
      <c r="K246" s="1">
        <v>0</v>
      </c>
      <c r="L246" s="1">
        <v>27.174803308909379</v>
      </c>
      <c r="M246" s="1">
        <v>3.13828887848288</v>
      </c>
      <c r="N246" s="1">
        <v>0</v>
      </c>
      <c r="O246" s="1">
        <v>3.13828887848288</v>
      </c>
      <c r="P246" s="1">
        <v>0.57613078281379559</v>
      </c>
      <c r="Q246" s="1">
        <v>0</v>
      </c>
      <c r="R246" s="1">
        <v>0.57613078281379559</v>
      </c>
      <c r="S246" s="67" t="s">
        <v>192</v>
      </c>
      <c r="T246">
        <f>VLOOKUP(A246,'Groupe de branches'!$Z$27:$AM$86,14,FALSE)</f>
        <v>0</v>
      </c>
      <c r="U246">
        <f>VLOOKUP(D246,'Groupe de branches'!$Z$27:$AM$86,14,FALSE)</f>
        <v>0</v>
      </c>
      <c r="V246">
        <v>2016</v>
      </c>
      <c r="W246" t="str">
        <f>VLOOKUP(D246,'Table corresp.'!$M$4:$S$63,7,FALSE)</f>
        <v>Exportation</v>
      </c>
      <c r="X246" s="167">
        <f>IFERROR(G246/SUMIFS('Comp2016-2017 (3)'!$I$5:$I$289,'Comp2016-2017 (3)'!$A$5:$A$289,A246,'Comp2016-2017 (3)'!$R$5:$R$289,V246),0)</f>
        <v>5.0428172790814824E-2</v>
      </c>
      <c r="Y246" s="178">
        <f>IFERROR(IF(RIGHT(F246,3)="Exp",VLOOKUP(F246,#REF!,2,FALSE),VLOOKUP(F246,#REF!,9,FALSE)),1)</f>
        <v>1</v>
      </c>
      <c r="Z246" s="167">
        <f t="shared" si="25"/>
        <v>0.33333333333333331</v>
      </c>
      <c r="AA246" s="189">
        <f t="shared" si="21"/>
        <v>1.6809390930271607E-2</v>
      </c>
      <c r="AB246" s="2">
        <f>IFERROR(SUMIFS('Comp2016-2017 (3)'!$G$5:$G$289,'Comp2016-2017 (3)'!$A$5:$A$289,A246,'Comp2016-2017 (3)'!$R$5:$R$289,V246)*AA246/SUMIFS($AA$4:$AA$1116,$A$4:$A$1116,A246,$V$4:$V$1116,V246),0)</f>
        <v>10981.512811918788</v>
      </c>
      <c r="AC246" s="2">
        <f>IF($W246=AC$3,$AB246,IF(NOT($W246=0),"",SUMIFS('Val-Vol (2)'!AC$4:AC$1116,'Val-Vol (2)'!$A$4:$A$1116,$D246,'Val-Vol (2)'!$V$4:$V$1116,$V246)/SUMIFS('Comp2016-2017 (3)'!$G$5:$G$289,'Comp2016-2017 (3)'!$A$5:$A$289,$D246,'Comp2016-2017 (3)'!$R$5:$R$289,$V246)*$AB246))</f>
        <v>10981.512811918788</v>
      </c>
      <c r="AD246" s="2" t="str">
        <f>IF($W246=AD$3,$AB246,IF(NOT($W246=0),"",SUMIFS('Val-Vol (2)'!AD$4:AD$1116,'Val-Vol (2)'!$A$4:$A$1116,$D246,'Val-Vol (2)'!$V$4:$V$1116,$V246)/SUMIFS('Comp2016-2017 (3)'!$G$5:$G$289,'Comp2016-2017 (3)'!$A$5:$A$289,$D246,'Comp2016-2017 (3)'!$R$5:$R$289,$V246)*$AB246))</f>
        <v/>
      </c>
      <c r="AE246" s="2" t="str">
        <f>IF($W246=AE$3,$AB246,IF(NOT($W246=0),"",SUMIFS('Val-Vol (2)'!AE$4:AE$1116,'Val-Vol (2)'!$A$4:$A$1116,$D246,'Val-Vol (2)'!$V$4:$V$1116,$V246)/SUMIFS('Comp2016-2017 (3)'!$G$5:$G$289,'Comp2016-2017 (3)'!$A$5:$A$289,$D246,'Comp2016-2017 (3)'!$R$5:$R$289,$V246)*$AB246))</f>
        <v/>
      </c>
      <c r="AF246" s="2" t="str">
        <f>IF($W246=AF$3,$AB246,IF(NOT($W246=0),"",SUMIFS('Val-Vol (2)'!AF$4:AF$1116,'Val-Vol (2)'!$A$4:$A$1116,$D246,'Val-Vol (2)'!$V$4:$V$1116,$V246)/SUMIFS('Comp2016-2017 (3)'!$G$5:$G$289,'Comp2016-2017 (3)'!$A$5:$A$289,$D246,'Comp2016-2017 (3)'!$R$5:$R$289,$V246)*$AB246))</f>
        <v/>
      </c>
      <c r="AG246" s="2" t="str">
        <f>IF($W246=AG$3,$AB246,IF(NOT($W246=0),"",SUMIFS('Val-Vol (2)'!AG$4:AG$1116,'Val-Vol (2)'!$A$4:$A$1116,$D246,'Val-Vol (2)'!$V$4:$V$1116,$V246)/SUMIFS('Comp2016-2017 (3)'!$G$5:$G$289,'Comp2016-2017 (3)'!$A$5:$A$289,$D246,'Comp2016-2017 (3)'!$R$5:$R$289,$V246)*$AB246))</f>
        <v/>
      </c>
      <c r="AH246" s="2" t="str">
        <f>IF($W246=AH$3,$AB246,IF(NOT($W246=0),"",SUMIFS('Val-Vol (2)'!AH$4:AH$1116,'Val-Vol (2)'!$A$4:$A$1116,$D246,'Val-Vol (2)'!$V$4:$V$1116,$V246)/SUMIFS('Comp2016-2017 (3)'!$G$5:$G$289,'Comp2016-2017 (3)'!$A$5:$A$289,$D246,'Comp2016-2017 (3)'!$R$5:$R$289,$V246)*$AB246))</f>
        <v/>
      </c>
      <c r="AI246" s="2" t="str">
        <f>IF($W246=AI$3,$AB246,IF(NOT($W246=0),"",SUMIFS('Val-Vol (2)'!AI$4:AI$1116,'Val-Vol (2)'!$A$4:$A$1116,$D246,'Val-Vol (2)'!$V$4:$V$1116,$V246)/SUMIFS('Comp2016-2017 (3)'!$G$5:$G$289,'Comp2016-2017 (3)'!$A$5:$A$289,$D246,'Comp2016-2017 (3)'!$R$5:$R$289,$V246)*$AB246))</f>
        <v/>
      </c>
      <c r="AJ246" s="2" t="str">
        <f>IF($W246=AJ$3,$AB246,IF(NOT($W246=0),"",SUMIFS('Val-Vol (2)'!AJ$4:AJ$1116,'Val-Vol (2)'!$A$4:$A$1116,$D246,'Val-Vol (2)'!$V$4:$V$1116,$V246)/SUMIFS('Comp2016-2017 (3)'!$G$5:$G$289,'Comp2016-2017 (3)'!$A$5:$A$289,$D246,'Comp2016-2017 (3)'!$R$5:$R$289,$V246)*$AB246))</f>
        <v/>
      </c>
      <c r="AK246" s="2">
        <f t="shared" si="23"/>
        <v>0</v>
      </c>
      <c r="AL246" t="str">
        <f t="shared" si="19"/>
        <v/>
      </c>
      <c r="AM246" t="str">
        <f>VLOOKUP(A246,'Table corresp.'!$M$4:$U$63,8,FALSE)</f>
        <v>Production finale</v>
      </c>
      <c r="AN246" t="str">
        <f>VLOOKUP(D246,'Table corresp.'!$M$4:$U$63,9,FALSE)</f>
        <v>Exportation</v>
      </c>
    </row>
    <row r="247" spans="1:40" x14ac:dyDescent="0.25">
      <c r="A247" t="s">
        <v>15</v>
      </c>
      <c r="B247" t="str">
        <f>VLOOKUP(LEFT(A247,3),'Table corresp.'!$A$4:$D$63,3,FALSE)</f>
        <v>Transformation</v>
      </c>
      <c r="C247" t="str">
        <f>VLOOKUP(A247,'Table corresp.'!$M$4:$P$63,4,FALSE)</f>
        <v>Production et transformation de produits bois</v>
      </c>
      <c r="D247" t="s">
        <v>21</v>
      </c>
      <c r="E247" t="str">
        <f>VLOOKUP(LEFT(D247,3),'Table corresp.'!$A$4:$D$63,4,FALSE)</f>
        <v>Transformation</v>
      </c>
      <c r="F247" t="str">
        <f t="shared" si="18"/>
        <v xml:space="preserve">35  - 54 </v>
      </c>
      <c r="G247" s="1">
        <v>553423.14725000004</v>
      </c>
      <c r="H247" s="1">
        <v>54180.852750000005</v>
      </c>
      <c r="I247" s="1">
        <v>607604</v>
      </c>
      <c r="J247" s="1">
        <v>402.41908074080516</v>
      </c>
      <c r="K247" s="1">
        <v>52.432273332041724</v>
      </c>
      <c r="L247" s="1">
        <v>454.8513540728469</v>
      </c>
      <c r="M247" s="1">
        <v>21.601569745264399</v>
      </c>
      <c r="N247" s="1">
        <v>2.8145271024421841</v>
      </c>
      <c r="O247" s="1">
        <v>24.416096847706584</v>
      </c>
      <c r="P247" s="1">
        <v>8.5155994961253949</v>
      </c>
      <c r="Q247" s="1">
        <v>1.1095205514239159</v>
      </c>
      <c r="R247" s="1">
        <v>9.6251200475493111</v>
      </c>
      <c r="S247" s="67" t="s">
        <v>192</v>
      </c>
      <c r="T247">
        <f>VLOOKUP(A247,'Groupe de branches'!$Z$27:$AM$86,14,FALSE)</f>
        <v>0</v>
      </c>
      <c r="U247">
        <f>VLOOKUP(D247,'Groupe de branches'!$Z$27:$AM$86,14,FALSE)</f>
        <v>0</v>
      </c>
      <c r="V247">
        <v>2016</v>
      </c>
      <c r="W247" t="str">
        <f>VLOOKUP(D247,'Table corresp.'!$M$4:$S$63,7,FALSE)</f>
        <v>Construction</v>
      </c>
      <c r="X247" s="167">
        <f>IFERROR(G247/SUMIFS('Comp2016-2017 (3)'!$I$5:$I$289,'Comp2016-2017 (3)'!$A$5:$A$289,A247,'Comp2016-2017 (3)'!$R$5:$R$289,V247),0)</f>
        <v>0.89408456653898416</v>
      </c>
      <c r="Y247" s="178">
        <f>IFERROR(IF(RIGHT(F247,3)="Exp",VLOOKUP(F247,#REF!,2,FALSE),VLOOKUP(F247,#REF!,9,FALSE)),1)</f>
        <v>1</v>
      </c>
      <c r="Z247" s="167">
        <f t="shared" si="25"/>
        <v>0.33333333333333331</v>
      </c>
      <c r="AA247" s="189">
        <f t="shared" si="21"/>
        <v>0.29802818884632803</v>
      </c>
      <c r="AB247" s="2">
        <f>IFERROR(SUMIFS('Comp2016-2017 (3)'!$G$5:$G$289,'Comp2016-2017 (3)'!$A$5:$A$289,A247,'Comp2016-2017 (3)'!$R$5:$R$289,V247)*AA247/SUMIFS($AA$4:$AA$1116,$A$4:$A$1116,A247,$V$4:$V$1116,V247),0)</f>
        <v>221369.26167166219</v>
      </c>
      <c r="AC247" s="2" t="str">
        <f>IF($W247=AC$3,$AB247,IF(NOT($W247=0),"",SUMIFS('Val-Vol (2)'!AC$4:AC$1116,'Val-Vol (2)'!$A$4:$A$1116,$D247,'Val-Vol (2)'!$V$4:$V$1116,$V247)/SUMIFS('Comp2016-2017 (3)'!$G$5:$G$289,'Comp2016-2017 (3)'!$A$5:$A$289,$D247,'Comp2016-2017 (3)'!$R$5:$R$289,$V247)*$AB247))</f>
        <v/>
      </c>
      <c r="AD247" s="2">
        <f>IF($W247=AD$3,$AB247,IF(NOT($W247=0),"",SUMIFS('Val-Vol (2)'!AD$4:AD$1116,'Val-Vol (2)'!$A$4:$A$1116,$D247,'Val-Vol (2)'!$V$4:$V$1116,$V247)/SUMIFS('Comp2016-2017 (3)'!$G$5:$G$289,'Comp2016-2017 (3)'!$A$5:$A$289,$D247,'Comp2016-2017 (3)'!$R$5:$R$289,$V247)*$AB247))</f>
        <v>221369.26167166219</v>
      </c>
      <c r="AE247" s="2" t="str">
        <f>IF($W247=AE$3,$AB247,IF(NOT($W247=0),"",SUMIFS('Val-Vol (2)'!AE$4:AE$1116,'Val-Vol (2)'!$A$4:$A$1116,$D247,'Val-Vol (2)'!$V$4:$V$1116,$V247)/SUMIFS('Comp2016-2017 (3)'!$G$5:$G$289,'Comp2016-2017 (3)'!$A$5:$A$289,$D247,'Comp2016-2017 (3)'!$R$5:$R$289,$V247)*$AB247))</f>
        <v/>
      </c>
      <c r="AF247" s="2" t="str">
        <f>IF($W247=AF$3,$AB247,IF(NOT($W247=0),"",SUMIFS('Val-Vol (2)'!AF$4:AF$1116,'Val-Vol (2)'!$A$4:$A$1116,$D247,'Val-Vol (2)'!$V$4:$V$1116,$V247)/SUMIFS('Comp2016-2017 (3)'!$G$5:$G$289,'Comp2016-2017 (3)'!$A$5:$A$289,$D247,'Comp2016-2017 (3)'!$R$5:$R$289,$V247)*$AB247))</f>
        <v/>
      </c>
      <c r="AG247" s="2" t="str">
        <f>IF($W247=AG$3,$AB247,IF(NOT($W247=0),"",SUMIFS('Val-Vol (2)'!AG$4:AG$1116,'Val-Vol (2)'!$A$4:$A$1116,$D247,'Val-Vol (2)'!$V$4:$V$1116,$V247)/SUMIFS('Comp2016-2017 (3)'!$G$5:$G$289,'Comp2016-2017 (3)'!$A$5:$A$289,$D247,'Comp2016-2017 (3)'!$R$5:$R$289,$V247)*$AB247))</f>
        <v/>
      </c>
      <c r="AH247" s="2" t="str">
        <f>IF($W247=AH$3,$AB247,IF(NOT($W247=0),"",SUMIFS('Val-Vol (2)'!AH$4:AH$1116,'Val-Vol (2)'!$A$4:$A$1116,$D247,'Val-Vol (2)'!$V$4:$V$1116,$V247)/SUMIFS('Comp2016-2017 (3)'!$G$5:$G$289,'Comp2016-2017 (3)'!$A$5:$A$289,$D247,'Comp2016-2017 (3)'!$R$5:$R$289,$V247)*$AB247))</f>
        <v/>
      </c>
      <c r="AI247" s="2" t="str">
        <f>IF($W247=AI$3,$AB247,IF(NOT($W247=0),"",SUMIFS('Val-Vol (2)'!AI$4:AI$1116,'Val-Vol (2)'!$A$4:$A$1116,$D247,'Val-Vol (2)'!$V$4:$V$1116,$V247)/SUMIFS('Comp2016-2017 (3)'!$G$5:$G$289,'Comp2016-2017 (3)'!$A$5:$A$289,$D247,'Comp2016-2017 (3)'!$R$5:$R$289,$V247)*$AB247))</f>
        <v/>
      </c>
      <c r="AJ247" s="2" t="str">
        <f>IF($W247=AJ$3,$AB247,IF(NOT($W247=0),"",SUMIFS('Val-Vol (2)'!AJ$4:AJ$1116,'Val-Vol (2)'!$A$4:$A$1116,$D247,'Val-Vol (2)'!$V$4:$V$1116,$V247)/SUMIFS('Comp2016-2017 (3)'!$G$5:$G$289,'Comp2016-2017 (3)'!$A$5:$A$289,$D247,'Comp2016-2017 (3)'!$R$5:$R$289,$V247)*$AB247))</f>
        <v/>
      </c>
      <c r="AK247" s="2">
        <f t="shared" si="23"/>
        <v>0</v>
      </c>
      <c r="AL247" t="str">
        <f t="shared" si="19"/>
        <v/>
      </c>
      <c r="AM247" t="str">
        <f>VLOOKUP(A247,'Table corresp.'!$M$4:$U$63,8,FALSE)</f>
        <v>Production finale</v>
      </c>
      <c r="AN247" t="str">
        <f>VLOOKUP(D247,'Table corresp.'!$M$4:$U$63,9,FALSE)</f>
        <v xml:space="preserve">Mise en œuvre </v>
      </c>
    </row>
    <row r="248" spans="1:40" x14ac:dyDescent="0.25">
      <c r="A248" t="s">
        <v>15</v>
      </c>
      <c r="B248" t="str">
        <f>VLOOKUP(LEFT(A248,3),'Table corresp.'!$A$4:$D$63,3,FALSE)</f>
        <v>Transformation</v>
      </c>
      <c r="C248" t="str">
        <f>VLOOKUP(A248,'Table corresp.'!$M$4:$P$63,4,FALSE)</f>
        <v>Production et transformation de produits bois</v>
      </c>
      <c r="D248" t="s">
        <v>54</v>
      </c>
      <c r="E248" t="str">
        <f>VLOOKUP(LEFT(D248,3),'Table corresp.'!$A$4:$D$63,4,FALSE)</f>
        <v>Consommation finale</v>
      </c>
      <c r="F248" t="str">
        <f t="shared" si="18"/>
        <v>35  - Con</v>
      </c>
      <c r="G248" s="1">
        <v>58667.360000000001</v>
      </c>
      <c r="H248" s="1">
        <v>18060.284250000001</v>
      </c>
      <c r="I248" s="1">
        <v>76727.644249999998</v>
      </c>
      <c r="J248" s="1">
        <v>42.659699360252738</v>
      </c>
      <c r="K248" s="1">
        <v>26.252941989230493</v>
      </c>
      <c r="L248" s="1">
        <v>68.912641349483238</v>
      </c>
      <c r="M248" s="1">
        <v>2.2899422893817794</v>
      </c>
      <c r="N248" s="1">
        <v>1.4092392347668283</v>
      </c>
      <c r="O248" s="1">
        <v>3.6991815241486075</v>
      </c>
      <c r="P248" s="1">
        <v>0.90272288706660542</v>
      </c>
      <c r="Q248" s="1">
        <v>0.55553911400958966</v>
      </c>
      <c r="R248" s="1">
        <v>1.4582620010761951</v>
      </c>
      <c r="S248" s="67" t="s">
        <v>192</v>
      </c>
      <c r="T248">
        <f>VLOOKUP(A248,'Groupe de branches'!$Z$27:$AM$86,14,FALSE)</f>
        <v>0</v>
      </c>
      <c r="U248">
        <f>VLOOKUP(D248,'Groupe de branches'!$Z$27:$AM$86,14,FALSE)</f>
        <v>0</v>
      </c>
      <c r="V248">
        <v>2016</v>
      </c>
      <c r="W248" t="str">
        <f>VLOOKUP(D248,'Table corresp.'!$M$4:$S$63,7,FALSE)</f>
        <v>Consommation finale</v>
      </c>
      <c r="X248" s="167">
        <f>IFERROR(G248/SUMIFS('Comp2016-2017 (3)'!$I$5:$I$289,'Comp2016-2017 (3)'!$A$5:$A$289,A248,'Comp2016-2017 (3)'!$R$5:$R$289,V248),0)</f>
        <v>9.4780244368585245E-2</v>
      </c>
      <c r="Y248" s="178">
        <f>IFERROR(IF(RIGHT(F248,3)="Exp",VLOOKUP(F248,#REF!,2,FALSE),VLOOKUP(F248,#REF!,9,FALSE)),1)</f>
        <v>1</v>
      </c>
      <c r="Z248" s="167">
        <f t="shared" si="25"/>
        <v>0.33333333333333331</v>
      </c>
      <c r="AA248" s="189">
        <f t="shared" si="21"/>
        <v>3.1593414789528415E-2</v>
      </c>
      <c r="AB248" s="2">
        <f>IFERROR(SUMIFS('Comp2016-2017 (3)'!$G$5:$G$289,'Comp2016-2017 (3)'!$A$5:$A$289,A248,'Comp2016-2017 (3)'!$R$5:$R$289,V248)*AA248/SUMIFS($AA$4:$AA$1116,$A$4:$A$1116,A248,$V$4:$V$1116,V248),0)</f>
        <v>23466.94429381876</v>
      </c>
      <c r="AC248" s="2" t="str">
        <f>IF($W248=AC$3,$AB248,IF(NOT($W248=0),"",SUMIFS('Val-Vol (2)'!AC$4:AC$1116,'Val-Vol (2)'!$A$4:$A$1116,$D248,'Val-Vol (2)'!$V$4:$V$1116,$V248)/SUMIFS('Comp2016-2017 (3)'!$G$5:$G$289,'Comp2016-2017 (3)'!$A$5:$A$289,$D248,'Comp2016-2017 (3)'!$R$5:$R$289,$V248)*$AB248))</f>
        <v/>
      </c>
      <c r="AD248" s="2" t="str">
        <f>IF($W248=AD$3,$AB248,IF(NOT($W248=0),"",SUMIFS('Val-Vol (2)'!AD$4:AD$1116,'Val-Vol (2)'!$A$4:$A$1116,$D248,'Val-Vol (2)'!$V$4:$V$1116,$V248)/SUMIFS('Comp2016-2017 (3)'!$G$5:$G$289,'Comp2016-2017 (3)'!$A$5:$A$289,$D248,'Comp2016-2017 (3)'!$R$5:$R$289,$V248)*$AB248))</f>
        <v/>
      </c>
      <c r="AE248" s="2" t="str">
        <f>IF($W248=AE$3,$AB248,IF(NOT($W248=0),"",SUMIFS('Val-Vol (2)'!AE$4:AE$1116,'Val-Vol (2)'!$A$4:$A$1116,$D248,'Val-Vol (2)'!$V$4:$V$1116,$V248)/SUMIFS('Comp2016-2017 (3)'!$G$5:$G$289,'Comp2016-2017 (3)'!$A$5:$A$289,$D248,'Comp2016-2017 (3)'!$R$5:$R$289,$V248)*$AB248))</f>
        <v/>
      </c>
      <c r="AF248" s="2" t="str">
        <f>IF($W248=AF$3,$AB248,IF(NOT($W248=0),"",SUMIFS('Val-Vol (2)'!AF$4:AF$1116,'Val-Vol (2)'!$A$4:$A$1116,$D248,'Val-Vol (2)'!$V$4:$V$1116,$V248)/SUMIFS('Comp2016-2017 (3)'!$G$5:$G$289,'Comp2016-2017 (3)'!$A$5:$A$289,$D248,'Comp2016-2017 (3)'!$R$5:$R$289,$V248)*$AB248))</f>
        <v/>
      </c>
      <c r="AG248" s="2" t="str">
        <f>IF($W248=AG$3,$AB248,IF(NOT($W248=0),"",SUMIFS('Val-Vol (2)'!AG$4:AG$1116,'Val-Vol (2)'!$A$4:$A$1116,$D248,'Val-Vol (2)'!$V$4:$V$1116,$V248)/SUMIFS('Comp2016-2017 (3)'!$G$5:$G$289,'Comp2016-2017 (3)'!$A$5:$A$289,$D248,'Comp2016-2017 (3)'!$R$5:$R$289,$V248)*$AB248))</f>
        <v/>
      </c>
      <c r="AH248" s="2" t="str">
        <f>IF($W248=AH$3,$AB248,IF(NOT($W248=0),"",SUMIFS('Val-Vol (2)'!AH$4:AH$1116,'Val-Vol (2)'!$A$4:$A$1116,$D248,'Val-Vol (2)'!$V$4:$V$1116,$V248)/SUMIFS('Comp2016-2017 (3)'!$G$5:$G$289,'Comp2016-2017 (3)'!$A$5:$A$289,$D248,'Comp2016-2017 (3)'!$R$5:$R$289,$V248)*$AB248))</f>
        <v/>
      </c>
      <c r="AI248" s="2" t="str">
        <f>IF($W248=AI$3,$AB248,IF(NOT($W248=0),"",SUMIFS('Val-Vol (2)'!AI$4:AI$1116,'Val-Vol (2)'!$A$4:$A$1116,$D248,'Val-Vol (2)'!$V$4:$V$1116,$V248)/SUMIFS('Comp2016-2017 (3)'!$G$5:$G$289,'Comp2016-2017 (3)'!$A$5:$A$289,$D248,'Comp2016-2017 (3)'!$R$5:$R$289,$V248)*$AB248))</f>
        <v/>
      </c>
      <c r="AJ248" s="2">
        <f>IF($W248=AJ$3,$AB248,IF(NOT($W248=0),"",SUMIFS('Val-Vol (2)'!AJ$4:AJ$1116,'Val-Vol (2)'!$A$4:$A$1116,$D248,'Val-Vol (2)'!$V$4:$V$1116,$V248)/SUMIFS('Comp2016-2017 (3)'!$G$5:$G$289,'Comp2016-2017 (3)'!$A$5:$A$289,$D248,'Comp2016-2017 (3)'!$R$5:$R$289,$V248)*$AB248))</f>
        <v>23466.94429381876</v>
      </c>
      <c r="AK248" s="2">
        <f t="shared" si="23"/>
        <v>0</v>
      </c>
      <c r="AL248" t="str">
        <f t="shared" si="19"/>
        <v/>
      </c>
      <c r="AM248" t="str">
        <f>VLOOKUP(A248,'Table corresp.'!$M$4:$U$63,8,FALSE)</f>
        <v>Production finale</v>
      </c>
      <c r="AN248" t="str">
        <f>VLOOKUP(D248,'Table corresp.'!$M$4:$U$63,9,FALSE)</f>
        <v>Consommation finale française</v>
      </c>
    </row>
    <row r="249" spans="1:40" x14ac:dyDescent="0.25">
      <c r="A249" t="s">
        <v>15</v>
      </c>
      <c r="B249" t="str">
        <f>VLOOKUP(LEFT(A249,3),'Table corresp.'!$A$4:$D$63,3,FALSE)</f>
        <v>Transformation</v>
      </c>
      <c r="C249" t="str">
        <f>VLOOKUP(A249,'Table corresp.'!$M$4:$P$63,4,FALSE)</f>
        <v>Production et transformation de produits bois</v>
      </c>
      <c r="D249" t="s">
        <v>53</v>
      </c>
      <c r="E249" t="str">
        <f>VLOOKUP(LEFT(D249,3),'Table corresp.'!$A$4:$D$63,4,FALSE)</f>
        <v>Exportation</v>
      </c>
      <c r="F249" t="str">
        <f t="shared" si="18"/>
        <v>35  - Exp</v>
      </c>
      <c r="G249" s="1">
        <v>6892.4849999999997</v>
      </c>
      <c r="H249" s="1">
        <v>0</v>
      </c>
      <c r="I249" s="1">
        <v>6892.4849999999997</v>
      </c>
      <c r="J249" s="1">
        <v>3.7562458960291862</v>
      </c>
      <c r="K249" s="1">
        <v>0</v>
      </c>
      <c r="L249" s="1">
        <v>3.7562458960291862</v>
      </c>
      <c r="M249" s="1">
        <v>0.20163260537762565</v>
      </c>
      <c r="N249" s="1">
        <v>0</v>
      </c>
      <c r="O249" s="1">
        <v>0.20163260537762565</v>
      </c>
      <c r="P249" s="1">
        <v>7.9486006480273194E-2</v>
      </c>
      <c r="Q249" s="1">
        <v>0</v>
      </c>
      <c r="R249" s="1">
        <v>7.9486006480273194E-2</v>
      </c>
      <c r="S249" s="67"/>
      <c r="T249">
        <f>VLOOKUP(A249,'Groupe de branches'!$Z$27:$AM$86,14,FALSE)</f>
        <v>0</v>
      </c>
      <c r="U249">
        <f>VLOOKUP(D249,'Groupe de branches'!$Z$27:$AM$86,14,FALSE)</f>
        <v>0</v>
      </c>
      <c r="V249">
        <v>2016</v>
      </c>
      <c r="W249" t="str">
        <f>VLOOKUP(D249,'Table corresp.'!$M$4:$S$63,7,FALSE)</f>
        <v>Exportation</v>
      </c>
      <c r="X249" s="167">
        <f>IFERROR(G249/SUMIFS('Comp2016-2017 (3)'!$I$5:$I$289,'Comp2016-2017 (3)'!$A$5:$A$289,A249,'Comp2016-2017 (3)'!$R$5:$R$289,V249),0)</f>
        <v>1.1135176571892927E-2</v>
      </c>
      <c r="Y249" s="178">
        <f>IFERROR(IF(RIGHT(F249,3)="Exp",VLOOKUP(F249,#REF!,2,FALSE),VLOOKUP(F249,#REF!,9,FALSE)),1)</f>
        <v>1</v>
      </c>
      <c r="Z249" s="167">
        <f t="shared" si="25"/>
        <v>0.33333333333333331</v>
      </c>
      <c r="AA249" s="189">
        <f t="shared" si="21"/>
        <v>3.7117255239643089E-3</v>
      </c>
      <c r="AB249" s="2">
        <f>IFERROR(SUMIFS('Comp2016-2017 (3)'!$G$5:$G$289,'Comp2016-2017 (3)'!$A$5:$A$289,A249,'Comp2016-2017 (3)'!$R$5:$R$289,V249)*AA249/SUMIFS($AA$4:$AA$1116,$A$4:$A$1116,A249,$V$4:$V$1116,V249),0)</f>
        <v>2756.9940345190475</v>
      </c>
      <c r="AC249" s="2">
        <f>IF($W249=AC$3,$AB249,IF(NOT($W249=0),"",SUMIFS('Val-Vol (2)'!AC$4:AC$1116,'Val-Vol (2)'!$A$4:$A$1116,$D249,'Val-Vol (2)'!$V$4:$V$1116,$V249)/SUMIFS('Comp2016-2017 (3)'!$G$5:$G$289,'Comp2016-2017 (3)'!$A$5:$A$289,$D249,'Comp2016-2017 (3)'!$R$5:$R$289,$V249)*$AB249))</f>
        <v>2756.9940345190475</v>
      </c>
      <c r="AD249" s="2" t="str">
        <f>IF($W249=AD$3,$AB249,IF(NOT($W249=0),"",SUMIFS('Val-Vol (2)'!AD$4:AD$1116,'Val-Vol (2)'!$A$4:$A$1116,$D249,'Val-Vol (2)'!$V$4:$V$1116,$V249)/SUMIFS('Comp2016-2017 (3)'!$G$5:$G$289,'Comp2016-2017 (3)'!$A$5:$A$289,$D249,'Comp2016-2017 (3)'!$R$5:$R$289,$V249)*$AB249))</f>
        <v/>
      </c>
      <c r="AE249" s="2" t="str">
        <f>IF($W249=AE$3,$AB249,IF(NOT($W249=0),"",SUMIFS('Val-Vol (2)'!AE$4:AE$1116,'Val-Vol (2)'!$A$4:$A$1116,$D249,'Val-Vol (2)'!$V$4:$V$1116,$V249)/SUMIFS('Comp2016-2017 (3)'!$G$5:$G$289,'Comp2016-2017 (3)'!$A$5:$A$289,$D249,'Comp2016-2017 (3)'!$R$5:$R$289,$V249)*$AB249))</f>
        <v/>
      </c>
      <c r="AF249" s="2" t="str">
        <f>IF($W249=AF$3,$AB249,IF(NOT($W249=0),"",SUMIFS('Val-Vol (2)'!AF$4:AF$1116,'Val-Vol (2)'!$A$4:$A$1116,$D249,'Val-Vol (2)'!$V$4:$V$1116,$V249)/SUMIFS('Comp2016-2017 (3)'!$G$5:$G$289,'Comp2016-2017 (3)'!$A$5:$A$289,$D249,'Comp2016-2017 (3)'!$R$5:$R$289,$V249)*$AB249))</f>
        <v/>
      </c>
      <c r="AG249" s="2" t="str">
        <f>IF($W249=AG$3,$AB249,IF(NOT($W249=0),"",SUMIFS('Val-Vol (2)'!AG$4:AG$1116,'Val-Vol (2)'!$A$4:$A$1116,$D249,'Val-Vol (2)'!$V$4:$V$1116,$V249)/SUMIFS('Comp2016-2017 (3)'!$G$5:$G$289,'Comp2016-2017 (3)'!$A$5:$A$289,$D249,'Comp2016-2017 (3)'!$R$5:$R$289,$V249)*$AB249))</f>
        <v/>
      </c>
      <c r="AH249" s="2" t="str">
        <f>IF($W249=AH$3,$AB249,IF(NOT($W249=0),"",SUMIFS('Val-Vol (2)'!AH$4:AH$1116,'Val-Vol (2)'!$A$4:$A$1116,$D249,'Val-Vol (2)'!$V$4:$V$1116,$V249)/SUMIFS('Comp2016-2017 (3)'!$G$5:$G$289,'Comp2016-2017 (3)'!$A$5:$A$289,$D249,'Comp2016-2017 (3)'!$R$5:$R$289,$V249)*$AB249))</f>
        <v/>
      </c>
      <c r="AI249" s="2" t="str">
        <f>IF($W249=AI$3,$AB249,IF(NOT($W249=0),"",SUMIFS('Val-Vol (2)'!AI$4:AI$1116,'Val-Vol (2)'!$A$4:$A$1116,$D249,'Val-Vol (2)'!$V$4:$V$1116,$V249)/SUMIFS('Comp2016-2017 (3)'!$G$5:$G$289,'Comp2016-2017 (3)'!$A$5:$A$289,$D249,'Comp2016-2017 (3)'!$R$5:$R$289,$V249)*$AB249))</f>
        <v/>
      </c>
      <c r="AJ249" s="2" t="str">
        <f>IF($W249=AJ$3,$AB249,IF(NOT($W249=0),"",SUMIFS('Val-Vol (2)'!AJ$4:AJ$1116,'Val-Vol (2)'!$A$4:$A$1116,$D249,'Val-Vol (2)'!$V$4:$V$1116,$V249)/SUMIFS('Comp2016-2017 (3)'!$G$5:$G$289,'Comp2016-2017 (3)'!$A$5:$A$289,$D249,'Comp2016-2017 (3)'!$R$5:$R$289,$V249)*$AB249))</f>
        <v/>
      </c>
      <c r="AK249" s="2">
        <f t="shared" si="23"/>
        <v>0</v>
      </c>
      <c r="AL249" t="str">
        <f t="shared" si="19"/>
        <v/>
      </c>
      <c r="AM249" t="str">
        <f>VLOOKUP(A249,'Table corresp.'!$M$4:$U$63,8,FALSE)</f>
        <v>Production finale</v>
      </c>
      <c r="AN249" t="str">
        <f>VLOOKUP(D249,'Table corresp.'!$M$4:$U$63,9,FALSE)</f>
        <v>Exportation</v>
      </c>
    </row>
    <row r="250" spans="1:40" x14ac:dyDescent="0.25">
      <c r="A250" t="s">
        <v>16</v>
      </c>
      <c r="B250" t="str">
        <f>VLOOKUP(LEFT(A250,3),'Table corresp.'!$A$4:$D$63,3,FALSE)</f>
        <v>Transformation</v>
      </c>
      <c r="C250" t="str">
        <f>VLOOKUP(A250,'Table corresp.'!$M$4:$P$63,4,FALSE)</f>
        <v>Production et transformation de produits bois</v>
      </c>
      <c r="D250" t="s">
        <v>21</v>
      </c>
      <c r="E250" t="str">
        <f>VLOOKUP(LEFT(D250,3),'Table corresp.'!$A$4:$D$63,4,FALSE)</f>
        <v>Transformation</v>
      </c>
      <c r="F250" t="str">
        <f t="shared" si="18"/>
        <v xml:space="preserve">36  - 54 </v>
      </c>
      <c r="G250" s="1">
        <v>80636.388949999979</v>
      </c>
      <c r="H250" s="1">
        <v>66278.211049999998</v>
      </c>
      <c r="I250" s="1">
        <v>146914.59999999998</v>
      </c>
      <c r="J250" s="1">
        <v>37.730326288939821</v>
      </c>
      <c r="K250" s="1">
        <v>33.857588577520893</v>
      </c>
      <c r="L250" s="1">
        <v>71.587914866460721</v>
      </c>
      <c r="M250" s="1">
        <v>25.089050448270164</v>
      </c>
      <c r="N250" s="1">
        <v>22.513822303627094</v>
      </c>
      <c r="O250" s="1">
        <v>47.602872751897259</v>
      </c>
      <c r="P250" s="1">
        <v>9.6224548180267124</v>
      </c>
      <c r="Q250" s="1">
        <v>8.4316092380179946</v>
      </c>
      <c r="R250" s="1">
        <v>18.054064056044709</v>
      </c>
      <c r="S250" s="67" t="s">
        <v>192</v>
      </c>
      <c r="T250">
        <f>VLOOKUP(A250,'Groupe de branches'!$Z$27:$AM$86,14,FALSE)</f>
        <v>0</v>
      </c>
      <c r="U250">
        <f>VLOOKUP(D250,'Groupe de branches'!$Z$27:$AM$86,14,FALSE)</f>
        <v>0</v>
      </c>
      <c r="V250">
        <v>2016</v>
      </c>
      <c r="W250" t="str">
        <f>VLOOKUP(D250,'Table corresp.'!$M$4:$S$63,7,FALSE)</f>
        <v>Construction</v>
      </c>
      <c r="X250" s="167">
        <f>IFERROR(G250/SUMIFS('Comp2016-2017 (3)'!$I$5:$I$289,'Comp2016-2017 (3)'!$A$5:$A$289,A250,'Comp2016-2017 (3)'!$R$5:$R$289,V250),0)</f>
        <v>0.16061937826920084</v>
      </c>
      <c r="Y250" s="178">
        <f>IFERROR(IF(RIGHT(F250,3)="Exp",VLOOKUP(F250,#REF!,2,FALSE),VLOOKUP(F250,#REF!,9,FALSE)),1)</f>
        <v>1</v>
      </c>
      <c r="Z250" s="167">
        <f t="shared" si="25"/>
        <v>0.25</v>
      </c>
      <c r="AA250" s="189">
        <f t="shared" si="21"/>
        <v>4.0154844567300209E-2</v>
      </c>
      <c r="AB250" s="2">
        <f>IFERROR(SUMIFS('Comp2016-2017 (3)'!$G$5:$G$289,'Comp2016-2017 (3)'!$A$5:$A$289,A250,'Comp2016-2017 (3)'!$R$5:$R$289,V250)*AA250/SUMIFS($AA$4:$AA$1116,$A$4:$A$1116,A250,$V$4:$V$1116,V250),0)</f>
        <v>29835.49339136888</v>
      </c>
      <c r="AC250" s="2" t="str">
        <f>IF($W250=AC$3,$AB250,IF(NOT($W250=0),"",SUMIFS('Val-Vol (2)'!AC$4:AC$1116,'Val-Vol (2)'!$A$4:$A$1116,$D250,'Val-Vol (2)'!$V$4:$V$1116,$V250)/SUMIFS('Comp2016-2017 (3)'!$G$5:$G$289,'Comp2016-2017 (3)'!$A$5:$A$289,$D250,'Comp2016-2017 (3)'!$R$5:$R$289,$V250)*$AB250))</f>
        <v/>
      </c>
      <c r="AD250" s="2">
        <f>IF($W250=AD$3,$AB250,IF(NOT($W250=0),"",SUMIFS('Val-Vol (2)'!AD$4:AD$1116,'Val-Vol (2)'!$A$4:$A$1116,$D250,'Val-Vol (2)'!$V$4:$V$1116,$V250)/SUMIFS('Comp2016-2017 (3)'!$G$5:$G$289,'Comp2016-2017 (3)'!$A$5:$A$289,$D250,'Comp2016-2017 (3)'!$R$5:$R$289,$V250)*$AB250))</f>
        <v>29835.49339136888</v>
      </c>
      <c r="AE250" s="2" t="str">
        <f>IF($W250=AE$3,$AB250,IF(NOT($W250=0),"",SUMIFS('Val-Vol (2)'!AE$4:AE$1116,'Val-Vol (2)'!$A$4:$A$1116,$D250,'Val-Vol (2)'!$V$4:$V$1116,$V250)/SUMIFS('Comp2016-2017 (3)'!$G$5:$G$289,'Comp2016-2017 (3)'!$A$5:$A$289,$D250,'Comp2016-2017 (3)'!$R$5:$R$289,$V250)*$AB250))</f>
        <v/>
      </c>
      <c r="AF250" s="2" t="str">
        <f>IF($W250=AF$3,$AB250,IF(NOT($W250=0),"",SUMIFS('Val-Vol (2)'!AF$4:AF$1116,'Val-Vol (2)'!$A$4:$A$1116,$D250,'Val-Vol (2)'!$V$4:$V$1116,$V250)/SUMIFS('Comp2016-2017 (3)'!$G$5:$G$289,'Comp2016-2017 (3)'!$A$5:$A$289,$D250,'Comp2016-2017 (3)'!$R$5:$R$289,$V250)*$AB250))</f>
        <v/>
      </c>
      <c r="AG250" s="2" t="str">
        <f>IF($W250=AG$3,$AB250,IF(NOT($W250=0),"",SUMIFS('Val-Vol (2)'!AG$4:AG$1116,'Val-Vol (2)'!$A$4:$A$1116,$D250,'Val-Vol (2)'!$V$4:$V$1116,$V250)/SUMIFS('Comp2016-2017 (3)'!$G$5:$G$289,'Comp2016-2017 (3)'!$A$5:$A$289,$D250,'Comp2016-2017 (3)'!$R$5:$R$289,$V250)*$AB250))</f>
        <v/>
      </c>
      <c r="AH250" s="2" t="str">
        <f>IF($W250=AH$3,$AB250,IF(NOT($W250=0),"",SUMIFS('Val-Vol (2)'!AH$4:AH$1116,'Val-Vol (2)'!$A$4:$A$1116,$D250,'Val-Vol (2)'!$V$4:$V$1116,$V250)/SUMIFS('Comp2016-2017 (3)'!$G$5:$G$289,'Comp2016-2017 (3)'!$A$5:$A$289,$D250,'Comp2016-2017 (3)'!$R$5:$R$289,$V250)*$AB250))</f>
        <v/>
      </c>
      <c r="AI250" s="2" t="str">
        <f>IF($W250=AI$3,$AB250,IF(NOT($W250=0),"",SUMIFS('Val-Vol (2)'!AI$4:AI$1116,'Val-Vol (2)'!$A$4:$A$1116,$D250,'Val-Vol (2)'!$V$4:$V$1116,$V250)/SUMIFS('Comp2016-2017 (3)'!$G$5:$G$289,'Comp2016-2017 (3)'!$A$5:$A$289,$D250,'Comp2016-2017 (3)'!$R$5:$R$289,$V250)*$AB250))</f>
        <v/>
      </c>
      <c r="AJ250" s="2" t="str">
        <f>IF($W250=AJ$3,$AB250,IF(NOT($W250=0),"",SUMIFS('Val-Vol (2)'!AJ$4:AJ$1116,'Val-Vol (2)'!$A$4:$A$1116,$D250,'Val-Vol (2)'!$V$4:$V$1116,$V250)/SUMIFS('Comp2016-2017 (3)'!$G$5:$G$289,'Comp2016-2017 (3)'!$A$5:$A$289,$D250,'Comp2016-2017 (3)'!$R$5:$R$289,$V250)*$AB250))</f>
        <v/>
      </c>
      <c r="AK250" s="2">
        <f t="shared" si="23"/>
        <v>0</v>
      </c>
      <c r="AL250" t="str">
        <f t="shared" si="19"/>
        <v/>
      </c>
      <c r="AM250" t="str">
        <f>VLOOKUP(A250,'Table corresp.'!$M$4:$U$63,8,FALSE)</f>
        <v>Production finale</v>
      </c>
      <c r="AN250" t="str">
        <f>VLOOKUP(D250,'Table corresp.'!$M$4:$U$63,9,FALSE)</f>
        <v xml:space="preserve">Mise en œuvre </v>
      </c>
    </row>
    <row r="251" spans="1:40" x14ac:dyDescent="0.25">
      <c r="A251" t="s">
        <v>16</v>
      </c>
      <c r="B251" t="str">
        <f>VLOOKUP(LEFT(A251,3),'Table corresp.'!$A$4:$D$63,3,FALSE)</f>
        <v>Transformation</v>
      </c>
      <c r="C251" t="str">
        <f>VLOOKUP(A251,'Table corresp.'!$M$4:$P$63,4,FALSE)</f>
        <v>Production et transformation de produits bois</v>
      </c>
      <c r="D251" t="s">
        <v>22</v>
      </c>
      <c r="E251" t="str">
        <f>VLOOKUP(LEFT(D251,3),'Table corresp.'!$A$4:$D$63,4,FALSE)</f>
        <v>Transformation</v>
      </c>
      <c r="F251" t="str">
        <f t="shared" si="18"/>
        <v xml:space="preserve">36  - 55 </v>
      </c>
      <c r="G251" s="1">
        <v>279846.11499999999</v>
      </c>
      <c r="H251" s="1">
        <v>29404.884999999998</v>
      </c>
      <c r="I251" s="1">
        <v>309251</v>
      </c>
      <c r="J251" s="1">
        <v>107.83453908839643</v>
      </c>
      <c r="K251" s="1">
        <v>12.517669617297694</v>
      </c>
      <c r="L251" s="1">
        <v>120.35220870569412</v>
      </c>
      <c r="M251" s="1">
        <v>71.70534838570461</v>
      </c>
      <c r="N251" s="1">
        <v>8.3237052979745147</v>
      </c>
      <c r="O251" s="1">
        <v>80.029053683679123</v>
      </c>
      <c r="P251" s="1">
        <v>27.501298882352877</v>
      </c>
      <c r="Q251" s="1">
        <v>3.1172952126229818</v>
      </c>
      <c r="R251" s="1">
        <v>30.618594094975858</v>
      </c>
      <c r="S251" s="67" t="s">
        <v>192</v>
      </c>
      <c r="T251">
        <f>VLOOKUP(A251,'Groupe de branches'!$Z$27:$AM$86,14,FALSE)</f>
        <v>0</v>
      </c>
      <c r="U251">
        <f>VLOOKUP(D251,'Groupe de branches'!$Z$27:$AM$86,14,FALSE)</f>
        <v>0</v>
      </c>
      <c r="V251">
        <v>2016</v>
      </c>
      <c r="W251" t="str">
        <f>VLOOKUP(D251,'Table corresp.'!$M$4:$S$63,7,FALSE)</f>
        <v>Construction</v>
      </c>
      <c r="X251" s="167">
        <f>IFERROR(G251/SUMIFS('Comp2016-2017 (3)'!$I$5:$I$289,'Comp2016-2017 (3)'!$A$5:$A$289,A251,'Comp2016-2017 (3)'!$R$5:$R$289,V251),0)</f>
        <v>0.55742462661891423</v>
      </c>
      <c r="Y251" s="178">
        <f>IFERROR(IF(RIGHT(F251,3)="Exp",VLOOKUP(F251,#REF!,2,FALSE),VLOOKUP(F251,#REF!,9,FALSE)),1)</f>
        <v>1</v>
      </c>
      <c r="Z251" s="167">
        <f t="shared" si="25"/>
        <v>0.25</v>
      </c>
      <c r="AA251" s="189">
        <f t="shared" si="21"/>
        <v>0.13935615665472856</v>
      </c>
      <c r="AB251" s="2">
        <f>IFERROR(SUMIFS('Comp2016-2017 (3)'!$G$5:$G$289,'Comp2016-2017 (3)'!$A$5:$A$289,A251,'Comp2016-2017 (3)'!$R$5:$R$289,V251)*AA251/SUMIFS($AA$4:$AA$1116,$A$4:$A$1116,A251,$V$4:$V$1116,V251),0)</f>
        <v>103543.16485898093</v>
      </c>
      <c r="AC251" s="2" t="str">
        <f>IF($W251=AC$3,$AB251,IF(NOT($W251=0),"",SUMIFS('Val-Vol (2)'!AC$4:AC$1116,'Val-Vol (2)'!$A$4:$A$1116,$D251,'Val-Vol (2)'!$V$4:$V$1116,$V251)/SUMIFS('Comp2016-2017 (3)'!$G$5:$G$289,'Comp2016-2017 (3)'!$A$5:$A$289,$D251,'Comp2016-2017 (3)'!$R$5:$R$289,$V251)*$AB251))</f>
        <v/>
      </c>
      <c r="AD251" s="2">
        <f>IF($W251=AD$3,$AB251,IF(NOT($W251=0),"",SUMIFS('Val-Vol (2)'!AD$4:AD$1116,'Val-Vol (2)'!$A$4:$A$1116,$D251,'Val-Vol (2)'!$V$4:$V$1116,$V251)/SUMIFS('Comp2016-2017 (3)'!$G$5:$G$289,'Comp2016-2017 (3)'!$A$5:$A$289,$D251,'Comp2016-2017 (3)'!$R$5:$R$289,$V251)*$AB251))</f>
        <v>103543.16485898093</v>
      </c>
      <c r="AE251" s="2" t="str">
        <f>IF($W251=AE$3,$AB251,IF(NOT($W251=0),"",SUMIFS('Val-Vol (2)'!AE$4:AE$1116,'Val-Vol (2)'!$A$4:$A$1116,$D251,'Val-Vol (2)'!$V$4:$V$1116,$V251)/SUMIFS('Comp2016-2017 (3)'!$G$5:$G$289,'Comp2016-2017 (3)'!$A$5:$A$289,$D251,'Comp2016-2017 (3)'!$R$5:$R$289,$V251)*$AB251))</f>
        <v/>
      </c>
      <c r="AF251" s="2" t="str">
        <f>IF($W251=AF$3,$AB251,IF(NOT($W251=0),"",SUMIFS('Val-Vol (2)'!AF$4:AF$1116,'Val-Vol (2)'!$A$4:$A$1116,$D251,'Val-Vol (2)'!$V$4:$V$1116,$V251)/SUMIFS('Comp2016-2017 (3)'!$G$5:$G$289,'Comp2016-2017 (3)'!$A$5:$A$289,$D251,'Comp2016-2017 (3)'!$R$5:$R$289,$V251)*$AB251))</f>
        <v/>
      </c>
      <c r="AG251" s="2" t="str">
        <f>IF($W251=AG$3,$AB251,IF(NOT($W251=0),"",SUMIFS('Val-Vol (2)'!AG$4:AG$1116,'Val-Vol (2)'!$A$4:$A$1116,$D251,'Val-Vol (2)'!$V$4:$V$1116,$V251)/SUMIFS('Comp2016-2017 (3)'!$G$5:$G$289,'Comp2016-2017 (3)'!$A$5:$A$289,$D251,'Comp2016-2017 (3)'!$R$5:$R$289,$V251)*$AB251))</f>
        <v/>
      </c>
      <c r="AH251" s="2" t="str">
        <f>IF($W251=AH$3,$AB251,IF(NOT($W251=0),"",SUMIFS('Val-Vol (2)'!AH$4:AH$1116,'Val-Vol (2)'!$A$4:$A$1116,$D251,'Val-Vol (2)'!$V$4:$V$1116,$V251)/SUMIFS('Comp2016-2017 (3)'!$G$5:$G$289,'Comp2016-2017 (3)'!$A$5:$A$289,$D251,'Comp2016-2017 (3)'!$R$5:$R$289,$V251)*$AB251))</f>
        <v/>
      </c>
      <c r="AI251" s="2" t="str">
        <f>IF($W251=AI$3,$AB251,IF(NOT($W251=0),"",SUMIFS('Val-Vol (2)'!AI$4:AI$1116,'Val-Vol (2)'!$A$4:$A$1116,$D251,'Val-Vol (2)'!$V$4:$V$1116,$V251)/SUMIFS('Comp2016-2017 (3)'!$G$5:$G$289,'Comp2016-2017 (3)'!$A$5:$A$289,$D251,'Comp2016-2017 (3)'!$R$5:$R$289,$V251)*$AB251))</f>
        <v/>
      </c>
      <c r="AJ251" s="2" t="str">
        <f>IF($W251=AJ$3,$AB251,IF(NOT($W251=0),"",SUMIFS('Val-Vol (2)'!AJ$4:AJ$1116,'Val-Vol (2)'!$A$4:$A$1116,$D251,'Val-Vol (2)'!$V$4:$V$1116,$V251)/SUMIFS('Comp2016-2017 (3)'!$G$5:$G$289,'Comp2016-2017 (3)'!$A$5:$A$289,$D251,'Comp2016-2017 (3)'!$R$5:$R$289,$V251)*$AB251))</f>
        <v/>
      </c>
      <c r="AK251" s="2">
        <f t="shared" si="23"/>
        <v>0</v>
      </c>
      <c r="AL251" t="str">
        <f t="shared" si="19"/>
        <v/>
      </c>
      <c r="AM251" t="str">
        <f>VLOOKUP(A251,'Table corresp.'!$M$4:$U$63,8,FALSE)</f>
        <v>Production finale</v>
      </c>
      <c r="AN251" t="str">
        <f>VLOOKUP(D251,'Table corresp.'!$M$4:$U$63,9,FALSE)</f>
        <v xml:space="preserve">Mise en œuvre </v>
      </c>
    </row>
    <row r="252" spans="1:40" x14ac:dyDescent="0.25">
      <c r="A252" t="s">
        <v>16</v>
      </c>
      <c r="B252" t="str">
        <f>VLOOKUP(LEFT(A252,3),'Table corresp.'!$A$4:$D$63,3,FALSE)</f>
        <v>Transformation</v>
      </c>
      <c r="C252" t="str">
        <f>VLOOKUP(A252,'Table corresp.'!$M$4:$P$63,4,FALSE)</f>
        <v>Production et transformation de produits bois</v>
      </c>
      <c r="D252" t="s">
        <v>54</v>
      </c>
      <c r="E252" t="str">
        <f>VLOOKUP(LEFT(D252,3),'Table corresp.'!$A$4:$D$63,4,FALSE)</f>
        <v>Consommation finale</v>
      </c>
      <c r="F252" t="str">
        <f t="shared" si="18"/>
        <v>36  - Con</v>
      </c>
      <c r="G252" s="1">
        <v>109394</v>
      </c>
      <c r="H252" s="1">
        <v>34494</v>
      </c>
      <c r="I252" s="1">
        <v>143888</v>
      </c>
      <c r="J252" s="1">
        <v>79.117458363581022</v>
      </c>
      <c r="K252" s="1">
        <v>22.466551750477162</v>
      </c>
      <c r="L252" s="1">
        <v>101.58401011405819</v>
      </c>
      <c r="M252" s="1">
        <v>52.609682558782808</v>
      </c>
      <c r="N252" s="1">
        <v>14.939325534391713</v>
      </c>
      <c r="O252" s="1">
        <v>67.549008093174521</v>
      </c>
      <c r="P252" s="1">
        <v>19.425075515449002</v>
      </c>
      <c r="Q252" s="1">
        <v>7.9157302628164201</v>
      </c>
      <c r="R252" s="1">
        <v>27.340805778265423</v>
      </c>
      <c r="S252" s="67" t="s">
        <v>192</v>
      </c>
      <c r="T252">
        <f>VLOOKUP(A252,'Groupe de branches'!$Z$27:$AM$86,14,FALSE)</f>
        <v>0</v>
      </c>
      <c r="U252">
        <f>VLOOKUP(D252,'Groupe de branches'!$Z$27:$AM$86,14,FALSE)</f>
        <v>0</v>
      </c>
      <c r="V252">
        <v>2016</v>
      </c>
      <c r="W252" t="str">
        <f>VLOOKUP(D252,'Table corresp.'!$M$4:$S$63,7,FALSE)</f>
        <v>Consommation finale</v>
      </c>
      <c r="X252" s="167">
        <f>IFERROR(G252/SUMIFS('Comp2016-2017 (3)'!$I$5:$I$289,'Comp2016-2017 (3)'!$A$5:$A$289,A252,'Comp2016-2017 (3)'!$R$5:$R$289,V252),0)</f>
        <v>0.21790157638725663</v>
      </c>
      <c r="Y252" s="178">
        <f>IFERROR(IF(RIGHT(F252,3)="Exp",VLOOKUP(F252,#REF!,2,FALSE),VLOOKUP(F252,#REF!,9,FALSE)),1)</f>
        <v>1</v>
      </c>
      <c r="Z252" s="167">
        <f t="shared" si="25"/>
        <v>0.25</v>
      </c>
      <c r="AA252" s="189">
        <f t="shared" si="21"/>
        <v>5.4475394096814157E-2</v>
      </c>
      <c r="AB252" s="2">
        <f>IFERROR(SUMIFS('Comp2016-2017 (3)'!$G$5:$G$289,'Comp2016-2017 (3)'!$A$5:$A$289,A252,'Comp2016-2017 (3)'!$R$5:$R$289,V252)*AA252/SUMIFS($AA$4:$AA$1116,$A$4:$A$1116,A252,$V$4:$V$1116,V252),0)</f>
        <v>40475.819993367993</v>
      </c>
      <c r="AC252" s="2" t="str">
        <f>IF($W252=AC$3,$AB252,IF(NOT($W252=0),"",SUMIFS('Val-Vol (2)'!AC$4:AC$1116,'Val-Vol (2)'!$A$4:$A$1116,$D252,'Val-Vol (2)'!$V$4:$V$1116,$V252)/SUMIFS('Comp2016-2017 (3)'!$G$5:$G$289,'Comp2016-2017 (3)'!$A$5:$A$289,$D252,'Comp2016-2017 (3)'!$R$5:$R$289,$V252)*$AB252))</f>
        <v/>
      </c>
      <c r="AD252" s="2" t="str">
        <f>IF($W252=AD$3,$AB252,IF(NOT($W252=0),"",SUMIFS('Val-Vol (2)'!AD$4:AD$1116,'Val-Vol (2)'!$A$4:$A$1116,$D252,'Val-Vol (2)'!$V$4:$V$1116,$V252)/SUMIFS('Comp2016-2017 (3)'!$G$5:$G$289,'Comp2016-2017 (3)'!$A$5:$A$289,$D252,'Comp2016-2017 (3)'!$R$5:$R$289,$V252)*$AB252))</f>
        <v/>
      </c>
      <c r="AE252" s="2" t="str">
        <f>IF($W252=AE$3,$AB252,IF(NOT($W252=0),"",SUMIFS('Val-Vol (2)'!AE$4:AE$1116,'Val-Vol (2)'!$A$4:$A$1116,$D252,'Val-Vol (2)'!$V$4:$V$1116,$V252)/SUMIFS('Comp2016-2017 (3)'!$G$5:$G$289,'Comp2016-2017 (3)'!$A$5:$A$289,$D252,'Comp2016-2017 (3)'!$R$5:$R$289,$V252)*$AB252))</f>
        <v/>
      </c>
      <c r="AF252" s="2" t="str">
        <f>IF($W252=AF$3,$AB252,IF(NOT($W252=0),"",SUMIFS('Val-Vol (2)'!AF$4:AF$1116,'Val-Vol (2)'!$A$4:$A$1116,$D252,'Val-Vol (2)'!$V$4:$V$1116,$V252)/SUMIFS('Comp2016-2017 (3)'!$G$5:$G$289,'Comp2016-2017 (3)'!$A$5:$A$289,$D252,'Comp2016-2017 (3)'!$R$5:$R$289,$V252)*$AB252))</f>
        <v/>
      </c>
      <c r="AG252" s="2" t="str">
        <f>IF($W252=AG$3,$AB252,IF(NOT($W252=0),"",SUMIFS('Val-Vol (2)'!AG$4:AG$1116,'Val-Vol (2)'!$A$4:$A$1116,$D252,'Val-Vol (2)'!$V$4:$V$1116,$V252)/SUMIFS('Comp2016-2017 (3)'!$G$5:$G$289,'Comp2016-2017 (3)'!$A$5:$A$289,$D252,'Comp2016-2017 (3)'!$R$5:$R$289,$V252)*$AB252))</f>
        <v/>
      </c>
      <c r="AH252" s="2" t="str">
        <f>IF($W252=AH$3,$AB252,IF(NOT($W252=0),"",SUMIFS('Val-Vol (2)'!AH$4:AH$1116,'Val-Vol (2)'!$A$4:$A$1116,$D252,'Val-Vol (2)'!$V$4:$V$1116,$V252)/SUMIFS('Comp2016-2017 (3)'!$G$5:$G$289,'Comp2016-2017 (3)'!$A$5:$A$289,$D252,'Comp2016-2017 (3)'!$R$5:$R$289,$V252)*$AB252))</f>
        <v/>
      </c>
      <c r="AI252" s="2" t="str">
        <f>IF($W252=AI$3,$AB252,IF(NOT($W252=0),"",SUMIFS('Val-Vol (2)'!AI$4:AI$1116,'Val-Vol (2)'!$A$4:$A$1116,$D252,'Val-Vol (2)'!$V$4:$V$1116,$V252)/SUMIFS('Comp2016-2017 (3)'!$G$5:$G$289,'Comp2016-2017 (3)'!$A$5:$A$289,$D252,'Comp2016-2017 (3)'!$R$5:$R$289,$V252)*$AB252))</f>
        <v/>
      </c>
      <c r="AJ252" s="2">
        <f>IF($W252=AJ$3,$AB252,IF(NOT($W252=0),"",SUMIFS('Val-Vol (2)'!AJ$4:AJ$1116,'Val-Vol (2)'!$A$4:$A$1116,$D252,'Val-Vol (2)'!$V$4:$V$1116,$V252)/SUMIFS('Comp2016-2017 (3)'!$G$5:$G$289,'Comp2016-2017 (3)'!$A$5:$A$289,$D252,'Comp2016-2017 (3)'!$R$5:$R$289,$V252)*$AB252))</f>
        <v>40475.819993367993</v>
      </c>
      <c r="AK252" s="2">
        <f t="shared" si="23"/>
        <v>0</v>
      </c>
      <c r="AL252" t="str">
        <f t="shared" si="19"/>
        <v/>
      </c>
      <c r="AM252" t="str">
        <f>VLOOKUP(A252,'Table corresp.'!$M$4:$U$63,8,FALSE)</f>
        <v>Production finale</v>
      </c>
      <c r="AN252" t="str">
        <f>VLOOKUP(D252,'Table corresp.'!$M$4:$U$63,9,FALSE)</f>
        <v>Consommation finale française</v>
      </c>
    </row>
    <row r="253" spans="1:40" x14ac:dyDescent="0.25">
      <c r="A253" t="s">
        <v>16</v>
      </c>
      <c r="B253" t="str">
        <f>VLOOKUP(LEFT(A253,3),'Table corresp.'!$A$4:$D$63,3,FALSE)</f>
        <v>Transformation</v>
      </c>
      <c r="C253" t="str">
        <f>VLOOKUP(A253,'Table corresp.'!$M$4:$P$63,4,FALSE)</f>
        <v>Production et transformation de produits bois</v>
      </c>
      <c r="D253" t="s">
        <v>53</v>
      </c>
      <c r="E253" t="str">
        <f>VLOOKUP(LEFT(D253,3),'Table corresp.'!$A$4:$D$63,4,FALSE)</f>
        <v>Exportation</v>
      </c>
      <c r="F253" t="str">
        <f t="shared" si="18"/>
        <v>36  - Exp</v>
      </c>
      <c r="G253" s="1">
        <v>32157</v>
      </c>
      <c r="H253" s="1">
        <v>0</v>
      </c>
      <c r="I253" s="1">
        <v>32157</v>
      </c>
      <c r="J253" s="1">
        <v>21.065025919804448</v>
      </c>
      <c r="K253" s="1">
        <v>0</v>
      </c>
      <c r="L253" s="1">
        <v>21.065025919804448</v>
      </c>
      <c r="M253" s="1">
        <v>14.007373694169296</v>
      </c>
      <c r="N253" s="1">
        <v>0</v>
      </c>
      <c r="O253" s="1">
        <v>14.007373694169296</v>
      </c>
      <c r="P253" s="1">
        <v>6.053787985296756</v>
      </c>
      <c r="Q253" s="1">
        <v>0</v>
      </c>
      <c r="R253" s="1">
        <v>6.053787985296756</v>
      </c>
      <c r="S253" s="67" t="s">
        <v>192</v>
      </c>
      <c r="T253">
        <f>VLOOKUP(A253,'Groupe de branches'!$Z$27:$AM$86,14,FALSE)</f>
        <v>0</v>
      </c>
      <c r="U253">
        <f>VLOOKUP(D253,'Groupe de branches'!$Z$27:$AM$86,14,FALSE)</f>
        <v>0</v>
      </c>
      <c r="V253">
        <v>2016</v>
      </c>
      <c r="W253" t="str">
        <f>VLOOKUP(D253,'Table corresp.'!$M$4:$S$63,7,FALSE)</f>
        <v>Exportation</v>
      </c>
      <c r="X253" s="167">
        <f>IFERROR(G253/SUMIFS('Comp2016-2017 (3)'!$I$5:$I$289,'Comp2016-2017 (3)'!$A$5:$A$289,A253,'Comp2016-2017 (3)'!$R$5:$R$289,V253),0)</f>
        <v>6.4053430644139639E-2</v>
      </c>
      <c r="Y253" s="178">
        <f>IFERROR(IF(RIGHT(F253,3)="Exp",VLOOKUP(F253,#REF!,2,FALSE),VLOOKUP(F253,#REF!,9,FALSE)),1)</f>
        <v>1</v>
      </c>
      <c r="Z253" s="167">
        <f t="shared" si="25"/>
        <v>0.25</v>
      </c>
      <c r="AA253" s="189">
        <f t="shared" si="21"/>
        <v>1.601335766103491E-2</v>
      </c>
      <c r="AB253" s="2">
        <f>IFERROR(SUMIFS('Comp2016-2017 (3)'!$G$5:$G$289,'Comp2016-2017 (3)'!$A$5:$A$289,A253,'Comp2016-2017 (3)'!$R$5:$R$289,V253)*AA253/SUMIFS($AA$4:$AA$1116,$A$4:$A$1116,A253,$V$4:$V$1116,V253),0)</f>
        <v>11898.101756282196</v>
      </c>
      <c r="AC253" s="2">
        <f>IF($W253=AC$3,$AB253,IF(NOT($W253=0),"",SUMIFS('Val-Vol (2)'!AC$4:AC$1116,'Val-Vol (2)'!$A$4:$A$1116,$D253,'Val-Vol (2)'!$V$4:$V$1116,$V253)/SUMIFS('Comp2016-2017 (3)'!$G$5:$G$289,'Comp2016-2017 (3)'!$A$5:$A$289,$D253,'Comp2016-2017 (3)'!$R$5:$R$289,$V253)*$AB253))</f>
        <v>11898.101756282196</v>
      </c>
      <c r="AD253" s="2" t="str">
        <f>IF($W253=AD$3,$AB253,IF(NOT($W253=0),"",SUMIFS('Val-Vol (2)'!AD$4:AD$1116,'Val-Vol (2)'!$A$4:$A$1116,$D253,'Val-Vol (2)'!$V$4:$V$1116,$V253)/SUMIFS('Comp2016-2017 (3)'!$G$5:$G$289,'Comp2016-2017 (3)'!$A$5:$A$289,$D253,'Comp2016-2017 (3)'!$R$5:$R$289,$V253)*$AB253))</f>
        <v/>
      </c>
      <c r="AE253" s="2" t="str">
        <f>IF($W253=AE$3,$AB253,IF(NOT($W253=0),"",SUMIFS('Val-Vol (2)'!AE$4:AE$1116,'Val-Vol (2)'!$A$4:$A$1116,$D253,'Val-Vol (2)'!$V$4:$V$1116,$V253)/SUMIFS('Comp2016-2017 (3)'!$G$5:$G$289,'Comp2016-2017 (3)'!$A$5:$A$289,$D253,'Comp2016-2017 (3)'!$R$5:$R$289,$V253)*$AB253))</f>
        <v/>
      </c>
      <c r="AF253" s="2" t="str">
        <f>IF($W253=AF$3,$AB253,IF(NOT($W253=0),"",SUMIFS('Val-Vol (2)'!AF$4:AF$1116,'Val-Vol (2)'!$A$4:$A$1116,$D253,'Val-Vol (2)'!$V$4:$V$1116,$V253)/SUMIFS('Comp2016-2017 (3)'!$G$5:$G$289,'Comp2016-2017 (3)'!$A$5:$A$289,$D253,'Comp2016-2017 (3)'!$R$5:$R$289,$V253)*$AB253))</f>
        <v/>
      </c>
      <c r="AG253" s="2" t="str">
        <f>IF($W253=AG$3,$AB253,IF(NOT($W253=0),"",SUMIFS('Val-Vol (2)'!AG$4:AG$1116,'Val-Vol (2)'!$A$4:$A$1116,$D253,'Val-Vol (2)'!$V$4:$V$1116,$V253)/SUMIFS('Comp2016-2017 (3)'!$G$5:$G$289,'Comp2016-2017 (3)'!$A$5:$A$289,$D253,'Comp2016-2017 (3)'!$R$5:$R$289,$V253)*$AB253))</f>
        <v/>
      </c>
      <c r="AH253" s="2" t="str">
        <f>IF($W253=AH$3,$AB253,IF(NOT($W253=0),"",SUMIFS('Val-Vol (2)'!AH$4:AH$1116,'Val-Vol (2)'!$A$4:$A$1116,$D253,'Val-Vol (2)'!$V$4:$V$1116,$V253)/SUMIFS('Comp2016-2017 (3)'!$G$5:$G$289,'Comp2016-2017 (3)'!$A$5:$A$289,$D253,'Comp2016-2017 (3)'!$R$5:$R$289,$V253)*$AB253))</f>
        <v/>
      </c>
      <c r="AI253" s="2" t="str">
        <f>IF($W253=AI$3,$AB253,IF(NOT($W253=0),"",SUMIFS('Val-Vol (2)'!AI$4:AI$1116,'Val-Vol (2)'!$A$4:$A$1116,$D253,'Val-Vol (2)'!$V$4:$V$1116,$V253)/SUMIFS('Comp2016-2017 (3)'!$G$5:$G$289,'Comp2016-2017 (3)'!$A$5:$A$289,$D253,'Comp2016-2017 (3)'!$R$5:$R$289,$V253)*$AB253))</f>
        <v/>
      </c>
      <c r="AJ253" s="2" t="str">
        <f>IF($W253=AJ$3,$AB253,IF(NOT($W253=0),"",SUMIFS('Val-Vol (2)'!AJ$4:AJ$1116,'Val-Vol (2)'!$A$4:$A$1116,$D253,'Val-Vol (2)'!$V$4:$V$1116,$V253)/SUMIFS('Comp2016-2017 (3)'!$G$5:$G$289,'Comp2016-2017 (3)'!$A$5:$A$289,$D253,'Comp2016-2017 (3)'!$R$5:$R$289,$V253)*$AB253))</f>
        <v/>
      </c>
      <c r="AK253" s="2">
        <f t="shared" si="23"/>
        <v>0</v>
      </c>
      <c r="AL253" t="str">
        <f t="shared" si="19"/>
        <v/>
      </c>
      <c r="AM253" t="str">
        <f>VLOOKUP(A253,'Table corresp.'!$M$4:$U$63,8,FALSE)</f>
        <v>Production finale</v>
      </c>
      <c r="AN253" t="str">
        <f>VLOOKUP(D253,'Table corresp.'!$M$4:$U$63,9,FALSE)</f>
        <v>Exportation</v>
      </c>
    </row>
    <row r="254" spans="1:40" x14ac:dyDescent="0.25">
      <c r="A254" t="s">
        <v>91</v>
      </c>
      <c r="B254" t="str">
        <f>VLOOKUP(LEFT(A254,3),'Table corresp.'!$A$4:$D$63,3,FALSE)</f>
        <v>Transformation</v>
      </c>
      <c r="C254" t="str">
        <f>VLOOKUP(A254,'Table corresp.'!$M$4:$P$63,4,FALSE)</f>
        <v>Production et transformation de produits bois</v>
      </c>
      <c r="D254" t="s">
        <v>91</v>
      </c>
      <c r="E254" t="str">
        <f>VLOOKUP(LEFT(D254,3),'Table corresp.'!$A$4:$D$63,4,FALSE)</f>
        <v>Transformation</v>
      </c>
      <c r="F254" t="str">
        <f t="shared" si="18"/>
        <v xml:space="preserve">37  - 37 </v>
      </c>
      <c r="G254" s="1">
        <v>9661.4726999999984</v>
      </c>
      <c r="H254" s="1">
        <v>10338.527300000002</v>
      </c>
      <c r="I254" s="1">
        <v>20000</v>
      </c>
      <c r="J254" s="1">
        <v>0</v>
      </c>
      <c r="K254" s="1">
        <v>0</v>
      </c>
      <c r="L254" s="1">
        <v>0</v>
      </c>
      <c r="M254" s="1">
        <v>0</v>
      </c>
      <c r="N254" s="1">
        <v>0</v>
      </c>
      <c r="O254" s="1">
        <v>0</v>
      </c>
      <c r="P254" s="1">
        <v>0</v>
      </c>
      <c r="Q254" s="1">
        <v>0</v>
      </c>
      <c r="R254" s="1">
        <v>0</v>
      </c>
      <c r="S254" s="67"/>
      <c r="T254">
        <f>VLOOKUP(A254,'Groupe de branches'!$Z$27:$AM$86,14,FALSE)</f>
        <v>0</v>
      </c>
      <c r="U254">
        <f>VLOOKUP(D254,'Groupe de branches'!$Z$27:$AM$86,14,FALSE)</f>
        <v>0</v>
      </c>
      <c r="V254">
        <v>2016</v>
      </c>
      <c r="W254" t="str">
        <f>VLOOKUP(D254,'Table corresp.'!$M$4:$S$63,7,FALSE)</f>
        <v>Emballage bois et carton</v>
      </c>
      <c r="X254" s="167">
        <f>IFERROR(G254/SUMIFS('Comp2016-2017 (3)'!$I$5:$I$289,'Comp2016-2017 (3)'!$A$5:$A$289,A254,'Comp2016-2017 (3)'!$R$5:$R$289,V254),0)</f>
        <v>7.274476228043422E-3</v>
      </c>
      <c r="Y254" s="178">
        <f>IFERROR(IF(RIGHT(F254,3)="Exp",VLOOKUP(F254,#REF!,2,FALSE),VLOOKUP(F254,#REF!,9,FALSE)),1)</f>
        <v>1</v>
      </c>
      <c r="Z254" s="167">
        <f t="shared" si="25"/>
        <v>0.33333333333333331</v>
      </c>
      <c r="AA254" s="189">
        <f t="shared" si="21"/>
        <v>2.4248254093478072E-3</v>
      </c>
      <c r="AB254" s="2">
        <f>IFERROR(SUMIFS('Comp2016-2017 (3)'!$G$5:$G$289,'Comp2016-2017 (3)'!$A$5:$A$289,A254,'Comp2016-2017 (3)'!$R$5:$R$289,V254)*AA254/SUMIFS($AA$4:$AA$1116,$A$4:$A$1116,A254,$V$4:$V$1116,V254),0)</f>
        <v>3574.7449024990219</v>
      </c>
      <c r="AG254" s="198">
        <f>AB254</f>
        <v>3574.7449024990219</v>
      </c>
      <c r="AK254" s="2">
        <f t="shared" ref="AK254:AK255" si="26">SUM(AC254:AJ254)-AB254</f>
        <v>0</v>
      </c>
      <c r="AL254" t="str">
        <f t="shared" si="19"/>
        <v>remplir à la main</v>
      </c>
      <c r="AM254" t="str">
        <f>VLOOKUP(A254,'Table corresp.'!$M$4:$U$63,8,FALSE)</f>
        <v>Production finale</v>
      </c>
      <c r="AN254" t="str">
        <f>VLOOKUP(D254,'Table corresp.'!$M$4:$U$63,9,FALSE)</f>
        <v>Production finale</v>
      </c>
    </row>
    <row r="255" spans="1:40" x14ac:dyDescent="0.25">
      <c r="A255" t="s">
        <v>91</v>
      </c>
      <c r="B255" t="str">
        <f>VLOOKUP(LEFT(A255,3),'Table corresp.'!$A$4:$D$63,3,FALSE)</f>
        <v>Transformation</v>
      </c>
      <c r="C255" t="str">
        <f>VLOOKUP(A255,'Table corresp.'!$M$4:$P$63,4,FALSE)</f>
        <v>Production et transformation de produits bois</v>
      </c>
      <c r="D255" t="s">
        <v>54</v>
      </c>
      <c r="E255" t="str">
        <f>VLOOKUP(LEFT(D255,3),'Table corresp.'!$A$4:$D$63,4,FALSE)</f>
        <v>Consommation finale</v>
      </c>
      <c r="F255" t="str">
        <f t="shared" si="18"/>
        <v>37  - Con</v>
      </c>
      <c r="G255" s="1">
        <v>1218489.29</v>
      </c>
      <c r="H255" s="1">
        <v>196537.5287</v>
      </c>
      <c r="I255" s="1">
        <v>1415026.8186999999</v>
      </c>
      <c r="J255" s="1">
        <v>5490.0888320280865</v>
      </c>
      <c r="K255" s="1">
        <v>958.66586456752316</v>
      </c>
      <c r="L255" s="1">
        <v>6448.7546965956099</v>
      </c>
      <c r="M255" s="1">
        <v>491.74966450767124</v>
      </c>
      <c r="N255" s="1">
        <v>85.868121937452884</v>
      </c>
      <c r="O255" s="1">
        <v>577.61778644512412</v>
      </c>
      <c r="P255" s="1">
        <v>2.558722707343327E-3</v>
      </c>
      <c r="Q255" s="1">
        <v>4.4679789188724269E-4</v>
      </c>
      <c r="R255" s="1">
        <v>3.0055205992305695E-3</v>
      </c>
      <c r="S255" s="67"/>
      <c r="T255">
        <f>VLOOKUP(A255,'Groupe de branches'!$Z$27:$AM$86,14,FALSE)</f>
        <v>0</v>
      </c>
      <c r="U255">
        <f>VLOOKUP(D255,'Groupe de branches'!$Z$27:$AM$86,14,FALSE)</f>
        <v>0</v>
      </c>
      <c r="V255">
        <v>2016</v>
      </c>
      <c r="W255" t="str">
        <f>VLOOKUP(D255,'Table corresp.'!$M$4:$S$63,7,FALSE)</f>
        <v>Consommation finale</v>
      </c>
      <c r="X255" s="167">
        <f>IFERROR(G255/SUMIFS('Comp2016-2017 (3)'!$I$5:$I$289,'Comp2016-2017 (3)'!$A$5:$A$289,A255,'Comp2016-2017 (3)'!$R$5:$R$289,V255),0)</f>
        <v>0.91744516073936733</v>
      </c>
      <c r="Y255" s="178">
        <f>IFERROR(IF(RIGHT(F255,3)="Exp",VLOOKUP(F255,#REF!,2,FALSE),VLOOKUP(F255,#REF!,9,FALSE)),1)</f>
        <v>1</v>
      </c>
      <c r="Z255" s="167">
        <f t="shared" si="25"/>
        <v>0.33333333333333331</v>
      </c>
      <c r="AA255" s="189">
        <f t="shared" si="21"/>
        <v>0.30581505357978911</v>
      </c>
      <c r="AB255" s="2">
        <f>IFERROR(SUMIFS('Comp2016-2017 (3)'!$G$5:$G$289,'Comp2016-2017 (3)'!$A$5:$A$289,A255,'Comp2016-2017 (3)'!$R$5:$R$289,V255)*AA255/SUMIFS($AA$4:$AA$1116,$A$4:$A$1116,A255,$V$4:$V$1116,V255),0)</f>
        <v>450841.0377412911</v>
      </c>
      <c r="AC255" s="2" t="str">
        <f>IF($W255=AC$3,$AB255,IF(NOT($W255=0),"",SUMIFS('Val-Vol (2)'!AC$4:AC$1116,'Val-Vol (2)'!$A$4:$A$1116,$D255,'Val-Vol (2)'!$V$4:$V$1116,$V255)/SUMIFS('Comp2016-2017 (3)'!$G$5:$G$289,'Comp2016-2017 (3)'!$A$5:$A$289,$D255,'Comp2016-2017 (3)'!$R$5:$R$289,$V255)*$AB255))</f>
        <v/>
      </c>
      <c r="AD255" s="2" t="str">
        <f>IF($W255=AD$3,$AB255,IF(NOT($W255=0),"",SUMIFS('Val-Vol (2)'!AD$4:AD$1116,'Val-Vol (2)'!$A$4:$A$1116,$D255,'Val-Vol (2)'!$V$4:$V$1116,$V255)/SUMIFS('Comp2016-2017 (3)'!$G$5:$G$289,'Comp2016-2017 (3)'!$A$5:$A$289,$D255,'Comp2016-2017 (3)'!$R$5:$R$289,$V255)*$AB255))</f>
        <v/>
      </c>
      <c r="AE255" s="2" t="str">
        <f>IF($W255=AE$3,$AB255,IF(NOT($W255=0),"",SUMIFS('Val-Vol (2)'!AE$4:AE$1116,'Val-Vol (2)'!$A$4:$A$1116,$D255,'Val-Vol (2)'!$V$4:$V$1116,$V255)/SUMIFS('Comp2016-2017 (3)'!$G$5:$G$289,'Comp2016-2017 (3)'!$A$5:$A$289,$D255,'Comp2016-2017 (3)'!$R$5:$R$289,$V255)*$AB255))</f>
        <v/>
      </c>
      <c r="AF255" s="2" t="str">
        <f>IF($W255=AF$3,$AB255,IF(NOT($W255=0),"",SUMIFS('Val-Vol (2)'!AF$4:AF$1116,'Val-Vol (2)'!$A$4:$A$1116,$D255,'Val-Vol (2)'!$V$4:$V$1116,$V255)/SUMIFS('Comp2016-2017 (3)'!$G$5:$G$289,'Comp2016-2017 (3)'!$A$5:$A$289,$D255,'Comp2016-2017 (3)'!$R$5:$R$289,$V255)*$AB255))</f>
        <v/>
      </c>
      <c r="AG255" s="2" t="str">
        <f>IF($W255=AG$3,$AB255,IF(NOT($W255=0),"",SUMIFS('Val-Vol (2)'!AG$4:AG$1116,'Val-Vol (2)'!$A$4:$A$1116,$D255,'Val-Vol (2)'!$V$4:$V$1116,$V255)/SUMIFS('Comp2016-2017 (3)'!$G$5:$G$289,'Comp2016-2017 (3)'!$A$5:$A$289,$D255,'Comp2016-2017 (3)'!$R$5:$R$289,$V255)*$AB255))</f>
        <v/>
      </c>
      <c r="AH255" s="2" t="str">
        <f>IF($W255=AH$3,$AB255,IF(NOT($W255=0),"",SUMIFS('Val-Vol (2)'!AH$4:AH$1116,'Val-Vol (2)'!$A$4:$A$1116,$D255,'Val-Vol (2)'!$V$4:$V$1116,$V255)/SUMIFS('Comp2016-2017 (3)'!$G$5:$G$289,'Comp2016-2017 (3)'!$A$5:$A$289,$D255,'Comp2016-2017 (3)'!$R$5:$R$289,$V255)*$AB255))</f>
        <v/>
      </c>
      <c r="AI255" s="2" t="str">
        <f>IF($W255=AI$3,$AB255,IF(NOT($W255=0),"",SUMIFS('Val-Vol (2)'!AI$4:AI$1116,'Val-Vol (2)'!$A$4:$A$1116,$D255,'Val-Vol (2)'!$V$4:$V$1116,$V255)/SUMIFS('Comp2016-2017 (3)'!$G$5:$G$289,'Comp2016-2017 (3)'!$A$5:$A$289,$D255,'Comp2016-2017 (3)'!$R$5:$R$289,$V255)*$AB255))</f>
        <v/>
      </c>
      <c r="AJ255" s="2">
        <f>IF($W255=AJ$3,$AB255,IF(NOT($W255=0),"",SUMIFS('Val-Vol (2)'!AJ$4:AJ$1116,'Val-Vol (2)'!$A$4:$A$1116,$D255,'Val-Vol (2)'!$V$4:$V$1116,$V255)/SUMIFS('Comp2016-2017 (3)'!$G$5:$G$289,'Comp2016-2017 (3)'!$A$5:$A$289,$D255,'Comp2016-2017 (3)'!$R$5:$R$289,$V255)*$AB255))</f>
        <v>450841.0377412911</v>
      </c>
      <c r="AK255" s="2">
        <f t="shared" si="26"/>
        <v>0</v>
      </c>
      <c r="AL255" t="str">
        <f t="shared" si="19"/>
        <v/>
      </c>
      <c r="AM255" t="str">
        <f>VLOOKUP(A255,'Table corresp.'!$M$4:$U$63,8,FALSE)</f>
        <v>Production finale</v>
      </c>
      <c r="AN255" t="str">
        <f>VLOOKUP(D255,'Table corresp.'!$M$4:$U$63,9,FALSE)</f>
        <v>Consommation finale française</v>
      </c>
    </row>
    <row r="256" spans="1:40" x14ac:dyDescent="0.25">
      <c r="A256" t="s">
        <v>91</v>
      </c>
      <c r="B256" t="str">
        <f>VLOOKUP(LEFT(A256,3),'Table corresp.'!$A$4:$D$63,3,FALSE)</f>
        <v>Transformation</v>
      </c>
      <c r="C256" t="str">
        <f>VLOOKUP(A256,'Table corresp.'!$M$4:$P$63,4,FALSE)</f>
        <v>Production et transformation de produits bois</v>
      </c>
      <c r="D256" t="s">
        <v>53</v>
      </c>
      <c r="E256" t="str">
        <f>VLOOKUP(LEFT(D256,3),'Table corresp.'!$A$4:$D$63,4,FALSE)</f>
        <v>Exportation</v>
      </c>
      <c r="F256" t="str">
        <f t="shared" si="18"/>
        <v>37  - Exp</v>
      </c>
      <c r="G256" s="1">
        <v>99982.341</v>
      </c>
      <c r="H256" s="1">
        <v>0</v>
      </c>
      <c r="I256" s="1">
        <v>99982.341</v>
      </c>
      <c r="J256" s="1">
        <v>416.52565100794715</v>
      </c>
      <c r="K256" s="1">
        <v>0</v>
      </c>
      <c r="L256" s="1">
        <v>416.52565100794715</v>
      </c>
      <c r="M256" s="1">
        <v>37.30838523906592</v>
      </c>
      <c r="N256" s="1">
        <v>0</v>
      </c>
      <c r="O256" s="1">
        <v>37.30838523906592</v>
      </c>
      <c r="P256" s="1">
        <v>1.9412684822283469E-4</v>
      </c>
      <c r="Q256" s="1">
        <v>0</v>
      </c>
      <c r="R256" s="1">
        <v>1.9412684822283469E-4</v>
      </c>
      <c r="S256" s="67"/>
      <c r="T256">
        <f>VLOOKUP(A256,'Groupe de branches'!$Z$27:$AM$86,14,FALSE)</f>
        <v>0</v>
      </c>
      <c r="U256">
        <f>VLOOKUP(D256,'Groupe de branches'!$Z$27:$AM$86,14,FALSE)</f>
        <v>0</v>
      </c>
      <c r="V256">
        <v>2016</v>
      </c>
      <c r="W256" t="str">
        <f>VLOOKUP(D256,'Table corresp.'!$M$4:$S$63,7,FALSE)</f>
        <v>Exportation</v>
      </c>
      <c r="X256" s="167">
        <f>IFERROR(G256/SUMIFS('Comp2016-2017 (3)'!$I$5:$I$289,'Comp2016-2017 (3)'!$A$5:$A$289,A256,'Comp2016-2017 (3)'!$R$5:$R$289,V256),0)</f>
        <v>7.5280362053771713E-2</v>
      </c>
      <c r="Y256" s="178">
        <f>IFERROR(IF(RIGHT(F256,3)="Exp",VLOOKUP(F256,#REF!,2,FALSE),VLOOKUP(F256,#REF!,9,FALSE)),1)</f>
        <v>1</v>
      </c>
      <c r="Z256" s="167">
        <f t="shared" si="25"/>
        <v>0.33333333333333331</v>
      </c>
      <c r="AA256" s="189">
        <f t="shared" si="21"/>
        <v>2.5093454017923903E-2</v>
      </c>
      <c r="AB256" s="2">
        <f>IFERROR(SUMIFS('Comp2016-2017 (3)'!$G$5:$G$289,'Comp2016-2017 (3)'!$A$5:$A$289,A256,'Comp2016-2017 (3)'!$R$5:$R$289,V256)*AA256/SUMIFS($AA$4:$AA$1116,$A$4:$A$1116,A256,$V$4:$V$1116,V256),0)</f>
        <v>36993.466206209858</v>
      </c>
      <c r="AC256" s="2">
        <f>IF($W256=AC$3,$AB256,IF(NOT($W256=0),"",SUMIFS('Val-Vol (2)'!AC$4:AC$1116,'Val-Vol (2)'!$A$4:$A$1116,$D256,'Val-Vol (2)'!$V$4:$V$1116,$V256)/SUMIFS('Comp2016-2017 (3)'!$G$5:$G$289,'Comp2016-2017 (3)'!$A$5:$A$289,$D256,'Comp2016-2017 (3)'!$R$5:$R$289,$V256)*$AB256))</f>
        <v>36993.466206209858</v>
      </c>
      <c r="AD256" s="2" t="str">
        <f>IF($W256=AD$3,$AB256,IF(NOT($W256=0),"",SUMIFS('Val-Vol (2)'!AD$4:AD$1116,'Val-Vol (2)'!$A$4:$A$1116,$D256,'Val-Vol (2)'!$V$4:$V$1116,$V256)/SUMIFS('Comp2016-2017 (3)'!$G$5:$G$289,'Comp2016-2017 (3)'!$A$5:$A$289,$D256,'Comp2016-2017 (3)'!$R$5:$R$289,$V256)*$AB256))</f>
        <v/>
      </c>
      <c r="AE256" s="2" t="str">
        <f>IF($W256=AE$3,$AB256,IF(NOT($W256=0),"",SUMIFS('Val-Vol (2)'!AE$4:AE$1116,'Val-Vol (2)'!$A$4:$A$1116,$D256,'Val-Vol (2)'!$V$4:$V$1116,$V256)/SUMIFS('Comp2016-2017 (3)'!$G$5:$G$289,'Comp2016-2017 (3)'!$A$5:$A$289,$D256,'Comp2016-2017 (3)'!$R$5:$R$289,$V256)*$AB256))</f>
        <v/>
      </c>
      <c r="AF256" s="2" t="str">
        <f>IF($W256=AF$3,$AB256,IF(NOT($W256=0),"",SUMIFS('Val-Vol (2)'!AF$4:AF$1116,'Val-Vol (2)'!$A$4:$A$1116,$D256,'Val-Vol (2)'!$V$4:$V$1116,$V256)/SUMIFS('Comp2016-2017 (3)'!$G$5:$G$289,'Comp2016-2017 (3)'!$A$5:$A$289,$D256,'Comp2016-2017 (3)'!$R$5:$R$289,$V256)*$AB256))</f>
        <v/>
      </c>
      <c r="AG256" s="2" t="str">
        <f>IF($W256=AG$3,$AB256,IF(NOT($W256=0),"",SUMIFS('Val-Vol (2)'!AG$4:AG$1116,'Val-Vol (2)'!$A$4:$A$1116,$D256,'Val-Vol (2)'!$V$4:$V$1116,$V256)/SUMIFS('Comp2016-2017 (3)'!$G$5:$G$289,'Comp2016-2017 (3)'!$A$5:$A$289,$D256,'Comp2016-2017 (3)'!$R$5:$R$289,$V256)*$AB256))</f>
        <v/>
      </c>
      <c r="AH256" s="2" t="str">
        <f>IF($W256=AH$3,$AB256,IF(NOT($W256=0),"",SUMIFS('Val-Vol (2)'!AH$4:AH$1116,'Val-Vol (2)'!$A$4:$A$1116,$D256,'Val-Vol (2)'!$V$4:$V$1116,$V256)/SUMIFS('Comp2016-2017 (3)'!$G$5:$G$289,'Comp2016-2017 (3)'!$A$5:$A$289,$D256,'Comp2016-2017 (3)'!$R$5:$R$289,$V256)*$AB256))</f>
        <v/>
      </c>
      <c r="AI256" s="2" t="str">
        <f>IF($W256=AI$3,$AB256,IF(NOT($W256=0),"",SUMIFS('Val-Vol (2)'!AI$4:AI$1116,'Val-Vol (2)'!$A$4:$A$1116,$D256,'Val-Vol (2)'!$V$4:$V$1116,$V256)/SUMIFS('Comp2016-2017 (3)'!$G$5:$G$289,'Comp2016-2017 (3)'!$A$5:$A$289,$D256,'Comp2016-2017 (3)'!$R$5:$R$289,$V256)*$AB256))</f>
        <v/>
      </c>
      <c r="AJ256" s="2" t="str">
        <f>IF($W256=AJ$3,$AB256,IF(NOT($W256=0),"",SUMIFS('Val-Vol (2)'!AJ$4:AJ$1116,'Val-Vol (2)'!$A$4:$A$1116,$D256,'Val-Vol (2)'!$V$4:$V$1116,$V256)/SUMIFS('Comp2016-2017 (3)'!$G$5:$G$289,'Comp2016-2017 (3)'!$A$5:$A$289,$D256,'Comp2016-2017 (3)'!$R$5:$R$289,$V256)*$AB256))</f>
        <v/>
      </c>
      <c r="AK256" s="2">
        <f t="shared" ref="AK256" si="27">SUM(AC256:AJ256)-AB256</f>
        <v>0</v>
      </c>
      <c r="AL256" t="str">
        <f t="shared" si="19"/>
        <v/>
      </c>
      <c r="AM256" t="str">
        <f>VLOOKUP(A256,'Table corresp.'!$M$4:$U$63,8,FALSE)</f>
        <v>Production finale</v>
      </c>
      <c r="AN256" t="str">
        <f>VLOOKUP(D256,'Table corresp.'!$M$4:$U$63,9,FALSE)</f>
        <v>Exportation</v>
      </c>
    </row>
    <row r="257" spans="1:40" x14ac:dyDescent="0.25">
      <c r="A257" t="s">
        <v>17</v>
      </c>
      <c r="B257" t="str">
        <f>VLOOKUP(LEFT(A257,3),'Table corresp.'!$A$4:$D$63,3,FALSE)</f>
        <v>Transformation</v>
      </c>
      <c r="C257" t="str">
        <f>VLOOKUP(A257,'Table corresp.'!$M$4:$P$63,4,FALSE)</f>
        <v>Production et transformation de produits bois</v>
      </c>
      <c r="D257" t="s">
        <v>17</v>
      </c>
      <c r="E257" t="str">
        <f>VLOOKUP(LEFT(D257,3),'Table corresp.'!$A$4:$D$63,4,FALSE)</f>
        <v>Transformation</v>
      </c>
      <c r="F257" t="str">
        <f t="shared" si="18"/>
        <v xml:space="preserve">38  - 38 </v>
      </c>
      <c r="G257" s="1">
        <v>1250.5</v>
      </c>
      <c r="H257" s="1">
        <v>1749.5</v>
      </c>
      <c r="I257" s="1">
        <v>3000</v>
      </c>
      <c r="J257" s="1">
        <v>0</v>
      </c>
      <c r="K257" s="1">
        <v>0</v>
      </c>
      <c r="L257" s="1">
        <v>0</v>
      </c>
      <c r="M257" s="1">
        <v>0</v>
      </c>
      <c r="N257" s="1">
        <v>0</v>
      </c>
      <c r="O257" s="1">
        <v>0</v>
      </c>
      <c r="P257" s="1">
        <v>0</v>
      </c>
      <c r="Q257" s="1">
        <v>0</v>
      </c>
      <c r="R257" s="1">
        <v>0</v>
      </c>
      <c r="S257" s="67"/>
      <c r="T257">
        <f>VLOOKUP(A257,'Groupe de branches'!$Z$27:$AM$86,14,FALSE)</f>
        <v>0</v>
      </c>
      <c r="U257">
        <f>VLOOKUP(D257,'Groupe de branches'!$Z$27:$AM$86,14,FALSE)</f>
        <v>0</v>
      </c>
      <c r="V257">
        <v>2016</v>
      </c>
      <c r="W257" t="str">
        <f>VLOOKUP(D257,'Table corresp.'!$M$4:$S$63,7,FALSE)</f>
        <v>Emballage bois et carton</v>
      </c>
      <c r="X257" s="167">
        <f>IFERROR(G257/SUMIFS('Comp2016-2017 (3)'!$I$5:$I$289,'Comp2016-2017 (3)'!$A$5:$A$289,A257,'Comp2016-2017 (3)'!$R$5:$R$289,V257),0)</f>
        <v>1.8462415217577459E-3</v>
      </c>
      <c r="Y257" s="178">
        <f>IFERROR(IF(RIGHT(F257,3)="Exp",VLOOKUP(F257,#REF!,2,FALSE),VLOOKUP(F257,#REF!,9,FALSE)),1)</f>
        <v>1</v>
      </c>
      <c r="Z257" s="167">
        <f t="shared" si="25"/>
        <v>0.33333333333333331</v>
      </c>
      <c r="AA257" s="189">
        <f t="shared" si="21"/>
        <v>6.1541384058591531E-4</v>
      </c>
      <c r="AB257" s="2">
        <f>IFERROR(SUMIFS('Comp2016-2017 (3)'!$G$5:$G$289,'Comp2016-2017 (3)'!$A$5:$A$289,A257,'Comp2016-2017 (3)'!$R$5:$R$289,V257)*AA257/SUMIFS($AA$4:$AA$1116,$A$4:$A$1116,A257,$V$4:$V$1116,V257),0)</f>
        <v>375.15000000000003</v>
      </c>
      <c r="AG257" s="198">
        <f>AB257</f>
        <v>375.15000000000003</v>
      </c>
      <c r="AK257" s="2">
        <f t="shared" ref="AK257:AK258" si="28">SUM(AC257:AJ257)-AB257</f>
        <v>0</v>
      </c>
      <c r="AL257" t="str">
        <f t="shared" si="19"/>
        <v>remplir à la main</v>
      </c>
      <c r="AM257" t="str">
        <f>VLOOKUP(A257,'Table corresp.'!$M$4:$U$63,8,FALSE)</f>
        <v>Production finale</v>
      </c>
      <c r="AN257" t="str">
        <f>VLOOKUP(D257,'Table corresp.'!$M$4:$U$63,9,FALSE)</f>
        <v>Production finale</v>
      </c>
    </row>
    <row r="258" spans="1:40" x14ac:dyDescent="0.25">
      <c r="A258" t="s">
        <v>17</v>
      </c>
      <c r="B258" t="str">
        <f>VLOOKUP(LEFT(A258,3),'Table corresp.'!$A$4:$D$63,3,FALSE)</f>
        <v>Transformation</v>
      </c>
      <c r="C258" t="str">
        <f>VLOOKUP(A258,'Table corresp.'!$M$4:$P$63,4,FALSE)</f>
        <v>Production et transformation de produits bois</v>
      </c>
      <c r="D258" t="s">
        <v>54</v>
      </c>
      <c r="E258" t="str">
        <f>VLOOKUP(LEFT(D258,3),'Table corresp.'!$A$4:$D$63,4,FALSE)</f>
        <v>Consommation finale</v>
      </c>
      <c r="F258" t="str">
        <f t="shared" si="18"/>
        <v>38  - Con</v>
      </c>
      <c r="G258" s="1">
        <v>346185.5</v>
      </c>
      <c r="H258" s="1">
        <v>33240.5</v>
      </c>
      <c r="I258" s="1">
        <v>379426</v>
      </c>
      <c r="J258" s="1">
        <v>148.62138950455744</v>
      </c>
      <c r="K258" s="1">
        <v>38.350192116892515</v>
      </c>
      <c r="L258" s="1">
        <v>186.97158162144996</v>
      </c>
      <c r="M258" s="1">
        <v>0</v>
      </c>
      <c r="N258" s="1">
        <v>0</v>
      </c>
      <c r="O258" s="1">
        <v>0</v>
      </c>
      <c r="P258" s="1">
        <v>0</v>
      </c>
      <c r="Q258" s="1">
        <v>0</v>
      </c>
      <c r="R258" s="1">
        <v>0</v>
      </c>
      <c r="S258" s="67"/>
      <c r="T258">
        <f>VLOOKUP(A258,'Groupe de branches'!$Z$27:$AM$86,14,FALSE)</f>
        <v>0</v>
      </c>
      <c r="U258">
        <f>VLOOKUP(D258,'Groupe de branches'!$Z$27:$AM$86,14,FALSE)</f>
        <v>0</v>
      </c>
      <c r="V258">
        <v>2016</v>
      </c>
      <c r="W258" t="str">
        <f>VLOOKUP(D258,'Table corresp.'!$M$4:$S$63,7,FALSE)</f>
        <v>Consommation finale</v>
      </c>
      <c r="X258" s="167">
        <f>IFERROR(G258/SUMIFS('Comp2016-2017 (3)'!$I$5:$I$289,'Comp2016-2017 (3)'!$A$5:$A$289,A258,'Comp2016-2017 (3)'!$R$5:$R$289,V258),0)</f>
        <v>0.5111091917876579</v>
      </c>
      <c r="Y258" s="178">
        <f>IFERROR(IF(RIGHT(F258,3)="Exp",VLOOKUP(F258,#REF!,2,FALSE),VLOOKUP(F258,#REF!,9,FALSE)),1)</f>
        <v>1</v>
      </c>
      <c r="Z258" s="167">
        <f t="shared" si="25"/>
        <v>0.33333333333333331</v>
      </c>
      <c r="AA258" s="189">
        <f t="shared" si="21"/>
        <v>0.17036973059588595</v>
      </c>
      <c r="AB258" s="2">
        <f>IFERROR(SUMIFS('Comp2016-2017 (3)'!$G$5:$G$289,'Comp2016-2017 (3)'!$A$5:$A$289,A258,'Comp2016-2017 (3)'!$R$5:$R$289,V258)*AA258/SUMIFS($AA$4:$AA$1116,$A$4:$A$1116,A258,$V$4:$V$1116,V258),0)</f>
        <v>103855.65000000001</v>
      </c>
      <c r="AC258" s="2" t="str">
        <f>IF($W258=AC$3,$AB258,IF(NOT($W258=0),"",SUMIFS('Val-Vol (2)'!AC$4:AC$1116,'Val-Vol (2)'!$A$4:$A$1116,$D258,'Val-Vol (2)'!$V$4:$V$1116,$V258)/SUMIFS('Comp2016-2017 (3)'!$G$5:$G$289,'Comp2016-2017 (3)'!$A$5:$A$289,$D258,'Comp2016-2017 (3)'!$R$5:$R$289,$V258)*$AB258))</f>
        <v/>
      </c>
      <c r="AD258" s="2" t="str">
        <f>IF($W258=AD$3,$AB258,IF(NOT($W258=0),"",SUMIFS('Val-Vol (2)'!AD$4:AD$1116,'Val-Vol (2)'!$A$4:$A$1116,$D258,'Val-Vol (2)'!$V$4:$V$1116,$V258)/SUMIFS('Comp2016-2017 (3)'!$G$5:$G$289,'Comp2016-2017 (3)'!$A$5:$A$289,$D258,'Comp2016-2017 (3)'!$R$5:$R$289,$V258)*$AB258))</f>
        <v/>
      </c>
      <c r="AE258" s="2" t="str">
        <f>IF($W258=AE$3,$AB258,IF(NOT($W258=0),"",SUMIFS('Val-Vol (2)'!AE$4:AE$1116,'Val-Vol (2)'!$A$4:$A$1116,$D258,'Val-Vol (2)'!$V$4:$V$1116,$V258)/SUMIFS('Comp2016-2017 (3)'!$G$5:$G$289,'Comp2016-2017 (3)'!$A$5:$A$289,$D258,'Comp2016-2017 (3)'!$R$5:$R$289,$V258)*$AB258))</f>
        <v/>
      </c>
      <c r="AF258" s="2" t="str">
        <f>IF($W258=AF$3,$AB258,IF(NOT($W258=0),"",SUMIFS('Val-Vol (2)'!AF$4:AF$1116,'Val-Vol (2)'!$A$4:$A$1116,$D258,'Val-Vol (2)'!$V$4:$V$1116,$V258)/SUMIFS('Comp2016-2017 (3)'!$G$5:$G$289,'Comp2016-2017 (3)'!$A$5:$A$289,$D258,'Comp2016-2017 (3)'!$R$5:$R$289,$V258)*$AB258))</f>
        <v/>
      </c>
      <c r="AG258" s="2" t="str">
        <f>IF($W258=AG$3,$AB258,IF(NOT($W258=0),"",SUMIFS('Val-Vol (2)'!AG$4:AG$1116,'Val-Vol (2)'!$A$4:$A$1116,$D258,'Val-Vol (2)'!$V$4:$V$1116,$V258)/SUMIFS('Comp2016-2017 (3)'!$G$5:$G$289,'Comp2016-2017 (3)'!$A$5:$A$289,$D258,'Comp2016-2017 (3)'!$R$5:$R$289,$V258)*$AB258))</f>
        <v/>
      </c>
      <c r="AH258" s="2" t="str">
        <f>IF($W258=AH$3,$AB258,IF(NOT($W258=0),"",SUMIFS('Val-Vol (2)'!AH$4:AH$1116,'Val-Vol (2)'!$A$4:$A$1116,$D258,'Val-Vol (2)'!$V$4:$V$1116,$V258)/SUMIFS('Comp2016-2017 (3)'!$G$5:$G$289,'Comp2016-2017 (3)'!$A$5:$A$289,$D258,'Comp2016-2017 (3)'!$R$5:$R$289,$V258)*$AB258))</f>
        <v/>
      </c>
      <c r="AI258" s="2" t="str">
        <f>IF($W258=AI$3,$AB258,IF(NOT($W258=0),"",SUMIFS('Val-Vol (2)'!AI$4:AI$1116,'Val-Vol (2)'!$A$4:$A$1116,$D258,'Val-Vol (2)'!$V$4:$V$1116,$V258)/SUMIFS('Comp2016-2017 (3)'!$G$5:$G$289,'Comp2016-2017 (3)'!$A$5:$A$289,$D258,'Comp2016-2017 (3)'!$R$5:$R$289,$V258)*$AB258))</f>
        <v/>
      </c>
      <c r="AJ258" s="2">
        <f>IF($W258=AJ$3,$AB258,IF(NOT($W258=0),"",SUMIFS('Val-Vol (2)'!AJ$4:AJ$1116,'Val-Vol (2)'!$A$4:$A$1116,$D258,'Val-Vol (2)'!$V$4:$V$1116,$V258)/SUMIFS('Comp2016-2017 (3)'!$G$5:$G$289,'Comp2016-2017 (3)'!$A$5:$A$289,$D258,'Comp2016-2017 (3)'!$R$5:$R$289,$V258)*$AB258))</f>
        <v>103855.65000000001</v>
      </c>
      <c r="AK258" s="2">
        <f t="shared" si="28"/>
        <v>0</v>
      </c>
      <c r="AL258" t="str">
        <f t="shared" si="19"/>
        <v/>
      </c>
      <c r="AM258" t="str">
        <f>VLOOKUP(A258,'Table corresp.'!$M$4:$U$63,8,FALSE)</f>
        <v>Production finale</v>
      </c>
      <c r="AN258" t="str">
        <f>VLOOKUP(D258,'Table corresp.'!$M$4:$U$63,9,FALSE)</f>
        <v>Consommation finale française</v>
      </c>
    </row>
    <row r="259" spans="1:40" x14ac:dyDescent="0.25">
      <c r="A259" t="s">
        <v>17</v>
      </c>
      <c r="B259" t="str">
        <f>VLOOKUP(LEFT(A259,3),'Table corresp.'!$A$4:$D$63,3,FALSE)</f>
        <v>Transformation</v>
      </c>
      <c r="C259" t="str">
        <f>VLOOKUP(A259,'Table corresp.'!$M$4:$P$63,4,FALSE)</f>
        <v>Production et transformation de produits bois</v>
      </c>
      <c r="D259" t="s">
        <v>53</v>
      </c>
      <c r="E259" t="str">
        <f>VLOOKUP(LEFT(D259,3),'Table corresp.'!$A$4:$D$63,4,FALSE)</f>
        <v>Exportation</v>
      </c>
      <c r="F259" t="str">
        <f t="shared" si="18"/>
        <v>38  - Exp</v>
      </c>
      <c r="G259" s="1">
        <v>329886</v>
      </c>
      <c r="H259" s="1">
        <v>0</v>
      </c>
      <c r="I259" s="1">
        <v>329886</v>
      </c>
      <c r="J259" s="1">
        <v>117.19956224898944</v>
      </c>
      <c r="K259" s="1">
        <v>0</v>
      </c>
      <c r="L259" s="1">
        <v>117.19956224898944</v>
      </c>
      <c r="M259" s="1">
        <v>0</v>
      </c>
      <c r="N259" s="1">
        <v>0</v>
      </c>
      <c r="O259" s="1">
        <v>0</v>
      </c>
      <c r="P259" s="1">
        <v>0</v>
      </c>
      <c r="Q259" s="1">
        <v>0</v>
      </c>
      <c r="R259" s="1">
        <v>0</v>
      </c>
      <c r="S259" s="67"/>
      <c r="T259">
        <f>VLOOKUP(A259,'Groupe de branches'!$Z$27:$AM$86,14,FALSE)</f>
        <v>0</v>
      </c>
      <c r="U259">
        <f>VLOOKUP(D259,'Groupe de branches'!$Z$27:$AM$86,14,FALSE)</f>
        <v>0</v>
      </c>
      <c r="V259">
        <v>2016</v>
      </c>
      <c r="W259" t="str">
        <f>VLOOKUP(D259,'Table corresp.'!$M$4:$S$63,7,FALSE)</f>
        <v>Exportation</v>
      </c>
      <c r="X259" s="167">
        <f>IFERROR(G259/SUMIFS('Comp2016-2017 (3)'!$I$5:$I$289,'Comp2016-2017 (3)'!$A$5:$A$289,A259,'Comp2016-2017 (3)'!$R$5:$R$289,V259),0)</f>
        <v>0.48704456669058438</v>
      </c>
      <c r="Y259" s="178">
        <f>IFERROR(IF(RIGHT(F259,3)="Exp",VLOOKUP(F259,#REF!,2,FALSE),VLOOKUP(F259,#REF!,9,FALSE)),1)</f>
        <v>1</v>
      </c>
      <c r="Z259" s="167">
        <f t="shared" si="25"/>
        <v>0.33333333333333331</v>
      </c>
      <c r="AA259" s="189">
        <f t="shared" si="21"/>
        <v>0.16234818889686145</v>
      </c>
      <c r="AB259" s="2">
        <f>IFERROR(SUMIFS('Comp2016-2017 (3)'!$G$5:$G$289,'Comp2016-2017 (3)'!$A$5:$A$289,A259,'Comp2016-2017 (3)'!$R$5:$R$289,V259)*AA259/SUMIFS($AA$4:$AA$1116,$A$4:$A$1116,A259,$V$4:$V$1116,V259),0)</f>
        <v>98965.8</v>
      </c>
      <c r="AC259" s="2">
        <f>IF($W259=AC$3,$AB259,IF(NOT($W259=0),"",SUMIFS('Val-Vol (2)'!AC$4:AC$1116,'Val-Vol (2)'!$A$4:$A$1116,$D259,'Val-Vol (2)'!$V$4:$V$1116,$V259)/SUMIFS('Comp2016-2017 (3)'!$G$5:$G$289,'Comp2016-2017 (3)'!$A$5:$A$289,$D259,'Comp2016-2017 (3)'!$R$5:$R$289,$V259)*$AB259))</f>
        <v>98965.8</v>
      </c>
      <c r="AD259" s="2" t="str">
        <f>IF($W259=AD$3,$AB259,IF(NOT($W259=0),"",SUMIFS('Val-Vol (2)'!AD$4:AD$1116,'Val-Vol (2)'!$A$4:$A$1116,$D259,'Val-Vol (2)'!$V$4:$V$1116,$V259)/SUMIFS('Comp2016-2017 (3)'!$G$5:$G$289,'Comp2016-2017 (3)'!$A$5:$A$289,$D259,'Comp2016-2017 (3)'!$R$5:$R$289,$V259)*$AB259))</f>
        <v/>
      </c>
      <c r="AE259" s="2" t="str">
        <f>IF($W259=AE$3,$AB259,IF(NOT($W259=0),"",SUMIFS('Val-Vol (2)'!AE$4:AE$1116,'Val-Vol (2)'!$A$4:$A$1116,$D259,'Val-Vol (2)'!$V$4:$V$1116,$V259)/SUMIFS('Comp2016-2017 (3)'!$G$5:$G$289,'Comp2016-2017 (3)'!$A$5:$A$289,$D259,'Comp2016-2017 (3)'!$R$5:$R$289,$V259)*$AB259))</f>
        <v/>
      </c>
      <c r="AF259" s="2" t="str">
        <f>IF($W259=AF$3,$AB259,IF(NOT($W259=0),"",SUMIFS('Val-Vol (2)'!AF$4:AF$1116,'Val-Vol (2)'!$A$4:$A$1116,$D259,'Val-Vol (2)'!$V$4:$V$1116,$V259)/SUMIFS('Comp2016-2017 (3)'!$G$5:$G$289,'Comp2016-2017 (3)'!$A$5:$A$289,$D259,'Comp2016-2017 (3)'!$R$5:$R$289,$V259)*$AB259))</f>
        <v/>
      </c>
      <c r="AG259" s="2" t="str">
        <f>IF($W259=AG$3,$AB259,IF(NOT($W259=0),"",SUMIFS('Val-Vol (2)'!AG$4:AG$1116,'Val-Vol (2)'!$A$4:$A$1116,$D259,'Val-Vol (2)'!$V$4:$V$1116,$V259)/SUMIFS('Comp2016-2017 (3)'!$G$5:$G$289,'Comp2016-2017 (3)'!$A$5:$A$289,$D259,'Comp2016-2017 (3)'!$R$5:$R$289,$V259)*$AB259))</f>
        <v/>
      </c>
      <c r="AH259" s="2" t="str">
        <f>IF($W259=AH$3,$AB259,IF(NOT($W259=0),"",SUMIFS('Val-Vol (2)'!AH$4:AH$1116,'Val-Vol (2)'!$A$4:$A$1116,$D259,'Val-Vol (2)'!$V$4:$V$1116,$V259)/SUMIFS('Comp2016-2017 (3)'!$G$5:$G$289,'Comp2016-2017 (3)'!$A$5:$A$289,$D259,'Comp2016-2017 (3)'!$R$5:$R$289,$V259)*$AB259))</f>
        <v/>
      </c>
      <c r="AI259" s="2" t="str">
        <f>IF($W259=AI$3,$AB259,IF(NOT($W259=0),"",SUMIFS('Val-Vol (2)'!AI$4:AI$1116,'Val-Vol (2)'!$A$4:$A$1116,$D259,'Val-Vol (2)'!$V$4:$V$1116,$V259)/SUMIFS('Comp2016-2017 (3)'!$G$5:$G$289,'Comp2016-2017 (3)'!$A$5:$A$289,$D259,'Comp2016-2017 (3)'!$R$5:$R$289,$V259)*$AB259))</f>
        <v/>
      </c>
      <c r="AJ259" s="2" t="str">
        <f>IF($W259=AJ$3,$AB259,IF(NOT($W259=0),"",SUMIFS('Val-Vol (2)'!AJ$4:AJ$1116,'Val-Vol (2)'!$A$4:$A$1116,$D259,'Val-Vol (2)'!$V$4:$V$1116,$V259)/SUMIFS('Comp2016-2017 (3)'!$G$5:$G$289,'Comp2016-2017 (3)'!$A$5:$A$289,$D259,'Comp2016-2017 (3)'!$R$5:$R$289,$V259)*$AB259))</f>
        <v/>
      </c>
      <c r="AK259" s="2">
        <f t="shared" ref="AK259:AK276" si="29">SUM(AC259:AJ259)-AB259</f>
        <v>0</v>
      </c>
      <c r="AL259" t="str">
        <f t="shared" si="19"/>
        <v/>
      </c>
      <c r="AM259" t="str">
        <f>VLOOKUP(A259,'Table corresp.'!$M$4:$U$63,8,FALSE)</f>
        <v>Production finale</v>
      </c>
      <c r="AN259" t="str">
        <f>VLOOKUP(D259,'Table corresp.'!$M$4:$U$63,9,FALSE)</f>
        <v>Exportation</v>
      </c>
    </row>
    <row r="260" spans="1:40" x14ac:dyDescent="0.25">
      <c r="A260" t="s">
        <v>18</v>
      </c>
      <c r="B260" t="str">
        <f>VLOOKUP(LEFT(A260,3),'Table corresp.'!$A$4:$D$63,3,FALSE)</f>
        <v>Transformation</v>
      </c>
      <c r="C260" t="str">
        <f>VLOOKUP(A260,'Table corresp.'!$M$4:$P$63,4,FALSE)</f>
        <v>Production et transformation de produits bois</v>
      </c>
      <c r="D260" t="s">
        <v>19</v>
      </c>
      <c r="E260" t="str">
        <f>VLOOKUP(LEFT(D260,3),'Table corresp.'!$A$4:$D$63,4,FALSE)</f>
        <v>Transformation</v>
      </c>
      <c r="F260" t="str">
        <f t="shared" ref="F260:F323" si="30">LEFT(A260,3)&amp;" - "&amp;LEFT(D260,3)</f>
        <v xml:space="preserve">39  - 52 </v>
      </c>
      <c r="G260" s="1">
        <v>7503.5108799999998</v>
      </c>
      <c r="H260" s="1">
        <v>4496.4891200000002</v>
      </c>
      <c r="I260" s="1">
        <v>12000</v>
      </c>
      <c r="J260" s="1">
        <v>10.725020264517697</v>
      </c>
      <c r="K260" s="1">
        <v>12.391150363236861</v>
      </c>
      <c r="L260" s="1">
        <v>23.116170627754556</v>
      </c>
      <c r="M260" s="1">
        <v>2.9407140269771754</v>
      </c>
      <c r="N260" s="1">
        <v>3.3975534576943391</v>
      </c>
      <c r="O260" s="1">
        <v>6.3382674846715146</v>
      </c>
      <c r="P260" s="1">
        <v>1.0922268695356792</v>
      </c>
      <c r="Q260" s="1">
        <v>1.2619041304713756</v>
      </c>
      <c r="R260" s="1">
        <v>2.3541310000070546</v>
      </c>
      <c r="S260" s="67" t="s">
        <v>192</v>
      </c>
      <c r="T260">
        <f>VLOOKUP(A260,'Groupe de branches'!$Z$27:$AM$86,14,FALSE)</f>
        <v>0</v>
      </c>
      <c r="U260">
        <f>VLOOKUP(D260,'Groupe de branches'!$Z$27:$AM$86,14,FALSE)</f>
        <v>0</v>
      </c>
      <c r="V260">
        <v>2016</v>
      </c>
      <c r="W260" t="str">
        <f>VLOOKUP(D260,'Table corresp.'!$M$4:$S$63,7,FALSE)</f>
        <v>Construction</v>
      </c>
      <c r="X260" s="167">
        <f>IFERROR(G260/SUMIFS('Comp2016-2017 (3)'!$I$5:$I$289,'Comp2016-2017 (3)'!$A$5:$A$289,A260,'Comp2016-2017 (3)'!$R$5:$R$289,V260),0)</f>
        <v>0.30516987894084835</v>
      </c>
      <c r="Y260" s="178">
        <f>IFERROR(IF(RIGHT(F260,3)="Exp",VLOOKUP(F260,#REF!,2,FALSE),VLOOKUP(F260,#REF!,9,FALSE)),1)</f>
        <v>1</v>
      </c>
      <c r="Z260" s="167">
        <f t="shared" si="25"/>
        <v>0.2</v>
      </c>
      <c r="AA260" s="189">
        <f t="shared" si="21"/>
        <v>6.1033975788169673E-2</v>
      </c>
      <c r="AB260" s="2">
        <f>IFERROR(SUMIFS('Comp2016-2017 (3)'!$G$5:$G$289,'Comp2016-2017 (3)'!$A$5:$A$289,A260,'Comp2016-2017 (3)'!$R$5:$R$289,V260)*AA260/SUMIFS($AA$4:$AA$1116,$A$4:$A$1116,A260,$V$4:$V$1116,V260),0)</f>
        <v>2926.3424647881675</v>
      </c>
      <c r="AC260" s="2" t="str">
        <f>IF($W260=AC$3,$AB260,IF(NOT($W260=0),"",SUMIFS('Val-Vol (2)'!AC$4:AC$1116,'Val-Vol (2)'!$A$4:$A$1116,$D260,'Val-Vol (2)'!$V$4:$V$1116,$V260)/SUMIFS('Comp2016-2017 (3)'!$G$5:$G$289,'Comp2016-2017 (3)'!$A$5:$A$289,$D260,'Comp2016-2017 (3)'!$R$5:$R$289,$V260)*$AB260))</f>
        <v/>
      </c>
      <c r="AD260" s="2">
        <f>IF($W260=AD$3,$AB260,IF(NOT($W260=0),"",SUMIFS('Val-Vol (2)'!AD$4:AD$1116,'Val-Vol (2)'!$A$4:$A$1116,$D260,'Val-Vol (2)'!$V$4:$V$1116,$V260)/SUMIFS('Comp2016-2017 (3)'!$G$5:$G$289,'Comp2016-2017 (3)'!$A$5:$A$289,$D260,'Comp2016-2017 (3)'!$R$5:$R$289,$V260)*$AB260))</f>
        <v>2926.3424647881675</v>
      </c>
      <c r="AE260" s="2" t="str">
        <f>IF($W260=AE$3,$AB260,IF(NOT($W260=0),"",SUMIFS('Val-Vol (2)'!AE$4:AE$1116,'Val-Vol (2)'!$A$4:$A$1116,$D260,'Val-Vol (2)'!$V$4:$V$1116,$V260)/SUMIFS('Comp2016-2017 (3)'!$G$5:$G$289,'Comp2016-2017 (3)'!$A$5:$A$289,$D260,'Comp2016-2017 (3)'!$R$5:$R$289,$V260)*$AB260))</f>
        <v/>
      </c>
      <c r="AF260" s="2" t="str">
        <f>IF($W260=AF$3,$AB260,IF(NOT($W260=0),"",SUMIFS('Val-Vol (2)'!AF$4:AF$1116,'Val-Vol (2)'!$A$4:$A$1116,$D260,'Val-Vol (2)'!$V$4:$V$1116,$V260)/SUMIFS('Comp2016-2017 (3)'!$G$5:$G$289,'Comp2016-2017 (3)'!$A$5:$A$289,$D260,'Comp2016-2017 (3)'!$R$5:$R$289,$V260)*$AB260))</f>
        <v/>
      </c>
      <c r="AG260" s="2" t="str">
        <f>IF($W260=AG$3,$AB260,IF(NOT($W260=0),"",SUMIFS('Val-Vol (2)'!AG$4:AG$1116,'Val-Vol (2)'!$A$4:$A$1116,$D260,'Val-Vol (2)'!$V$4:$V$1116,$V260)/SUMIFS('Comp2016-2017 (3)'!$G$5:$G$289,'Comp2016-2017 (3)'!$A$5:$A$289,$D260,'Comp2016-2017 (3)'!$R$5:$R$289,$V260)*$AB260))</f>
        <v/>
      </c>
      <c r="AH260" s="2" t="str">
        <f>IF($W260=AH$3,$AB260,IF(NOT($W260=0),"",SUMIFS('Val-Vol (2)'!AH$4:AH$1116,'Val-Vol (2)'!$A$4:$A$1116,$D260,'Val-Vol (2)'!$V$4:$V$1116,$V260)/SUMIFS('Comp2016-2017 (3)'!$G$5:$G$289,'Comp2016-2017 (3)'!$A$5:$A$289,$D260,'Comp2016-2017 (3)'!$R$5:$R$289,$V260)*$AB260))</f>
        <v/>
      </c>
      <c r="AI260" s="2" t="str">
        <f>IF($W260=AI$3,$AB260,IF(NOT($W260=0),"",SUMIFS('Val-Vol (2)'!AI$4:AI$1116,'Val-Vol (2)'!$A$4:$A$1116,$D260,'Val-Vol (2)'!$V$4:$V$1116,$V260)/SUMIFS('Comp2016-2017 (3)'!$G$5:$G$289,'Comp2016-2017 (3)'!$A$5:$A$289,$D260,'Comp2016-2017 (3)'!$R$5:$R$289,$V260)*$AB260))</f>
        <v/>
      </c>
      <c r="AJ260" s="2" t="str">
        <f>IF($W260=AJ$3,$AB260,IF(NOT($W260=0),"",SUMIFS('Val-Vol (2)'!AJ$4:AJ$1116,'Val-Vol (2)'!$A$4:$A$1116,$D260,'Val-Vol (2)'!$V$4:$V$1116,$V260)/SUMIFS('Comp2016-2017 (3)'!$G$5:$G$289,'Comp2016-2017 (3)'!$A$5:$A$289,$D260,'Comp2016-2017 (3)'!$R$5:$R$289,$V260)*$AB260))</f>
        <v/>
      </c>
      <c r="AK260" s="2">
        <f t="shared" si="29"/>
        <v>0</v>
      </c>
      <c r="AL260" t="str">
        <f t="shared" ref="AL260:AL323" si="31">IF(A260=D260,"remplir à la main","")</f>
        <v/>
      </c>
      <c r="AM260" t="str">
        <f>VLOOKUP(A260,'Table corresp.'!$M$4:$U$63,8,FALSE)</f>
        <v>Production finale</v>
      </c>
      <c r="AN260" t="str">
        <f>VLOOKUP(D260,'Table corresp.'!$M$4:$U$63,9,FALSE)</f>
        <v xml:space="preserve">Mise en œuvre </v>
      </c>
    </row>
    <row r="261" spans="1:40" x14ac:dyDescent="0.25">
      <c r="A261" t="s">
        <v>18</v>
      </c>
      <c r="B261" t="str">
        <f>VLOOKUP(LEFT(A261,3),'Table corresp.'!$A$4:$D$63,3,FALSE)</f>
        <v>Transformation</v>
      </c>
      <c r="C261" t="str">
        <f>VLOOKUP(A261,'Table corresp.'!$M$4:$P$63,4,FALSE)</f>
        <v>Production et transformation de produits bois</v>
      </c>
      <c r="D261" t="s">
        <v>25</v>
      </c>
      <c r="E261" t="str">
        <f>VLOOKUP(LEFT(D261,3),'Table corresp.'!$A$4:$D$63,4,FALSE)</f>
        <v>Transformation</v>
      </c>
      <c r="F261" t="str">
        <f t="shared" si="30"/>
        <v xml:space="preserve">39  - 58 </v>
      </c>
      <c r="G261" s="1">
        <v>768.01023999999961</v>
      </c>
      <c r="H261" s="1">
        <v>4231.9897600000004</v>
      </c>
      <c r="I261" s="1">
        <v>5000</v>
      </c>
      <c r="J261" s="1">
        <v>0.17683763353446427</v>
      </c>
      <c r="K261" s="1">
        <v>2.8180456655921895</v>
      </c>
      <c r="L261" s="1">
        <v>2.9948832991266539</v>
      </c>
      <c r="M261" s="1">
        <v>4.8487452387637429E-2</v>
      </c>
      <c r="N261" s="1">
        <v>0.77268538548927868</v>
      </c>
      <c r="O261" s="1">
        <v>0.82117283787691608</v>
      </c>
      <c r="P261" s="1">
        <v>1.8008993002134092E-2</v>
      </c>
      <c r="Q261" s="1">
        <v>0.28698735476718101</v>
      </c>
      <c r="R261" s="1">
        <v>0.30499634776931511</v>
      </c>
      <c r="S261" s="67"/>
      <c r="T261">
        <f>VLOOKUP(A261,'Groupe de branches'!$Z$27:$AM$86,14,FALSE)</f>
        <v>0</v>
      </c>
      <c r="U261">
        <f>VLOOKUP(D261,'Groupe de branches'!$Z$27:$AM$86,14,FALSE)</f>
        <v>0</v>
      </c>
      <c r="V261">
        <v>2016</v>
      </c>
      <c r="W261" t="str">
        <f>VLOOKUP(D261,'Table corresp.'!$M$4:$S$63,7,FALSE)</f>
        <v>Construction</v>
      </c>
      <c r="X261" s="167">
        <f>IFERROR(G261/SUMIFS('Comp2016-2017 (3)'!$I$5:$I$289,'Comp2016-2017 (3)'!$A$5:$A$289,A261,'Comp2016-2017 (3)'!$R$5:$R$289,V261),0)</f>
        <v>3.1235190528054749E-2</v>
      </c>
      <c r="Y261" s="178">
        <f>IFERROR(IF(RIGHT(F261,3)="Exp",VLOOKUP(F261,#REF!,2,FALSE),VLOOKUP(F261,#REF!,9,FALSE)),1)</f>
        <v>1</v>
      </c>
      <c r="Z261" s="167">
        <f t="shared" si="25"/>
        <v>0.2</v>
      </c>
      <c r="AA261" s="189">
        <f t="shared" ref="AA261:AA324" si="32">X261*Z261</f>
        <v>6.2470381056109504E-3</v>
      </c>
      <c r="AB261" s="2">
        <f>IFERROR(SUMIFS('Comp2016-2017 (3)'!$G$5:$G$289,'Comp2016-2017 (3)'!$A$5:$A$289,A261,'Comp2016-2017 (3)'!$R$5:$R$289,V261)*AA261/SUMIFS($AA$4:$AA$1116,$A$4:$A$1116,A261,$V$4:$V$1116,V261),0)</f>
        <v>299.52125273711215</v>
      </c>
      <c r="AC261" s="2" t="str">
        <f>IF($W261=AC$3,$AB261,IF(NOT($W261=0),"",SUMIFS('Val-Vol (2)'!AC$4:AC$1116,'Val-Vol (2)'!$A$4:$A$1116,$D261,'Val-Vol (2)'!$V$4:$V$1116,$V261)/SUMIFS('Comp2016-2017 (3)'!$G$5:$G$289,'Comp2016-2017 (3)'!$A$5:$A$289,$D261,'Comp2016-2017 (3)'!$R$5:$R$289,$V261)*$AB261))</f>
        <v/>
      </c>
      <c r="AD261" s="2">
        <f>IF($W261=AD$3,$AB261,IF(NOT($W261=0),"",SUMIFS('Val-Vol (2)'!AD$4:AD$1116,'Val-Vol (2)'!$A$4:$A$1116,$D261,'Val-Vol (2)'!$V$4:$V$1116,$V261)/SUMIFS('Comp2016-2017 (3)'!$G$5:$G$289,'Comp2016-2017 (3)'!$A$5:$A$289,$D261,'Comp2016-2017 (3)'!$R$5:$R$289,$V261)*$AB261))</f>
        <v>299.52125273711215</v>
      </c>
      <c r="AE261" s="2" t="str">
        <f>IF($W261=AE$3,$AB261,IF(NOT($W261=0),"",SUMIFS('Val-Vol (2)'!AE$4:AE$1116,'Val-Vol (2)'!$A$4:$A$1116,$D261,'Val-Vol (2)'!$V$4:$V$1116,$V261)/SUMIFS('Comp2016-2017 (3)'!$G$5:$G$289,'Comp2016-2017 (3)'!$A$5:$A$289,$D261,'Comp2016-2017 (3)'!$R$5:$R$289,$V261)*$AB261))</f>
        <v/>
      </c>
      <c r="AF261" s="2" t="str">
        <f>IF($W261=AF$3,$AB261,IF(NOT($W261=0),"",SUMIFS('Val-Vol (2)'!AF$4:AF$1116,'Val-Vol (2)'!$A$4:$A$1116,$D261,'Val-Vol (2)'!$V$4:$V$1116,$V261)/SUMIFS('Comp2016-2017 (3)'!$G$5:$G$289,'Comp2016-2017 (3)'!$A$5:$A$289,$D261,'Comp2016-2017 (3)'!$R$5:$R$289,$V261)*$AB261))</f>
        <v/>
      </c>
      <c r="AG261" s="2" t="str">
        <f>IF($W261=AG$3,$AB261,IF(NOT($W261=0),"",SUMIFS('Val-Vol (2)'!AG$4:AG$1116,'Val-Vol (2)'!$A$4:$A$1116,$D261,'Val-Vol (2)'!$V$4:$V$1116,$V261)/SUMIFS('Comp2016-2017 (3)'!$G$5:$G$289,'Comp2016-2017 (3)'!$A$5:$A$289,$D261,'Comp2016-2017 (3)'!$R$5:$R$289,$V261)*$AB261))</f>
        <v/>
      </c>
      <c r="AH261" s="2" t="str">
        <f>IF($W261=AH$3,$AB261,IF(NOT($W261=0),"",SUMIFS('Val-Vol (2)'!AH$4:AH$1116,'Val-Vol (2)'!$A$4:$A$1116,$D261,'Val-Vol (2)'!$V$4:$V$1116,$V261)/SUMIFS('Comp2016-2017 (3)'!$G$5:$G$289,'Comp2016-2017 (3)'!$A$5:$A$289,$D261,'Comp2016-2017 (3)'!$R$5:$R$289,$V261)*$AB261))</f>
        <v/>
      </c>
      <c r="AI261" s="2" t="str">
        <f>IF($W261=AI$3,$AB261,IF(NOT($W261=0),"",SUMIFS('Val-Vol (2)'!AI$4:AI$1116,'Val-Vol (2)'!$A$4:$A$1116,$D261,'Val-Vol (2)'!$V$4:$V$1116,$V261)/SUMIFS('Comp2016-2017 (3)'!$G$5:$G$289,'Comp2016-2017 (3)'!$A$5:$A$289,$D261,'Comp2016-2017 (3)'!$R$5:$R$289,$V261)*$AB261))</f>
        <v/>
      </c>
      <c r="AJ261" s="2" t="str">
        <f>IF($W261=AJ$3,$AB261,IF(NOT($W261=0),"",SUMIFS('Val-Vol (2)'!AJ$4:AJ$1116,'Val-Vol (2)'!$A$4:$A$1116,$D261,'Val-Vol (2)'!$V$4:$V$1116,$V261)/SUMIFS('Comp2016-2017 (3)'!$G$5:$G$289,'Comp2016-2017 (3)'!$A$5:$A$289,$D261,'Comp2016-2017 (3)'!$R$5:$R$289,$V261)*$AB261))</f>
        <v/>
      </c>
      <c r="AK261" s="2">
        <f t="shared" si="29"/>
        <v>0</v>
      </c>
      <c r="AL261" t="str">
        <f t="shared" si="31"/>
        <v/>
      </c>
      <c r="AM261" t="str">
        <f>VLOOKUP(A261,'Table corresp.'!$M$4:$U$63,8,FALSE)</f>
        <v>Production finale</v>
      </c>
      <c r="AN261" t="str">
        <f>VLOOKUP(D261,'Table corresp.'!$M$4:$U$63,9,FALSE)</f>
        <v xml:space="preserve">Mise en œuvre </v>
      </c>
    </row>
    <row r="262" spans="1:40" x14ac:dyDescent="0.25">
      <c r="A262" t="s">
        <v>18</v>
      </c>
      <c r="B262" t="str">
        <f>VLOOKUP(LEFT(A262,3),'Table corresp.'!$A$4:$D$63,3,FALSE)</f>
        <v>Transformation</v>
      </c>
      <c r="C262" t="str">
        <f>VLOOKUP(A262,'Table corresp.'!$M$4:$P$63,4,FALSE)</f>
        <v>Production et transformation de produits bois</v>
      </c>
      <c r="D262" t="s">
        <v>26</v>
      </c>
      <c r="E262" t="str">
        <f>VLOOKUP(LEFT(D262,3),'Table corresp.'!$A$4:$D$63,4,FALSE)</f>
        <v>Transformation</v>
      </c>
      <c r="F262" t="str">
        <f t="shared" si="30"/>
        <v xml:space="preserve">39  - 59 </v>
      </c>
      <c r="G262" s="1">
        <v>13503.51088</v>
      </c>
      <c r="H262" s="1">
        <v>4496.4891200000002</v>
      </c>
      <c r="I262" s="1">
        <v>18000</v>
      </c>
      <c r="J262" s="1">
        <v>3.7310891715601486</v>
      </c>
      <c r="K262" s="1">
        <v>2.9941735196917012</v>
      </c>
      <c r="L262" s="1">
        <v>6.7252626912518494</v>
      </c>
      <c r="M262" s="1">
        <v>1.0230345483830179</v>
      </c>
      <c r="N262" s="1">
        <v>0.8209782220823586</v>
      </c>
      <c r="O262" s="1">
        <v>1.8440127704653766</v>
      </c>
      <c r="P262" s="1">
        <v>0.37997092269315841</v>
      </c>
      <c r="Q262" s="1">
        <v>0.30492406444012982</v>
      </c>
      <c r="R262" s="1">
        <v>0.68489498713328822</v>
      </c>
      <c r="S262" s="67" t="s">
        <v>192</v>
      </c>
      <c r="T262">
        <f>VLOOKUP(A262,'Groupe de branches'!$Z$27:$AM$86,14,FALSE)</f>
        <v>0</v>
      </c>
      <c r="U262">
        <f>VLOOKUP(D262,'Groupe de branches'!$Z$27:$AM$86,14,FALSE)</f>
        <v>0</v>
      </c>
      <c r="V262">
        <v>2016</v>
      </c>
      <c r="W262" t="str">
        <f>VLOOKUP(D262,'Table corresp.'!$M$4:$S$63,7,FALSE)</f>
        <v>Construction</v>
      </c>
      <c r="X262" s="167">
        <f>IFERROR(G262/SUMIFS('Comp2016-2017 (3)'!$I$5:$I$289,'Comp2016-2017 (3)'!$A$5:$A$289,A262,'Comp2016-2017 (3)'!$R$5:$R$289,V262),0)</f>
        <v>0.54919155131897779</v>
      </c>
      <c r="Y262" s="178">
        <f>IFERROR(IF(RIGHT(F262,3)="Exp",VLOOKUP(F262,#REF!,2,FALSE),VLOOKUP(F262,#REF!,9,FALSE)),1)</f>
        <v>1</v>
      </c>
      <c r="Z262" s="167">
        <f t="shared" si="25"/>
        <v>0.2</v>
      </c>
      <c r="AA262" s="189">
        <f t="shared" si="32"/>
        <v>0.10983831026379556</v>
      </c>
      <c r="AB262" s="2">
        <f>IFERROR(SUMIFS('Comp2016-2017 (3)'!$G$5:$G$289,'Comp2016-2017 (3)'!$A$5:$A$289,A262,'Comp2016-2017 (3)'!$R$5:$R$289,V262)*AA262/SUMIFS($AA$4:$AA$1116,$A$4:$A$1116,A262,$V$4:$V$1116,V262),0)</f>
        <v>5266.3210520823604</v>
      </c>
      <c r="AC262" s="2" t="str">
        <f>IF($W262=AC$3,$AB262,IF(NOT($W262=0),"",SUMIFS('Val-Vol (2)'!AC$4:AC$1116,'Val-Vol (2)'!$A$4:$A$1116,$D262,'Val-Vol (2)'!$V$4:$V$1116,$V262)/SUMIFS('Comp2016-2017 (3)'!$G$5:$G$289,'Comp2016-2017 (3)'!$A$5:$A$289,$D262,'Comp2016-2017 (3)'!$R$5:$R$289,$V262)*$AB262))</f>
        <v/>
      </c>
      <c r="AD262" s="2">
        <f>IF($W262=AD$3,$AB262,IF(NOT($W262=0),"",SUMIFS('Val-Vol (2)'!AD$4:AD$1116,'Val-Vol (2)'!$A$4:$A$1116,$D262,'Val-Vol (2)'!$V$4:$V$1116,$V262)/SUMIFS('Comp2016-2017 (3)'!$G$5:$G$289,'Comp2016-2017 (3)'!$A$5:$A$289,$D262,'Comp2016-2017 (3)'!$R$5:$R$289,$V262)*$AB262))</f>
        <v>5266.3210520823604</v>
      </c>
      <c r="AE262" s="2" t="str">
        <f>IF($W262=AE$3,$AB262,IF(NOT($W262=0),"",SUMIFS('Val-Vol (2)'!AE$4:AE$1116,'Val-Vol (2)'!$A$4:$A$1116,$D262,'Val-Vol (2)'!$V$4:$V$1116,$V262)/SUMIFS('Comp2016-2017 (3)'!$G$5:$G$289,'Comp2016-2017 (3)'!$A$5:$A$289,$D262,'Comp2016-2017 (3)'!$R$5:$R$289,$V262)*$AB262))</f>
        <v/>
      </c>
      <c r="AF262" s="2" t="str">
        <f>IF($W262=AF$3,$AB262,IF(NOT($W262=0),"",SUMIFS('Val-Vol (2)'!AF$4:AF$1116,'Val-Vol (2)'!$A$4:$A$1116,$D262,'Val-Vol (2)'!$V$4:$V$1116,$V262)/SUMIFS('Comp2016-2017 (3)'!$G$5:$G$289,'Comp2016-2017 (3)'!$A$5:$A$289,$D262,'Comp2016-2017 (3)'!$R$5:$R$289,$V262)*$AB262))</f>
        <v/>
      </c>
      <c r="AG262" s="2" t="str">
        <f>IF($W262=AG$3,$AB262,IF(NOT($W262=0),"",SUMIFS('Val-Vol (2)'!AG$4:AG$1116,'Val-Vol (2)'!$A$4:$A$1116,$D262,'Val-Vol (2)'!$V$4:$V$1116,$V262)/SUMIFS('Comp2016-2017 (3)'!$G$5:$G$289,'Comp2016-2017 (3)'!$A$5:$A$289,$D262,'Comp2016-2017 (3)'!$R$5:$R$289,$V262)*$AB262))</f>
        <v/>
      </c>
      <c r="AH262" s="2" t="str">
        <f>IF($W262=AH$3,$AB262,IF(NOT($W262=0),"",SUMIFS('Val-Vol (2)'!AH$4:AH$1116,'Val-Vol (2)'!$A$4:$A$1116,$D262,'Val-Vol (2)'!$V$4:$V$1116,$V262)/SUMIFS('Comp2016-2017 (3)'!$G$5:$G$289,'Comp2016-2017 (3)'!$A$5:$A$289,$D262,'Comp2016-2017 (3)'!$R$5:$R$289,$V262)*$AB262))</f>
        <v/>
      </c>
      <c r="AI262" s="2" t="str">
        <f>IF($W262=AI$3,$AB262,IF(NOT($W262=0),"",SUMIFS('Val-Vol (2)'!AI$4:AI$1116,'Val-Vol (2)'!$A$4:$A$1116,$D262,'Val-Vol (2)'!$V$4:$V$1116,$V262)/SUMIFS('Comp2016-2017 (3)'!$G$5:$G$289,'Comp2016-2017 (3)'!$A$5:$A$289,$D262,'Comp2016-2017 (3)'!$R$5:$R$289,$V262)*$AB262))</f>
        <v/>
      </c>
      <c r="AJ262" s="2" t="str">
        <f>IF($W262=AJ$3,$AB262,IF(NOT($W262=0),"",SUMIFS('Val-Vol (2)'!AJ$4:AJ$1116,'Val-Vol (2)'!$A$4:$A$1116,$D262,'Val-Vol (2)'!$V$4:$V$1116,$V262)/SUMIFS('Comp2016-2017 (3)'!$G$5:$G$289,'Comp2016-2017 (3)'!$A$5:$A$289,$D262,'Comp2016-2017 (3)'!$R$5:$R$289,$V262)*$AB262))</f>
        <v/>
      </c>
      <c r="AK262" s="2">
        <f t="shared" si="29"/>
        <v>0</v>
      </c>
      <c r="AL262" t="str">
        <f t="shared" si="31"/>
        <v/>
      </c>
      <c r="AM262" t="str">
        <f>VLOOKUP(A262,'Table corresp.'!$M$4:$U$63,8,FALSE)</f>
        <v>Production finale</v>
      </c>
      <c r="AN262" t="str">
        <f>VLOOKUP(D262,'Table corresp.'!$M$4:$U$63,9,FALSE)</f>
        <v xml:space="preserve">Mise en œuvre </v>
      </c>
    </row>
    <row r="263" spans="1:40" x14ac:dyDescent="0.25">
      <c r="A263" t="s">
        <v>18</v>
      </c>
      <c r="B263" t="str">
        <f>VLOOKUP(LEFT(A263,3),'Table corresp.'!$A$4:$D$63,3,FALSE)</f>
        <v>Transformation</v>
      </c>
      <c r="C263" t="str">
        <f>VLOOKUP(A263,'Table corresp.'!$M$4:$P$63,4,FALSE)</f>
        <v>Production et transformation de produits bois</v>
      </c>
      <c r="D263" t="s">
        <v>54</v>
      </c>
      <c r="E263" t="str">
        <f>VLOOKUP(LEFT(D263,3),'Table corresp.'!$A$4:$D$63,4,FALSE)</f>
        <v>Consommation finale</v>
      </c>
      <c r="F263" t="str">
        <f t="shared" si="30"/>
        <v>39  - Con</v>
      </c>
      <c r="G263" s="1">
        <v>613</v>
      </c>
      <c r="H263" s="1">
        <v>0</v>
      </c>
      <c r="I263" s="1">
        <v>613</v>
      </c>
      <c r="J263" s="1">
        <v>0.70094520043122521</v>
      </c>
      <c r="K263" s="1">
        <v>0</v>
      </c>
      <c r="L263" s="1">
        <v>0.70094520043122521</v>
      </c>
      <c r="M263" s="1">
        <v>0.19219351872647741</v>
      </c>
      <c r="N263" s="1">
        <v>0</v>
      </c>
      <c r="O263" s="1">
        <v>0.19219351872647741</v>
      </c>
      <c r="P263" s="1">
        <v>7.1383658314932319E-2</v>
      </c>
      <c r="Q263" s="1">
        <v>0</v>
      </c>
      <c r="R263" s="1">
        <v>7.1383658314932319E-2</v>
      </c>
      <c r="S263" s="67"/>
      <c r="T263">
        <f>VLOOKUP(A263,'Groupe de branches'!$Z$27:$AM$86,14,FALSE)</f>
        <v>0</v>
      </c>
      <c r="U263">
        <f>VLOOKUP(D263,'Groupe de branches'!$Z$27:$AM$86,14,FALSE)</f>
        <v>0</v>
      </c>
      <c r="V263">
        <v>2016</v>
      </c>
      <c r="W263" t="str">
        <f>VLOOKUP(D263,'Table corresp.'!$M$4:$S$63,7,FALSE)</f>
        <v>Consommation finale</v>
      </c>
      <c r="X263" s="167">
        <f>IFERROR(G263/SUMIFS('Comp2016-2017 (3)'!$I$5:$I$289,'Comp2016-2017 (3)'!$A$5:$A$289,A263,'Comp2016-2017 (3)'!$R$5:$R$289,V263),0)</f>
        <v>2.4930880861298896E-2</v>
      </c>
      <c r="Y263" s="178">
        <f>IFERROR(IF(RIGHT(F263,3)="Exp",VLOOKUP(F263,#REF!,2,FALSE),VLOOKUP(F263,#REF!,9,FALSE)),1)</f>
        <v>1</v>
      </c>
      <c r="Z263" s="167">
        <f t="shared" si="25"/>
        <v>0.2</v>
      </c>
      <c r="AA263" s="189">
        <f t="shared" si="32"/>
        <v>4.9861761722597795E-3</v>
      </c>
      <c r="AB263" s="2">
        <f>IFERROR(SUMIFS('Comp2016-2017 (3)'!$G$5:$G$289,'Comp2016-2017 (3)'!$A$5:$A$289,A263,'Comp2016-2017 (3)'!$R$5:$R$289,V263)*AA263/SUMIFS($AA$4:$AA$1116,$A$4:$A$1116,A263,$V$4:$V$1116,V263),0)</f>
        <v>239.06781233522338</v>
      </c>
      <c r="AC263" s="2" t="str">
        <f>IF($W263=AC$3,$AB263,IF(NOT($W263=0),"",SUMIFS('Val-Vol (2)'!AC$4:AC$1116,'Val-Vol (2)'!$A$4:$A$1116,$D263,'Val-Vol (2)'!$V$4:$V$1116,$V263)/SUMIFS('Comp2016-2017 (3)'!$G$5:$G$289,'Comp2016-2017 (3)'!$A$5:$A$289,$D263,'Comp2016-2017 (3)'!$R$5:$R$289,$V263)*$AB263))</f>
        <v/>
      </c>
      <c r="AD263" s="2" t="str">
        <f>IF($W263=AD$3,$AB263,IF(NOT($W263=0),"",SUMIFS('Val-Vol (2)'!AD$4:AD$1116,'Val-Vol (2)'!$A$4:$A$1116,$D263,'Val-Vol (2)'!$V$4:$V$1116,$V263)/SUMIFS('Comp2016-2017 (3)'!$G$5:$G$289,'Comp2016-2017 (3)'!$A$5:$A$289,$D263,'Comp2016-2017 (3)'!$R$5:$R$289,$V263)*$AB263))</f>
        <v/>
      </c>
      <c r="AE263" s="2" t="str">
        <f>IF($W263=AE$3,$AB263,IF(NOT($W263=0),"",SUMIFS('Val-Vol (2)'!AE$4:AE$1116,'Val-Vol (2)'!$A$4:$A$1116,$D263,'Val-Vol (2)'!$V$4:$V$1116,$V263)/SUMIFS('Comp2016-2017 (3)'!$G$5:$G$289,'Comp2016-2017 (3)'!$A$5:$A$289,$D263,'Comp2016-2017 (3)'!$R$5:$R$289,$V263)*$AB263))</f>
        <v/>
      </c>
      <c r="AF263" s="2" t="str">
        <f>IF($W263=AF$3,$AB263,IF(NOT($W263=0),"",SUMIFS('Val-Vol (2)'!AF$4:AF$1116,'Val-Vol (2)'!$A$4:$A$1116,$D263,'Val-Vol (2)'!$V$4:$V$1116,$V263)/SUMIFS('Comp2016-2017 (3)'!$G$5:$G$289,'Comp2016-2017 (3)'!$A$5:$A$289,$D263,'Comp2016-2017 (3)'!$R$5:$R$289,$V263)*$AB263))</f>
        <v/>
      </c>
      <c r="AG263" s="2" t="str">
        <f>IF($W263=AG$3,$AB263,IF(NOT($W263=0),"",SUMIFS('Val-Vol (2)'!AG$4:AG$1116,'Val-Vol (2)'!$A$4:$A$1116,$D263,'Val-Vol (2)'!$V$4:$V$1116,$V263)/SUMIFS('Comp2016-2017 (3)'!$G$5:$G$289,'Comp2016-2017 (3)'!$A$5:$A$289,$D263,'Comp2016-2017 (3)'!$R$5:$R$289,$V263)*$AB263))</f>
        <v/>
      </c>
      <c r="AH263" s="2" t="str">
        <f>IF($W263=AH$3,$AB263,IF(NOT($W263=0),"",SUMIFS('Val-Vol (2)'!AH$4:AH$1116,'Val-Vol (2)'!$A$4:$A$1116,$D263,'Val-Vol (2)'!$V$4:$V$1116,$V263)/SUMIFS('Comp2016-2017 (3)'!$G$5:$G$289,'Comp2016-2017 (3)'!$A$5:$A$289,$D263,'Comp2016-2017 (3)'!$R$5:$R$289,$V263)*$AB263))</f>
        <v/>
      </c>
      <c r="AI263" s="2" t="str">
        <f>IF($W263=AI$3,$AB263,IF(NOT($W263=0),"",SUMIFS('Val-Vol (2)'!AI$4:AI$1116,'Val-Vol (2)'!$A$4:$A$1116,$D263,'Val-Vol (2)'!$V$4:$V$1116,$V263)/SUMIFS('Comp2016-2017 (3)'!$G$5:$G$289,'Comp2016-2017 (3)'!$A$5:$A$289,$D263,'Comp2016-2017 (3)'!$R$5:$R$289,$V263)*$AB263))</f>
        <v/>
      </c>
      <c r="AJ263" s="2">
        <f>IF($W263=AJ$3,$AB263,IF(NOT($W263=0),"",SUMIFS('Val-Vol (2)'!AJ$4:AJ$1116,'Val-Vol (2)'!$A$4:$A$1116,$D263,'Val-Vol (2)'!$V$4:$V$1116,$V263)/SUMIFS('Comp2016-2017 (3)'!$G$5:$G$289,'Comp2016-2017 (3)'!$A$5:$A$289,$D263,'Comp2016-2017 (3)'!$R$5:$R$289,$V263)*$AB263))</f>
        <v>239.06781233522338</v>
      </c>
      <c r="AK263" s="2">
        <f t="shared" si="29"/>
        <v>0</v>
      </c>
      <c r="AL263" t="str">
        <f t="shared" si="31"/>
        <v/>
      </c>
      <c r="AM263" t="str">
        <f>VLOOKUP(A263,'Table corresp.'!$M$4:$U$63,8,FALSE)</f>
        <v>Production finale</v>
      </c>
      <c r="AN263" t="str">
        <f>VLOOKUP(D263,'Table corresp.'!$M$4:$U$63,9,FALSE)</f>
        <v>Consommation finale française</v>
      </c>
    </row>
    <row r="264" spans="1:40" x14ac:dyDescent="0.25">
      <c r="A264" t="s">
        <v>18</v>
      </c>
      <c r="B264" t="str">
        <f>VLOOKUP(LEFT(A264,3),'Table corresp.'!$A$4:$D$63,3,FALSE)</f>
        <v>Transformation</v>
      </c>
      <c r="C264" t="str">
        <f>VLOOKUP(A264,'Table corresp.'!$M$4:$P$63,4,FALSE)</f>
        <v>Production et transformation de produits bois</v>
      </c>
      <c r="D264" t="s">
        <v>53</v>
      </c>
      <c r="E264" t="str">
        <f>VLOOKUP(LEFT(D264,3),'Table corresp.'!$A$4:$D$63,4,FALSE)</f>
        <v>Exportation</v>
      </c>
      <c r="F264" t="str">
        <f t="shared" si="30"/>
        <v>39  - Exp</v>
      </c>
      <c r="G264" s="1">
        <v>2200.1729999999998</v>
      </c>
      <c r="H264" s="1">
        <v>0</v>
      </c>
      <c r="I264" s="1">
        <v>2200.1729999999998</v>
      </c>
      <c r="J264" s="1">
        <v>2.7742699862361557</v>
      </c>
      <c r="K264" s="1">
        <v>0</v>
      </c>
      <c r="L264" s="1">
        <v>2.7742699862361557</v>
      </c>
      <c r="M264" s="1">
        <v>0.76068244739240287</v>
      </c>
      <c r="N264" s="1">
        <v>0</v>
      </c>
      <c r="O264" s="1">
        <v>0.76068244739240287</v>
      </c>
      <c r="P264" s="1">
        <v>0.28252927710899506</v>
      </c>
      <c r="Q264" s="1">
        <v>0</v>
      </c>
      <c r="R264" s="1">
        <v>0.28252927710899506</v>
      </c>
      <c r="S264" s="67"/>
      <c r="T264">
        <f>VLOOKUP(A264,'Groupe de branches'!$Z$27:$AM$86,14,FALSE)</f>
        <v>0</v>
      </c>
      <c r="U264">
        <f>VLOOKUP(D264,'Groupe de branches'!$Z$27:$AM$86,14,FALSE)</f>
        <v>0</v>
      </c>
      <c r="V264">
        <v>2016</v>
      </c>
      <c r="W264" t="str">
        <f>VLOOKUP(D264,'Table corresp.'!$M$4:$S$63,7,FALSE)</f>
        <v>Exportation</v>
      </c>
      <c r="X264" s="167">
        <f>IFERROR(G264/SUMIFS('Comp2016-2017 (3)'!$I$5:$I$289,'Comp2016-2017 (3)'!$A$5:$A$289,A264,'Comp2016-2017 (3)'!$R$5:$R$289,V264),0)</f>
        <v>8.9481649163534363E-2</v>
      </c>
      <c r="Y264" s="178">
        <f>IFERROR(IF(RIGHT(F264,3)="Exp",VLOOKUP(F264,#REF!,2,FALSE),VLOOKUP(F264,#REF!,9,FALSE)),1)</f>
        <v>1</v>
      </c>
      <c r="Z264" s="167">
        <f t="shared" si="25"/>
        <v>0.2</v>
      </c>
      <c r="AA264" s="189">
        <f t="shared" si="32"/>
        <v>1.7896329832706875E-2</v>
      </c>
      <c r="AB264" s="2">
        <f>IFERROR(SUMIFS('Comp2016-2017 (3)'!$G$5:$G$289,'Comp2016-2017 (3)'!$A$5:$A$289,A264,'Comp2016-2017 (3)'!$R$5:$R$289,V264)*AA264/SUMIFS($AA$4:$AA$1116,$A$4:$A$1116,A264,$V$4:$V$1116,V264),0)</f>
        <v>858.05961805713764</v>
      </c>
      <c r="AC264" s="2">
        <f>IF($W264=AC$3,$AB264,IF(NOT($W264=0),"",SUMIFS('Val-Vol (2)'!AC$4:AC$1116,'Val-Vol (2)'!$A$4:$A$1116,$D264,'Val-Vol (2)'!$V$4:$V$1116,$V264)/SUMIFS('Comp2016-2017 (3)'!$G$5:$G$289,'Comp2016-2017 (3)'!$A$5:$A$289,$D264,'Comp2016-2017 (3)'!$R$5:$R$289,$V264)*$AB264))</f>
        <v>858.05961805713764</v>
      </c>
      <c r="AD264" s="2" t="str">
        <f>IF($W264=AD$3,$AB264,IF(NOT($W264=0),"",SUMIFS('Val-Vol (2)'!AD$4:AD$1116,'Val-Vol (2)'!$A$4:$A$1116,$D264,'Val-Vol (2)'!$V$4:$V$1116,$V264)/SUMIFS('Comp2016-2017 (3)'!$G$5:$G$289,'Comp2016-2017 (3)'!$A$5:$A$289,$D264,'Comp2016-2017 (3)'!$R$5:$R$289,$V264)*$AB264))</f>
        <v/>
      </c>
      <c r="AE264" s="2" t="str">
        <f>IF($W264=AE$3,$AB264,IF(NOT($W264=0),"",SUMIFS('Val-Vol (2)'!AE$4:AE$1116,'Val-Vol (2)'!$A$4:$A$1116,$D264,'Val-Vol (2)'!$V$4:$V$1116,$V264)/SUMIFS('Comp2016-2017 (3)'!$G$5:$G$289,'Comp2016-2017 (3)'!$A$5:$A$289,$D264,'Comp2016-2017 (3)'!$R$5:$R$289,$V264)*$AB264))</f>
        <v/>
      </c>
      <c r="AF264" s="2" t="str">
        <f>IF($W264=AF$3,$AB264,IF(NOT($W264=0),"",SUMIFS('Val-Vol (2)'!AF$4:AF$1116,'Val-Vol (2)'!$A$4:$A$1116,$D264,'Val-Vol (2)'!$V$4:$V$1116,$V264)/SUMIFS('Comp2016-2017 (3)'!$G$5:$G$289,'Comp2016-2017 (3)'!$A$5:$A$289,$D264,'Comp2016-2017 (3)'!$R$5:$R$289,$V264)*$AB264))</f>
        <v/>
      </c>
      <c r="AG264" s="2" t="str">
        <f>IF($W264=AG$3,$AB264,IF(NOT($W264=0),"",SUMIFS('Val-Vol (2)'!AG$4:AG$1116,'Val-Vol (2)'!$A$4:$A$1116,$D264,'Val-Vol (2)'!$V$4:$V$1116,$V264)/SUMIFS('Comp2016-2017 (3)'!$G$5:$G$289,'Comp2016-2017 (3)'!$A$5:$A$289,$D264,'Comp2016-2017 (3)'!$R$5:$R$289,$V264)*$AB264))</f>
        <v/>
      </c>
      <c r="AH264" s="2" t="str">
        <f>IF($W264=AH$3,$AB264,IF(NOT($W264=0),"",SUMIFS('Val-Vol (2)'!AH$4:AH$1116,'Val-Vol (2)'!$A$4:$A$1116,$D264,'Val-Vol (2)'!$V$4:$V$1116,$V264)/SUMIFS('Comp2016-2017 (3)'!$G$5:$G$289,'Comp2016-2017 (3)'!$A$5:$A$289,$D264,'Comp2016-2017 (3)'!$R$5:$R$289,$V264)*$AB264))</f>
        <v/>
      </c>
      <c r="AI264" s="2" t="str">
        <f>IF($W264=AI$3,$AB264,IF(NOT($W264=0),"",SUMIFS('Val-Vol (2)'!AI$4:AI$1116,'Val-Vol (2)'!$A$4:$A$1116,$D264,'Val-Vol (2)'!$V$4:$V$1116,$V264)/SUMIFS('Comp2016-2017 (3)'!$G$5:$G$289,'Comp2016-2017 (3)'!$A$5:$A$289,$D264,'Comp2016-2017 (3)'!$R$5:$R$289,$V264)*$AB264))</f>
        <v/>
      </c>
      <c r="AJ264" s="2" t="str">
        <f>IF($W264=AJ$3,$AB264,IF(NOT($W264=0),"",SUMIFS('Val-Vol (2)'!AJ$4:AJ$1116,'Val-Vol (2)'!$A$4:$A$1116,$D264,'Val-Vol (2)'!$V$4:$V$1116,$V264)/SUMIFS('Comp2016-2017 (3)'!$G$5:$G$289,'Comp2016-2017 (3)'!$A$5:$A$289,$D264,'Comp2016-2017 (3)'!$R$5:$R$289,$V264)*$AB264))</f>
        <v/>
      </c>
      <c r="AK264" s="2">
        <f t="shared" si="29"/>
        <v>0</v>
      </c>
      <c r="AL264" t="str">
        <f t="shared" si="31"/>
        <v/>
      </c>
      <c r="AM264" t="str">
        <f>VLOOKUP(A264,'Table corresp.'!$M$4:$U$63,8,FALSE)</f>
        <v>Production finale</v>
      </c>
      <c r="AN264" t="str">
        <f>VLOOKUP(D264,'Table corresp.'!$M$4:$U$63,9,FALSE)</f>
        <v>Exportation</v>
      </c>
    </row>
    <row r="265" spans="1:40" x14ac:dyDescent="0.25">
      <c r="A265" t="s">
        <v>92</v>
      </c>
      <c r="B265" t="str">
        <f>VLOOKUP(LEFT(A265,3),'Table corresp.'!$A$4:$D$63,3,FALSE)</f>
        <v>Transformation</v>
      </c>
      <c r="C265" t="str">
        <f>VLOOKUP(A265,'Table corresp.'!$M$4:$P$63,4,FALSE)</f>
        <v>Production et transformation de produits bois</v>
      </c>
      <c r="D265" t="s">
        <v>54</v>
      </c>
      <c r="E265" t="str">
        <f>VLOOKUP(LEFT(D265,3),'Table corresp.'!$A$4:$D$63,4,FALSE)</f>
        <v>Consommation finale</v>
      </c>
      <c r="F265" t="str">
        <f t="shared" si="30"/>
        <v>40  - Con</v>
      </c>
      <c r="G265" s="1">
        <v>160430.26</v>
      </c>
      <c r="H265" s="1">
        <v>206862.76954545453</v>
      </c>
      <c r="I265" s="1">
        <v>367293.02954545454</v>
      </c>
      <c r="J265" s="1">
        <v>314.54971583472587</v>
      </c>
      <c r="K265" s="1">
        <v>405.58822390786526</v>
      </c>
      <c r="L265" s="1">
        <v>720.13793974259113</v>
      </c>
      <c r="M265" s="1">
        <v>0</v>
      </c>
      <c r="N265" s="1">
        <v>0</v>
      </c>
      <c r="O265" s="1">
        <v>0</v>
      </c>
      <c r="P265" s="1">
        <v>0</v>
      </c>
      <c r="Q265" s="1">
        <v>0</v>
      </c>
      <c r="R265" s="1">
        <v>0</v>
      </c>
      <c r="S265" s="67"/>
      <c r="T265">
        <f>VLOOKUP(A265,'Groupe de branches'!$Z$27:$AM$86,14,FALSE)</f>
        <v>0</v>
      </c>
      <c r="U265">
        <f>VLOOKUP(D265,'Groupe de branches'!$Z$27:$AM$86,14,FALSE)</f>
        <v>0</v>
      </c>
      <c r="V265">
        <v>2016</v>
      </c>
      <c r="W265" t="str">
        <f>VLOOKUP(D265,'Table corresp.'!$M$4:$S$63,7,FALSE)</f>
        <v>Consommation finale</v>
      </c>
      <c r="X265" s="167">
        <f>IFERROR(G265/SUMIFS('Comp2016-2017 (3)'!$I$5:$I$289,'Comp2016-2017 (3)'!$A$5:$A$289,A265,'Comp2016-2017 (3)'!$R$5:$R$289,V265),0)</f>
        <v>0.95567374099442248</v>
      </c>
      <c r="Y265" s="178">
        <f>IFERROR(IF(RIGHT(F265,3)="Exp",VLOOKUP(F265,#REF!,2,FALSE),VLOOKUP(F265,#REF!,9,FALSE)),1)</f>
        <v>1</v>
      </c>
      <c r="Z265" s="167">
        <f t="shared" si="25"/>
        <v>0.5</v>
      </c>
      <c r="AA265" s="189">
        <f t="shared" si="32"/>
        <v>0.47783687049721124</v>
      </c>
      <c r="AB265" s="2">
        <f>IFERROR(SUMIFS('Comp2016-2017 (3)'!$G$5:$G$289,'Comp2016-2017 (3)'!$A$5:$A$289,A265,'Comp2016-2017 (3)'!$R$5:$R$289,V265)*AA265/SUMIFS($AA$4:$AA$1116,$A$4:$A$1116,A265,$V$4:$V$1116,V265),0)</f>
        <v>53987.212183721094</v>
      </c>
      <c r="AC265" s="2" t="str">
        <f>IF($W265=AC$3,$AB265,IF(NOT($W265=0),"",SUMIFS('Val-Vol (2)'!AC$4:AC$1116,'Val-Vol (2)'!$A$4:$A$1116,$D265,'Val-Vol (2)'!$V$4:$V$1116,$V265)/SUMIFS('Comp2016-2017 (3)'!$G$5:$G$289,'Comp2016-2017 (3)'!$A$5:$A$289,$D265,'Comp2016-2017 (3)'!$R$5:$R$289,$V265)*$AB265))</f>
        <v/>
      </c>
      <c r="AD265" s="2" t="str">
        <f>IF($W265=AD$3,$AB265,IF(NOT($W265=0),"",SUMIFS('Val-Vol (2)'!AD$4:AD$1116,'Val-Vol (2)'!$A$4:$A$1116,$D265,'Val-Vol (2)'!$V$4:$V$1116,$V265)/SUMIFS('Comp2016-2017 (3)'!$G$5:$G$289,'Comp2016-2017 (3)'!$A$5:$A$289,$D265,'Comp2016-2017 (3)'!$R$5:$R$289,$V265)*$AB265))</f>
        <v/>
      </c>
      <c r="AE265" s="2" t="str">
        <f>IF($W265=AE$3,$AB265,IF(NOT($W265=0),"",SUMIFS('Val-Vol (2)'!AE$4:AE$1116,'Val-Vol (2)'!$A$4:$A$1116,$D265,'Val-Vol (2)'!$V$4:$V$1116,$V265)/SUMIFS('Comp2016-2017 (3)'!$G$5:$G$289,'Comp2016-2017 (3)'!$A$5:$A$289,$D265,'Comp2016-2017 (3)'!$R$5:$R$289,$V265)*$AB265))</f>
        <v/>
      </c>
      <c r="AF265" s="2" t="str">
        <f>IF($W265=AF$3,$AB265,IF(NOT($W265=0),"",SUMIFS('Val-Vol (2)'!AF$4:AF$1116,'Val-Vol (2)'!$A$4:$A$1116,$D265,'Val-Vol (2)'!$V$4:$V$1116,$V265)/SUMIFS('Comp2016-2017 (3)'!$G$5:$G$289,'Comp2016-2017 (3)'!$A$5:$A$289,$D265,'Comp2016-2017 (3)'!$R$5:$R$289,$V265)*$AB265))</f>
        <v/>
      </c>
      <c r="AG265" s="2" t="str">
        <f>IF($W265=AG$3,$AB265,IF(NOT($W265=0),"",SUMIFS('Val-Vol (2)'!AG$4:AG$1116,'Val-Vol (2)'!$A$4:$A$1116,$D265,'Val-Vol (2)'!$V$4:$V$1116,$V265)/SUMIFS('Comp2016-2017 (3)'!$G$5:$G$289,'Comp2016-2017 (3)'!$A$5:$A$289,$D265,'Comp2016-2017 (3)'!$R$5:$R$289,$V265)*$AB265))</f>
        <v/>
      </c>
      <c r="AH265" s="2" t="str">
        <f>IF($W265=AH$3,$AB265,IF(NOT($W265=0),"",SUMIFS('Val-Vol (2)'!AH$4:AH$1116,'Val-Vol (2)'!$A$4:$A$1116,$D265,'Val-Vol (2)'!$V$4:$V$1116,$V265)/SUMIFS('Comp2016-2017 (3)'!$G$5:$G$289,'Comp2016-2017 (3)'!$A$5:$A$289,$D265,'Comp2016-2017 (3)'!$R$5:$R$289,$V265)*$AB265))</f>
        <v/>
      </c>
      <c r="AI265" s="2" t="str">
        <f>IF($W265=AI$3,$AB265,IF(NOT($W265=0),"",SUMIFS('Val-Vol (2)'!AI$4:AI$1116,'Val-Vol (2)'!$A$4:$A$1116,$D265,'Val-Vol (2)'!$V$4:$V$1116,$V265)/SUMIFS('Comp2016-2017 (3)'!$G$5:$G$289,'Comp2016-2017 (3)'!$A$5:$A$289,$D265,'Comp2016-2017 (3)'!$R$5:$R$289,$V265)*$AB265))</f>
        <v/>
      </c>
      <c r="AJ265" s="2">
        <f>IF($W265=AJ$3,$AB265,IF(NOT($W265=0),"",SUMIFS('Val-Vol (2)'!AJ$4:AJ$1116,'Val-Vol (2)'!$A$4:$A$1116,$D265,'Val-Vol (2)'!$V$4:$V$1116,$V265)/SUMIFS('Comp2016-2017 (3)'!$G$5:$G$289,'Comp2016-2017 (3)'!$A$5:$A$289,$D265,'Comp2016-2017 (3)'!$R$5:$R$289,$V265)*$AB265))</f>
        <v>53987.212183721094</v>
      </c>
      <c r="AK265" s="2">
        <f t="shared" si="29"/>
        <v>0</v>
      </c>
      <c r="AL265" t="str">
        <f t="shared" si="31"/>
        <v/>
      </c>
      <c r="AM265" t="str">
        <f>VLOOKUP(A265,'Table corresp.'!$M$4:$U$63,8,FALSE)</f>
        <v>Production finale</v>
      </c>
      <c r="AN265" t="str">
        <f>VLOOKUP(D265,'Table corresp.'!$M$4:$U$63,9,FALSE)</f>
        <v>Consommation finale française</v>
      </c>
    </row>
    <row r="266" spans="1:40" x14ac:dyDescent="0.25">
      <c r="A266" t="s">
        <v>92</v>
      </c>
      <c r="B266" t="str">
        <f>VLOOKUP(LEFT(A266,3),'Table corresp.'!$A$4:$D$63,3,FALSE)</f>
        <v>Transformation</v>
      </c>
      <c r="C266" t="str">
        <f>VLOOKUP(A266,'Table corresp.'!$M$4:$P$63,4,FALSE)</f>
        <v>Production et transformation de produits bois</v>
      </c>
      <c r="D266" t="s">
        <v>53</v>
      </c>
      <c r="E266" t="str">
        <f>VLOOKUP(LEFT(D266,3),'Table corresp.'!$A$4:$D$63,4,FALSE)</f>
        <v>Exportation</v>
      </c>
      <c r="F266" t="str">
        <f t="shared" si="30"/>
        <v>40  - Exp</v>
      </c>
      <c r="G266" s="1">
        <v>7441.1068181818173</v>
      </c>
      <c r="H266" s="1">
        <v>0</v>
      </c>
      <c r="I266" s="1">
        <v>7441.1068181818173</v>
      </c>
      <c r="J266" s="1">
        <v>14.589504717843949</v>
      </c>
      <c r="K266" s="1">
        <v>0</v>
      </c>
      <c r="L266" s="1">
        <v>14.589504717843949</v>
      </c>
      <c r="M266" s="1">
        <v>0</v>
      </c>
      <c r="N266" s="1">
        <v>0</v>
      </c>
      <c r="O266" s="1">
        <v>0</v>
      </c>
      <c r="P266" s="1">
        <v>0</v>
      </c>
      <c r="Q266" s="1">
        <v>0</v>
      </c>
      <c r="R266" s="1">
        <v>0</v>
      </c>
      <c r="S266" s="67"/>
      <c r="T266">
        <f>VLOOKUP(A266,'Groupe de branches'!$Z$27:$AM$86,14,FALSE)</f>
        <v>0</v>
      </c>
      <c r="U266">
        <f>VLOOKUP(D266,'Groupe de branches'!$Z$27:$AM$86,14,FALSE)</f>
        <v>0</v>
      </c>
      <c r="V266">
        <v>2016</v>
      </c>
      <c r="W266" t="str">
        <f>VLOOKUP(D266,'Table corresp.'!$M$4:$S$63,7,FALSE)</f>
        <v>Exportation</v>
      </c>
      <c r="X266" s="167">
        <f>IFERROR(G266/SUMIFS('Comp2016-2017 (3)'!$I$5:$I$289,'Comp2016-2017 (3)'!$A$5:$A$289,A266,'Comp2016-2017 (3)'!$R$5:$R$289,V266),0)</f>
        <v>4.4326241134751768E-2</v>
      </c>
      <c r="Y266" s="178">
        <f>IFERROR(IF(RIGHT(F266,3)="Exp",VLOOKUP(F266,#REF!,2,FALSE),VLOOKUP(F266,#REF!,9,FALSE)),1)</f>
        <v>1</v>
      </c>
      <c r="Z266" s="167">
        <f t="shared" si="25"/>
        <v>0.5</v>
      </c>
      <c r="AA266" s="189">
        <f t="shared" si="32"/>
        <v>2.2163120567375884E-2</v>
      </c>
      <c r="AB266" s="2">
        <f>IFERROR(SUMIFS('Comp2016-2017 (3)'!$G$5:$G$289,'Comp2016-2017 (3)'!$A$5:$A$289,A266,'Comp2016-2017 (3)'!$R$5:$R$289,V266)*AA266/SUMIFS($AA$4:$AA$1116,$A$4:$A$1116,A266,$V$4:$V$1116,V266),0)</f>
        <v>2504.0451388342544</v>
      </c>
      <c r="AC266" s="2">
        <f>IF($W266=AC$3,$AB266,IF(NOT($W266=0),"",SUMIFS('Val-Vol (2)'!AC$4:AC$1116,'Val-Vol (2)'!$A$4:$A$1116,$D266,'Val-Vol (2)'!$V$4:$V$1116,$V266)/SUMIFS('Comp2016-2017 (3)'!$G$5:$G$289,'Comp2016-2017 (3)'!$A$5:$A$289,$D266,'Comp2016-2017 (3)'!$R$5:$R$289,$V266)*$AB266))</f>
        <v>2504.0451388342544</v>
      </c>
      <c r="AD266" s="2" t="str">
        <f>IF($W266=AD$3,$AB266,IF(NOT($W266=0),"",SUMIFS('Val-Vol (2)'!AD$4:AD$1116,'Val-Vol (2)'!$A$4:$A$1116,$D266,'Val-Vol (2)'!$V$4:$V$1116,$V266)/SUMIFS('Comp2016-2017 (3)'!$G$5:$G$289,'Comp2016-2017 (3)'!$A$5:$A$289,$D266,'Comp2016-2017 (3)'!$R$5:$R$289,$V266)*$AB266))</f>
        <v/>
      </c>
      <c r="AE266" s="2" t="str">
        <f>IF($W266=AE$3,$AB266,IF(NOT($W266=0),"",SUMIFS('Val-Vol (2)'!AE$4:AE$1116,'Val-Vol (2)'!$A$4:$A$1116,$D266,'Val-Vol (2)'!$V$4:$V$1116,$V266)/SUMIFS('Comp2016-2017 (3)'!$G$5:$G$289,'Comp2016-2017 (3)'!$A$5:$A$289,$D266,'Comp2016-2017 (3)'!$R$5:$R$289,$V266)*$AB266))</f>
        <v/>
      </c>
      <c r="AF266" s="2" t="str">
        <f>IF($W266=AF$3,$AB266,IF(NOT($W266=0),"",SUMIFS('Val-Vol (2)'!AF$4:AF$1116,'Val-Vol (2)'!$A$4:$A$1116,$D266,'Val-Vol (2)'!$V$4:$V$1116,$V266)/SUMIFS('Comp2016-2017 (3)'!$G$5:$G$289,'Comp2016-2017 (3)'!$A$5:$A$289,$D266,'Comp2016-2017 (3)'!$R$5:$R$289,$V266)*$AB266))</f>
        <v/>
      </c>
      <c r="AG266" s="2" t="str">
        <f>IF($W266=AG$3,$AB266,IF(NOT($W266=0),"",SUMIFS('Val-Vol (2)'!AG$4:AG$1116,'Val-Vol (2)'!$A$4:$A$1116,$D266,'Val-Vol (2)'!$V$4:$V$1116,$V266)/SUMIFS('Comp2016-2017 (3)'!$G$5:$G$289,'Comp2016-2017 (3)'!$A$5:$A$289,$D266,'Comp2016-2017 (3)'!$R$5:$R$289,$V266)*$AB266))</f>
        <v/>
      </c>
      <c r="AH266" s="2" t="str">
        <f>IF($W266=AH$3,$AB266,IF(NOT($W266=0),"",SUMIFS('Val-Vol (2)'!AH$4:AH$1116,'Val-Vol (2)'!$A$4:$A$1116,$D266,'Val-Vol (2)'!$V$4:$V$1116,$V266)/SUMIFS('Comp2016-2017 (3)'!$G$5:$G$289,'Comp2016-2017 (3)'!$A$5:$A$289,$D266,'Comp2016-2017 (3)'!$R$5:$R$289,$V266)*$AB266))</f>
        <v/>
      </c>
      <c r="AI266" s="2" t="str">
        <f>IF($W266=AI$3,$AB266,IF(NOT($W266=0),"",SUMIFS('Val-Vol (2)'!AI$4:AI$1116,'Val-Vol (2)'!$A$4:$A$1116,$D266,'Val-Vol (2)'!$V$4:$V$1116,$V266)/SUMIFS('Comp2016-2017 (3)'!$G$5:$G$289,'Comp2016-2017 (3)'!$A$5:$A$289,$D266,'Comp2016-2017 (3)'!$R$5:$R$289,$V266)*$AB266))</f>
        <v/>
      </c>
      <c r="AJ266" s="2" t="str">
        <f>IF($W266=AJ$3,$AB266,IF(NOT($W266=0),"",SUMIFS('Val-Vol (2)'!AJ$4:AJ$1116,'Val-Vol (2)'!$A$4:$A$1116,$D266,'Val-Vol (2)'!$V$4:$V$1116,$V266)/SUMIFS('Comp2016-2017 (3)'!$G$5:$G$289,'Comp2016-2017 (3)'!$A$5:$A$289,$D266,'Comp2016-2017 (3)'!$R$5:$R$289,$V266)*$AB266))</f>
        <v/>
      </c>
      <c r="AK266" s="2">
        <f t="shared" si="29"/>
        <v>0</v>
      </c>
      <c r="AL266" t="str">
        <f t="shared" si="31"/>
        <v/>
      </c>
      <c r="AM266" t="str">
        <f>VLOOKUP(A266,'Table corresp.'!$M$4:$U$63,8,FALSE)</f>
        <v>Production finale</v>
      </c>
      <c r="AN266" t="str">
        <f>VLOOKUP(D266,'Table corresp.'!$M$4:$U$63,9,FALSE)</f>
        <v>Exportation</v>
      </c>
    </row>
    <row r="267" spans="1:40" x14ac:dyDescent="0.25">
      <c r="A267" t="s">
        <v>93</v>
      </c>
      <c r="B267" t="str">
        <f>VLOOKUP(LEFT(A267,3),'Table corresp.'!$A$4:$D$63,3,FALSE)</f>
        <v>Transformation</v>
      </c>
      <c r="C267" t="str">
        <f>VLOOKUP(A267,'Table corresp.'!$M$4:$P$63,4,FALSE)</f>
        <v>Production et transformation de produits bois</v>
      </c>
      <c r="D267" t="s">
        <v>54</v>
      </c>
      <c r="E267" t="str">
        <f>VLOOKUP(LEFT(D267,3),'Table corresp.'!$A$4:$D$63,4,FALSE)</f>
        <v>Consommation finale</v>
      </c>
      <c r="F267" t="str">
        <f t="shared" si="30"/>
        <v>41  - Con</v>
      </c>
      <c r="G267" s="1">
        <v>176261.31000000003</v>
      </c>
      <c r="H267" s="1">
        <v>181374.35</v>
      </c>
      <c r="I267" s="1">
        <v>357635.66000000003</v>
      </c>
      <c r="J267" s="1">
        <v>210.36401173020604</v>
      </c>
      <c r="K267" s="1">
        <v>574.25439373887923</v>
      </c>
      <c r="L267" s="1">
        <v>784.61840546908525</v>
      </c>
      <c r="M267" s="1">
        <v>0</v>
      </c>
      <c r="N267" s="1">
        <v>0</v>
      </c>
      <c r="O267" s="1">
        <v>0</v>
      </c>
      <c r="P267" s="1">
        <v>0</v>
      </c>
      <c r="Q267" s="1">
        <v>0</v>
      </c>
      <c r="R267" s="1">
        <v>0</v>
      </c>
      <c r="S267" s="67"/>
      <c r="T267">
        <f>VLOOKUP(A267,'Groupe de branches'!$Z$27:$AM$86,14,FALSE)</f>
        <v>0</v>
      </c>
      <c r="U267">
        <f>VLOOKUP(D267,'Groupe de branches'!$Z$27:$AM$86,14,FALSE)</f>
        <v>0</v>
      </c>
      <c r="V267">
        <v>2016</v>
      </c>
      <c r="W267" t="str">
        <f>VLOOKUP(D267,'Table corresp.'!$M$4:$S$63,7,FALSE)</f>
        <v>Consommation finale</v>
      </c>
      <c r="X267" s="167">
        <f>IFERROR(G267/SUMIFS('Comp2016-2017 (3)'!$I$5:$I$289,'Comp2016-2017 (3)'!$A$5:$A$289,A267,'Comp2016-2017 (3)'!$R$5:$R$289,V267),0)</f>
        <v>0.75226330300288524</v>
      </c>
      <c r="Y267" s="178">
        <f>IFERROR(IF(RIGHT(F267,3)="Exp",VLOOKUP(F267,#REF!,2,FALSE),VLOOKUP(F267,#REF!,9,FALSE)),1)</f>
        <v>1</v>
      </c>
      <c r="Z267" s="167">
        <f t="shared" si="25"/>
        <v>0.5</v>
      </c>
      <c r="AA267" s="189">
        <f t="shared" si="32"/>
        <v>0.37613165150144262</v>
      </c>
      <c r="AB267" s="2">
        <f>IFERROR(SUMIFS('Comp2016-2017 (3)'!$G$5:$G$289,'Comp2016-2017 (3)'!$A$5:$A$289,A267,'Comp2016-2017 (3)'!$R$5:$R$289,V267)*AA267/SUMIFS($AA$4:$AA$1116,$A$4:$A$1116,A267,$V$4:$V$1116,V267),0)</f>
        <v>72267.138642139806</v>
      </c>
      <c r="AC267" s="2" t="str">
        <f>IF($W267=AC$3,$AB267,IF(NOT($W267=0),"",SUMIFS('Val-Vol (2)'!AC$4:AC$1116,'Val-Vol (2)'!$A$4:$A$1116,$D267,'Val-Vol (2)'!$V$4:$V$1116,$V267)/SUMIFS('Comp2016-2017 (3)'!$G$5:$G$289,'Comp2016-2017 (3)'!$A$5:$A$289,$D267,'Comp2016-2017 (3)'!$R$5:$R$289,$V267)*$AB267))</f>
        <v/>
      </c>
      <c r="AD267" s="2" t="str">
        <f>IF($W267=AD$3,$AB267,IF(NOT($W267=0),"",SUMIFS('Val-Vol (2)'!AD$4:AD$1116,'Val-Vol (2)'!$A$4:$A$1116,$D267,'Val-Vol (2)'!$V$4:$V$1116,$V267)/SUMIFS('Comp2016-2017 (3)'!$G$5:$G$289,'Comp2016-2017 (3)'!$A$5:$A$289,$D267,'Comp2016-2017 (3)'!$R$5:$R$289,$V267)*$AB267))</f>
        <v/>
      </c>
      <c r="AE267" s="2" t="str">
        <f>IF($W267=AE$3,$AB267,IF(NOT($W267=0),"",SUMIFS('Val-Vol (2)'!AE$4:AE$1116,'Val-Vol (2)'!$A$4:$A$1116,$D267,'Val-Vol (2)'!$V$4:$V$1116,$V267)/SUMIFS('Comp2016-2017 (3)'!$G$5:$G$289,'Comp2016-2017 (3)'!$A$5:$A$289,$D267,'Comp2016-2017 (3)'!$R$5:$R$289,$V267)*$AB267))</f>
        <v/>
      </c>
      <c r="AF267" s="2" t="str">
        <f>IF($W267=AF$3,$AB267,IF(NOT($W267=0),"",SUMIFS('Val-Vol (2)'!AF$4:AF$1116,'Val-Vol (2)'!$A$4:$A$1116,$D267,'Val-Vol (2)'!$V$4:$V$1116,$V267)/SUMIFS('Comp2016-2017 (3)'!$G$5:$G$289,'Comp2016-2017 (3)'!$A$5:$A$289,$D267,'Comp2016-2017 (3)'!$R$5:$R$289,$V267)*$AB267))</f>
        <v/>
      </c>
      <c r="AG267" s="2" t="str">
        <f>IF($W267=AG$3,$AB267,IF(NOT($W267=0),"",SUMIFS('Val-Vol (2)'!AG$4:AG$1116,'Val-Vol (2)'!$A$4:$A$1116,$D267,'Val-Vol (2)'!$V$4:$V$1116,$V267)/SUMIFS('Comp2016-2017 (3)'!$G$5:$G$289,'Comp2016-2017 (3)'!$A$5:$A$289,$D267,'Comp2016-2017 (3)'!$R$5:$R$289,$V267)*$AB267))</f>
        <v/>
      </c>
      <c r="AH267" s="2" t="str">
        <f>IF($W267=AH$3,$AB267,IF(NOT($W267=0),"",SUMIFS('Val-Vol (2)'!AH$4:AH$1116,'Val-Vol (2)'!$A$4:$A$1116,$D267,'Val-Vol (2)'!$V$4:$V$1116,$V267)/SUMIFS('Comp2016-2017 (3)'!$G$5:$G$289,'Comp2016-2017 (3)'!$A$5:$A$289,$D267,'Comp2016-2017 (3)'!$R$5:$R$289,$V267)*$AB267))</f>
        <v/>
      </c>
      <c r="AI267" s="2" t="str">
        <f>IF($W267=AI$3,$AB267,IF(NOT($W267=0),"",SUMIFS('Val-Vol (2)'!AI$4:AI$1116,'Val-Vol (2)'!$A$4:$A$1116,$D267,'Val-Vol (2)'!$V$4:$V$1116,$V267)/SUMIFS('Comp2016-2017 (3)'!$G$5:$G$289,'Comp2016-2017 (3)'!$A$5:$A$289,$D267,'Comp2016-2017 (3)'!$R$5:$R$289,$V267)*$AB267))</f>
        <v/>
      </c>
      <c r="AJ267" s="2">
        <f>IF($W267=AJ$3,$AB267,IF(NOT($W267=0),"",SUMIFS('Val-Vol (2)'!AJ$4:AJ$1116,'Val-Vol (2)'!$A$4:$A$1116,$D267,'Val-Vol (2)'!$V$4:$V$1116,$V267)/SUMIFS('Comp2016-2017 (3)'!$G$5:$G$289,'Comp2016-2017 (3)'!$A$5:$A$289,$D267,'Comp2016-2017 (3)'!$R$5:$R$289,$V267)*$AB267))</f>
        <v>72267.138642139806</v>
      </c>
      <c r="AK267" s="2">
        <f t="shared" si="29"/>
        <v>0</v>
      </c>
      <c r="AL267" t="str">
        <f t="shared" si="31"/>
        <v/>
      </c>
      <c r="AM267" t="str">
        <f>VLOOKUP(A267,'Table corresp.'!$M$4:$U$63,8,FALSE)</f>
        <v>Production finale</v>
      </c>
      <c r="AN267" t="str">
        <f>VLOOKUP(D267,'Table corresp.'!$M$4:$U$63,9,FALSE)</f>
        <v>Consommation finale française</v>
      </c>
    </row>
    <row r="268" spans="1:40" x14ac:dyDescent="0.25">
      <c r="A268" t="s">
        <v>93</v>
      </c>
      <c r="B268" t="str">
        <f>VLOOKUP(LEFT(A268,3),'Table corresp.'!$A$4:$D$63,3,FALSE)</f>
        <v>Transformation</v>
      </c>
      <c r="C268" t="str">
        <f>VLOOKUP(A268,'Table corresp.'!$M$4:$P$63,4,FALSE)</f>
        <v>Production et transformation de produits bois</v>
      </c>
      <c r="D268" t="s">
        <v>53</v>
      </c>
      <c r="E268" t="str">
        <f>VLOOKUP(LEFT(D268,3),'Table corresp.'!$A$4:$D$63,4,FALSE)</f>
        <v>Exportation</v>
      </c>
      <c r="F268" t="str">
        <f t="shared" si="30"/>
        <v>41  - Exp</v>
      </c>
      <c r="G268" s="1">
        <v>58046.684999999998</v>
      </c>
      <c r="H268" s="1">
        <v>0</v>
      </c>
      <c r="I268" s="1">
        <v>58046.684999999998</v>
      </c>
      <c r="J268" s="1">
        <v>59.775312440851195</v>
      </c>
      <c r="K268" s="1">
        <v>0</v>
      </c>
      <c r="L268" s="1">
        <v>59.775312440851195</v>
      </c>
      <c r="M268" s="1">
        <v>0</v>
      </c>
      <c r="N268" s="1">
        <v>0</v>
      </c>
      <c r="O268" s="1">
        <v>0</v>
      </c>
      <c r="P268" s="1">
        <v>0</v>
      </c>
      <c r="Q268" s="1">
        <v>0</v>
      </c>
      <c r="R268" s="1">
        <v>0</v>
      </c>
      <c r="S268" s="67"/>
      <c r="T268">
        <f>VLOOKUP(A268,'Groupe de branches'!$Z$27:$AM$86,14,FALSE)</f>
        <v>0</v>
      </c>
      <c r="U268">
        <f>VLOOKUP(D268,'Groupe de branches'!$Z$27:$AM$86,14,FALSE)</f>
        <v>0</v>
      </c>
      <c r="V268">
        <v>2016</v>
      </c>
      <c r="W268" t="str">
        <f>VLOOKUP(D268,'Table corresp.'!$M$4:$S$63,7,FALSE)</f>
        <v>Exportation</v>
      </c>
      <c r="X268" s="167">
        <f>IFERROR(G268/SUMIFS('Comp2016-2017 (3)'!$I$5:$I$289,'Comp2016-2017 (3)'!$A$5:$A$289,A268,'Comp2016-2017 (3)'!$R$5:$R$289,V268),0)</f>
        <v>0.24773667565768134</v>
      </c>
      <c r="Y268" s="178">
        <f>IFERROR(IF(RIGHT(F268,3)="Exp",VLOOKUP(F268,#REF!,2,FALSE),VLOOKUP(F268,#REF!,9,FALSE)),1)</f>
        <v>1</v>
      </c>
      <c r="Z268" s="167">
        <f t="shared" si="25"/>
        <v>0.5</v>
      </c>
      <c r="AA268" s="189">
        <f t="shared" si="32"/>
        <v>0.12386833782884067</v>
      </c>
      <c r="AB268" s="2">
        <f>IFERROR(SUMIFS('Comp2016-2017 (3)'!$G$5:$G$289,'Comp2016-2017 (3)'!$A$5:$A$289,A268,'Comp2016-2017 (3)'!$R$5:$R$289,V268)*AA268/SUMIFS($AA$4:$AA$1116,$A$4:$A$1116,A268,$V$4:$V$1116,V268),0)</f>
        <v>23799.141357860193</v>
      </c>
      <c r="AC268" s="2">
        <f>IF($W268=AC$3,$AB268,IF(NOT($W268=0),"",SUMIFS('Val-Vol (2)'!AC$4:AC$1116,'Val-Vol (2)'!$A$4:$A$1116,$D268,'Val-Vol (2)'!$V$4:$V$1116,$V268)/SUMIFS('Comp2016-2017 (3)'!$G$5:$G$289,'Comp2016-2017 (3)'!$A$5:$A$289,$D268,'Comp2016-2017 (3)'!$R$5:$R$289,$V268)*$AB268))</f>
        <v>23799.141357860193</v>
      </c>
      <c r="AD268" s="2" t="str">
        <f>IF($W268=AD$3,$AB268,IF(NOT($W268=0),"",SUMIFS('Val-Vol (2)'!AD$4:AD$1116,'Val-Vol (2)'!$A$4:$A$1116,$D268,'Val-Vol (2)'!$V$4:$V$1116,$V268)/SUMIFS('Comp2016-2017 (3)'!$G$5:$G$289,'Comp2016-2017 (3)'!$A$5:$A$289,$D268,'Comp2016-2017 (3)'!$R$5:$R$289,$V268)*$AB268))</f>
        <v/>
      </c>
      <c r="AE268" s="2" t="str">
        <f>IF($W268=AE$3,$AB268,IF(NOT($W268=0),"",SUMIFS('Val-Vol (2)'!AE$4:AE$1116,'Val-Vol (2)'!$A$4:$A$1116,$D268,'Val-Vol (2)'!$V$4:$V$1116,$V268)/SUMIFS('Comp2016-2017 (3)'!$G$5:$G$289,'Comp2016-2017 (3)'!$A$5:$A$289,$D268,'Comp2016-2017 (3)'!$R$5:$R$289,$V268)*$AB268))</f>
        <v/>
      </c>
      <c r="AF268" s="2" t="str">
        <f>IF($W268=AF$3,$AB268,IF(NOT($W268=0),"",SUMIFS('Val-Vol (2)'!AF$4:AF$1116,'Val-Vol (2)'!$A$4:$A$1116,$D268,'Val-Vol (2)'!$V$4:$V$1116,$V268)/SUMIFS('Comp2016-2017 (3)'!$G$5:$G$289,'Comp2016-2017 (3)'!$A$5:$A$289,$D268,'Comp2016-2017 (3)'!$R$5:$R$289,$V268)*$AB268))</f>
        <v/>
      </c>
      <c r="AG268" s="2" t="str">
        <f>IF($W268=AG$3,$AB268,IF(NOT($W268=0),"",SUMIFS('Val-Vol (2)'!AG$4:AG$1116,'Val-Vol (2)'!$A$4:$A$1116,$D268,'Val-Vol (2)'!$V$4:$V$1116,$V268)/SUMIFS('Comp2016-2017 (3)'!$G$5:$G$289,'Comp2016-2017 (3)'!$A$5:$A$289,$D268,'Comp2016-2017 (3)'!$R$5:$R$289,$V268)*$AB268))</f>
        <v/>
      </c>
      <c r="AH268" s="2" t="str">
        <f>IF($W268=AH$3,$AB268,IF(NOT($W268=0),"",SUMIFS('Val-Vol (2)'!AH$4:AH$1116,'Val-Vol (2)'!$A$4:$A$1116,$D268,'Val-Vol (2)'!$V$4:$V$1116,$V268)/SUMIFS('Comp2016-2017 (3)'!$G$5:$G$289,'Comp2016-2017 (3)'!$A$5:$A$289,$D268,'Comp2016-2017 (3)'!$R$5:$R$289,$V268)*$AB268))</f>
        <v/>
      </c>
      <c r="AI268" s="2" t="str">
        <f>IF($W268=AI$3,$AB268,IF(NOT($W268=0),"",SUMIFS('Val-Vol (2)'!AI$4:AI$1116,'Val-Vol (2)'!$A$4:$A$1116,$D268,'Val-Vol (2)'!$V$4:$V$1116,$V268)/SUMIFS('Comp2016-2017 (3)'!$G$5:$G$289,'Comp2016-2017 (3)'!$A$5:$A$289,$D268,'Comp2016-2017 (3)'!$R$5:$R$289,$V268)*$AB268))</f>
        <v/>
      </c>
      <c r="AJ268" s="2" t="str">
        <f>IF($W268=AJ$3,$AB268,IF(NOT($W268=0),"",SUMIFS('Val-Vol (2)'!AJ$4:AJ$1116,'Val-Vol (2)'!$A$4:$A$1116,$D268,'Val-Vol (2)'!$V$4:$V$1116,$V268)/SUMIFS('Comp2016-2017 (3)'!$G$5:$G$289,'Comp2016-2017 (3)'!$A$5:$A$289,$D268,'Comp2016-2017 (3)'!$R$5:$R$289,$V268)*$AB268))</f>
        <v/>
      </c>
      <c r="AK268" s="2">
        <f t="shared" si="29"/>
        <v>0</v>
      </c>
      <c r="AL268" t="str">
        <f t="shared" si="31"/>
        <v/>
      </c>
      <c r="AM268" t="str">
        <f>VLOOKUP(A268,'Table corresp.'!$M$4:$U$63,8,FALSE)</f>
        <v>Production finale</v>
      </c>
      <c r="AN268" t="str">
        <f>VLOOKUP(D268,'Table corresp.'!$M$4:$U$63,9,FALSE)</f>
        <v>Exportation</v>
      </c>
    </row>
    <row r="269" spans="1:40" x14ac:dyDescent="0.25">
      <c r="A269" t="s">
        <v>94</v>
      </c>
      <c r="B269" t="str">
        <f>VLOOKUP(LEFT(A269,3),'Table corresp.'!$A$4:$D$63,3,FALSE)</f>
        <v>Transformation</v>
      </c>
      <c r="C269" t="str">
        <f>VLOOKUP(A269,'Table corresp.'!$M$4:$P$63,4,FALSE)</f>
        <v>Production et transformation de produits bois</v>
      </c>
      <c r="D269" t="s">
        <v>20</v>
      </c>
      <c r="E269" t="str">
        <f>VLOOKUP(LEFT(D269,3),'Table corresp.'!$A$4:$D$63,4,FALSE)</f>
        <v>Transformation</v>
      </c>
      <c r="F269" t="str">
        <f t="shared" si="30"/>
        <v xml:space="preserve">42  - 53 </v>
      </c>
      <c r="G269" s="1">
        <v>500</v>
      </c>
      <c r="H269" s="1">
        <v>500</v>
      </c>
      <c r="I269" s="1">
        <v>1000</v>
      </c>
      <c r="J269" s="1">
        <v>3.3781778293159634E-2</v>
      </c>
      <c r="K269" s="1">
        <v>6.4104122956392576E-2</v>
      </c>
      <c r="L269" s="1">
        <v>9.788590124955221E-2</v>
      </c>
      <c r="M269" s="1">
        <v>0</v>
      </c>
      <c r="N269" s="1">
        <v>0</v>
      </c>
      <c r="O269" s="1">
        <v>0</v>
      </c>
      <c r="P269" s="1">
        <v>0</v>
      </c>
      <c r="Q269" s="1">
        <v>0</v>
      </c>
      <c r="R269" s="1">
        <v>0</v>
      </c>
      <c r="S269" s="67"/>
      <c r="T269">
        <f>VLOOKUP(A269,'Groupe de branches'!$Z$27:$AM$86,14,FALSE)</f>
        <v>0</v>
      </c>
      <c r="U269">
        <f>VLOOKUP(D269,'Groupe de branches'!$Z$27:$AM$86,14,FALSE)</f>
        <v>0</v>
      </c>
      <c r="V269">
        <v>2016</v>
      </c>
      <c r="W269" t="str">
        <f>VLOOKUP(D269,'Table corresp.'!$M$4:$S$63,7,FALSE)</f>
        <v>Construction</v>
      </c>
      <c r="X269" s="167">
        <f>IFERROR(G269/SUMIFS('Comp2016-2017 (3)'!$I$5:$I$289,'Comp2016-2017 (3)'!$A$5:$A$289,A269,'Comp2016-2017 (3)'!$R$5:$R$289,V269),0)</f>
        <v>1.6666666666666663E-3</v>
      </c>
      <c r="Y269" s="178">
        <f>IFERROR(IF(RIGHT(F269,3)="Exp",VLOOKUP(F269,#REF!,2,FALSE),VLOOKUP(F269,#REF!,9,FALSE)),1)</f>
        <v>1</v>
      </c>
      <c r="Z269" s="167">
        <f t="shared" si="25"/>
        <v>0.33333333333333331</v>
      </c>
      <c r="AA269" s="189">
        <f t="shared" si="32"/>
        <v>5.5555555555555545E-4</v>
      </c>
      <c r="AB269" s="2">
        <f>IFERROR(SUMIFS('Comp2016-2017 (3)'!$G$5:$G$289,'Comp2016-2017 (3)'!$A$5:$A$289,A269,'Comp2016-2017 (3)'!$R$5:$R$289,V269)*AA269/SUMIFS($AA$4:$AA$1116,$A$4:$A$1116,A269,$V$4:$V$1116,V269),0)</f>
        <v>104.8900010489</v>
      </c>
      <c r="AC269" s="2" t="str">
        <f>IF($W269=AC$3,$AB269,IF(NOT($W269=0),"",SUMIFS('Val-Vol (2)'!AC$4:AC$1116,'Val-Vol (2)'!$A$4:$A$1116,$D269,'Val-Vol (2)'!$V$4:$V$1116,$V269)/SUMIFS('Comp2016-2017 (3)'!$G$5:$G$289,'Comp2016-2017 (3)'!$A$5:$A$289,$D269,'Comp2016-2017 (3)'!$R$5:$R$289,$V269)*$AB269))</f>
        <v/>
      </c>
      <c r="AD269" s="2">
        <f>IF($W269=AD$3,$AB269,IF(NOT($W269=0),"",SUMIFS('Val-Vol (2)'!AD$4:AD$1116,'Val-Vol (2)'!$A$4:$A$1116,$D269,'Val-Vol (2)'!$V$4:$V$1116,$V269)/SUMIFS('Comp2016-2017 (3)'!$G$5:$G$289,'Comp2016-2017 (3)'!$A$5:$A$289,$D269,'Comp2016-2017 (3)'!$R$5:$R$289,$V269)*$AB269))</f>
        <v>104.8900010489</v>
      </c>
      <c r="AE269" s="2" t="str">
        <f>IF($W269=AE$3,$AB269,IF(NOT($W269=0),"",SUMIFS('Val-Vol (2)'!AE$4:AE$1116,'Val-Vol (2)'!$A$4:$A$1116,$D269,'Val-Vol (2)'!$V$4:$V$1116,$V269)/SUMIFS('Comp2016-2017 (3)'!$G$5:$G$289,'Comp2016-2017 (3)'!$A$5:$A$289,$D269,'Comp2016-2017 (3)'!$R$5:$R$289,$V269)*$AB269))</f>
        <v/>
      </c>
      <c r="AF269" s="2" t="str">
        <f>IF($W269=AF$3,$AB269,IF(NOT($W269=0),"",SUMIFS('Val-Vol (2)'!AF$4:AF$1116,'Val-Vol (2)'!$A$4:$A$1116,$D269,'Val-Vol (2)'!$V$4:$V$1116,$V269)/SUMIFS('Comp2016-2017 (3)'!$G$5:$G$289,'Comp2016-2017 (3)'!$A$5:$A$289,$D269,'Comp2016-2017 (3)'!$R$5:$R$289,$V269)*$AB269))</f>
        <v/>
      </c>
      <c r="AG269" s="2" t="str">
        <f>IF($W269=AG$3,$AB269,IF(NOT($W269=0),"",SUMIFS('Val-Vol (2)'!AG$4:AG$1116,'Val-Vol (2)'!$A$4:$A$1116,$D269,'Val-Vol (2)'!$V$4:$V$1116,$V269)/SUMIFS('Comp2016-2017 (3)'!$G$5:$G$289,'Comp2016-2017 (3)'!$A$5:$A$289,$D269,'Comp2016-2017 (3)'!$R$5:$R$289,$V269)*$AB269))</f>
        <v/>
      </c>
      <c r="AH269" s="2" t="str">
        <f>IF($W269=AH$3,$AB269,IF(NOT($W269=0),"",SUMIFS('Val-Vol (2)'!AH$4:AH$1116,'Val-Vol (2)'!$A$4:$A$1116,$D269,'Val-Vol (2)'!$V$4:$V$1116,$V269)/SUMIFS('Comp2016-2017 (3)'!$G$5:$G$289,'Comp2016-2017 (3)'!$A$5:$A$289,$D269,'Comp2016-2017 (3)'!$R$5:$R$289,$V269)*$AB269))</f>
        <v/>
      </c>
      <c r="AI269" s="2" t="str">
        <f>IF($W269=AI$3,$AB269,IF(NOT($W269=0),"",SUMIFS('Val-Vol (2)'!AI$4:AI$1116,'Val-Vol (2)'!$A$4:$A$1116,$D269,'Val-Vol (2)'!$V$4:$V$1116,$V269)/SUMIFS('Comp2016-2017 (3)'!$G$5:$G$289,'Comp2016-2017 (3)'!$A$5:$A$289,$D269,'Comp2016-2017 (3)'!$R$5:$R$289,$V269)*$AB269))</f>
        <v/>
      </c>
      <c r="AJ269" s="2" t="str">
        <f>IF($W269=AJ$3,$AB269,IF(NOT($W269=0),"",SUMIFS('Val-Vol (2)'!AJ$4:AJ$1116,'Val-Vol (2)'!$A$4:$A$1116,$D269,'Val-Vol (2)'!$V$4:$V$1116,$V269)/SUMIFS('Comp2016-2017 (3)'!$G$5:$G$289,'Comp2016-2017 (3)'!$A$5:$A$289,$D269,'Comp2016-2017 (3)'!$R$5:$R$289,$V269)*$AB269))</f>
        <v/>
      </c>
      <c r="AK269" s="2">
        <f t="shared" si="29"/>
        <v>0</v>
      </c>
      <c r="AL269" t="str">
        <f t="shared" si="31"/>
        <v/>
      </c>
      <c r="AM269" t="str">
        <f>VLOOKUP(A269,'Table corresp.'!$M$4:$U$63,8,FALSE)</f>
        <v>Production finale</v>
      </c>
      <c r="AN269" t="str">
        <f>VLOOKUP(D269,'Table corresp.'!$M$4:$U$63,9,FALSE)</f>
        <v xml:space="preserve">Mise en œuvre </v>
      </c>
    </row>
    <row r="270" spans="1:40" x14ac:dyDescent="0.25">
      <c r="A270" t="s">
        <v>94</v>
      </c>
      <c r="B270" t="str">
        <f>VLOOKUP(LEFT(A270,3),'Table corresp.'!$A$4:$D$63,3,FALSE)</f>
        <v>Transformation</v>
      </c>
      <c r="C270" t="str">
        <f>VLOOKUP(A270,'Table corresp.'!$M$4:$P$63,4,FALSE)</f>
        <v>Production et transformation de produits bois</v>
      </c>
      <c r="D270" t="s">
        <v>54</v>
      </c>
      <c r="E270" t="str">
        <f>VLOOKUP(LEFT(D270,3),'Table corresp.'!$A$4:$D$63,4,FALSE)</f>
        <v>Consommation finale</v>
      </c>
      <c r="F270" t="str">
        <f t="shared" si="30"/>
        <v>42  - Con</v>
      </c>
      <c r="G270" s="1">
        <v>234108.95</v>
      </c>
      <c r="H270" s="1">
        <v>237960.41899999999</v>
      </c>
      <c r="I270" s="1">
        <v>472069.36900000001</v>
      </c>
      <c r="J270" s="1">
        <v>15.817233290688787</v>
      </c>
      <c r="K270" s="1">
        <v>30.508487916661391</v>
      </c>
      <c r="L270" s="1">
        <v>46.325721207350178</v>
      </c>
      <c r="M270" s="1">
        <v>0</v>
      </c>
      <c r="N270" s="1">
        <v>0</v>
      </c>
      <c r="O270" s="1">
        <v>0</v>
      </c>
      <c r="P270" s="1">
        <v>0</v>
      </c>
      <c r="Q270" s="1">
        <v>0</v>
      </c>
      <c r="R270" s="1">
        <v>0</v>
      </c>
      <c r="S270" s="67"/>
      <c r="T270">
        <f>VLOOKUP(A270,'Groupe de branches'!$Z$27:$AM$86,14,FALSE)</f>
        <v>0</v>
      </c>
      <c r="U270">
        <f>VLOOKUP(D270,'Groupe de branches'!$Z$27:$AM$86,14,FALSE)</f>
        <v>0</v>
      </c>
      <c r="V270">
        <v>2016</v>
      </c>
      <c r="W270" t="str">
        <f>VLOOKUP(D270,'Table corresp.'!$M$4:$S$63,7,FALSE)</f>
        <v>Consommation finale</v>
      </c>
      <c r="X270" s="167">
        <f>IFERROR(G270/SUMIFS('Comp2016-2017 (3)'!$I$5:$I$289,'Comp2016-2017 (3)'!$A$5:$A$289,A270,'Comp2016-2017 (3)'!$R$5:$R$289,V270),0)</f>
        <v>0.78036316666666661</v>
      </c>
      <c r="Y270" s="178">
        <f>IFERROR(IF(RIGHT(F270,3)="Exp",VLOOKUP(F270,#REF!,2,FALSE),VLOOKUP(F270,#REF!,9,FALSE)),1)</f>
        <v>1</v>
      </c>
      <c r="Z270" s="167">
        <f t="shared" si="25"/>
        <v>0.33333333333333331</v>
      </c>
      <c r="AA270" s="189">
        <f t="shared" si="32"/>
        <v>0.26012105555555554</v>
      </c>
      <c r="AB270" s="2">
        <f>IFERROR(SUMIFS('Comp2016-2017 (3)'!$G$5:$G$289,'Comp2016-2017 (3)'!$A$5:$A$289,A270,'Comp2016-2017 (3)'!$R$5:$R$289,V270)*AA270/SUMIFS($AA$4:$AA$1116,$A$4:$A$1116,A270,$V$4:$V$1116,V270),0)</f>
        <v>49111.376022113764</v>
      </c>
      <c r="AC270" s="2" t="str">
        <f>IF($W270=AC$3,$AB270,IF(NOT($W270=0),"",SUMIFS('Val-Vol (2)'!AC$4:AC$1116,'Val-Vol (2)'!$A$4:$A$1116,$D270,'Val-Vol (2)'!$V$4:$V$1116,$V270)/SUMIFS('Comp2016-2017 (3)'!$G$5:$G$289,'Comp2016-2017 (3)'!$A$5:$A$289,$D270,'Comp2016-2017 (3)'!$R$5:$R$289,$V270)*$AB270))</f>
        <v/>
      </c>
      <c r="AD270" s="2" t="str">
        <f>IF($W270=AD$3,$AB270,IF(NOT($W270=0),"",SUMIFS('Val-Vol (2)'!AD$4:AD$1116,'Val-Vol (2)'!$A$4:$A$1116,$D270,'Val-Vol (2)'!$V$4:$V$1116,$V270)/SUMIFS('Comp2016-2017 (3)'!$G$5:$G$289,'Comp2016-2017 (3)'!$A$5:$A$289,$D270,'Comp2016-2017 (3)'!$R$5:$R$289,$V270)*$AB270))</f>
        <v/>
      </c>
      <c r="AE270" s="2" t="str">
        <f>IF($W270=AE$3,$AB270,IF(NOT($W270=0),"",SUMIFS('Val-Vol (2)'!AE$4:AE$1116,'Val-Vol (2)'!$A$4:$A$1116,$D270,'Val-Vol (2)'!$V$4:$V$1116,$V270)/SUMIFS('Comp2016-2017 (3)'!$G$5:$G$289,'Comp2016-2017 (3)'!$A$5:$A$289,$D270,'Comp2016-2017 (3)'!$R$5:$R$289,$V270)*$AB270))</f>
        <v/>
      </c>
      <c r="AF270" s="2" t="str">
        <f>IF($W270=AF$3,$AB270,IF(NOT($W270=0),"",SUMIFS('Val-Vol (2)'!AF$4:AF$1116,'Val-Vol (2)'!$A$4:$A$1116,$D270,'Val-Vol (2)'!$V$4:$V$1116,$V270)/SUMIFS('Comp2016-2017 (3)'!$G$5:$G$289,'Comp2016-2017 (3)'!$A$5:$A$289,$D270,'Comp2016-2017 (3)'!$R$5:$R$289,$V270)*$AB270))</f>
        <v/>
      </c>
      <c r="AG270" s="2" t="str">
        <f>IF($W270=AG$3,$AB270,IF(NOT($W270=0),"",SUMIFS('Val-Vol (2)'!AG$4:AG$1116,'Val-Vol (2)'!$A$4:$A$1116,$D270,'Val-Vol (2)'!$V$4:$V$1116,$V270)/SUMIFS('Comp2016-2017 (3)'!$G$5:$G$289,'Comp2016-2017 (3)'!$A$5:$A$289,$D270,'Comp2016-2017 (3)'!$R$5:$R$289,$V270)*$AB270))</f>
        <v/>
      </c>
      <c r="AH270" s="2" t="str">
        <f>IF($W270=AH$3,$AB270,IF(NOT($W270=0),"",SUMIFS('Val-Vol (2)'!AH$4:AH$1116,'Val-Vol (2)'!$A$4:$A$1116,$D270,'Val-Vol (2)'!$V$4:$V$1116,$V270)/SUMIFS('Comp2016-2017 (3)'!$G$5:$G$289,'Comp2016-2017 (3)'!$A$5:$A$289,$D270,'Comp2016-2017 (3)'!$R$5:$R$289,$V270)*$AB270))</f>
        <v/>
      </c>
      <c r="AI270" s="2" t="str">
        <f>IF($W270=AI$3,$AB270,IF(NOT($W270=0),"",SUMIFS('Val-Vol (2)'!AI$4:AI$1116,'Val-Vol (2)'!$A$4:$A$1116,$D270,'Val-Vol (2)'!$V$4:$V$1116,$V270)/SUMIFS('Comp2016-2017 (3)'!$G$5:$G$289,'Comp2016-2017 (3)'!$A$5:$A$289,$D270,'Comp2016-2017 (3)'!$R$5:$R$289,$V270)*$AB270))</f>
        <v/>
      </c>
      <c r="AJ270" s="2">
        <f>IF($W270=AJ$3,$AB270,IF(NOT($W270=0),"",SUMIFS('Val-Vol (2)'!AJ$4:AJ$1116,'Val-Vol (2)'!$A$4:$A$1116,$D270,'Val-Vol (2)'!$V$4:$V$1116,$V270)/SUMIFS('Comp2016-2017 (3)'!$G$5:$G$289,'Comp2016-2017 (3)'!$A$5:$A$289,$D270,'Comp2016-2017 (3)'!$R$5:$R$289,$V270)*$AB270))</f>
        <v>49111.376022113764</v>
      </c>
      <c r="AK270" s="2">
        <f t="shared" si="29"/>
        <v>0</v>
      </c>
      <c r="AL270" t="str">
        <f t="shared" si="31"/>
        <v/>
      </c>
      <c r="AM270" t="str">
        <f>VLOOKUP(A270,'Table corresp.'!$M$4:$U$63,8,FALSE)</f>
        <v>Production finale</v>
      </c>
      <c r="AN270" t="str">
        <f>VLOOKUP(D270,'Table corresp.'!$M$4:$U$63,9,FALSE)</f>
        <v>Consommation finale française</v>
      </c>
    </row>
    <row r="271" spans="1:40" x14ac:dyDescent="0.25">
      <c r="A271" t="s">
        <v>94</v>
      </c>
      <c r="B271" t="str">
        <f>VLOOKUP(LEFT(A271,3),'Table corresp.'!$A$4:$D$63,3,FALSE)</f>
        <v>Transformation</v>
      </c>
      <c r="C271" t="str">
        <f>VLOOKUP(A271,'Table corresp.'!$M$4:$P$63,4,FALSE)</f>
        <v>Production et transformation de produits bois</v>
      </c>
      <c r="D271" t="s">
        <v>53</v>
      </c>
      <c r="E271" t="str">
        <f>VLOOKUP(LEFT(D271,3),'Table corresp.'!$A$4:$D$63,4,FALSE)</f>
        <v>Exportation</v>
      </c>
      <c r="F271" t="str">
        <f t="shared" si="30"/>
        <v>42  - Exp</v>
      </c>
      <c r="G271" s="1">
        <v>65391.046999999999</v>
      </c>
      <c r="H271" s="1">
        <v>0</v>
      </c>
      <c r="I271" s="1">
        <v>65391.046999999999</v>
      </c>
      <c r="J271" s="1">
        <v>4.4180517042231626</v>
      </c>
      <c r="K271" s="1">
        <v>0</v>
      </c>
      <c r="L271" s="1">
        <v>4.4180517042231626</v>
      </c>
      <c r="M271" s="1">
        <v>0</v>
      </c>
      <c r="N271" s="1">
        <v>0</v>
      </c>
      <c r="O271" s="1">
        <v>0</v>
      </c>
      <c r="P271" s="1">
        <v>0</v>
      </c>
      <c r="Q271" s="1">
        <v>0</v>
      </c>
      <c r="R271" s="1">
        <v>0</v>
      </c>
      <c r="S271" s="67"/>
      <c r="T271">
        <f>VLOOKUP(A271,'Groupe de branches'!$Z$27:$AM$86,14,FALSE)</f>
        <v>0</v>
      </c>
      <c r="U271">
        <f>VLOOKUP(D271,'Groupe de branches'!$Z$27:$AM$86,14,FALSE)</f>
        <v>0</v>
      </c>
      <c r="V271">
        <v>2016</v>
      </c>
      <c r="W271" t="str">
        <f>VLOOKUP(D271,'Table corresp.'!$M$4:$S$63,7,FALSE)</f>
        <v>Exportation</v>
      </c>
      <c r="X271" s="167">
        <f>IFERROR(G271/SUMIFS('Comp2016-2017 (3)'!$I$5:$I$289,'Comp2016-2017 (3)'!$A$5:$A$289,A271,'Comp2016-2017 (3)'!$R$5:$R$289,V271),0)</f>
        <v>0.21797015666666661</v>
      </c>
      <c r="Y271" s="178">
        <f>IFERROR(IF(RIGHT(F271,3)="Exp",VLOOKUP(F271,#REF!,2,FALSE),VLOOKUP(F271,#REF!,9,FALSE)),1)</f>
        <v>1</v>
      </c>
      <c r="Z271" s="167">
        <f t="shared" si="25"/>
        <v>0.33333333333333331</v>
      </c>
      <c r="AA271" s="189">
        <f t="shared" si="32"/>
        <v>7.265671888888886E-2</v>
      </c>
      <c r="AB271" s="2">
        <f>IFERROR(SUMIFS('Comp2016-2017 (3)'!$G$5:$G$289,'Comp2016-2017 (3)'!$A$5:$A$289,A271,'Comp2016-2017 (3)'!$R$5:$R$289,V271)*AA271/SUMIFS($AA$4:$AA$1116,$A$4:$A$1116,A271,$V$4:$V$1116,V271),0)</f>
        <v>13717.733976837337</v>
      </c>
      <c r="AC271" s="2">
        <f>IF($W271=AC$3,$AB271,IF(NOT($W271=0),"",SUMIFS('Val-Vol (2)'!AC$4:AC$1116,'Val-Vol (2)'!$A$4:$A$1116,$D271,'Val-Vol (2)'!$V$4:$V$1116,$V271)/SUMIFS('Comp2016-2017 (3)'!$G$5:$G$289,'Comp2016-2017 (3)'!$A$5:$A$289,$D271,'Comp2016-2017 (3)'!$R$5:$R$289,$V271)*$AB271))</f>
        <v>13717.733976837337</v>
      </c>
      <c r="AD271" s="2" t="str">
        <f>IF($W271=AD$3,$AB271,IF(NOT($W271=0),"",SUMIFS('Val-Vol (2)'!AD$4:AD$1116,'Val-Vol (2)'!$A$4:$A$1116,$D271,'Val-Vol (2)'!$V$4:$V$1116,$V271)/SUMIFS('Comp2016-2017 (3)'!$G$5:$G$289,'Comp2016-2017 (3)'!$A$5:$A$289,$D271,'Comp2016-2017 (3)'!$R$5:$R$289,$V271)*$AB271))</f>
        <v/>
      </c>
      <c r="AE271" s="2" t="str">
        <f>IF($W271=AE$3,$AB271,IF(NOT($W271=0),"",SUMIFS('Val-Vol (2)'!AE$4:AE$1116,'Val-Vol (2)'!$A$4:$A$1116,$D271,'Val-Vol (2)'!$V$4:$V$1116,$V271)/SUMIFS('Comp2016-2017 (3)'!$G$5:$G$289,'Comp2016-2017 (3)'!$A$5:$A$289,$D271,'Comp2016-2017 (3)'!$R$5:$R$289,$V271)*$AB271))</f>
        <v/>
      </c>
      <c r="AF271" s="2" t="str">
        <f>IF($W271=AF$3,$AB271,IF(NOT($W271=0),"",SUMIFS('Val-Vol (2)'!AF$4:AF$1116,'Val-Vol (2)'!$A$4:$A$1116,$D271,'Val-Vol (2)'!$V$4:$V$1116,$V271)/SUMIFS('Comp2016-2017 (3)'!$G$5:$G$289,'Comp2016-2017 (3)'!$A$5:$A$289,$D271,'Comp2016-2017 (3)'!$R$5:$R$289,$V271)*$AB271))</f>
        <v/>
      </c>
      <c r="AG271" s="2" t="str">
        <f>IF($W271=AG$3,$AB271,IF(NOT($W271=0),"",SUMIFS('Val-Vol (2)'!AG$4:AG$1116,'Val-Vol (2)'!$A$4:$A$1116,$D271,'Val-Vol (2)'!$V$4:$V$1116,$V271)/SUMIFS('Comp2016-2017 (3)'!$G$5:$G$289,'Comp2016-2017 (3)'!$A$5:$A$289,$D271,'Comp2016-2017 (3)'!$R$5:$R$289,$V271)*$AB271))</f>
        <v/>
      </c>
      <c r="AH271" s="2" t="str">
        <f>IF($W271=AH$3,$AB271,IF(NOT($W271=0),"",SUMIFS('Val-Vol (2)'!AH$4:AH$1116,'Val-Vol (2)'!$A$4:$A$1116,$D271,'Val-Vol (2)'!$V$4:$V$1116,$V271)/SUMIFS('Comp2016-2017 (3)'!$G$5:$G$289,'Comp2016-2017 (3)'!$A$5:$A$289,$D271,'Comp2016-2017 (3)'!$R$5:$R$289,$V271)*$AB271))</f>
        <v/>
      </c>
      <c r="AI271" s="2" t="str">
        <f>IF($W271=AI$3,$AB271,IF(NOT($W271=0),"",SUMIFS('Val-Vol (2)'!AI$4:AI$1116,'Val-Vol (2)'!$A$4:$A$1116,$D271,'Val-Vol (2)'!$V$4:$V$1116,$V271)/SUMIFS('Comp2016-2017 (3)'!$G$5:$G$289,'Comp2016-2017 (3)'!$A$5:$A$289,$D271,'Comp2016-2017 (3)'!$R$5:$R$289,$V271)*$AB271))</f>
        <v/>
      </c>
      <c r="AJ271" s="2" t="str">
        <f>IF($W271=AJ$3,$AB271,IF(NOT($W271=0),"",SUMIFS('Val-Vol (2)'!AJ$4:AJ$1116,'Val-Vol (2)'!$A$4:$A$1116,$D271,'Val-Vol (2)'!$V$4:$V$1116,$V271)/SUMIFS('Comp2016-2017 (3)'!$G$5:$G$289,'Comp2016-2017 (3)'!$A$5:$A$289,$D271,'Comp2016-2017 (3)'!$R$5:$R$289,$V271)*$AB271))</f>
        <v/>
      </c>
      <c r="AK271" s="2">
        <f t="shared" si="29"/>
        <v>0</v>
      </c>
      <c r="AL271" t="str">
        <f t="shared" si="31"/>
        <v/>
      </c>
      <c r="AM271" t="str">
        <f>VLOOKUP(A271,'Table corresp.'!$M$4:$U$63,8,FALSE)</f>
        <v>Production finale</v>
      </c>
      <c r="AN271" t="str">
        <f>VLOOKUP(D271,'Table corresp.'!$M$4:$U$63,9,FALSE)</f>
        <v>Exportation</v>
      </c>
    </row>
    <row r="272" spans="1:40" x14ac:dyDescent="0.25">
      <c r="A272" t="s">
        <v>95</v>
      </c>
      <c r="B272" t="str">
        <f>VLOOKUP(LEFT(A272,3),'Table corresp.'!$A$4:$D$63,3,FALSE)</f>
        <v>Transformation</v>
      </c>
      <c r="C272" t="str">
        <f>VLOOKUP(A272,'Table corresp.'!$M$4:$P$63,4,FALSE)</f>
        <v>Production et transformation de produits bois</v>
      </c>
      <c r="D272" t="s">
        <v>96</v>
      </c>
      <c r="E272" t="str">
        <f>VLOOKUP(LEFT(D272,3),'Table corresp.'!$A$4:$D$63,4,FALSE)</f>
        <v>Transformation</v>
      </c>
      <c r="F272" t="str">
        <f t="shared" si="30"/>
        <v xml:space="preserve">43  - 44 </v>
      </c>
      <c r="G272" s="1">
        <v>348003.59399999992</v>
      </c>
      <c r="H272" s="1">
        <v>1037719.7130000001</v>
      </c>
      <c r="I272" s="1">
        <v>1385723.307</v>
      </c>
      <c r="J272" s="1">
        <v>0</v>
      </c>
      <c r="K272" s="1">
        <v>0</v>
      </c>
      <c r="L272" s="1">
        <v>0</v>
      </c>
      <c r="M272" s="1">
        <v>3411.6573308786465</v>
      </c>
      <c r="N272" s="1">
        <v>6296.0530013160142</v>
      </c>
      <c r="O272" s="1">
        <v>9707.7103321946597</v>
      </c>
      <c r="P272" s="1">
        <v>0</v>
      </c>
      <c r="Q272" s="1">
        <v>0</v>
      </c>
      <c r="R272" s="1">
        <v>0</v>
      </c>
      <c r="S272" s="67"/>
      <c r="T272">
        <f>VLOOKUP(A272,'Groupe de branches'!$Z$27:$AM$86,14,FALSE)</f>
        <v>0</v>
      </c>
      <c r="U272">
        <f>VLOOKUP(D272,'Groupe de branches'!$Z$27:$AM$86,14,FALSE)</f>
        <v>0</v>
      </c>
      <c r="V272">
        <v>2016</v>
      </c>
      <c r="W272" t="str">
        <f>VLOOKUP(D272,'Table corresp.'!$M$4:$S$63,7,FALSE)</f>
        <v>Pate &amp; papier &amp; carton</v>
      </c>
      <c r="X272" s="167">
        <f>IFERROR(G272/SUMIFS('Comp2016-2017 (3)'!$I$5:$I$289,'Comp2016-2017 (3)'!$A$5:$A$289,A272,'Comp2016-2017 (3)'!$R$5:$R$289,V272),0)</f>
        <v>0.47934379338842964</v>
      </c>
      <c r="Y272" s="178">
        <f>IFERROR(IF(RIGHT(F272,3)="Exp",VLOOKUP(F272,#REF!,2,FALSE),VLOOKUP(F272,#REF!,9,FALSE)),1)</f>
        <v>1</v>
      </c>
      <c r="Z272" s="167">
        <f t="shared" ref="Z272:Z303" si="33">Y272/SUMIFS($Y$4:$Y$1116,$V$4:$V$1116,V272,$A$4:$A$1116,A272)</f>
        <v>0.5</v>
      </c>
      <c r="AA272" s="189">
        <f t="shared" si="32"/>
        <v>0.23967189669421482</v>
      </c>
      <c r="AB272" s="2">
        <f>IFERROR(SUMIFS('Comp2016-2017 (3)'!$G$5:$G$289,'Comp2016-2017 (3)'!$A$5:$A$289,A272,'Comp2016-2017 (3)'!$R$5:$R$289,V272)*AA272/SUMIFS($AA$4:$AA$1116,$A$4:$A$1116,A272,$V$4:$V$1116,V272),0)</f>
        <v>59160.61097999999</v>
      </c>
      <c r="AC272" s="2" t="str">
        <f>IF($W272=AC$3,$AB272,IF(NOT($W272=0),"",SUMIFS('Val-Vol (2)'!AC$4:AC$1116,'Val-Vol (2)'!$A$4:$A$1116,$D272,'Val-Vol (2)'!$V$4:$V$1116,$V272)/SUMIFS('Comp2016-2017 (3)'!$G$5:$G$289,'Comp2016-2017 (3)'!$A$5:$A$289,$D272,'Comp2016-2017 (3)'!$R$5:$R$289,$V272)*$AB272))</f>
        <v/>
      </c>
      <c r="AD272" s="2" t="str">
        <f>IF($W272=AD$3,$AB272,IF(NOT($W272=0),"",SUMIFS('Val-Vol (2)'!AD$4:AD$1116,'Val-Vol (2)'!$A$4:$A$1116,$D272,'Val-Vol (2)'!$V$4:$V$1116,$V272)/SUMIFS('Comp2016-2017 (3)'!$G$5:$G$289,'Comp2016-2017 (3)'!$A$5:$A$289,$D272,'Comp2016-2017 (3)'!$R$5:$R$289,$V272)*$AB272))</f>
        <v/>
      </c>
      <c r="AE272" s="2" t="str">
        <f>IF($W272=AE$3,$AB272,IF(NOT($W272=0),"",SUMIFS('Val-Vol (2)'!AE$4:AE$1116,'Val-Vol (2)'!$A$4:$A$1116,$D272,'Val-Vol (2)'!$V$4:$V$1116,$V272)/SUMIFS('Comp2016-2017 (3)'!$G$5:$G$289,'Comp2016-2017 (3)'!$A$5:$A$289,$D272,'Comp2016-2017 (3)'!$R$5:$R$289,$V272)*$AB272))</f>
        <v/>
      </c>
      <c r="AF272" s="2">
        <f>IF($W272=AF$3,$AB272,IF(NOT($W272=0),"",SUMIFS('Val-Vol (2)'!AF$4:AF$1116,'Val-Vol (2)'!$A$4:$A$1116,$D272,'Val-Vol (2)'!$V$4:$V$1116,$V272)/SUMIFS('Comp2016-2017 (3)'!$G$5:$G$289,'Comp2016-2017 (3)'!$A$5:$A$289,$D272,'Comp2016-2017 (3)'!$R$5:$R$289,$V272)*$AB272))</f>
        <v>59160.61097999999</v>
      </c>
      <c r="AG272" s="2" t="str">
        <f>IF($W272=AG$3,$AB272,IF(NOT($W272=0),"",SUMIFS('Val-Vol (2)'!AG$4:AG$1116,'Val-Vol (2)'!$A$4:$A$1116,$D272,'Val-Vol (2)'!$V$4:$V$1116,$V272)/SUMIFS('Comp2016-2017 (3)'!$G$5:$G$289,'Comp2016-2017 (3)'!$A$5:$A$289,$D272,'Comp2016-2017 (3)'!$R$5:$R$289,$V272)*$AB272))</f>
        <v/>
      </c>
      <c r="AH272" s="2" t="str">
        <f>IF($W272=AH$3,$AB272,IF(NOT($W272=0),"",SUMIFS('Val-Vol (2)'!AH$4:AH$1116,'Val-Vol (2)'!$A$4:$A$1116,$D272,'Val-Vol (2)'!$V$4:$V$1116,$V272)/SUMIFS('Comp2016-2017 (3)'!$G$5:$G$289,'Comp2016-2017 (3)'!$A$5:$A$289,$D272,'Comp2016-2017 (3)'!$R$5:$R$289,$V272)*$AB272))</f>
        <v/>
      </c>
      <c r="AI272" s="2" t="str">
        <f>IF($W272=AI$3,$AB272,IF(NOT($W272=0),"",SUMIFS('Val-Vol (2)'!AI$4:AI$1116,'Val-Vol (2)'!$A$4:$A$1116,$D272,'Val-Vol (2)'!$V$4:$V$1116,$V272)/SUMIFS('Comp2016-2017 (3)'!$G$5:$G$289,'Comp2016-2017 (3)'!$A$5:$A$289,$D272,'Comp2016-2017 (3)'!$R$5:$R$289,$V272)*$AB272))</f>
        <v/>
      </c>
      <c r="AJ272" s="2" t="str">
        <f>IF($W272=AJ$3,$AB272,IF(NOT($W272=0),"",SUMIFS('Val-Vol (2)'!AJ$4:AJ$1116,'Val-Vol (2)'!$A$4:$A$1116,$D272,'Val-Vol (2)'!$V$4:$V$1116,$V272)/SUMIFS('Comp2016-2017 (3)'!$G$5:$G$289,'Comp2016-2017 (3)'!$A$5:$A$289,$D272,'Comp2016-2017 (3)'!$R$5:$R$289,$V272)*$AB272))</f>
        <v/>
      </c>
      <c r="AK272" s="2">
        <f t="shared" si="29"/>
        <v>0</v>
      </c>
      <c r="AL272" t="str">
        <f t="shared" si="31"/>
        <v/>
      </c>
      <c r="AM272" t="str">
        <f>VLOOKUP(A272,'Table corresp.'!$M$4:$U$63,8,FALSE)</f>
        <v>Production intermédiaire</v>
      </c>
      <c r="AN272" t="str">
        <f>VLOOKUP(D272,'Table corresp.'!$M$4:$U$63,9,FALSE)</f>
        <v>Production intermédiaire</v>
      </c>
    </row>
    <row r="273" spans="1:40" x14ac:dyDescent="0.25">
      <c r="A273" t="s">
        <v>95</v>
      </c>
      <c r="B273" t="str">
        <f>VLOOKUP(LEFT(A273,3),'Table corresp.'!$A$4:$D$63,3,FALSE)</f>
        <v>Transformation</v>
      </c>
      <c r="C273" t="str">
        <f>VLOOKUP(A273,'Table corresp.'!$M$4:$P$63,4,FALSE)</f>
        <v>Production et transformation de produits bois</v>
      </c>
      <c r="D273" t="s">
        <v>53</v>
      </c>
      <c r="E273" t="str">
        <f>VLOOKUP(LEFT(D273,3),'Table corresp.'!$A$4:$D$63,4,FALSE)</f>
        <v>Exportation</v>
      </c>
      <c r="F273" t="str">
        <f t="shared" si="30"/>
        <v>43  - Exp</v>
      </c>
      <c r="G273" s="1">
        <v>377996.40600000002</v>
      </c>
      <c r="H273" s="1">
        <v>0</v>
      </c>
      <c r="I273" s="1">
        <v>377996.40600000002</v>
      </c>
      <c r="J273" s="1">
        <v>0</v>
      </c>
      <c r="K273" s="1">
        <v>0</v>
      </c>
      <c r="L273" s="1">
        <v>0</v>
      </c>
      <c r="M273" s="1">
        <v>2143.0084595642102</v>
      </c>
      <c r="N273" s="1">
        <v>0</v>
      </c>
      <c r="O273" s="1">
        <v>2143.0084595642102</v>
      </c>
      <c r="P273" s="1">
        <v>0</v>
      </c>
      <c r="Q273" s="1">
        <v>0</v>
      </c>
      <c r="R273" s="1">
        <v>0</v>
      </c>
      <c r="S273" s="67"/>
      <c r="T273">
        <f>VLOOKUP(A273,'Groupe de branches'!$Z$27:$AM$86,14,FALSE)</f>
        <v>0</v>
      </c>
      <c r="U273">
        <f>VLOOKUP(D273,'Groupe de branches'!$Z$27:$AM$86,14,FALSE)</f>
        <v>0</v>
      </c>
      <c r="V273">
        <v>2016</v>
      </c>
      <c r="W273" t="str">
        <f>VLOOKUP(D273,'Table corresp.'!$M$4:$S$63,7,FALSE)</f>
        <v>Exportation</v>
      </c>
      <c r="X273" s="167">
        <f>IFERROR(G273/SUMIFS('Comp2016-2017 (3)'!$I$5:$I$289,'Comp2016-2017 (3)'!$A$5:$A$289,A273,'Comp2016-2017 (3)'!$R$5:$R$289,V273),0)</f>
        <v>0.5206562066115703</v>
      </c>
      <c r="Y273" s="178">
        <f>IFERROR(IF(RIGHT(F273,3)="Exp",VLOOKUP(F273,#REF!,2,FALSE),VLOOKUP(F273,#REF!,9,FALSE)),1)</f>
        <v>1</v>
      </c>
      <c r="Z273" s="167">
        <f t="shared" si="33"/>
        <v>0.5</v>
      </c>
      <c r="AA273" s="189">
        <f t="shared" si="32"/>
        <v>0.26032810330578515</v>
      </c>
      <c r="AB273" s="2">
        <f>IFERROR(SUMIFS('Comp2016-2017 (3)'!$G$5:$G$289,'Comp2016-2017 (3)'!$A$5:$A$289,A273,'Comp2016-2017 (3)'!$R$5:$R$289,V273)*AA273/SUMIFS($AA$4:$AA$1116,$A$4:$A$1116,A273,$V$4:$V$1116,V273),0)</f>
        <v>64259.389020000017</v>
      </c>
      <c r="AC273" s="2">
        <f>IF($W273=AC$3,$AB273,IF(NOT($W273=0),"",SUMIFS('Val-Vol (2)'!AC$4:AC$1116,'Val-Vol (2)'!$A$4:$A$1116,$D273,'Val-Vol (2)'!$V$4:$V$1116,$V273)/SUMIFS('Comp2016-2017 (3)'!$G$5:$G$289,'Comp2016-2017 (3)'!$A$5:$A$289,$D273,'Comp2016-2017 (3)'!$R$5:$R$289,$V273)*$AB273))</f>
        <v>64259.389020000017</v>
      </c>
      <c r="AD273" s="2" t="str">
        <f>IF($W273=AD$3,$AB273,IF(NOT($W273=0),"",SUMIFS('Val-Vol (2)'!AD$4:AD$1116,'Val-Vol (2)'!$A$4:$A$1116,$D273,'Val-Vol (2)'!$V$4:$V$1116,$V273)/SUMIFS('Comp2016-2017 (3)'!$G$5:$G$289,'Comp2016-2017 (3)'!$A$5:$A$289,$D273,'Comp2016-2017 (3)'!$R$5:$R$289,$V273)*$AB273))</f>
        <v/>
      </c>
      <c r="AE273" s="2" t="str">
        <f>IF($W273=AE$3,$AB273,IF(NOT($W273=0),"",SUMIFS('Val-Vol (2)'!AE$4:AE$1116,'Val-Vol (2)'!$A$4:$A$1116,$D273,'Val-Vol (2)'!$V$4:$V$1116,$V273)/SUMIFS('Comp2016-2017 (3)'!$G$5:$G$289,'Comp2016-2017 (3)'!$A$5:$A$289,$D273,'Comp2016-2017 (3)'!$R$5:$R$289,$V273)*$AB273))</f>
        <v/>
      </c>
      <c r="AF273" s="2" t="str">
        <f>IF($W273=AF$3,$AB273,IF(NOT($W273=0),"",SUMIFS('Val-Vol (2)'!AF$4:AF$1116,'Val-Vol (2)'!$A$4:$A$1116,$D273,'Val-Vol (2)'!$V$4:$V$1116,$V273)/SUMIFS('Comp2016-2017 (3)'!$G$5:$G$289,'Comp2016-2017 (3)'!$A$5:$A$289,$D273,'Comp2016-2017 (3)'!$R$5:$R$289,$V273)*$AB273))</f>
        <v/>
      </c>
      <c r="AG273" s="2" t="str">
        <f>IF($W273=AG$3,$AB273,IF(NOT($W273=0),"",SUMIFS('Val-Vol (2)'!AG$4:AG$1116,'Val-Vol (2)'!$A$4:$A$1116,$D273,'Val-Vol (2)'!$V$4:$V$1116,$V273)/SUMIFS('Comp2016-2017 (3)'!$G$5:$G$289,'Comp2016-2017 (3)'!$A$5:$A$289,$D273,'Comp2016-2017 (3)'!$R$5:$R$289,$V273)*$AB273))</f>
        <v/>
      </c>
      <c r="AH273" s="2" t="str">
        <f>IF($W273=AH$3,$AB273,IF(NOT($W273=0),"",SUMIFS('Val-Vol (2)'!AH$4:AH$1116,'Val-Vol (2)'!$A$4:$A$1116,$D273,'Val-Vol (2)'!$V$4:$V$1116,$V273)/SUMIFS('Comp2016-2017 (3)'!$G$5:$G$289,'Comp2016-2017 (3)'!$A$5:$A$289,$D273,'Comp2016-2017 (3)'!$R$5:$R$289,$V273)*$AB273))</f>
        <v/>
      </c>
      <c r="AI273" s="2" t="str">
        <f>IF($W273=AI$3,$AB273,IF(NOT($W273=0),"",SUMIFS('Val-Vol (2)'!AI$4:AI$1116,'Val-Vol (2)'!$A$4:$A$1116,$D273,'Val-Vol (2)'!$V$4:$V$1116,$V273)/SUMIFS('Comp2016-2017 (3)'!$G$5:$G$289,'Comp2016-2017 (3)'!$A$5:$A$289,$D273,'Comp2016-2017 (3)'!$R$5:$R$289,$V273)*$AB273))</f>
        <v/>
      </c>
      <c r="AJ273" s="2" t="str">
        <f>IF($W273=AJ$3,$AB273,IF(NOT($W273=0),"",SUMIFS('Val-Vol (2)'!AJ$4:AJ$1116,'Val-Vol (2)'!$A$4:$A$1116,$D273,'Val-Vol (2)'!$V$4:$V$1116,$V273)/SUMIFS('Comp2016-2017 (3)'!$G$5:$G$289,'Comp2016-2017 (3)'!$A$5:$A$289,$D273,'Comp2016-2017 (3)'!$R$5:$R$289,$V273)*$AB273))</f>
        <v/>
      </c>
      <c r="AK273" s="2">
        <f t="shared" si="29"/>
        <v>0</v>
      </c>
      <c r="AL273" t="str">
        <f t="shared" si="31"/>
        <v/>
      </c>
      <c r="AM273" t="str">
        <f>VLOOKUP(A273,'Table corresp.'!$M$4:$U$63,8,FALSE)</f>
        <v>Production intermédiaire</v>
      </c>
      <c r="AN273" t="str">
        <f>VLOOKUP(D273,'Table corresp.'!$M$4:$U$63,9,FALSE)</f>
        <v>Exportation</v>
      </c>
    </row>
    <row r="274" spans="1:40" x14ac:dyDescent="0.25">
      <c r="A274" t="s">
        <v>96</v>
      </c>
      <c r="B274" t="str">
        <f>VLOOKUP(LEFT(A274,3),'Table corresp.'!$A$4:$D$63,3,FALSE)</f>
        <v>Transformation</v>
      </c>
      <c r="C274" t="str">
        <f>VLOOKUP(A274,'Table corresp.'!$M$4:$P$63,4,FALSE)</f>
        <v>Production et transformation de produits bois</v>
      </c>
      <c r="D274" t="s">
        <v>97</v>
      </c>
      <c r="E274" t="str">
        <f>VLOOKUP(LEFT(D274,3),'Table corresp.'!$A$4:$D$63,4,FALSE)</f>
        <v>Transformation</v>
      </c>
      <c r="F274" t="str">
        <f t="shared" si="30"/>
        <v xml:space="preserve">44  - 45 </v>
      </c>
      <c r="G274" s="1">
        <v>449660.94171599904</v>
      </c>
      <c r="H274" s="1">
        <v>2010678.7705000006</v>
      </c>
      <c r="I274" s="1">
        <v>2509171.6622159998</v>
      </c>
      <c r="J274" s="1">
        <v>0</v>
      </c>
      <c r="K274" s="1">
        <v>0</v>
      </c>
      <c r="L274" s="1">
        <v>0</v>
      </c>
      <c r="M274" s="1">
        <v>969.11356349358709</v>
      </c>
      <c r="N274" s="1">
        <v>3097.2016016951225</v>
      </c>
      <c r="O274" s="1">
        <v>4066.3151651887097</v>
      </c>
      <c r="P274" s="1">
        <v>0</v>
      </c>
      <c r="Q274" s="1">
        <v>0</v>
      </c>
      <c r="R274" s="1">
        <v>0</v>
      </c>
      <c r="S274" s="67"/>
      <c r="T274">
        <f>VLOOKUP(A274,'Groupe de branches'!$Z$27:$AM$86,14,FALSE)</f>
        <v>0</v>
      </c>
      <c r="U274">
        <f>VLOOKUP(D274,'Groupe de branches'!$Z$27:$AM$86,14,FALSE)</f>
        <v>0</v>
      </c>
      <c r="V274">
        <v>2016</v>
      </c>
      <c r="W274" t="str">
        <f>VLOOKUP(D274,'Table corresp.'!$M$4:$S$63,7,FALSE)</f>
        <v>Pate &amp; papier &amp; carton</v>
      </c>
      <c r="X274" s="167">
        <f>IFERROR(G274/SUMIFS('Comp2016-2017 (3)'!$I$5:$I$289,'Comp2016-2017 (3)'!$A$5:$A$289,A274,'Comp2016-2017 (3)'!$R$5:$R$289,V274),0)</f>
        <v>8.4634094055335785E-2</v>
      </c>
      <c r="Y274" s="178">
        <f>IFERROR(IF(RIGHT(F274,3)="Exp",VLOOKUP(F274,#REF!,2,FALSE),VLOOKUP(F274,#REF!,9,FALSE)),1)</f>
        <v>1</v>
      </c>
      <c r="Z274" s="167">
        <f t="shared" si="33"/>
        <v>0.33333333333333331</v>
      </c>
      <c r="AA274" s="189">
        <f t="shared" si="32"/>
        <v>2.8211364685111928E-2</v>
      </c>
      <c r="AB274" s="2">
        <f>IFERROR(SUMIFS('Comp2016-2017 (3)'!$G$5:$G$289,'Comp2016-2017 (3)'!$A$5:$A$289,A274,'Comp2016-2017 (3)'!$R$5:$R$289,V274)*AA274/SUMIFS($AA$4:$AA$1116,$A$4:$A$1116,A274,$V$4:$V$1116,V274),0)</f>
        <v>107918.62352936613</v>
      </c>
      <c r="AC274" s="2" t="str">
        <f>IF($W274=AC$3,$AB274,IF(NOT($W274=0),"",SUMIFS('Val-Vol (2)'!AC$4:AC$1116,'Val-Vol (2)'!$A$4:$A$1116,$D274,'Val-Vol (2)'!$V$4:$V$1116,$V274)/SUMIFS('Comp2016-2017 (3)'!$G$5:$G$289,'Comp2016-2017 (3)'!$A$5:$A$289,$D274,'Comp2016-2017 (3)'!$R$5:$R$289,$V274)*$AB274))</f>
        <v/>
      </c>
      <c r="AD274" s="2" t="str">
        <f>IF($W274=AD$3,$AB274,IF(NOT($W274=0),"",SUMIFS('Val-Vol (2)'!AD$4:AD$1116,'Val-Vol (2)'!$A$4:$A$1116,$D274,'Val-Vol (2)'!$V$4:$V$1116,$V274)/SUMIFS('Comp2016-2017 (3)'!$G$5:$G$289,'Comp2016-2017 (3)'!$A$5:$A$289,$D274,'Comp2016-2017 (3)'!$R$5:$R$289,$V274)*$AB274))</f>
        <v/>
      </c>
      <c r="AE274" s="2" t="str">
        <f>IF($W274=AE$3,$AB274,IF(NOT($W274=0),"",SUMIFS('Val-Vol (2)'!AE$4:AE$1116,'Val-Vol (2)'!$A$4:$A$1116,$D274,'Val-Vol (2)'!$V$4:$V$1116,$V274)/SUMIFS('Comp2016-2017 (3)'!$G$5:$G$289,'Comp2016-2017 (3)'!$A$5:$A$289,$D274,'Comp2016-2017 (3)'!$R$5:$R$289,$V274)*$AB274))</f>
        <v/>
      </c>
      <c r="AF274" s="2">
        <f>IF($W274=AF$3,$AB274,IF(NOT($W274=0),"",SUMIFS('Val-Vol (2)'!AF$4:AF$1116,'Val-Vol (2)'!$A$4:$A$1116,$D274,'Val-Vol (2)'!$V$4:$V$1116,$V274)/SUMIFS('Comp2016-2017 (3)'!$G$5:$G$289,'Comp2016-2017 (3)'!$A$5:$A$289,$D274,'Comp2016-2017 (3)'!$R$5:$R$289,$V274)*$AB274))</f>
        <v>107918.62352936613</v>
      </c>
      <c r="AG274" s="2" t="str">
        <f>IF($W274=AG$3,$AB274,IF(NOT($W274=0),"",SUMIFS('Val-Vol (2)'!AG$4:AG$1116,'Val-Vol (2)'!$A$4:$A$1116,$D274,'Val-Vol (2)'!$V$4:$V$1116,$V274)/SUMIFS('Comp2016-2017 (3)'!$G$5:$G$289,'Comp2016-2017 (3)'!$A$5:$A$289,$D274,'Comp2016-2017 (3)'!$R$5:$R$289,$V274)*$AB274))</f>
        <v/>
      </c>
      <c r="AH274" s="2" t="str">
        <f>IF($W274=AH$3,$AB274,IF(NOT($W274=0),"",SUMIFS('Val-Vol (2)'!AH$4:AH$1116,'Val-Vol (2)'!$A$4:$A$1116,$D274,'Val-Vol (2)'!$V$4:$V$1116,$V274)/SUMIFS('Comp2016-2017 (3)'!$G$5:$G$289,'Comp2016-2017 (3)'!$A$5:$A$289,$D274,'Comp2016-2017 (3)'!$R$5:$R$289,$V274)*$AB274))</f>
        <v/>
      </c>
      <c r="AI274" s="2" t="str">
        <f>IF($W274=AI$3,$AB274,IF(NOT($W274=0),"",SUMIFS('Val-Vol (2)'!AI$4:AI$1116,'Val-Vol (2)'!$A$4:$A$1116,$D274,'Val-Vol (2)'!$V$4:$V$1116,$V274)/SUMIFS('Comp2016-2017 (3)'!$G$5:$G$289,'Comp2016-2017 (3)'!$A$5:$A$289,$D274,'Comp2016-2017 (3)'!$R$5:$R$289,$V274)*$AB274))</f>
        <v/>
      </c>
      <c r="AJ274" s="2" t="str">
        <f>IF($W274=AJ$3,$AB274,IF(NOT($W274=0),"",SUMIFS('Val-Vol (2)'!AJ$4:AJ$1116,'Val-Vol (2)'!$A$4:$A$1116,$D274,'Val-Vol (2)'!$V$4:$V$1116,$V274)/SUMIFS('Comp2016-2017 (3)'!$G$5:$G$289,'Comp2016-2017 (3)'!$A$5:$A$289,$D274,'Comp2016-2017 (3)'!$R$5:$R$289,$V274)*$AB274))</f>
        <v/>
      </c>
      <c r="AK274" s="2">
        <f t="shared" si="29"/>
        <v>0</v>
      </c>
      <c r="AL274" t="str">
        <f t="shared" si="31"/>
        <v/>
      </c>
      <c r="AM274" t="str">
        <f>VLOOKUP(A274,'Table corresp.'!$M$4:$U$63,8,FALSE)</f>
        <v>Production intermédiaire</v>
      </c>
      <c r="AN274" t="str">
        <f>VLOOKUP(D274,'Table corresp.'!$M$4:$U$63,9,FALSE)</f>
        <v>Production finale</v>
      </c>
    </row>
    <row r="275" spans="1:40" x14ac:dyDescent="0.25">
      <c r="A275" t="s">
        <v>96</v>
      </c>
      <c r="B275" t="str">
        <f>VLOOKUP(LEFT(A275,3),'Table corresp.'!$A$4:$D$63,3,FALSE)</f>
        <v>Transformation</v>
      </c>
      <c r="C275" t="str">
        <f>VLOOKUP(A275,'Table corresp.'!$M$4:$P$63,4,FALSE)</f>
        <v>Production et transformation de produits bois</v>
      </c>
      <c r="D275" t="s">
        <v>54</v>
      </c>
      <c r="E275" t="str">
        <f>VLOOKUP(LEFT(D275,3),'Table corresp.'!$A$4:$D$63,4,FALSE)</f>
        <v>Consommation finale</v>
      </c>
      <c r="F275" t="str">
        <f t="shared" si="30"/>
        <v>44  - Con</v>
      </c>
      <c r="G275" s="1">
        <v>1248446.1805</v>
      </c>
      <c r="H275" s="1">
        <v>1961846.8194999993</v>
      </c>
      <c r="I275" s="1">
        <v>3210293</v>
      </c>
      <c r="J275" s="1">
        <v>0</v>
      </c>
      <c r="K275" s="1">
        <v>0</v>
      </c>
      <c r="L275" s="1">
        <v>0</v>
      </c>
      <c r="M275" s="1">
        <v>2690.6631521010868</v>
      </c>
      <c r="N275" s="1">
        <v>2950.3294404608455</v>
      </c>
      <c r="O275" s="1">
        <v>5640.9925925619318</v>
      </c>
      <c r="P275" s="1">
        <v>0</v>
      </c>
      <c r="Q275" s="1">
        <v>0</v>
      </c>
      <c r="R275" s="1">
        <v>0</v>
      </c>
      <c r="S275" s="67"/>
      <c r="T275">
        <f>VLOOKUP(A275,'Groupe de branches'!$Z$27:$AM$86,14,FALSE)</f>
        <v>0</v>
      </c>
      <c r="U275">
        <f>VLOOKUP(D275,'Groupe de branches'!$Z$27:$AM$86,14,FALSE)</f>
        <v>0</v>
      </c>
      <c r="V275">
        <v>2016</v>
      </c>
      <c r="W275" t="str">
        <f>VLOOKUP(D275,'Table corresp.'!$M$4:$S$63,7,FALSE)</f>
        <v>Consommation finale</v>
      </c>
      <c r="X275" s="167">
        <f>IFERROR(G275/SUMIFS('Comp2016-2017 (3)'!$I$5:$I$289,'Comp2016-2017 (3)'!$A$5:$A$289,A275,'Comp2016-2017 (3)'!$R$5:$R$289,V275),0)</f>
        <v>0.23497951825710522</v>
      </c>
      <c r="Y275" s="178">
        <f>IFERROR(IF(RIGHT(F275,3)="Exp",VLOOKUP(F275,#REF!,2,FALSE),VLOOKUP(F275,#REF!,9,FALSE)),1)</f>
        <v>1</v>
      </c>
      <c r="Z275" s="167">
        <f t="shared" si="33"/>
        <v>0.33333333333333331</v>
      </c>
      <c r="AA275" s="189">
        <f t="shared" si="32"/>
        <v>7.8326506085701741E-2</v>
      </c>
      <c r="AB275" s="2">
        <f>IFERROR(SUMIFS('Comp2016-2017 (3)'!$G$5:$G$289,'Comp2016-2017 (3)'!$A$5:$A$289,A275,'Comp2016-2017 (3)'!$R$5:$R$289,V275)*AA275/SUMIFS($AA$4:$AA$1116,$A$4:$A$1116,A275,$V$4:$V$1116,V275),0)</f>
        <v>299627.07642761862</v>
      </c>
      <c r="AC275" s="2" t="str">
        <f>IF($W275=AC$3,$AB275,IF(NOT($W275=0),"",SUMIFS('Val-Vol (2)'!AC$4:AC$1116,'Val-Vol (2)'!$A$4:$A$1116,$D275,'Val-Vol (2)'!$V$4:$V$1116,$V275)/SUMIFS('Comp2016-2017 (3)'!$G$5:$G$289,'Comp2016-2017 (3)'!$A$5:$A$289,$D275,'Comp2016-2017 (3)'!$R$5:$R$289,$V275)*$AB275))</f>
        <v/>
      </c>
      <c r="AD275" s="2" t="str">
        <f>IF($W275=AD$3,$AB275,IF(NOT($W275=0),"",SUMIFS('Val-Vol (2)'!AD$4:AD$1116,'Val-Vol (2)'!$A$4:$A$1116,$D275,'Val-Vol (2)'!$V$4:$V$1116,$V275)/SUMIFS('Comp2016-2017 (3)'!$G$5:$G$289,'Comp2016-2017 (3)'!$A$5:$A$289,$D275,'Comp2016-2017 (3)'!$R$5:$R$289,$V275)*$AB275))</f>
        <v/>
      </c>
      <c r="AE275" s="2" t="str">
        <f>IF($W275=AE$3,$AB275,IF(NOT($W275=0),"",SUMIFS('Val-Vol (2)'!AE$4:AE$1116,'Val-Vol (2)'!$A$4:$A$1116,$D275,'Val-Vol (2)'!$V$4:$V$1116,$V275)/SUMIFS('Comp2016-2017 (3)'!$G$5:$G$289,'Comp2016-2017 (3)'!$A$5:$A$289,$D275,'Comp2016-2017 (3)'!$R$5:$R$289,$V275)*$AB275))</f>
        <v/>
      </c>
      <c r="AF275" s="2" t="str">
        <f>IF($W275=AF$3,$AB275,IF(NOT($W275=0),"",SUMIFS('Val-Vol (2)'!AF$4:AF$1116,'Val-Vol (2)'!$A$4:$A$1116,$D275,'Val-Vol (2)'!$V$4:$V$1116,$V275)/SUMIFS('Comp2016-2017 (3)'!$G$5:$G$289,'Comp2016-2017 (3)'!$A$5:$A$289,$D275,'Comp2016-2017 (3)'!$R$5:$R$289,$V275)*$AB275))</f>
        <v/>
      </c>
      <c r="AG275" s="2" t="str">
        <f>IF($W275=AG$3,$AB275,IF(NOT($W275=0),"",SUMIFS('Val-Vol (2)'!AG$4:AG$1116,'Val-Vol (2)'!$A$4:$A$1116,$D275,'Val-Vol (2)'!$V$4:$V$1116,$V275)/SUMIFS('Comp2016-2017 (3)'!$G$5:$G$289,'Comp2016-2017 (3)'!$A$5:$A$289,$D275,'Comp2016-2017 (3)'!$R$5:$R$289,$V275)*$AB275))</f>
        <v/>
      </c>
      <c r="AH275" s="2" t="str">
        <f>IF($W275=AH$3,$AB275,IF(NOT($W275=0),"",SUMIFS('Val-Vol (2)'!AH$4:AH$1116,'Val-Vol (2)'!$A$4:$A$1116,$D275,'Val-Vol (2)'!$V$4:$V$1116,$V275)/SUMIFS('Comp2016-2017 (3)'!$G$5:$G$289,'Comp2016-2017 (3)'!$A$5:$A$289,$D275,'Comp2016-2017 (3)'!$R$5:$R$289,$V275)*$AB275))</f>
        <v/>
      </c>
      <c r="AI275" s="2" t="str">
        <f>IF($W275=AI$3,$AB275,IF(NOT($W275=0),"",SUMIFS('Val-Vol (2)'!AI$4:AI$1116,'Val-Vol (2)'!$A$4:$A$1116,$D275,'Val-Vol (2)'!$V$4:$V$1116,$V275)/SUMIFS('Comp2016-2017 (3)'!$G$5:$G$289,'Comp2016-2017 (3)'!$A$5:$A$289,$D275,'Comp2016-2017 (3)'!$R$5:$R$289,$V275)*$AB275))</f>
        <v/>
      </c>
      <c r="AJ275" s="2">
        <f>IF($W275=AJ$3,$AB275,IF(NOT($W275=0),"",SUMIFS('Val-Vol (2)'!AJ$4:AJ$1116,'Val-Vol (2)'!$A$4:$A$1116,$D275,'Val-Vol (2)'!$V$4:$V$1116,$V275)/SUMIFS('Comp2016-2017 (3)'!$G$5:$G$289,'Comp2016-2017 (3)'!$A$5:$A$289,$D275,'Comp2016-2017 (3)'!$R$5:$R$289,$V275)*$AB275))</f>
        <v>299627.07642761862</v>
      </c>
      <c r="AK275" s="2">
        <f t="shared" si="29"/>
        <v>0</v>
      </c>
      <c r="AL275" t="str">
        <f t="shared" si="31"/>
        <v/>
      </c>
      <c r="AM275" t="str">
        <f>VLOOKUP(A275,'Table corresp.'!$M$4:$U$63,8,FALSE)</f>
        <v>Production intermédiaire</v>
      </c>
      <c r="AN275" t="str">
        <f>VLOOKUP(D275,'Table corresp.'!$M$4:$U$63,9,FALSE)</f>
        <v>Consommation finale française</v>
      </c>
    </row>
    <row r="276" spans="1:40" x14ac:dyDescent="0.25">
      <c r="A276" t="s">
        <v>96</v>
      </c>
      <c r="B276" t="str">
        <f>VLOOKUP(LEFT(A276,3),'Table corresp.'!$A$4:$D$63,3,FALSE)</f>
        <v>Transformation</v>
      </c>
      <c r="C276" t="str">
        <f>VLOOKUP(A276,'Table corresp.'!$M$4:$P$63,4,FALSE)</f>
        <v>Production et transformation de produits bois</v>
      </c>
      <c r="D276" t="s">
        <v>53</v>
      </c>
      <c r="E276" t="str">
        <f>VLOOKUP(LEFT(D276,3),'Table corresp.'!$A$4:$D$63,4,FALSE)</f>
        <v>Exportation</v>
      </c>
      <c r="F276" t="str">
        <f t="shared" si="30"/>
        <v>44  - Exp</v>
      </c>
      <c r="G276" s="1">
        <v>3614893</v>
      </c>
      <c r="H276" s="1">
        <v>0</v>
      </c>
      <c r="I276" s="1">
        <v>3614893</v>
      </c>
      <c r="J276" s="1">
        <v>0</v>
      </c>
      <c r="K276" s="1">
        <v>0</v>
      </c>
      <c r="L276" s="1">
        <v>0</v>
      </c>
      <c r="M276" s="1">
        <v>6047.9336165999857</v>
      </c>
      <c r="N276" s="1">
        <v>0</v>
      </c>
      <c r="O276" s="1">
        <v>6047.9336165999857</v>
      </c>
      <c r="P276" s="1">
        <v>0</v>
      </c>
      <c r="Q276" s="1">
        <v>0</v>
      </c>
      <c r="R276" s="1">
        <v>0</v>
      </c>
      <c r="S276" s="67"/>
      <c r="T276">
        <f>VLOOKUP(A276,'Groupe de branches'!$Z$27:$AM$86,14,FALSE)</f>
        <v>0</v>
      </c>
      <c r="U276">
        <f>VLOOKUP(D276,'Groupe de branches'!$Z$27:$AM$86,14,FALSE)</f>
        <v>0</v>
      </c>
      <c r="V276">
        <v>2016</v>
      </c>
      <c r="W276" t="str">
        <f>VLOOKUP(D276,'Table corresp.'!$M$4:$S$63,7,FALSE)</f>
        <v>Exportation</v>
      </c>
      <c r="X276" s="167">
        <f>IFERROR(G276/SUMIFS('Comp2016-2017 (3)'!$I$5:$I$289,'Comp2016-2017 (3)'!$A$5:$A$289,A276,'Comp2016-2017 (3)'!$R$5:$R$289,V276),0)</f>
        <v>0.68038641069075856</v>
      </c>
      <c r="Y276" s="178">
        <f>IFERROR(IF(RIGHT(F276,3)="Exp",VLOOKUP(F276,#REF!,2,FALSE),VLOOKUP(F276,#REF!,9,FALSE)),1)</f>
        <v>1</v>
      </c>
      <c r="Z276" s="167">
        <f t="shared" si="33"/>
        <v>0.33333333333333331</v>
      </c>
      <c r="AA276" s="189">
        <f t="shared" si="32"/>
        <v>0.22679547023025284</v>
      </c>
      <c r="AB276" s="2">
        <f>IFERROR(SUMIFS('Comp2016-2017 (3)'!$G$5:$G$289,'Comp2016-2017 (3)'!$A$5:$A$289,A276,'Comp2016-2017 (3)'!$R$5:$R$289,V276)*AA276/SUMIFS($AA$4:$AA$1116,$A$4:$A$1116,A276,$V$4:$V$1116,V276),0)</f>
        <v>867574.30004301539</v>
      </c>
      <c r="AC276" s="2">
        <f>IF($W276=AC$3,$AB276,IF(NOT($W276=0),"",SUMIFS('Val-Vol (2)'!AC$4:AC$1116,'Val-Vol (2)'!$A$4:$A$1116,$D276,'Val-Vol (2)'!$V$4:$V$1116,$V276)/SUMIFS('Comp2016-2017 (3)'!$G$5:$G$289,'Comp2016-2017 (3)'!$A$5:$A$289,$D276,'Comp2016-2017 (3)'!$R$5:$R$289,$V276)*$AB276))</f>
        <v>867574.30004301539</v>
      </c>
      <c r="AD276" s="2" t="str">
        <f>IF($W276=AD$3,$AB276,IF(NOT($W276=0),"",SUMIFS('Val-Vol (2)'!AD$4:AD$1116,'Val-Vol (2)'!$A$4:$A$1116,$D276,'Val-Vol (2)'!$V$4:$V$1116,$V276)/SUMIFS('Comp2016-2017 (3)'!$G$5:$G$289,'Comp2016-2017 (3)'!$A$5:$A$289,$D276,'Comp2016-2017 (3)'!$R$5:$R$289,$V276)*$AB276))</f>
        <v/>
      </c>
      <c r="AE276" s="2" t="str">
        <f>IF($W276=AE$3,$AB276,IF(NOT($W276=0),"",SUMIFS('Val-Vol (2)'!AE$4:AE$1116,'Val-Vol (2)'!$A$4:$A$1116,$D276,'Val-Vol (2)'!$V$4:$V$1116,$V276)/SUMIFS('Comp2016-2017 (3)'!$G$5:$G$289,'Comp2016-2017 (3)'!$A$5:$A$289,$D276,'Comp2016-2017 (3)'!$R$5:$R$289,$V276)*$AB276))</f>
        <v/>
      </c>
      <c r="AF276" s="2" t="str">
        <f>IF($W276=AF$3,$AB276,IF(NOT($W276=0),"",SUMIFS('Val-Vol (2)'!AF$4:AF$1116,'Val-Vol (2)'!$A$4:$A$1116,$D276,'Val-Vol (2)'!$V$4:$V$1116,$V276)/SUMIFS('Comp2016-2017 (3)'!$G$5:$G$289,'Comp2016-2017 (3)'!$A$5:$A$289,$D276,'Comp2016-2017 (3)'!$R$5:$R$289,$V276)*$AB276))</f>
        <v/>
      </c>
      <c r="AG276" s="2" t="str">
        <f>IF($W276=AG$3,$AB276,IF(NOT($W276=0),"",SUMIFS('Val-Vol (2)'!AG$4:AG$1116,'Val-Vol (2)'!$A$4:$A$1116,$D276,'Val-Vol (2)'!$V$4:$V$1116,$V276)/SUMIFS('Comp2016-2017 (3)'!$G$5:$G$289,'Comp2016-2017 (3)'!$A$5:$A$289,$D276,'Comp2016-2017 (3)'!$R$5:$R$289,$V276)*$AB276))</f>
        <v/>
      </c>
      <c r="AH276" s="2" t="str">
        <f>IF($W276=AH$3,$AB276,IF(NOT($W276=0),"",SUMIFS('Val-Vol (2)'!AH$4:AH$1116,'Val-Vol (2)'!$A$4:$A$1116,$D276,'Val-Vol (2)'!$V$4:$V$1116,$V276)/SUMIFS('Comp2016-2017 (3)'!$G$5:$G$289,'Comp2016-2017 (3)'!$A$5:$A$289,$D276,'Comp2016-2017 (3)'!$R$5:$R$289,$V276)*$AB276))</f>
        <v/>
      </c>
      <c r="AI276" s="2" t="str">
        <f>IF($W276=AI$3,$AB276,IF(NOT($W276=0),"",SUMIFS('Val-Vol (2)'!AI$4:AI$1116,'Val-Vol (2)'!$A$4:$A$1116,$D276,'Val-Vol (2)'!$V$4:$V$1116,$V276)/SUMIFS('Comp2016-2017 (3)'!$G$5:$G$289,'Comp2016-2017 (3)'!$A$5:$A$289,$D276,'Comp2016-2017 (3)'!$R$5:$R$289,$V276)*$AB276))</f>
        <v/>
      </c>
      <c r="AJ276" s="2" t="str">
        <f>IF($W276=AJ$3,$AB276,IF(NOT($W276=0),"",SUMIFS('Val-Vol (2)'!AJ$4:AJ$1116,'Val-Vol (2)'!$A$4:$A$1116,$D276,'Val-Vol (2)'!$V$4:$V$1116,$V276)/SUMIFS('Comp2016-2017 (3)'!$G$5:$G$289,'Comp2016-2017 (3)'!$A$5:$A$289,$D276,'Comp2016-2017 (3)'!$R$5:$R$289,$V276)*$AB276))</f>
        <v/>
      </c>
      <c r="AK276" s="2">
        <f t="shared" si="29"/>
        <v>0</v>
      </c>
      <c r="AL276" t="str">
        <f t="shared" si="31"/>
        <v/>
      </c>
      <c r="AM276" t="str">
        <f>VLOOKUP(A276,'Table corresp.'!$M$4:$U$63,8,FALSE)</f>
        <v>Production intermédiaire</v>
      </c>
      <c r="AN276" t="str">
        <f>VLOOKUP(D276,'Table corresp.'!$M$4:$U$63,9,FALSE)</f>
        <v>Exportation</v>
      </c>
    </row>
    <row r="277" spans="1:40" x14ac:dyDescent="0.25">
      <c r="A277" t="s">
        <v>97</v>
      </c>
      <c r="B277" t="str">
        <f>VLOOKUP(LEFT(A277,3),'Table corresp.'!$A$4:$D$63,3,FALSE)</f>
        <v>Transformation</v>
      </c>
      <c r="C277" t="str">
        <f>VLOOKUP(A277,'Table corresp.'!$M$4:$P$63,4,FALSE)</f>
        <v>Production et transformation de produits bois</v>
      </c>
      <c r="D277" t="s">
        <v>97</v>
      </c>
      <c r="E277" t="str">
        <f>VLOOKUP(LEFT(D277,3),'Table corresp.'!$A$4:$D$63,4,FALSE)</f>
        <v>Transformation</v>
      </c>
      <c r="F277" t="str">
        <f t="shared" si="30"/>
        <v xml:space="preserve">45  - 45 </v>
      </c>
      <c r="G277" s="1">
        <v>66164.5</v>
      </c>
      <c r="H277" s="1">
        <v>902667.49375000002</v>
      </c>
      <c r="I277" s="1">
        <v>1000000</v>
      </c>
      <c r="J277" s="1">
        <v>0</v>
      </c>
      <c r="K277" s="1">
        <v>0</v>
      </c>
      <c r="L277" s="1">
        <v>0</v>
      </c>
      <c r="M277" s="1">
        <v>0</v>
      </c>
      <c r="N277" s="1">
        <v>0</v>
      </c>
      <c r="O277" s="1">
        <v>0</v>
      </c>
      <c r="P277" s="1">
        <v>0</v>
      </c>
      <c r="Q277" s="1">
        <v>0</v>
      </c>
      <c r="R277" s="1">
        <v>0</v>
      </c>
      <c r="S277" s="67"/>
      <c r="T277">
        <f>VLOOKUP(A277,'Groupe de branches'!$Z$27:$AM$86,14,FALSE)</f>
        <v>0</v>
      </c>
      <c r="U277">
        <f>VLOOKUP(D277,'Groupe de branches'!$Z$27:$AM$86,14,FALSE)</f>
        <v>0</v>
      </c>
      <c r="V277">
        <v>2016</v>
      </c>
      <c r="W277" t="str">
        <f>VLOOKUP(D277,'Table corresp.'!$M$4:$S$63,7,FALSE)</f>
        <v>Pate &amp; papier &amp; carton</v>
      </c>
      <c r="X277" s="167">
        <f>IFERROR(G277/SUMIFS('Comp2016-2017 (3)'!$I$5:$I$289,'Comp2016-2017 (3)'!$A$5:$A$289,A277,'Comp2016-2017 (3)'!$R$5:$R$289,V277),0)</f>
        <v>6.8819780958681411E-3</v>
      </c>
      <c r="Y277" s="178">
        <f>IFERROR(IF(RIGHT(F277,3)="Exp",VLOOKUP(F277,#REF!,2,FALSE),VLOOKUP(F277,#REF!,9,FALSE)),1)</f>
        <v>1</v>
      </c>
      <c r="Z277" s="167">
        <f t="shared" si="33"/>
        <v>0.33333333333333331</v>
      </c>
      <c r="AA277" s="189">
        <f t="shared" si="32"/>
        <v>2.2939926986227134E-3</v>
      </c>
      <c r="AB277" s="2">
        <f>IFERROR(SUMIFS('Comp2016-2017 (3)'!$G$5:$G$289,'Comp2016-2017 (3)'!$A$5:$A$289,A277,'Comp2016-2017 (3)'!$R$5:$R$289,V277)*AA277/SUMIFS($AA$4:$AA$1116,$A$4:$A$1116,A277,$V$4:$V$1116,V277),0)</f>
        <v>19840.054512251652</v>
      </c>
      <c r="AF277" s="198">
        <f>AB277</f>
        <v>19840.054512251652</v>
      </c>
      <c r="AK277" s="2">
        <f t="shared" ref="AK277:AK278" si="34">SUM(AC277:AJ277)-AB277</f>
        <v>0</v>
      </c>
      <c r="AL277" t="str">
        <f t="shared" si="31"/>
        <v>remplir à la main</v>
      </c>
      <c r="AM277" t="str">
        <f>VLOOKUP(A277,'Table corresp.'!$M$4:$U$63,8,FALSE)</f>
        <v>Production finale</v>
      </c>
      <c r="AN277" t="str">
        <f>VLOOKUP(D277,'Table corresp.'!$M$4:$U$63,9,FALSE)</f>
        <v>Production finale</v>
      </c>
    </row>
    <row r="278" spans="1:40" x14ac:dyDescent="0.25">
      <c r="A278" t="s">
        <v>97</v>
      </c>
      <c r="B278" t="str">
        <f>VLOOKUP(LEFT(A278,3),'Table corresp.'!$A$4:$D$63,3,FALSE)</f>
        <v>Transformation</v>
      </c>
      <c r="C278" t="str">
        <f>VLOOKUP(A278,'Table corresp.'!$M$4:$P$63,4,FALSE)</f>
        <v>Production et transformation de produits bois</v>
      </c>
      <c r="D278" t="s">
        <v>54</v>
      </c>
      <c r="E278" t="str">
        <f>VLOOKUP(LEFT(D278,3),'Table corresp.'!$A$4:$D$63,4,FALSE)</f>
        <v>Consommation finale</v>
      </c>
      <c r="F278" t="str">
        <f t="shared" si="30"/>
        <v>45  - Con</v>
      </c>
      <c r="G278" s="1">
        <v>7529041.5</v>
      </c>
      <c r="H278" s="1">
        <v>2676834.5</v>
      </c>
      <c r="I278" s="1">
        <v>10205876</v>
      </c>
      <c r="J278" s="1">
        <v>0</v>
      </c>
      <c r="K278" s="1">
        <v>0</v>
      </c>
      <c r="L278" s="1">
        <v>0</v>
      </c>
      <c r="M278" s="1">
        <v>3269.1962598833447</v>
      </c>
      <c r="N278" s="1">
        <v>1696.3583403138025</v>
      </c>
      <c r="O278" s="1">
        <v>4965.554600197147</v>
      </c>
      <c r="P278" s="1">
        <v>0</v>
      </c>
      <c r="Q278" s="1">
        <v>0</v>
      </c>
      <c r="R278" s="1">
        <v>0</v>
      </c>
      <c r="S278" s="67"/>
      <c r="T278">
        <f>VLOOKUP(A278,'Groupe de branches'!$Z$27:$AM$86,14,FALSE)</f>
        <v>0</v>
      </c>
      <c r="U278">
        <f>VLOOKUP(D278,'Groupe de branches'!$Z$27:$AM$86,14,FALSE)</f>
        <v>0</v>
      </c>
      <c r="V278">
        <v>2016</v>
      </c>
      <c r="W278" t="str">
        <f>VLOOKUP(D278,'Table corresp.'!$M$4:$S$63,7,FALSE)</f>
        <v>Consommation finale</v>
      </c>
      <c r="X278" s="167">
        <f>IFERROR(G278/SUMIFS('Comp2016-2017 (3)'!$I$5:$I$289,'Comp2016-2017 (3)'!$A$5:$A$289,A278,'Comp2016-2017 (3)'!$R$5:$R$289,V278),0)</f>
        <v>0.78311932661596795</v>
      </c>
      <c r="Y278" s="178">
        <f>IFERROR(IF(RIGHT(F278,3)="Exp",VLOOKUP(F278,#REF!,2,FALSE),VLOOKUP(F278,#REF!,9,FALSE)),1)</f>
        <v>1</v>
      </c>
      <c r="Z278" s="167">
        <f t="shared" si="33"/>
        <v>0.33333333333333331</v>
      </c>
      <c r="AA278" s="189">
        <f t="shared" si="32"/>
        <v>0.26103977553865598</v>
      </c>
      <c r="AB278" s="2">
        <f>IFERROR(SUMIFS('Comp2016-2017 (3)'!$G$5:$G$289,'Comp2016-2017 (3)'!$A$5:$A$289,A278,'Comp2016-2017 (3)'!$R$5:$R$289,V278)*AA278/SUMIFS($AA$4:$AA$1116,$A$4:$A$1116,A278,$V$4:$V$1116,V278),0)</f>
        <v>2257654.6907330211</v>
      </c>
      <c r="AC278" s="2" t="str">
        <f>IF($W278=AC$3,$AB278,IF(NOT($W278=0),"",SUMIFS('Val-Vol (2)'!AC$4:AC$1116,'Val-Vol (2)'!$A$4:$A$1116,$D278,'Val-Vol (2)'!$V$4:$V$1116,$V278)/SUMIFS('Comp2016-2017 (3)'!$G$5:$G$289,'Comp2016-2017 (3)'!$A$5:$A$289,$D278,'Comp2016-2017 (3)'!$R$5:$R$289,$V278)*$AB278))</f>
        <v/>
      </c>
      <c r="AD278" s="2" t="str">
        <f>IF($W278=AD$3,$AB278,IF(NOT($W278=0),"",SUMIFS('Val-Vol (2)'!AD$4:AD$1116,'Val-Vol (2)'!$A$4:$A$1116,$D278,'Val-Vol (2)'!$V$4:$V$1116,$V278)/SUMIFS('Comp2016-2017 (3)'!$G$5:$G$289,'Comp2016-2017 (3)'!$A$5:$A$289,$D278,'Comp2016-2017 (3)'!$R$5:$R$289,$V278)*$AB278))</f>
        <v/>
      </c>
      <c r="AE278" s="2" t="str">
        <f>IF($W278=AE$3,$AB278,IF(NOT($W278=0),"",SUMIFS('Val-Vol (2)'!AE$4:AE$1116,'Val-Vol (2)'!$A$4:$A$1116,$D278,'Val-Vol (2)'!$V$4:$V$1116,$V278)/SUMIFS('Comp2016-2017 (3)'!$G$5:$G$289,'Comp2016-2017 (3)'!$A$5:$A$289,$D278,'Comp2016-2017 (3)'!$R$5:$R$289,$V278)*$AB278))</f>
        <v/>
      </c>
      <c r="AF278" s="2" t="str">
        <f>IF($W278=AF$3,$AB278,IF(NOT($W278=0),"",SUMIFS('Val-Vol (2)'!AF$4:AF$1116,'Val-Vol (2)'!$A$4:$A$1116,$D278,'Val-Vol (2)'!$V$4:$V$1116,$V278)/SUMIFS('Comp2016-2017 (3)'!$G$5:$G$289,'Comp2016-2017 (3)'!$A$5:$A$289,$D278,'Comp2016-2017 (3)'!$R$5:$R$289,$V278)*$AB278))</f>
        <v/>
      </c>
      <c r="AG278" s="2" t="str">
        <f>IF($W278=AG$3,$AB278,IF(NOT($W278=0),"",SUMIFS('Val-Vol (2)'!AG$4:AG$1116,'Val-Vol (2)'!$A$4:$A$1116,$D278,'Val-Vol (2)'!$V$4:$V$1116,$V278)/SUMIFS('Comp2016-2017 (3)'!$G$5:$G$289,'Comp2016-2017 (3)'!$A$5:$A$289,$D278,'Comp2016-2017 (3)'!$R$5:$R$289,$V278)*$AB278))</f>
        <v/>
      </c>
      <c r="AH278" s="2" t="str">
        <f>IF($W278=AH$3,$AB278,IF(NOT($W278=0),"",SUMIFS('Val-Vol (2)'!AH$4:AH$1116,'Val-Vol (2)'!$A$4:$A$1116,$D278,'Val-Vol (2)'!$V$4:$V$1116,$V278)/SUMIFS('Comp2016-2017 (3)'!$G$5:$G$289,'Comp2016-2017 (3)'!$A$5:$A$289,$D278,'Comp2016-2017 (3)'!$R$5:$R$289,$V278)*$AB278))</f>
        <v/>
      </c>
      <c r="AI278" s="2" t="str">
        <f>IF($W278=AI$3,$AB278,IF(NOT($W278=0),"",SUMIFS('Val-Vol (2)'!AI$4:AI$1116,'Val-Vol (2)'!$A$4:$A$1116,$D278,'Val-Vol (2)'!$V$4:$V$1116,$V278)/SUMIFS('Comp2016-2017 (3)'!$G$5:$G$289,'Comp2016-2017 (3)'!$A$5:$A$289,$D278,'Comp2016-2017 (3)'!$R$5:$R$289,$V278)*$AB278))</f>
        <v/>
      </c>
      <c r="AJ278" s="2">
        <f>IF($W278=AJ$3,$AB278,IF(NOT($W278=0),"",SUMIFS('Val-Vol (2)'!AJ$4:AJ$1116,'Val-Vol (2)'!$A$4:$A$1116,$D278,'Val-Vol (2)'!$V$4:$V$1116,$V278)/SUMIFS('Comp2016-2017 (3)'!$G$5:$G$289,'Comp2016-2017 (3)'!$A$5:$A$289,$D278,'Comp2016-2017 (3)'!$R$5:$R$289,$V278)*$AB278))</f>
        <v>2257654.6907330211</v>
      </c>
      <c r="AK278" s="2">
        <f t="shared" si="34"/>
        <v>0</v>
      </c>
      <c r="AL278" t="str">
        <f t="shared" si="31"/>
        <v/>
      </c>
      <c r="AM278" t="str">
        <f>VLOOKUP(A278,'Table corresp.'!$M$4:$U$63,8,FALSE)</f>
        <v>Production finale</v>
      </c>
      <c r="AN278" t="str">
        <f>VLOOKUP(D278,'Table corresp.'!$M$4:$U$63,9,FALSE)</f>
        <v>Consommation finale française</v>
      </c>
    </row>
    <row r="279" spans="1:40" x14ac:dyDescent="0.25">
      <c r="A279" t="s">
        <v>97</v>
      </c>
      <c r="B279" t="str">
        <f>VLOOKUP(LEFT(A279,3),'Table corresp.'!$A$4:$D$63,3,FALSE)</f>
        <v>Transformation</v>
      </c>
      <c r="C279" t="str">
        <f>VLOOKUP(A279,'Table corresp.'!$M$4:$P$63,4,FALSE)</f>
        <v>Production et transformation de produits bois</v>
      </c>
      <c r="D279" t="s">
        <v>53</v>
      </c>
      <c r="E279" t="str">
        <f>VLOOKUP(LEFT(D279,3),'Table corresp.'!$A$4:$D$63,4,FALSE)</f>
        <v>Exportation</v>
      </c>
      <c r="F279" t="str">
        <f t="shared" si="30"/>
        <v>45  - Exp</v>
      </c>
      <c r="G279" s="1">
        <v>2018963</v>
      </c>
      <c r="H279" s="1">
        <v>0</v>
      </c>
      <c r="I279" s="1">
        <v>2018963</v>
      </c>
      <c r="J279" s="1">
        <v>0</v>
      </c>
      <c r="K279" s="1">
        <v>0</v>
      </c>
      <c r="L279" s="1">
        <v>0</v>
      </c>
      <c r="M279" s="1">
        <v>797.11603207948883</v>
      </c>
      <c r="N279" s="1">
        <v>0</v>
      </c>
      <c r="O279" s="1">
        <v>797.11603207948883</v>
      </c>
      <c r="P279" s="1">
        <v>0</v>
      </c>
      <c r="Q279" s="1">
        <v>0</v>
      </c>
      <c r="R279" s="1">
        <v>0</v>
      </c>
      <c r="S279" s="67"/>
      <c r="T279">
        <f>VLOOKUP(A279,'Groupe de branches'!$Z$27:$AM$86,14,FALSE)</f>
        <v>0</v>
      </c>
      <c r="U279">
        <f>VLOOKUP(D279,'Groupe de branches'!$Z$27:$AM$86,14,FALSE)</f>
        <v>0</v>
      </c>
      <c r="V279">
        <v>2016</v>
      </c>
      <c r="W279" t="str">
        <f>VLOOKUP(D279,'Table corresp.'!$M$4:$S$63,7,FALSE)</f>
        <v>Exportation</v>
      </c>
      <c r="X279" s="167">
        <f>IFERROR(G279/SUMIFS('Comp2016-2017 (3)'!$I$5:$I$289,'Comp2016-2017 (3)'!$A$5:$A$289,A279,'Comp2016-2017 (3)'!$R$5:$R$289,V279),0)</f>
        <v>0.20999870236105811</v>
      </c>
      <c r="Y279" s="178">
        <f>IFERROR(IF(RIGHT(F279,3)="Exp",VLOOKUP(F279,#REF!,2,FALSE),VLOOKUP(F279,#REF!,9,FALSE)),1)</f>
        <v>1</v>
      </c>
      <c r="Z279" s="167">
        <f t="shared" si="33"/>
        <v>0.33333333333333331</v>
      </c>
      <c r="AA279" s="189">
        <f t="shared" si="32"/>
        <v>6.9999567453686032E-2</v>
      </c>
      <c r="AB279" s="2">
        <f>IFERROR(SUMIFS('Comp2016-2017 (3)'!$G$5:$G$289,'Comp2016-2017 (3)'!$A$5:$A$289,A279,'Comp2016-2017 (3)'!$R$5:$R$289,V279)*AA279/SUMIFS($AA$4:$AA$1116,$A$4:$A$1116,A279,$V$4:$V$1116,V279),0)</f>
        <v>605405.25475472712</v>
      </c>
      <c r="AC279" s="2">
        <f>IF($W279=AC$3,$AB279,IF(NOT($W279=0),"",SUMIFS('Val-Vol (2)'!AC$4:AC$1116,'Val-Vol (2)'!$A$4:$A$1116,$D279,'Val-Vol (2)'!$V$4:$V$1116,$V279)/SUMIFS('Comp2016-2017 (3)'!$G$5:$G$289,'Comp2016-2017 (3)'!$A$5:$A$289,$D279,'Comp2016-2017 (3)'!$R$5:$R$289,$V279)*$AB279))</f>
        <v>605405.25475472712</v>
      </c>
      <c r="AD279" s="2" t="str">
        <f>IF($W279=AD$3,$AB279,IF(NOT($W279=0),"",SUMIFS('Val-Vol (2)'!AD$4:AD$1116,'Val-Vol (2)'!$A$4:$A$1116,$D279,'Val-Vol (2)'!$V$4:$V$1116,$V279)/SUMIFS('Comp2016-2017 (3)'!$G$5:$G$289,'Comp2016-2017 (3)'!$A$5:$A$289,$D279,'Comp2016-2017 (3)'!$R$5:$R$289,$V279)*$AB279))</f>
        <v/>
      </c>
      <c r="AE279" s="2" t="str">
        <f>IF($W279=AE$3,$AB279,IF(NOT($W279=0),"",SUMIFS('Val-Vol (2)'!AE$4:AE$1116,'Val-Vol (2)'!$A$4:$A$1116,$D279,'Val-Vol (2)'!$V$4:$V$1116,$V279)/SUMIFS('Comp2016-2017 (3)'!$G$5:$G$289,'Comp2016-2017 (3)'!$A$5:$A$289,$D279,'Comp2016-2017 (3)'!$R$5:$R$289,$V279)*$AB279))</f>
        <v/>
      </c>
      <c r="AF279" s="2" t="str">
        <f>IF($W279=AF$3,$AB279,IF(NOT($W279=0),"",SUMIFS('Val-Vol (2)'!AF$4:AF$1116,'Val-Vol (2)'!$A$4:$A$1116,$D279,'Val-Vol (2)'!$V$4:$V$1116,$V279)/SUMIFS('Comp2016-2017 (3)'!$G$5:$G$289,'Comp2016-2017 (3)'!$A$5:$A$289,$D279,'Comp2016-2017 (3)'!$R$5:$R$289,$V279)*$AB279))</f>
        <v/>
      </c>
      <c r="AG279" s="2" t="str">
        <f>IF($W279=AG$3,$AB279,IF(NOT($W279=0),"",SUMIFS('Val-Vol (2)'!AG$4:AG$1116,'Val-Vol (2)'!$A$4:$A$1116,$D279,'Val-Vol (2)'!$V$4:$V$1116,$V279)/SUMIFS('Comp2016-2017 (3)'!$G$5:$G$289,'Comp2016-2017 (3)'!$A$5:$A$289,$D279,'Comp2016-2017 (3)'!$R$5:$R$289,$V279)*$AB279))</f>
        <v/>
      </c>
      <c r="AH279" s="2" t="str">
        <f>IF($W279=AH$3,$AB279,IF(NOT($W279=0),"",SUMIFS('Val-Vol (2)'!AH$4:AH$1116,'Val-Vol (2)'!$A$4:$A$1116,$D279,'Val-Vol (2)'!$V$4:$V$1116,$V279)/SUMIFS('Comp2016-2017 (3)'!$G$5:$G$289,'Comp2016-2017 (3)'!$A$5:$A$289,$D279,'Comp2016-2017 (3)'!$R$5:$R$289,$V279)*$AB279))</f>
        <v/>
      </c>
      <c r="AI279" s="2" t="str">
        <f>IF($W279=AI$3,$AB279,IF(NOT($W279=0),"",SUMIFS('Val-Vol (2)'!AI$4:AI$1116,'Val-Vol (2)'!$A$4:$A$1116,$D279,'Val-Vol (2)'!$V$4:$V$1116,$V279)/SUMIFS('Comp2016-2017 (3)'!$G$5:$G$289,'Comp2016-2017 (3)'!$A$5:$A$289,$D279,'Comp2016-2017 (3)'!$R$5:$R$289,$V279)*$AB279))</f>
        <v/>
      </c>
      <c r="AJ279" s="2" t="str">
        <f>IF($W279=AJ$3,$AB279,IF(NOT($W279=0),"",SUMIFS('Val-Vol (2)'!AJ$4:AJ$1116,'Val-Vol (2)'!$A$4:$A$1116,$D279,'Val-Vol (2)'!$V$4:$V$1116,$V279)/SUMIFS('Comp2016-2017 (3)'!$G$5:$G$289,'Comp2016-2017 (3)'!$A$5:$A$289,$D279,'Comp2016-2017 (3)'!$R$5:$R$289,$V279)*$AB279))</f>
        <v/>
      </c>
      <c r="AK279" s="2">
        <f t="shared" ref="AK279:AK289" si="35">SUM(AC279:AJ279)-AB279</f>
        <v>0</v>
      </c>
      <c r="AL279" t="str">
        <f t="shared" si="31"/>
        <v/>
      </c>
      <c r="AM279" t="str">
        <f>VLOOKUP(A279,'Table corresp.'!$M$4:$U$63,8,FALSE)</f>
        <v>Production finale</v>
      </c>
      <c r="AN279" t="str">
        <f>VLOOKUP(D279,'Table corresp.'!$M$4:$U$63,9,FALSE)</f>
        <v>Exportation</v>
      </c>
    </row>
    <row r="280" spans="1:40" x14ac:dyDescent="0.25">
      <c r="A280" t="s">
        <v>98</v>
      </c>
      <c r="B280" t="str">
        <f>VLOOKUP(LEFT(A280,3),'Table corresp.'!$A$4:$D$63,3,FALSE)</f>
        <v>Transformation</v>
      </c>
      <c r="C280" t="str">
        <f>VLOOKUP(A280,'Table corresp.'!$M$4:$P$63,4,FALSE)</f>
        <v>Production et transformation de produits bois</v>
      </c>
      <c r="D280" t="s">
        <v>54</v>
      </c>
      <c r="E280" t="str">
        <f>VLOOKUP(LEFT(D280,3),'Table corresp.'!$A$4:$D$63,4,FALSE)</f>
        <v>Consommation finale</v>
      </c>
      <c r="F280" t="str">
        <f t="shared" si="30"/>
        <v>46  - Con</v>
      </c>
      <c r="G280" s="1">
        <v>185553.63</v>
      </c>
      <c r="H280" s="1">
        <v>27833.044982698957</v>
      </c>
      <c r="I280" s="1">
        <v>213386.67498269895</v>
      </c>
      <c r="J280" s="1">
        <v>0</v>
      </c>
      <c r="K280" s="1">
        <v>0</v>
      </c>
      <c r="L280" s="1">
        <v>0</v>
      </c>
      <c r="M280" s="1">
        <v>739.87425152988612</v>
      </c>
      <c r="N280" s="1">
        <v>110.98113772948291</v>
      </c>
      <c r="O280" s="1">
        <v>850.85538925936908</v>
      </c>
      <c r="P280" s="1">
        <v>0</v>
      </c>
      <c r="Q280" s="1">
        <v>0</v>
      </c>
      <c r="R280" s="1">
        <v>0</v>
      </c>
      <c r="S280" s="67"/>
      <c r="T280">
        <f>VLOOKUP(A280,'Groupe de branches'!$Z$27:$AM$86,14,FALSE)</f>
        <v>0</v>
      </c>
      <c r="U280">
        <f>VLOOKUP(D280,'Groupe de branches'!$Z$27:$AM$86,14,FALSE)</f>
        <v>0</v>
      </c>
      <c r="V280">
        <v>2016</v>
      </c>
      <c r="W280" t="str">
        <f>VLOOKUP(D280,'Table corresp.'!$M$4:$S$63,7,FALSE)</f>
        <v>Consommation finale</v>
      </c>
      <c r="X280" s="167">
        <f>IFERROR(G280/SUMIFS('Comp2016-2017 (3)'!$I$5:$I$289,'Comp2016-2017 (3)'!$A$5:$A$289,A280,'Comp2016-2017 (3)'!$R$5:$R$289,V280),0)</f>
        <v>0.99999998265734291</v>
      </c>
      <c r="Y280" s="178">
        <f>IFERROR(IF(RIGHT(F280,3)="Exp",VLOOKUP(F280,#REF!,2,FALSE),VLOOKUP(F280,#REF!,9,FALSE)),1)</f>
        <v>1</v>
      </c>
      <c r="Z280" s="167">
        <f t="shared" si="33"/>
        <v>1</v>
      </c>
      <c r="AA280" s="189">
        <f t="shared" si="32"/>
        <v>0.99999998265734291</v>
      </c>
      <c r="AB280" s="2">
        <f>IFERROR(SUMIFS('Comp2016-2017 (3)'!$G$5:$G$289,'Comp2016-2017 (3)'!$A$5:$A$289,A280,'Comp2016-2017 (3)'!$R$5:$R$289,V280)*AA280/SUMIFS($AA$4:$AA$1116,$A$4:$A$1116,A280,$V$4:$V$1116,V280),0)</f>
        <v>63088.235294117643</v>
      </c>
      <c r="AC280" s="2" t="str">
        <f>IF($W280=AC$3,$AB280,IF(NOT($W280=0),"",SUMIFS('Val-Vol (2)'!AC$4:AC$1116,'Val-Vol (2)'!$A$4:$A$1116,$D280,'Val-Vol (2)'!$V$4:$V$1116,$V280)/SUMIFS('Comp2016-2017 (3)'!$G$5:$G$289,'Comp2016-2017 (3)'!$A$5:$A$289,$D280,'Comp2016-2017 (3)'!$R$5:$R$289,$V280)*$AB280))</f>
        <v/>
      </c>
      <c r="AD280" s="2" t="str">
        <f>IF($W280=AD$3,$AB280,IF(NOT($W280=0),"",SUMIFS('Val-Vol (2)'!AD$4:AD$1116,'Val-Vol (2)'!$A$4:$A$1116,$D280,'Val-Vol (2)'!$V$4:$V$1116,$V280)/SUMIFS('Comp2016-2017 (3)'!$G$5:$G$289,'Comp2016-2017 (3)'!$A$5:$A$289,$D280,'Comp2016-2017 (3)'!$R$5:$R$289,$V280)*$AB280))</f>
        <v/>
      </c>
      <c r="AE280" s="2" t="str">
        <f>IF($W280=AE$3,$AB280,IF(NOT($W280=0),"",SUMIFS('Val-Vol (2)'!AE$4:AE$1116,'Val-Vol (2)'!$A$4:$A$1116,$D280,'Val-Vol (2)'!$V$4:$V$1116,$V280)/SUMIFS('Comp2016-2017 (3)'!$G$5:$G$289,'Comp2016-2017 (3)'!$A$5:$A$289,$D280,'Comp2016-2017 (3)'!$R$5:$R$289,$V280)*$AB280))</f>
        <v/>
      </c>
      <c r="AF280" s="2" t="str">
        <f>IF($W280=AF$3,$AB280,IF(NOT($W280=0),"",SUMIFS('Val-Vol (2)'!AF$4:AF$1116,'Val-Vol (2)'!$A$4:$A$1116,$D280,'Val-Vol (2)'!$V$4:$V$1116,$V280)/SUMIFS('Comp2016-2017 (3)'!$G$5:$G$289,'Comp2016-2017 (3)'!$A$5:$A$289,$D280,'Comp2016-2017 (3)'!$R$5:$R$289,$V280)*$AB280))</f>
        <v/>
      </c>
      <c r="AG280" s="2" t="str">
        <f>IF($W280=AG$3,$AB280,IF(NOT($W280=0),"",SUMIFS('Val-Vol (2)'!AG$4:AG$1116,'Val-Vol (2)'!$A$4:$A$1116,$D280,'Val-Vol (2)'!$V$4:$V$1116,$V280)/SUMIFS('Comp2016-2017 (3)'!$G$5:$G$289,'Comp2016-2017 (3)'!$A$5:$A$289,$D280,'Comp2016-2017 (3)'!$R$5:$R$289,$V280)*$AB280))</f>
        <v/>
      </c>
      <c r="AH280" s="2" t="str">
        <f>IF($W280=AH$3,$AB280,IF(NOT($W280=0),"",SUMIFS('Val-Vol (2)'!AH$4:AH$1116,'Val-Vol (2)'!$A$4:$A$1116,$D280,'Val-Vol (2)'!$V$4:$V$1116,$V280)/SUMIFS('Comp2016-2017 (3)'!$G$5:$G$289,'Comp2016-2017 (3)'!$A$5:$A$289,$D280,'Comp2016-2017 (3)'!$R$5:$R$289,$V280)*$AB280))</f>
        <v/>
      </c>
      <c r="AI280" s="2" t="str">
        <f>IF($W280=AI$3,$AB280,IF(NOT($W280=0),"",SUMIFS('Val-Vol (2)'!AI$4:AI$1116,'Val-Vol (2)'!$A$4:$A$1116,$D280,'Val-Vol (2)'!$V$4:$V$1116,$V280)/SUMIFS('Comp2016-2017 (3)'!$G$5:$G$289,'Comp2016-2017 (3)'!$A$5:$A$289,$D280,'Comp2016-2017 (3)'!$R$5:$R$289,$V280)*$AB280))</f>
        <v/>
      </c>
      <c r="AJ280" s="2">
        <f>IF($W280=AJ$3,$AB280,IF(NOT($W280=0),"",SUMIFS('Val-Vol (2)'!AJ$4:AJ$1116,'Val-Vol (2)'!$A$4:$A$1116,$D280,'Val-Vol (2)'!$V$4:$V$1116,$V280)/SUMIFS('Comp2016-2017 (3)'!$G$5:$G$289,'Comp2016-2017 (3)'!$A$5:$A$289,$D280,'Comp2016-2017 (3)'!$R$5:$R$289,$V280)*$AB280))</f>
        <v>63088.235294117643</v>
      </c>
      <c r="AK280" s="2">
        <f t="shared" si="35"/>
        <v>0</v>
      </c>
      <c r="AL280" t="str">
        <f t="shared" si="31"/>
        <v/>
      </c>
      <c r="AM280" t="str">
        <f>VLOOKUP(A280,'Table corresp.'!$M$4:$U$63,8,FALSE)</f>
        <v>Production intermédiaire</v>
      </c>
      <c r="AN280" t="str">
        <f>VLOOKUP(D280,'Table corresp.'!$M$4:$U$63,9,FALSE)</f>
        <v>Consommation finale française</v>
      </c>
    </row>
    <row r="281" spans="1:40" x14ac:dyDescent="0.25">
      <c r="A281" t="s">
        <v>99</v>
      </c>
      <c r="B281" t="str">
        <f>VLOOKUP(LEFT(A281,3),'Table corresp.'!$A$4:$D$63,3,FALSE)</f>
        <v>Transformation</v>
      </c>
      <c r="C281" t="str">
        <f>VLOOKUP(A281,'Table corresp.'!$M$4:$P$63,4,FALSE)</f>
        <v>Production et transformation de produits bois</v>
      </c>
      <c r="D281" t="s">
        <v>90</v>
      </c>
      <c r="E281" t="str">
        <f>VLOOKUP(LEFT(D281,3),'Table corresp.'!$A$4:$D$63,4,FALSE)</f>
        <v>Transformation</v>
      </c>
      <c r="F281" t="str">
        <f t="shared" si="30"/>
        <v xml:space="preserve">47  - 34 </v>
      </c>
      <c r="G281" s="1">
        <v>1621</v>
      </c>
      <c r="H281" s="1">
        <v>3379</v>
      </c>
      <c r="I281" s="1">
        <v>5000</v>
      </c>
      <c r="J281" s="1">
        <v>0.20750133822167813</v>
      </c>
      <c r="K281" s="1">
        <v>0.47999130686432662</v>
      </c>
      <c r="L281" s="1">
        <v>0.68749264508600472</v>
      </c>
      <c r="M281" s="1">
        <v>0.46258054661951287</v>
      </c>
      <c r="N281" s="1">
        <v>1.0700395621772334</v>
      </c>
      <c r="O281" s="1">
        <v>1.5326201087967464</v>
      </c>
      <c r="P281" s="1">
        <v>0.11226638564734158</v>
      </c>
      <c r="Q281" s="1">
        <v>0.25969417655626609</v>
      </c>
      <c r="R281" s="1">
        <v>0.37196056220360768</v>
      </c>
      <c r="S281" s="67"/>
      <c r="T281">
        <f>VLOOKUP(A281,'Groupe de branches'!$Z$27:$AM$86,14,FALSE)</f>
        <v>0</v>
      </c>
      <c r="U281">
        <f>VLOOKUP(D281,'Groupe de branches'!$Z$27:$AM$86,14,FALSE)</f>
        <v>0</v>
      </c>
      <c r="V281">
        <v>2016</v>
      </c>
      <c r="W281" t="str">
        <f>VLOOKUP(D281,'Table corresp.'!$M$4:$S$63,7,FALSE)</f>
        <v>Construction</v>
      </c>
      <c r="X281" s="167">
        <f>IFERROR(G281/SUMIFS('Comp2016-2017 (3)'!$I$5:$I$289,'Comp2016-2017 (3)'!$A$5:$A$289,A281,'Comp2016-2017 (3)'!$R$5:$R$289,V281),0)</f>
        <v>4.9233097976629427E-4</v>
      </c>
      <c r="Y281" s="178">
        <f>IFERROR(IF(RIGHT(F281,3)="Exp",VLOOKUP(F281,#REF!,2,FALSE),VLOOKUP(F281,#REF!,9,FALSE)),1)</f>
        <v>1</v>
      </c>
      <c r="Z281" s="167">
        <f t="shared" si="33"/>
        <v>0.25</v>
      </c>
      <c r="AA281" s="189">
        <f t="shared" si="32"/>
        <v>1.2308274494157357E-4</v>
      </c>
      <c r="AB281" s="2">
        <f>IFERROR(SUMIFS('Comp2016-2017 (3)'!$G$5:$G$289,'Comp2016-2017 (3)'!$A$5:$A$289,A281,'Comp2016-2017 (3)'!$R$5:$R$289,V281)*AA281/SUMIFS($AA$4:$AA$1116,$A$4:$A$1116,A281,$V$4:$V$1116,V281),0)</f>
        <v>518.71995354916703</v>
      </c>
      <c r="AC281" s="2" t="str">
        <f>IF($W281=AC$3,$AB281,IF(NOT($W281=0),"",SUMIFS('Val-Vol (2)'!AC$4:AC$1116,'Val-Vol (2)'!$A$4:$A$1116,$D281,'Val-Vol (2)'!$V$4:$V$1116,$V281)/SUMIFS('Comp2016-2017 (3)'!$G$5:$G$289,'Comp2016-2017 (3)'!$A$5:$A$289,$D281,'Comp2016-2017 (3)'!$R$5:$R$289,$V281)*$AB281))</f>
        <v/>
      </c>
      <c r="AD281" s="2">
        <f>IF($W281=AD$3,$AB281,IF(NOT($W281=0),"",SUMIFS('Val-Vol (2)'!AD$4:AD$1116,'Val-Vol (2)'!$A$4:$A$1116,$D281,'Val-Vol (2)'!$V$4:$V$1116,$V281)/SUMIFS('Comp2016-2017 (3)'!$G$5:$G$289,'Comp2016-2017 (3)'!$A$5:$A$289,$D281,'Comp2016-2017 (3)'!$R$5:$R$289,$V281)*$AB281))</f>
        <v>518.71995354916703</v>
      </c>
      <c r="AE281" s="2" t="str">
        <f>IF($W281=AE$3,$AB281,IF(NOT($W281=0),"",SUMIFS('Val-Vol (2)'!AE$4:AE$1116,'Val-Vol (2)'!$A$4:$A$1116,$D281,'Val-Vol (2)'!$V$4:$V$1116,$V281)/SUMIFS('Comp2016-2017 (3)'!$G$5:$G$289,'Comp2016-2017 (3)'!$A$5:$A$289,$D281,'Comp2016-2017 (3)'!$R$5:$R$289,$V281)*$AB281))</f>
        <v/>
      </c>
      <c r="AF281" s="2" t="str">
        <f>IF($W281=AF$3,$AB281,IF(NOT($W281=0),"",SUMIFS('Val-Vol (2)'!AF$4:AF$1116,'Val-Vol (2)'!$A$4:$A$1116,$D281,'Val-Vol (2)'!$V$4:$V$1116,$V281)/SUMIFS('Comp2016-2017 (3)'!$G$5:$G$289,'Comp2016-2017 (3)'!$A$5:$A$289,$D281,'Comp2016-2017 (3)'!$R$5:$R$289,$V281)*$AB281))</f>
        <v/>
      </c>
      <c r="AG281" s="2" t="str">
        <f>IF($W281=AG$3,$AB281,IF(NOT($W281=0),"",SUMIFS('Val-Vol (2)'!AG$4:AG$1116,'Val-Vol (2)'!$A$4:$A$1116,$D281,'Val-Vol (2)'!$V$4:$V$1116,$V281)/SUMIFS('Comp2016-2017 (3)'!$G$5:$G$289,'Comp2016-2017 (3)'!$A$5:$A$289,$D281,'Comp2016-2017 (3)'!$R$5:$R$289,$V281)*$AB281))</f>
        <v/>
      </c>
      <c r="AH281" s="2" t="str">
        <f>IF($W281=AH$3,$AB281,IF(NOT($W281=0),"",SUMIFS('Val-Vol (2)'!AH$4:AH$1116,'Val-Vol (2)'!$A$4:$A$1116,$D281,'Val-Vol (2)'!$V$4:$V$1116,$V281)/SUMIFS('Comp2016-2017 (3)'!$G$5:$G$289,'Comp2016-2017 (3)'!$A$5:$A$289,$D281,'Comp2016-2017 (3)'!$R$5:$R$289,$V281)*$AB281))</f>
        <v/>
      </c>
      <c r="AI281" s="2" t="str">
        <f>IF($W281=AI$3,$AB281,IF(NOT($W281=0),"",SUMIFS('Val-Vol (2)'!AI$4:AI$1116,'Val-Vol (2)'!$A$4:$A$1116,$D281,'Val-Vol (2)'!$V$4:$V$1116,$V281)/SUMIFS('Comp2016-2017 (3)'!$G$5:$G$289,'Comp2016-2017 (3)'!$A$5:$A$289,$D281,'Comp2016-2017 (3)'!$R$5:$R$289,$V281)*$AB281))</f>
        <v/>
      </c>
      <c r="AJ281" s="2" t="str">
        <f>IF($W281=AJ$3,$AB281,IF(NOT($W281=0),"",SUMIFS('Val-Vol (2)'!AJ$4:AJ$1116,'Val-Vol (2)'!$A$4:$A$1116,$D281,'Val-Vol (2)'!$V$4:$V$1116,$V281)/SUMIFS('Comp2016-2017 (3)'!$G$5:$G$289,'Comp2016-2017 (3)'!$A$5:$A$289,$D281,'Comp2016-2017 (3)'!$R$5:$R$289,$V281)*$AB281))</f>
        <v/>
      </c>
      <c r="AK281" s="2">
        <f t="shared" si="35"/>
        <v>0</v>
      </c>
      <c r="AL281" t="str">
        <f t="shared" si="31"/>
        <v/>
      </c>
      <c r="AM281" t="str">
        <f>VLOOKUP(A281,'Table corresp.'!$M$4:$U$63,8,FALSE)</f>
        <v>Production finale</v>
      </c>
      <c r="AN281" t="str">
        <f>VLOOKUP(D281,'Table corresp.'!$M$4:$U$63,9,FALSE)</f>
        <v>Production finale</v>
      </c>
    </row>
    <row r="282" spans="1:40" x14ac:dyDescent="0.25">
      <c r="A282" t="s">
        <v>99</v>
      </c>
      <c r="B282" t="str">
        <f>VLOOKUP(LEFT(A282,3),'Table corresp.'!$A$4:$D$63,3,FALSE)</f>
        <v>Transformation</v>
      </c>
      <c r="C282" t="str">
        <f>VLOOKUP(A282,'Table corresp.'!$M$4:$P$63,4,FALSE)</f>
        <v>Production et transformation de produits bois</v>
      </c>
      <c r="D282" t="s">
        <v>22</v>
      </c>
      <c r="E282" t="str">
        <f>VLOOKUP(LEFT(D282,3),'Table corresp.'!$A$4:$D$63,4,FALSE)</f>
        <v>Transformation</v>
      </c>
      <c r="F282" t="str">
        <f t="shared" si="30"/>
        <v xml:space="preserve">47  - 55 </v>
      </c>
      <c r="G282" s="1">
        <v>16208.311839999995</v>
      </c>
      <c r="H282" s="1">
        <v>33791.688160000005</v>
      </c>
      <c r="I282" s="1">
        <v>50000</v>
      </c>
      <c r="J282" s="1">
        <v>1.5560979628844551</v>
      </c>
      <c r="K282" s="1">
        <v>3.600114655460978</v>
      </c>
      <c r="L282" s="1">
        <v>5.1562126183454335</v>
      </c>
      <c r="M282" s="1">
        <v>3.4689927902807156</v>
      </c>
      <c r="N282" s="1">
        <v>8.025697662908259</v>
      </c>
      <c r="O282" s="1">
        <v>11.494690453188975</v>
      </c>
      <c r="P282" s="1">
        <v>0.84191020406623007</v>
      </c>
      <c r="Q282" s="1">
        <v>1.947803632248593</v>
      </c>
      <c r="R282" s="1">
        <v>2.7897138363148231</v>
      </c>
      <c r="S282" s="67" t="s">
        <v>192</v>
      </c>
      <c r="T282">
        <f>VLOOKUP(A282,'Groupe de branches'!$Z$27:$AM$86,14,FALSE)</f>
        <v>0</v>
      </c>
      <c r="U282">
        <f>VLOOKUP(D282,'Groupe de branches'!$Z$27:$AM$86,14,FALSE)</f>
        <v>0</v>
      </c>
      <c r="V282">
        <v>2016</v>
      </c>
      <c r="W282" t="str">
        <f>VLOOKUP(D282,'Table corresp.'!$M$4:$S$63,7,FALSE)</f>
        <v>Construction</v>
      </c>
      <c r="X282" s="167">
        <f>IFERROR(G282/SUMIFS('Comp2016-2017 (3)'!$I$5:$I$289,'Comp2016-2017 (3)'!$A$5:$A$289,A282,'Comp2016-2017 (3)'!$R$5:$R$289,V282),0)</f>
        <v>4.9227970688123538E-3</v>
      </c>
      <c r="Y282" s="178">
        <f>IFERROR(IF(RIGHT(F282,3)="Exp",VLOOKUP(F282,#REF!,2,FALSE),VLOOKUP(F282,#REF!,9,FALSE)),1)</f>
        <v>1</v>
      </c>
      <c r="Z282" s="167">
        <f t="shared" si="33"/>
        <v>0.25</v>
      </c>
      <c r="AA282" s="189">
        <f t="shared" si="32"/>
        <v>1.2306992672030885E-3</v>
      </c>
      <c r="AB282" s="2">
        <f>IFERROR(SUMIFS('Comp2016-2017 (3)'!$G$5:$G$289,'Comp2016-2017 (3)'!$A$5:$A$289,A282,'Comp2016-2017 (3)'!$R$5:$R$289,V282)*AA282/SUMIFS($AA$4:$AA$1116,$A$4:$A$1116,A282,$V$4:$V$1116,V282),0)</f>
        <v>5186.6593243400448</v>
      </c>
      <c r="AC282" s="2" t="str">
        <f>IF($W282=AC$3,$AB282,IF(NOT($W282=0),"",SUMIFS('Val-Vol (2)'!AC$4:AC$1116,'Val-Vol (2)'!$A$4:$A$1116,$D282,'Val-Vol (2)'!$V$4:$V$1116,$V282)/SUMIFS('Comp2016-2017 (3)'!$G$5:$G$289,'Comp2016-2017 (3)'!$A$5:$A$289,$D282,'Comp2016-2017 (3)'!$R$5:$R$289,$V282)*$AB282))</f>
        <v/>
      </c>
      <c r="AD282" s="2">
        <f>IF($W282=AD$3,$AB282,IF(NOT($W282=0),"",SUMIFS('Val-Vol (2)'!AD$4:AD$1116,'Val-Vol (2)'!$A$4:$A$1116,$D282,'Val-Vol (2)'!$V$4:$V$1116,$V282)/SUMIFS('Comp2016-2017 (3)'!$G$5:$G$289,'Comp2016-2017 (3)'!$A$5:$A$289,$D282,'Comp2016-2017 (3)'!$R$5:$R$289,$V282)*$AB282))</f>
        <v>5186.6593243400448</v>
      </c>
      <c r="AE282" s="2" t="str">
        <f>IF($W282=AE$3,$AB282,IF(NOT($W282=0),"",SUMIFS('Val-Vol (2)'!AE$4:AE$1116,'Val-Vol (2)'!$A$4:$A$1116,$D282,'Val-Vol (2)'!$V$4:$V$1116,$V282)/SUMIFS('Comp2016-2017 (3)'!$G$5:$G$289,'Comp2016-2017 (3)'!$A$5:$A$289,$D282,'Comp2016-2017 (3)'!$R$5:$R$289,$V282)*$AB282))</f>
        <v/>
      </c>
      <c r="AF282" s="2" t="str">
        <f>IF($W282=AF$3,$AB282,IF(NOT($W282=0),"",SUMIFS('Val-Vol (2)'!AF$4:AF$1116,'Val-Vol (2)'!$A$4:$A$1116,$D282,'Val-Vol (2)'!$V$4:$V$1116,$V282)/SUMIFS('Comp2016-2017 (3)'!$G$5:$G$289,'Comp2016-2017 (3)'!$A$5:$A$289,$D282,'Comp2016-2017 (3)'!$R$5:$R$289,$V282)*$AB282))</f>
        <v/>
      </c>
      <c r="AG282" s="2" t="str">
        <f>IF($W282=AG$3,$AB282,IF(NOT($W282=0),"",SUMIFS('Val-Vol (2)'!AG$4:AG$1116,'Val-Vol (2)'!$A$4:$A$1116,$D282,'Val-Vol (2)'!$V$4:$V$1116,$V282)/SUMIFS('Comp2016-2017 (3)'!$G$5:$G$289,'Comp2016-2017 (3)'!$A$5:$A$289,$D282,'Comp2016-2017 (3)'!$R$5:$R$289,$V282)*$AB282))</f>
        <v/>
      </c>
      <c r="AH282" s="2" t="str">
        <f>IF($W282=AH$3,$AB282,IF(NOT($W282=0),"",SUMIFS('Val-Vol (2)'!AH$4:AH$1116,'Val-Vol (2)'!$A$4:$A$1116,$D282,'Val-Vol (2)'!$V$4:$V$1116,$V282)/SUMIFS('Comp2016-2017 (3)'!$G$5:$G$289,'Comp2016-2017 (3)'!$A$5:$A$289,$D282,'Comp2016-2017 (3)'!$R$5:$R$289,$V282)*$AB282))</f>
        <v/>
      </c>
      <c r="AI282" s="2" t="str">
        <f>IF($W282=AI$3,$AB282,IF(NOT($W282=0),"",SUMIFS('Val-Vol (2)'!AI$4:AI$1116,'Val-Vol (2)'!$A$4:$A$1116,$D282,'Val-Vol (2)'!$V$4:$V$1116,$V282)/SUMIFS('Comp2016-2017 (3)'!$G$5:$G$289,'Comp2016-2017 (3)'!$A$5:$A$289,$D282,'Comp2016-2017 (3)'!$R$5:$R$289,$V282)*$AB282))</f>
        <v/>
      </c>
      <c r="AJ282" s="2" t="str">
        <f>IF($W282=AJ$3,$AB282,IF(NOT($W282=0),"",SUMIFS('Val-Vol (2)'!AJ$4:AJ$1116,'Val-Vol (2)'!$A$4:$A$1116,$D282,'Val-Vol (2)'!$V$4:$V$1116,$V282)/SUMIFS('Comp2016-2017 (3)'!$G$5:$G$289,'Comp2016-2017 (3)'!$A$5:$A$289,$D282,'Comp2016-2017 (3)'!$R$5:$R$289,$V282)*$AB282))</f>
        <v/>
      </c>
      <c r="AK282" s="2">
        <f t="shared" si="35"/>
        <v>0</v>
      </c>
      <c r="AL282" t="str">
        <f t="shared" si="31"/>
        <v/>
      </c>
      <c r="AM282" t="str">
        <f>VLOOKUP(A282,'Table corresp.'!$M$4:$U$63,8,FALSE)</f>
        <v>Production finale</v>
      </c>
      <c r="AN282" t="str">
        <f>VLOOKUP(D282,'Table corresp.'!$M$4:$U$63,9,FALSE)</f>
        <v xml:space="preserve">Mise en œuvre </v>
      </c>
    </row>
    <row r="283" spans="1:40" x14ac:dyDescent="0.25">
      <c r="A283" t="s">
        <v>99</v>
      </c>
      <c r="B283" t="str">
        <f>VLOOKUP(LEFT(A283,3),'Table corresp.'!$A$4:$D$63,3,FALSE)</f>
        <v>Transformation</v>
      </c>
      <c r="C283" t="str">
        <f>VLOOKUP(A283,'Table corresp.'!$M$4:$P$63,4,FALSE)</f>
        <v>Production et transformation de produits bois</v>
      </c>
      <c r="D283" t="s">
        <v>54</v>
      </c>
      <c r="E283" t="str">
        <f>VLOOKUP(LEFT(D283,3),'Table corresp.'!$A$4:$D$63,4,FALSE)</f>
        <v>Consommation finale</v>
      </c>
      <c r="F283" t="str">
        <f t="shared" si="30"/>
        <v>47  - Con</v>
      </c>
      <c r="G283" s="1">
        <v>2308987</v>
      </c>
      <c r="H283" s="1">
        <v>3341998.1278400002</v>
      </c>
      <c r="I283" s="1">
        <v>5650985.1278400002</v>
      </c>
      <c r="J283" s="1">
        <v>373.38176263348043</v>
      </c>
      <c r="K283" s="1">
        <v>697.86066052455772</v>
      </c>
      <c r="L283" s="1">
        <v>1071.242423158038</v>
      </c>
      <c r="M283" s="1">
        <v>832.37602868967053</v>
      </c>
      <c r="N283" s="1">
        <v>1555.7334163543183</v>
      </c>
      <c r="O283" s="1">
        <v>2388.1094450439887</v>
      </c>
      <c r="P283" s="1">
        <v>202.01421984427077</v>
      </c>
      <c r="Q283" s="1">
        <v>377.57006636197929</v>
      </c>
      <c r="R283" s="1">
        <v>579.58428620625</v>
      </c>
      <c r="S283" s="67" t="s">
        <v>192</v>
      </c>
      <c r="T283">
        <f>VLOOKUP(A283,'Groupe de branches'!$Z$27:$AM$86,14,FALSE)</f>
        <v>0</v>
      </c>
      <c r="U283">
        <f>VLOOKUP(D283,'Groupe de branches'!$Z$27:$AM$86,14,FALSE)</f>
        <v>0</v>
      </c>
      <c r="V283">
        <v>2016</v>
      </c>
      <c r="W283" t="str">
        <f>VLOOKUP(D283,'Table corresp.'!$M$4:$S$63,7,FALSE)</f>
        <v>Consommation finale</v>
      </c>
      <c r="X283" s="167">
        <f>IFERROR(G283/SUMIFS('Comp2016-2017 (3)'!$I$5:$I$289,'Comp2016-2017 (3)'!$A$5:$A$289,A283,'Comp2016-2017 (3)'!$R$5:$R$289,V283),0)</f>
        <v>0.70128675630946113</v>
      </c>
      <c r="Y283" s="178">
        <f>IFERROR(IF(RIGHT(F283,3)="Exp",VLOOKUP(F283,#REF!,2,FALSE),VLOOKUP(F283,#REF!,9,FALSE)),1)</f>
        <v>1</v>
      </c>
      <c r="Z283" s="167">
        <f t="shared" si="33"/>
        <v>0.25</v>
      </c>
      <c r="AA283" s="189">
        <f t="shared" si="32"/>
        <v>0.17532168907736528</v>
      </c>
      <c r="AB283" s="2">
        <f>IFERROR(SUMIFS('Comp2016-2017 (3)'!$G$5:$G$289,'Comp2016-2017 (3)'!$A$5:$A$289,A283,'Comp2016-2017 (3)'!$R$5:$R$289,V283)*AA283/SUMIFS($AA$4:$AA$1116,$A$4:$A$1116,A283,$V$4:$V$1116,V283),0)</f>
        <v>738875.77383444202</v>
      </c>
      <c r="AC283" s="2" t="str">
        <f>IF($W283=AC$3,$AB283,IF(NOT($W283=0),"",SUMIFS('Val-Vol (2)'!AC$4:AC$1116,'Val-Vol (2)'!$A$4:$A$1116,$D283,'Val-Vol (2)'!$V$4:$V$1116,$V283)/SUMIFS('Comp2016-2017 (3)'!$G$5:$G$289,'Comp2016-2017 (3)'!$A$5:$A$289,$D283,'Comp2016-2017 (3)'!$R$5:$R$289,$V283)*$AB283))</f>
        <v/>
      </c>
      <c r="AD283" s="2" t="str">
        <f>IF($W283=AD$3,$AB283,IF(NOT($W283=0),"",SUMIFS('Val-Vol (2)'!AD$4:AD$1116,'Val-Vol (2)'!$A$4:$A$1116,$D283,'Val-Vol (2)'!$V$4:$V$1116,$V283)/SUMIFS('Comp2016-2017 (3)'!$G$5:$G$289,'Comp2016-2017 (3)'!$A$5:$A$289,$D283,'Comp2016-2017 (3)'!$R$5:$R$289,$V283)*$AB283))</f>
        <v/>
      </c>
      <c r="AE283" s="2" t="str">
        <f>IF($W283=AE$3,$AB283,IF(NOT($W283=0),"",SUMIFS('Val-Vol (2)'!AE$4:AE$1116,'Val-Vol (2)'!$A$4:$A$1116,$D283,'Val-Vol (2)'!$V$4:$V$1116,$V283)/SUMIFS('Comp2016-2017 (3)'!$G$5:$G$289,'Comp2016-2017 (3)'!$A$5:$A$289,$D283,'Comp2016-2017 (3)'!$R$5:$R$289,$V283)*$AB283))</f>
        <v/>
      </c>
      <c r="AF283" s="2" t="str">
        <f>IF($W283=AF$3,$AB283,IF(NOT($W283=0),"",SUMIFS('Val-Vol (2)'!AF$4:AF$1116,'Val-Vol (2)'!$A$4:$A$1116,$D283,'Val-Vol (2)'!$V$4:$V$1116,$V283)/SUMIFS('Comp2016-2017 (3)'!$G$5:$G$289,'Comp2016-2017 (3)'!$A$5:$A$289,$D283,'Comp2016-2017 (3)'!$R$5:$R$289,$V283)*$AB283))</f>
        <v/>
      </c>
      <c r="AG283" s="2" t="str">
        <f>IF($W283=AG$3,$AB283,IF(NOT($W283=0),"",SUMIFS('Val-Vol (2)'!AG$4:AG$1116,'Val-Vol (2)'!$A$4:$A$1116,$D283,'Val-Vol (2)'!$V$4:$V$1116,$V283)/SUMIFS('Comp2016-2017 (3)'!$G$5:$G$289,'Comp2016-2017 (3)'!$A$5:$A$289,$D283,'Comp2016-2017 (3)'!$R$5:$R$289,$V283)*$AB283))</f>
        <v/>
      </c>
      <c r="AH283" s="2" t="str">
        <f>IF($W283=AH$3,$AB283,IF(NOT($W283=0),"",SUMIFS('Val-Vol (2)'!AH$4:AH$1116,'Val-Vol (2)'!$A$4:$A$1116,$D283,'Val-Vol (2)'!$V$4:$V$1116,$V283)/SUMIFS('Comp2016-2017 (3)'!$G$5:$G$289,'Comp2016-2017 (3)'!$A$5:$A$289,$D283,'Comp2016-2017 (3)'!$R$5:$R$289,$V283)*$AB283))</f>
        <v/>
      </c>
      <c r="AI283" s="2" t="str">
        <f>IF($W283=AI$3,$AB283,IF(NOT($W283=0),"",SUMIFS('Val-Vol (2)'!AI$4:AI$1116,'Val-Vol (2)'!$A$4:$A$1116,$D283,'Val-Vol (2)'!$V$4:$V$1116,$V283)/SUMIFS('Comp2016-2017 (3)'!$G$5:$G$289,'Comp2016-2017 (3)'!$A$5:$A$289,$D283,'Comp2016-2017 (3)'!$R$5:$R$289,$V283)*$AB283))</f>
        <v/>
      </c>
      <c r="AJ283" s="2">
        <f>IF($W283=AJ$3,$AB283,IF(NOT($W283=0),"",SUMIFS('Val-Vol (2)'!AJ$4:AJ$1116,'Val-Vol (2)'!$A$4:$A$1116,$D283,'Val-Vol (2)'!$V$4:$V$1116,$V283)/SUMIFS('Comp2016-2017 (3)'!$G$5:$G$289,'Comp2016-2017 (3)'!$A$5:$A$289,$D283,'Comp2016-2017 (3)'!$R$5:$R$289,$V283)*$AB283))</f>
        <v>738875.77383444202</v>
      </c>
      <c r="AK283" s="2">
        <f t="shared" si="35"/>
        <v>0</v>
      </c>
      <c r="AL283" t="str">
        <f t="shared" si="31"/>
        <v/>
      </c>
      <c r="AM283" t="str">
        <f>VLOOKUP(A283,'Table corresp.'!$M$4:$U$63,8,FALSE)</f>
        <v>Production finale</v>
      </c>
      <c r="AN283" t="str">
        <f>VLOOKUP(D283,'Table corresp.'!$M$4:$U$63,9,FALSE)</f>
        <v>Consommation finale française</v>
      </c>
    </row>
    <row r="284" spans="1:40" x14ac:dyDescent="0.25">
      <c r="A284" t="s">
        <v>99</v>
      </c>
      <c r="B284" t="str">
        <f>VLOOKUP(LEFT(A284,3),'Table corresp.'!$A$4:$D$63,3,FALSE)</f>
        <v>Transformation</v>
      </c>
      <c r="C284" t="str">
        <f>VLOOKUP(A284,'Table corresp.'!$M$4:$P$63,4,FALSE)</f>
        <v>Production et transformation de produits bois</v>
      </c>
      <c r="D284" t="s">
        <v>53</v>
      </c>
      <c r="E284" t="str">
        <f>VLOOKUP(LEFT(D284,3),'Table corresp.'!$A$4:$D$63,4,FALSE)</f>
        <v>Exportation</v>
      </c>
      <c r="F284" t="str">
        <f t="shared" si="30"/>
        <v>47  - Exp</v>
      </c>
      <c r="G284" s="1">
        <v>965684.48899999994</v>
      </c>
      <c r="H284" s="1">
        <v>0</v>
      </c>
      <c r="I284" s="1">
        <v>965684.48899999994</v>
      </c>
      <c r="J284" s="1">
        <v>185.42334093221845</v>
      </c>
      <c r="K284" s="1">
        <v>0</v>
      </c>
      <c r="L284" s="1">
        <v>185.42334093221845</v>
      </c>
      <c r="M284" s="1">
        <v>413.36229992313844</v>
      </c>
      <c r="N284" s="1">
        <v>0</v>
      </c>
      <c r="O284" s="1">
        <v>413.36229992313844</v>
      </c>
      <c r="P284" s="1">
        <v>100.3213207178254</v>
      </c>
      <c r="Q284" s="1">
        <v>0</v>
      </c>
      <c r="R284" s="1">
        <v>100.3213207178254</v>
      </c>
      <c r="S284" s="67" t="s">
        <v>192</v>
      </c>
      <c r="T284">
        <f>VLOOKUP(A284,'Groupe de branches'!$Z$27:$AM$86,14,FALSE)</f>
        <v>0</v>
      </c>
      <c r="U284">
        <f>VLOOKUP(D284,'Groupe de branches'!$Z$27:$AM$86,14,FALSE)</f>
        <v>0</v>
      </c>
      <c r="V284">
        <v>2016</v>
      </c>
      <c r="W284" t="str">
        <f>VLOOKUP(D284,'Table corresp.'!$M$4:$S$63,7,FALSE)</f>
        <v>Exportation</v>
      </c>
      <c r="X284" s="167">
        <f>IFERROR(G284/SUMIFS('Comp2016-2017 (3)'!$I$5:$I$289,'Comp2016-2017 (3)'!$A$5:$A$289,A284,'Comp2016-2017 (3)'!$R$5:$R$289,V284),0)</f>
        <v>0.29329820519092115</v>
      </c>
      <c r="Y284" s="178">
        <f>IFERROR(IF(RIGHT(F284,3)="Exp",VLOOKUP(F284,#REF!,2,FALSE),VLOOKUP(F284,#REF!,9,FALSE)),1)</f>
        <v>1</v>
      </c>
      <c r="Z284" s="167">
        <f t="shared" si="33"/>
        <v>0.25</v>
      </c>
      <c r="AA284" s="189">
        <f t="shared" si="32"/>
        <v>7.3324551297730287E-2</v>
      </c>
      <c r="AB284" s="2">
        <f>IFERROR(SUMIFS('Comp2016-2017 (3)'!$G$5:$G$289,'Comp2016-2017 (3)'!$A$5:$A$289,A284,'Comp2016-2017 (3)'!$R$5:$R$289,V284)*AA284/SUMIFS($AA$4:$AA$1116,$A$4:$A$1116,A284,$V$4:$V$1116,V284),0)</f>
        <v>309019.00880766881</v>
      </c>
      <c r="AC284" s="2">
        <f>IF($W284=AC$3,$AB284,IF(NOT($W284=0),"",SUMIFS('Val-Vol (2)'!AC$4:AC$1116,'Val-Vol (2)'!$A$4:$A$1116,$D284,'Val-Vol (2)'!$V$4:$V$1116,$V284)/SUMIFS('Comp2016-2017 (3)'!$G$5:$G$289,'Comp2016-2017 (3)'!$A$5:$A$289,$D284,'Comp2016-2017 (3)'!$R$5:$R$289,$V284)*$AB284))</f>
        <v>309019.00880766881</v>
      </c>
      <c r="AD284" s="2" t="str">
        <f>IF($W284=AD$3,$AB284,IF(NOT($W284=0),"",SUMIFS('Val-Vol (2)'!AD$4:AD$1116,'Val-Vol (2)'!$A$4:$A$1116,$D284,'Val-Vol (2)'!$V$4:$V$1116,$V284)/SUMIFS('Comp2016-2017 (3)'!$G$5:$G$289,'Comp2016-2017 (3)'!$A$5:$A$289,$D284,'Comp2016-2017 (3)'!$R$5:$R$289,$V284)*$AB284))</f>
        <v/>
      </c>
      <c r="AE284" s="2" t="str">
        <f>IF($W284=AE$3,$AB284,IF(NOT($W284=0),"",SUMIFS('Val-Vol (2)'!AE$4:AE$1116,'Val-Vol (2)'!$A$4:$A$1116,$D284,'Val-Vol (2)'!$V$4:$V$1116,$V284)/SUMIFS('Comp2016-2017 (3)'!$G$5:$G$289,'Comp2016-2017 (3)'!$A$5:$A$289,$D284,'Comp2016-2017 (3)'!$R$5:$R$289,$V284)*$AB284))</f>
        <v/>
      </c>
      <c r="AF284" s="2" t="str">
        <f>IF($W284=AF$3,$AB284,IF(NOT($W284=0),"",SUMIFS('Val-Vol (2)'!AF$4:AF$1116,'Val-Vol (2)'!$A$4:$A$1116,$D284,'Val-Vol (2)'!$V$4:$V$1116,$V284)/SUMIFS('Comp2016-2017 (3)'!$G$5:$G$289,'Comp2016-2017 (3)'!$A$5:$A$289,$D284,'Comp2016-2017 (3)'!$R$5:$R$289,$V284)*$AB284))</f>
        <v/>
      </c>
      <c r="AG284" s="2" t="str">
        <f>IF($W284=AG$3,$AB284,IF(NOT($W284=0),"",SUMIFS('Val-Vol (2)'!AG$4:AG$1116,'Val-Vol (2)'!$A$4:$A$1116,$D284,'Val-Vol (2)'!$V$4:$V$1116,$V284)/SUMIFS('Comp2016-2017 (3)'!$G$5:$G$289,'Comp2016-2017 (3)'!$A$5:$A$289,$D284,'Comp2016-2017 (3)'!$R$5:$R$289,$V284)*$AB284))</f>
        <v/>
      </c>
      <c r="AH284" s="2" t="str">
        <f>IF($W284=AH$3,$AB284,IF(NOT($W284=0),"",SUMIFS('Val-Vol (2)'!AH$4:AH$1116,'Val-Vol (2)'!$A$4:$A$1116,$D284,'Val-Vol (2)'!$V$4:$V$1116,$V284)/SUMIFS('Comp2016-2017 (3)'!$G$5:$G$289,'Comp2016-2017 (3)'!$A$5:$A$289,$D284,'Comp2016-2017 (3)'!$R$5:$R$289,$V284)*$AB284))</f>
        <v/>
      </c>
      <c r="AI284" s="2" t="str">
        <f>IF($W284=AI$3,$AB284,IF(NOT($W284=0),"",SUMIFS('Val-Vol (2)'!AI$4:AI$1116,'Val-Vol (2)'!$A$4:$A$1116,$D284,'Val-Vol (2)'!$V$4:$V$1116,$V284)/SUMIFS('Comp2016-2017 (3)'!$G$5:$G$289,'Comp2016-2017 (3)'!$A$5:$A$289,$D284,'Comp2016-2017 (3)'!$R$5:$R$289,$V284)*$AB284))</f>
        <v/>
      </c>
      <c r="AJ284" s="2" t="str">
        <f>IF($W284=AJ$3,$AB284,IF(NOT($W284=0),"",SUMIFS('Val-Vol (2)'!AJ$4:AJ$1116,'Val-Vol (2)'!$A$4:$A$1116,$D284,'Val-Vol (2)'!$V$4:$V$1116,$V284)/SUMIFS('Comp2016-2017 (3)'!$G$5:$G$289,'Comp2016-2017 (3)'!$A$5:$A$289,$D284,'Comp2016-2017 (3)'!$R$5:$R$289,$V284)*$AB284))</f>
        <v/>
      </c>
      <c r="AK284" s="2">
        <f t="shared" si="35"/>
        <v>0</v>
      </c>
      <c r="AL284" t="str">
        <f t="shared" si="31"/>
        <v/>
      </c>
      <c r="AM284" t="str">
        <f>VLOOKUP(A284,'Table corresp.'!$M$4:$U$63,8,FALSE)</f>
        <v>Production finale</v>
      </c>
      <c r="AN284" t="str">
        <f>VLOOKUP(D284,'Table corresp.'!$M$4:$U$63,9,FALSE)</f>
        <v>Exportation</v>
      </c>
    </row>
    <row r="285" spans="1:40" x14ac:dyDescent="0.25">
      <c r="A285" t="s">
        <v>100</v>
      </c>
      <c r="B285" t="str">
        <f>VLOOKUP(LEFT(A285,3),'Table corresp.'!$A$4:$D$63,3,FALSE)</f>
        <v>Transformation</v>
      </c>
      <c r="C285" t="str">
        <f>VLOOKUP(A285,'Table corresp.'!$M$4:$P$63,4,FALSE)</f>
        <v>Production et transformation de produits bois</v>
      </c>
      <c r="D285" t="s">
        <v>54</v>
      </c>
      <c r="E285" t="str">
        <f>VLOOKUP(LEFT(D285,3),'Table corresp.'!$A$4:$D$63,4,FALSE)</f>
        <v>Consommation finale</v>
      </c>
      <c r="F285" t="str">
        <f t="shared" si="30"/>
        <v>48  - Con</v>
      </c>
      <c r="G285" s="58">
        <v>340248</v>
      </c>
      <c r="H285" s="58">
        <v>356515</v>
      </c>
      <c r="I285" s="58">
        <v>696763</v>
      </c>
      <c r="J285" s="1">
        <v>193.43580467774768</v>
      </c>
      <c r="K285" s="1">
        <v>379.70483094655611</v>
      </c>
      <c r="L285" s="1">
        <v>573.14063562430374</v>
      </c>
      <c r="M285" s="1">
        <v>0</v>
      </c>
      <c r="N285" s="1">
        <v>0</v>
      </c>
      <c r="O285" s="1">
        <v>0</v>
      </c>
      <c r="P285" s="1">
        <v>0</v>
      </c>
      <c r="Q285" s="1">
        <v>0</v>
      </c>
      <c r="R285" s="1">
        <v>0</v>
      </c>
      <c r="S285" s="67"/>
      <c r="T285">
        <f>VLOOKUP(A285,'Groupe de branches'!$Z$27:$AM$86,14,FALSE)</f>
        <v>0</v>
      </c>
      <c r="U285">
        <f>VLOOKUP(D285,'Groupe de branches'!$Z$27:$AM$86,14,FALSE)</f>
        <v>0</v>
      </c>
      <c r="V285">
        <v>2016</v>
      </c>
      <c r="W285" t="str">
        <f>VLOOKUP(D285,'Table corresp.'!$M$4:$S$63,7,FALSE)</f>
        <v>Consommation finale</v>
      </c>
      <c r="X285" s="167">
        <f>IFERROR(G285/SUMIFS('Comp2016-2017 (3)'!$I$5:$I$289,'Comp2016-2017 (3)'!$A$5:$A$289,A285,'Comp2016-2017 (3)'!$R$5:$R$289,V285),0)</f>
        <v>0.7699650293971434</v>
      </c>
      <c r="Y285" s="178">
        <f>IFERROR(IF(RIGHT(F285,3)="Exp",VLOOKUP(F285,#REF!,2,FALSE),VLOOKUP(F285,#REF!,9,FALSE)),1)</f>
        <v>1</v>
      </c>
      <c r="Z285" s="167">
        <f t="shared" si="33"/>
        <v>0.5</v>
      </c>
      <c r="AA285" s="189">
        <f t="shared" si="32"/>
        <v>0.3849825146985717</v>
      </c>
      <c r="AB285" s="2">
        <f>IFERROR(SUMIFS('Comp2016-2017 (3)'!$G$5:$G$289,'Comp2016-2017 (3)'!$A$5:$A$289,A285,'Comp2016-2017 (3)'!$R$5:$R$289,V285)*AA285/SUMIFS($AA$4:$AA$1116,$A$4:$A$1116,A285,$V$4:$V$1116,V285),0)</f>
        <v>129294.11974697356</v>
      </c>
      <c r="AC285" s="2" t="str">
        <f>IF($W285=AC$3,$AB285,IF(NOT($W285=0),"",SUMIFS('Val-Vol (2)'!AC$4:AC$1116,'Val-Vol (2)'!$A$4:$A$1116,$D285,'Val-Vol (2)'!$V$4:$V$1116,$V285)/SUMIFS('Comp2016-2017 (3)'!$G$5:$G$289,'Comp2016-2017 (3)'!$A$5:$A$289,$D285,'Comp2016-2017 (3)'!$R$5:$R$289,$V285)*$AB285))</f>
        <v/>
      </c>
      <c r="AD285" s="2" t="str">
        <f>IF($W285=AD$3,$AB285,IF(NOT($W285=0),"",SUMIFS('Val-Vol (2)'!AD$4:AD$1116,'Val-Vol (2)'!$A$4:$A$1116,$D285,'Val-Vol (2)'!$V$4:$V$1116,$V285)/SUMIFS('Comp2016-2017 (3)'!$G$5:$G$289,'Comp2016-2017 (3)'!$A$5:$A$289,$D285,'Comp2016-2017 (3)'!$R$5:$R$289,$V285)*$AB285))</f>
        <v/>
      </c>
      <c r="AE285" s="2" t="str">
        <f>IF($W285=AE$3,$AB285,IF(NOT($W285=0),"",SUMIFS('Val-Vol (2)'!AE$4:AE$1116,'Val-Vol (2)'!$A$4:$A$1116,$D285,'Val-Vol (2)'!$V$4:$V$1116,$V285)/SUMIFS('Comp2016-2017 (3)'!$G$5:$G$289,'Comp2016-2017 (3)'!$A$5:$A$289,$D285,'Comp2016-2017 (3)'!$R$5:$R$289,$V285)*$AB285))</f>
        <v/>
      </c>
      <c r="AF285" s="2" t="str">
        <f>IF($W285=AF$3,$AB285,IF(NOT($W285=0),"",SUMIFS('Val-Vol (2)'!AF$4:AF$1116,'Val-Vol (2)'!$A$4:$A$1116,$D285,'Val-Vol (2)'!$V$4:$V$1116,$V285)/SUMIFS('Comp2016-2017 (3)'!$G$5:$G$289,'Comp2016-2017 (3)'!$A$5:$A$289,$D285,'Comp2016-2017 (3)'!$R$5:$R$289,$V285)*$AB285))</f>
        <v/>
      </c>
      <c r="AG285" s="2" t="str">
        <f>IF($W285=AG$3,$AB285,IF(NOT($W285=0),"",SUMIFS('Val-Vol (2)'!AG$4:AG$1116,'Val-Vol (2)'!$A$4:$A$1116,$D285,'Val-Vol (2)'!$V$4:$V$1116,$V285)/SUMIFS('Comp2016-2017 (3)'!$G$5:$G$289,'Comp2016-2017 (3)'!$A$5:$A$289,$D285,'Comp2016-2017 (3)'!$R$5:$R$289,$V285)*$AB285))</f>
        <v/>
      </c>
      <c r="AH285" s="2" t="str">
        <f>IF($W285=AH$3,$AB285,IF(NOT($W285=0),"",SUMIFS('Val-Vol (2)'!AH$4:AH$1116,'Val-Vol (2)'!$A$4:$A$1116,$D285,'Val-Vol (2)'!$V$4:$V$1116,$V285)/SUMIFS('Comp2016-2017 (3)'!$G$5:$G$289,'Comp2016-2017 (3)'!$A$5:$A$289,$D285,'Comp2016-2017 (3)'!$R$5:$R$289,$V285)*$AB285))</f>
        <v/>
      </c>
      <c r="AI285" s="2" t="str">
        <f>IF($W285=AI$3,$AB285,IF(NOT($W285=0),"",SUMIFS('Val-Vol (2)'!AI$4:AI$1116,'Val-Vol (2)'!$A$4:$A$1116,$D285,'Val-Vol (2)'!$V$4:$V$1116,$V285)/SUMIFS('Comp2016-2017 (3)'!$G$5:$G$289,'Comp2016-2017 (3)'!$A$5:$A$289,$D285,'Comp2016-2017 (3)'!$R$5:$R$289,$V285)*$AB285))</f>
        <v/>
      </c>
      <c r="AJ285" s="2">
        <f>IF($W285=AJ$3,$AB285,IF(NOT($W285=0),"",SUMIFS('Val-Vol (2)'!AJ$4:AJ$1116,'Val-Vol (2)'!$A$4:$A$1116,$D285,'Val-Vol (2)'!$V$4:$V$1116,$V285)/SUMIFS('Comp2016-2017 (3)'!$G$5:$G$289,'Comp2016-2017 (3)'!$A$5:$A$289,$D285,'Comp2016-2017 (3)'!$R$5:$R$289,$V285)*$AB285))</f>
        <v>129294.11974697356</v>
      </c>
      <c r="AK285" s="2">
        <f t="shared" si="35"/>
        <v>0</v>
      </c>
      <c r="AL285" t="str">
        <f t="shared" si="31"/>
        <v/>
      </c>
      <c r="AM285" t="str">
        <f>VLOOKUP(A285,'Table corresp.'!$M$4:$U$63,8,FALSE)</f>
        <v>Production finale</v>
      </c>
      <c r="AN285" t="str">
        <f>VLOOKUP(D285,'Table corresp.'!$M$4:$U$63,9,FALSE)</f>
        <v>Consommation finale française</v>
      </c>
    </row>
    <row r="286" spans="1:40" x14ac:dyDescent="0.25">
      <c r="A286" t="s">
        <v>100</v>
      </c>
      <c r="B286" t="str">
        <f>VLOOKUP(LEFT(A286,3),'Table corresp.'!$A$4:$D$63,3,FALSE)</f>
        <v>Transformation</v>
      </c>
      <c r="C286" t="str">
        <f>VLOOKUP(A286,'Table corresp.'!$M$4:$P$63,4,FALSE)</f>
        <v>Production et transformation de produits bois</v>
      </c>
      <c r="D286" t="s">
        <v>53</v>
      </c>
      <c r="E286" t="str">
        <f>VLOOKUP(LEFT(D286,3),'Table corresp.'!$A$4:$D$63,4,FALSE)</f>
        <v>Exportation</v>
      </c>
      <c r="F286" t="str">
        <f t="shared" si="30"/>
        <v>48  - Exp</v>
      </c>
      <c r="G286" s="1">
        <v>101653</v>
      </c>
      <c r="H286" s="1">
        <v>0</v>
      </c>
      <c r="I286" s="1">
        <v>101653</v>
      </c>
      <c r="J286" s="1">
        <v>57.791220676886404</v>
      </c>
      <c r="K286" s="1">
        <v>0</v>
      </c>
      <c r="L286" s="1">
        <v>57.791220676886404</v>
      </c>
      <c r="M286" s="1">
        <v>0</v>
      </c>
      <c r="N286" s="1">
        <v>0</v>
      </c>
      <c r="O286" s="1">
        <v>0</v>
      </c>
      <c r="P286" s="1">
        <v>0</v>
      </c>
      <c r="Q286" s="1">
        <v>0</v>
      </c>
      <c r="R286" s="1">
        <v>0</v>
      </c>
      <c r="S286" s="67"/>
      <c r="T286">
        <f>VLOOKUP(A286,'Groupe de branches'!$Z$27:$AM$86,14,FALSE)</f>
        <v>0</v>
      </c>
      <c r="U286">
        <f>VLOOKUP(D286,'Groupe de branches'!$Z$27:$AM$86,14,FALSE)</f>
        <v>0</v>
      </c>
      <c r="V286">
        <v>2016</v>
      </c>
      <c r="W286" t="str">
        <f>VLOOKUP(D286,'Table corresp.'!$M$4:$S$63,7,FALSE)</f>
        <v>Exportation</v>
      </c>
      <c r="X286" s="167">
        <f>IFERROR(G286/SUMIFS('Comp2016-2017 (3)'!$I$5:$I$289,'Comp2016-2017 (3)'!$A$5:$A$289,A286,'Comp2016-2017 (3)'!$R$5:$R$289,V286),0)</f>
        <v>0.2300359006762944</v>
      </c>
      <c r="Y286" s="178">
        <f>IFERROR(IF(RIGHT(F286,3)="Exp",VLOOKUP(F286,#REF!,2,FALSE),VLOOKUP(F286,#REF!,9,FALSE)),1)</f>
        <v>1</v>
      </c>
      <c r="Z286" s="167">
        <f t="shared" si="33"/>
        <v>0.5</v>
      </c>
      <c r="AA286" s="189">
        <f t="shared" si="32"/>
        <v>0.1150179503381472</v>
      </c>
      <c r="AB286" s="2">
        <f>IFERROR(SUMIFS('Comp2016-2017 (3)'!$G$5:$G$289,'Comp2016-2017 (3)'!$A$5:$A$289,A286,'Comp2016-2017 (3)'!$R$5:$R$289,V286)*AA286/SUMIFS($AA$4:$AA$1116,$A$4:$A$1116,A286,$V$4:$V$1116,V286),0)</f>
        <v>38628.10407302645</v>
      </c>
      <c r="AC286" s="2">
        <f>IF($W286=AC$3,$AB286,IF(NOT($W286=0),"",SUMIFS('Val-Vol (2)'!AC$4:AC$1116,'Val-Vol (2)'!$A$4:$A$1116,$D286,'Val-Vol (2)'!$V$4:$V$1116,$V286)/SUMIFS('Comp2016-2017 (3)'!$G$5:$G$289,'Comp2016-2017 (3)'!$A$5:$A$289,$D286,'Comp2016-2017 (3)'!$R$5:$R$289,$V286)*$AB286))</f>
        <v>38628.10407302645</v>
      </c>
      <c r="AD286" s="2" t="str">
        <f>IF($W286=AD$3,$AB286,IF(NOT($W286=0),"",SUMIFS('Val-Vol (2)'!AD$4:AD$1116,'Val-Vol (2)'!$A$4:$A$1116,$D286,'Val-Vol (2)'!$V$4:$V$1116,$V286)/SUMIFS('Comp2016-2017 (3)'!$G$5:$G$289,'Comp2016-2017 (3)'!$A$5:$A$289,$D286,'Comp2016-2017 (3)'!$R$5:$R$289,$V286)*$AB286))</f>
        <v/>
      </c>
      <c r="AE286" s="2" t="str">
        <f>IF($W286=AE$3,$AB286,IF(NOT($W286=0),"",SUMIFS('Val-Vol (2)'!AE$4:AE$1116,'Val-Vol (2)'!$A$4:$A$1116,$D286,'Val-Vol (2)'!$V$4:$V$1116,$V286)/SUMIFS('Comp2016-2017 (3)'!$G$5:$G$289,'Comp2016-2017 (3)'!$A$5:$A$289,$D286,'Comp2016-2017 (3)'!$R$5:$R$289,$V286)*$AB286))</f>
        <v/>
      </c>
      <c r="AF286" s="2" t="str">
        <f>IF($W286=AF$3,$AB286,IF(NOT($W286=0),"",SUMIFS('Val-Vol (2)'!AF$4:AF$1116,'Val-Vol (2)'!$A$4:$A$1116,$D286,'Val-Vol (2)'!$V$4:$V$1116,$V286)/SUMIFS('Comp2016-2017 (3)'!$G$5:$G$289,'Comp2016-2017 (3)'!$A$5:$A$289,$D286,'Comp2016-2017 (3)'!$R$5:$R$289,$V286)*$AB286))</f>
        <v/>
      </c>
      <c r="AG286" s="2" t="str">
        <f>IF($W286=AG$3,$AB286,IF(NOT($W286=0),"",SUMIFS('Val-Vol (2)'!AG$4:AG$1116,'Val-Vol (2)'!$A$4:$A$1116,$D286,'Val-Vol (2)'!$V$4:$V$1116,$V286)/SUMIFS('Comp2016-2017 (3)'!$G$5:$G$289,'Comp2016-2017 (3)'!$A$5:$A$289,$D286,'Comp2016-2017 (3)'!$R$5:$R$289,$V286)*$AB286))</f>
        <v/>
      </c>
      <c r="AH286" s="2" t="str">
        <f>IF($W286=AH$3,$AB286,IF(NOT($W286=0),"",SUMIFS('Val-Vol (2)'!AH$4:AH$1116,'Val-Vol (2)'!$A$4:$A$1116,$D286,'Val-Vol (2)'!$V$4:$V$1116,$V286)/SUMIFS('Comp2016-2017 (3)'!$G$5:$G$289,'Comp2016-2017 (3)'!$A$5:$A$289,$D286,'Comp2016-2017 (3)'!$R$5:$R$289,$V286)*$AB286))</f>
        <v/>
      </c>
      <c r="AI286" s="2" t="str">
        <f>IF($W286=AI$3,$AB286,IF(NOT($W286=0),"",SUMIFS('Val-Vol (2)'!AI$4:AI$1116,'Val-Vol (2)'!$A$4:$A$1116,$D286,'Val-Vol (2)'!$V$4:$V$1116,$V286)/SUMIFS('Comp2016-2017 (3)'!$G$5:$G$289,'Comp2016-2017 (3)'!$A$5:$A$289,$D286,'Comp2016-2017 (3)'!$R$5:$R$289,$V286)*$AB286))</f>
        <v/>
      </c>
      <c r="AJ286" s="2" t="str">
        <f>IF($W286=AJ$3,$AB286,IF(NOT($W286=0),"",SUMIFS('Val-Vol (2)'!AJ$4:AJ$1116,'Val-Vol (2)'!$A$4:$A$1116,$D286,'Val-Vol (2)'!$V$4:$V$1116,$V286)/SUMIFS('Comp2016-2017 (3)'!$G$5:$G$289,'Comp2016-2017 (3)'!$A$5:$A$289,$D286,'Comp2016-2017 (3)'!$R$5:$R$289,$V286)*$AB286))</f>
        <v/>
      </c>
      <c r="AK286" s="2">
        <f t="shared" si="35"/>
        <v>0</v>
      </c>
      <c r="AL286" t="str">
        <f t="shared" si="31"/>
        <v/>
      </c>
      <c r="AM286" t="str">
        <f>VLOOKUP(A286,'Table corresp.'!$M$4:$U$63,8,FALSE)</f>
        <v>Production finale</v>
      </c>
      <c r="AN286" t="str">
        <f>VLOOKUP(D286,'Table corresp.'!$M$4:$U$63,9,FALSE)</f>
        <v>Exportation</v>
      </c>
    </row>
    <row r="287" spans="1:40" x14ac:dyDescent="0.25">
      <c r="A287" t="s">
        <v>101</v>
      </c>
      <c r="B287" t="str">
        <f>VLOOKUP(LEFT(A287,3),'Table corresp.'!$A$4:$D$63,3,FALSE)</f>
        <v>Transformation</v>
      </c>
      <c r="C287" t="str">
        <f>VLOOKUP(A287,'Table corresp.'!$M$4:$P$63,4,FALSE)</f>
        <v>Production et transformation de produits bois</v>
      </c>
      <c r="D287" t="s">
        <v>54</v>
      </c>
      <c r="E287" t="str">
        <f>VLOOKUP(LEFT(D287,3),'Table corresp.'!$A$4:$D$63,4,FALSE)</f>
        <v>Consommation finale</v>
      </c>
      <c r="F287" t="str">
        <f t="shared" si="30"/>
        <v>49  - Con</v>
      </c>
      <c r="G287" s="1">
        <v>1865466.3110146625</v>
      </c>
      <c r="H287" s="1">
        <v>0</v>
      </c>
      <c r="I287" s="1">
        <v>1865466.3110146625</v>
      </c>
      <c r="J287" s="1">
        <v>0</v>
      </c>
      <c r="K287" s="1">
        <v>0</v>
      </c>
      <c r="L287" s="1">
        <v>0</v>
      </c>
      <c r="M287" s="1">
        <v>0</v>
      </c>
      <c r="N287" s="1">
        <v>0</v>
      </c>
      <c r="O287" s="1">
        <v>0</v>
      </c>
      <c r="P287" s="1">
        <v>5108.3085012386837</v>
      </c>
      <c r="Q287" s="1">
        <v>0</v>
      </c>
      <c r="R287" s="1">
        <v>5108.3085012386837</v>
      </c>
      <c r="S287" s="67" t="s">
        <v>198</v>
      </c>
      <c r="T287">
        <f>VLOOKUP(A287,'Groupe de branches'!$Z$27:$AM$86,14,FALSE)</f>
        <v>1</v>
      </c>
      <c r="U287">
        <f>VLOOKUP(D287,'Groupe de branches'!$Z$27:$AM$86,14,FALSE)</f>
        <v>0</v>
      </c>
      <c r="V287">
        <v>2016</v>
      </c>
      <c r="W287" t="str">
        <f>VLOOKUP(D287,'Table corresp.'!$M$4:$S$63,7,FALSE)</f>
        <v>Consommation finale</v>
      </c>
      <c r="X287" s="167">
        <f>IFERROR(G287/SUMIFS('Comp2016-2017 (3)'!$I$5:$I$289,'Comp2016-2017 (3)'!$A$5:$A$289,A287,'Comp2016-2017 (3)'!$R$5:$R$289,V287),0)</f>
        <v>1</v>
      </c>
      <c r="Y287" s="178">
        <f>IFERROR(IF(RIGHT(F287,3)="Exp",VLOOKUP(F287,#REF!,2,FALSE),VLOOKUP(F287,#REF!,9,FALSE)),1)</f>
        <v>1</v>
      </c>
      <c r="Z287" s="167">
        <f t="shared" si="33"/>
        <v>1</v>
      </c>
      <c r="AA287" s="189">
        <f t="shared" si="32"/>
        <v>1</v>
      </c>
      <c r="AB287" s="2">
        <f>IFERROR(SUMIFS('Comp2016-2017 (3)'!$G$5:$G$289,'Comp2016-2017 (3)'!$A$5:$A$289,A287,'Comp2016-2017 (3)'!$R$5:$R$289,V287)*AA287/SUMIFS($AA$4:$AA$1116,$A$4:$A$1116,A287,$V$4:$V$1116,V287),0)</f>
        <v>485021.24086381227</v>
      </c>
      <c r="AC287" s="2" t="str">
        <f>IF($W287=AC$3,$AB287,IF(NOT($W287=0),"",SUMIFS('Val-Vol (2)'!AC$4:AC$1116,'Val-Vol (2)'!$A$4:$A$1116,$D287,'Val-Vol (2)'!$V$4:$V$1116,$V287)/SUMIFS('Comp2016-2017 (3)'!$G$5:$G$289,'Comp2016-2017 (3)'!$A$5:$A$289,$D287,'Comp2016-2017 (3)'!$R$5:$R$289,$V287)*$AB287))</f>
        <v/>
      </c>
      <c r="AD287" s="2" t="str">
        <f>IF($W287=AD$3,$AB287,IF(NOT($W287=0),"",SUMIFS('Val-Vol (2)'!AD$4:AD$1116,'Val-Vol (2)'!$A$4:$A$1116,$D287,'Val-Vol (2)'!$V$4:$V$1116,$V287)/SUMIFS('Comp2016-2017 (3)'!$G$5:$G$289,'Comp2016-2017 (3)'!$A$5:$A$289,$D287,'Comp2016-2017 (3)'!$R$5:$R$289,$V287)*$AB287))</f>
        <v/>
      </c>
      <c r="AE287" s="2" t="str">
        <f>IF($W287=AE$3,$AB287,IF(NOT($W287=0),"",SUMIFS('Val-Vol (2)'!AE$4:AE$1116,'Val-Vol (2)'!$A$4:$A$1116,$D287,'Val-Vol (2)'!$V$4:$V$1116,$V287)/SUMIFS('Comp2016-2017 (3)'!$G$5:$G$289,'Comp2016-2017 (3)'!$A$5:$A$289,$D287,'Comp2016-2017 (3)'!$R$5:$R$289,$V287)*$AB287))</f>
        <v/>
      </c>
      <c r="AF287" s="2" t="str">
        <f>IF($W287=AF$3,$AB287,IF(NOT($W287=0),"",SUMIFS('Val-Vol (2)'!AF$4:AF$1116,'Val-Vol (2)'!$A$4:$A$1116,$D287,'Val-Vol (2)'!$V$4:$V$1116,$V287)/SUMIFS('Comp2016-2017 (3)'!$G$5:$G$289,'Comp2016-2017 (3)'!$A$5:$A$289,$D287,'Comp2016-2017 (3)'!$R$5:$R$289,$V287)*$AB287))</f>
        <v/>
      </c>
      <c r="AG287" s="2" t="str">
        <f>IF($W287=AG$3,$AB287,IF(NOT($W287=0),"",SUMIFS('Val-Vol (2)'!AG$4:AG$1116,'Val-Vol (2)'!$A$4:$A$1116,$D287,'Val-Vol (2)'!$V$4:$V$1116,$V287)/SUMIFS('Comp2016-2017 (3)'!$G$5:$G$289,'Comp2016-2017 (3)'!$A$5:$A$289,$D287,'Comp2016-2017 (3)'!$R$5:$R$289,$V287)*$AB287))</f>
        <v/>
      </c>
      <c r="AH287" s="2" t="str">
        <f>IF($W287=AH$3,$AB287,IF(NOT($W287=0),"",SUMIFS('Val-Vol (2)'!AH$4:AH$1116,'Val-Vol (2)'!$A$4:$A$1116,$D287,'Val-Vol (2)'!$V$4:$V$1116,$V287)/SUMIFS('Comp2016-2017 (3)'!$G$5:$G$289,'Comp2016-2017 (3)'!$A$5:$A$289,$D287,'Comp2016-2017 (3)'!$R$5:$R$289,$V287)*$AB287))</f>
        <v/>
      </c>
      <c r="AI287" s="2" t="str">
        <f>IF($W287=AI$3,$AB287,IF(NOT($W287=0),"",SUMIFS('Val-Vol (2)'!AI$4:AI$1116,'Val-Vol (2)'!$A$4:$A$1116,$D287,'Val-Vol (2)'!$V$4:$V$1116,$V287)/SUMIFS('Comp2016-2017 (3)'!$G$5:$G$289,'Comp2016-2017 (3)'!$A$5:$A$289,$D287,'Comp2016-2017 (3)'!$R$5:$R$289,$V287)*$AB287))</f>
        <v/>
      </c>
      <c r="AJ287" s="2">
        <f>IF($W287=AJ$3,$AB287,IF(NOT($W287=0),"",SUMIFS('Val-Vol (2)'!AJ$4:AJ$1116,'Val-Vol (2)'!$A$4:$A$1116,$D287,'Val-Vol (2)'!$V$4:$V$1116,$V287)/SUMIFS('Comp2016-2017 (3)'!$G$5:$G$289,'Comp2016-2017 (3)'!$A$5:$A$289,$D287,'Comp2016-2017 (3)'!$R$5:$R$289,$V287)*$AB287))</f>
        <v>485021.24086381227</v>
      </c>
      <c r="AK287" s="2">
        <f t="shared" si="35"/>
        <v>0</v>
      </c>
      <c r="AL287" t="str">
        <f t="shared" si="31"/>
        <v/>
      </c>
      <c r="AM287" t="str">
        <f>VLOOKUP(A287,'Table corresp.'!$M$4:$U$63,8,FALSE)</f>
        <v>Production finale</v>
      </c>
      <c r="AN287" t="str">
        <f>VLOOKUP(D287,'Table corresp.'!$M$4:$U$63,9,FALSE)</f>
        <v>Consommation finale française</v>
      </c>
    </row>
    <row r="288" spans="1:40" x14ac:dyDescent="0.25">
      <c r="A288" t="s">
        <v>102</v>
      </c>
      <c r="B288" t="str">
        <f>VLOOKUP(LEFT(A288,3),'Table corresp.'!$A$4:$D$63,3,FALSE)</f>
        <v>Bois recyclés</v>
      </c>
      <c r="C288" t="str">
        <f>VLOOKUP(A288,'Table corresp.'!$M$4:$P$63,4,FALSE)</f>
        <v>Production et transformation de produits bois</v>
      </c>
      <c r="D288" t="s">
        <v>87</v>
      </c>
      <c r="E288" t="str">
        <f>VLOOKUP(LEFT(D288,3),'Table corresp.'!$A$4:$D$63,4,FALSE)</f>
        <v>Transformation</v>
      </c>
      <c r="F288" t="str">
        <f t="shared" si="30"/>
        <v xml:space="preserve">50  - 31 </v>
      </c>
      <c r="G288" s="1">
        <v>10680</v>
      </c>
      <c r="H288" s="1">
        <v>0</v>
      </c>
      <c r="I288" s="1">
        <v>10680</v>
      </c>
      <c r="J288" s="1">
        <v>0</v>
      </c>
      <c r="K288" s="1">
        <v>0</v>
      </c>
      <c r="L288" s="1">
        <v>0</v>
      </c>
      <c r="M288" s="1">
        <v>0</v>
      </c>
      <c r="N288" s="1">
        <v>0</v>
      </c>
      <c r="O288" s="1">
        <v>0</v>
      </c>
      <c r="P288" s="1">
        <v>864.33445589006283</v>
      </c>
      <c r="Q288" s="1">
        <v>0</v>
      </c>
      <c r="R288" s="1">
        <v>864.33445589006283</v>
      </c>
      <c r="S288" s="67" t="s">
        <v>192</v>
      </c>
      <c r="T288">
        <f>VLOOKUP(A288,'Groupe de branches'!$Z$27:$AM$86,14,FALSE)</f>
        <v>0</v>
      </c>
      <c r="U288">
        <f>VLOOKUP(D288,'Groupe de branches'!$Z$27:$AM$86,14,FALSE)</f>
        <v>0</v>
      </c>
      <c r="V288">
        <v>2016</v>
      </c>
      <c r="W288">
        <f>VLOOKUP(D288,'Table corresp.'!$M$4:$S$63,7,FALSE)</f>
        <v>0</v>
      </c>
      <c r="X288" s="167">
        <f>IFERROR(G288/SUMIFS('Comp2016-2017 (3)'!$I$5:$I$289,'Comp2016-2017 (3)'!$A$5:$A$289,A288,'Comp2016-2017 (3)'!$R$5:$R$289,V288),0)</f>
        <v>5.0971026693927578E-2</v>
      </c>
      <c r="Y288" s="178">
        <f>IFERROR(IF(RIGHT(F288,3)="Exp",VLOOKUP(F288,#REF!,2,FALSE),VLOOKUP(F288,#REF!,9,FALSE)),1)</f>
        <v>1</v>
      </c>
      <c r="Z288" s="167">
        <f t="shared" si="33"/>
        <v>0.2</v>
      </c>
      <c r="AA288" s="189">
        <f t="shared" si="32"/>
        <v>1.0194205338785517E-2</v>
      </c>
      <c r="AB288" s="2">
        <f>IFERROR(SUMIFS('Comp2016-2017 (3)'!$G$5:$G$289,'Comp2016-2017 (3)'!$A$5:$A$289,A288,'Comp2016-2017 (3)'!$R$5:$R$289,V288)*AA288/SUMIFS($AA$4:$AA$1116,$A$4:$A$1116,A288,$V$4:$V$1116,V288),0)</f>
        <v>4806</v>
      </c>
      <c r="AC288" s="2">
        <f>IF($W288=AC$3,$AB288,IF(NOT($W288=0),"",SUMIFS('Val-Vol (2)'!AC$4:AC$1116,'Val-Vol (2)'!$A$4:$A$1116,$D288,'Val-Vol (2)'!$V$4:$V$1116,$V288)/SUMIFS('Comp2016-2017 (3)'!$G$5:$G$289,'Comp2016-2017 (3)'!$A$5:$A$289,$D288,'Comp2016-2017 (3)'!$R$5:$R$289,$V288)*$AB288))</f>
        <v>2636.9078743607188</v>
      </c>
      <c r="AD288" s="2">
        <f>IF($W288=AD$3,$AB288,IF(NOT($W288=0),"",SUMIFS('Val-Vol (2)'!AD$4:AD$1116,'Val-Vol (2)'!$A$4:$A$1116,$D288,'Val-Vol (2)'!$V$4:$V$1116,$V288)/SUMIFS('Comp2016-2017 (3)'!$G$5:$G$289,'Comp2016-2017 (3)'!$A$5:$A$289,$D288,'Comp2016-2017 (3)'!$R$5:$R$289,$V288)*$AB288))</f>
        <v>727.99611153344154</v>
      </c>
      <c r="AE288" s="2">
        <f>IF($W288=AE$3,$AB288,IF(NOT($W288=0),"",SUMIFS('Val-Vol (2)'!AE$4:AE$1116,'Val-Vol (2)'!$A$4:$A$1116,$D288,'Val-Vol (2)'!$V$4:$V$1116,$V288)/SUMIFS('Comp2016-2017 (3)'!$G$5:$G$289,'Comp2016-2017 (3)'!$A$5:$A$289,$D288,'Comp2016-2017 (3)'!$R$5:$R$289,$V288)*$AB288))</f>
        <v>910.08184885251922</v>
      </c>
      <c r="AF288" s="2">
        <f>IF($W288=AF$3,$AB288,IF(NOT($W288=0),"",SUMIFS('Val-Vol (2)'!AF$4:AF$1116,'Val-Vol (2)'!$A$4:$A$1116,$D288,'Val-Vol (2)'!$V$4:$V$1116,$V288)/SUMIFS('Comp2016-2017 (3)'!$G$5:$G$289,'Comp2016-2017 (3)'!$A$5:$A$289,$D288,'Comp2016-2017 (3)'!$R$5:$R$289,$V288)*$AB288))</f>
        <v>0</v>
      </c>
      <c r="AG288" s="2">
        <f>IF($W288=AG$3,$AB288,IF(NOT($W288=0),"",SUMIFS('Val-Vol (2)'!AG$4:AG$1116,'Val-Vol (2)'!$A$4:$A$1116,$D288,'Val-Vol (2)'!$V$4:$V$1116,$V288)/SUMIFS('Comp2016-2017 (3)'!$G$5:$G$289,'Comp2016-2017 (3)'!$A$5:$A$289,$D288,'Comp2016-2017 (3)'!$R$5:$R$289,$V288)*$AB288))</f>
        <v>392.5656720235674</v>
      </c>
      <c r="AH288" s="2">
        <f>IF($W288=AH$3,$AB288,IF(NOT($W288=0),"",SUMIFS('Val-Vol (2)'!AH$4:AH$1116,'Val-Vol (2)'!$A$4:$A$1116,$D288,'Val-Vol (2)'!$V$4:$V$1116,$V288)/SUMIFS('Comp2016-2017 (3)'!$G$5:$G$289,'Comp2016-2017 (3)'!$A$5:$A$289,$D288,'Comp2016-2017 (3)'!$R$5:$R$289,$V288)*$AB288))</f>
        <v>0</v>
      </c>
      <c r="AI288" s="2">
        <f>IF($W288=AI$3,$AB288,IF(NOT($W288=0),"",SUMIFS('Val-Vol (2)'!AI$4:AI$1116,'Val-Vol (2)'!$A$4:$A$1116,$D288,'Val-Vol (2)'!$V$4:$V$1116,$V288)/SUMIFS('Comp2016-2017 (3)'!$G$5:$G$289,'Comp2016-2017 (3)'!$A$5:$A$289,$D288,'Comp2016-2017 (3)'!$R$5:$R$289,$V288)*$AB288))</f>
        <v>0</v>
      </c>
      <c r="AJ288" s="2">
        <f>IF($W288=AJ$3,$AB288,IF(NOT($W288=0),"",SUMIFS('Val-Vol (2)'!AJ$4:AJ$1116,'Val-Vol (2)'!$A$4:$A$1116,$D288,'Val-Vol (2)'!$V$4:$V$1116,$V288)/SUMIFS('Comp2016-2017 (3)'!$G$5:$G$289,'Comp2016-2017 (3)'!$A$5:$A$289,$D288,'Comp2016-2017 (3)'!$R$5:$R$289,$V288)*$AB288))</f>
        <v>138.44849322975358</v>
      </c>
      <c r="AK288" s="2">
        <f t="shared" si="35"/>
        <v>0</v>
      </c>
      <c r="AL288" t="str">
        <f t="shared" si="31"/>
        <v/>
      </c>
      <c r="AM288" t="str">
        <f>VLOOKUP(A288,'Table corresp.'!$M$4:$U$63,8,FALSE)</f>
        <v>Bois recyclés</v>
      </c>
      <c r="AN288" t="str">
        <f>VLOOKUP(D288,'Table corresp.'!$M$4:$U$63,9,FALSE)</f>
        <v>Production intermédiaire</v>
      </c>
    </row>
    <row r="289" spans="1:40" x14ac:dyDescent="0.25">
      <c r="A289" t="s">
        <v>102</v>
      </c>
      <c r="B289" t="str">
        <f>VLOOKUP(LEFT(A289,3),'Table corresp.'!$A$4:$D$63,3,FALSE)</f>
        <v>Bois recyclés</v>
      </c>
      <c r="C289" t="str">
        <f>VLOOKUP(A289,'Table corresp.'!$M$4:$P$63,4,FALSE)</f>
        <v>Production et transformation de produits bois</v>
      </c>
      <c r="D289" t="s">
        <v>101</v>
      </c>
      <c r="E289" t="str">
        <f>VLOOKUP(LEFT(D289,3),'Table corresp.'!$A$4:$D$63,4,FALSE)</f>
        <v>Transformation</v>
      </c>
      <c r="F289" t="str">
        <f t="shared" si="30"/>
        <v xml:space="preserve">50  - 49 </v>
      </c>
      <c r="G289" s="1">
        <v>61146</v>
      </c>
      <c r="H289" s="1">
        <v>0</v>
      </c>
      <c r="I289" s="1">
        <v>61146</v>
      </c>
      <c r="J289" s="1">
        <v>0</v>
      </c>
      <c r="K289" s="1">
        <v>0</v>
      </c>
      <c r="L289" s="1">
        <v>0</v>
      </c>
      <c r="M289" s="1">
        <v>0</v>
      </c>
      <c r="N289" s="1">
        <v>0</v>
      </c>
      <c r="O289" s="1">
        <v>0</v>
      </c>
      <c r="P289" s="1">
        <v>1251.7215877631509</v>
      </c>
      <c r="Q289" s="1">
        <v>0</v>
      </c>
      <c r="R289" s="1">
        <v>1251.7215877631509</v>
      </c>
      <c r="S289" s="67" t="s">
        <v>198</v>
      </c>
      <c r="T289">
        <f>VLOOKUP(A289,'Groupe de branches'!$Z$27:$AM$86,14,FALSE)</f>
        <v>0</v>
      </c>
      <c r="U289">
        <f>VLOOKUP(D289,'Groupe de branches'!$Z$27:$AM$86,14,FALSE)</f>
        <v>1</v>
      </c>
      <c r="V289">
        <v>2016</v>
      </c>
      <c r="W289" t="str">
        <f>VLOOKUP(D289,'Table corresp.'!$M$4:$S$63,7,FALSE)</f>
        <v>Energie</v>
      </c>
      <c r="X289" s="167">
        <f>IFERROR(G289/SUMIFS('Comp2016-2017 (3)'!$I$5:$I$289,'Comp2016-2017 (3)'!$A$5:$A$289,A289,'Comp2016-2017 (3)'!$R$5:$R$289,V289),0)</f>
        <v>0.2918234455268629</v>
      </c>
      <c r="Y289" s="178">
        <f>IFERROR(IF(RIGHT(F289,3)="Exp",VLOOKUP(F289,#REF!,2,FALSE),VLOOKUP(F289,#REF!,9,FALSE)),1)</f>
        <v>1</v>
      </c>
      <c r="Z289" s="167">
        <f t="shared" si="33"/>
        <v>0.2</v>
      </c>
      <c r="AA289" s="189">
        <f t="shared" si="32"/>
        <v>5.8364689105372583E-2</v>
      </c>
      <c r="AB289" s="2">
        <f>IFERROR(SUMIFS('Comp2016-2017 (3)'!$G$5:$G$289,'Comp2016-2017 (3)'!$A$5:$A$289,A289,'Comp2016-2017 (3)'!$R$5:$R$289,V289)*AA289/SUMIFS($AA$4:$AA$1116,$A$4:$A$1116,A289,$V$4:$V$1116,V289),0)</f>
        <v>27515.699999999997</v>
      </c>
      <c r="AC289" s="2" t="str">
        <f>IF($W289=AC$3,$AB289,IF(NOT($W289=0),"",SUMIFS('Val-Vol (2)'!AC$4:AC$1116,'Val-Vol (2)'!$A$4:$A$1116,$D289,'Val-Vol (2)'!$V$4:$V$1116,$V289)/SUMIFS('Comp2016-2017 (3)'!$G$5:$G$289,'Comp2016-2017 (3)'!$A$5:$A$289,$D289,'Comp2016-2017 (3)'!$R$5:$R$289,$V289)*$AB289))</f>
        <v/>
      </c>
      <c r="AD289" s="2" t="str">
        <f>IF($W289=AD$3,$AB289,IF(NOT($W289=0),"",SUMIFS('Val-Vol (2)'!AD$4:AD$1116,'Val-Vol (2)'!$A$4:$A$1116,$D289,'Val-Vol (2)'!$V$4:$V$1116,$V289)/SUMIFS('Comp2016-2017 (3)'!$G$5:$G$289,'Comp2016-2017 (3)'!$A$5:$A$289,$D289,'Comp2016-2017 (3)'!$R$5:$R$289,$V289)*$AB289))</f>
        <v/>
      </c>
      <c r="AE289" s="2" t="str">
        <f>IF($W289=AE$3,$AB289,IF(NOT($W289=0),"",SUMIFS('Val-Vol (2)'!AE$4:AE$1116,'Val-Vol (2)'!$A$4:$A$1116,$D289,'Val-Vol (2)'!$V$4:$V$1116,$V289)/SUMIFS('Comp2016-2017 (3)'!$G$5:$G$289,'Comp2016-2017 (3)'!$A$5:$A$289,$D289,'Comp2016-2017 (3)'!$R$5:$R$289,$V289)*$AB289))</f>
        <v/>
      </c>
      <c r="AF289" s="2" t="str">
        <f>IF($W289=AF$3,$AB289,IF(NOT($W289=0),"",SUMIFS('Val-Vol (2)'!AF$4:AF$1116,'Val-Vol (2)'!$A$4:$A$1116,$D289,'Val-Vol (2)'!$V$4:$V$1116,$V289)/SUMIFS('Comp2016-2017 (3)'!$G$5:$G$289,'Comp2016-2017 (3)'!$A$5:$A$289,$D289,'Comp2016-2017 (3)'!$R$5:$R$289,$V289)*$AB289))</f>
        <v/>
      </c>
      <c r="AG289" s="2" t="str">
        <f>IF($W289=AG$3,$AB289,IF(NOT($W289=0),"",SUMIFS('Val-Vol (2)'!AG$4:AG$1116,'Val-Vol (2)'!$A$4:$A$1116,$D289,'Val-Vol (2)'!$V$4:$V$1116,$V289)/SUMIFS('Comp2016-2017 (3)'!$G$5:$G$289,'Comp2016-2017 (3)'!$A$5:$A$289,$D289,'Comp2016-2017 (3)'!$R$5:$R$289,$V289)*$AB289))</f>
        <v/>
      </c>
      <c r="AH289" s="2">
        <f>IF($W289=AH$3,$AB289,IF(NOT($W289=0),"",SUMIFS('Val-Vol (2)'!AH$4:AH$1116,'Val-Vol (2)'!$A$4:$A$1116,$D289,'Val-Vol (2)'!$V$4:$V$1116,$V289)/SUMIFS('Comp2016-2017 (3)'!$G$5:$G$289,'Comp2016-2017 (3)'!$A$5:$A$289,$D289,'Comp2016-2017 (3)'!$R$5:$R$289,$V289)*$AB289))</f>
        <v>27515.699999999997</v>
      </c>
      <c r="AI289" s="2" t="str">
        <f>IF($W289=AI$3,$AB289,IF(NOT($W289=0),"",SUMIFS('Val-Vol (2)'!AI$4:AI$1116,'Val-Vol (2)'!$A$4:$A$1116,$D289,'Val-Vol (2)'!$V$4:$V$1116,$V289)/SUMIFS('Comp2016-2017 (3)'!$G$5:$G$289,'Comp2016-2017 (3)'!$A$5:$A$289,$D289,'Comp2016-2017 (3)'!$R$5:$R$289,$V289)*$AB289))</f>
        <v/>
      </c>
      <c r="AJ289" s="2" t="str">
        <f>IF($W289=AJ$3,$AB289,IF(NOT($W289=0),"",SUMIFS('Val-Vol (2)'!AJ$4:AJ$1116,'Val-Vol (2)'!$A$4:$A$1116,$D289,'Val-Vol (2)'!$V$4:$V$1116,$V289)/SUMIFS('Comp2016-2017 (3)'!$G$5:$G$289,'Comp2016-2017 (3)'!$A$5:$A$289,$D289,'Comp2016-2017 (3)'!$R$5:$R$289,$V289)*$AB289))</f>
        <v/>
      </c>
      <c r="AK289" s="2">
        <f t="shared" si="35"/>
        <v>0</v>
      </c>
      <c r="AL289" t="str">
        <f t="shared" si="31"/>
        <v/>
      </c>
      <c r="AM289" t="str">
        <f>VLOOKUP(A289,'Table corresp.'!$M$4:$U$63,8,FALSE)</f>
        <v>Bois recyclés</v>
      </c>
      <c r="AN289" t="str">
        <f>VLOOKUP(D289,'Table corresp.'!$M$4:$U$63,9,FALSE)</f>
        <v>Production finale</v>
      </c>
    </row>
    <row r="290" spans="1:40" x14ac:dyDescent="0.25">
      <c r="A290" t="s">
        <v>102</v>
      </c>
      <c r="B290" t="str">
        <f>VLOOKUP(LEFT(A290,3),'Table corresp.'!$A$4:$D$63,3,FALSE)</f>
        <v>Bois recyclés</v>
      </c>
      <c r="C290" t="str">
        <f>VLOOKUP(A290,'Table corresp.'!$M$4:$P$63,4,FALSE)</f>
        <v>Production et transformation de produits bois</v>
      </c>
      <c r="D290" t="s">
        <v>102</v>
      </c>
      <c r="E290" t="str">
        <f>VLOOKUP(LEFT(D290,3),'Table corresp.'!$A$4:$D$63,4,FALSE)</f>
        <v>Transformation</v>
      </c>
      <c r="F290" t="str">
        <f t="shared" si="30"/>
        <v xml:space="preserve">50  - 50 </v>
      </c>
      <c r="G290" s="1">
        <v>12000</v>
      </c>
      <c r="H290" s="1">
        <v>0</v>
      </c>
      <c r="I290" s="1">
        <v>12000</v>
      </c>
      <c r="J290" s="1">
        <v>0</v>
      </c>
      <c r="K290" s="1">
        <v>0</v>
      </c>
      <c r="L290" s="1">
        <v>0</v>
      </c>
      <c r="M290" s="1">
        <v>0</v>
      </c>
      <c r="N290" s="1">
        <v>0</v>
      </c>
      <c r="O290" s="1">
        <v>0</v>
      </c>
      <c r="P290" s="1">
        <v>0</v>
      </c>
      <c r="Q290" s="1">
        <v>0</v>
      </c>
      <c r="R290" s="1">
        <v>0</v>
      </c>
      <c r="S290" s="67"/>
      <c r="T290">
        <f>VLOOKUP(A290,'Groupe de branches'!$Z$27:$AM$86,14,FALSE)</f>
        <v>0</v>
      </c>
      <c r="U290">
        <f>VLOOKUP(D290,'Groupe de branches'!$Z$27:$AM$86,14,FALSE)</f>
        <v>0</v>
      </c>
      <c r="V290">
        <v>2016</v>
      </c>
      <c r="W290">
        <f>VLOOKUP(D290,'Table corresp.'!$M$4:$S$63,7,FALSE)</f>
        <v>0</v>
      </c>
      <c r="X290" s="167">
        <f>IFERROR(G290/SUMIFS('Comp2016-2017 (3)'!$I$5:$I$289,'Comp2016-2017 (3)'!$A$5:$A$289,A290,'Comp2016-2017 (3)'!$R$5:$R$289,V290),0)</f>
        <v>5.7270816510030985E-2</v>
      </c>
      <c r="Y290" s="178">
        <f>IFERROR(IF(RIGHT(F290,3)="Exp",VLOOKUP(F290,#REF!,2,FALSE),VLOOKUP(F290,#REF!,9,FALSE)),1)</f>
        <v>1</v>
      </c>
      <c r="Z290" s="167">
        <f t="shared" si="33"/>
        <v>0.2</v>
      </c>
      <c r="AA290" s="189">
        <f t="shared" si="32"/>
        <v>1.1454163302006198E-2</v>
      </c>
      <c r="AB290" s="2">
        <f>IFERROR(SUMIFS('Comp2016-2017 (3)'!$G$5:$G$289,'Comp2016-2017 (3)'!$A$5:$A$289,A290,'Comp2016-2017 (3)'!$R$5:$R$289,V290)*AA290/SUMIFS($AA$4:$AA$1116,$A$4:$A$1116,A290,$V$4:$V$1116,V290),0)</f>
        <v>5399.9999999999991</v>
      </c>
      <c r="AJ290" s="198">
        <f>AB290</f>
        <v>5399.9999999999991</v>
      </c>
      <c r="AK290" s="2">
        <f t="shared" ref="AK290:AK291" si="36">SUM(AC290:AJ290)-AB290</f>
        <v>0</v>
      </c>
      <c r="AL290" t="str">
        <f t="shared" si="31"/>
        <v>remplir à la main</v>
      </c>
      <c r="AM290" t="str">
        <f>VLOOKUP(A290,'Table corresp.'!$M$4:$U$63,8,FALSE)</f>
        <v>Bois recyclés</v>
      </c>
      <c r="AN290" t="str">
        <f>VLOOKUP(D290,'Table corresp.'!$M$4:$U$63,9,FALSE)</f>
        <v>Production intermédiaire</v>
      </c>
    </row>
    <row r="291" spans="1:40" x14ac:dyDescent="0.25">
      <c r="A291" t="s">
        <v>102</v>
      </c>
      <c r="B291" t="str">
        <f>VLOOKUP(LEFT(A291,3),'Table corresp.'!$A$4:$D$63,3,FALSE)</f>
        <v>Bois recyclés</v>
      </c>
      <c r="C291" t="str">
        <f>VLOOKUP(A291,'Table corresp.'!$M$4:$P$63,4,FALSE)</f>
        <v>Production et transformation de produits bois</v>
      </c>
      <c r="D291" t="s">
        <v>54</v>
      </c>
      <c r="E291" t="str">
        <f>VLOOKUP(LEFT(D291,3),'Table corresp.'!$A$4:$D$63,4,FALSE)</f>
        <v>Consommation finale</v>
      </c>
      <c r="F291" t="str">
        <f t="shared" si="30"/>
        <v>50  - Con</v>
      </c>
      <c r="G291" s="1">
        <v>78304.800000000003</v>
      </c>
      <c r="H291" s="1">
        <v>0</v>
      </c>
      <c r="I291" s="1">
        <v>78304.800000000003</v>
      </c>
      <c r="J291" s="1">
        <v>0</v>
      </c>
      <c r="K291" s="1">
        <v>0</v>
      </c>
      <c r="L291" s="1">
        <v>0</v>
      </c>
      <c r="M291" s="1">
        <v>0</v>
      </c>
      <c r="N291" s="1">
        <v>0</v>
      </c>
      <c r="O291" s="1">
        <v>0</v>
      </c>
      <c r="P291" s="1">
        <v>2547.5634601156594</v>
      </c>
      <c r="Q291" s="1">
        <v>0</v>
      </c>
      <c r="R291" s="1">
        <v>2547.5634601156594</v>
      </c>
      <c r="S291" s="67"/>
      <c r="T291">
        <f>VLOOKUP(A291,'Groupe de branches'!$Z$27:$AM$86,14,FALSE)</f>
        <v>0</v>
      </c>
      <c r="U291">
        <f>VLOOKUP(D291,'Groupe de branches'!$Z$27:$AM$86,14,FALSE)</f>
        <v>0</v>
      </c>
      <c r="V291">
        <v>2016</v>
      </c>
      <c r="W291" t="str">
        <f>VLOOKUP(D291,'Table corresp.'!$M$4:$S$63,7,FALSE)</f>
        <v>Consommation finale</v>
      </c>
      <c r="X291" s="167">
        <f>IFERROR(G291/SUMIFS('Comp2016-2017 (3)'!$I$5:$I$289,'Comp2016-2017 (3)'!$A$5:$A$289,A291,'Comp2016-2017 (3)'!$R$5:$R$289,V291),0)</f>
        <v>0.37371498605455622</v>
      </c>
      <c r="Y291" s="178">
        <f>IFERROR(IF(RIGHT(F291,3)="Exp",VLOOKUP(F291,#REF!,2,FALSE),VLOOKUP(F291,#REF!,9,FALSE)),1)</f>
        <v>1</v>
      </c>
      <c r="Z291" s="167">
        <f t="shared" si="33"/>
        <v>0.2</v>
      </c>
      <c r="AA291" s="189">
        <f t="shared" si="32"/>
        <v>7.4742997210911252E-2</v>
      </c>
      <c r="AB291" s="2">
        <f>IFERROR(SUMIFS('Comp2016-2017 (3)'!$G$5:$G$289,'Comp2016-2017 (3)'!$A$5:$A$289,A291,'Comp2016-2017 (3)'!$R$5:$R$289,V291)*AA291/SUMIFS($AA$4:$AA$1116,$A$4:$A$1116,A291,$V$4:$V$1116,V291),0)</f>
        <v>35237.160000000003</v>
      </c>
      <c r="AC291" s="2" t="str">
        <f>IF($W291=AC$3,$AB291,IF(NOT($W291=0),"",SUMIFS('Val-Vol (2)'!AC$4:AC$1116,'Val-Vol (2)'!$A$4:$A$1116,$D291,'Val-Vol (2)'!$V$4:$V$1116,$V291)/SUMIFS('Comp2016-2017 (3)'!$G$5:$G$289,'Comp2016-2017 (3)'!$A$5:$A$289,$D291,'Comp2016-2017 (3)'!$R$5:$R$289,$V291)*$AB291))</f>
        <v/>
      </c>
      <c r="AD291" s="2" t="str">
        <f>IF($W291=AD$3,$AB291,IF(NOT($W291=0),"",SUMIFS('Val-Vol (2)'!AD$4:AD$1116,'Val-Vol (2)'!$A$4:$A$1116,$D291,'Val-Vol (2)'!$V$4:$V$1116,$V291)/SUMIFS('Comp2016-2017 (3)'!$G$5:$G$289,'Comp2016-2017 (3)'!$A$5:$A$289,$D291,'Comp2016-2017 (3)'!$R$5:$R$289,$V291)*$AB291))</f>
        <v/>
      </c>
      <c r="AE291" s="2" t="str">
        <f>IF($W291=AE$3,$AB291,IF(NOT($W291=0),"",SUMIFS('Val-Vol (2)'!AE$4:AE$1116,'Val-Vol (2)'!$A$4:$A$1116,$D291,'Val-Vol (2)'!$V$4:$V$1116,$V291)/SUMIFS('Comp2016-2017 (3)'!$G$5:$G$289,'Comp2016-2017 (3)'!$A$5:$A$289,$D291,'Comp2016-2017 (3)'!$R$5:$R$289,$V291)*$AB291))</f>
        <v/>
      </c>
      <c r="AF291" s="2" t="str">
        <f>IF($W291=AF$3,$AB291,IF(NOT($W291=0),"",SUMIFS('Val-Vol (2)'!AF$4:AF$1116,'Val-Vol (2)'!$A$4:$A$1116,$D291,'Val-Vol (2)'!$V$4:$V$1116,$V291)/SUMIFS('Comp2016-2017 (3)'!$G$5:$G$289,'Comp2016-2017 (3)'!$A$5:$A$289,$D291,'Comp2016-2017 (3)'!$R$5:$R$289,$V291)*$AB291))</f>
        <v/>
      </c>
      <c r="AG291" s="2" t="str">
        <f>IF($W291=AG$3,$AB291,IF(NOT($W291=0),"",SUMIFS('Val-Vol (2)'!AG$4:AG$1116,'Val-Vol (2)'!$A$4:$A$1116,$D291,'Val-Vol (2)'!$V$4:$V$1116,$V291)/SUMIFS('Comp2016-2017 (3)'!$G$5:$G$289,'Comp2016-2017 (3)'!$A$5:$A$289,$D291,'Comp2016-2017 (3)'!$R$5:$R$289,$V291)*$AB291))</f>
        <v/>
      </c>
      <c r="AH291" s="2" t="str">
        <f>IF($W291=AH$3,$AB291,IF(NOT($W291=0),"",SUMIFS('Val-Vol (2)'!AH$4:AH$1116,'Val-Vol (2)'!$A$4:$A$1116,$D291,'Val-Vol (2)'!$V$4:$V$1116,$V291)/SUMIFS('Comp2016-2017 (3)'!$G$5:$G$289,'Comp2016-2017 (3)'!$A$5:$A$289,$D291,'Comp2016-2017 (3)'!$R$5:$R$289,$V291)*$AB291))</f>
        <v/>
      </c>
      <c r="AI291" s="2" t="str">
        <f>IF($W291=AI$3,$AB291,IF(NOT($W291=0),"",SUMIFS('Val-Vol (2)'!AI$4:AI$1116,'Val-Vol (2)'!$A$4:$A$1116,$D291,'Val-Vol (2)'!$V$4:$V$1116,$V291)/SUMIFS('Comp2016-2017 (3)'!$G$5:$G$289,'Comp2016-2017 (3)'!$A$5:$A$289,$D291,'Comp2016-2017 (3)'!$R$5:$R$289,$V291)*$AB291))</f>
        <v/>
      </c>
      <c r="AJ291" s="2">
        <f>IF($W291=AJ$3,$AB291,IF(NOT($W291=0),"",SUMIFS('Val-Vol (2)'!AJ$4:AJ$1116,'Val-Vol (2)'!$A$4:$A$1116,$D291,'Val-Vol (2)'!$V$4:$V$1116,$V291)/SUMIFS('Comp2016-2017 (3)'!$G$5:$G$289,'Comp2016-2017 (3)'!$A$5:$A$289,$D291,'Comp2016-2017 (3)'!$R$5:$R$289,$V291)*$AB291))</f>
        <v>35237.160000000003</v>
      </c>
      <c r="AK291" s="2">
        <f t="shared" si="36"/>
        <v>0</v>
      </c>
      <c r="AL291" t="str">
        <f t="shared" si="31"/>
        <v/>
      </c>
      <c r="AM291" t="str">
        <f>VLOOKUP(A291,'Table corresp.'!$M$4:$U$63,8,FALSE)</f>
        <v>Bois recyclés</v>
      </c>
      <c r="AN291" t="str">
        <f>VLOOKUP(D291,'Table corresp.'!$M$4:$U$63,9,FALSE)</f>
        <v>Consommation finale française</v>
      </c>
    </row>
    <row r="292" spans="1:40" x14ac:dyDescent="0.25">
      <c r="A292" t="s">
        <v>102</v>
      </c>
      <c r="B292" t="str">
        <f>VLOOKUP(LEFT(A292,3),'Table corresp.'!$A$4:$D$63,3,FALSE)</f>
        <v>Bois recyclés</v>
      </c>
      <c r="C292" t="str">
        <f>VLOOKUP(A292,'Table corresp.'!$M$4:$P$63,4,FALSE)</f>
        <v>Production et transformation de produits bois</v>
      </c>
      <c r="D292" t="s">
        <v>53</v>
      </c>
      <c r="E292" t="str">
        <f>VLOOKUP(LEFT(D292,3),'Table corresp.'!$A$4:$D$63,4,FALSE)</f>
        <v>Exportation</v>
      </c>
      <c r="F292" t="str">
        <f t="shared" si="30"/>
        <v>50  - Exp</v>
      </c>
      <c r="G292" s="1">
        <v>47400</v>
      </c>
      <c r="H292" s="1">
        <v>0</v>
      </c>
      <c r="I292" s="1">
        <v>47400</v>
      </c>
      <c r="J292" s="1">
        <v>0</v>
      </c>
      <c r="K292" s="1">
        <v>0</v>
      </c>
      <c r="L292" s="1">
        <v>0</v>
      </c>
      <c r="M292" s="1">
        <v>0</v>
      </c>
      <c r="N292" s="1">
        <v>0</v>
      </c>
      <c r="O292" s="1">
        <v>0</v>
      </c>
      <c r="P292" s="1">
        <v>1168.8720725909786</v>
      </c>
      <c r="Q292" s="1">
        <v>0</v>
      </c>
      <c r="R292" s="1">
        <v>1168.8720725909786</v>
      </c>
      <c r="S292" s="67" t="s">
        <v>198</v>
      </c>
      <c r="T292">
        <f>VLOOKUP(A292,'Groupe de branches'!$Z$27:$AM$86,14,FALSE)</f>
        <v>0</v>
      </c>
      <c r="U292">
        <f>VLOOKUP(D292,'Groupe de branches'!$Z$27:$AM$86,14,FALSE)</f>
        <v>0</v>
      </c>
      <c r="V292">
        <v>2016</v>
      </c>
      <c r="W292" t="str">
        <f>VLOOKUP(D292,'Table corresp.'!$M$4:$S$63,7,FALSE)</f>
        <v>Exportation</v>
      </c>
      <c r="X292" s="167">
        <f>IFERROR(G292/SUMIFS('Comp2016-2017 (3)'!$I$5:$I$289,'Comp2016-2017 (3)'!$A$5:$A$289,A292,'Comp2016-2017 (3)'!$R$5:$R$289,V292),0)</f>
        <v>0.22621972521462239</v>
      </c>
      <c r="Y292" s="178">
        <f>IFERROR(IF(RIGHT(F292,3)="Exp",VLOOKUP(F292,#REF!,2,FALSE),VLOOKUP(F292,#REF!,9,FALSE)),1)</f>
        <v>1</v>
      </c>
      <c r="Z292" s="167">
        <f t="shared" si="33"/>
        <v>0.2</v>
      </c>
      <c r="AA292" s="189">
        <f t="shared" si="32"/>
        <v>4.5243945042924477E-2</v>
      </c>
      <c r="AB292" s="2">
        <f>IFERROR(SUMIFS('Comp2016-2017 (3)'!$G$5:$G$289,'Comp2016-2017 (3)'!$A$5:$A$289,A292,'Comp2016-2017 (3)'!$R$5:$R$289,V292)*AA292/SUMIFS($AA$4:$AA$1116,$A$4:$A$1116,A292,$V$4:$V$1116,V292),0)</f>
        <v>21329.999999999996</v>
      </c>
      <c r="AC292" s="2">
        <f>IF($W292=AC$3,$AB292,IF(NOT($W292=0),"",SUMIFS('Val-Vol (2)'!AC$4:AC$1116,'Val-Vol (2)'!$A$4:$A$1116,$D292,'Val-Vol (2)'!$V$4:$V$1116,$V292)/SUMIFS('Comp2016-2017 (3)'!$G$5:$G$289,'Comp2016-2017 (3)'!$A$5:$A$289,$D292,'Comp2016-2017 (3)'!$R$5:$R$289,$V292)*$AB292))</f>
        <v>21329.999999999996</v>
      </c>
      <c r="AD292" s="2" t="str">
        <f>IF($W292=AD$3,$AB292,IF(NOT($W292=0),"",SUMIFS('Val-Vol (2)'!AD$4:AD$1116,'Val-Vol (2)'!$A$4:$A$1116,$D292,'Val-Vol (2)'!$V$4:$V$1116,$V292)/SUMIFS('Comp2016-2017 (3)'!$G$5:$G$289,'Comp2016-2017 (3)'!$A$5:$A$289,$D292,'Comp2016-2017 (3)'!$R$5:$R$289,$V292)*$AB292))</f>
        <v/>
      </c>
      <c r="AE292" s="2" t="str">
        <f>IF($W292=AE$3,$AB292,IF(NOT($W292=0),"",SUMIFS('Val-Vol (2)'!AE$4:AE$1116,'Val-Vol (2)'!$A$4:$A$1116,$D292,'Val-Vol (2)'!$V$4:$V$1116,$V292)/SUMIFS('Comp2016-2017 (3)'!$G$5:$G$289,'Comp2016-2017 (3)'!$A$5:$A$289,$D292,'Comp2016-2017 (3)'!$R$5:$R$289,$V292)*$AB292))</f>
        <v/>
      </c>
      <c r="AF292" s="2" t="str">
        <f>IF($W292=AF$3,$AB292,IF(NOT($W292=0),"",SUMIFS('Val-Vol (2)'!AF$4:AF$1116,'Val-Vol (2)'!$A$4:$A$1116,$D292,'Val-Vol (2)'!$V$4:$V$1116,$V292)/SUMIFS('Comp2016-2017 (3)'!$G$5:$G$289,'Comp2016-2017 (3)'!$A$5:$A$289,$D292,'Comp2016-2017 (3)'!$R$5:$R$289,$V292)*$AB292))</f>
        <v/>
      </c>
      <c r="AG292" s="2" t="str">
        <f>IF($W292=AG$3,$AB292,IF(NOT($W292=0),"",SUMIFS('Val-Vol (2)'!AG$4:AG$1116,'Val-Vol (2)'!$A$4:$A$1116,$D292,'Val-Vol (2)'!$V$4:$V$1116,$V292)/SUMIFS('Comp2016-2017 (3)'!$G$5:$G$289,'Comp2016-2017 (3)'!$A$5:$A$289,$D292,'Comp2016-2017 (3)'!$R$5:$R$289,$V292)*$AB292))</f>
        <v/>
      </c>
      <c r="AH292" s="2" t="str">
        <f>IF($W292=AH$3,$AB292,IF(NOT($W292=0),"",SUMIFS('Val-Vol (2)'!AH$4:AH$1116,'Val-Vol (2)'!$A$4:$A$1116,$D292,'Val-Vol (2)'!$V$4:$V$1116,$V292)/SUMIFS('Comp2016-2017 (3)'!$G$5:$G$289,'Comp2016-2017 (3)'!$A$5:$A$289,$D292,'Comp2016-2017 (3)'!$R$5:$R$289,$V292)*$AB292))</f>
        <v/>
      </c>
      <c r="AI292" s="2" t="str">
        <f>IF($W292=AI$3,$AB292,IF(NOT($W292=0),"",SUMIFS('Val-Vol (2)'!AI$4:AI$1116,'Val-Vol (2)'!$A$4:$A$1116,$D292,'Val-Vol (2)'!$V$4:$V$1116,$V292)/SUMIFS('Comp2016-2017 (3)'!$G$5:$G$289,'Comp2016-2017 (3)'!$A$5:$A$289,$D292,'Comp2016-2017 (3)'!$R$5:$R$289,$V292)*$AB292))</f>
        <v/>
      </c>
      <c r="AJ292" s="2" t="str">
        <f>IF($W292=AJ$3,$AB292,IF(NOT($W292=0),"",SUMIFS('Val-Vol (2)'!AJ$4:AJ$1116,'Val-Vol (2)'!$A$4:$A$1116,$D292,'Val-Vol (2)'!$V$4:$V$1116,$V292)/SUMIFS('Comp2016-2017 (3)'!$G$5:$G$289,'Comp2016-2017 (3)'!$A$5:$A$289,$D292,'Comp2016-2017 (3)'!$R$5:$R$289,$V292)*$AB292))</f>
        <v/>
      </c>
      <c r="AK292" s="2">
        <f t="shared" ref="AK292:AK355" si="37">SUM(AC292:AJ292)-AB292</f>
        <v>0</v>
      </c>
      <c r="AL292" t="str">
        <f t="shared" si="31"/>
        <v/>
      </c>
      <c r="AM292" t="str">
        <f>VLOOKUP(A292,'Table corresp.'!$M$4:$U$63,8,FALSE)</f>
        <v>Bois recyclés</v>
      </c>
      <c r="AN292" t="str">
        <f>VLOOKUP(D292,'Table corresp.'!$M$4:$U$63,9,FALSE)</f>
        <v>Exportation</v>
      </c>
    </row>
    <row r="293" spans="1:40" x14ac:dyDescent="0.25">
      <c r="A293" t="s">
        <v>103</v>
      </c>
      <c r="B293" t="str">
        <f>VLOOKUP(LEFT(A293,3),'Table corresp.'!$A$4:$D$63,3,FALSE)</f>
        <v>Transformation</v>
      </c>
      <c r="C293" t="str">
        <f>VLOOKUP(A293,'Table corresp.'!$M$4:$P$63,4,FALSE)</f>
        <v>Commerces et services</v>
      </c>
      <c r="D293" t="s">
        <v>54</v>
      </c>
      <c r="E293" t="str">
        <f>VLOOKUP(LEFT(D293,3),'Table corresp.'!$A$4:$D$63,4,FALSE)</f>
        <v>Consommation finale</v>
      </c>
      <c r="F293" t="str">
        <f t="shared" si="30"/>
        <v>51  - Con</v>
      </c>
      <c r="G293" s="1">
        <v>1659995</v>
      </c>
      <c r="H293" s="1">
        <v>0</v>
      </c>
      <c r="I293" s="1">
        <v>1659995</v>
      </c>
      <c r="J293" s="1">
        <v>0</v>
      </c>
      <c r="K293" s="1">
        <v>0</v>
      </c>
      <c r="L293" s="1">
        <v>0</v>
      </c>
      <c r="M293" s="1">
        <v>0</v>
      </c>
      <c r="N293" s="1">
        <v>0</v>
      </c>
      <c r="O293" s="1">
        <v>0</v>
      </c>
      <c r="P293" s="1">
        <v>0</v>
      </c>
      <c r="Q293" s="1">
        <v>0</v>
      </c>
      <c r="R293" s="1">
        <v>0</v>
      </c>
      <c r="S293" s="67"/>
      <c r="T293">
        <f>VLOOKUP(A293,'Groupe de branches'!$Z$27:$AM$86,14,FALSE)</f>
        <v>0</v>
      </c>
      <c r="U293">
        <f>VLOOKUP(D293,'Groupe de branches'!$Z$27:$AM$86,14,FALSE)</f>
        <v>0</v>
      </c>
      <c r="V293">
        <v>2016</v>
      </c>
      <c r="W293" t="str">
        <f>VLOOKUP(D293,'Table corresp.'!$M$4:$S$63,7,FALSE)</f>
        <v>Consommation finale</v>
      </c>
      <c r="X293" s="167">
        <f>IFERROR(G293/SUMIFS('Comp2016-2017 (3)'!$I$5:$I$289,'Comp2016-2017 (3)'!$A$5:$A$289,A293,'Comp2016-2017 (3)'!$R$5:$R$289,V293),0)</f>
        <v>0.99999999999999989</v>
      </c>
      <c r="Y293" s="178">
        <f>IFERROR(IF(RIGHT(F293,3)="Exp",VLOOKUP(F293,#REF!,2,FALSE),VLOOKUP(F293,#REF!,9,FALSE)),1)</f>
        <v>1</v>
      </c>
      <c r="Z293" s="167">
        <f t="shared" si="33"/>
        <v>1</v>
      </c>
      <c r="AA293" s="189">
        <f t="shared" si="32"/>
        <v>0.99999999999999989</v>
      </c>
      <c r="AB293" s="2">
        <f>IFERROR(SUMIFS('Comp2016-2017 (3)'!$G$5:$G$289,'Comp2016-2017 (3)'!$A$5:$A$289,A293,'Comp2016-2017 (3)'!$R$5:$R$289,V293)*AA293/SUMIFS($AA$4:$AA$1116,$A$4:$A$1116,A293,$V$4:$V$1116,V293),0)</f>
        <v>214440.00000000003</v>
      </c>
      <c r="AC293" s="2" t="str">
        <f>IF($W293=AC$3,$AB293,IF(NOT($W293=0),"",SUMIFS('Val-Vol (2)'!AC$4:AC$1116,'Val-Vol (2)'!$A$4:$A$1116,$D293,'Val-Vol (2)'!$V$4:$V$1116,$V293)/SUMIFS('Comp2016-2017 (3)'!$G$5:$G$289,'Comp2016-2017 (3)'!$A$5:$A$289,$D293,'Comp2016-2017 (3)'!$R$5:$R$289,$V293)*$AB293))</f>
        <v/>
      </c>
      <c r="AD293" s="2" t="str">
        <f>IF($W293=AD$3,$AB293,IF(NOT($W293=0),"",SUMIFS('Val-Vol (2)'!AD$4:AD$1116,'Val-Vol (2)'!$A$4:$A$1116,$D293,'Val-Vol (2)'!$V$4:$V$1116,$V293)/SUMIFS('Comp2016-2017 (3)'!$G$5:$G$289,'Comp2016-2017 (3)'!$A$5:$A$289,$D293,'Comp2016-2017 (3)'!$R$5:$R$289,$V293)*$AB293))</f>
        <v/>
      </c>
      <c r="AE293" s="2" t="str">
        <f>IF($W293=AE$3,$AB293,IF(NOT($W293=0),"",SUMIFS('Val-Vol (2)'!AE$4:AE$1116,'Val-Vol (2)'!$A$4:$A$1116,$D293,'Val-Vol (2)'!$V$4:$V$1116,$V293)/SUMIFS('Comp2016-2017 (3)'!$G$5:$G$289,'Comp2016-2017 (3)'!$A$5:$A$289,$D293,'Comp2016-2017 (3)'!$R$5:$R$289,$V293)*$AB293))</f>
        <v/>
      </c>
      <c r="AF293" s="2" t="str">
        <f>IF($W293=AF$3,$AB293,IF(NOT($W293=0),"",SUMIFS('Val-Vol (2)'!AF$4:AF$1116,'Val-Vol (2)'!$A$4:$A$1116,$D293,'Val-Vol (2)'!$V$4:$V$1116,$V293)/SUMIFS('Comp2016-2017 (3)'!$G$5:$G$289,'Comp2016-2017 (3)'!$A$5:$A$289,$D293,'Comp2016-2017 (3)'!$R$5:$R$289,$V293)*$AB293))</f>
        <v/>
      </c>
      <c r="AG293" s="2" t="str">
        <f>IF($W293=AG$3,$AB293,IF(NOT($W293=0),"",SUMIFS('Val-Vol (2)'!AG$4:AG$1116,'Val-Vol (2)'!$A$4:$A$1116,$D293,'Val-Vol (2)'!$V$4:$V$1116,$V293)/SUMIFS('Comp2016-2017 (3)'!$G$5:$G$289,'Comp2016-2017 (3)'!$A$5:$A$289,$D293,'Comp2016-2017 (3)'!$R$5:$R$289,$V293)*$AB293))</f>
        <v/>
      </c>
      <c r="AH293" s="2" t="str">
        <f>IF($W293=AH$3,$AB293,IF(NOT($W293=0),"",SUMIFS('Val-Vol (2)'!AH$4:AH$1116,'Val-Vol (2)'!$A$4:$A$1116,$D293,'Val-Vol (2)'!$V$4:$V$1116,$V293)/SUMIFS('Comp2016-2017 (3)'!$G$5:$G$289,'Comp2016-2017 (3)'!$A$5:$A$289,$D293,'Comp2016-2017 (3)'!$R$5:$R$289,$V293)*$AB293))</f>
        <v/>
      </c>
      <c r="AI293" s="2" t="str">
        <f>IF($W293=AI$3,$AB293,IF(NOT($W293=0),"",SUMIFS('Val-Vol (2)'!AI$4:AI$1116,'Val-Vol (2)'!$A$4:$A$1116,$D293,'Val-Vol (2)'!$V$4:$V$1116,$V293)/SUMIFS('Comp2016-2017 (3)'!$G$5:$G$289,'Comp2016-2017 (3)'!$A$5:$A$289,$D293,'Comp2016-2017 (3)'!$R$5:$R$289,$V293)*$AB293))</f>
        <v/>
      </c>
      <c r="AJ293" s="2">
        <f>IF($W293=AJ$3,$AB293,IF(NOT($W293=0),"",SUMIFS('Val-Vol (2)'!AJ$4:AJ$1116,'Val-Vol (2)'!$A$4:$A$1116,$D293,'Val-Vol (2)'!$V$4:$V$1116,$V293)/SUMIFS('Comp2016-2017 (3)'!$G$5:$G$289,'Comp2016-2017 (3)'!$A$5:$A$289,$D293,'Comp2016-2017 (3)'!$R$5:$R$289,$V293)*$AB293))</f>
        <v>214440.00000000003</v>
      </c>
      <c r="AK293" s="2">
        <f t="shared" si="37"/>
        <v>0</v>
      </c>
      <c r="AL293" t="str">
        <f t="shared" si="31"/>
        <v/>
      </c>
      <c r="AM293" t="str">
        <f>VLOOKUP(A293,'Table corresp.'!$M$4:$U$63,8,FALSE)</f>
        <v>Production finale</v>
      </c>
      <c r="AN293" t="str">
        <f>VLOOKUP(D293,'Table corresp.'!$M$4:$U$63,9,FALSE)</f>
        <v>Consommation finale française</v>
      </c>
    </row>
    <row r="294" spans="1:40" x14ac:dyDescent="0.25">
      <c r="A294" t="s">
        <v>19</v>
      </c>
      <c r="B294" t="str">
        <f>VLOOKUP(LEFT(A294,3),'Table corresp.'!$A$4:$D$63,3,FALSE)</f>
        <v>Transformation</v>
      </c>
      <c r="C294" t="str">
        <f>VLOOKUP(A294,'Table corresp.'!$M$4:$P$63,4,FALSE)</f>
        <v>Mise en oeuvre de produits bois</v>
      </c>
      <c r="D294" t="s">
        <v>54</v>
      </c>
      <c r="E294" t="str">
        <f>VLOOKUP(LEFT(D294,3),'Table corresp.'!$A$4:$D$63,4,FALSE)</f>
        <v>Consommation finale</v>
      </c>
      <c r="F294" t="str">
        <f t="shared" si="30"/>
        <v>52  - Con</v>
      </c>
      <c r="G294" s="1">
        <v>500408.56324763363</v>
      </c>
      <c r="H294" s="1">
        <v>0</v>
      </c>
      <c r="I294" s="1">
        <v>500408.56324763363</v>
      </c>
      <c r="J294" s="1">
        <v>904.43167131360008</v>
      </c>
      <c r="K294" s="1">
        <v>0</v>
      </c>
      <c r="L294" s="1">
        <v>904.43167131360008</v>
      </c>
      <c r="M294" s="1">
        <v>12.744311822983938</v>
      </c>
      <c r="N294" s="1">
        <v>0</v>
      </c>
      <c r="O294" s="1">
        <v>12.744311822983938</v>
      </c>
      <c r="P294" s="1">
        <v>4.9590864975758926</v>
      </c>
      <c r="Q294" s="1">
        <v>0</v>
      </c>
      <c r="R294" s="1">
        <v>4.9590864975758926</v>
      </c>
      <c r="S294" s="67" t="s">
        <v>192</v>
      </c>
      <c r="T294">
        <f>VLOOKUP(A294,'Groupe de branches'!$Z$27:$AM$86,14,FALSE)</f>
        <v>0</v>
      </c>
      <c r="U294">
        <f>VLOOKUP(D294,'Groupe de branches'!$Z$27:$AM$86,14,FALSE)</f>
        <v>0</v>
      </c>
      <c r="V294">
        <v>2016</v>
      </c>
      <c r="W294" t="str">
        <f>VLOOKUP(D294,'Table corresp.'!$M$4:$S$63,7,FALSE)</f>
        <v>Consommation finale</v>
      </c>
      <c r="X294" s="167">
        <f>IFERROR(G294/SUMIFS('Comp2016-2017 (3)'!$I$5:$I$289,'Comp2016-2017 (3)'!$A$5:$A$289,A294,'Comp2016-2017 (3)'!$R$5:$R$289,V294),0)</f>
        <v>1</v>
      </c>
      <c r="Y294" s="178">
        <f>IFERROR(IF(RIGHT(F294,3)="Exp",VLOOKUP(F294,#REF!,2,FALSE),VLOOKUP(F294,#REF!,9,FALSE)),1)</f>
        <v>1</v>
      </c>
      <c r="Z294" s="167">
        <f t="shared" si="33"/>
        <v>1</v>
      </c>
      <c r="AA294" s="189">
        <f t="shared" si="32"/>
        <v>1</v>
      </c>
      <c r="AB294" s="2">
        <f>IFERROR(SUMIFS('Comp2016-2017 (3)'!$G$5:$G$289,'Comp2016-2017 (3)'!$A$5:$A$289,A294,'Comp2016-2017 (3)'!$R$5:$R$289,V294)*AA294/SUMIFS($AA$4:$AA$1116,$A$4:$A$1116,A294,$V$4:$V$1116,V294),0)</f>
        <v>146577.54186701751</v>
      </c>
      <c r="AC294" s="2" t="str">
        <f>IF($W294=AC$3,$AB294,IF(NOT($W294=0),"",SUMIFS('Val-Vol (2)'!AC$4:AC$1116,'Val-Vol (2)'!$A$4:$A$1116,$D294,'Val-Vol (2)'!$V$4:$V$1116,$V294)/SUMIFS('Comp2016-2017 (3)'!$G$5:$G$289,'Comp2016-2017 (3)'!$A$5:$A$289,$D294,'Comp2016-2017 (3)'!$R$5:$R$289,$V294)*$AB294))</f>
        <v/>
      </c>
      <c r="AD294" s="2" t="str">
        <f>IF($W294=AD$3,$AB294,IF(NOT($W294=0),"",SUMIFS('Val-Vol (2)'!AD$4:AD$1116,'Val-Vol (2)'!$A$4:$A$1116,$D294,'Val-Vol (2)'!$V$4:$V$1116,$V294)/SUMIFS('Comp2016-2017 (3)'!$G$5:$G$289,'Comp2016-2017 (3)'!$A$5:$A$289,$D294,'Comp2016-2017 (3)'!$R$5:$R$289,$V294)*$AB294))</f>
        <v/>
      </c>
      <c r="AE294" s="2" t="str">
        <f>IF($W294=AE$3,$AB294,IF(NOT($W294=0),"",SUMIFS('Val-Vol (2)'!AE$4:AE$1116,'Val-Vol (2)'!$A$4:$A$1116,$D294,'Val-Vol (2)'!$V$4:$V$1116,$V294)/SUMIFS('Comp2016-2017 (3)'!$G$5:$G$289,'Comp2016-2017 (3)'!$A$5:$A$289,$D294,'Comp2016-2017 (3)'!$R$5:$R$289,$V294)*$AB294))</f>
        <v/>
      </c>
      <c r="AF294" s="2" t="str">
        <f>IF($W294=AF$3,$AB294,IF(NOT($W294=0),"",SUMIFS('Val-Vol (2)'!AF$4:AF$1116,'Val-Vol (2)'!$A$4:$A$1116,$D294,'Val-Vol (2)'!$V$4:$V$1116,$V294)/SUMIFS('Comp2016-2017 (3)'!$G$5:$G$289,'Comp2016-2017 (3)'!$A$5:$A$289,$D294,'Comp2016-2017 (3)'!$R$5:$R$289,$V294)*$AB294))</f>
        <v/>
      </c>
      <c r="AG294" s="2" t="str">
        <f>IF($W294=AG$3,$AB294,IF(NOT($W294=0),"",SUMIFS('Val-Vol (2)'!AG$4:AG$1116,'Val-Vol (2)'!$A$4:$A$1116,$D294,'Val-Vol (2)'!$V$4:$V$1116,$V294)/SUMIFS('Comp2016-2017 (3)'!$G$5:$G$289,'Comp2016-2017 (3)'!$A$5:$A$289,$D294,'Comp2016-2017 (3)'!$R$5:$R$289,$V294)*$AB294))</f>
        <v/>
      </c>
      <c r="AH294" s="2" t="str">
        <f>IF($W294=AH$3,$AB294,IF(NOT($W294=0),"",SUMIFS('Val-Vol (2)'!AH$4:AH$1116,'Val-Vol (2)'!$A$4:$A$1116,$D294,'Val-Vol (2)'!$V$4:$V$1116,$V294)/SUMIFS('Comp2016-2017 (3)'!$G$5:$G$289,'Comp2016-2017 (3)'!$A$5:$A$289,$D294,'Comp2016-2017 (3)'!$R$5:$R$289,$V294)*$AB294))</f>
        <v/>
      </c>
      <c r="AI294" s="2" t="str">
        <f>IF($W294=AI$3,$AB294,IF(NOT($W294=0),"",SUMIFS('Val-Vol (2)'!AI$4:AI$1116,'Val-Vol (2)'!$A$4:$A$1116,$D294,'Val-Vol (2)'!$V$4:$V$1116,$V294)/SUMIFS('Comp2016-2017 (3)'!$G$5:$G$289,'Comp2016-2017 (3)'!$A$5:$A$289,$D294,'Comp2016-2017 (3)'!$R$5:$R$289,$V294)*$AB294))</f>
        <v/>
      </c>
      <c r="AJ294" s="2">
        <f>IF($W294=AJ$3,$AB294,IF(NOT($W294=0),"",SUMIFS('Val-Vol (2)'!AJ$4:AJ$1116,'Val-Vol (2)'!$A$4:$A$1116,$D294,'Val-Vol (2)'!$V$4:$V$1116,$V294)/SUMIFS('Comp2016-2017 (3)'!$G$5:$G$289,'Comp2016-2017 (3)'!$A$5:$A$289,$D294,'Comp2016-2017 (3)'!$R$5:$R$289,$V294)*$AB294))</f>
        <v>146577.54186701751</v>
      </c>
      <c r="AK294" s="2">
        <f t="shared" si="37"/>
        <v>0</v>
      </c>
      <c r="AL294" t="str">
        <f t="shared" si="31"/>
        <v/>
      </c>
      <c r="AM294" t="str">
        <f>VLOOKUP(A294,'Table corresp.'!$M$4:$U$63,8,FALSE)</f>
        <v xml:space="preserve">Mise en œuvre </v>
      </c>
      <c r="AN294" t="str">
        <f>VLOOKUP(D294,'Table corresp.'!$M$4:$U$63,9,FALSE)</f>
        <v>Consommation finale française</v>
      </c>
    </row>
    <row r="295" spans="1:40" x14ac:dyDescent="0.25">
      <c r="A295" t="s">
        <v>20</v>
      </c>
      <c r="B295" t="str">
        <f>VLOOKUP(LEFT(A295,3),'Table corresp.'!$A$4:$D$63,3,FALSE)</f>
        <v>Transformation</v>
      </c>
      <c r="C295" t="str">
        <f>VLOOKUP(A295,'Table corresp.'!$M$4:$P$63,4,FALSE)</f>
        <v>Mise en oeuvre de produits bois</v>
      </c>
      <c r="D295" t="s">
        <v>54</v>
      </c>
      <c r="E295" t="str">
        <f>VLOOKUP(LEFT(D295,3),'Table corresp.'!$A$4:$D$63,4,FALSE)</f>
        <v>Consommation finale</v>
      </c>
      <c r="F295" t="str">
        <f t="shared" si="30"/>
        <v>53  - Con</v>
      </c>
      <c r="G295" s="1">
        <v>87013.99</v>
      </c>
      <c r="H295" s="1">
        <v>0</v>
      </c>
      <c r="I295" s="1">
        <v>87013.99</v>
      </c>
      <c r="J295" s="1">
        <v>85.355812882955547</v>
      </c>
      <c r="K295" s="1">
        <v>0</v>
      </c>
      <c r="L295" s="1">
        <v>85.355812882955547</v>
      </c>
      <c r="M295" s="1">
        <v>80.0446788801585</v>
      </c>
      <c r="N295" s="1">
        <v>0</v>
      </c>
      <c r="O295" s="1">
        <v>80.0446788801585</v>
      </c>
      <c r="P295" s="1">
        <v>8.1804666508854353</v>
      </c>
      <c r="Q295" s="1">
        <v>0</v>
      </c>
      <c r="R295" s="1">
        <v>8.1804666508854353</v>
      </c>
      <c r="S295" s="67" t="s">
        <v>192</v>
      </c>
      <c r="T295">
        <f>VLOOKUP(A295,'Groupe de branches'!$Z$27:$AM$86,14,FALSE)</f>
        <v>0</v>
      </c>
      <c r="U295">
        <f>VLOOKUP(D295,'Groupe de branches'!$Z$27:$AM$86,14,FALSE)</f>
        <v>0</v>
      </c>
      <c r="V295">
        <v>2016</v>
      </c>
      <c r="W295" t="str">
        <f>VLOOKUP(D295,'Table corresp.'!$M$4:$S$63,7,FALSE)</f>
        <v>Consommation finale</v>
      </c>
      <c r="X295" s="167">
        <f>IFERROR(G295/SUMIFS('Comp2016-2017 (3)'!$I$5:$I$289,'Comp2016-2017 (3)'!$A$5:$A$289,A295,'Comp2016-2017 (3)'!$R$5:$R$289,V295),0)</f>
        <v>0.99999996788668954</v>
      </c>
      <c r="Y295" s="178">
        <f>IFERROR(IF(RIGHT(F295,3)="Exp",VLOOKUP(F295,#REF!,2,FALSE),VLOOKUP(F295,#REF!,9,FALSE)),1)</f>
        <v>1</v>
      </c>
      <c r="Z295" s="167">
        <f t="shared" si="33"/>
        <v>1</v>
      </c>
      <c r="AA295" s="189">
        <f t="shared" si="32"/>
        <v>0.99999996788668954</v>
      </c>
      <c r="AB295" s="2">
        <f>IFERROR(SUMIFS('Comp2016-2017 (3)'!$G$5:$G$289,'Comp2016-2017 (3)'!$A$5:$A$289,A295,'Comp2016-2017 (3)'!$R$5:$R$289,V295)*AA295/SUMIFS($AA$4:$AA$1116,$A$4:$A$1116,A295,$V$4:$V$1116,V295),0)</f>
        <v>32638.711694051482</v>
      </c>
      <c r="AC295" s="2" t="str">
        <f>IF($W295=AC$3,$AB295,IF(NOT($W295=0),"",SUMIFS('Val-Vol (2)'!AC$4:AC$1116,'Val-Vol (2)'!$A$4:$A$1116,$D295,'Val-Vol (2)'!$V$4:$V$1116,$V295)/SUMIFS('Comp2016-2017 (3)'!$G$5:$G$289,'Comp2016-2017 (3)'!$A$5:$A$289,$D295,'Comp2016-2017 (3)'!$R$5:$R$289,$V295)*$AB295))</f>
        <v/>
      </c>
      <c r="AD295" s="2" t="str">
        <f>IF($W295=AD$3,$AB295,IF(NOT($W295=0),"",SUMIFS('Val-Vol (2)'!AD$4:AD$1116,'Val-Vol (2)'!$A$4:$A$1116,$D295,'Val-Vol (2)'!$V$4:$V$1116,$V295)/SUMIFS('Comp2016-2017 (3)'!$G$5:$G$289,'Comp2016-2017 (3)'!$A$5:$A$289,$D295,'Comp2016-2017 (3)'!$R$5:$R$289,$V295)*$AB295))</f>
        <v/>
      </c>
      <c r="AE295" s="2" t="str">
        <f>IF($W295=AE$3,$AB295,IF(NOT($W295=0),"",SUMIFS('Val-Vol (2)'!AE$4:AE$1116,'Val-Vol (2)'!$A$4:$A$1116,$D295,'Val-Vol (2)'!$V$4:$V$1116,$V295)/SUMIFS('Comp2016-2017 (3)'!$G$5:$G$289,'Comp2016-2017 (3)'!$A$5:$A$289,$D295,'Comp2016-2017 (3)'!$R$5:$R$289,$V295)*$AB295))</f>
        <v/>
      </c>
      <c r="AF295" s="2" t="str">
        <f>IF($W295=AF$3,$AB295,IF(NOT($W295=0),"",SUMIFS('Val-Vol (2)'!AF$4:AF$1116,'Val-Vol (2)'!$A$4:$A$1116,$D295,'Val-Vol (2)'!$V$4:$V$1116,$V295)/SUMIFS('Comp2016-2017 (3)'!$G$5:$G$289,'Comp2016-2017 (3)'!$A$5:$A$289,$D295,'Comp2016-2017 (3)'!$R$5:$R$289,$V295)*$AB295))</f>
        <v/>
      </c>
      <c r="AG295" s="2" t="str">
        <f>IF($W295=AG$3,$AB295,IF(NOT($W295=0),"",SUMIFS('Val-Vol (2)'!AG$4:AG$1116,'Val-Vol (2)'!$A$4:$A$1116,$D295,'Val-Vol (2)'!$V$4:$V$1116,$V295)/SUMIFS('Comp2016-2017 (3)'!$G$5:$G$289,'Comp2016-2017 (3)'!$A$5:$A$289,$D295,'Comp2016-2017 (3)'!$R$5:$R$289,$V295)*$AB295))</f>
        <v/>
      </c>
      <c r="AH295" s="2" t="str">
        <f>IF($W295=AH$3,$AB295,IF(NOT($W295=0),"",SUMIFS('Val-Vol (2)'!AH$4:AH$1116,'Val-Vol (2)'!$A$4:$A$1116,$D295,'Val-Vol (2)'!$V$4:$V$1116,$V295)/SUMIFS('Comp2016-2017 (3)'!$G$5:$G$289,'Comp2016-2017 (3)'!$A$5:$A$289,$D295,'Comp2016-2017 (3)'!$R$5:$R$289,$V295)*$AB295))</f>
        <v/>
      </c>
      <c r="AI295" s="2" t="str">
        <f>IF($W295=AI$3,$AB295,IF(NOT($W295=0),"",SUMIFS('Val-Vol (2)'!AI$4:AI$1116,'Val-Vol (2)'!$A$4:$A$1116,$D295,'Val-Vol (2)'!$V$4:$V$1116,$V295)/SUMIFS('Comp2016-2017 (3)'!$G$5:$G$289,'Comp2016-2017 (3)'!$A$5:$A$289,$D295,'Comp2016-2017 (3)'!$R$5:$R$289,$V295)*$AB295))</f>
        <v/>
      </c>
      <c r="AJ295" s="2">
        <f>IF($W295=AJ$3,$AB295,IF(NOT($W295=0),"",SUMIFS('Val-Vol (2)'!AJ$4:AJ$1116,'Val-Vol (2)'!$A$4:$A$1116,$D295,'Val-Vol (2)'!$V$4:$V$1116,$V295)/SUMIFS('Comp2016-2017 (3)'!$G$5:$G$289,'Comp2016-2017 (3)'!$A$5:$A$289,$D295,'Comp2016-2017 (3)'!$R$5:$R$289,$V295)*$AB295))</f>
        <v>32638.711694051482</v>
      </c>
      <c r="AK295" s="2">
        <f t="shared" si="37"/>
        <v>0</v>
      </c>
      <c r="AL295" t="str">
        <f t="shared" si="31"/>
        <v/>
      </c>
      <c r="AM295" t="str">
        <f>VLOOKUP(A295,'Table corresp.'!$M$4:$U$63,8,FALSE)</f>
        <v xml:space="preserve">Mise en œuvre </v>
      </c>
      <c r="AN295" t="str">
        <f>VLOOKUP(D295,'Table corresp.'!$M$4:$U$63,9,FALSE)</f>
        <v>Consommation finale française</v>
      </c>
    </row>
    <row r="296" spans="1:40" x14ac:dyDescent="0.25">
      <c r="A296" t="s">
        <v>21</v>
      </c>
      <c r="B296" t="str">
        <f>VLOOKUP(LEFT(A296,3),'Table corresp.'!$A$4:$D$63,3,FALSE)</f>
        <v>Transformation</v>
      </c>
      <c r="C296" t="str">
        <f>VLOOKUP(A296,'Table corresp.'!$M$4:$P$63,4,FALSE)</f>
        <v>Mise en oeuvre de produits bois</v>
      </c>
      <c r="D296" t="s">
        <v>54</v>
      </c>
      <c r="E296" t="str">
        <f>VLOOKUP(LEFT(D296,3),'Table corresp.'!$A$4:$D$63,4,FALSE)</f>
        <v>Consommation finale</v>
      </c>
      <c r="F296" t="str">
        <f t="shared" si="30"/>
        <v>54  - Con</v>
      </c>
      <c r="G296" s="1">
        <v>13372796.689999999</v>
      </c>
      <c r="H296" s="1">
        <v>0</v>
      </c>
      <c r="I296" s="1">
        <v>13372796.689999999</v>
      </c>
      <c r="J296" s="1">
        <v>2208.0234470690039</v>
      </c>
      <c r="K296" s="1">
        <v>0</v>
      </c>
      <c r="L296" s="1">
        <v>2208.0234470690039</v>
      </c>
      <c r="M296" s="1">
        <v>961.26826412726086</v>
      </c>
      <c r="N296" s="1">
        <v>0</v>
      </c>
      <c r="O296" s="1">
        <v>961.26826412726086</v>
      </c>
      <c r="P296" s="1">
        <v>304.02016400258793</v>
      </c>
      <c r="Q296" s="1">
        <v>0</v>
      </c>
      <c r="R296" s="1">
        <v>304.02016400258793</v>
      </c>
      <c r="S296" s="67" t="s">
        <v>192</v>
      </c>
      <c r="T296">
        <f>VLOOKUP(A296,'Groupe de branches'!$Z$27:$AM$86,14,FALSE)</f>
        <v>0</v>
      </c>
      <c r="U296">
        <f>VLOOKUP(D296,'Groupe de branches'!$Z$27:$AM$86,14,FALSE)</f>
        <v>0</v>
      </c>
      <c r="V296">
        <v>2016</v>
      </c>
      <c r="W296" t="str">
        <f>VLOOKUP(D296,'Table corresp.'!$M$4:$S$63,7,FALSE)</f>
        <v>Consommation finale</v>
      </c>
      <c r="X296" s="167">
        <f>IFERROR(G296/SUMIFS('Comp2016-2017 (3)'!$I$5:$I$289,'Comp2016-2017 (3)'!$A$5:$A$289,A296,'Comp2016-2017 (3)'!$R$5:$R$289,V296),0)</f>
        <v>1.0000000004219738</v>
      </c>
      <c r="Y296" s="178">
        <f>IFERROR(IF(RIGHT(F296,3)="Exp",VLOOKUP(F296,#REF!,2,FALSE),VLOOKUP(F296,#REF!,9,FALSE)),1)</f>
        <v>1</v>
      </c>
      <c r="Z296" s="167">
        <f t="shared" si="33"/>
        <v>1</v>
      </c>
      <c r="AA296" s="189">
        <f t="shared" si="32"/>
        <v>1.0000000004219738</v>
      </c>
      <c r="AB296" s="2">
        <f>IFERROR(SUMIFS('Comp2016-2017 (3)'!$G$5:$G$289,'Comp2016-2017 (3)'!$A$5:$A$289,A296,'Comp2016-2017 (3)'!$R$5:$R$289,V296)*AA296/SUMIFS($AA$4:$AA$1116,$A$4:$A$1116,A296,$V$4:$V$1116,V296),0)</f>
        <v>4893033.0525586652</v>
      </c>
      <c r="AC296" s="2" t="str">
        <f>IF($W296=AC$3,$AB296,IF(NOT($W296=0),"",SUMIFS('Val-Vol (2)'!AC$4:AC$1116,'Val-Vol (2)'!$A$4:$A$1116,$D296,'Val-Vol (2)'!$V$4:$V$1116,$V296)/SUMIFS('Comp2016-2017 (3)'!$G$5:$G$289,'Comp2016-2017 (3)'!$A$5:$A$289,$D296,'Comp2016-2017 (3)'!$R$5:$R$289,$V296)*$AB296))</f>
        <v/>
      </c>
      <c r="AD296" s="2" t="str">
        <f>IF($W296=AD$3,$AB296,IF(NOT($W296=0),"",SUMIFS('Val-Vol (2)'!AD$4:AD$1116,'Val-Vol (2)'!$A$4:$A$1116,$D296,'Val-Vol (2)'!$V$4:$V$1116,$V296)/SUMIFS('Comp2016-2017 (3)'!$G$5:$G$289,'Comp2016-2017 (3)'!$A$5:$A$289,$D296,'Comp2016-2017 (3)'!$R$5:$R$289,$V296)*$AB296))</f>
        <v/>
      </c>
      <c r="AE296" s="2" t="str">
        <f>IF($W296=AE$3,$AB296,IF(NOT($W296=0),"",SUMIFS('Val-Vol (2)'!AE$4:AE$1116,'Val-Vol (2)'!$A$4:$A$1116,$D296,'Val-Vol (2)'!$V$4:$V$1116,$V296)/SUMIFS('Comp2016-2017 (3)'!$G$5:$G$289,'Comp2016-2017 (3)'!$A$5:$A$289,$D296,'Comp2016-2017 (3)'!$R$5:$R$289,$V296)*$AB296))</f>
        <v/>
      </c>
      <c r="AF296" s="2" t="str">
        <f>IF($W296=AF$3,$AB296,IF(NOT($W296=0),"",SUMIFS('Val-Vol (2)'!AF$4:AF$1116,'Val-Vol (2)'!$A$4:$A$1116,$D296,'Val-Vol (2)'!$V$4:$V$1116,$V296)/SUMIFS('Comp2016-2017 (3)'!$G$5:$G$289,'Comp2016-2017 (3)'!$A$5:$A$289,$D296,'Comp2016-2017 (3)'!$R$5:$R$289,$V296)*$AB296))</f>
        <v/>
      </c>
      <c r="AG296" s="2" t="str">
        <f>IF($W296=AG$3,$AB296,IF(NOT($W296=0),"",SUMIFS('Val-Vol (2)'!AG$4:AG$1116,'Val-Vol (2)'!$A$4:$A$1116,$D296,'Val-Vol (2)'!$V$4:$V$1116,$V296)/SUMIFS('Comp2016-2017 (3)'!$G$5:$G$289,'Comp2016-2017 (3)'!$A$5:$A$289,$D296,'Comp2016-2017 (3)'!$R$5:$R$289,$V296)*$AB296))</f>
        <v/>
      </c>
      <c r="AH296" s="2" t="str">
        <f>IF($W296=AH$3,$AB296,IF(NOT($W296=0),"",SUMIFS('Val-Vol (2)'!AH$4:AH$1116,'Val-Vol (2)'!$A$4:$A$1116,$D296,'Val-Vol (2)'!$V$4:$V$1116,$V296)/SUMIFS('Comp2016-2017 (3)'!$G$5:$G$289,'Comp2016-2017 (3)'!$A$5:$A$289,$D296,'Comp2016-2017 (3)'!$R$5:$R$289,$V296)*$AB296))</f>
        <v/>
      </c>
      <c r="AI296" s="2" t="str">
        <f>IF($W296=AI$3,$AB296,IF(NOT($W296=0),"",SUMIFS('Val-Vol (2)'!AI$4:AI$1116,'Val-Vol (2)'!$A$4:$A$1116,$D296,'Val-Vol (2)'!$V$4:$V$1116,$V296)/SUMIFS('Comp2016-2017 (3)'!$G$5:$G$289,'Comp2016-2017 (3)'!$A$5:$A$289,$D296,'Comp2016-2017 (3)'!$R$5:$R$289,$V296)*$AB296))</f>
        <v/>
      </c>
      <c r="AJ296" s="2">
        <f>IF($W296=AJ$3,$AB296,IF(NOT($W296=0),"",SUMIFS('Val-Vol (2)'!AJ$4:AJ$1116,'Val-Vol (2)'!$A$4:$A$1116,$D296,'Val-Vol (2)'!$V$4:$V$1116,$V296)/SUMIFS('Comp2016-2017 (3)'!$G$5:$G$289,'Comp2016-2017 (3)'!$A$5:$A$289,$D296,'Comp2016-2017 (3)'!$R$5:$R$289,$V296)*$AB296))</f>
        <v>4893033.0525586652</v>
      </c>
      <c r="AK296" s="2">
        <f t="shared" si="37"/>
        <v>0</v>
      </c>
      <c r="AL296" t="str">
        <f t="shared" si="31"/>
        <v/>
      </c>
      <c r="AM296" t="str">
        <f>VLOOKUP(A296,'Table corresp.'!$M$4:$U$63,8,FALSE)</f>
        <v xml:space="preserve">Mise en œuvre </v>
      </c>
      <c r="AN296" t="str">
        <f>VLOOKUP(D296,'Table corresp.'!$M$4:$U$63,9,FALSE)</f>
        <v>Consommation finale française</v>
      </c>
    </row>
    <row r="297" spans="1:40" x14ac:dyDescent="0.25">
      <c r="A297" t="s">
        <v>22</v>
      </c>
      <c r="B297" t="str">
        <f>VLOOKUP(LEFT(A297,3),'Table corresp.'!$A$4:$D$63,3,FALSE)</f>
        <v>Transformation</v>
      </c>
      <c r="C297" t="str">
        <f>VLOOKUP(A297,'Table corresp.'!$M$4:$P$63,4,FALSE)</f>
        <v>Mise en oeuvre de produits bois</v>
      </c>
      <c r="D297" t="s">
        <v>54</v>
      </c>
      <c r="E297" t="str">
        <f>VLOOKUP(LEFT(D297,3),'Table corresp.'!$A$4:$D$63,4,FALSE)</f>
        <v>Consommation finale</v>
      </c>
      <c r="F297" t="str">
        <f t="shared" si="30"/>
        <v>55  - Con</v>
      </c>
      <c r="G297" s="1">
        <v>2006129.34</v>
      </c>
      <c r="H297" s="1">
        <v>0</v>
      </c>
      <c r="I297" s="1">
        <v>2006129.34</v>
      </c>
      <c r="J297" s="1">
        <v>308.35593352622328</v>
      </c>
      <c r="K297" s="1">
        <v>0</v>
      </c>
      <c r="L297" s="1">
        <v>308.35593352622328</v>
      </c>
      <c r="M297" s="1">
        <v>225.92468698140371</v>
      </c>
      <c r="N297" s="1">
        <v>0</v>
      </c>
      <c r="O297" s="1">
        <v>225.92468698140371</v>
      </c>
      <c r="P297" s="1">
        <v>70.057424954326706</v>
      </c>
      <c r="Q297" s="1">
        <v>0</v>
      </c>
      <c r="R297" s="1">
        <v>70.057424954326706</v>
      </c>
      <c r="S297" s="67" t="s">
        <v>192</v>
      </c>
      <c r="T297">
        <f>VLOOKUP(A297,'Groupe de branches'!$Z$27:$AM$86,14,FALSE)</f>
        <v>0</v>
      </c>
      <c r="U297">
        <f>VLOOKUP(D297,'Groupe de branches'!$Z$27:$AM$86,14,FALSE)</f>
        <v>0</v>
      </c>
      <c r="V297">
        <v>2016</v>
      </c>
      <c r="W297" t="str">
        <f>VLOOKUP(D297,'Table corresp.'!$M$4:$S$63,7,FALSE)</f>
        <v>Consommation finale</v>
      </c>
      <c r="X297" s="167">
        <f>IFERROR(G297/SUMIFS('Comp2016-2017 (3)'!$I$5:$I$289,'Comp2016-2017 (3)'!$A$5:$A$289,A297,'Comp2016-2017 (3)'!$R$5:$R$289,V297),0)</f>
        <v>0.999999996359071</v>
      </c>
      <c r="Y297" s="178">
        <f>IFERROR(IF(RIGHT(F297,3)="Exp",VLOOKUP(F297,#REF!,2,FALSE),VLOOKUP(F297,#REF!,9,FALSE)),1)</f>
        <v>1</v>
      </c>
      <c r="Z297" s="167">
        <f t="shared" si="33"/>
        <v>1</v>
      </c>
      <c r="AA297" s="189">
        <f t="shared" si="32"/>
        <v>0.999999996359071</v>
      </c>
      <c r="AB297" s="2">
        <f>IFERROR(SUMIFS('Comp2016-2017 (3)'!$G$5:$G$289,'Comp2016-2017 (3)'!$A$5:$A$289,A297,'Comp2016-2017 (3)'!$R$5:$R$289,V297)*AA297/SUMIFS($AA$4:$AA$1116,$A$4:$A$1116,A297,$V$4:$V$1116,V297),0)</f>
        <v>498572.47385461134</v>
      </c>
      <c r="AC297" s="2" t="str">
        <f>IF($W297=AC$3,$AB297,IF(NOT($W297=0),"",SUMIFS('Val-Vol (2)'!AC$4:AC$1116,'Val-Vol (2)'!$A$4:$A$1116,$D297,'Val-Vol (2)'!$V$4:$V$1116,$V297)/SUMIFS('Comp2016-2017 (3)'!$G$5:$G$289,'Comp2016-2017 (3)'!$A$5:$A$289,$D297,'Comp2016-2017 (3)'!$R$5:$R$289,$V297)*$AB297))</f>
        <v/>
      </c>
      <c r="AD297" s="2" t="str">
        <f>IF($W297=AD$3,$AB297,IF(NOT($W297=0),"",SUMIFS('Val-Vol (2)'!AD$4:AD$1116,'Val-Vol (2)'!$A$4:$A$1116,$D297,'Val-Vol (2)'!$V$4:$V$1116,$V297)/SUMIFS('Comp2016-2017 (3)'!$G$5:$G$289,'Comp2016-2017 (3)'!$A$5:$A$289,$D297,'Comp2016-2017 (3)'!$R$5:$R$289,$V297)*$AB297))</f>
        <v/>
      </c>
      <c r="AE297" s="2" t="str">
        <f>IF($W297=AE$3,$AB297,IF(NOT($W297=0),"",SUMIFS('Val-Vol (2)'!AE$4:AE$1116,'Val-Vol (2)'!$A$4:$A$1116,$D297,'Val-Vol (2)'!$V$4:$V$1116,$V297)/SUMIFS('Comp2016-2017 (3)'!$G$5:$G$289,'Comp2016-2017 (3)'!$A$5:$A$289,$D297,'Comp2016-2017 (3)'!$R$5:$R$289,$V297)*$AB297))</f>
        <v/>
      </c>
      <c r="AF297" s="2" t="str">
        <f>IF($W297=AF$3,$AB297,IF(NOT($W297=0),"",SUMIFS('Val-Vol (2)'!AF$4:AF$1116,'Val-Vol (2)'!$A$4:$A$1116,$D297,'Val-Vol (2)'!$V$4:$V$1116,$V297)/SUMIFS('Comp2016-2017 (3)'!$G$5:$G$289,'Comp2016-2017 (3)'!$A$5:$A$289,$D297,'Comp2016-2017 (3)'!$R$5:$R$289,$V297)*$AB297))</f>
        <v/>
      </c>
      <c r="AG297" s="2" t="str">
        <f>IF($W297=AG$3,$AB297,IF(NOT($W297=0),"",SUMIFS('Val-Vol (2)'!AG$4:AG$1116,'Val-Vol (2)'!$A$4:$A$1116,$D297,'Val-Vol (2)'!$V$4:$V$1116,$V297)/SUMIFS('Comp2016-2017 (3)'!$G$5:$G$289,'Comp2016-2017 (3)'!$A$5:$A$289,$D297,'Comp2016-2017 (3)'!$R$5:$R$289,$V297)*$AB297))</f>
        <v/>
      </c>
      <c r="AH297" s="2" t="str">
        <f>IF($W297=AH$3,$AB297,IF(NOT($W297=0),"",SUMIFS('Val-Vol (2)'!AH$4:AH$1116,'Val-Vol (2)'!$A$4:$A$1116,$D297,'Val-Vol (2)'!$V$4:$V$1116,$V297)/SUMIFS('Comp2016-2017 (3)'!$G$5:$G$289,'Comp2016-2017 (3)'!$A$5:$A$289,$D297,'Comp2016-2017 (3)'!$R$5:$R$289,$V297)*$AB297))</f>
        <v/>
      </c>
      <c r="AI297" s="2" t="str">
        <f>IF($W297=AI$3,$AB297,IF(NOT($W297=0),"",SUMIFS('Val-Vol (2)'!AI$4:AI$1116,'Val-Vol (2)'!$A$4:$A$1116,$D297,'Val-Vol (2)'!$V$4:$V$1116,$V297)/SUMIFS('Comp2016-2017 (3)'!$G$5:$G$289,'Comp2016-2017 (3)'!$A$5:$A$289,$D297,'Comp2016-2017 (3)'!$R$5:$R$289,$V297)*$AB297))</f>
        <v/>
      </c>
      <c r="AJ297" s="2">
        <f>IF($W297=AJ$3,$AB297,IF(NOT($W297=0),"",SUMIFS('Val-Vol (2)'!AJ$4:AJ$1116,'Val-Vol (2)'!$A$4:$A$1116,$D297,'Val-Vol (2)'!$V$4:$V$1116,$V297)/SUMIFS('Comp2016-2017 (3)'!$G$5:$G$289,'Comp2016-2017 (3)'!$A$5:$A$289,$D297,'Comp2016-2017 (3)'!$R$5:$R$289,$V297)*$AB297))</f>
        <v>498572.47385461134</v>
      </c>
      <c r="AK297" s="2">
        <f t="shared" si="37"/>
        <v>0</v>
      </c>
      <c r="AL297" t="str">
        <f t="shared" si="31"/>
        <v/>
      </c>
      <c r="AM297" t="str">
        <f>VLOOKUP(A297,'Table corresp.'!$M$4:$U$63,8,FALSE)</f>
        <v xml:space="preserve">Mise en œuvre </v>
      </c>
      <c r="AN297" t="str">
        <f>VLOOKUP(D297,'Table corresp.'!$M$4:$U$63,9,FALSE)</f>
        <v>Consommation finale française</v>
      </c>
    </row>
    <row r="298" spans="1:40" x14ac:dyDescent="0.25">
      <c r="A298" t="s">
        <v>23</v>
      </c>
      <c r="B298" t="str">
        <f>VLOOKUP(LEFT(A298,3),'Table corresp.'!$A$4:$D$63,3,FALSE)</f>
        <v>Transformation</v>
      </c>
      <c r="C298" t="str">
        <f>VLOOKUP(A298,'Table corresp.'!$M$4:$P$63,4,FALSE)</f>
        <v>Mise en oeuvre de produits bois</v>
      </c>
      <c r="D298" t="s">
        <v>54</v>
      </c>
      <c r="E298" t="str">
        <f>VLOOKUP(LEFT(D298,3),'Table corresp.'!$A$4:$D$63,4,FALSE)</f>
        <v>Consommation finale</v>
      </c>
      <c r="F298" t="str">
        <f t="shared" si="30"/>
        <v>56  - Con</v>
      </c>
      <c r="G298" s="1">
        <v>367256.4</v>
      </c>
      <c r="H298" s="1">
        <v>0</v>
      </c>
      <c r="I298" s="1">
        <v>367256.4</v>
      </c>
      <c r="J298" s="1">
        <v>464.77743053575961</v>
      </c>
      <c r="K298" s="1">
        <v>0</v>
      </c>
      <c r="L298" s="1">
        <v>464.77743053575961</v>
      </c>
      <c r="M298" s="1">
        <v>9.1702822400293993</v>
      </c>
      <c r="N298" s="1">
        <v>0</v>
      </c>
      <c r="O298" s="1">
        <v>9.1702822400293993</v>
      </c>
      <c r="P298" s="1">
        <v>2.4689427556011689</v>
      </c>
      <c r="Q298" s="1">
        <v>0</v>
      </c>
      <c r="R298" s="1">
        <v>2.4689427556011689</v>
      </c>
      <c r="S298" s="67" t="s">
        <v>192</v>
      </c>
      <c r="T298">
        <f>VLOOKUP(A298,'Groupe de branches'!$Z$27:$AM$86,14,FALSE)</f>
        <v>0</v>
      </c>
      <c r="U298">
        <f>VLOOKUP(D298,'Groupe de branches'!$Z$27:$AM$86,14,FALSE)</f>
        <v>0</v>
      </c>
      <c r="V298">
        <v>2016</v>
      </c>
      <c r="W298" t="str">
        <f>VLOOKUP(D298,'Table corresp.'!$M$4:$S$63,7,FALSE)</f>
        <v>Consommation finale</v>
      </c>
      <c r="X298" s="167">
        <f>IFERROR(G298/SUMIFS('Comp2016-2017 (3)'!$I$5:$I$289,'Comp2016-2017 (3)'!$A$5:$A$289,A298,'Comp2016-2017 (3)'!$R$5:$R$289,V298),0)</f>
        <v>0.99999998112983457</v>
      </c>
      <c r="Y298" s="178">
        <f>IFERROR(IF(RIGHT(F298,3)="Exp",VLOOKUP(F298,#REF!,2,FALSE),VLOOKUP(F298,#REF!,9,FALSE)),1)</f>
        <v>1</v>
      </c>
      <c r="Z298" s="167">
        <f t="shared" si="33"/>
        <v>1</v>
      </c>
      <c r="AA298" s="189">
        <f t="shared" si="32"/>
        <v>0.99999998112983457</v>
      </c>
      <c r="AB298" s="2">
        <f>IFERROR(SUMIFS('Comp2016-2017 (3)'!$G$5:$G$289,'Comp2016-2017 (3)'!$A$5:$A$289,A298,'Comp2016-2017 (3)'!$R$5:$R$289,V298)*AA298/SUMIFS($AA$4:$AA$1116,$A$4:$A$1116,A298,$V$4:$V$1116,V298),0)</f>
        <v>134220.22380768938</v>
      </c>
      <c r="AC298" s="2" t="str">
        <f>IF($W298=AC$3,$AB298,IF(NOT($W298=0),"",SUMIFS('Val-Vol (2)'!AC$4:AC$1116,'Val-Vol (2)'!$A$4:$A$1116,$D298,'Val-Vol (2)'!$V$4:$V$1116,$V298)/SUMIFS('Comp2016-2017 (3)'!$G$5:$G$289,'Comp2016-2017 (3)'!$A$5:$A$289,$D298,'Comp2016-2017 (3)'!$R$5:$R$289,$V298)*$AB298))</f>
        <v/>
      </c>
      <c r="AD298" s="2" t="str">
        <f>IF($W298=AD$3,$AB298,IF(NOT($W298=0),"",SUMIFS('Val-Vol (2)'!AD$4:AD$1116,'Val-Vol (2)'!$A$4:$A$1116,$D298,'Val-Vol (2)'!$V$4:$V$1116,$V298)/SUMIFS('Comp2016-2017 (3)'!$G$5:$G$289,'Comp2016-2017 (3)'!$A$5:$A$289,$D298,'Comp2016-2017 (3)'!$R$5:$R$289,$V298)*$AB298))</f>
        <v/>
      </c>
      <c r="AE298" s="2" t="str">
        <f>IF($W298=AE$3,$AB298,IF(NOT($W298=0),"",SUMIFS('Val-Vol (2)'!AE$4:AE$1116,'Val-Vol (2)'!$A$4:$A$1116,$D298,'Val-Vol (2)'!$V$4:$V$1116,$V298)/SUMIFS('Comp2016-2017 (3)'!$G$5:$G$289,'Comp2016-2017 (3)'!$A$5:$A$289,$D298,'Comp2016-2017 (3)'!$R$5:$R$289,$V298)*$AB298))</f>
        <v/>
      </c>
      <c r="AF298" s="2" t="str">
        <f>IF($W298=AF$3,$AB298,IF(NOT($W298=0),"",SUMIFS('Val-Vol (2)'!AF$4:AF$1116,'Val-Vol (2)'!$A$4:$A$1116,$D298,'Val-Vol (2)'!$V$4:$V$1116,$V298)/SUMIFS('Comp2016-2017 (3)'!$G$5:$G$289,'Comp2016-2017 (3)'!$A$5:$A$289,$D298,'Comp2016-2017 (3)'!$R$5:$R$289,$V298)*$AB298))</f>
        <v/>
      </c>
      <c r="AG298" s="2" t="str">
        <f>IF($W298=AG$3,$AB298,IF(NOT($W298=0),"",SUMIFS('Val-Vol (2)'!AG$4:AG$1116,'Val-Vol (2)'!$A$4:$A$1116,$D298,'Val-Vol (2)'!$V$4:$V$1116,$V298)/SUMIFS('Comp2016-2017 (3)'!$G$5:$G$289,'Comp2016-2017 (3)'!$A$5:$A$289,$D298,'Comp2016-2017 (3)'!$R$5:$R$289,$V298)*$AB298))</f>
        <v/>
      </c>
      <c r="AH298" s="2" t="str">
        <f>IF($W298=AH$3,$AB298,IF(NOT($W298=0),"",SUMIFS('Val-Vol (2)'!AH$4:AH$1116,'Val-Vol (2)'!$A$4:$A$1116,$D298,'Val-Vol (2)'!$V$4:$V$1116,$V298)/SUMIFS('Comp2016-2017 (3)'!$G$5:$G$289,'Comp2016-2017 (3)'!$A$5:$A$289,$D298,'Comp2016-2017 (3)'!$R$5:$R$289,$V298)*$AB298))</f>
        <v/>
      </c>
      <c r="AI298" s="2" t="str">
        <f>IF($W298=AI$3,$AB298,IF(NOT($W298=0),"",SUMIFS('Val-Vol (2)'!AI$4:AI$1116,'Val-Vol (2)'!$A$4:$A$1116,$D298,'Val-Vol (2)'!$V$4:$V$1116,$V298)/SUMIFS('Comp2016-2017 (3)'!$G$5:$G$289,'Comp2016-2017 (3)'!$A$5:$A$289,$D298,'Comp2016-2017 (3)'!$R$5:$R$289,$V298)*$AB298))</f>
        <v/>
      </c>
      <c r="AJ298" s="2">
        <f>IF($W298=AJ$3,$AB298,IF(NOT($W298=0),"",SUMIFS('Val-Vol (2)'!AJ$4:AJ$1116,'Val-Vol (2)'!$A$4:$A$1116,$D298,'Val-Vol (2)'!$V$4:$V$1116,$V298)/SUMIFS('Comp2016-2017 (3)'!$G$5:$G$289,'Comp2016-2017 (3)'!$A$5:$A$289,$D298,'Comp2016-2017 (3)'!$R$5:$R$289,$V298)*$AB298))</f>
        <v>134220.22380768938</v>
      </c>
      <c r="AK298" s="2">
        <f t="shared" si="37"/>
        <v>0</v>
      </c>
      <c r="AL298" t="str">
        <f t="shared" si="31"/>
        <v/>
      </c>
      <c r="AM298" t="str">
        <f>VLOOKUP(A298,'Table corresp.'!$M$4:$U$63,8,FALSE)</f>
        <v xml:space="preserve">Mise en œuvre </v>
      </c>
      <c r="AN298" t="str">
        <f>VLOOKUP(D298,'Table corresp.'!$M$4:$U$63,9,FALSE)</f>
        <v>Consommation finale française</v>
      </c>
    </row>
    <row r="299" spans="1:40" x14ac:dyDescent="0.25">
      <c r="A299" t="s">
        <v>24</v>
      </c>
      <c r="B299" t="str">
        <f>VLOOKUP(LEFT(A299,3),'Table corresp.'!$A$4:$D$63,3,FALSE)</f>
        <v>Transformation</v>
      </c>
      <c r="C299" t="str">
        <f>VLOOKUP(A299,'Table corresp.'!$M$4:$P$63,4,FALSE)</f>
        <v>Mise en oeuvre de produits bois</v>
      </c>
      <c r="D299" t="s">
        <v>54</v>
      </c>
      <c r="E299" t="str">
        <f>VLOOKUP(LEFT(D299,3),'Table corresp.'!$A$4:$D$63,4,FALSE)</f>
        <v>Consommation finale</v>
      </c>
      <c r="F299" t="str">
        <f t="shared" si="30"/>
        <v>57  - Con</v>
      </c>
      <c r="G299" s="1">
        <v>5544712.6267670533</v>
      </c>
      <c r="H299" s="1">
        <v>0</v>
      </c>
      <c r="I299" s="1">
        <v>5544712.6267670533</v>
      </c>
      <c r="J299" s="1">
        <v>5376.9007892990467</v>
      </c>
      <c r="K299" s="1">
        <v>0</v>
      </c>
      <c r="L299" s="1">
        <v>5376.9007892990467</v>
      </c>
      <c r="M299" s="1">
        <v>179.84239986468805</v>
      </c>
      <c r="N299" s="1">
        <v>0</v>
      </c>
      <c r="O299" s="1">
        <v>179.84239986468805</v>
      </c>
      <c r="P299" s="1">
        <v>35.612969594643452</v>
      </c>
      <c r="Q299" s="1">
        <v>0</v>
      </c>
      <c r="R299" s="1">
        <v>35.612969594643452</v>
      </c>
      <c r="S299" s="67" t="s">
        <v>192</v>
      </c>
      <c r="T299">
        <f>VLOOKUP(A299,'Groupe de branches'!$Z$27:$AM$86,14,FALSE)</f>
        <v>0</v>
      </c>
      <c r="U299">
        <f>VLOOKUP(D299,'Groupe de branches'!$Z$27:$AM$86,14,FALSE)</f>
        <v>0</v>
      </c>
      <c r="V299">
        <v>2016</v>
      </c>
      <c r="W299" t="str">
        <f>VLOOKUP(D299,'Table corresp.'!$M$4:$S$63,7,FALSE)</f>
        <v>Consommation finale</v>
      </c>
      <c r="X299" s="167">
        <f>IFERROR(G299/SUMIFS('Comp2016-2017 (3)'!$I$5:$I$289,'Comp2016-2017 (3)'!$A$5:$A$289,A299,'Comp2016-2017 (3)'!$R$5:$R$289,V299),0)</f>
        <v>1</v>
      </c>
      <c r="Y299" s="178">
        <f>IFERROR(IF(RIGHT(F299,3)="Exp",VLOOKUP(F299,#REF!,2,FALSE),VLOOKUP(F299,#REF!,9,FALSE)),1)</f>
        <v>1</v>
      </c>
      <c r="Z299" s="167">
        <f t="shared" si="33"/>
        <v>1</v>
      </c>
      <c r="AA299" s="189">
        <f t="shared" si="32"/>
        <v>1</v>
      </c>
      <c r="AB299" s="2">
        <f>IFERROR(SUMIFS('Comp2016-2017 (3)'!$G$5:$G$289,'Comp2016-2017 (3)'!$A$5:$A$289,A299,'Comp2016-2017 (3)'!$R$5:$R$289,V299)*AA299/SUMIFS($AA$4:$AA$1116,$A$4:$A$1116,A299,$V$4:$V$1116,V299),0)</f>
        <v>2159392.6271444596</v>
      </c>
      <c r="AC299" s="2" t="str">
        <f>IF($W299=AC$3,$AB299,IF(NOT($W299=0),"",SUMIFS('Val-Vol (2)'!AC$4:AC$1116,'Val-Vol (2)'!$A$4:$A$1116,$D299,'Val-Vol (2)'!$V$4:$V$1116,$V299)/SUMIFS('Comp2016-2017 (3)'!$G$5:$G$289,'Comp2016-2017 (3)'!$A$5:$A$289,$D299,'Comp2016-2017 (3)'!$R$5:$R$289,$V299)*$AB299))</f>
        <v/>
      </c>
      <c r="AD299" s="2" t="str">
        <f>IF($W299=AD$3,$AB299,IF(NOT($W299=0),"",SUMIFS('Val-Vol (2)'!AD$4:AD$1116,'Val-Vol (2)'!$A$4:$A$1116,$D299,'Val-Vol (2)'!$V$4:$V$1116,$V299)/SUMIFS('Comp2016-2017 (3)'!$G$5:$G$289,'Comp2016-2017 (3)'!$A$5:$A$289,$D299,'Comp2016-2017 (3)'!$R$5:$R$289,$V299)*$AB299))</f>
        <v/>
      </c>
      <c r="AE299" s="2" t="str">
        <f>IF($W299=AE$3,$AB299,IF(NOT($W299=0),"",SUMIFS('Val-Vol (2)'!AE$4:AE$1116,'Val-Vol (2)'!$A$4:$A$1116,$D299,'Val-Vol (2)'!$V$4:$V$1116,$V299)/SUMIFS('Comp2016-2017 (3)'!$G$5:$G$289,'Comp2016-2017 (3)'!$A$5:$A$289,$D299,'Comp2016-2017 (3)'!$R$5:$R$289,$V299)*$AB299))</f>
        <v/>
      </c>
      <c r="AF299" s="2" t="str">
        <f>IF($W299=AF$3,$AB299,IF(NOT($W299=0),"",SUMIFS('Val-Vol (2)'!AF$4:AF$1116,'Val-Vol (2)'!$A$4:$A$1116,$D299,'Val-Vol (2)'!$V$4:$V$1116,$V299)/SUMIFS('Comp2016-2017 (3)'!$G$5:$G$289,'Comp2016-2017 (3)'!$A$5:$A$289,$D299,'Comp2016-2017 (3)'!$R$5:$R$289,$V299)*$AB299))</f>
        <v/>
      </c>
      <c r="AG299" s="2" t="str">
        <f>IF($W299=AG$3,$AB299,IF(NOT($W299=0),"",SUMIFS('Val-Vol (2)'!AG$4:AG$1116,'Val-Vol (2)'!$A$4:$A$1116,$D299,'Val-Vol (2)'!$V$4:$V$1116,$V299)/SUMIFS('Comp2016-2017 (3)'!$G$5:$G$289,'Comp2016-2017 (3)'!$A$5:$A$289,$D299,'Comp2016-2017 (3)'!$R$5:$R$289,$V299)*$AB299))</f>
        <v/>
      </c>
      <c r="AH299" s="2" t="str">
        <f>IF($W299=AH$3,$AB299,IF(NOT($W299=0),"",SUMIFS('Val-Vol (2)'!AH$4:AH$1116,'Val-Vol (2)'!$A$4:$A$1116,$D299,'Val-Vol (2)'!$V$4:$V$1116,$V299)/SUMIFS('Comp2016-2017 (3)'!$G$5:$G$289,'Comp2016-2017 (3)'!$A$5:$A$289,$D299,'Comp2016-2017 (3)'!$R$5:$R$289,$V299)*$AB299))</f>
        <v/>
      </c>
      <c r="AI299" s="2" t="str">
        <f>IF($W299=AI$3,$AB299,IF(NOT($W299=0),"",SUMIFS('Val-Vol (2)'!AI$4:AI$1116,'Val-Vol (2)'!$A$4:$A$1116,$D299,'Val-Vol (2)'!$V$4:$V$1116,$V299)/SUMIFS('Comp2016-2017 (3)'!$G$5:$G$289,'Comp2016-2017 (3)'!$A$5:$A$289,$D299,'Comp2016-2017 (3)'!$R$5:$R$289,$V299)*$AB299))</f>
        <v/>
      </c>
      <c r="AJ299" s="2">
        <f>IF($W299=AJ$3,$AB299,IF(NOT($W299=0),"",SUMIFS('Val-Vol (2)'!AJ$4:AJ$1116,'Val-Vol (2)'!$A$4:$A$1116,$D299,'Val-Vol (2)'!$V$4:$V$1116,$V299)/SUMIFS('Comp2016-2017 (3)'!$G$5:$G$289,'Comp2016-2017 (3)'!$A$5:$A$289,$D299,'Comp2016-2017 (3)'!$R$5:$R$289,$V299)*$AB299))</f>
        <v>2159392.6271444596</v>
      </c>
      <c r="AK299" s="2">
        <f t="shared" si="37"/>
        <v>0</v>
      </c>
      <c r="AL299" t="str">
        <f t="shared" si="31"/>
        <v/>
      </c>
      <c r="AM299" t="str">
        <f>VLOOKUP(A299,'Table corresp.'!$M$4:$U$63,8,FALSE)</f>
        <v xml:space="preserve">Mise en œuvre </v>
      </c>
      <c r="AN299" t="str">
        <f>VLOOKUP(D299,'Table corresp.'!$M$4:$U$63,9,FALSE)</f>
        <v>Consommation finale française</v>
      </c>
    </row>
    <row r="300" spans="1:40" x14ac:dyDescent="0.25">
      <c r="A300" t="s">
        <v>25</v>
      </c>
      <c r="B300" t="str">
        <f>VLOOKUP(LEFT(A300,3),'Table corresp.'!$A$4:$D$63,3,FALSE)</f>
        <v>Transformation</v>
      </c>
      <c r="C300" t="str">
        <f>VLOOKUP(A300,'Table corresp.'!$M$4:$P$63,4,FALSE)</f>
        <v>Mise en oeuvre de produits bois</v>
      </c>
      <c r="D300" t="s">
        <v>54</v>
      </c>
      <c r="E300" t="str">
        <f>VLOOKUP(LEFT(D300,3),'Table corresp.'!$A$4:$D$63,4,FALSE)</f>
        <v>Consommation finale</v>
      </c>
      <c r="F300" t="str">
        <f t="shared" si="30"/>
        <v>58  - Con</v>
      </c>
      <c r="G300" s="1">
        <v>811112.86</v>
      </c>
      <c r="H300" s="1">
        <v>0</v>
      </c>
      <c r="I300" s="1">
        <v>811112.86</v>
      </c>
      <c r="J300" s="1">
        <v>785.06603449473562</v>
      </c>
      <c r="K300" s="1">
        <v>0</v>
      </c>
      <c r="L300" s="1">
        <v>785.06603449473562</v>
      </c>
      <c r="M300" s="1">
        <v>13.578700803373701</v>
      </c>
      <c r="N300" s="1">
        <v>0</v>
      </c>
      <c r="O300" s="1">
        <v>13.578700803373701</v>
      </c>
      <c r="P300" s="1">
        <v>2.759159739890154</v>
      </c>
      <c r="Q300" s="1">
        <v>0</v>
      </c>
      <c r="R300" s="1">
        <v>2.759159739890154</v>
      </c>
      <c r="S300" s="67" t="s">
        <v>192</v>
      </c>
      <c r="T300">
        <f>VLOOKUP(A300,'Groupe de branches'!$Z$27:$AM$86,14,FALSE)</f>
        <v>0</v>
      </c>
      <c r="U300">
        <f>VLOOKUP(D300,'Groupe de branches'!$Z$27:$AM$86,14,FALSE)</f>
        <v>0</v>
      </c>
      <c r="V300">
        <v>2016</v>
      </c>
      <c r="W300" t="str">
        <f>VLOOKUP(D300,'Table corresp.'!$M$4:$S$63,7,FALSE)</f>
        <v>Consommation finale</v>
      </c>
      <c r="X300" s="167">
        <f>IFERROR(G300/SUMIFS('Comp2016-2017 (3)'!$I$5:$I$289,'Comp2016-2017 (3)'!$A$5:$A$289,A300,'Comp2016-2017 (3)'!$R$5:$R$289,V300),0)</f>
        <v>0.99999999245604287</v>
      </c>
      <c r="Y300" s="178">
        <f>IFERROR(IF(RIGHT(F300,3)="Exp",VLOOKUP(F300,#REF!,2,FALSE),VLOOKUP(F300,#REF!,9,FALSE)),1)</f>
        <v>1</v>
      </c>
      <c r="Z300" s="167">
        <f t="shared" si="33"/>
        <v>1</v>
      </c>
      <c r="AA300" s="189">
        <f t="shared" si="32"/>
        <v>0.99999999245604287</v>
      </c>
      <c r="AB300" s="2">
        <f>IFERROR(SUMIFS('Comp2016-2017 (3)'!$G$5:$G$289,'Comp2016-2017 (3)'!$A$5:$A$289,A300,'Comp2016-2017 (3)'!$R$5:$R$289,V300)*AA300/SUMIFS($AA$4:$AA$1116,$A$4:$A$1116,A300,$V$4:$V$1116,V300),0)</f>
        <v>333728.34357261955</v>
      </c>
      <c r="AC300" s="2" t="str">
        <f>IF($W300=AC$3,$AB300,IF(NOT($W300=0),"",SUMIFS('Val-Vol (2)'!AC$4:AC$1116,'Val-Vol (2)'!$A$4:$A$1116,$D300,'Val-Vol (2)'!$V$4:$V$1116,$V300)/SUMIFS('Comp2016-2017 (3)'!$G$5:$G$289,'Comp2016-2017 (3)'!$A$5:$A$289,$D300,'Comp2016-2017 (3)'!$R$5:$R$289,$V300)*$AB300))</f>
        <v/>
      </c>
      <c r="AD300" s="2" t="str">
        <f>IF($W300=AD$3,$AB300,IF(NOT($W300=0),"",SUMIFS('Val-Vol (2)'!AD$4:AD$1116,'Val-Vol (2)'!$A$4:$A$1116,$D300,'Val-Vol (2)'!$V$4:$V$1116,$V300)/SUMIFS('Comp2016-2017 (3)'!$G$5:$G$289,'Comp2016-2017 (3)'!$A$5:$A$289,$D300,'Comp2016-2017 (3)'!$R$5:$R$289,$V300)*$AB300))</f>
        <v/>
      </c>
      <c r="AE300" s="2" t="str">
        <f>IF($W300=AE$3,$AB300,IF(NOT($W300=0),"",SUMIFS('Val-Vol (2)'!AE$4:AE$1116,'Val-Vol (2)'!$A$4:$A$1116,$D300,'Val-Vol (2)'!$V$4:$V$1116,$V300)/SUMIFS('Comp2016-2017 (3)'!$G$5:$G$289,'Comp2016-2017 (3)'!$A$5:$A$289,$D300,'Comp2016-2017 (3)'!$R$5:$R$289,$V300)*$AB300))</f>
        <v/>
      </c>
      <c r="AF300" s="2" t="str">
        <f>IF($W300=AF$3,$AB300,IF(NOT($W300=0),"",SUMIFS('Val-Vol (2)'!AF$4:AF$1116,'Val-Vol (2)'!$A$4:$A$1116,$D300,'Val-Vol (2)'!$V$4:$V$1116,$V300)/SUMIFS('Comp2016-2017 (3)'!$G$5:$G$289,'Comp2016-2017 (3)'!$A$5:$A$289,$D300,'Comp2016-2017 (3)'!$R$5:$R$289,$V300)*$AB300))</f>
        <v/>
      </c>
      <c r="AG300" s="2" t="str">
        <f>IF($W300=AG$3,$AB300,IF(NOT($W300=0),"",SUMIFS('Val-Vol (2)'!AG$4:AG$1116,'Val-Vol (2)'!$A$4:$A$1116,$D300,'Val-Vol (2)'!$V$4:$V$1116,$V300)/SUMIFS('Comp2016-2017 (3)'!$G$5:$G$289,'Comp2016-2017 (3)'!$A$5:$A$289,$D300,'Comp2016-2017 (3)'!$R$5:$R$289,$V300)*$AB300))</f>
        <v/>
      </c>
      <c r="AH300" s="2" t="str">
        <f>IF($W300=AH$3,$AB300,IF(NOT($W300=0),"",SUMIFS('Val-Vol (2)'!AH$4:AH$1116,'Val-Vol (2)'!$A$4:$A$1116,$D300,'Val-Vol (2)'!$V$4:$V$1116,$V300)/SUMIFS('Comp2016-2017 (3)'!$G$5:$G$289,'Comp2016-2017 (3)'!$A$5:$A$289,$D300,'Comp2016-2017 (3)'!$R$5:$R$289,$V300)*$AB300))</f>
        <v/>
      </c>
      <c r="AI300" s="2" t="str">
        <f>IF($W300=AI$3,$AB300,IF(NOT($W300=0),"",SUMIFS('Val-Vol (2)'!AI$4:AI$1116,'Val-Vol (2)'!$A$4:$A$1116,$D300,'Val-Vol (2)'!$V$4:$V$1116,$V300)/SUMIFS('Comp2016-2017 (3)'!$G$5:$G$289,'Comp2016-2017 (3)'!$A$5:$A$289,$D300,'Comp2016-2017 (3)'!$R$5:$R$289,$V300)*$AB300))</f>
        <v/>
      </c>
      <c r="AJ300" s="2">
        <f>IF($W300=AJ$3,$AB300,IF(NOT($W300=0),"",SUMIFS('Val-Vol (2)'!AJ$4:AJ$1116,'Val-Vol (2)'!$A$4:$A$1116,$D300,'Val-Vol (2)'!$V$4:$V$1116,$V300)/SUMIFS('Comp2016-2017 (3)'!$G$5:$G$289,'Comp2016-2017 (3)'!$A$5:$A$289,$D300,'Comp2016-2017 (3)'!$R$5:$R$289,$V300)*$AB300))</f>
        <v>333728.34357261955</v>
      </c>
      <c r="AK300" s="2">
        <f t="shared" si="37"/>
        <v>0</v>
      </c>
      <c r="AL300" t="str">
        <f t="shared" si="31"/>
        <v/>
      </c>
      <c r="AM300" t="str">
        <f>VLOOKUP(A300,'Table corresp.'!$M$4:$U$63,8,FALSE)</f>
        <v xml:space="preserve">Mise en œuvre </v>
      </c>
      <c r="AN300" t="str">
        <f>VLOOKUP(D300,'Table corresp.'!$M$4:$U$63,9,FALSE)</f>
        <v>Consommation finale française</v>
      </c>
    </row>
    <row r="301" spans="1:40" x14ac:dyDescent="0.25">
      <c r="A301" t="s">
        <v>26</v>
      </c>
      <c r="B301" t="str">
        <f>VLOOKUP(LEFT(A301,3),'Table corresp.'!$A$4:$D$63,3,FALSE)</f>
        <v>Transformation</v>
      </c>
      <c r="C301" t="str">
        <f>VLOOKUP(A301,'Table corresp.'!$M$4:$P$63,4,FALSE)</f>
        <v>Mise en oeuvre de produits bois</v>
      </c>
      <c r="D301" t="s">
        <v>54</v>
      </c>
      <c r="E301" t="str">
        <f>VLOOKUP(LEFT(D301,3),'Table corresp.'!$A$4:$D$63,4,FALSE)</f>
        <v>Consommation finale</v>
      </c>
      <c r="F301" t="str">
        <f t="shared" si="30"/>
        <v>59  - Con</v>
      </c>
      <c r="G301" s="1">
        <v>275181.96000000002</v>
      </c>
      <c r="H301" s="1">
        <v>0</v>
      </c>
      <c r="I301" s="1">
        <v>275181.96000000002</v>
      </c>
      <c r="J301" s="1">
        <v>189.85936621525966</v>
      </c>
      <c r="K301" s="1">
        <v>0</v>
      </c>
      <c r="L301" s="1">
        <v>189.85936621525966</v>
      </c>
      <c r="M301" s="1">
        <v>7.4782790420912173</v>
      </c>
      <c r="N301" s="1">
        <v>0</v>
      </c>
      <c r="O301" s="1">
        <v>7.4782790420912173</v>
      </c>
      <c r="P301" s="1">
        <v>3.3040682839656346</v>
      </c>
      <c r="Q301" s="1">
        <v>0</v>
      </c>
      <c r="R301" s="1">
        <v>3.3040682839656346</v>
      </c>
      <c r="S301" s="67" t="s">
        <v>192</v>
      </c>
      <c r="T301">
        <f>VLOOKUP(A301,'Groupe de branches'!$Z$27:$AM$86,14,FALSE)</f>
        <v>0</v>
      </c>
      <c r="U301">
        <f>VLOOKUP(D301,'Groupe de branches'!$Z$27:$AM$86,14,FALSE)</f>
        <v>0</v>
      </c>
      <c r="V301">
        <v>2016</v>
      </c>
      <c r="W301" t="str">
        <f>VLOOKUP(D301,'Table corresp.'!$M$4:$S$63,7,FALSE)</f>
        <v>Consommation finale</v>
      </c>
      <c r="X301" s="167">
        <f>IFERROR(G301/SUMIFS('Comp2016-2017 (3)'!$I$5:$I$289,'Comp2016-2017 (3)'!$A$5:$A$289,A301,'Comp2016-2017 (3)'!$R$5:$R$289,V301),0)</f>
        <v>0.99999999897398228</v>
      </c>
      <c r="Y301" s="178">
        <f>IFERROR(IF(RIGHT(F301,3)="Exp",VLOOKUP(F301,#REF!,2,FALSE),VLOOKUP(F301,#REF!,9,FALSE)),1)</f>
        <v>1</v>
      </c>
      <c r="Z301" s="167">
        <f t="shared" si="33"/>
        <v>1</v>
      </c>
      <c r="AA301" s="189">
        <f t="shared" si="32"/>
        <v>0.99999999897398228</v>
      </c>
      <c r="AB301" s="2">
        <f>IFERROR(SUMIFS('Comp2016-2017 (3)'!$G$5:$G$289,'Comp2016-2017 (3)'!$A$5:$A$289,A301,'Comp2016-2017 (3)'!$R$5:$R$289,V301)*AA301/SUMIFS($AA$4:$AA$1116,$A$4:$A$1116,A301,$V$4:$V$1116,V301),0)</f>
        <v>95302.353203242514</v>
      </c>
      <c r="AC301" s="2" t="str">
        <f>IF($W301=AC$3,$AB301,IF(NOT($W301=0),"",SUMIFS('Val-Vol (2)'!AC$4:AC$1116,'Val-Vol (2)'!$A$4:$A$1116,$D301,'Val-Vol (2)'!$V$4:$V$1116,$V301)/SUMIFS('Comp2016-2017 (3)'!$G$5:$G$289,'Comp2016-2017 (3)'!$A$5:$A$289,$D301,'Comp2016-2017 (3)'!$R$5:$R$289,$V301)*$AB301))</f>
        <v/>
      </c>
      <c r="AD301" s="2" t="str">
        <f>IF($W301=AD$3,$AB301,IF(NOT($W301=0),"",SUMIFS('Val-Vol (2)'!AD$4:AD$1116,'Val-Vol (2)'!$A$4:$A$1116,$D301,'Val-Vol (2)'!$V$4:$V$1116,$V301)/SUMIFS('Comp2016-2017 (3)'!$G$5:$G$289,'Comp2016-2017 (3)'!$A$5:$A$289,$D301,'Comp2016-2017 (3)'!$R$5:$R$289,$V301)*$AB301))</f>
        <v/>
      </c>
      <c r="AE301" s="2" t="str">
        <f>IF($W301=AE$3,$AB301,IF(NOT($W301=0),"",SUMIFS('Val-Vol (2)'!AE$4:AE$1116,'Val-Vol (2)'!$A$4:$A$1116,$D301,'Val-Vol (2)'!$V$4:$V$1116,$V301)/SUMIFS('Comp2016-2017 (3)'!$G$5:$G$289,'Comp2016-2017 (3)'!$A$5:$A$289,$D301,'Comp2016-2017 (3)'!$R$5:$R$289,$V301)*$AB301))</f>
        <v/>
      </c>
      <c r="AF301" s="2" t="str">
        <f>IF($W301=AF$3,$AB301,IF(NOT($W301=0),"",SUMIFS('Val-Vol (2)'!AF$4:AF$1116,'Val-Vol (2)'!$A$4:$A$1116,$D301,'Val-Vol (2)'!$V$4:$V$1116,$V301)/SUMIFS('Comp2016-2017 (3)'!$G$5:$G$289,'Comp2016-2017 (3)'!$A$5:$A$289,$D301,'Comp2016-2017 (3)'!$R$5:$R$289,$V301)*$AB301))</f>
        <v/>
      </c>
      <c r="AG301" s="2" t="str">
        <f>IF($W301=AG$3,$AB301,IF(NOT($W301=0),"",SUMIFS('Val-Vol (2)'!AG$4:AG$1116,'Val-Vol (2)'!$A$4:$A$1116,$D301,'Val-Vol (2)'!$V$4:$V$1116,$V301)/SUMIFS('Comp2016-2017 (3)'!$G$5:$G$289,'Comp2016-2017 (3)'!$A$5:$A$289,$D301,'Comp2016-2017 (3)'!$R$5:$R$289,$V301)*$AB301))</f>
        <v/>
      </c>
      <c r="AH301" s="2" t="str">
        <f>IF($W301=AH$3,$AB301,IF(NOT($W301=0),"",SUMIFS('Val-Vol (2)'!AH$4:AH$1116,'Val-Vol (2)'!$A$4:$A$1116,$D301,'Val-Vol (2)'!$V$4:$V$1116,$V301)/SUMIFS('Comp2016-2017 (3)'!$G$5:$G$289,'Comp2016-2017 (3)'!$A$5:$A$289,$D301,'Comp2016-2017 (3)'!$R$5:$R$289,$V301)*$AB301))</f>
        <v/>
      </c>
      <c r="AI301" s="2" t="str">
        <f>IF($W301=AI$3,$AB301,IF(NOT($W301=0),"",SUMIFS('Val-Vol (2)'!AI$4:AI$1116,'Val-Vol (2)'!$A$4:$A$1116,$D301,'Val-Vol (2)'!$V$4:$V$1116,$V301)/SUMIFS('Comp2016-2017 (3)'!$G$5:$G$289,'Comp2016-2017 (3)'!$A$5:$A$289,$D301,'Comp2016-2017 (3)'!$R$5:$R$289,$V301)*$AB301))</f>
        <v/>
      </c>
      <c r="AJ301" s="2">
        <f>IF($W301=AJ$3,$AB301,IF(NOT($W301=0),"",SUMIFS('Val-Vol (2)'!AJ$4:AJ$1116,'Val-Vol (2)'!$A$4:$A$1116,$D301,'Val-Vol (2)'!$V$4:$V$1116,$V301)/SUMIFS('Comp2016-2017 (3)'!$G$5:$G$289,'Comp2016-2017 (3)'!$A$5:$A$289,$D301,'Comp2016-2017 (3)'!$R$5:$R$289,$V301)*$AB301))</f>
        <v>95302.353203242514</v>
      </c>
      <c r="AK301" s="2">
        <f t="shared" si="37"/>
        <v>0</v>
      </c>
      <c r="AL301" t="str">
        <f t="shared" si="31"/>
        <v/>
      </c>
      <c r="AM301" t="str">
        <f>VLOOKUP(A301,'Table corresp.'!$M$4:$U$63,8,FALSE)</f>
        <v xml:space="preserve">Mise en œuvre </v>
      </c>
      <c r="AN301" t="str">
        <f>VLOOKUP(D301,'Table corresp.'!$M$4:$U$63,9,FALSE)</f>
        <v>Consommation finale française</v>
      </c>
    </row>
    <row r="302" spans="1:40" x14ac:dyDescent="0.25">
      <c r="A302" t="s">
        <v>27</v>
      </c>
      <c r="B302" t="str">
        <f>VLOOKUP(LEFT(A302,3),'Table corresp.'!$A$4:$D$63,3,FALSE)</f>
        <v>Transformation</v>
      </c>
      <c r="C302" t="str">
        <f>VLOOKUP(A302,'Table corresp.'!$M$4:$P$63,4,FALSE)</f>
        <v>Mise en oeuvre de produits bois</v>
      </c>
      <c r="D302" t="s">
        <v>54</v>
      </c>
      <c r="E302" t="str">
        <f>VLOOKUP(LEFT(D302,3),'Table corresp.'!$A$4:$D$63,4,FALSE)</f>
        <v>Consommation finale</v>
      </c>
      <c r="F302" t="str">
        <f t="shared" si="30"/>
        <v>60  - Con</v>
      </c>
      <c r="G302" s="1">
        <v>1495134.63</v>
      </c>
      <c r="H302" s="1">
        <v>0</v>
      </c>
      <c r="I302" s="1">
        <v>1495134.63</v>
      </c>
      <c r="J302" s="1">
        <v>0</v>
      </c>
      <c r="K302" s="1">
        <v>0</v>
      </c>
      <c r="L302" s="1">
        <v>0</v>
      </c>
      <c r="M302" s="1">
        <v>0</v>
      </c>
      <c r="N302" s="1">
        <v>0</v>
      </c>
      <c r="O302" s="1">
        <v>0</v>
      </c>
      <c r="P302" s="1">
        <v>0</v>
      </c>
      <c r="Q302" s="1">
        <v>0</v>
      </c>
      <c r="R302" s="1">
        <v>0</v>
      </c>
      <c r="S302" s="67"/>
      <c r="T302">
        <f>VLOOKUP(A302,'Groupe de branches'!$Z$27:$AM$86,14,FALSE)</f>
        <v>1</v>
      </c>
      <c r="U302">
        <f>VLOOKUP(D302,'Groupe de branches'!$Z$27:$AM$86,14,FALSE)</f>
        <v>0</v>
      </c>
      <c r="V302">
        <v>2016</v>
      </c>
      <c r="W302" t="str">
        <f>VLOOKUP(D302,'Table corresp.'!$M$4:$S$63,7,FALSE)</f>
        <v>Consommation finale</v>
      </c>
      <c r="X302" s="167">
        <f>IFERROR(G302/SUMIFS('Comp2016-2017 (3)'!$I$5:$I$289,'Comp2016-2017 (3)'!$A$5:$A$289,A302,'Comp2016-2017 (3)'!$R$5:$R$289,V302),0)</f>
        <v>0.99999999440823295</v>
      </c>
      <c r="Y302" s="178">
        <f>IFERROR(IF(RIGHT(F302,3)="Exp",VLOOKUP(F302,#REF!,2,FALSE),VLOOKUP(F302,#REF!,9,FALSE)),1)</f>
        <v>1</v>
      </c>
      <c r="Z302" s="167">
        <f t="shared" si="33"/>
        <v>1</v>
      </c>
      <c r="AA302" s="189">
        <f t="shared" si="32"/>
        <v>0.99999999440823295</v>
      </c>
      <c r="AB302" s="2">
        <f>IFERROR(SUMIFS('Comp2016-2017 (3)'!$G$5:$G$289,'Comp2016-2017 (3)'!$A$5:$A$289,A302,'Comp2016-2017 (3)'!$R$5:$R$289,V302)*AA302/SUMIFS($AA$4:$AA$1116,$A$4:$A$1116,A302,$V$4:$V$1116,V302),0)</f>
        <v>589158.75531415746</v>
      </c>
      <c r="AC302" s="2" t="str">
        <f>IF($W302=AC$3,$AB302,IF(NOT($W302=0),"",SUMIFS('Val-Vol (2)'!AC$4:AC$1116,'Val-Vol (2)'!$A$4:$A$1116,$D302,'Val-Vol (2)'!$V$4:$V$1116,$V302)/SUMIFS('Comp2016-2017 (3)'!$G$5:$G$289,'Comp2016-2017 (3)'!$A$5:$A$289,$D302,'Comp2016-2017 (3)'!$R$5:$R$289,$V302)*$AB302))</f>
        <v/>
      </c>
      <c r="AD302" s="2" t="str">
        <f>IF($W302=AD$3,$AB302,IF(NOT($W302=0),"",SUMIFS('Val-Vol (2)'!AD$4:AD$1116,'Val-Vol (2)'!$A$4:$A$1116,$D302,'Val-Vol (2)'!$V$4:$V$1116,$V302)/SUMIFS('Comp2016-2017 (3)'!$G$5:$G$289,'Comp2016-2017 (3)'!$A$5:$A$289,$D302,'Comp2016-2017 (3)'!$R$5:$R$289,$V302)*$AB302))</f>
        <v/>
      </c>
      <c r="AE302" s="2" t="str">
        <f>IF($W302=AE$3,$AB302,IF(NOT($W302=0),"",SUMIFS('Val-Vol (2)'!AE$4:AE$1116,'Val-Vol (2)'!$A$4:$A$1116,$D302,'Val-Vol (2)'!$V$4:$V$1116,$V302)/SUMIFS('Comp2016-2017 (3)'!$G$5:$G$289,'Comp2016-2017 (3)'!$A$5:$A$289,$D302,'Comp2016-2017 (3)'!$R$5:$R$289,$V302)*$AB302))</f>
        <v/>
      </c>
      <c r="AF302" s="2" t="str">
        <f>IF($W302=AF$3,$AB302,IF(NOT($W302=0),"",SUMIFS('Val-Vol (2)'!AF$4:AF$1116,'Val-Vol (2)'!$A$4:$A$1116,$D302,'Val-Vol (2)'!$V$4:$V$1116,$V302)/SUMIFS('Comp2016-2017 (3)'!$G$5:$G$289,'Comp2016-2017 (3)'!$A$5:$A$289,$D302,'Comp2016-2017 (3)'!$R$5:$R$289,$V302)*$AB302))</f>
        <v/>
      </c>
      <c r="AG302" s="2" t="str">
        <f>IF($W302=AG$3,$AB302,IF(NOT($W302=0),"",SUMIFS('Val-Vol (2)'!AG$4:AG$1116,'Val-Vol (2)'!$A$4:$A$1116,$D302,'Val-Vol (2)'!$V$4:$V$1116,$V302)/SUMIFS('Comp2016-2017 (3)'!$G$5:$G$289,'Comp2016-2017 (3)'!$A$5:$A$289,$D302,'Comp2016-2017 (3)'!$R$5:$R$289,$V302)*$AB302))</f>
        <v/>
      </c>
      <c r="AH302" s="2" t="str">
        <f>IF($W302=AH$3,$AB302,IF(NOT($W302=0),"",SUMIFS('Val-Vol (2)'!AH$4:AH$1116,'Val-Vol (2)'!$A$4:$A$1116,$D302,'Val-Vol (2)'!$V$4:$V$1116,$V302)/SUMIFS('Comp2016-2017 (3)'!$G$5:$G$289,'Comp2016-2017 (3)'!$A$5:$A$289,$D302,'Comp2016-2017 (3)'!$R$5:$R$289,$V302)*$AB302))</f>
        <v/>
      </c>
      <c r="AI302" s="2" t="str">
        <f>IF($W302=AI$3,$AB302,IF(NOT($W302=0),"",SUMIFS('Val-Vol (2)'!AI$4:AI$1116,'Val-Vol (2)'!$A$4:$A$1116,$D302,'Val-Vol (2)'!$V$4:$V$1116,$V302)/SUMIFS('Comp2016-2017 (3)'!$G$5:$G$289,'Comp2016-2017 (3)'!$A$5:$A$289,$D302,'Comp2016-2017 (3)'!$R$5:$R$289,$V302)*$AB302))</f>
        <v/>
      </c>
      <c r="AJ302" s="2">
        <f>IF($W302=AJ$3,$AB302,IF(NOT($W302=0),"",SUMIFS('Val-Vol (2)'!AJ$4:AJ$1116,'Val-Vol (2)'!$A$4:$A$1116,$D302,'Val-Vol (2)'!$V$4:$V$1116,$V302)/SUMIFS('Comp2016-2017 (3)'!$G$5:$G$289,'Comp2016-2017 (3)'!$A$5:$A$289,$D302,'Comp2016-2017 (3)'!$R$5:$R$289,$V302)*$AB302))</f>
        <v>589158.75531415746</v>
      </c>
      <c r="AK302" s="2">
        <f t="shared" si="37"/>
        <v>0</v>
      </c>
      <c r="AL302" t="str">
        <f t="shared" si="31"/>
        <v/>
      </c>
      <c r="AM302" t="str">
        <f>VLOOKUP(A302,'Table corresp.'!$M$4:$U$63,8,FALSE)</f>
        <v xml:space="preserve">Mise en œuvre </v>
      </c>
      <c r="AN302" t="str">
        <f>VLOOKUP(D302,'Table corresp.'!$M$4:$U$63,9,FALSE)</f>
        <v>Consommation finale française</v>
      </c>
    </row>
    <row r="303" spans="1:40" x14ac:dyDescent="0.25">
      <c r="A303" t="s">
        <v>104</v>
      </c>
      <c r="B303" t="str">
        <f>VLOOKUP(LEFT(A303,3),'Table corresp.'!$A$4:$D$63,3,FALSE)</f>
        <v>Transformation</v>
      </c>
      <c r="C303" t="str">
        <f>VLOOKUP(A303,'Table corresp.'!$M$4:$P$63,4,FALSE)</f>
        <v>Commerces et services</v>
      </c>
      <c r="D303" t="s">
        <v>19</v>
      </c>
      <c r="E303" t="str">
        <f>VLOOKUP(LEFT(D303,3),'Table corresp.'!$A$4:$D$63,4,FALSE)</f>
        <v>Transformation</v>
      </c>
      <c r="F303" t="str">
        <f t="shared" si="30"/>
        <v xml:space="preserve">61  - 52 </v>
      </c>
      <c r="G303" s="1">
        <v>53783.339646080378</v>
      </c>
      <c r="H303" s="1">
        <v>0</v>
      </c>
      <c r="I303" s="1">
        <v>53783.339646080378</v>
      </c>
      <c r="J303" s="1">
        <v>0</v>
      </c>
      <c r="K303" s="1">
        <v>0</v>
      </c>
      <c r="L303" s="1">
        <v>0</v>
      </c>
      <c r="M303" s="1">
        <v>0</v>
      </c>
      <c r="N303" s="1">
        <v>0</v>
      </c>
      <c r="O303" s="1">
        <v>0</v>
      </c>
      <c r="P303" s="1">
        <v>0</v>
      </c>
      <c r="Q303" s="1">
        <v>0</v>
      </c>
      <c r="R303" s="1">
        <v>0</v>
      </c>
      <c r="S303" s="67"/>
      <c r="T303">
        <f>VLOOKUP(A303,'Groupe de branches'!$Z$27:$AM$86,14,FALSE)</f>
        <v>0</v>
      </c>
      <c r="U303">
        <f>VLOOKUP(D303,'Groupe de branches'!$Z$27:$AM$86,14,FALSE)</f>
        <v>0</v>
      </c>
      <c r="V303">
        <v>2016</v>
      </c>
      <c r="W303" t="str">
        <f>VLOOKUP(D303,'Table corresp.'!$M$4:$S$63,7,FALSE)</f>
        <v>Construction</v>
      </c>
      <c r="X303" s="167">
        <f>IFERROR(G303/SUMIFS('Comp2016-2017 (3)'!$I$5:$I$289,'Comp2016-2017 (3)'!$A$5:$A$289,A303,'Comp2016-2017 (3)'!$R$5:$R$289,V303),0)</f>
        <v>3.38422887733828E-2</v>
      </c>
      <c r="Y303" s="178">
        <f>IFERROR(IF(RIGHT(F303,3)="Exp",VLOOKUP(F303,#REF!,2,FALSE),VLOOKUP(F303,#REF!,9,FALSE)),1)</f>
        <v>1</v>
      </c>
      <c r="Z303" s="167">
        <f t="shared" si="33"/>
        <v>0.1111111111111111</v>
      </c>
      <c r="AA303" s="189">
        <f t="shared" si="32"/>
        <v>3.7602543081536443E-3</v>
      </c>
      <c r="AB303" s="2">
        <f>IFERROR(SUMIFS('Comp2016-2017 (3)'!$G$5:$G$289,'Comp2016-2017 (3)'!$A$5:$A$289,A303,'Comp2016-2017 (3)'!$R$5:$R$289,V303)*AA303/SUMIFS($AA$4:$AA$1116,$A$4:$A$1116,A303,$V$4:$V$1116,V303),0)</f>
        <v>53783.339646080414</v>
      </c>
      <c r="AC303" s="2" t="str">
        <f>IF($W303=AC$3,$AB303,IF(NOT($W303=0),"",SUMIFS('Val-Vol (2)'!AC$4:AC$1116,'Val-Vol (2)'!$A$4:$A$1116,$D303,'Val-Vol (2)'!$V$4:$V$1116,$V303)/SUMIFS('Comp2016-2017 (3)'!$G$5:$G$289,'Comp2016-2017 (3)'!$A$5:$A$289,$D303,'Comp2016-2017 (3)'!$R$5:$R$289,$V303)*$AB303))</f>
        <v/>
      </c>
      <c r="AD303" s="2">
        <f>IF($W303=AD$3,$AB303,IF(NOT($W303=0),"",SUMIFS('Val-Vol (2)'!AD$4:AD$1116,'Val-Vol (2)'!$A$4:$A$1116,$D303,'Val-Vol (2)'!$V$4:$V$1116,$V303)/SUMIFS('Comp2016-2017 (3)'!$G$5:$G$289,'Comp2016-2017 (3)'!$A$5:$A$289,$D303,'Comp2016-2017 (3)'!$R$5:$R$289,$V303)*$AB303))</f>
        <v>53783.339646080414</v>
      </c>
      <c r="AE303" s="2" t="str">
        <f>IF($W303=AE$3,$AB303,IF(NOT($W303=0),"",SUMIFS('Val-Vol (2)'!AE$4:AE$1116,'Val-Vol (2)'!$A$4:$A$1116,$D303,'Val-Vol (2)'!$V$4:$V$1116,$V303)/SUMIFS('Comp2016-2017 (3)'!$G$5:$G$289,'Comp2016-2017 (3)'!$A$5:$A$289,$D303,'Comp2016-2017 (3)'!$R$5:$R$289,$V303)*$AB303))</f>
        <v/>
      </c>
      <c r="AF303" s="2" t="str">
        <f>IF($W303=AF$3,$AB303,IF(NOT($W303=0),"",SUMIFS('Val-Vol (2)'!AF$4:AF$1116,'Val-Vol (2)'!$A$4:$A$1116,$D303,'Val-Vol (2)'!$V$4:$V$1116,$V303)/SUMIFS('Comp2016-2017 (3)'!$G$5:$G$289,'Comp2016-2017 (3)'!$A$5:$A$289,$D303,'Comp2016-2017 (3)'!$R$5:$R$289,$V303)*$AB303))</f>
        <v/>
      </c>
      <c r="AG303" s="2" t="str">
        <f>IF($W303=AG$3,$AB303,IF(NOT($W303=0),"",SUMIFS('Val-Vol (2)'!AG$4:AG$1116,'Val-Vol (2)'!$A$4:$A$1116,$D303,'Val-Vol (2)'!$V$4:$V$1116,$V303)/SUMIFS('Comp2016-2017 (3)'!$G$5:$G$289,'Comp2016-2017 (3)'!$A$5:$A$289,$D303,'Comp2016-2017 (3)'!$R$5:$R$289,$V303)*$AB303))</f>
        <v/>
      </c>
      <c r="AH303" s="2" t="str">
        <f>IF($W303=AH$3,$AB303,IF(NOT($W303=0),"",SUMIFS('Val-Vol (2)'!AH$4:AH$1116,'Val-Vol (2)'!$A$4:$A$1116,$D303,'Val-Vol (2)'!$V$4:$V$1116,$V303)/SUMIFS('Comp2016-2017 (3)'!$G$5:$G$289,'Comp2016-2017 (3)'!$A$5:$A$289,$D303,'Comp2016-2017 (3)'!$R$5:$R$289,$V303)*$AB303))</f>
        <v/>
      </c>
      <c r="AI303" s="2" t="str">
        <f>IF($W303=AI$3,$AB303,IF(NOT($W303=0),"",SUMIFS('Val-Vol (2)'!AI$4:AI$1116,'Val-Vol (2)'!$A$4:$A$1116,$D303,'Val-Vol (2)'!$V$4:$V$1116,$V303)/SUMIFS('Comp2016-2017 (3)'!$G$5:$G$289,'Comp2016-2017 (3)'!$A$5:$A$289,$D303,'Comp2016-2017 (3)'!$R$5:$R$289,$V303)*$AB303))</f>
        <v/>
      </c>
      <c r="AJ303" s="2" t="str">
        <f>IF($W303=AJ$3,$AB303,IF(NOT($W303=0),"",SUMIFS('Val-Vol (2)'!AJ$4:AJ$1116,'Val-Vol (2)'!$A$4:$A$1116,$D303,'Val-Vol (2)'!$V$4:$V$1116,$V303)/SUMIFS('Comp2016-2017 (3)'!$G$5:$G$289,'Comp2016-2017 (3)'!$A$5:$A$289,$D303,'Comp2016-2017 (3)'!$R$5:$R$289,$V303)*$AB303))</f>
        <v/>
      </c>
      <c r="AK303" s="2">
        <f t="shared" si="37"/>
        <v>0</v>
      </c>
      <c r="AL303" t="str">
        <f t="shared" si="31"/>
        <v/>
      </c>
      <c r="AM303" t="str">
        <f>VLOOKUP(A303,'Table corresp.'!$M$4:$U$63,8,FALSE)</f>
        <v xml:space="preserve">Mise en œuvre </v>
      </c>
      <c r="AN303" t="str">
        <f>VLOOKUP(D303,'Table corresp.'!$M$4:$U$63,9,FALSE)</f>
        <v xml:space="preserve">Mise en œuvre </v>
      </c>
    </row>
    <row r="304" spans="1:40" x14ac:dyDescent="0.25">
      <c r="A304" t="s">
        <v>104</v>
      </c>
      <c r="B304" t="str">
        <f>VLOOKUP(LEFT(A304,3),'Table corresp.'!$A$4:$D$63,3,FALSE)</f>
        <v>Transformation</v>
      </c>
      <c r="C304" t="str">
        <f>VLOOKUP(A304,'Table corresp.'!$M$4:$P$63,4,FALSE)</f>
        <v>Commerces et services</v>
      </c>
      <c r="D304" t="s">
        <v>20</v>
      </c>
      <c r="E304" t="str">
        <f>VLOOKUP(LEFT(D304,3),'Table corresp.'!$A$4:$D$63,4,FALSE)</f>
        <v>Transformation</v>
      </c>
      <c r="F304" t="str">
        <f t="shared" si="30"/>
        <v xml:space="preserve">61  - 53 </v>
      </c>
      <c r="G304" s="1">
        <v>10415.416780949879</v>
      </c>
      <c r="H304" s="1">
        <v>0</v>
      </c>
      <c r="I304" s="1">
        <v>10415.416780949879</v>
      </c>
      <c r="J304" s="1">
        <v>0</v>
      </c>
      <c r="K304" s="1">
        <v>0</v>
      </c>
      <c r="L304" s="1">
        <v>0</v>
      </c>
      <c r="M304" s="1">
        <v>0</v>
      </c>
      <c r="N304" s="1">
        <v>0</v>
      </c>
      <c r="O304" s="1">
        <v>0</v>
      </c>
      <c r="P304" s="1">
        <v>0</v>
      </c>
      <c r="Q304" s="1">
        <v>0</v>
      </c>
      <c r="R304" s="1">
        <v>0</v>
      </c>
      <c r="S304" s="67"/>
      <c r="T304">
        <f>VLOOKUP(A304,'Groupe de branches'!$Z$27:$AM$86,14,FALSE)</f>
        <v>0</v>
      </c>
      <c r="U304">
        <f>VLOOKUP(D304,'Groupe de branches'!$Z$27:$AM$86,14,FALSE)</f>
        <v>0</v>
      </c>
      <c r="V304">
        <v>2016</v>
      </c>
      <c r="W304" t="str">
        <f>VLOOKUP(D304,'Table corresp.'!$M$4:$S$63,7,FALSE)</f>
        <v>Construction</v>
      </c>
      <c r="X304" s="167">
        <f>IFERROR(G304/SUMIFS('Comp2016-2017 (3)'!$I$5:$I$289,'Comp2016-2017 (3)'!$A$5:$A$289,A304,'Comp2016-2017 (3)'!$R$5:$R$289,V304),0)</f>
        <v>6.5537310385620703E-3</v>
      </c>
      <c r="Y304" s="178">
        <f>IFERROR(IF(RIGHT(F304,3)="Exp",VLOOKUP(F304,#REF!,2,FALSE),VLOOKUP(F304,#REF!,9,FALSE)),1)</f>
        <v>1</v>
      </c>
      <c r="Z304" s="167">
        <f t="shared" ref="Z304:Z335" si="38">Y304/SUMIFS($Y$4:$Y$1116,$V$4:$V$1116,V304,$A$4:$A$1116,A304)</f>
        <v>0.1111111111111111</v>
      </c>
      <c r="AA304" s="189">
        <f t="shared" si="32"/>
        <v>7.2819233761800778E-4</v>
      </c>
      <c r="AB304" s="2">
        <f>IFERROR(SUMIFS('Comp2016-2017 (3)'!$G$5:$G$289,'Comp2016-2017 (3)'!$A$5:$A$289,A304,'Comp2016-2017 (3)'!$R$5:$R$289,V304)*AA304/SUMIFS($AA$4:$AA$1116,$A$4:$A$1116,A304,$V$4:$V$1116,V304),0)</f>
        <v>10415.416780949885</v>
      </c>
      <c r="AC304" s="2" t="str">
        <f>IF($W304=AC$3,$AB304,IF(NOT($W304=0),"",SUMIFS('Val-Vol (2)'!AC$4:AC$1116,'Val-Vol (2)'!$A$4:$A$1116,$D304,'Val-Vol (2)'!$V$4:$V$1116,$V304)/SUMIFS('Comp2016-2017 (3)'!$G$5:$G$289,'Comp2016-2017 (3)'!$A$5:$A$289,$D304,'Comp2016-2017 (3)'!$R$5:$R$289,$V304)*$AB304))</f>
        <v/>
      </c>
      <c r="AD304" s="2">
        <f>IF($W304=AD$3,$AB304,IF(NOT($W304=0),"",SUMIFS('Val-Vol (2)'!AD$4:AD$1116,'Val-Vol (2)'!$A$4:$A$1116,$D304,'Val-Vol (2)'!$V$4:$V$1116,$V304)/SUMIFS('Comp2016-2017 (3)'!$G$5:$G$289,'Comp2016-2017 (3)'!$A$5:$A$289,$D304,'Comp2016-2017 (3)'!$R$5:$R$289,$V304)*$AB304))</f>
        <v>10415.416780949885</v>
      </c>
      <c r="AE304" s="2" t="str">
        <f>IF($W304=AE$3,$AB304,IF(NOT($W304=0),"",SUMIFS('Val-Vol (2)'!AE$4:AE$1116,'Val-Vol (2)'!$A$4:$A$1116,$D304,'Val-Vol (2)'!$V$4:$V$1116,$V304)/SUMIFS('Comp2016-2017 (3)'!$G$5:$G$289,'Comp2016-2017 (3)'!$A$5:$A$289,$D304,'Comp2016-2017 (3)'!$R$5:$R$289,$V304)*$AB304))</f>
        <v/>
      </c>
      <c r="AF304" s="2" t="str">
        <f>IF($W304=AF$3,$AB304,IF(NOT($W304=0),"",SUMIFS('Val-Vol (2)'!AF$4:AF$1116,'Val-Vol (2)'!$A$4:$A$1116,$D304,'Val-Vol (2)'!$V$4:$V$1116,$V304)/SUMIFS('Comp2016-2017 (3)'!$G$5:$G$289,'Comp2016-2017 (3)'!$A$5:$A$289,$D304,'Comp2016-2017 (3)'!$R$5:$R$289,$V304)*$AB304))</f>
        <v/>
      </c>
      <c r="AG304" s="2" t="str">
        <f>IF($W304=AG$3,$AB304,IF(NOT($W304=0),"",SUMIFS('Val-Vol (2)'!AG$4:AG$1116,'Val-Vol (2)'!$A$4:$A$1116,$D304,'Val-Vol (2)'!$V$4:$V$1116,$V304)/SUMIFS('Comp2016-2017 (3)'!$G$5:$G$289,'Comp2016-2017 (3)'!$A$5:$A$289,$D304,'Comp2016-2017 (3)'!$R$5:$R$289,$V304)*$AB304))</f>
        <v/>
      </c>
      <c r="AH304" s="2" t="str">
        <f>IF($W304=AH$3,$AB304,IF(NOT($W304=0),"",SUMIFS('Val-Vol (2)'!AH$4:AH$1116,'Val-Vol (2)'!$A$4:$A$1116,$D304,'Val-Vol (2)'!$V$4:$V$1116,$V304)/SUMIFS('Comp2016-2017 (3)'!$G$5:$G$289,'Comp2016-2017 (3)'!$A$5:$A$289,$D304,'Comp2016-2017 (3)'!$R$5:$R$289,$V304)*$AB304))</f>
        <v/>
      </c>
      <c r="AI304" s="2" t="str">
        <f>IF($W304=AI$3,$AB304,IF(NOT($W304=0),"",SUMIFS('Val-Vol (2)'!AI$4:AI$1116,'Val-Vol (2)'!$A$4:$A$1116,$D304,'Val-Vol (2)'!$V$4:$V$1116,$V304)/SUMIFS('Comp2016-2017 (3)'!$G$5:$G$289,'Comp2016-2017 (3)'!$A$5:$A$289,$D304,'Comp2016-2017 (3)'!$R$5:$R$289,$V304)*$AB304))</f>
        <v/>
      </c>
      <c r="AJ304" s="2" t="str">
        <f>IF($W304=AJ$3,$AB304,IF(NOT($W304=0),"",SUMIFS('Val-Vol (2)'!AJ$4:AJ$1116,'Val-Vol (2)'!$A$4:$A$1116,$D304,'Val-Vol (2)'!$V$4:$V$1116,$V304)/SUMIFS('Comp2016-2017 (3)'!$G$5:$G$289,'Comp2016-2017 (3)'!$A$5:$A$289,$D304,'Comp2016-2017 (3)'!$R$5:$R$289,$V304)*$AB304))</f>
        <v/>
      </c>
      <c r="AK304" s="2">
        <f t="shared" si="37"/>
        <v>0</v>
      </c>
      <c r="AL304" t="str">
        <f t="shared" si="31"/>
        <v/>
      </c>
      <c r="AM304" t="str">
        <f>VLOOKUP(A304,'Table corresp.'!$M$4:$U$63,8,FALSE)</f>
        <v xml:space="preserve">Mise en œuvre </v>
      </c>
      <c r="AN304" t="str">
        <f>VLOOKUP(D304,'Table corresp.'!$M$4:$U$63,9,FALSE)</f>
        <v xml:space="preserve">Mise en œuvre </v>
      </c>
    </row>
    <row r="305" spans="1:40" x14ac:dyDescent="0.25">
      <c r="A305" t="s">
        <v>104</v>
      </c>
      <c r="B305" t="str">
        <f>VLOOKUP(LEFT(A305,3),'Table corresp.'!$A$4:$D$63,3,FALSE)</f>
        <v>Transformation</v>
      </c>
      <c r="C305" t="str">
        <f>VLOOKUP(A305,'Table corresp.'!$M$4:$P$63,4,FALSE)</f>
        <v>Commerces et services</v>
      </c>
      <c r="D305" t="s">
        <v>21</v>
      </c>
      <c r="E305" t="str">
        <f>VLOOKUP(LEFT(D305,3),'Table corresp.'!$A$4:$D$63,4,FALSE)</f>
        <v>Transformation</v>
      </c>
      <c r="F305" t="str">
        <f t="shared" si="30"/>
        <v xml:space="preserve">61  - 54 </v>
      </c>
      <c r="G305" s="1">
        <v>581797.60776164115</v>
      </c>
      <c r="H305" s="1">
        <v>0</v>
      </c>
      <c r="I305" s="1">
        <v>581797.60776164115</v>
      </c>
      <c r="J305" s="1">
        <v>0</v>
      </c>
      <c r="K305" s="1">
        <v>0</v>
      </c>
      <c r="L305" s="1">
        <v>0</v>
      </c>
      <c r="M305" s="1">
        <v>0</v>
      </c>
      <c r="N305" s="1">
        <v>0</v>
      </c>
      <c r="O305" s="1">
        <v>0</v>
      </c>
      <c r="P305" s="1">
        <v>0</v>
      </c>
      <c r="Q305" s="1">
        <v>0</v>
      </c>
      <c r="R305" s="1">
        <v>0</v>
      </c>
      <c r="S305" s="67"/>
      <c r="T305">
        <f>VLOOKUP(A305,'Groupe de branches'!$Z$27:$AM$86,14,FALSE)</f>
        <v>0</v>
      </c>
      <c r="U305">
        <f>VLOOKUP(D305,'Groupe de branches'!$Z$27:$AM$86,14,FALSE)</f>
        <v>0</v>
      </c>
      <c r="V305">
        <v>2016</v>
      </c>
      <c r="W305" t="str">
        <f>VLOOKUP(D305,'Table corresp.'!$M$4:$S$63,7,FALSE)</f>
        <v>Construction</v>
      </c>
      <c r="X305" s="167">
        <f>IFERROR(G305/SUMIFS('Comp2016-2017 (3)'!$I$5:$I$289,'Comp2016-2017 (3)'!$A$5:$A$289,A305,'Comp2016-2017 (3)'!$R$5:$R$289,V305),0)</f>
        <v>0.36608665023589099</v>
      </c>
      <c r="Y305" s="178">
        <f>IFERROR(IF(RIGHT(F305,3)="Exp",VLOOKUP(F305,#REF!,2,FALSE),VLOOKUP(F305,#REF!,9,FALSE)),1)</f>
        <v>1</v>
      </c>
      <c r="Z305" s="167">
        <f t="shared" si="38"/>
        <v>0.1111111111111111</v>
      </c>
      <c r="AA305" s="189">
        <f t="shared" si="32"/>
        <v>4.0676294470654552E-2</v>
      </c>
      <c r="AB305" s="2">
        <f>IFERROR(SUMIFS('Comp2016-2017 (3)'!$G$5:$G$289,'Comp2016-2017 (3)'!$A$5:$A$289,A305,'Comp2016-2017 (3)'!$R$5:$R$289,V305)*AA305/SUMIFS($AA$4:$AA$1116,$A$4:$A$1116,A305,$V$4:$V$1116,V305),0)</f>
        <v>581797.6077616415</v>
      </c>
      <c r="AC305" s="2" t="str">
        <f>IF($W305=AC$3,$AB305,IF(NOT($W305=0),"",SUMIFS('Val-Vol (2)'!AC$4:AC$1116,'Val-Vol (2)'!$A$4:$A$1116,$D305,'Val-Vol (2)'!$V$4:$V$1116,$V305)/SUMIFS('Comp2016-2017 (3)'!$G$5:$G$289,'Comp2016-2017 (3)'!$A$5:$A$289,$D305,'Comp2016-2017 (3)'!$R$5:$R$289,$V305)*$AB305))</f>
        <v/>
      </c>
      <c r="AD305" s="2">
        <f>IF($W305=AD$3,$AB305,IF(NOT($W305=0),"",SUMIFS('Val-Vol (2)'!AD$4:AD$1116,'Val-Vol (2)'!$A$4:$A$1116,$D305,'Val-Vol (2)'!$V$4:$V$1116,$V305)/SUMIFS('Comp2016-2017 (3)'!$G$5:$G$289,'Comp2016-2017 (3)'!$A$5:$A$289,$D305,'Comp2016-2017 (3)'!$R$5:$R$289,$V305)*$AB305))</f>
        <v>581797.6077616415</v>
      </c>
      <c r="AE305" s="2" t="str">
        <f>IF($W305=AE$3,$AB305,IF(NOT($W305=0),"",SUMIFS('Val-Vol (2)'!AE$4:AE$1116,'Val-Vol (2)'!$A$4:$A$1116,$D305,'Val-Vol (2)'!$V$4:$V$1116,$V305)/SUMIFS('Comp2016-2017 (3)'!$G$5:$G$289,'Comp2016-2017 (3)'!$A$5:$A$289,$D305,'Comp2016-2017 (3)'!$R$5:$R$289,$V305)*$AB305))</f>
        <v/>
      </c>
      <c r="AF305" s="2" t="str">
        <f>IF($W305=AF$3,$AB305,IF(NOT($W305=0),"",SUMIFS('Val-Vol (2)'!AF$4:AF$1116,'Val-Vol (2)'!$A$4:$A$1116,$D305,'Val-Vol (2)'!$V$4:$V$1116,$V305)/SUMIFS('Comp2016-2017 (3)'!$G$5:$G$289,'Comp2016-2017 (3)'!$A$5:$A$289,$D305,'Comp2016-2017 (3)'!$R$5:$R$289,$V305)*$AB305))</f>
        <v/>
      </c>
      <c r="AG305" s="2" t="str">
        <f>IF($W305=AG$3,$AB305,IF(NOT($W305=0),"",SUMIFS('Val-Vol (2)'!AG$4:AG$1116,'Val-Vol (2)'!$A$4:$A$1116,$D305,'Val-Vol (2)'!$V$4:$V$1116,$V305)/SUMIFS('Comp2016-2017 (3)'!$G$5:$G$289,'Comp2016-2017 (3)'!$A$5:$A$289,$D305,'Comp2016-2017 (3)'!$R$5:$R$289,$V305)*$AB305))</f>
        <v/>
      </c>
      <c r="AH305" s="2" t="str">
        <f>IF($W305=AH$3,$AB305,IF(NOT($W305=0),"",SUMIFS('Val-Vol (2)'!AH$4:AH$1116,'Val-Vol (2)'!$A$4:$A$1116,$D305,'Val-Vol (2)'!$V$4:$V$1116,$V305)/SUMIFS('Comp2016-2017 (3)'!$G$5:$G$289,'Comp2016-2017 (3)'!$A$5:$A$289,$D305,'Comp2016-2017 (3)'!$R$5:$R$289,$V305)*$AB305))</f>
        <v/>
      </c>
      <c r="AI305" s="2" t="str">
        <f>IF($W305=AI$3,$AB305,IF(NOT($W305=0),"",SUMIFS('Val-Vol (2)'!AI$4:AI$1116,'Val-Vol (2)'!$A$4:$A$1116,$D305,'Val-Vol (2)'!$V$4:$V$1116,$V305)/SUMIFS('Comp2016-2017 (3)'!$G$5:$G$289,'Comp2016-2017 (3)'!$A$5:$A$289,$D305,'Comp2016-2017 (3)'!$R$5:$R$289,$V305)*$AB305))</f>
        <v/>
      </c>
      <c r="AJ305" s="2" t="str">
        <f>IF($W305=AJ$3,$AB305,IF(NOT($W305=0),"",SUMIFS('Val-Vol (2)'!AJ$4:AJ$1116,'Val-Vol (2)'!$A$4:$A$1116,$D305,'Val-Vol (2)'!$V$4:$V$1116,$V305)/SUMIFS('Comp2016-2017 (3)'!$G$5:$G$289,'Comp2016-2017 (3)'!$A$5:$A$289,$D305,'Comp2016-2017 (3)'!$R$5:$R$289,$V305)*$AB305))</f>
        <v/>
      </c>
      <c r="AK305" s="2">
        <f t="shared" si="37"/>
        <v>0</v>
      </c>
      <c r="AL305" t="str">
        <f t="shared" si="31"/>
        <v/>
      </c>
      <c r="AM305" t="str">
        <f>VLOOKUP(A305,'Table corresp.'!$M$4:$U$63,8,FALSE)</f>
        <v xml:space="preserve">Mise en œuvre </v>
      </c>
      <c r="AN305" t="str">
        <f>VLOOKUP(D305,'Table corresp.'!$M$4:$U$63,9,FALSE)</f>
        <v xml:space="preserve">Mise en œuvre </v>
      </c>
    </row>
    <row r="306" spans="1:40" x14ac:dyDescent="0.25">
      <c r="A306" t="s">
        <v>104</v>
      </c>
      <c r="B306" t="str">
        <f>VLOOKUP(LEFT(A306,3),'Table corresp.'!$A$4:$D$63,3,FALSE)</f>
        <v>Transformation</v>
      </c>
      <c r="C306" t="str">
        <f>VLOOKUP(A306,'Table corresp.'!$M$4:$P$63,4,FALSE)</f>
        <v>Commerces et services</v>
      </c>
      <c r="D306" t="s">
        <v>22</v>
      </c>
      <c r="E306" t="str">
        <f>VLOOKUP(LEFT(D306,3),'Table corresp.'!$A$4:$D$63,4,FALSE)</f>
        <v>Transformation</v>
      </c>
      <c r="F306" t="str">
        <f t="shared" si="30"/>
        <v xml:space="preserve">61  - 55 </v>
      </c>
      <c r="G306" s="1">
        <v>135935.25238696983</v>
      </c>
      <c r="H306" s="1">
        <v>0</v>
      </c>
      <c r="I306" s="1">
        <v>135935.25238696983</v>
      </c>
      <c r="J306" s="1">
        <v>0</v>
      </c>
      <c r="K306" s="1">
        <v>0</v>
      </c>
      <c r="L306" s="1">
        <v>0</v>
      </c>
      <c r="M306" s="1">
        <v>0</v>
      </c>
      <c r="N306" s="1">
        <v>0</v>
      </c>
      <c r="O306" s="1">
        <v>0</v>
      </c>
      <c r="P306" s="1">
        <v>0</v>
      </c>
      <c r="Q306" s="1">
        <v>0</v>
      </c>
      <c r="R306" s="1">
        <v>0</v>
      </c>
      <c r="S306" s="67"/>
      <c r="T306">
        <f>VLOOKUP(A306,'Groupe de branches'!$Z$27:$AM$86,14,FALSE)</f>
        <v>0</v>
      </c>
      <c r="U306">
        <f>VLOOKUP(D306,'Groupe de branches'!$Z$27:$AM$86,14,FALSE)</f>
        <v>0</v>
      </c>
      <c r="V306">
        <v>2016</v>
      </c>
      <c r="W306" t="str">
        <f>VLOOKUP(D306,'Table corresp.'!$M$4:$S$63,7,FALSE)</f>
        <v>Construction</v>
      </c>
      <c r="X306" s="167">
        <f>IFERROR(G306/SUMIFS('Comp2016-2017 (3)'!$I$5:$I$289,'Comp2016-2017 (3)'!$A$5:$A$289,A306,'Comp2016-2017 (3)'!$R$5:$R$289,V306),0)</f>
        <v>8.5535039215397096E-2</v>
      </c>
      <c r="Y306" s="178">
        <f>IFERROR(IF(RIGHT(F306,3)="Exp",VLOOKUP(F306,#REF!,2,FALSE),VLOOKUP(F306,#REF!,9,FALSE)),1)</f>
        <v>1</v>
      </c>
      <c r="Z306" s="167">
        <f t="shared" si="38"/>
        <v>0.1111111111111111</v>
      </c>
      <c r="AA306" s="189">
        <f t="shared" si="32"/>
        <v>9.5038932461552327E-3</v>
      </c>
      <c r="AB306" s="2">
        <f>IFERROR(SUMIFS('Comp2016-2017 (3)'!$G$5:$G$289,'Comp2016-2017 (3)'!$A$5:$A$289,A306,'Comp2016-2017 (3)'!$R$5:$R$289,V306)*AA306/SUMIFS($AA$4:$AA$1116,$A$4:$A$1116,A306,$V$4:$V$1116,V306),0)</f>
        <v>135935.25238696992</v>
      </c>
      <c r="AC306" s="2" t="str">
        <f>IF($W306=AC$3,$AB306,IF(NOT($W306=0),"",SUMIFS('Val-Vol (2)'!AC$4:AC$1116,'Val-Vol (2)'!$A$4:$A$1116,$D306,'Val-Vol (2)'!$V$4:$V$1116,$V306)/SUMIFS('Comp2016-2017 (3)'!$G$5:$G$289,'Comp2016-2017 (3)'!$A$5:$A$289,$D306,'Comp2016-2017 (3)'!$R$5:$R$289,$V306)*$AB306))</f>
        <v/>
      </c>
      <c r="AD306" s="2">
        <f>IF($W306=AD$3,$AB306,IF(NOT($W306=0),"",SUMIFS('Val-Vol (2)'!AD$4:AD$1116,'Val-Vol (2)'!$A$4:$A$1116,$D306,'Val-Vol (2)'!$V$4:$V$1116,$V306)/SUMIFS('Comp2016-2017 (3)'!$G$5:$G$289,'Comp2016-2017 (3)'!$A$5:$A$289,$D306,'Comp2016-2017 (3)'!$R$5:$R$289,$V306)*$AB306))</f>
        <v>135935.25238696992</v>
      </c>
      <c r="AE306" s="2" t="str">
        <f>IF($W306=AE$3,$AB306,IF(NOT($W306=0),"",SUMIFS('Val-Vol (2)'!AE$4:AE$1116,'Val-Vol (2)'!$A$4:$A$1116,$D306,'Val-Vol (2)'!$V$4:$V$1116,$V306)/SUMIFS('Comp2016-2017 (3)'!$G$5:$G$289,'Comp2016-2017 (3)'!$A$5:$A$289,$D306,'Comp2016-2017 (3)'!$R$5:$R$289,$V306)*$AB306))</f>
        <v/>
      </c>
      <c r="AF306" s="2" t="str">
        <f>IF($W306=AF$3,$AB306,IF(NOT($W306=0),"",SUMIFS('Val-Vol (2)'!AF$4:AF$1116,'Val-Vol (2)'!$A$4:$A$1116,$D306,'Val-Vol (2)'!$V$4:$V$1116,$V306)/SUMIFS('Comp2016-2017 (3)'!$G$5:$G$289,'Comp2016-2017 (3)'!$A$5:$A$289,$D306,'Comp2016-2017 (3)'!$R$5:$R$289,$V306)*$AB306))</f>
        <v/>
      </c>
      <c r="AG306" s="2" t="str">
        <f>IF($W306=AG$3,$AB306,IF(NOT($W306=0),"",SUMIFS('Val-Vol (2)'!AG$4:AG$1116,'Val-Vol (2)'!$A$4:$A$1116,$D306,'Val-Vol (2)'!$V$4:$V$1116,$V306)/SUMIFS('Comp2016-2017 (3)'!$G$5:$G$289,'Comp2016-2017 (3)'!$A$5:$A$289,$D306,'Comp2016-2017 (3)'!$R$5:$R$289,$V306)*$AB306))</f>
        <v/>
      </c>
      <c r="AH306" s="2" t="str">
        <f>IF($W306=AH$3,$AB306,IF(NOT($W306=0),"",SUMIFS('Val-Vol (2)'!AH$4:AH$1116,'Val-Vol (2)'!$A$4:$A$1116,$D306,'Val-Vol (2)'!$V$4:$V$1116,$V306)/SUMIFS('Comp2016-2017 (3)'!$G$5:$G$289,'Comp2016-2017 (3)'!$A$5:$A$289,$D306,'Comp2016-2017 (3)'!$R$5:$R$289,$V306)*$AB306))</f>
        <v/>
      </c>
      <c r="AI306" s="2" t="str">
        <f>IF($W306=AI$3,$AB306,IF(NOT($W306=0),"",SUMIFS('Val-Vol (2)'!AI$4:AI$1116,'Val-Vol (2)'!$A$4:$A$1116,$D306,'Val-Vol (2)'!$V$4:$V$1116,$V306)/SUMIFS('Comp2016-2017 (3)'!$G$5:$G$289,'Comp2016-2017 (3)'!$A$5:$A$289,$D306,'Comp2016-2017 (3)'!$R$5:$R$289,$V306)*$AB306))</f>
        <v/>
      </c>
      <c r="AJ306" s="2" t="str">
        <f>IF($W306=AJ$3,$AB306,IF(NOT($W306=0),"",SUMIFS('Val-Vol (2)'!AJ$4:AJ$1116,'Val-Vol (2)'!$A$4:$A$1116,$D306,'Val-Vol (2)'!$V$4:$V$1116,$V306)/SUMIFS('Comp2016-2017 (3)'!$G$5:$G$289,'Comp2016-2017 (3)'!$A$5:$A$289,$D306,'Comp2016-2017 (3)'!$R$5:$R$289,$V306)*$AB306))</f>
        <v/>
      </c>
      <c r="AK306" s="2">
        <f t="shared" si="37"/>
        <v>0</v>
      </c>
      <c r="AL306" t="str">
        <f t="shared" si="31"/>
        <v/>
      </c>
      <c r="AM306" t="str">
        <f>VLOOKUP(A306,'Table corresp.'!$M$4:$U$63,8,FALSE)</f>
        <v xml:space="preserve">Mise en œuvre </v>
      </c>
      <c r="AN306" t="str">
        <f>VLOOKUP(D306,'Table corresp.'!$M$4:$U$63,9,FALSE)</f>
        <v xml:space="preserve">Mise en œuvre </v>
      </c>
    </row>
    <row r="307" spans="1:40" x14ac:dyDescent="0.25">
      <c r="A307" t="s">
        <v>104</v>
      </c>
      <c r="B307" t="str">
        <f>VLOOKUP(LEFT(A307,3),'Table corresp.'!$A$4:$D$63,3,FALSE)</f>
        <v>Transformation</v>
      </c>
      <c r="C307" t="str">
        <f>VLOOKUP(A307,'Table corresp.'!$M$4:$P$63,4,FALSE)</f>
        <v>Commerces et services</v>
      </c>
      <c r="D307" t="s">
        <v>23</v>
      </c>
      <c r="E307" t="str">
        <f>VLOOKUP(LEFT(D307,3),'Table corresp.'!$A$4:$D$63,4,FALSE)</f>
        <v>Transformation</v>
      </c>
      <c r="F307" t="str">
        <f t="shared" si="30"/>
        <v xml:space="preserve">61  - 56 </v>
      </c>
      <c r="G307" s="1">
        <v>13140.279098925486</v>
      </c>
      <c r="H307" s="1">
        <v>0</v>
      </c>
      <c r="I307" s="1">
        <v>13140.279098925486</v>
      </c>
      <c r="J307" s="1">
        <v>0</v>
      </c>
      <c r="K307" s="1">
        <v>0</v>
      </c>
      <c r="L307" s="1">
        <v>0</v>
      </c>
      <c r="M307" s="1">
        <v>0</v>
      </c>
      <c r="N307" s="1">
        <v>0</v>
      </c>
      <c r="O307" s="1">
        <v>0</v>
      </c>
      <c r="P307" s="1">
        <v>0</v>
      </c>
      <c r="Q307" s="1">
        <v>0</v>
      </c>
      <c r="R307" s="1">
        <v>0</v>
      </c>
      <c r="S307" s="67"/>
      <c r="T307">
        <f>VLOOKUP(A307,'Groupe de branches'!$Z$27:$AM$86,14,FALSE)</f>
        <v>0</v>
      </c>
      <c r="U307">
        <f>VLOOKUP(D307,'Groupe de branches'!$Z$27:$AM$86,14,FALSE)</f>
        <v>0</v>
      </c>
      <c r="V307">
        <v>2016</v>
      </c>
      <c r="W307" t="str">
        <f>VLOOKUP(D307,'Table corresp.'!$M$4:$S$63,7,FALSE)</f>
        <v>Construction</v>
      </c>
      <c r="X307" s="167">
        <f>IFERROR(G307/SUMIFS('Comp2016-2017 (3)'!$I$5:$I$289,'Comp2016-2017 (3)'!$A$5:$A$289,A307,'Comp2016-2017 (3)'!$R$5:$R$289,V307),0)</f>
        <v>8.2683061846846699E-3</v>
      </c>
      <c r="Y307" s="178">
        <f>IFERROR(IF(RIGHT(F307,3)="Exp",VLOOKUP(F307,#REF!,2,FALSE),VLOOKUP(F307,#REF!,9,FALSE)),1)</f>
        <v>1</v>
      </c>
      <c r="Z307" s="167">
        <f t="shared" si="38"/>
        <v>0.1111111111111111</v>
      </c>
      <c r="AA307" s="189">
        <f t="shared" si="32"/>
        <v>9.1870068718718546E-4</v>
      </c>
      <c r="AB307" s="2">
        <f>IFERROR(SUMIFS('Comp2016-2017 (3)'!$G$5:$G$289,'Comp2016-2017 (3)'!$A$5:$A$289,A307,'Comp2016-2017 (3)'!$R$5:$R$289,V307)*AA307/SUMIFS($AA$4:$AA$1116,$A$4:$A$1116,A307,$V$4:$V$1116,V307),0)</f>
        <v>13140.279098925494</v>
      </c>
      <c r="AC307" s="2" t="str">
        <f>IF($W307=AC$3,$AB307,IF(NOT($W307=0),"",SUMIFS('Val-Vol (2)'!AC$4:AC$1116,'Val-Vol (2)'!$A$4:$A$1116,$D307,'Val-Vol (2)'!$V$4:$V$1116,$V307)/SUMIFS('Comp2016-2017 (3)'!$G$5:$G$289,'Comp2016-2017 (3)'!$A$5:$A$289,$D307,'Comp2016-2017 (3)'!$R$5:$R$289,$V307)*$AB307))</f>
        <v/>
      </c>
      <c r="AD307" s="2">
        <f>IF($W307=AD$3,$AB307,IF(NOT($W307=0),"",SUMIFS('Val-Vol (2)'!AD$4:AD$1116,'Val-Vol (2)'!$A$4:$A$1116,$D307,'Val-Vol (2)'!$V$4:$V$1116,$V307)/SUMIFS('Comp2016-2017 (3)'!$G$5:$G$289,'Comp2016-2017 (3)'!$A$5:$A$289,$D307,'Comp2016-2017 (3)'!$R$5:$R$289,$V307)*$AB307))</f>
        <v>13140.279098925494</v>
      </c>
      <c r="AE307" s="2" t="str">
        <f>IF($W307=AE$3,$AB307,IF(NOT($W307=0),"",SUMIFS('Val-Vol (2)'!AE$4:AE$1116,'Val-Vol (2)'!$A$4:$A$1116,$D307,'Val-Vol (2)'!$V$4:$V$1116,$V307)/SUMIFS('Comp2016-2017 (3)'!$G$5:$G$289,'Comp2016-2017 (3)'!$A$5:$A$289,$D307,'Comp2016-2017 (3)'!$R$5:$R$289,$V307)*$AB307))</f>
        <v/>
      </c>
      <c r="AF307" s="2" t="str">
        <f>IF($W307=AF$3,$AB307,IF(NOT($W307=0),"",SUMIFS('Val-Vol (2)'!AF$4:AF$1116,'Val-Vol (2)'!$A$4:$A$1116,$D307,'Val-Vol (2)'!$V$4:$V$1116,$V307)/SUMIFS('Comp2016-2017 (3)'!$G$5:$G$289,'Comp2016-2017 (3)'!$A$5:$A$289,$D307,'Comp2016-2017 (3)'!$R$5:$R$289,$V307)*$AB307))</f>
        <v/>
      </c>
      <c r="AG307" s="2" t="str">
        <f>IF($W307=AG$3,$AB307,IF(NOT($W307=0),"",SUMIFS('Val-Vol (2)'!AG$4:AG$1116,'Val-Vol (2)'!$A$4:$A$1116,$D307,'Val-Vol (2)'!$V$4:$V$1116,$V307)/SUMIFS('Comp2016-2017 (3)'!$G$5:$G$289,'Comp2016-2017 (3)'!$A$5:$A$289,$D307,'Comp2016-2017 (3)'!$R$5:$R$289,$V307)*$AB307))</f>
        <v/>
      </c>
      <c r="AH307" s="2" t="str">
        <f>IF($W307=AH$3,$AB307,IF(NOT($W307=0),"",SUMIFS('Val-Vol (2)'!AH$4:AH$1116,'Val-Vol (2)'!$A$4:$A$1116,$D307,'Val-Vol (2)'!$V$4:$V$1116,$V307)/SUMIFS('Comp2016-2017 (3)'!$G$5:$G$289,'Comp2016-2017 (3)'!$A$5:$A$289,$D307,'Comp2016-2017 (3)'!$R$5:$R$289,$V307)*$AB307))</f>
        <v/>
      </c>
      <c r="AI307" s="2" t="str">
        <f>IF($W307=AI$3,$AB307,IF(NOT($W307=0),"",SUMIFS('Val-Vol (2)'!AI$4:AI$1116,'Val-Vol (2)'!$A$4:$A$1116,$D307,'Val-Vol (2)'!$V$4:$V$1116,$V307)/SUMIFS('Comp2016-2017 (3)'!$G$5:$G$289,'Comp2016-2017 (3)'!$A$5:$A$289,$D307,'Comp2016-2017 (3)'!$R$5:$R$289,$V307)*$AB307))</f>
        <v/>
      </c>
      <c r="AJ307" s="2" t="str">
        <f>IF($W307=AJ$3,$AB307,IF(NOT($W307=0),"",SUMIFS('Val-Vol (2)'!AJ$4:AJ$1116,'Val-Vol (2)'!$A$4:$A$1116,$D307,'Val-Vol (2)'!$V$4:$V$1116,$V307)/SUMIFS('Comp2016-2017 (3)'!$G$5:$G$289,'Comp2016-2017 (3)'!$A$5:$A$289,$D307,'Comp2016-2017 (3)'!$R$5:$R$289,$V307)*$AB307))</f>
        <v/>
      </c>
      <c r="AK307" s="2">
        <f t="shared" si="37"/>
        <v>0</v>
      </c>
      <c r="AL307" t="str">
        <f t="shared" si="31"/>
        <v/>
      </c>
      <c r="AM307" t="str">
        <f>VLOOKUP(A307,'Table corresp.'!$M$4:$U$63,8,FALSE)</f>
        <v xml:space="preserve">Mise en œuvre </v>
      </c>
      <c r="AN307" t="str">
        <f>VLOOKUP(D307,'Table corresp.'!$M$4:$U$63,9,FALSE)</f>
        <v xml:space="preserve">Mise en œuvre </v>
      </c>
    </row>
    <row r="308" spans="1:40" x14ac:dyDescent="0.25">
      <c r="A308" t="s">
        <v>104</v>
      </c>
      <c r="B308" t="str">
        <f>VLOOKUP(LEFT(A308,3),'Table corresp.'!$A$4:$D$63,3,FALSE)</f>
        <v>Transformation</v>
      </c>
      <c r="C308" t="str">
        <f>VLOOKUP(A308,'Table corresp.'!$M$4:$P$63,4,FALSE)</f>
        <v>Commerces et services</v>
      </c>
      <c r="D308" t="s">
        <v>24</v>
      </c>
      <c r="E308" t="str">
        <f>VLOOKUP(LEFT(D308,3),'Table corresp.'!$A$4:$D$63,4,FALSE)</f>
        <v>Transformation</v>
      </c>
      <c r="F308" t="str">
        <f t="shared" si="30"/>
        <v xml:space="preserve">61  - 57 </v>
      </c>
      <c r="G308" s="1">
        <v>429910.15749373048</v>
      </c>
      <c r="H308" s="1">
        <v>0</v>
      </c>
      <c r="I308" s="1">
        <v>429910.15749373048</v>
      </c>
      <c r="J308" s="1">
        <v>0</v>
      </c>
      <c r="K308" s="1">
        <v>0</v>
      </c>
      <c r="L308" s="1">
        <v>0</v>
      </c>
      <c r="M308" s="1">
        <v>0</v>
      </c>
      <c r="N308" s="1">
        <v>0</v>
      </c>
      <c r="O308" s="1">
        <v>0</v>
      </c>
      <c r="P308" s="1">
        <v>0</v>
      </c>
      <c r="Q308" s="1">
        <v>0</v>
      </c>
      <c r="R308" s="1">
        <v>0</v>
      </c>
      <c r="S308" s="67"/>
      <c r="T308">
        <f>VLOOKUP(A308,'Groupe de branches'!$Z$27:$AM$86,14,FALSE)</f>
        <v>0</v>
      </c>
      <c r="U308">
        <f>VLOOKUP(D308,'Groupe de branches'!$Z$27:$AM$86,14,FALSE)</f>
        <v>0</v>
      </c>
      <c r="V308">
        <v>2016</v>
      </c>
      <c r="W308" t="str">
        <f>VLOOKUP(D308,'Table corresp.'!$M$4:$S$63,7,FALSE)</f>
        <v>Construction</v>
      </c>
      <c r="X308" s="167">
        <f>IFERROR(G308/SUMIFS('Comp2016-2017 (3)'!$I$5:$I$289,'Comp2016-2017 (3)'!$A$5:$A$289,A308,'Comp2016-2017 (3)'!$R$5:$R$289,V308),0)</f>
        <v>0.27051395083037799</v>
      </c>
      <c r="Y308" s="178">
        <f>IFERROR(IF(RIGHT(F308,3)="Exp",VLOOKUP(F308,#REF!,2,FALSE),VLOOKUP(F308,#REF!,9,FALSE)),1)</f>
        <v>1</v>
      </c>
      <c r="Z308" s="167">
        <f t="shared" si="38"/>
        <v>0.1111111111111111</v>
      </c>
      <c r="AA308" s="189">
        <f t="shared" si="32"/>
        <v>3.0057105647819774E-2</v>
      </c>
      <c r="AB308" s="2">
        <f>IFERROR(SUMIFS('Comp2016-2017 (3)'!$G$5:$G$289,'Comp2016-2017 (3)'!$A$5:$A$289,A308,'Comp2016-2017 (3)'!$R$5:$R$289,V308)*AA308/SUMIFS($AA$4:$AA$1116,$A$4:$A$1116,A308,$V$4:$V$1116,V308),0)</f>
        <v>429910.15749373072</v>
      </c>
      <c r="AC308" s="2" t="str">
        <f>IF($W308=AC$3,$AB308,IF(NOT($W308=0),"",SUMIFS('Val-Vol (2)'!AC$4:AC$1116,'Val-Vol (2)'!$A$4:$A$1116,$D308,'Val-Vol (2)'!$V$4:$V$1116,$V308)/SUMIFS('Comp2016-2017 (3)'!$G$5:$G$289,'Comp2016-2017 (3)'!$A$5:$A$289,$D308,'Comp2016-2017 (3)'!$R$5:$R$289,$V308)*$AB308))</f>
        <v/>
      </c>
      <c r="AD308" s="2">
        <f>IF($W308=AD$3,$AB308,IF(NOT($W308=0),"",SUMIFS('Val-Vol (2)'!AD$4:AD$1116,'Val-Vol (2)'!$A$4:$A$1116,$D308,'Val-Vol (2)'!$V$4:$V$1116,$V308)/SUMIFS('Comp2016-2017 (3)'!$G$5:$G$289,'Comp2016-2017 (3)'!$A$5:$A$289,$D308,'Comp2016-2017 (3)'!$R$5:$R$289,$V308)*$AB308))</f>
        <v>429910.15749373072</v>
      </c>
      <c r="AE308" s="2" t="str">
        <f>IF($W308=AE$3,$AB308,IF(NOT($W308=0),"",SUMIFS('Val-Vol (2)'!AE$4:AE$1116,'Val-Vol (2)'!$A$4:$A$1116,$D308,'Val-Vol (2)'!$V$4:$V$1116,$V308)/SUMIFS('Comp2016-2017 (3)'!$G$5:$G$289,'Comp2016-2017 (3)'!$A$5:$A$289,$D308,'Comp2016-2017 (3)'!$R$5:$R$289,$V308)*$AB308))</f>
        <v/>
      </c>
      <c r="AF308" s="2" t="str">
        <f>IF($W308=AF$3,$AB308,IF(NOT($W308=0),"",SUMIFS('Val-Vol (2)'!AF$4:AF$1116,'Val-Vol (2)'!$A$4:$A$1116,$D308,'Val-Vol (2)'!$V$4:$V$1116,$V308)/SUMIFS('Comp2016-2017 (3)'!$G$5:$G$289,'Comp2016-2017 (3)'!$A$5:$A$289,$D308,'Comp2016-2017 (3)'!$R$5:$R$289,$V308)*$AB308))</f>
        <v/>
      </c>
      <c r="AG308" s="2" t="str">
        <f>IF($W308=AG$3,$AB308,IF(NOT($W308=0),"",SUMIFS('Val-Vol (2)'!AG$4:AG$1116,'Val-Vol (2)'!$A$4:$A$1116,$D308,'Val-Vol (2)'!$V$4:$V$1116,$V308)/SUMIFS('Comp2016-2017 (3)'!$G$5:$G$289,'Comp2016-2017 (3)'!$A$5:$A$289,$D308,'Comp2016-2017 (3)'!$R$5:$R$289,$V308)*$AB308))</f>
        <v/>
      </c>
      <c r="AH308" s="2" t="str">
        <f>IF($W308=AH$3,$AB308,IF(NOT($W308=0),"",SUMIFS('Val-Vol (2)'!AH$4:AH$1116,'Val-Vol (2)'!$A$4:$A$1116,$D308,'Val-Vol (2)'!$V$4:$V$1116,$V308)/SUMIFS('Comp2016-2017 (3)'!$G$5:$G$289,'Comp2016-2017 (3)'!$A$5:$A$289,$D308,'Comp2016-2017 (3)'!$R$5:$R$289,$V308)*$AB308))</f>
        <v/>
      </c>
      <c r="AI308" s="2" t="str">
        <f>IF($W308=AI$3,$AB308,IF(NOT($W308=0),"",SUMIFS('Val-Vol (2)'!AI$4:AI$1116,'Val-Vol (2)'!$A$4:$A$1116,$D308,'Val-Vol (2)'!$V$4:$V$1116,$V308)/SUMIFS('Comp2016-2017 (3)'!$G$5:$G$289,'Comp2016-2017 (3)'!$A$5:$A$289,$D308,'Comp2016-2017 (3)'!$R$5:$R$289,$V308)*$AB308))</f>
        <v/>
      </c>
      <c r="AJ308" s="2" t="str">
        <f>IF($W308=AJ$3,$AB308,IF(NOT($W308=0),"",SUMIFS('Val-Vol (2)'!AJ$4:AJ$1116,'Val-Vol (2)'!$A$4:$A$1116,$D308,'Val-Vol (2)'!$V$4:$V$1116,$V308)/SUMIFS('Comp2016-2017 (3)'!$G$5:$G$289,'Comp2016-2017 (3)'!$A$5:$A$289,$D308,'Comp2016-2017 (3)'!$R$5:$R$289,$V308)*$AB308))</f>
        <v/>
      </c>
      <c r="AK308" s="2">
        <f t="shared" si="37"/>
        <v>0</v>
      </c>
      <c r="AL308" t="str">
        <f t="shared" si="31"/>
        <v/>
      </c>
      <c r="AM308" t="str">
        <f>VLOOKUP(A308,'Table corresp.'!$M$4:$U$63,8,FALSE)</f>
        <v xml:space="preserve">Mise en œuvre </v>
      </c>
      <c r="AN308" t="str">
        <f>VLOOKUP(D308,'Table corresp.'!$M$4:$U$63,9,FALSE)</f>
        <v xml:space="preserve">Mise en œuvre </v>
      </c>
    </row>
    <row r="309" spans="1:40" x14ac:dyDescent="0.25">
      <c r="A309" t="s">
        <v>104</v>
      </c>
      <c r="B309" t="str">
        <f>VLOOKUP(LEFT(A309,3),'Table corresp.'!$A$4:$D$63,3,FALSE)</f>
        <v>Transformation</v>
      </c>
      <c r="C309" t="str">
        <f>VLOOKUP(A309,'Table corresp.'!$M$4:$P$63,4,FALSE)</f>
        <v>Commerces et services</v>
      </c>
      <c r="D309" t="s">
        <v>25</v>
      </c>
      <c r="E309" t="str">
        <f>VLOOKUP(LEFT(D309,3),'Table corresp.'!$A$4:$D$63,4,FALSE)</f>
        <v>Transformation</v>
      </c>
      <c r="F309" t="str">
        <f t="shared" si="30"/>
        <v xml:space="preserve">61  - 58 </v>
      </c>
      <c r="G309" s="1">
        <v>37764.67431753753</v>
      </c>
      <c r="H309" s="1">
        <v>0</v>
      </c>
      <c r="I309" s="1">
        <v>37764.67431753753</v>
      </c>
      <c r="J309" s="1">
        <v>0</v>
      </c>
      <c r="K309" s="1">
        <v>0</v>
      </c>
      <c r="L309" s="1">
        <v>0</v>
      </c>
      <c r="M309" s="1">
        <v>0</v>
      </c>
      <c r="N309" s="1">
        <v>0</v>
      </c>
      <c r="O309" s="1">
        <v>0</v>
      </c>
      <c r="P309" s="1">
        <v>0</v>
      </c>
      <c r="Q309" s="1">
        <v>0</v>
      </c>
      <c r="R309" s="1">
        <v>0</v>
      </c>
      <c r="S309" s="67"/>
      <c r="T309">
        <f>VLOOKUP(A309,'Groupe de branches'!$Z$27:$AM$86,14,FALSE)</f>
        <v>0</v>
      </c>
      <c r="U309">
        <f>VLOOKUP(D309,'Groupe de branches'!$Z$27:$AM$86,14,FALSE)</f>
        <v>0</v>
      </c>
      <c r="V309">
        <v>2016</v>
      </c>
      <c r="W309" t="str">
        <f>VLOOKUP(D309,'Table corresp.'!$M$4:$S$63,7,FALSE)</f>
        <v>Construction</v>
      </c>
      <c r="X309" s="167">
        <f>IFERROR(G309/SUMIFS('Comp2016-2017 (3)'!$I$5:$I$289,'Comp2016-2017 (3)'!$A$5:$A$289,A309,'Comp2016-2017 (3)'!$R$5:$R$289,V309),0)</f>
        <v>2.37628050265562E-2</v>
      </c>
      <c r="Y309" s="178">
        <f>IFERROR(IF(RIGHT(F309,3)="Exp",VLOOKUP(F309,#REF!,2,FALSE),VLOOKUP(F309,#REF!,9,FALSE)),1)</f>
        <v>1</v>
      </c>
      <c r="Z309" s="167">
        <f t="shared" si="38"/>
        <v>0.1111111111111111</v>
      </c>
      <c r="AA309" s="189">
        <f t="shared" si="32"/>
        <v>2.6403116696173553E-3</v>
      </c>
      <c r="AB309" s="2">
        <f>IFERROR(SUMIFS('Comp2016-2017 (3)'!$G$5:$G$289,'Comp2016-2017 (3)'!$A$5:$A$289,A309,'Comp2016-2017 (3)'!$R$5:$R$289,V309)*AA309/SUMIFS($AA$4:$AA$1116,$A$4:$A$1116,A309,$V$4:$V$1116,V309),0)</f>
        <v>37764.674317537552</v>
      </c>
      <c r="AC309" s="2" t="str">
        <f>IF($W309=AC$3,$AB309,IF(NOT($W309=0),"",SUMIFS('Val-Vol (2)'!AC$4:AC$1116,'Val-Vol (2)'!$A$4:$A$1116,$D309,'Val-Vol (2)'!$V$4:$V$1116,$V309)/SUMIFS('Comp2016-2017 (3)'!$G$5:$G$289,'Comp2016-2017 (3)'!$A$5:$A$289,$D309,'Comp2016-2017 (3)'!$R$5:$R$289,$V309)*$AB309))</f>
        <v/>
      </c>
      <c r="AD309" s="2">
        <f>IF($W309=AD$3,$AB309,IF(NOT($W309=0),"",SUMIFS('Val-Vol (2)'!AD$4:AD$1116,'Val-Vol (2)'!$A$4:$A$1116,$D309,'Val-Vol (2)'!$V$4:$V$1116,$V309)/SUMIFS('Comp2016-2017 (3)'!$G$5:$G$289,'Comp2016-2017 (3)'!$A$5:$A$289,$D309,'Comp2016-2017 (3)'!$R$5:$R$289,$V309)*$AB309))</f>
        <v>37764.674317537552</v>
      </c>
      <c r="AE309" s="2" t="str">
        <f>IF($W309=AE$3,$AB309,IF(NOT($W309=0),"",SUMIFS('Val-Vol (2)'!AE$4:AE$1116,'Val-Vol (2)'!$A$4:$A$1116,$D309,'Val-Vol (2)'!$V$4:$V$1116,$V309)/SUMIFS('Comp2016-2017 (3)'!$G$5:$G$289,'Comp2016-2017 (3)'!$A$5:$A$289,$D309,'Comp2016-2017 (3)'!$R$5:$R$289,$V309)*$AB309))</f>
        <v/>
      </c>
      <c r="AF309" s="2" t="str">
        <f>IF($W309=AF$3,$AB309,IF(NOT($W309=0),"",SUMIFS('Val-Vol (2)'!AF$4:AF$1116,'Val-Vol (2)'!$A$4:$A$1116,$D309,'Val-Vol (2)'!$V$4:$V$1116,$V309)/SUMIFS('Comp2016-2017 (3)'!$G$5:$G$289,'Comp2016-2017 (3)'!$A$5:$A$289,$D309,'Comp2016-2017 (3)'!$R$5:$R$289,$V309)*$AB309))</f>
        <v/>
      </c>
      <c r="AG309" s="2" t="str">
        <f>IF($W309=AG$3,$AB309,IF(NOT($W309=0),"",SUMIFS('Val-Vol (2)'!AG$4:AG$1116,'Val-Vol (2)'!$A$4:$A$1116,$D309,'Val-Vol (2)'!$V$4:$V$1116,$V309)/SUMIFS('Comp2016-2017 (3)'!$G$5:$G$289,'Comp2016-2017 (3)'!$A$5:$A$289,$D309,'Comp2016-2017 (3)'!$R$5:$R$289,$V309)*$AB309))</f>
        <v/>
      </c>
      <c r="AH309" s="2" t="str">
        <f>IF($W309=AH$3,$AB309,IF(NOT($W309=0),"",SUMIFS('Val-Vol (2)'!AH$4:AH$1116,'Val-Vol (2)'!$A$4:$A$1116,$D309,'Val-Vol (2)'!$V$4:$V$1116,$V309)/SUMIFS('Comp2016-2017 (3)'!$G$5:$G$289,'Comp2016-2017 (3)'!$A$5:$A$289,$D309,'Comp2016-2017 (3)'!$R$5:$R$289,$V309)*$AB309))</f>
        <v/>
      </c>
      <c r="AI309" s="2" t="str">
        <f>IF($W309=AI$3,$AB309,IF(NOT($W309=0),"",SUMIFS('Val-Vol (2)'!AI$4:AI$1116,'Val-Vol (2)'!$A$4:$A$1116,$D309,'Val-Vol (2)'!$V$4:$V$1116,$V309)/SUMIFS('Comp2016-2017 (3)'!$G$5:$G$289,'Comp2016-2017 (3)'!$A$5:$A$289,$D309,'Comp2016-2017 (3)'!$R$5:$R$289,$V309)*$AB309))</f>
        <v/>
      </c>
      <c r="AJ309" s="2" t="str">
        <f>IF($W309=AJ$3,$AB309,IF(NOT($W309=0),"",SUMIFS('Val-Vol (2)'!AJ$4:AJ$1116,'Val-Vol (2)'!$A$4:$A$1116,$D309,'Val-Vol (2)'!$V$4:$V$1116,$V309)/SUMIFS('Comp2016-2017 (3)'!$G$5:$G$289,'Comp2016-2017 (3)'!$A$5:$A$289,$D309,'Comp2016-2017 (3)'!$R$5:$R$289,$V309)*$AB309))</f>
        <v/>
      </c>
      <c r="AK309" s="2">
        <f t="shared" si="37"/>
        <v>0</v>
      </c>
      <c r="AL309" t="str">
        <f t="shared" si="31"/>
        <v/>
      </c>
      <c r="AM309" t="str">
        <f>VLOOKUP(A309,'Table corresp.'!$M$4:$U$63,8,FALSE)</f>
        <v xml:space="preserve">Mise en œuvre </v>
      </c>
      <c r="AN309" t="str">
        <f>VLOOKUP(D309,'Table corresp.'!$M$4:$U$63,9,FALSE)</f>
        <v xml:space="preserve">Mise en œuvre </v>
      </c>
    </row>
    <row r="310" spans="1:40" x14ac:dyDescent="0.25">
      <c r="A310" t="s">
        <v>104</v>
      </c>
      <c r="B310" t="str">
        <f>VLOOKUP(LEFT(A310,3),'Table corresp.'!$A$4:$D$63,3,FALSE)</f>
        <v>Transformation</v>
      </c>
      <c r="C310" t="str">
        <f>VLOOKUP(A310,'Table corresp.'!$M$4:$P$63,4,FALSE)</f>
        <v>Commerces et services</v>
      </c>
      <c r="D310" t="s">
        <v>26</v>
      </c>
      <c r="E310" t="str">
        <f>VLOOKUP(LEFT(D310,3),'Table corresp.'!$A$4:$D$63,4,FALSE)</f>
        <v>Transformation</v>
      </c>
      <c r="F310" t="str">
        <f t="shared" si="30"/>
        <v xml:space="preserve">61  - 59 </v>
      </c>
      <c r="G310" s="1">
        <v>8641.0325141642243</v>
      </c>
      <c r="H310" s="1">
        <v>0</v>
      </c>
      <c r="I310" s="1">
        <v>8641.0325141642243</v>
      </c>
      <c r="J310" s="1">
        <v>0</v>
      </c>
      <c r="K310" s="1">
        <v>0</v>
      </c>
      <c r="L310" s="1">
        <v>0</v>
      </c>
      <c r="M310" s="1">
        <v>0</v>
      </c>
      <c r="N310" s="1">
        <v>0</v>
      </c>
      <c r="O310" s="1">
        <v>0</v>
      </c>
      <c r="P310" s="1">
        <v>0</v>
      </c>
      <c r="Q310" s="1">
        <v>0</v>
      </c>
      <c r="R310" s="1">
        <v>0</v>
      </c>
      <c r="S310" s="67"/>
      <c r="T310">
        <f>VLOOKUP(A310,'Groupe de branches'!$Z$27:$AM$86,14,FALSE)</f>
        <v>0</v>
      </c>
      <c r="U310">
        <f>VLOOKUP(D310,'Groupe de branches'!$Z$27:$AM$86,14,FALSE)</f>
        <v>0</v>
      </c>
      <c r="V310">
        <v>2016</v>
      </c>
      <c r="W310" t="str">
        <f>VLOOKUP(D310,'Table corresp.'!$M$4:$S$63,7,FALSE)</f>
        <v>Construction</v>
      </c>
      <c r="X310" s="167">
        <f>IFERROR(G310/SUMIFS('Comp2016-2017 (3)'!$I$5:$I$289,'Comp2016-2017 (3)'!$A$5:$A$289,A310,'Comp2016-2017 (3)'!$R$5:$R$289,V310),0)</f>
        <v>5.4372286951475607E-3</v>
      </c>
      <c r="Y310" s="178">
        <f>IFERROR(IF(RIGHT(F310,3)="Exp",VLOOKUP(F310,#REF!,2,FALSE),VLOOKUP(F310,#REF!,9,FALSE)),1)</f>
        <v>1</v>
      </c>
      <c r="Z310" s="167">
        <f t="shared" si="38"/>
        <v>0.1111111111111111</v>
      </c>
      <c r="AA310" s="189">
        <f t="shared" si="32"/>
        <v>6.0413652168306222E-4</v>
      </c>
      <c r="AB310" s="2">
        <f>IFERROR(SUMIFS('Comp2016-2017 (3)'!$G$5:$G$289,'Comp2016-2017 (3)'!$A$5:$A$289,A310,'Comp2016-2017 (3)'!$R$5:$R$289,V310)*AA310/SUMIFS($AA$4:$AA$1116,$A$4:$A$1116,A310,$V$4:$V$1116,V310),0)</f>
        <v>8641.0325141642297</v>
      </c>
      <c r="AC310" s="2" t="str">
        <f>IF($W310=AC$3,$AB310,IF(NOT($W310=0),"",SUMIFS('Val-Vol (2)'!AC$4:AC$1116,'Val-Vol (2)'!$A$4:$A$1116,$D310,'Val-Vol (2)'!$V$4:$V$1116,$V310)/SUMIFS('Comp2016-2017 (3)'!$G$5:$G$289,'Comp2016-2017 (3)'!$A$5:$A$289,$D310,'Comp2016-2017 (3)'!$R$5:$R$289,$V310)*$AB310))</f>
        <v/>
      </c>
      <c r="AD310" s="2">
        <f>IF($W310=AD$3,$AB310,IF(NOT($W310=0),"",SUMIFS('Val-Vol (2)'!AD$4:AD$1116,'Val-Vol (2)'!$A$4:$A$1116,$D310,'Val-Vol (2)'!$V$4:$V$1116,$V310)/SUMIFS('Comp2016-2017 (3)'!$G$5:$G$289,'Comp2016-2017 (3)'!$A$5:$A$289,$D310,'Comp2016-2017 (3)'!$R$5:$R$289,$V310)*$AB310))</f>
        <v>8641.0325141642297</v>
      </c>
      <c r="AE310" s="2" t="str">
        <f>IF($W310=AE$3,$AB310,IF(NOT($W310=0),"",SUMIFS('Val-Vol (2)'!AE$4:AE$1116,'Val-Vol (2)'!$A$4:$A$1116,$D310,'Val-Vol (2)'!$V$4:$V$1116,$V310)/SUMIFS('Comp2016-2017 (3)'!$G$5:$G$289,'Comp2016-2017 (3)'!$A$5:$A$289,$D310,'Comp2016-2017 (3)'!$R$5:$R$289,$V310)*$AB310))</f>
        <v/>
      </c>
      <c r="AF310" s="2" t="str">
        <f>IF($W310=AF$3,$AB310,IF(NOT($W310=0),"",SUMIFS('Val-Vol (2)'!AF$4:AF$1116,'Val-Vol (2)'!$A$4:$A$1116,$D310,'Val-Vol (2)'!$V$4:$V$1116,$V310)/SUMIFS('Comp2016-2017 (3)'!$G$5:$G$289,'Comp2016-2017 (3)'!$A$5:$A$289,$D310,'Comp2016-2017 (3)'!$R$5:$R$289,$V310)*$AB310))</f>
        <v/>
      </c>
      <c r="AG310" s="2" t="str">
        <f>IF($W310=AG$3,$AB310,IF(NOT($W310=0),"",SUMIFS('Val-Vol (2)'!AG$4:AG$1116,'Val-Vol (2)'!$A$4:$A$1116,$D310,'Val-Vol (2)'!$V$4:$V$1116,$V310)/SUMIFS('Comp2016-2017 (3)'!$G$5:$G$289,'Comp2016-2017 (3)'!$A$5:$A$289,$D310,'Comp2016-2017 (3)'!$R$5:$R$289,$V310)*$AB310))</f>
        <v/>
      </c>
      <c r="AH310" s="2" t="str">
        <f>IF($W310=AH$3,$AB310,IF(NOT($W310=0),"",SUMIFS('Val-Vol (2)'!AH$4:AH$1116,'Val-Vol (2)'!$A$4:$A$1116,$D310,'Val-Vol (2)'!$V$4:$V$1116,$V310)/SUMIFS('Comp2016-2017 (3)'!$G$5:$G$289,'Comp2016-2017 (3)'!$A$5:$A$289,$D310,'Comp2016-2017 (3)'!$R$5:$R$289,$V310)*$AB310))</f>
        <v/>
      </c>
      <c r="AI310" s="2" t="str">
        <f>IF($W310=AI$3,$AB310,IF(NOT($W310=0),"",SUMIFS('Val-Vol (2)'!AI$4:AI$1116,'Val-Vol (2)'!$A$4:$A$1116,$D310,'Val-Vol (2)'!$V$4:$V$1116,$V310)/SUMIFS('Comp2016-2017 (3)'!$G$5:$G$289,'Comp2016-2017 (3)'!$A$5:$A$289,$D310,'Comp2016-2017 (3)'!$R$5:$R$289,$V310)*$AB310))</f>
        <v/>
      </c>
      <c r="AJ310" s="2" t="str">
        <f>IF($W310=AJ$3,$AB310,IF(NOT($W310=0),"",SUMIFS('Val-Vol (2)'!AJ$4:AJ$1116,'Val-Vol (2)'!$A$4:$A$1116,$D310,'Val-Vol (2)'!$V$4:$V$1116,$V310)/SUMIFS('Comp2016-2017 (3)'!$G$5:$G$289,'Comp2016-2017 (3)'!$A$5:$A$289,$D310,'Comp2016-2017 (3)'!$R$5:$R$289,$V310)*$AB310))</f>
        <v/>
      </c>
      <c r="AK310" s="2">
        <f t="shared" si="37"/>
        <v>0</v>
      </c>
      <c r="AL310" t="str">
        <f t="shared" si="31"/>
        <v/>
      </c>
      <c r="AM310" t="str">
        <f>VLOOKUP(A310,'Table corresp.'!$M$4:$U$63,8,FALSE)</f>
        <v xml:space="preserve">Mise en œuvre </v>
      </c>
      <c r="AN310" t="str">
        <f>VLOOKUP(D310,'Table corresp.'!$M$4:$U$63,9,FALSE)</f>
        <v xml:space="preserve">Mise en œuvre </v>
      </c>
    </row>
    <row r="311" spans="1:40" x14ac:dyDescent="0.25">
      <c r="A311" t="s">
        <v>104</v>
      </c>
      <c r="B311" t="str">
        <f>VLOOKUP(LEFT(A311,3),'Table corresp.'!$A$4:$D$63,3,FALSE)</f>
        <v>Transformation</v>
      </c>
      <c r="C311" t="str">
        <f>VLOOKUP(A311,'Table corresp.'!$M$4:$P$63,4,FALSE)</f>
        <v>Commerces et services</v>
      </c>
      <c r="D311" t="s">
        <v>54</v>
      </c>
      <c r="E311" t="str">
        <f>VLOOKUP(LEFT(D311,3),'Table corresp.'!$A$4:$D$63,4,FALSE)</f>
        <v>Consommation finale</v>
      </c>
      <c r="F311" t="str">
        <f t="shared" si="30"/>
        <v>61  - Con</v>
      </c>
      <c r="G311" s="1">
        <v>317846.94</v>
      </c>
      <c r="H311" s="1">
        <v>0</v>
      </c>
      <c r="I311" s="1">
        <v>317846.94</v>
      </c>
      <c r="J311" s="1">
        <v>0</v>
      </c>
      <c r="K311" s="1">
        <v>0</v>
      </c>
      <c r="L311" s="1">
        <v>0</v>
      </c>
      <c r="M311" s="1">
        <v>0</v>
      </c>
      <c r="N311" s="1">
        <v>0</v>
      </c>
      <c r="O311" s="1">
        <v>0</v>
      </c>
      <c r="P311" s="1">
        <v>0</v>
      </c>
      <c r="Q311" s="1">
        <v>0</v>
      </c>
      <c r="R311" s="1">
        <v>0</v>
      </c>
      <c r="S311" s="67"/>
      <c r="T311">
        <f>VLOOKUP(A311,'Groupe de branches'!$Z$27:$AM$86,14,FALSE)</f>
        <v>0</v>
      </c>
      <c r="U311">
        <f>VLOOKUP(D311,'Groupe de branches'!$Z$27:$AM$86,14,FALSE)</f>
        <v>0</v>
      </c>
      <c r="V311">
        <v>2016</v>
      </c>
      <c r="W311" t="str">
        <f>VLOOKUP(D311,'Table corresp.'!$M$4:$S$63,7,FALSE)</f>
        <v>Consommation finale</v>
      </c>
      <c r="X311" s="167">
        <f>IFERROR(G311/SUMIFS('Comp2016-2017 (3)'!$I$5:$I$289,'Comp2016-2017 (3)'!$A$5:$A$289,A311,'Comp2016-2017 (3)'!$R$5:$R$289,V311),0)</f>
        <v>0.2</v>
      </c>
      <c r="Y311" s="178">
        <f>IFERROR(IF(RIGHT(F311,3)="Exp",VLOOKUP(F311,#REF!,2,FALSE),VLOOKUP(F311,#REF!,9,FALSE)),1)</f>
        <v>1</v>
      </c>
      <c r="Z311" s="167">
        <f t="shared" si="38"/>
        <v>0.1111111111111111</v>
      </c>
      <c r="AA311" s="189">
        <f t="shared" si="32"/>
        <v>2.2222222222222223E-2</v>
      </c>
      <c r="AB311" s="2">
        <f>IFERROR(SUMIFS('Comp2016-2017 (3)'!$G$5:$G$289,'Comp2016-2017 (3)'!$A$5:$A$289,A311,'Comp2016-2017 (3)'!$R$5:$R$289,V311)*AA311/SUMIFS($AA$4:$AA$1116,$A$4:$A$1116,A311,$V$4:$V$1116,V311),0)</f>
        <v>317846.94000000024</v>
      </c>
      <c r="AC311" s="2" t="str">
        <f>IF($W311=AC$3,$AB311,IF(NOT($W311=0),"",SUMIFS('Val-Vol (2)'!AC$4:AC$1116,'Val-Vol (2)'!$A$4:$A$1116,$D311,'Val-Vol (2)'!$V$4:$V$1116,$V311)/SUMIFS('Comp2016-2017 (3)'!$G$5:$G$289,'Comp2016-2017 (3)'!$A$5:$A$289,$D311,'Comp2016-2017 (3)'!$R$5:$R$289,$V311)*$AB311))</f>
        <v/>
      </c>
      <c r="AD311" s="2" t="str">
        <f>IF($W311=AD$3,$AB311,IF(NOT($W311=0),"",SUMIFS('Val-Vol (2)'!AD$4:AD$1116,'Val-Vol (2)'!$A$4:$A$1116,$D311,'Val-Vol (2)'!$V$4:$V$1116,$V311)/SUMIFS('Comp2016-2017 (3)'!$G$5:$G$289,'Comp2016-2017 (3)'!$A$5:$A$289,$D311,'Comp2016-2017 (3)'!$R$5:$R$289,$V311)*$AB311))</f>
        <v/>
      </c>
      <c r="AE311" s="2" t="str">
        <f>IF($W311=AE$3,$AB311,IF(NOT($W311=0),"",SUMIFS('Val-Vol (2)'!AE$4:AE$1116,'Val-Vol (2)'!$A$4:$A$1116,$D311,'Val-Vol (2)'!$V$4:$V$1116,$V311)/SUMIFS('Comp2016-2017 (3)'!$G$5:$G$289,'Comp2016-2017 (3)'!$A$5:$A$289,$D311,'Comp2016-2017 (3)'!$R$5:$R$289,$V311)*$AB311))</f>
        <v/>
      </c>
      <c r="AF311" s="2" t="str">
        <f>IF($W311=AF$3,$AB311,IF(NOT($W311=0),"",SUMIFS('Val-Vol (2)'!AF$4:AF$1116,'Val-Vol (2)'!$A$4:$A$1116,$D311,'Val-Vol (2)'!$V$4:$V$1116,$V311)/SUMIFS('Comp2016-2017 (3)'!$G$5:$G$289,'Comp2016-2017 (3)'!$A$5:$A$289,$D311,'Comp2016-2017 (3)'!$R$5:$R$289,$V311)*$AB311))</f>
        <v/>
      </c>
      <c r="AG311" s="2" t="str">
        <f>IF($W311=AG$3,$AB311,IF(NOT($W311=0),"",SUMIFS('Val-Vol (2)'!AG$4:AG$1116,'Val-Vol (2)'!$A$4:$A$1116,$D311,'Val-Vol (2)'!$V$4:$V$1116,$V311)/SUMIFS('Comp2016-2017 (3)'!$G$5:$G$289,'Comp2016-2017 (3)'!$A$5:$A$289,$D311,'Comp2016-2017 (3)'!$R$5:$R$289,$V311)*$AB311))</f>
        <v/>
      </c>
      <c r="AH311" s="2" t="str">
        <f>IF($W311=AH$3,$AB311,IF(NOT($W311=0),"",SUMIFS('Val-Vol (2)'!AH$4:AH$1116,'Val-Vol (2)'!$A$4:$A$1116,$D311,'Val-Vol (2)'!$V$4:$V$1116,$V311)/SUMIFS('Comp2016-2017 (3)'!$G$5:$G$289,'Comp2016-2017 (3)'!$A$5:$A$289,$D311,'Comp2016-2017 (3)'!$R$5:$R$289,$V311)*$AB311))</f>
        <v/>
      </c>
      <c r="AI311" s="2" t="str">
        <f>IF($W311=AI$3,$AB311,IF(NOT($W311=0),"",SUMIFS('Val-Vol (2)'!AI$4:AI$1116,'Val-Vol (2)'!$A$4:$A$1116,$D311,'Val-Vol (2)'!$V$4:$V$1116,$V311)/SUMIFS('Comp2016-2017 (3)'!$G$5:$G$289,'Comp2016-2017 (3)'!$A$5:$A$289,$D311,'Comp2016-2017 (3)'!$R$5:$R$289,$V311)*$AB311))</f>
        <v/>
      </c>
      <c r="AJ311" s="2">
        <f>IF($W311=AJ$3,$AB311,IF(NOT($W311=0),"",SUMIFS('Val-Vol (2)'!AJ$4:AJ$1116,'Val-Vol (2)'!$A$4:$A$1116,$D311,'Val-Vol (2)'!$V$4:$V$1116,$V311)/SUMIFS('Comp2016-2017 (3)'!$G$5:$G$289,'Comp2016-2017 (3)'!$A$5:$A$289,$D311,'Comp2016-2017 (3)'!$R$5:$R$289,$V311)*$AB311))</f>
        <v>317846.94000000024</v>
      </c>
      <c r="AK311" s="2">
        <f t="shared" si="37"/>
        <v>0</v>
      </c>
      <c r="AL311" t="str">
        <f t="shared" si="31"/>
        <v/>
      </c>
      <c r="AM311" t="str">
        <f>VLOOKUP(A311,'Table corresp.'!$M$4:$U$63,8,FALSE)</f>
        <v xml:space="preserve">Mise en œuvre </v>
      </c>
      <c r="AN311" t="str">
        <f>VLOOKUP(D311,'Table corresp.'!$M$4:$U$63,9,FALSE)</f>
        <v>Consommation finale française</v>
      </c>
    </row>
    <row r="312" spans="1:40" x14ac:dyDescent="0.25">
      <c r="A312" t="s">
        <v>105</v>
      </c>
      <c r="B312" t="str">
        <f>VLOOKUP(LEFT(A312,3),'Table corresp.'!$A$4:$D$63,3,FALSE)</f>
        <v>Transformation</v>
      </c>
      <c r="C312" t="str">
        <f>VLOOKUP(A312,'Table corresp.'!$M$4:$P$63,4,FALSE)</f>
        <v>Commerces et services</v>
      </c>
      <c r="D312" t="s">
        <v>19</v>
      </c>
      <c r="E312" t="str">
        <f>VLOOKUP(LEFT(D312,3),'Table corresp.'!$A$4:$D$63,4,FALSE)</f>
        <v>Transformation</v>
      </c>
      <c r="F312" t="str">
        <f t="shared" si="30"/>
        <v xml:space="preserve">62  - 52 </v>
      </c>
      <c r="G312" s="1">
        <v>8158.2116485287879</v>
      </c>
      <c r="H312" s="1">
        <v>0</v>
      </c>
      <c r="I312" s="1">
        <v>8158.2116485287879</v>
      </c>
      <c r="J312" s="1">
        <v>0</v>
      </c>
      <c r="K312" s="1">
        <v>0</v>
      </c>
      <c r="L312" s="1">
        <v>0</v>
      </c>
      <c r="M312" s="1">
        <v>0</v>
      </c>
      <c r="N312" s="1">
        <v>0</v>
      </c>
      <c r="O312" s="1">
        <v>0</v>
      </c>
      <c r="P312" s="1">
        <v>0</v>
      </c>
      <c r="Q312" s="1">
        <v>0</v>
      </c>
      <c r="R312" s="1">
        <v>0</v>
      </c>
      <c r="S312" s="67"/>
      <c r="T312">
        <f>VLOOKUP(A312,'Groupe de branches'!$Z$27:$AM$86,14,FALSE)</f>
        <v>0</v>
      </c>
      <c r="U312">
        <f>VLOOKUP(D312,'Groupe de branches'!$Z$27:$AM$86,14,FALSE)</f>
        <v>0</v>
      </c>
      <c r="V312">
        <v>2016</v>
      </c>
      <c r="W312" t="str">
        <f>VLOOKUP(D312,'Table corresp.'!$M$4:$S$63,7,FALSE)</f>
        <v>Construction</v>
      </c>
      <c r="X312" s="167">
        <f>IFERROR(G312/SUMIFS('Comp2016-2017 (3)'!$I$5:$I$289,'Comp2016-2017 (3)'!$A$5:$A$289,A312,'Comp2016-2017 (3)'!$R$5:$R$289,V312),0)</f>
        <v>4.0610746528059356E-3</v>
      </c>
      <c r="Y312" s="178">
        <f>IFERROR(IF(RIGHT(F312,3)="Exp",VLOOKUP(F312,#REF!,2,FALSE),VLOOKUP(F312,#REF!,9,FALSE)),1)</f>
        <v>1</v>
      </c>
      <c r="Z312" s="167">
        <f t="shared" si="38"/>
        <v>0.1111111111111111</v>
      </c>
      <c r="AA312" s="189">
        <f t="shared" si="32"/>
        <v>4.5123051697843727E-4</v>
      </c>
      <c r="AB312" s="2">
        <f>IFERROR(SUMIFS('Comp2016-2017 (3)'!$G$5:$G$289,'Comp2016-2017 (3)'!$A$5:$A$289,A312,'Comp2016-2017 (3)'!$R$5:$R$289,V312)*AA312/SUMIFS($AA$4:$AA$1116,$A$4:$A$1116,A312,$V$4:$V$1116,V312),0)</f>
        <v>8158.2116524907706</v>
      </c>
      <c r="AC312" s="2" t="str">
        <f>IF($W312=AC$3,$AB312,IF(NOT($W312=0),"",SUMIFS('Val-Vol (2)'!AC$4:AC$1116,'Val-Vol (2)'!$A$4:$A$1116,$D312,'Val-Vol (2)'!$V$4:$V$1116,$V312)/SUMIFS('Comp2016-2017 (3)'!$G$5:$G$289,'Comp2016-2017 (3)'!$A$5:$A$289,$D312,'Comp2016-2017 (3)'!$R$5:$R$289,$V312)*$AB312))</f>
        <v/>
      </c>
      <c r="AD312" s="2">
        <f>IF($W312=AD$3,$AB312,IF(NOT($W312=0),"",SUMIFS('Val-Vol (2)'!AD$4:AD$1116,'Val-Vol (2)'!$A$4:$A$1116,$D312,'Val-Vol (2)'!$V$4:$V$1116,$V312)/SUMIFS('Comp2016-2017 (3)'!$G$5:$G$289,'Comp2016-2017 (3)'!$A$5:$A$289,$D312,'Comp2016-2017 (3)'!$R$5:$R$289,$V312)*$AB312))</f>
        <v>8158.2116524907706</v>
      </c>
      <c r="AE312" s="2" t="str">
        <f>IF($W312=AE$3,$AB312,IF(NOT($W312=0),"",SUMIFS('Val-Vol (2)'!AE$4:AE$1116,'Val-Vol (2)'!$A$4:$A$1116,$D312,'Val-Vol (2)'!$V$4:$V$1116,$V312)/SUMIFS('Comp2016-2017 (3)'!$G$5:$G$289,'Comp2016-2017 (3)'!$A$5:$A$289,$D312,'Comp2016-2017 (3)'!$R$5:$R$289,$V312)*$AB312))</f>
        <v/>
      </c>
      <c r="AF312" s="2" t="str">
        <f>IF($W312=AF$3,$AB312,IF(NOT($W312=0),"",SUMIFS('Val-Vol (2)'!AF$4:AF$1116,'Val-Vol (2)'!$A$4:$A$1116,$D312,'Val-Vol (2)'!$V$4:$V$1116,$V312)/SUMIFS('Comp2016-2017 (3)'!$G$5:$G$289,'Comp2016-2017 (3)'!$A$5:$A$289,$D312,'Comp2016-2017 (3)'!$R$5:$R$289,$V312)*$AB312))</f>
        <v/>
      </c>
      <c r="AG312" s="2" t="str">
        <f>IF($W312=AG$3,$AB312,IF(NOT($W312=0),"",SUMIFS('Val-Vol (2)'!AG$4:AG$1116,'Val-Vol (2)'!$A$4:$A$1116,$D312,'Val-Vol (2)'!$V$4:$V$1116,$V312)/SUMIFS('Comp2016-2017 (3)'!$G$5:$G$289,'Comp2016-2017 (3)'!$A$5:$A$289,$D312,'Comp2016-2017 (3)'!$R$5:$R$289,$V312)*$AB312))</f>
        <v/>
      </c>
      <c r="AH312" s="2" t="str">
        <f>IF($W312=AH$3,$AB312,IF(NOT($W312=0),"",SUMIFS('Val-Vol (2)'!AH$4:AH$1116,'Val-Vol (2)'!$A$4:$A$1116,$D312,'Val-Vol (2)'!$V$4:$V$1116,$V312)/SUMIFS('Comp2016-2017 (3)'!$G$5:$G$289,'Comp2016-2017 (3)'!$A$5:$A$289,$D312,'Comp2016-2017 (3)'!$R$5:$R$289,$V312)*$AB312))</f>
        <v/>
      </c>
      <c r="AI312" s="2" t="str">
        <f>IF($W312=AI$3,$AB312,IF(NOT($W312=0),"",SUMIFS('Val-Vol (2)'!AI$4:AI$1116,'Val-Vol (2)'!$A$4:$A$1116,$D312,'Val-Vol (2)'!$V$4:$V$1116,$V312)/SUMIFS('Comp2016-2017 (3)'!$G$5:$G$289,'Comp2016-2017 (3)'!$A$5:$A$289,$D312,'Comp2016-2017 (3)'!$R$5:$R$289,$V312)*$AB312))</f>
        <v/>
      </c>
      <c r="AJ312" s="2" t="str">
        <f>IF($W312=AJ$3,$AB312,IF(NOT($W312=0),"",SUMIFS('Val-Vol (2)'!AJ$4:AJ$1116,'Val-Vol (2)'!$A$4:$A$1116,$D312,'Val-Vol (2)'!$V$4:$V$1116,$V312)/SUMIFS('Comp2016-2017 (3)'!$G$5:$G$289,'Comp2016-2017 (3)'!$A$5:$A$289,$D312,'Comp2016-2017 (3)'!$R$5:$R$289,$V312)*$AB312))</f>
        <v/>
      </c>
      <c r="AK312" s="2">
        <f t="shared" si="37"/>
        <v>0</v>
      </c>
      <c r="AL312" t="str">
        <f t="shared" si="31"/>
        <v/>
      </c>
      <c r="AM312" t="str">
        <f>VLOOKUP(A312,'Table corresp.'!$M$4:$U$63,8,FALSE)</f>
        <v>Consommation finale française</v>
      </c>
      <c r="AN312" t="str">
        <f>VLOOKUP(D312,'Table corresp.'!$M$4:$U$63,9,FALSE)</f>
        <v xml:space="preserve">Mise en œuvre </v>
      </c>
    </row>
    <row r="313" spans="1:40" x14ac:dyDescent="0.25">
      <c r="A313" t="s">
        <v>105</v>
      </c>
      <c r="B313" t="str">
        <f>VLOOKUP(LEFT(A313,3),'Table corresp.'!$A$4:$D$63,3,FALSE)</f>
        <v>Transformation</v>
      </c>
      <c r="C313" t="str">
        <f>VLOOKUP(A313,'Table corresp.'!$M$4:$P$63,4,FALSE)</f>
        <v>Commerces et services</v>
      </c>
      <c r="D313" t="s">
        <v>20</v>
      </c>
      <c r="E313" t="str">
        <f>VLOOKUP(LEFT(D313,3),'Table corresp.'!$A$4:$D$63,4,FALSE)</f>
        <v>Transformation</v>
      </c>
      <c r="F313" t="str">
        <f t="shared" si="30"/>
        <v xml:space="preserve">62  - 53 </v>
      </c>
      <c r="G313" s="1">
        <v>1579.8791050495886</v>
      </c>
      <c r="H313" s="1">
        <v>0</v>
      </c>
      <c r="I313" s="1">
        <v>1579.8791050495886</v>
      </c>
      <c r="J313" s="1">
        <v>0</v>
      </c>
      <c r="K313" s="1">
        <v>0</v>
      </c>
      <c r="L313" s="1">
        <v>0</v>
      </c>
      <c r="M313" s="1">
        <v>0</v>
      </c>
      <c r="N313" s="1">
        <v>0</v>
      </c>
      <c r="O313" s="1">
        <v>0</v>
      </c>
      <c r="P313" s="1">
        <v>0</v>
      </c>
      <c r="Q313" s="1">
        <v>0</v>
      </c>
      <c r="R313" s="1">
        <v>0</v>
      </c>
      <c r="S313" s="67"/>
      <c r="T313">
        <f>VLOOKUP(A313,'Groupe de branches'!$Z$27:$AM$86,14,FALSE)</f>
        <v>0</v>
      </c>
      <c r="U313">
        <f>VLOOKUP(D313,'Groupe de branches'!$Z$27:$AM$86,14,FALSE)</f>
        <v>0</v>
      </c>
      <c r="V313">
        <v>2016</v>
      </c>
      <c r="W313" t="str">
        <f>VLOOKUP(D313,'Table corresp.'!$M$4:$S$63,7,FALSE)</f>
        <v>Construction</v>
      </c>
      <c r="X313" s="167">
        <f>IFERROR(G313/SUMIFS('Comp2016-2017 (3)'!$I$5:$I$289,'Comp2016-2017 (3)'!$A$5:$A$289,A313,'Comp2016-2017 (3)'!$R$5:$R$289,V313),0)</f>
        <v>7.8644772462744845E-4</v>
      </c>
      <c r="Y313" s="178">
        <f>IFERROR(IF(RIGHT(F313,3)="Exp",VLOOKUP(F313,#REF!,2,FALSE),VLOOKUP(F313,#REF!,9,FALSE)),1)</f>
        <v>1</v>
      </c>
      <c r="Z313" s="167">
        <f t="shared" si="38"/>
        <v>0.1111111111111111</v>
      </c>
      <c r="AA313" s="189">
        <f t="shared" si="32"/>
        <v>8.7383080514160931E-5</v>
      </c>
      <c r="AB313" s="2">
        <f>IFERROR(SUMIFS('Comp2016-2017 (3)'!$G$5:$G$289,'Comp2016-2017 (3)'!$A$5:$A$289,A313,'Comp2016-2017 (3)'!$R$5:$R$289,V313)*AA313/SUMIFS($AA$4:$AA$1116,$A$4:$A$1116,A313,$V$4:$V$1116,V313),0)</f>
        <v>1579.8791058168467</v>
      </c>
      <c r="AC313" s="2" t="str">
        <f>IF($W313=AC$3,$AB313,IF(NOT($W313=0),"",SUMIFS('Val-Vol (2)'!AC$4:AC$1116,'Val-Vol (2)'!$A$4:$A$1116,$D313,'Val-Vol (2)'!$V$4:$V$1116,$V313)/SUMIFS('Comp2016-2017 (3)'!$G$5:$G$289,'Comp2016-2017 (3)'!$A$5:$A$289,$D313,'Comp2016-2017 (3)'!$R$5:$R$289,$V313)*$AB313))</f>
        <v/>
      </c>
      <c r="AD313" s="2">
        <f>IF($W313=AD$3,$AB313,IF(NOT($W313=0),"",SUMIFS('Val-Vol (2)'!AD$4:AD$1116,'Val-Vol (2)'!$A$4:$A$1116,$D313,'Val-Vol (2)'!$V$4:$V$1116,$V313)/SUMIFS('Comp2016-2017 (3)'!$G$5:$G$289,'Comp2016-2017 (3)'!$A$5:$A$289,$D313,'Comp2016-2017 (3)'!$R$5:$R$289,$V313)*$AB313))</f>
        <v>1579.8791058168467</v>
      </c>
      <c r="AE313" s="2" t="str">
        <f>IF($W313=AE$3,$AB313,IF(NOT($W313=0),"",SUMIFS('Val-Vol (2)'!AE$4:AE$1116,'Val-Vol (2)'!$A$4:$A$1116,$D313,'Val-Vol (2)'!$V$4:$V$1116,$V313)/SUMIFS('Comp2016-2017 (3)'!$G$5:$G$289,'Comp2016-2017 (3)'!$A$5:$A$289,$D313,'Comp2016-2017 (3)'!$R$5:$R$289,$V313)*$AB313))</f>
        <v/>
      </c>
      <c r="AF313" s="2" t="str">
        <f>IF($W313=AF$3,$AB313,IF(NOT($W313=0),"",SUMIFS('Val-Vol (2)'!AF$4:AF$1116,'Val-Vol (2)'!$A$4:$A$1116,$D313,'Val-Vol (2)'!$V$4:$V$1116,$V313)/SUMIFS('Comp2016-2017 (3)'!$G$5:$G$289,'Comp2016-2017 (3)'!$A$5:$A$289,$D313,'Comp2016-2017 (3)'!$R$5:$R$289,$V313)*$AB313))</f>
        <v/>
      </c>
      <c r="AG313" s="2" t="str">
        <f>IF($W313=AG$3,$AB313,IF(NOT($W313=0),"",SUMIFS('Val-Vol (2)'!AG$4:AG$1116,'Val-Vol (2)'!$A$4:$A$1116,$D313,'Val-Vol (2)'!$V$4:$V$1116,$V313)/SUMIFS('Comp2016-2017 (3)'!$G$5:$G$289,'Comp2016-2017 (3)'!$A$5:$A$289,$D313,'Comp2016-2017 (3)'!$R$5:$R$289,$V313)*$AB313))</f>
        <v/>
      </c>
      <c r="AH313" s="2" t="str">
        <f>IF($W313=AH$3,$AB313,IF(NOT($W313=0),"",SUMIFS('Val-Vol (2)'!AH$4:AH$1116,'Val-Vol (2)'!$A$4:$A$1116,$D313,'Val-Vol (2)'!$V$4:$V$1116,$V313)/SUMIFS('Comp2016-2017 (3)'!$G$5:$G$289,'Comp2016-2017 (3)'!$A$5:$A$289,$D313,'Comp2016-2017 (3)'!$R$5:$R$289,$V313)*$AB313))</f>
        <v/>
      </c>
      <c r="AI313" s="2" t="str">
        <f>IF($W313=AI$3,$AB313,IF(NOT($W313=0),"",SUMIFS('Val-Vol (2)'!AI$4:AI$1116,'Val-Vol (2)'!$A$4:$A$1116,$D313,'Val-Vol (2)'!$V$4:$V$1116,$V313)/SUMIFS('Comp2016-2017 (3)'!$G$5:$G$289,'Comp2016-2017 (3)'!$A$5:$A$289,$D313,'Comp2016-2017 (3)'!$R$5:$R$289,$V313)*$AB313))</f>
        <v/>
      </c>
      <c r="AJ313" s="2" t="str">
        <f>IF($W313=AJ$3,$AB313,IF(NOT($W313=0),"",SUMIFS('Val-Vol (2)'!AJ$4:AJ$1116,'Val-Vol (2)'!$A$4:$A$1116,$D313,'Val-Vol (2)'!$V$4:$V$1116,$V313)/SUMIFS('Comp2016-2017 (3)'!$G$5:$G$289,'Comp2016-2017 (3)'!$A$5:$A$289,$D313,'Comp2016-2017 (3)'!$R$5:$R$289,$V313)*$AB313))</f>
        <v/>
      </c>
      <c r="AK313" s="2">
        <f t="shared" si="37"/>
        <v>0</v>
      </c>
      <c r="AL313" t="str">
        <f t="shared" si="31"/>
        <v/>
      </c>
      <c r="AM313" t="str">
        <f>VLOOKUP(A313,'Table corresp.'!$M$4:$U$63,8,FALSE)</f>
        <v>Consommation finale française</v>
      </c>
      <c r="AN313" t="str">
        <f>VLOOKUP(D313,'Table corresp.'!$M$4:$U$63,9,FALSE)</f>
        <v xml:space="preserve">Mise en œuvre </v>
      </c>
    </row>
    <row r="314" spans="1:40" x14ac:dyDescent="0.25">
      <c r="A314" t="s">
        <v>105</v>
      </c>
      <c r="B314" t="str">
        <f>VLOOKUP(LEFT(A314,3),'Table corresp.'!$A$4:$D$63,3,FALSE)</f>
        <v>Transformation</v>
      </c>
      <c r="C314" t="str">
        <f>VLOOKUP(A314,'Table corresp.'!$M$4:$P$63,4,FALSE)</f>
        <v>Commerces et services</v>
      </c>
      <c r="D314" t="s">
        <v>21</v>
      </c>
      <c r="E314" t="str">
        <f>VLOOKUP(LEFT(D314,3),'Table corresp.'!$A$4:$D$63,4,FALSE)</f>
        <v>Transformation</v>
      </c>
      <c r="F314" t="str">
        <f t="shared" si="30"/>
        <v xml:space="preserve">62  - 54 </v>
      </c>
      <c r="G314" s="1">
        <v>88250.897991105216</v>
      </c>
      <c r="H314" s="1">
        <v>0</v>
      </c>
      <c r="I314" s="1">
        <v>88250.897991105216</v>
      </c>
      <c r="J314" s="1">
        <v>0</v>
      </c>
      <c r="K314" s="1">
        <v>0</v>
      </c>
      <c r="L314" s="1">
        <v>0</v>
      </c>
      <c r="M314" s="1">
        <v>0</v>
      </c>
      <c r="N314" s="1">
        <v>0</v>
      </c>
      <c r="O314" s="1">
        <v>0</v>
      </c>
      <c r="P314" s="1">
        <v>0</v>
      </c>
      <c r="Q314" s="1">
        <v>0</v>
      </c>
      <c r="R314" s="1">
        <v>0</v>
      </c>
      <c r="S314" s="67"/>
      <c r="T314">
        <f>VLOOKUP(A314,'Groupe de branches'!$Z$27:$AM$86,14,FALSE)</f>
        <v>0</v>
      </c>
      <c r="U314">
        <f>VLOOKUP(D314,'Groupe de branches'!$Z$27:$AM$86,14,FALSE)</f>
        <v>0</v>
      </c>
      <c r="V314">
        <v>2016</v>
      </c>
      <c r="W314" t="str">
        <f>VLOOKUP(D314,'Table corresp.'!$M$4:$S$63,7,FALSE)</f>
        <v>Construction</v>
      </c>
      <c r="X314" s="167">
        <f>IFERROR(G314/SUMIFS('Comp2016-2017 (3)'!$I$5:$I$289,'Comp2016-2017 (3)'!$A$5:$A$289,A314,'Comp2016-2017 (3)'!$R$5:$R$289,V314),0)</f>
        <v>4.3930398028306922E-2</v>
      </c>
      <c r="Y314" s="178">
        <f>IFERROR(IF(RIGHT(F314,3)="Exp",VLOOKUP(F314,#REF!,2,FALSE),VLOOKUP(F314,#REF!,9,FALSE)),1)</f>
        <v>1</v>
      </c>
      <c r="Z314" s="167">
        <f t="shared" si="38"/>
        <v>0.1111111111111111</v>
      </c>
      <c r="AA314" s="189">
        <f t="shared" si="32"/>
        <v>4.8811553364785463E-3</v>
      </c>
      <c r="AB314" s="2">
        <f>IFERROR(SUMIFS('Comp2016-2017 (3)'!$G$5:$G$289,'Comp2016-2017 (3)'!$A$5:$A$289,A314,'Comp2016-2017 (3)'!$R$5:$R$289,V314)*AA314/SUMIFS($AA$4:$AA$1116,$A$4:$A$1116,A314,$V$4:$V$1116,V314),0)</f>
        <v>88250.898033963691</v>
      </c>
      <c r="AC314" s="2" t="str">
        <f>IF($W314=AC$3,$AB314,IF(NOT($W314=0),"",SUMIFS('Val-Vol (2)'!AC$4:AC$1116,'Val-Vol (2)'!$A$4:$A$1116,$D314,'Val-Vol (2)'!$V$4:$V$1116,$V314)/SUMIFS('Comp2016-2017 (3)'!$G$5:$G$289,'Comp2016-2017 (3)'!$A$5:$A$289,$D314,'Comp2016-2017 (3)'!$R$5:$R$289,$V314)*$AB314))</f>
        <v/>
      </c>
      <c r="AD314" s="2">
        <f>IF($W314=AD$3,$AB314,IF(NOT($W314=0),"",SUMIFS('Val-Vol (2)'!AD$4:AD$1116,'Val-Vol (2)'!$A$4:$A$1116,$D314,'Val-Vol (2)'!$V$4:$V$1116,$V314)/SUMIFS('Comp2016-2017 (3)'!$G$5:$G$289,'Comp2016-2017 (3)'!$A$5:$A$289,$D314,'Comp2016-2017 (3)'!$R$5:$R$289,$V314)*$AB314))</f>
        <v>88250.898033963691</v>
      </c>
      <c r="AE314" s="2" t="str">
        <f>IF($W314=AE$3,$AB314,IF(NOT($W314=0),"",SUMIFS('Val-Vol (2)'!AE$4:AE$1116,'Val-Vol (2)'!$A$4:$A$1116,$D314,'Val-Vol (2)'!$V$4:$V$1116,$V314)/SUMIFS('Comp2016-2017 (3)'!$G$5:$G$289,'Comp2016-2017 (3)'!$A$5:$A$289,$D314,'Comp2016-2017 (3)'!$R$5:$R$289,$V314)*$AB314))</f>
        <v/>
      </c>
      <c r="AF314" s="2" t="str">
        <f>IF($W314=AF$3,$AB314,IF(NOT($W314=0),"",SUMIFS('Val-Vol (2)'!AF$4:AF$1116,'Val-Vol (2)'!$A$4:$A$1116,$D314,'Val-Vol (2)'!$V$4:$V$1116,$V314)/SUMIFS('Comp2016-2017 (3)'!$G$5:$G$289,'Comp2016-2017 (3)'!$A$5:$A$289,$D314,'Comp2016-2017 (3)'!$R$5:$R$289,$V314)*$AB314))</f>
        <v/>
      </c>
      <c r="AG314" s="2" t="str">
        <f>IF($W314=AG$3,$AB314,IF(NOT($W314=0),"",SUMIFS('Val-Vol (2)'!AG$4:AG$1116,'Val-Vol (2)'!$A$4:$A$1116,$D314,'Val-Vol (2)'!$V$4:$V$1116,$V314)/SUMIFS('Comp2016-2017 (3)'!$G$5:$G$289,'Comp2016-2017 (3)'!$A$5:$A$289,$D314,'Comp2016-2017 (3)'!$R$5:$R$289,$V314)*$AB314))</f>
        <v/>
      </c>
      <c r="AH314" s="2" t="str">
        <f>IF($W314=AH$3,$AB314,IF(NOT($W314=0),"",SUMIFS('Val-Vol (2)'!AH$4:AH$1116,'Val-Vol (2)'!$A$4:$A$1116,$D314,'Val-Vol (2)'!$V$4:$V$1116,$V314)/SUMIFS('Comp2016-2017 (3)'!$G$5:$G$289,'Comp2016-2017 (3)'!$A$5:$A$289,$D314,'Comp2016-2017 (3)'!$R$5:$R$289,$V314)*$AB314))</f>
        <v/>
      </c>
      <c r="AI314" s="2" t="str">
        <f>IF($W314=AI$3,$AB314,IF(NOT($W314=0),"",SUMIFS('Val-Vol (2)'!AI$4:AI$1116,'Val-Vol (2)'!$A$4:$A$1116,$D314,'Val-Vol (2)'!$V$4:$V$1116,$V314)/SUMIFS('Comp2016-2017 (3)'!$G$5:$G$289,'Comp2016-2017 (3)'!$A$5:$A$289,$D314,'Comp2016-2017 (3)'!$R$5:$R$289,$V314)*$AB314))</f>
        <v/>
      </c>
      <c r="AJ314" s="2" t="str">
        <f>IF($W314=AJ$3,$AB314,IF(NOT($W314=0),"",SUMIFS('Val-Vol (2)'!AJ$4:AJ$1116,'Val-Vol (2)'!$A$4:$A$1116,$D314,'Val-Vol (2)'!$V$4:$V$1116,$V314)/SUMIFS('Comp2016-2017 (3)'!$G$5:$G$289,'Comp2016-2017 (3)'!$A$5:$A$289,$D314,'Comp2016-2017 (3)'!$R$5:$R$289,$V314)*$AB314))</f>
        <v/>
      </c>
      <c r="AK314" s="2">
        <f t="shared" si="37"/>
        <v>0</v>
      </c>
      <c r="AL314" t="str">
        <f t="shared" si="31"/>
        <v/>
      </c>
      <c r="AM314" t="str">
        <f>VLOOKUP(A314,'Table corresp.'!$M$4:$U$63,8,FALSE)</f>
        <v>Consommation finale française</v>
      </c>
      <c r="AN314" t="str">
        <f>VLOOKUP(D314,'Table corresp.'!$M$4:$U$63,9,FALSE)</f>
        <v xml:space="preserve">Mise en œuvre </v>
      </c>
    </row>
    <row r="315" spans="1:40" x14ac:dyDescent="0.25">
      <c r="A315" t="s">
        <v>105</v>
      </c>
      <c r="B315" t="str">
        <f>VLOOKUP(LEFT(A315,3),'Table corresp.'!$A$4:$D$63,3,FALSE)</f>
        <v>Transformation</v>
      </c>
      <c r="C315" t="str">
        <f>VLOOKUP(A315,'Table corresp.'!$M$4:$P$63,4,FALSE)</f>
        <v>Commerces et services</v>
      </c>
      <c r="D315" t="s">
        <v>22</v>
      </c>
      <c r="E315" t="str">
        <f>VLOOKUP(LEFT(D315,3),'Table corresp.'!$A$4:$D$63,4,FALSE)</f>
        <v>Transformation</v>
      </c>
      <c r="F315" t="str">
        <f t="shared" si="30"/>
        <v xml:space="preserve">62  - 55 </v>
      </c>
      <c r="G315" s="1">
        <v>20619.55554948323</v>
      </c>
      <c r="H315" s="1">
        <v>0</v>
      </c>
      <c r="I315" s="1">
        <v>20619.55554948323</v>
      </c>
      <c r="J315" s="1">
        <v>0</v>
      </c>
      <c r="K315" s="1">
        <v>0</v>
      </c>
      <c r="L315" s="1">
        <v>0</v>
      </c>
      <c r="M315" s="1">
        <v>0</v>
      </c>
      <c r="N315" s="1">
        <v>0</v>
      </c>
      <c r="O315" s="1">
        <v>0</v>
      </c>
      <c r="P315" s="1">
        <v>0</v>
      </c>
      <c r="Q315" s="1">
        <v>0</v>
      </c>
      <c r="R315" s="1">
        <v>0</v>
      </c>
      <c r="S315" s="67"/>
      <c r="T315">
        <f>VLOOKUP(A315,'Groupe de branches'!$Z$27:$AM$86,14,FALSE)</f>
        <v>0</v>
      </c>
      <c r="U315">
        <f>VLOOKUP(D315,'Groupe de branches'!$Z$27:$AM$86,14,FALSE)</f>
        <v>0</v>
      </c>
      <c r="V315">
        <v>2016</v>
      </c>
      <c r="W315" t="str">
        <f>VLOOKUP(D315,'Table corresp.'!$M$4:$S$63,7,FALSE)</f>
        <v>Construction</v>
      </c>
      <c r="X315" s="167">
        <f>IFERROR(G315/SUMIFS('Comp2016-2017 (3)'!$I$5:$I$289,'Comp2016-2017 (3)'!$A$5:$A$289,A315,'Comp2016-2017 (3)'!$R$5:$R$289,V315),0)</f>
        <v>1.0264204705847652E-2</v>
      </c>
      <c r="Y315" s="178">
        <f>IFERROR(IF(RIGHT(F315,3)="Exp",VLOOKUP(F315,#REF!,2,FALSE),VLOOKUP(F315,#REF!,9,FALSE)),1)</f>
        <v>1</v>
      </c>
      <c r="Z315" s="167">
        <f t="shared" si="38"/>
        <v>0.1111111111111111</v>
      </c>
      <c r="AA315" s="189">
        <f t="shared" si="32"/>
        <v>1.1404671895386279E-3</v>
      </c>
      <c r="AB315" s="2">
        <f>IFERROR(SUMIFS('Comp2016-2017 (3)'!$G$5:$G$289,'Comp2016-2017 (3)'!$A$5:$A$289,A315,'Comp2016-2017 (3)'!$R$5:$R$289,V315)*AA315/SUMIFS($AA$4:$AA$1116,$A$4:$A$1116,A315,$V$4:$V$1116,V315),0)</f>
        <v>20619.555559496985</v>
      </c>
      <c r="AC315" s="2" t="str">
        <f>IF($W315=AC$3,$AB315,IF(NOT($W315=0),"",SUMIFS('Val-Vol (2)'!AC$4:AC$1116,'Val-Vol (2)'!$A$4:$A$1116,$D315,'Val-Vol (2)'!$V$4:$V$1116,$V315)/SUMIFS('Comp2016-2017 (3)'!$G$5:$G$289,'Comp2016-2017 (3)'!$A$5:$A$289,$D315,'Comp2016-2017 (3)'!$R$5:$R$289,$V315)*$AB315))</f>
        <v/>
      </c>
      <c r="AD315" s="2">
        <f>IF($W315=AD$3,$AB315,IF(NOT($W315=0),"",SUMIFS('Val-Vol (2)'!AD$4:AD$1116,'Val-Vol (2)'!$A$4:$A$1116,$D315,'Val-Vol (2)'!$V$4:$V$1116,$V315)/SUMIFS('Comp2016-2017 (3)'!$G$5:$G$289,'Comp2016-2017 (3)'!$A$5:$A$289,$D315,'Comp2016-2017 (3)'!$R$5:$R$289,$V315)*$AB315))</f>
        <v>20619.555559496985</v>
      </c>
      <c r="AE315" s="2" t="str">
        <f>IF($W315=AE$3,$AB315,IF(NOT($W315=0),"",SUMIFS('Val-Vol (2)'!AE$4:AE$1116,'Val-Vol (2)'!$A$4:$A$1116,$D315,'Val-Vol (2)'!$V$4:$V$1116,$V315)/SUMIFS('Comp2016-2017 (3)'!$G$5:$G$289,'Comp2016-2017 (3)'!$A$5:$A$289,$D315,'Comp2016-2017 (3)'!$R$5:$R$289,$V315)*$AB315))</f>
        <v/>
      </c>
      <c r="AF315" s="2" t="str">
        <f>IF($W315=AF$3,$AB315,IF(NOT($W315=0),"",SUMIFS('Val-Vol (2)'!AF$4:AF$1116,'Val-Vol (2)'!$A$4:$A$1116,$D315,'Val-Vol (2)'!$V$4:$V$1116,$V315)/SUMIFS('Comp2016-2017 (3)'!$G$5:$G$289,'Comp2016-2017 (3)'!$A$5:$A$289,$D315,'Comp2016-2017 (3)'!$R$5:$R$289,$V315)*$AB315))</f>
        <v/>
      </c>
      <c r="AG315" s="2" t="str">
        <f>IF($W315=AG$3,$AB315,IF(NOT($W315=0),"",SUMIFS('Val-Vol (2)'!AG$4:AG$1116,'Val-Vol (2)'!$A$4:$A$1116,$D315,'Val-Vol (2)'!$V$4:$V$1116,$V315)/SUMIFS('Comp2016-2017 (3)'!$G$5:$G$289,'Comp2016-2017 (3)'!$A$5:$A$289,$D315,'Comp2016-2017 (3)'!$R$5:$R$289,$V315)*$AB315))</f>
        <v/>
      </c>
      <c r="AH315" s="2" t="str">
        <f>IF($W315=AH$3,$AB315,IF(NOT($W315=0),"",SUMIFS('Val-Vol (2)'!AH$4:AH$1116,'Val-Vol (2)'!$A$4:$A$1116,$D315,'Val-Vol (2)'!$V$4:$V$1116,$V315)/SUMIFS('Comp2016-2017 (3)'!$G$5:$G$289,'Comp2016-2017 (3)'!$A$5:$A$289,$D315,'Comp2016-2017 (3)'!$R$5:$R$289,$V315)*$AB315))</f>
        <v/>
      </c>
      <c r="AI315" s="2" t="str">
        <f>IF($W315=AI$3,$AB315,IF(NOT($W315=0),"",SUMIFS('Val-Vol (2)'!AI$4:AI$1116,'Val-Vol (2)'!$A$4:$A$1116,$D315,'Val-Vol (2)'!$V$4:$V$1116,$V315)/SUMIFS('Comp2016-2017 (3)'!$G$5:$G$289,'Comp2016-2017 (3)'!$A$5:$A$289,$D315,'Comp2016-2017 (3)'!$R$5:$R$289,$V315)*$AB315))</f>
        <v/>
      </c>
      <c r="AJ315" s="2" t="str">
        <f>IF($W315=AJ$3,$AB315,IF(NOT($W315=0),"",SUMIFS('Val-Vol (2)'!AJ$4:AJ$1116,'Val-Vol (2)'!$A$4:$A$1116,$D315,'Val-Vol (2)'!$V$4:$V$1116,$V315)/SUMIFS('Comp2016-2017 (3)'!$G$5:$G$289,'Comp2016-2017 (3)'!$A$5:$A$289,$D315,'Comp2016-2017 (3)'!$R$5:$R$289,$V315)*$AB315))</f>
        <v/>
      </c>
      <c r="AK315" s="2">
        <f t="shared" si="37"/>
        <v>0</v>
      </c>
      <c r="AL315" t="str">
        <f t="shared" si="31"/>
        <v/>
      </c>
      <c r="AM315" t="str">
        <f>VLOOKUP(A315,'Table corresp.'!$M$4:$U$63,8,FALSE)</f>
        <v>Consommation finale française</v>
      </c>
      <c r="AN315" t="str">
        <f>VLOOKUP(D315,'Table corresp.'!$M$4:$U$63,9,FALSE)</f>
        <v xml:space="preserve">Mise en œuvre </v>
      </c>
    </row>
    <row r="316" spans="1:40" x14ac:dyDescent="0.25">
      <c r="A316" t="s">
        <v>105</v>
      </c>
      <c r="B316" t="str">
        <f>VLOOKUP(LEFT(A316,3),'Table corresp.'!$A$4:$D$63,3,FALSE)</f>
        <v>Transformation</v>
      </c>
      <c r="C316" t="str">
        <f>VLOOKUP(A316,'Table corresp.'!$M$4:$P$63,4,FALSE)</f>
        <v>Commerces et services</v>
      </c>
      <c r="D316" t="s">
        <v>23</v>
      </c>
      <c r="E316" t="str">
        <f>VLOOKUP(LEFT(D316,3),'Table corresp.'!$A$4:$D$63,4,FALSE)</f>
        <v>Transformation</v>
      </c>
      <c r="F316" t="str">
        <f t="shared" si="30"/>
        <v xml:space="preserve">62  - 56 </v>
      </c>
      <c r="G316" s="1">
        <v>1993.2041913947207</v>
      </c>
      <c r="H316" s="1">
        <v>0</v>
      </c>
      <c r="I316" s="1">
        <v>1993.2041913947207</v>
      </c>
      <c r="J316" s="1">
        <v>0</v>
      </c>
      <c r="K316" s="1">
        <v>0</v>
      </c>
      <c r="L316" s="1">
        <v>0</v>
      </c>
      <c r="M316" s="1">
        <v>0</v>
      </c>
      <c r="N316" s="1">
        <v>0</v>
      </c>
      <c r="O316" s="1">
        <v>0</v>
      </c>
      <c r="P316" s="1">
        <v>0</v>
      </c>
      <c r="Q316" s="1">
        <v>0</v>
      </c>
      <c r="R316" s="1">
        <v>0</v>
      </c>
      <c r="S316" s="67"/>
      <c r="T316">
        <f>VLOOKUP(A316,'Groupe de branches'!$Z$27:$AM$86,14,FALSE)</f>
        <v>0</v>
      </c>
      <c r="U316">
        <f>VLOOKUP(D316,'Groupe de branches'!$Z$27:$AM$86,14,FALSE)</f>
        <v>0</v>
      </c>
      <c r="V316">
        <v>2016</v>
      </c>
      <c r="W316" t="str">
        <f>VLOOKUP(D316,'Table corresp.'!$M$4:$S$63,7,FALSE)</f>
        <v>Construction</v>
      </c>
      <c r="X316" s="167">
        <f>IFERROR(G316/SUMIFS('Comp2016-2017 (3)'!$I$5:$I$289,'Comp2016-2017 (3)'!$A$5:$A$289,A316,'Comp2016-2017 (3)'!$R$5:$R$289,V316),0)</f>
        <v>9.9219674216216038E-4</v>
      </c>
      <c r="Y316" s="178">
        <f>IFERROR(IF(RIGHT(F316,3)="Exp",VLOOKUP(F316,#REF!,2,FALSE),VLOOKUP(F316,#REF!,9,FALSE)),1)</f>
        <v>1</v>
      </c>
      <c r="Z316" s="167">
        <f t="shared" si="38"/>
        <v>0.1111111111111111</v>
      </c>
      <c r="AA316" s="189">
        <f t="shared" si="32"/>
        <v>1.1024408246246226E-4</v>
      </c>
      <c r="AB316" s="2">
        <f>IFERROR(SUMIFS('Comp2016-2017 (3)'!$G$5:$G$289,'Comp2016-2017 (3)'!$A$5:$A$289,A316,'Comp2016-2017 (3)'!$R$5:$R$289,V316)*AA316/SUMIFS($AA$4:$AA$1116,$A$4:$A$1116,A316,$V$4:$V$1116,V316),0)</f>
        <v>1993.2041923627073</v>
      </c>
      <c r="AC316" s="2" t="str">
        <f>IF($W316=AC$3,$AB316,IF(NOT($W316=0),"",SUMIFS('Val-Vol (2)'!AC$4:AC$1116,'Val-Vol (2)'!$A$4:$A$1116,$D316,'Val-Vol (2)'!$V$4:$V$1116,$V316)/SUMIFS('Comp2016-2017 (3)'!$G$5:$G$289,'Comp2016-2017 (3)'!$A$5:$A$289,$D316,'Comp2016-2017 (3)'!$R$5:$R$289,$V316)*$AB316))</f>
        <v/>
      </c>
      <c r="AD316" s="2">
        <f>IF($W316=AD$3,$AB316,IF(NOT($W316=0),"",SUMIFS('Val-Vol (2)'!AD$4:AD$1116,'Val-Vol (2)'!$A$4:$A$1116,$D316,'Val-Vol (2)'!$V$4:$V$1116,$V316)/SUMIFS('Comp2016-2017 (3)'!$G$5:$G$289,'Comp2016-2017 (3)'!$A$5:$A$289,$D316,'Comp2016-2017 (3)'!$R$5:$R$289,$V316)*$AB316))</f>
        <v>1993.2041923627073</v>
      </c>
      <c r="AE316" s="2" t="str">
        <f>IF($W316=AE$3,$AB316,IF(NOT($W316=0),"",SUMIFS('Val-Vol (2)'!AE$4:AE$1116,'Val-Vol (2)'!$A$4:$A$1116,$D316,'Val-Vol (2)'!$V$4:$V$1116,$V316)/SUMIFS('Comp2016-2017 (3)'!$G$5:$G$289,'Comp2016-2017 (3)'!$A$5:$A$289,$D316,'Comp2016-2017 (3)'!$R$5:$R$289,$V316)*$AB316))</f>
        <v/>
      </c>
      <c r="AF316" s="2" t="str">
        <f>IF($W316=AF$3,$AB316,IF(NOT($W316=0),"",SUMIFS('Val-Vol (2)'!AF$4:AF$1116,'Val-Vol (2)'!$A$4:$A$1116,$D316,'Val-Vol (2)'!$V$4:$V$1116,$V316)/SUMIFS('Comp2016-2017 (3)'!$G$5:$G$289,'Comp2016-2017 (3)'!$A$5:$A$289,$D316,'Comp2016-2017 (3)'!$R$5:$R$289,$V316)*$AB316))</f>
        <v/>
      </c>
      <c r="AG316" s="2" t="str">
        <f>IF($W316=AG$3,$AB316,IF(NOT($W316=0),"",SUMIFS('Val-Vol (2)'!AG$4:AG$1116,'Val-Vol (2)'!$A$4:$A$1116,$D316,'Val-Vol (2)'!$V$4:$V$1116,$V316)/SUMIFS('Comp2016-2017 (3)'!$G$5:$G$289,'Comp2016-2017 (3)'!$A$5:$A$289,$D316,'Comp2016-2017 (3)'!$R$5:$R$289,$V316)*$AB316))</f>
        <v/>
      </c>
      <c r="AH316" s="2" t="str">
        <f>IF($W316=AH$3,$AB316,IF(NOT($W316=0),"",SUMIFS('Val-Vol (2)'!AH$4:AH$1116,'Val-Vol (2)'!$A$4:$A$1116,$D316,'Val-Vol (2)'!$V$4:$V$1116,$V316)/SUMIFS('Comp2016-2017 (3)'!$G$5:$G$289,'Comp2016-2017 (3)'!$A$5:$A$289,$D316,'Comp2016-2017 (3)'!$R$5:$R$289,$V316)*$AB316))</f>
        <v/>
      </c>
      <c r="AI316" s="2" t="str">
        <f>IF($W316=AI$3,$AB316,IF(NOT($W316=0),"",SUMIFS('Val-Vol (2)'!AI$4:AI$1116,'Val-Vol (2)'!$A$4:$A$1116,$D316,'Val-Vol (2)'!$V$4:$V$1116,$V316)/SUMIFS('Comp2016-2017 (3)'!$G$5:$G$289,'Comp2016-2017 (3)'!$A$5:$A$289,$D316,'Comp2016-2017 (3)'!$R$5:$R$289,$V316)*$AB316))</f>
        <v/>
      </c>
      <c r="AJ316" s="2" t="str">
        <f>IF($W316=AJ$3,$AB316,IF(NOT($W316=0),"",SUMIFS('Val-Vol (2)'!AJ$4:AJ$1116,'Val-Vol (2)'!$A$4:$A$1116,$D316,'Val-Vol (2)'!$V$4:$V$1116,$V316)/SUMIFS('Comp2016-2017 (3)'!$G$5:$G$289,'Comp2016-2017 (3)'!$A$5:$A$289,$D316,'Comp2016-2017 (3)'!$R$5:$R$289,$V316)*$AB316))</f>
        <v/>
      </c>
      <c r="AK316" s="2">
        <f t="shared" si="37"/>
        <v>0</v>
      </c>
      <c r="AL316" t="str">
        <f t="shared" si="31"/>
        <v/>
      </c>
      <c r="AM316" t="str">
        <f>VLOOKUP(A316,'Table corresp.'!$M$4:$U$63,8,FALSE)</f>
        <v>Consommation finale française</v>
      </c>
      <c r="AN316" t="str">
        <f>VLOOKUP(D316,'Table corresp.'!$M$4:$U$63,9,FALSE)</f>
        <v xml:space="preserve">Mise en œuvre </v>
      </c>
    </row>
    <row r="317" spans="1:40" x14ac:dyDescent="0.25">
      <c r="A317" t="s">
        <v>105</v>
      </c>
      <c r="B317" t="str">
        <f>VLOOKUP(LEFT(A317,3),'Table corresp.'!$A$4:$D$63,3,FALSE)</f>
        <v>Transformation</v>
      </c>
      <c r="C317" t="str">
        <f>VLOOKUP(A317,'Table corresp.'!$M$4:$P$63,4,FALSE)</f>
        <v>Commerces et services</v>
      </c>
      <c r="D317" t="s">
        <v>24</v>
      </c>
      <c r="E317" t="str">
        <f>VLOOKUP(LEFT(D317,3),'Table corresp.'!$A$4:$D$63,4,FALSE)</f>
        <v>Transformation</v>
      </c>
      <c r="F317" t="str">
        <f t="shared" si="30"/>
        <v xml:space="preserve">62  - 57 </v>
      </c>
      <c r="G317" s="1">
        <v>65211.607865295577</v>
      </c>
      <c r="H317" s="1">
        <v>0</v>
      </c>
      <c r="I317" s="1">
        <v>65211.607865295577</v>
      </c>
      <c r="J317" s="1">
        <v>0</v>
      </c>
      <c r="K317" s="1">
        <v>0</v>
      </c>
      <c r="L317" s="1">
        <v>0</v>
      </c>
      <c r="M317" s="1">
        <v>0</v>
      </c>
      <c r="N317" s="1">
        <v>0</v>
      </c>
      <c r="O317" s="1">
        <v>0</v>
      </c>
      <c r="P317" s="1">
        <v>0</v>
      </c>
      <c r="Q317" s="1">
        <v>0</v>
      </c>
      <c r="R317" s="1">
        <v>0</v>
      </c>
      <c r="S317" s="67"/>
      <c r="T317">
        <f>VLOOKUP(A317,'Groupe de branches'!$Z$27:$AM$86,14,FALSE)</f>
        <v>0</v>
      </c>
      <c r="U317">
        <f>VLOOKUP(D317,'Groupe de branches'!$Z$27:$AM$86,14,FALSE)</f>
        <v>0</v>
      </c>
      <c r="V317">
        <v>2016</v>
      </c>
      <c r="W317" t="str">
        <f>VLOOKUP(D317,'Table corresp.'!$M$4:$S$63,7,FALSE)</f>
        <v>Construction</v>
      </c>
      <c r="X317" s="167">
        <f>IFERROR(G317/SUMIFS('Comp2016-2017 (3)'!$I$5:$I$289,'Comp2016-2017 (3)'!$A$5:$A$289,A317,'Comp2016-2017 (3)'!$R$5:$R$289,V317),0)</f>
        <v>3.2461674099645364E-2</v>
      </c>
      <c r="Y317" s="178">
        <f>IFERROR(IF(RIGHT(F317,3)="Exp",VLOOKUP(F317,#REF!,2,FALSE),VLOOKUP(F317,#REF!,9,FALSE)),1)</f>
        <v>1</v>
      </c>
      <c r="Z317" s="167">
        <f t="shared" si="38"/>
        <v>0.1111111111111111</v>
      </c>
      <c r="AA317" s="189">
        <f t="shared" si="32"/>
        <v>3.6068526777383735E-3</v>
      </c>
      <c r="AB317" s="2">
        <f>IFERROR(SUMIFS('Comp2016-2017 (3)'!$G$5:$G$289,'Comp2016-2017 (3)'!$A$5:$A$289,A317,'Comp2016-2017 (3)'!$R$5:$R$289,V317)*AA317/SUMIFS($AA$4:$AA$1116,$A$4:$A$1116,A317,$V$4:$V$1116,V317),0)</f>
        <v>65211.607896965172</v>
      </c>
      <c r="AC317" s="2" t="str">
        <f>IF($W317=AC$3,$AB317,IF(NOT($W317=0),"",SUMIFS('Val-Vol (2)'!AC$4:AC$1116,'Val-Vol (2)'!$A$4:$A$1116,$D317,'Val-Vol (2)'!$V$4:$V$1116,$V317)/SUMIFS('Comp2016-2017 (3)'!$G$5:$G$289,'Comp2016-2017 (3)'!$A$5:$A$289,$D317,'Comp2016-2017 (3)'!$R$5:$R$289,$V317)*$AB317))</f>
        <v/>
      </c>
      <c r="AD317" s="2">
        <f>IF($W317=AD$3,$AB317,IF(NOT($W317=0),"",SUMIFS('Val-Vol (2)'!AD$4:AD$1116,'Val-Vol (2)'!$A$4:$A$1116,$D317,'Val-Vol (2)'!$V$4:$V$1116,$V317)/SUMIFS('Comp2016-2017 (3)'!$G$5:$G$289,'Comp2016-2017 (3)'!$A$5:$A$289,$D317,'Comp2016-2017 (3)'!$R$5:$R$289,$V317)*$AB317))</f>
        <v>65211.607896965172</v>
      </c>
      <c r="AE317" s="2" t="str">
        <f>IF($W317=AE$3,$AB317,IF(NOT($W317=0),"",SUMIFS('Val-Vol (2)'!AE$4:AE$1116,'Val-Vol (2)'!$A$4:$A$1116,$D317,'Val-Vol (2)'!$V$4:$V$1116,$V317)/SUMIFS('Comp2016-2017 (3)'!$G$5:$G$289,'Comp2016-2017 (3)'!$A$5:$A$289,$D317,'Comp2016-2017 (3)'!$R$5:$R$289,$V317)*$AB317))</f>
        <v/>
      </c>
      <c r="AF317" s="2" t="str">
        <f>IF($W317=AF$3,$AB317,IF(NOT($W317=0),"",SUMIFS('Val-Vol (2)'!AF$4:AF$1116,'Val-Vol (2)'!$A$4:$A$1116,$D317,'Val-Vol (2)'!$V$4:$V$1116,$V317)/SUMIFS('Comp2016-2017 (3)'!$G$5:$G$289,'Comp2016-2017 (3)'!$A$5:$A$289,$D317,'Comp2016-2017 (3)'!$R$5:$R$289,$V317)*$AB317))</f>
        <v/>
      </c>
      <c r="AG317" s="2" t="str">
        <f>IF($W317=AG$3,$AB317,IF(NOT($W317=0),"",SUMIFS('Val-Vol (2)'!AG$4:AG$1116,'Val-Vol (2)'!$A$4:$A$1116,$D317,'Val-Vol (2)'!$V$4:$V$1116,$V317)/SUMIFS('Comp2016-2017 (3)'!$G$5:$G$289,'Comp2016-2017 (3)'!$A$5:$A$289,$D317,'Comp2016-2017 (3)'!$R$5:$R$289,$V317)*$AB317))</f>
        <v/>
      </c>
      <c r="AH317" s="2" t="str">
        <f>IF($W317=AH$3,$AB317,IF(NOT($W317=0),"",SUMIFS('Val-Vol (2)'!AH$4:AH$1116,'Val-Vol (2)'!$A$4:$A$1116,$D317,'Val-Vol (2)'!$V$4:$V$1116,$V317)/SUMIFS('Comp2016-2017 (3)'!$G$5:$G$289,'Comp2016-2017 (3)'!$A$5:$A$289,$D317,'Comp2016-2017 (3)'!$R$5:$R$289,$V317)*$AB317))</f>
        <v/>
      </c>
      <c r="AI317" s="2" t="str">
        <f>IF($W317=AI$3,$AB317,IF(NOT($W317=0),"",SUMIFS('Val-Vol (2)'!AI$4:AI$1116,'Val-Vol (2)'!$A$4:$A$1116,$D317,'Val-Vol (2)'!$V$4:$V$1116,$V317)/SUMIFS('Comp2016-2017 (3)'!$G$5:$G$289,'Comp2016-2017 (3)'!$A$5:$A$289,$D317,'Comp2016-2017 (3)'!$R$5:$R$289,$V317)*$AB317))</f>
        <v/>
      </c>
      <c r="AJ317" s="2" t="str">
        <f>IF($W317=AJ$3,$AB317,IF(NOT($W317=0),"",SUMIFS('Val-Vol (2)'!AJ$4:AJ$1116,'Val-Vol (2)'!$A$4:$A$1116,$D317,'Val-Vol (2)'!$V$4:$V$1116,$V317)/SUMIFS('Comp2016-2017 (3)'!$G$5:$G$289,'Comp2016-2017 (3)'!$A$5:$A$289,$D317,'Comp2016-2017 (3)'!$R$5:$R$289,$V317)*$AB317))</f>
        <v/>
      </c>
      <c r="AK317" s="2">
        <f t="shared" si="37"/>
        <v>0</v>
      </c>
      <c r="AL317" t="str">
        <f t="shared" si="31"/>
        <v/>
      </c>
      <c r="AM317" t="str">
        <f>VLOOKUP(A317,'Table corresp.'!$M$4:$U$63,8,FALSE)</f>
        <v>Consommation finale française</v>
      </c>
      <c r="AN317" t="str">
        <f>VLOOKUP(D317,'Table corresp.'!$M$4:$U$63,9,FALSE)</f>
        <v xml:space="preserve">Mise en œuvre </v>
      </c>
    </row>
    <row r="318" spans="1:40" x14ac:dyDescent="0.25">
      <c r="A318" t="s">
        <v>105</v>
      </c>
      <c r="B318" t="str">
        <f>VLOOKUP(LEFT(A318,3),'Table corresp.'!$A$4:$D$63,3,FALSE)</f>
        <v>Transformation</v>
      </c>
      <c r="C318" t="str">
        <f>VLOOKUP(A318,'Table corresp.'!$M$4:$P$63,4,FALSE)</f>
        <v>Commerces et services</v>
      </c>
      <c r="D318" t="s">
        <v>25</v>
      </c>
      <c r="E318" t="str">
        <f>VLOOKUP(LEFT(D318,3),'Table corresp.'!$A$4:$D$63,4,FALSE)</f>
        <v>Transformation</v>
      </c>
      <c r="F318" t="str">
        <f t="shared" si="30"/>
        <v xml:space="preserve">62  - 58 </v>
      </c>
      <c r="G318" s="1">
        <v>5728.3948514097865</v>
      </c>
      <c r="H318" s="1">
        <v>0</v>
      </c>
      <c r="I318" s="1">
        <v>5728.3948514097865</v>
      </c>
      <c r="J318" s="1">
        <v>0</v>
      </c>
      <c r="K318" s="1">
        <v>0</v>
      </c>
      <c r="L318" s="1">
        <v>0</v>
      </c>
      <c r="M318" s="1">
        <v>0</v>
      </c>
      <c r="N318" s="1">
        <v>0</v>
      </c>
      <c r="O318" s="1">
        <v>0</v>
      </c>
      <c r="P318" s="1">
        <v>0</v>
      </c>
      <c r="Q318" s="1">
        <v>0</v>
      </c>
      <c r="R318" s="1">
        <v>0</v>
      </c>
      <c r="S318" s="67"/>
      <c r="T318">
        <f>VLOOKUP(A318,'Groupe de branches'!$Z$27:$AM$86,14,FALSE)</f>
        <v>0</v>
      </c>
      <c r="U318">
        <f>VLOOKUP(D318,'Groupe de branches'!$Z$27:$AM$86,14,FALSE)</f>
        <v>0</v>
      </c>
      <c r="V318">
        <v>2016</v>
      </c>
      <c r="W318" t="str">
        <f>VLOOKUP(D318,'Table corresp.'!$M$4:$S$63,7,FALSE)</f>
        <v>Construction</v>
      </c>
      <c r="X318" s="167">
        <f>IFERROR(G318/SUMIFS('Comp2016-2017 (3)'!$I$5:$I$289,'Comp2016-2017 (3)'!$A$5:$A$289,A318,'Comp2016-2017 (3)'!$R$5:$R$289,V318),0)</f>
        <v>2.851536603186744E-3</v>
      </c>
      <c r="Y318" s="178">
        <f>IFERROR(IF(RIGHT(F318,3)="Exp",VLOOKUP(F318,#REF!,2,FALSE),VLOOKUP(F318,#REF!,9,FALSE)),1)</f>
        <v>1</v>
      </c>
      <c r="Z318" s="167">
        <f t="shared" si="38"/>
        <v>0.1111111111111111</v>
      </c>
      <c r="AA318" s="189">
        <f t="shared" si="32"/>
        <v>3.1683740035408267E-4</v>
      </c>
      <c r="AB318" s="2">
        <f>IFERROR(SUMIFS('Comp2016-2017 (3)'!$G$5:$G$289,'Comp2016-2017 (3)'!$A$5:$A$289,A318,'Comp2016-2017 (3)'!$R$5:$R$289,V318)*AA318/SUMIFS($AA$4:$AA$1116,$A$4:$A$1116,A318,$V$4:$V$1116,V318),0)</f>
        <v>5728.3948541917443</v>
      </c>
      <c r="AC318" s="2" t="str">
        <f>IF($W318=AC$3,$AB318,IF(NOT($W318=0),"",SUMIFS('Val-Vol (2)'!AC$4:AC$1116,'Val-Vol (2)'!$A$4:$A$1116,$D318,'Val-Vol (2)'!$V$4:$V$1116,$V318)/SUMIFS('Comp2016-2017 (3)'!$G$5:$G$289,'Comp2016-2017 (3)'!$A$5:$A$289,$D318,'Comp2016-2017 (3)'!$R$5:$R$289,$V318)*$AB318))</f>
        <v/>
      </c>
      <c r="AD318" s="2">
        <f>IF($W318=AD$3,$AB318,IF(NOT($W318=0),"",SUMIFS('Val-Vol (2)'!AD$4:AD$1116,'Val-Vol (2)'!$A$4:$A$1116,$D318,'Val-Vol (2)'!$V$4:$V$1116,$V318)/SUMIFS('Comp2016-2017 (3)'!$G$5:$G$289,'Comp2016-2017 (3)'!$A$5:$A$289,$D318,'Comp2016-2017 (3)'!$R$5:$R$289,$V318)*$AB318))</f>
        <v>5728.3948541917443</v>
      </c>
      <c r="AE318" s="2" t="str">
        <f>IF($W318=AE$3,$AB318,IF(NOT($W318=0),"",SUMIFS('Val-Vol (2)'!AE$4:AE$1116,'Val-Vol (2)'!$A$4:$A$1116,$D318,'Val-Vol (2)'!$V$4:$V$1116,$V318)/SUMIFS('Comp2016-2017 (3)'!$G$5:$G$289,'Comp2016-2017 (3)'!$A$5:$A$289,$D318,'Comp2016-2017 (3)'!$R$5:$R$289,$V318)*$AB318))</f>
        <v/>
      </c>
      <c r="AF318" s="2" t="str">
        <f>IF($W318=AF$3,$AB318,IF(NOT($W318=0),"",SUMIFS('Val-Vol (2)'!AF$4:AF$1116,'Val-Vol (2)'!$A$4:$A$1116,$D318,'Val-Vol (2)'!$V$4:$V$1116,$V318)/SUMIFS('Comp2016-2017 (3)'!$G$5:$G$289,'Comp2016-2017 (3)'!$A$5:$A$289,$D318,'Comp2016-2017 (3)'!$R$5:$R$289,$V318)*$AB318))</f>
        <v/>
      </c>
      <c r="AG318" s="2" t="str">
        <f>IF($W318=AG$3,$AB318,IF(NOT($W318=0),"",SUMIFS('Val-Vol (2)'!AG$4:AG$1116,'Val-Vol (2)'!$A$4:$A$1116,$D318,'Val-Vol (2)'!$V$4:$V$1116,$V318)/SUMIFS('Comp2016-2017 (3)'!$G$5:$G$289,'Comp2016-2017 (3)'!$A$5:$A$289,$D318,'Comp2016-2017 (3)'!$R$5:$R$289,$V318)*$AB318))</f>
        <v/>
      </c>
      <c r="AH318" s="2" t="str">
        <f>IF($W318=AH$3,$AB318,IF(NOT($W318=0),"",SUMIFS('Val-Vol (2)'!AH$4:AH$1116,'Val-Vol (2)'!$A$4:$A$1116,$D318,'Val-Vol (2)'!$V$4:$V$1116,$V318)/SUMIFS('Comp2016-2017 (3)'!$G$5:$G$289,'Comp2016-2017 (3)'!$A$5:$A$289,$D318,'Comp2016-2017 (3)'!$R$5:$R$289,$V318)*$AB318))</f>
        <v/>
      </c>
      <c r="AI318" s="2" t="str">
        <f>IF($W318=AI$3,$AB318,IF(NOT($W318=0),"",SUMIFS('Val-Vol (2)'!AI$4:AI$1116,'Val-Vol (2)'!$A$4:$A$1116,$D318,'Val-Vol (2)'!$V$4:$V$1116,$V318)/SUMIFS('Comp2016-2017 (3)'!$G$5:$G$289,'Comp2016-2017 (3)'!$A$5:$A$289,$D318,'Comp2016-2017 (3)'!$R$5:$R$289,$V318)*$AB318))</f>
        <v/>
      </c>
      <c r="AJ318" s="2" t="str">
        <f>IF($W318=AJ$3,$AB318,IF(NOT($W318=0),"",SUMIFS('Val-Vol (2)'!AJ$4:AJ$1116,'Val-Vol (2)'!$A$4:$A$1116,$D318,'Val-Vol (2)'!$V$4:$V$1116,$V318)/SUMIFS('Comp2016-2017 (3)'!$G$5:$G$289,'Comp2016-2017 (3)'!$A$5:$A$289,$D318,'Comp2016-2017 (3)'!$R$5:$R$289,$V318)*$AB318))</f>
        <v/>
      </c>
      <c r="AK318" s="2">
        <f t="shared" si="37"/>
        <v>0</v>
      </c>
      <c r="AL318" t="str">
        <f t="shared" si="31"/>
        <v/>
      </c>
      <c r="AM318" t="str">
        <f>VLOOKUP(A318,'Table corresp.'!$M$4:$U$63,8,FALSE)</f>
        <v>Consommation finale française</v>
      </c>
      <c r="AN318" t="str">
        <f>VLOOKUP(D318,'Table corresp.'!$M$4:$U$63,9,FALSE)</f>
        <v xml:space="preserve">Mise en œuvre </v>
      </c>
    </row>
    <row r="319" spans="1:40" x14ac:dyDescent="0.25">
      <c r="A319" t="s">
        <v>105</v>
      </c>
      <c r="B319" t="str">
        <f>VLOOKUP(LEFT(A319,3),'Table corresp.'!$A$4:$D$63,3,FALSE)</f>
        <v>Transformation</v>
      </c>
      <c r="C319" t="str">
        <f>VLOOKUP(A319,'Table corresp.'!$M$4:$P$63,4,FALSE)</f>
        <v>Commerces et services</v>
      </c>
      <c r="D319" t="s">
        <v>26</v>
      </c>
      <c r="E319" t="str">
        <f>VLOOKUP(LEFT(D319,3),'Table corresp.'!$A$4:$D$63,4,FALSE)</f>
        <v>Transformation</v>
      </c>
      <c r="F319" t="str">
        <f t="shared" si="30"/>
        <v xml:space="preserve">62  - 59 </v>
      </c>
      <c r="G319" s="1">
        <v>1310.7287977329638</v>
      </c>
      <c r="H319" s="1">
        <v>0</v>
      </c>
      <c r="I319" s="1">
        <v>1310.7287977329638</v>
      </c>
      <c r="J319" s="1">
        <v>0</v>
      </c>
      <c r="K319" s="1">
        <v>0</v>
      </c>
      <c r="L319" s="1">
        <v>0</v>
      </c>
      <c r="M319" s="1">
        <v>0</v>
      </c>
      <c r="N319" s="1">
        <v>0</v>
      </c>
      <c r="O319" s="1">
        <v>0</v>
      </c>
      <c r="P319" s="1">
        <v>0</v>
      </c>
      <c r="Q319" s="1">
        <v>0</v>
      </c>
      <c r="R319" s="1">
        <v>0</v>
      </c>
      <c r="S319" s="67"/>
      <c r="T319">
        <f>VLOOKUP(A319,'Groupe de branches'!$Z$27:$AM$86,14,FALSE)</f>
        <v>0</v>
      </c>
      <c r="U319">
        <f>VLOOKUP(D319,'Groupe de branches'!$Z$27:$AM$86,14,FALSE)</f>
        <v>0</v>
      </c>
      <c r="V319">
        <v>2016</v>
      </c>
      <c r="W319" t="str">
        <f>VLOOKUP(D319,'Table corresp.'!$M$4:$S$63,7,FALSE)</f>
        <v>Construction</v>
      </c>
      <c r="X319" s="167">
        <f>IFERROR(G319/SUMIFS('Comp2016-2017 (3)'!$I$5:$I$289,'Comp2016-2017 (3)'!$A$5:$A$289,A319,'Comp2016-2017 (3)'!$R$5:$R$289,V319),0)</f>
        <v>6.5246744341770728E-4</v>
      </c>
      <c r="Y319" s="178">
        <f>IFERROR(IF(RIGHT(F319,3)="Exp",VLOOKUP(F319,#REF!,2,FALSE),VLOOKUP(F319,#REF!,9,FALSE)),1)</f>
        <v>1</v>
      </c>
      <c r="Z319" s="167">
        <f t="shared" si="38"/>
        <v>0.1111111111111111</v>
      </c>
      <c r="AA319" s="189">
        <f t="shared" si="32"/>
        <v>7.2496382601967474E-5</v>
      </c>
      <c r="AB319" s="2">
        <f>IFERROR(SUMIFS('Comp2016-2017 (3)'!$G$5:$G$289,'Comp2016-2017 (3)'!$A$5:$A$289,A319,'Comp2016-2017 (3)'!$R$5:$R$289,V319)*AA319/SUMIFS($AA$4:$AA$1116,$A$4:$A$1116,A319,$V$4:$V$1116,V319),0)</f>
        <v>1310.728798369511</v>
      </c>
      <c r="AC319" s="2" t="str">
        <f>IF($W319=AC$3,$AB319,IF(NOT($W319=0),"",SUMIFS('Val-Vol (2)'!AC$4:AC$1116,'Val-Vol (2)'!$A$4:$A$1116,$D319,'Val-Vol (2)'!$V$4:$V$1116,$V319)/SUMIFS('Comp2016-2017 (3)'!$G$5:$G$289,'Comp2016-2017 (3)'!$A$5:$A$289,$D319,'Comp2016-2017 (3)'!$R$5:$R$289,$V319)*$AB319))</f>
        <v/>
      </c>
      <c r="AD319" s="2">
        <f>IF($W319=AD$3,$AB319,IF(NOT($W319=0),"",SUMIFS('Val-Vol (2)'!AD$4:AD$1116,'Val-Vol (2)'!$A$4:$A$1116,$D319,'Val-Vol (2)'!$V$4:$V$1116,$V319)/SUMIFS('Comp2016-2017 (3)'!$G$5:$G$289,'Comp2016-2017 (3)'!$A$5:$A$289,$D319,'Comp2016-2017 (3)'!$R$5:$R$289,$V319)*$AB319))</f>
        <v>1310.728798369511</v>
      </c>
      <c r="AE319" s="2" t="str">
        <f>IF($W319=AE$3,$AB319,IF(NOT($W319=0),"",SUMIFS('Val-Vol (2)'!AE$4:AE$1116,'Val-Vol (2)'!$A$4:$A$1116,$D319,'Val-Vol (2)'!$V$4:$V$1116,$V319)/SUMIFS('Comp2016-2017 (3)'!$G$5:$G$289,'Comp2016-2017 (3)'!$A$5:$A$289,$D319,'Comp2016-2017 (3)'!$R$5:$R$289,$V319)*$AB319))</f>
        <v/>
      </c>
      <c r="AF319" s="2" t="str">
        <f>IF($W319=AF$3,$AB319,IF(NOT($W319=0),"",SUMIFS('Val-Vol (2)'!AF$4:AF$1116,'Val-Vol (2)'!$A$4:$A$1116,$D319,'Val-Vol (2)'!$V$4:$V$1116,$V319)/SUMIFS('Comp2016-2017 (3)'!$G$5:$G$289,'Comp2016-2017 (3)'!$A$5:$A$289,$D319,'Comp2016-2017 (3)'!$R$5:$R$289,$V319)*$AB319))</f>
        <v/>
      </c>
      <c r="AG319" s="2" t="str">
        <f>IF($W319=AG$3,$AB319,IF(NOT($W319=0),"",SUMIFS('Val-Vol (2)'!AG$4:AG$1116,'Val-Vol (2)'!$A$4:$A$1116,$D319,'Val-Vol (2)'!$V$4:$V$1116,$V319)/SUMIFS('Comp2016-2017 (3)'!$G$5:$G$289,'Comp2016-2017 (3)'!$A$5:$A$289,$D319,'Comp2016-2017 (3)'!$R$5:$R$289,$V319)*$AB319))</f>
        <v/>
      </c>
      <c r="AH319" s="2" t="str">
        <f>IF($W319=AH$3,$AB319,IF(NOT($W319=0),"",SUMIFS('Val-Vol (2)'!AH$4:AH$1116,'Val-Vol (2)'!$A$4:$A$1116,$D319,'Val-Vol (2)'!$V$4:$V$1116,$V319)/SUMIFS('Comp2016-2017 (3)'!$G$5:$G$289,'Comp2016-2017 (3)'!$A$5:$A$289,$D319,'Comp2016-2017 (3)'!$R$5:$R$289,$V319)*$AB319))</f>
        <v/>
      </c>
      <c r="AI319" s="2" t="str">
        <f>IF($W319=AI$3,$AB319,IF(NOT($W319=0),"",SUMIFS('Val-Vol (2)'!AI$4:AI$1116,'Val-Vol (2)'!$A$4:$A$1116,$D319,'Val-Vol (2)'!$V$4:$V$1116,$V319)/SUMIFS('Comp2016-2017 (3)'!$G$5:$G$289,'Comp2016-2017 (3)'!$A$5:$A$289,$D319,'Comp2016-2017 (3)'!$R$5:$R$289,$V319)*$AB319))</f>
        <v/>
      </c>
      <c r="AJ319" s="2" t="str">
        <f>IF($W319=AJ$3,$AB319,IF(NOT($W319=0),"",SUMIFS('Val-Vol (2)'!AJ$4:AJ$1116,'Val-Vol (2)'!$A$4:$A$1116,$D319,'Val-Vol (2)'!$V$4:$V$1116,$V319)/SUMIFS('Comp2016-2017 (3)'!$G$5:$G$289,'Comp2016-2017 (3)'!$A$5:$A$289,$D319,'Comp2016-2017 (3)'!$R$5:$R$289,$V319)*$AB319))</f>
        <v/>
      </c>
      <c r="AK319" s="2">
        <f t="shared" si="37"/>
        <v>0</v>
      </c>
      <c r="AL319" t="str">
        <f t="shared" si="31"/>
        <v/>
      </c>
      <c r="AM319" t="str">
        <f>VLOOKUP(A319,'Table corresp.'!$M$4:$U$63,8,FALSE)</f>
        <v>Consommation finale française</v>
      </c>
      <c r="AN319" t="str">
        <f>VLOOKUP(D319,'Table corresp.'!$M$4:$U$63,9,FALSE)</f>
        <v xml:space="preserve">Mise en œuvre </v>
      </c>
    </row>
    <row r="320" spans="1:40" x14ac:dyDescent="0.25">
      <c r="A320" t="s">
        <v>105</v>
      </c>
      <c r="B320" t="str">
        <f>VLOOKUP(LEFT(A320,3),'Table corresp.'!$A$4:$D$63,3,FALSE)</f>
        <v>Transformation</v>
      </c>
      <c r="C320" t="str">
        <f>VLOOKUP(A320,'Table corresp.'!$M$4:$P$63,4,FALSE)</f>
        <v>Commerces et services</v>
      </c>
      <c r="D320" t="s">
        <v>54</v>
      </c>
      <c r="E320" t="str">
        <f>VLOOKUP(LEFT(D320,3),'Table corresp.'!$A$4:$D$63,4,FALSE)</f>
        <v>Consommation finale</v>
      </c>
      <c r="F320" t="str">
        <f t="shared" si="30"/>
        <v>62  - Con</v>
      </c>
      <c r="G320" s="1">
        <v>1816027.5190244005</v>
      </c>
      <c r="H320" s="1">
        <v>0</v>
      </c>
      <c r="I320" s="1">
        <v>1816027.5190244005</v>
      </c>
      <c r="J320" s="1">
        <v>0</v>
      </c>
      <c r="K320" s="1">
        <v>0</v>
      </c>
      <c r="L320" s="1">
        <v>0</v>
      </c>
      <c r="M320" s="1">
        <v>0</v>
      </c>
      <c r="N320" s="1">
        <v>0</v>
      </c>
      <c r="O320" s="1">
        <v>0</v>
      </c>
      <c r="P320" s="1">
        <v>0</v>
      </c>
      <c r="Q320" s="1">
        <v>0</v>
      </c>
      <c r="R320" s="1">
        <v>0</v>
      </c>
      <c r="S320" s="67"/>
      <c r="T320">
        <f>VLOOKUP(A320,'Groupe de branches'!$Z$27:$AM$86,14,FALSE)</f>
        <v>0</v>
      </c>
      <c r="U320">
        <f>VLOOKUP(D320,'Groupe de branches'!$Z$27:$AM$86,14,FALSE)</f>
        <v>0</v>
      </c>
      <c r="V320">
        <v>2016</v>
      </c>
      <c r="W320" t="str">
        <f>VLOOKUP(D320,'Table corresp.'!$M$4:$S$63,7,FALSE)</f>
        <v>Consommation finale</v>
      </c>
      <c r="X320" s="167">
        <f>IFERROR(G320/SUMIFS('Comp2016-2017 (3)'!$I$5:$I$289,'Comp2016-2017 (3)'!$A$5:$A$289,A320,'Comp2016-2017 (3)'!$R$5:$R$289,V320),0)</f>
        <v>0.9039999995143565</v>
      </c>
      <c r="Y320" s="178">
        <f>IFERROR(IF(RIGHT(F320,3)="Exp",VLOOKUP(F320,#REF!,2,FALSE),VLOOKUP(F320,#REF!,9,FALSE)),1)</f>
        <v>1</v>
      </c>
      <c r="Z320" s="167">
        <f t="shared" si="38"/>
        <v>0.1111111111111111</v>
      </c>
      <c r="AA320" s="189">
        <f t="shared" si="32"/>
        <v>0.10044444439048406</v>
      </c>
      <c r="AB320" s="2">
        <f>IFERROR(SUMIFS('Comp2016-2017 (3)'!$G$5:$G$289,'Comp2016-2017 (3)'!$A$5:$A$289,A320,'Comp2016-2017 (3)'!$R$5:$R$289,V320)*AA320/SUMIFS($AA$4:$AA$1116,$A$4:$A$1116,A320,$V$4:$V$1116,V320),0)</f>
        <v>1816027.5199063425</v>
      </c>
      <c r="AC320" s="2" t="str">
        <f>IF($W320=AC$3,$AB320,IF(NOT($W320=0),"",SUMIFS('Val-Vol (2)'!AC$4:AC$1116,'Val-Vol (2)'!$A$4:$A$1116,$D320,'Val-Vol (2)'!$V$4:$V$1116,$V320)/SUMIFS('Comp2016-2017 (3)'!$G$5:$G$289,'Comp2016-2017 (3)'!$A$5:$A$289,$D320,'Comp2016-2017 (3)'!$R$5:$R$289,$V320)*$AB320))</f>
        <v/>
      </c>
      <c r="AD320" s="2" t="str">
        <f>IF($W320=AD$3,$AB320,IF(NOT($W320=0),"",SUMIFS('Val-Vol (2)'!AD$4:AD$1116,'Val-Vol (2)'!$A$4:$A$1116,$D320,'Val-Vol (2)'!$V$4:$V$1116,$V320)/SUMIFS('Comp2016-2017 (3)'!$G$5:$G$289,'Comp2016-2017 (3)'!$A$5:$A$289,$D320,'Comp2016-2017 (3)'!$R$5:$R$289,$V320)*$AB320))</f>
        <v/>
      </c>
      <c r="AE320" s="2" t="str">
        <f>IF($W320=AE$3,$AB320,IF(NOT($W320=0),"",SUMIFS('Val-Vol (2)'!AE$4:AE$1116,'Val-Vol (2)'!$A$4:$A$1116,$D320,'Val-Vol (2)'!$V$4:$V$1116,$V320)/SUMIFS('Comp2016-2017 (3)'!$G$5:$G$289,'Comp2016-2017 (3)'!$A$5:$A$289,$D320,'Comp2016-2017 (3)'!$R$5:$R$289,$V320)*$AB320))</f>
        <v/>
      </c>
      <c r="AF320" s="2" t="str">
        <f>IF($W320=AF$3,$AB320,IF(NOT($W320=0),"",SUMIFS('Val-Vol (2)'!AF$4:AF$1116,'Val-Vol (2)'!$A$4:$A$1116,$D320,'Val-Vol (2)'!$V$4:$V$1116,$V320)/SUMIFS('Comp2016-2017 (3)'!$G$5:$G$289,'Comp2016-2017 (3)'!$A$5:$A$289,$D320,'Comp2016-2017 (3)'!$R$5:$R$289,$V320)*$AB320))</f>
        <v/>
      </c>
      <c r="AG320" s="2" t="str">
        <f>IF($W320=AG$3,$AB320,IF(NOT($W320=0),"",SUMIFS('Val-Vol (2)'!AG$4:AG$1116,'Val-Vol (2)'!$A$4:$A$1116,$D320,'Val-Vol (2)'!$V$4:$V$1116,$V320)/SUMIFS('Comp2016-2017 (3)'!$G$5:$G$289,'Comp2016-2017 (3)'!$A$5:$A$289,$D320,'Comp2016-2017 (3)'!$R$5:$R$289,$V320)*$AB320))</f>
        <v/>
      </c>
      <c r="AH320" s="2" t="str">
        <f>IF($W320=AH$3,$AB320,IF(NOT($W320=0),"",SUMIFS('Val-Vol (2)'!AH$4:AH$1116,'Val-Vol (2)'!$A$4:$A$1116,$D320,'Val-Vol (2)'!$V$4:$V$1116,$V320)/SUMIFS('Comp2016-2017 (3)'!$G$5:$G$289,'Comp2016-2017 (3)'!$A$5:$A$289,$D320,'Comp2016-2017 (3)'!$R$5:$R$289,$V320)*$AB320))</f>
        <v/>
      </c>
      <c r="AI320" s="2" t="str">
        <f>IF($W320=AI$3,$AB320,IF(NOT($W320=0),"",SUMIFS('Val-Vol (2)'!AI$4:AI$1116,'Val-Vol (2)'!$A$4:$A$1116,$D320,'Val-Vol (2)'!$V$4:$V$1116,$V320)/SUMIFS('Comp2016-2017 (3)'!$G$5:$G$289,'Comp2016-2017 (3)'!$A$5:$A$289,$D320,'Comp2016-2017 (3)'!$R$5:$R$289,$V320)*$AB320))</f>
        <v/>
      </c>
      <c r="AJ320" s="2">
        <f>IF($W320=AJ$3,$AB320,IF(NOT($W320=0),"",SUMIFS('Val-Vol (2)'!AJ$4:AJ$1116,'Val-Vol (2)'!$A$4:$A$1116,$D320,'Val-Vol (2)'!$V$4:$V$1116,$V320)/SUMIFS('Comp2016-2017 (3)'!$G$5:$G$289,'Comp2016-2017 (3)'!$A$5:$A$289,$D320,'Comp2016-2017 (3)'!$R$5:$R$289,$V320)*$AB320))</f>
        <v>1816027.5199063425</v>
      </c>
      <c r="AK320" s="2">
        <f t="shared" si="37"/>
        <v>0</v>
      </c>
      <c r="AL320" t="str">
        <f t="shared" si="31"/>
        <v/>
      </c>
      <c r="AM320" t="str">
        <f>VLOOKUP(A320,'Table corresp.'!$M$4:$U$63,8,FALSE)</f>
        <v>Consommation finale française</v>
      </c>
      <c r="AN320" t="str">
        <f>VLOOKUP(D320,'Table corresp.'!$M$4:$U$63,9,FALSE)</f>
        <v>Consommation finale française</v>
      </c>
    </row>
    <row r="321" spans="1:40" x14ac:dyDescent="0.25">
      <c r="A321" t="s">
        <v>106</v>
      </c>
      <c r="B321" t="str">
        <f>VLOOKUP(LEFT(A321,3),'Table corresp.'!$A$4:$D$63,3,FALSE)</f>
        <v>Transformation</v>
      </c>
      <c r="C321" t="str">
        <f>VLOOKUP(A321,'Table corresp.'!$M$4:$P$63,4,FALSE)</f>
        <v>Production et transformation de produits bois</v>
      </c>
      <c r="D321" t="s">
        <v>2</v>
      </c>
      <c r="E321" t="str">
        <f>VLOOKUP(LEFT(D321,3),'Table corresp.'!$A$4:$D$63,4,FALSE)</f>
        <v>Transformation</v>
      </c>
      <c r="F321" t="str">
        <f t="shared" si="30"/>
        <v xml:space="preserve">63  - 04 </v>
      </c>
      <c r="G321" s="1">
        <v>31081.053080000002</v>
      </c>
      <c r="H321" s="1">
        <v>0</v>
      </c>
      <c r="I321" s="1">
        <v>31081.053080000002</v>
      </c>
      <c r="J321" s="1">
        <v>0</v>
      </c>
      <c r="K321" s="1">
        <v>0</v>
      </c>
      <c r="L321" s="1">
        <v>0</v>
      </c>
      <c r="M321" s="1">
        <v>0</v>
      </c>
      <c r="N321" s="1">
        <v>0</v>
      </c>
      <c r="O321" s="1">
        <v>0</v>
      </c>
      <c r="P321" s="1">
        <v>0</v>
      </c>
      <c r="Q321" s="1">
        <v>0</v>
      </c>
      <c r="R321" s="1">
        <v>0</v>
      </c>
      <c r="S321" s="67"/>
      <c r="T321">
        <f>VLOOKUP(A321,'Groupe de branches'!$Z$27:$AM$86,14,FALSE)</f>
        <v>0</v>
      </c>
      <c r="U321">
        <f>VLOOKUP(D321,'Groupe de branches'!$Z$27:$AM$86,14,FALSE)</f>
        <v>0</v>
      </c>
      <c r="V321">
        <v>2016</v>
      </c>
      <c r="W321" t="str">
        <f>VLOOKUP(D321,'Table corresp.'!$M$4:$S$63,7,FALSE)</f>
        <v>Energie</v>
      </c>
      <c r="X321" s="167">
        <f>IFERROR(G321/SUMIFS('Comp2016-2017 (3)'!$I$5:$I$289,'Comp2016-2017 (3)'!$A$5:$A$289,A321,'Comp2016-2017 (3)'!$R$5:$R$289,V321),0)</f>
        <v>7.6795167549644272E-2</v>
      </c>
      <c r="Y321" s="178">
        <f>IFERROR(IF(RIGHT(F321,3)="Exp",VLOOKUP(F321,#REF!,2,FALSE),VLOOKUP(F321,#REF!,9,FALSE)),1)</f>
        <v>1</v>
      </c>
      <c r="Z321" s="167">
        <f t="shared" si="38"/>
        <v>5.8823529411764705E-2</v>
      </c>
      <c r="AA321" s="189">
        <f t="shared" si="32"/>
        <v>4.5173627970378979E-3</v>
      </c>
      <c r="AB321" s="2">
        <f>IFERROR(SUMIFS('Comp2016-2017 (3)'!$G$5:$G$289,'Comp2016-2017 (3)'!$A$5:$A$289,A321,'Comp2016-2017 (3)'!$R$5:$R$289,V321)*AA321/SUMIFS($AA$4:$AA$1116,$A$4:$A$1116,A321,$V$4:$V$1116,V321),0)</f>
        <v>15883.037875754831</v>
      </c>
      <c r="AC321" s="2" t="str">
        <f>IF($W321=AC$3,$AB321,IF(NOT($W321=0),"",SUMIFS('Val-Vol (2)'!AC$4:AC$1116,'Val-Vol (2)'!$A$4:$A$1116,$D321,'Val-Vol (2)'!$V$4:$V$1116,$V321)/SUMIFS('Comp2016-2017 (3)'!$G$5:$G$289,'Comp2016-2017 (3)'!$A$5:$A$289,$D321,'Comp2016-2017 (3)'!$R$5:$R$289,$V321)*$AB321))</f>
        <v/>
      </c>
      <c r="AD321" s="2" t="str">
        <f>IF($W321=AD$3,$AB321,IF(NOT($W321=0),"",SUMIFS('Val-Vol (2)'!AD$4:AD$1116,'Val-Vol (2)'!$A$4:$A$1116,$D321,'Val-Vol (2)'!$V$4:$V$1116,$V321)/SUMIFS('Comp2016-2017 (3)'!$G$5:$G$289,'Comp2016-2017 (3)'!$A$5:$A$289,$D321,'Comp2016-2017 (3)'!$R$5:$R$289,$V321)*$AB321))</f>
        <v/>
      </c>
      <c r="AE321" s="2" t="str">
        <f>IF($W321=AE$3,$AB321,IF(NOT($W321=0),"",SUMIFS('Val-Vol (2)'!AE$4:AE$1116,'Val-Vol (2)'!$A$4:$A$1116,$D321,'Val-Vol (2)'!$V$4:$V$1116,$V321)/SUMIFS('Comp2016-2017 (3)'!$G$5:$G$289,'Comp2016-2017 (3)'!$A$5:$A$289,$D321,'Comp2016-2017 (3)'!$R$5:$R$289,$V321)*$AB321))</f>
        <v/>
      </c>
      <c r="AF321" s="2" t="str">
        <f>IF($W321=AF$3,$AB321,IF(NOT($W321=0),"",SUMIFS('Val-Vol (2)'!AF$4:AF$1116,'Val-Vol (2)'!$A$4:$A$1116,$D321,'Val-Vol (2)'!$V$4:$V$1116,$V321)/SUMIFS('Comp2016-2017 (3)'!$G$5:$G$289,'Comp2016-2017 (3)'!$A$5:$A$289,$D321,'Comp2016-2017 (3)'!$R$5:$R$289,$V321)*$AB321))</f>
        <v/>
      </c>
      <c r="AG321" s="2" t="str">
        <f>IF($W321=AG$3,$AB321,IF(NOT($W321=0),"",SUMIFS('Val-Vol (2)'!AG$4:AG$1116,'Val-Vol (2)'!$A$4:$A$1116,$D321,'Val-Vol (2)'!$V$4:$V$1116,$V321)/SUMIFS('Comp2016-2017 (3)'!$G$5:$G$289,'Comp2016-2017 (3)'!$A$5:$A$289,$D321,'Comp2016-2017 (3)'!$R$5:$R$289,$V321)*$AB321))</f>
        <v/>
      </c>
      <c r="AH321" s="2">
        <f>IF($W321=AH$3,$AB321,IF(NOT($W321=0),"",SUMIFS('Val-Vol (2)'!AH$4:AH$1116,'Val-Vol (2)'!$A$4:$A$1116,$D321,'Val-Vol (2)'!$V$4:$V$1116,$V321)/SUMIFS('Comp2016-2017 (3)'!$G$5:$G$289,'Comp2016-2017 (3)'!$A$5:$A$289,$D321,'Comp2016-2017 (3)'!$R$5:$R$289,$V321)*$AB321))</f>
        <v>15883.037875754831</v>
      </c>
      <c r="AI321" s="2" t="str">
        <f>IF($W321=AI$3,$AB321,IF(NOT($W321=0),"",SUMIFS('Val-Vol (2)'!AI$4:AI$1116,'Val-Vol (2)'!$A$4:$A$1116,$D321,'Val-Vol (2)'!$V$4:$V$1116,$V321)/SUMIFS('Comp2016-2017 (3)'!$G$5:$G$289,'Comp2016-2017 (3)'!$A$5:$A$289,$D321,'Comp2016-2017 (3)'!$R$5:$R$289,$V321)*$AB321))</f>
        <v/>
      </c>
      <c r="AJ321" s="2" t="str">
        <f>IF($W321=AJ$3,$AB321,IF(NOT($W321=0),"",SUMIFS('Val-Vol (2)'!AJ$4:AJ$1116,'Val-Vol (2)'!$A$4:$A$1116,$D321,'Val-Vol (2)'!$V$4:$V$1116,$V321)/SUMIFS('Comp2016-2017 (3)'!$G$5:$G$289,'Comp2016-2017 (3)'!$A$5:$A$289,$D321,'Comp2016-2017 (3)'!$R$5:$R$289,$V321)*$AB321))</f>
        <v/>
      </c>
      <c r="AK321" s="2">
        <f t="shared" si="37"/>
        <v>0</v>
      </c>
      <c r="AL321" t="str">
        <f t="shared" si="31"/>
        <v/>
      </c>
      <c r="AM321" t="str">
        <f>VLOOKUP(A321,'Table corresp.'!$M$4:$U$63,8,FALSE)</f>
        <v>Production intermédiaire</v>
      </c>
      <c r="AN321" t="str">
        <f>VLOOKUP(D321,'Table corresp.'!$M$4:$U$63,9,FALSE)</f>
        <v>Production intermédiaire</v>
      </c>
    </row>
    <row r="322" spans="1:40" x14ac:dyDescent="0.25">
      <c r="A322" t="s">
        <v>106</v>
      </c>
      <c r="B322" t="str">
        <f>VLOOKUP(LEFT(A322,3),'Table corresp.'!$A$4:$D$63,3,FALSE)</f>
        <v>Transformation</v>
      </c>
      <c r="C322" t="str">
        <f>VLOOKUP(A322,'Table corresp.'!$M$4:$P$63,4,FALSE)</f>
        <v>Production et transformation de produits bois</v>
      </c>
      <c r="D322" t="s">
        <v>3</v>
      </c>
      <c r="E322" t="str">
        <f>VLOOKUP(LEFT(D322,3),'Table corresp.'!$A$4:$D$63,4,FALSE)</f>
        <v>Transformation</v>
      </c>
      <c r="F322" t="str">
        <f t="shared" si="30"/>
        <v xml:space="preserve">63  - 06 </v>
      </c>
      <c r="G322" s="1">
        <v>62470</v>
      </c>
      <c r="H322" s="1">
        <v>0</v>
      </c>
      <c r="I322" s="1">
        <v>62470</v>
      </c>
      <c r="J322" s="1">
        <v>0</v>
      </c>
      <c r="K322" s="1">
        <v>0</v>
      </c>
      <c r="L322" s="1">
        <v>0</v>
      </c>
      <c r="M322" s="1">
        <v>0</v>
      </c>
      <c r="N322" s="1">
        <v>0</v>
      </c>
      <c r="O322" s="1">
        <v>0</v>
      </c>
      <c r="P322" s="1">
        <v>0</v>
      </c>
      <c r="Q322" s="1">
        <v>0</v>
      </c>
      <c r="R322" s="1">
        <v>0</v>
      </c>
      <c r="S322" s="67"/>
      <c r="T322">
        <f>VLOOKUP(A322,'Groupe de branches'!$Z$27:$AM$86,14,FALSE)</f>
        <v>0</v>
      </c>
      <c r="U322">
        <f>VLOOKUP(D322,'Groupe de branches'!$Z$27:$AM$86,14,FALSE)</f>
        <v>0</v>
      </c>
      <c r="V322">
        <v>2016</v>
      </c>
      <c r="W322">
        <f>VLOOKUP(D322,'Table corresp.'!$M$4:$S$63,7,FALSE)</f>
        <v>0</v>
      </c>
      <c r="X322" s="167">
        <f>IFERROR(G322/SUMIFS('Comp2016-2017 (3)'!$I$5:$I$289,'Comp2016-2017 (3)'!$A$5:$A$289,A322,'Comp2016-2017 (3)'!$R$5:$R$289,V322),0)</f>
        <v>0.15435108020562208</v>
      </c>
      <c r="Y322" s="178">
        <f>IFERROR(IF(RIGHT(F322,3)="Exp",VLOOKUP(F322,#REF!,2,FALSE),VLOOKUP(F322,#REF!,9,FALSE)),1)</f>
        <v>1</v>
      </c>
      <c r="Z322" s="167">
        <f t="shared" si="38"/>
        <v>5.8823529411764705E-2</v>
      </c>
      <c r="AA322" s="189">
        <f t="shared" si="32"/>
        <v>9.0794753062130636E-3</v>
      </c>
      <c r="AB322" s="2">
        <f>IFERROR(SUMIFS('Comp2016-2017 (3)'!$G$5:$G$289,'Comp2016-2017 (3)'!$A$5:$A$289,A322,'Comp2016-2017 (3)'!$R$5:$R$289,V322)*AA322/SUMIFS($AA$4:$AA$1116,$A$4:$A$1116,A322,$V$4:$V$1116,V322),0)</f>
        <v>31923.415643110005</v>
      </c>
      <c r="AC322" s="2">
        <f>IF($W322=AC$3,$AB322,IF(NOT($W322=0),"",SUMIFS('Val-Vol (2)'!AC$4:AC$1116,'Val-Vol (2)'!$A$4:$A$1116,$D322,'Val-Vol (2)'!$V$4:$V$1116,$V322)/SUMIFS('Comp2016-2017 (3)'!$G$5:$G$289,'Comp2016-2017 (3)'!$A$5:$A$289,$D322,'Comp2016-2017 (3)'!$R$5:$R$289,$V322)*$AB322))</f>
        <v>8330.8893029914489</v>
      </c>
      <c r="AD322" s="2">
        <f>IF($W322=AD$3,$AB322,IF(NOT($W322=0),"",SUMIFS('Val-Vol (2)'!AD$4:AD$1116,'Val-Vol (2)'!$A$4:$A$1116,$D322,'Val-Vol (2)'!$V$4:$V$1116,$V322)/SUMIFS('Comp2016-2017 (3)'!$G$5:$G$289,'Comp2016-2017 (3)'!$A$5:$A$289,$D322,'Comp2016-2017 (3)'!$R$5:$R$289,$V322)*$AB322))</f>
        <v>8594.6564812291035</v>
      </c>
      <c r="AE322" s="2">
        <f>IF($W322=AE$3,$AB322,IF(NOT($W322=0),"",SUMIFS('Val-Vol (2)'!AE$4:AE$1116,'Val-Vol (2)'!$A$4:$A$1116,$D322,'Val-Vol (2)'!$V$4:$V$1116,$V322)/SUMIFS('Comp2016-2017 (3)'!$G$5:$G$289,'Comp2016-2017 (3)'!$A$5:$A$289,$D322,'Comp2016-2017 (3)'!$R$5:$R$289,$V322)*$AB322))</f>
        <v>1037.4142188138617</v>
      </c>
      <c r="AF322" s="2">
        <f>IF($W322=AF$3,$AB322,IF(NOT($W322=0),"",SUMIFS('Val-Vol (2)'!AF$4:AF$1116,'Val-Vol (2)'!$A$4:$A$1116,$D322,'Val-Vol (2)'!$V$4:$V$1116,$V322)/SUMIFS('Comp2016-2017 (3)'!$G$5:$G$289,'Comp2016-2017 (3)'!$A$5:$A$289,$D322,'Comp2016-2017 (3)'!$R$5:$R$289,$V322)*$AB322))</f>
        <v>636.97438192742868</v>
      </c>
      <c r="AG322" s="2">
        <f>IF($W322=AG$3,$AB322,IF(NOT($W322=0),"",SUMIFS('Val-Vol (2)'!AG$4:AG$1116,'Val-Vol (2)'!$A$4:$A$1116,$D322,'Val-Vol (2)'!$V$4:$V$1116,$V322)/SUMIFS('Comp2016-2017 (3)'!$G$5:$G$289,'Comp2016-2017 (3)'!$A$5:$A$289,$D322,'Comp2016-2017 (3)'!$R$5:$R$289,$V322)*$AB322))</f>
        <v>7151.2834712545027</v>
      </c>
      <c r="AH322" s="2">
        <f>IF($W322=AH$3,$AB322,IF(NOT($W322=0),"",SUMIFS('Val-Vol (2)'!AH$4:AH$1116,'Val-Vol (2)'!$A$4:$A$1116,$D322,'Val-Vol (2)'!$V$4:$V$1116,$V322)/SUMIFS('Comp2016-2017 (3)'!$G$5:$G$289,'Comp2016-2017 (3)'!$A$5:$A$289,$D322,'Comp2016-2017 (3)'!$R$5:$R$289,$V322)*$AB322))</f>
        <v>1284.4944969048836</v>
      </c>
      <c r="AI322" s="2">
        <f>IF($W322=AI$3,$AB322,IF(NOT($W322=0),"",SUMIFS('Val-Vol (2)'!AI$4:AI$1116,'Val-Vol (2)'!$A$4:$A$1116,$D322,'Val-Vol (2)'!$V$4:$V$1116,$V322)/SUMIFS('Comp2016-2017 (3)'!$G$5:$G$289,'Comp2016-2017 (3)'!$A$5:$A$289,$D322,'Comp2016-2017 (3)'!$R$5:$R$289,$V322)*$AB322))</f>
        <v>1671.5182589943322</v>
      </c>
      <c r="AJ322" s="2">
        <f>IF($W322=AJ$3,$AB322,IF(NOT($W322=0),"",SUMIFS('Val-Vol (2)'!AJ$4:AJ$1116,'Val-Vol (2)'!$A$4:$A$1116,$D322,'Val-Vol (2)'!$V$4:$V$1116,$V322)/SUMIFS('Comp2016-2017 (3)'!$G$5:$G$289,'Comp2016-2017 (3)'!$A$5:$A$289,$D322,'Comp2016-2017 (3)'!$R$5:$R$289,$V322)*$AB322))</f>
        <v>3216.1850309944407</v>
      </c>
      <c r="AK322" s="2">
        <f t="shared" si="37"/>
        <v>0</v>
      </c>
      <c r="AL322" t="str">
        <f t="shared" si="31"/>
        <v/>
      </c>
      <c r="AM322" t="str">
        <f>VLOOKUP(A322,'Table corresp.'!$M$4:$U$63,8,FALSE)</f>
        <v>Production intermédiaire</v>
      </c>
      <c r="AN322" t="str">
        <f>VLOOKUP(D322,'Table corresp.'!$M$4:$U$63,9,FALSE)</f>
        <v>Production intermédiaire</v>
      </c>
    </row>
    <row r="323" spans="1:40" x14ac:dyDescent="0.25">
      <c r="A323" t="s">
        <v>106</v>
      </c>
      <c r="B323" t="str">
        <f>VLOOKUP(LEFT(A323,3),'Table corresp.'!$A$4:$D$63,3,FALSE)</f>
        <v>Transformation</v>
      </c>
      <c r="C323" t="str">
        <f>VLOOKUP(A323,'Table corresp.'!$M$4:$P$63,4,FALSE)</f>
        <v>Production et transformation de produits bois</v>
      </c>
      <c r="D323" t="s">
        <v>4</v>
      </c>
      <c r="E323" t="str">
        <f>VLOOKUP(LEFT(D323,3),'Table corresp.'!$A$4:$D$63,4,FALSE)</f>
        <v>Transformation</v>
      </c>
      <c r="F323" t="str">
        <f t="shared" si="30"/>
        <v xml:space="preserve">63  - 08 </v>
      </c>
      <c r="G323" s="1">
        <v>13238.472060000002</v>
      </c>
      <c r="H323" s="1">
        <v>0</v>
      </c>
      <c r="I323" s="1">
        <v>13238.472060000002</v>
      </c>
      <c r="J323" s="1">
        <v>0</v>
      </c>
      <c r="K323" s="1">
        <v>0</v>
      </c>
      <c r="L323" s="1">
        <v>0</v>
      </c>
      <c r="M323" s="1">
        <v>0</v>
      </c>
      <c r="N323" s="1">
        <v>0</v>
      </c>
      <c r="O323" s="1">
        <v>0</v>
      </c>
      <c r="P323" s="1">
        <v>0</v>
      </c>
      <c r="Q323" s="1">
        <v>0</v>
      </c>
      <c r="R323" s="1">
        <v>0</v>
      </c>
      <c r="S323" s="67"/>
      <c r="T323">
        <f>VLOOKUP(A323,'Groupe de branches'!$Z$27:$AM$86,14,FALSE)</f>
        <v>0</v>
      </c>
      <c r="U323">
        <f>VLOOKUP(D323,'Groupe de branches'!$Z$27:$AM$86,14,FALSE)</f>
        <v>0</v>
      </c>
      <c r="V323">
        <v>2016</v>
      </c>
      <c r="W323">
        <f>VLOOKUP(D323,'Table corresp.'!$M$4:$S$63,7,FALSE)</f>
        <v>0</v>
      </c>
      <c r="X323" s="167">
        <f>IFERROR(G323/SUMIFS('Comp2016-2017 (3)'!$I$5:$I$289,'Comp2016-2017 (3)'!$A$5:$A$289,A323,'Comp2016-2017 (3)'!$R$5:$R$289,V323),0)</f>
        <v>3.2709660040546616E-2</v>
      </c>
      <c r="Y323" s="178">
        <f>IFERROR(IF(RIGHT(F323,3)="Exp",VLOOKUP(F323,#REF!,2,FALSE),VLOOKUP(F323,#REF!,9,FALSE)),1)</f>
        <v>1</v>
      </c>
      <c r="Z323" s="167">
        <f t="shared" si="38"/>
        <v>5.8823529411764705E-2</v>
      </c>
      <c r="AA323" s="189">
        <f t="shared" si="32"/>
        <v>1.9240976494439186E-3</v>
      </c>
      <c r="AB323" s="2">
        <f>IFERROR(SUMIFS('Comp2016-2017 (3)'!$G$5:$G$289,'Comp2016-2017 (3)'!$A$5:$A$289,A323,'Comp2016-2017 (3)'!$R$5:$R$289,V323)*AA323/SUMIFS($AA$4:$AA$1116,$A$4:$A$1116,A323,$V$4:$V$1116,V323),0)</f>
        <v>6765.123195951317</v>
      </c>
      <c r="AC323" s="2">
        <f>IF($W323=AC$3,$AB323,IF(NOT($W323=0),"",SUMIFS('Val-Vol (2)'!AC$4:AC$1116,'Val-Vol (2)'!$A$4:$A$1116,$D323,'Val-Vol (2)'!$V$4:$V$1116,$V323)/SUMIFS('Comp2016-2017 (3)'!$G$5:$G$289,'Comp2016-2017 (3)'!$A$5:$A$289,$D323,'Comp2016-2017 (3)'!$R$5:$R$289,$V323)*$AB323))</f>
        <v>1971.4119653178464</v>
      </c>
      <c r="AD323" s="2">
        <f>IF($W323=AD$3,$AB323,IF(NOT($W323=0),"",SUMIFS('Val-Vol (2)'!AD$4:AD$1116,'Val-Vol (2)'!$A$4:$A$1116,$D323,'Val-Vol (2)'!$V$4:$V$1116,$V323)/SUMIFS('Comp2016-2017 (3)'!$G$5:$G$289,'Comp2016-2017 (3)'!$A$5:$A$289,$D323,'Comp2016-2017 (3)'!$R$5:$R$289,$V323)*$AB323))</f>
        <v>1985.2479476231517</v>
      </c>
      <c r="AE323" s="2">
        <f>IF($W323=AE$3,$AB323,IF(NOT($W323=0),"",SUMIFS('Val-Vol (2)'!AE$4:AE$1116,'Val-Vol (2)'!$A$4:$A$1116,$D323,'Val-Vol (2)'!$V$4:$V$1116,$V323)/SUMIFS('Comp2016-2017 (3)'!$G$5:$G$289,'Comp2016-2017 (3)'!$A$5:$A$289,$D323,'Comp2016-2017 (3)'!$R$5:$R$289,$V323)*$AB323))</f>
        <v>1004.1221470012789</v>
      </c>
      <c r="AF323" s="2">
        <f>IF($W323=AF$3,$AB323,IF(NOT($W323=0),"",SUMIFS('Val-Vol (2)'!AF$4:AF$1116,'Val-Vol (2)'!$A$4:$A$1116,$D323,'Val-Vol (2)'!$V$4:$V$1116,$V323)/SUMIFS('Comp2016-2017 (3)'!$G$5:$G$289,'Comp2016-2017 (3)'!$A$5:$A$289,$D323,'Comp2016-2017 (3)'!$R$5:$R$289,$V323)*$AB323))</f>
        <v>0</v>
      </c>
      <c r="AG323" s="2">
        <f>IF($W323=AG$3,$AB323,IF(NOT($W323=0),"",SUMIFS('Val-Vol (2)'!AG$4:AG$1116,'Val-Vol (2)'!$A$4:$A$1116,$D323,'Val-Vol (2)'!$V$4:$V$1116,$V323)/SUMIFS('Comp2016-2017 (3)'!$G$5:$G$289,'Comp2016-2017 (3)'!$A$5:$A$289,$D323,'Comp2016-2017 (3)'!$R$5:$R$289,$V323)*$AB323))</f>
        <v>0</v>
      </c>
      <c r="AH323" s="2">
        <f>IF($W323=AH$3,$AB323,IF(NOT($W323=0),"",SUMIFS('Val-Vol (2)'!AH$4:AH$1116,'Val-Vol (2)'!$A$4:$A$1116,$D323,'Val-Vol (2)'!$V$4:$V$1116,$V323)/SUMIFS('Comp2016-2017 (3)'!$G$5:$G$289,'Comp2016-2017 (3)'!$A$5:$A$289,$D323,'Comp2016-2017 (3)'!$R$5:$R$289,$V323)*$AB323))</f>
        <v>0</v>
      </c>
      <c r="AI323" s="2">
        <f>IF($W323=AI$3,$AB323,IF(NOT($W323=0),"",SUMIFS('Val-Vol (2)'!AI$4:AI$1116,'Val-Vol (2)'!$A$4:$A$1116,$D323,'Val-Vol (2)'!$V$4:$V$1116,$V323)/SUMIFS('Comp2016-2017 (3)'!$G$5:$G$289,'Comp2016-2017 (3)'!$A$5:$A$289,$D323,'Comp2016-2017 (3)'!$R$5:$R$289,$V323)*$AB323))</f>
        <v>694.58147352965648</v>
      </c>
      <c r="AJ323" s="2">
        <f>IF($W323=AJ$3,$AB323,IF(NOT($W323=0),"",SUMIFS('Val-Vol (2)'!AJ$4:AJ$1116,'Val-Vol (2)'!$A$4:$A$1116,$D323,'Val-Vol (2)'!$V$4:$V$1116,$V323)/SUMIFS('Comp2016-2017 (3)'!$G$5:$G$289,'Comp2016-2017 (3)'!$A$5:$A$289,$D323,'Comp2016-2017 (3)'!$R$5:$R$289,$V323)*$AB323))</f>
        <v>1109.7596624793832</v>
      </c>
      <c r="AK323" s="2">
        <f t="shared" si="37"/>
        <v>0</v>
      </c>
      <c r="AL323" t="str">
        <f t="shared" si="31"/>
        <v/>
      </c>
      <c r="AM323" t="str">
        <f>VLOOKUP(A323,'Table corresp.'!$M$4:$U$63,8,FALSE)</f>
        <v>Production intermédiaire</v>
      </c>
      <c r="AN323" t="str">
        <f>VLOOKUP(D323,'Table corresp.'!$M$4:$U$63,9,FALSE)</f>
        <v>Production intermédiaire</v>
      </c>
    </row>
    <row r="324" spans="1:40" x14ac:dyDescent="0.25">
      <c r="A324" t="s">
        <v>106</v>
      </c>
      <c r="B324" t="str">
        <f>VLOOKUP(LEFT(A324,3),'Table corresp.'!$A$4:$D$63,3,FALSE)</f>
        <v>Transformation</v>
      </c>
      <c r="C324" t="str">
        <f>VLOOKUP(A324,'Table corresp.'!$M$4:$P$63,4,FALSE)</f>
        <v>Production et transformation de produits bois</v>
      </c>
      <c r="D324" t="s">
        <v>5</v>
      </c>
      <c r="E324" t="str">
        <f>VLOOKUP(LEFT(D324,3),'Table corresp.'!$A$4:$D$63,4,FALSE)</f>
        <v>Transformation</v>
      </c>
      <c r="F324" t="str">
        <f t="shared" ref="F324:F387" si="39">LEFT(A324,3)&amp;" - "&amp;LEFT(D324,3)</f>
        <v xml:space="preserve">63  - 09 </v>
      </c>
      <c r="G324" s="1">
        <v>7218.3266374719215</v>
      </c>
      <c r="H324" s="1">
        <v>0</v>
      </c>
      <c r="I324" s="1">
        <v>7218.3266374719215</v>
      </c>
      <c r="J324" s="1">
        <v>0</v>
      </c>
      <c r="K324" s="1">
        <v>0</v>
      </c>
      <c r="L324" s="1">
        <v>0</v>
      </c>
      <c r="M324" s="1">
        <v>0</v>
      </c>
      <c r="N324" s="1">
        <v>0</v>
      </c>
      <c r="O324" s="1">
        <v>0</v>
      </c>
      <c r="P324" s="1">
        <v>0</v>
      </c>
      <c r="Q324" s="1">
        <v>0</v>
      </c>
      <c r="R324" s="1">
        <v>0</v>
      </c>
      <c r="S324" s="67"/>
      <c r="T324">
        <f>VLOOKUP(A324,'Groupe de branches'!$Z$27:$AM$86,14,FALSE)</f>
        <v>0</v>
      </c>
      <c r="U324">
        <f>VLOOKUP(D324,'Groupe de branches'!$Z$27:$AM$86,14,FALSE)</f>
        <v>0</v>
      </c>
      <c r="V324">
        <v>2016</v>
      </c>
      <c r="W324">
        <f>VLOOKUP(D324,'Table corresp.'!$M$4:$S$63,7,FALSE)</f>
        <v>0</v>
      </c>
      <c r="X324" s="167">
        <f>IFERROR(G324/SUMIFS('Comp2016-2017 (3)'!$I$5:$I$289,'Comp2016-2017 (3)'!$A$5:$A$289,A324,'Comp2016-2017 (3)'!$R$5:$R$289,V324),0)</f>
        <v>1.7835065051557658E-2</v>
      </c>
      <c r="Y324" s="178">
        <f>IFERROR(IF(RIGHT(F324,3)="Exp",VLOOKUP(F324,#REF!,2,FALSE),VLOOKUP(F324,#REF!,9,FALSE)),1)</f>
        <v>1</v>
      </c>
      <c r="Z324" s="167">
        <f t="shared" si="38"/>
        <v>5.8823529411764705E-2</v>
      </c>
      <c r="AA324" s="189">
        <f t="shared" si="32"/>
        <v>1.0491214736210387E-3</v>
      </c>
      <c r="AB324" s="2">
        <f>IFERROR(SUMIFS('Comp2016-2017 (3)'!$G$5:$G$289,'Comp2016-2017 (3)'!$A$5:$A$289,A324,'Comp2016-2017 (3)'!$R$5:$R$289,V324)*AA324/SUMIFS($AA$4:$AA$1116,$A$4:$A$1116,A324,$V$4:$V$1116,V324),0)</f>
        <v>3688.7088441771853</v>
      </c>
      <c r="AC324" s="2">
        <f>IF($W324=AC$3,$AB324,IF(NOT($W324=0),"",SUMIFS('Val-Vol (2)'!AC$4:AC$1116,'Val-Vol (2)'!$A$4:$A$1116,$D324,'Val-Vol (2)'!$V$4:$V$1116,$V324)/SUMIFS('Comp2016-2017 (3)'!$G$5:$G$289,'Comp2016-2017 (3)'!$A$5:$A$289,$D324,'Comp2016-2017 (3)'!$R$5:$R$289,$V324)*$AB324))</f>
        <v>1165.8418891057481</v>
      </c>
      <c r="AD324" s="2">
        <f>IF($W324=AD$3,$AB324,IF(NOT($W324=0),"",SUMIFS('Val-Vol (2)'!AD$4:AD$1116,'Val-Vol (2)'!$A$4:$A$1116,$D324,'Val-Vol (2)'!$V$4:$V$1116,$V324)/SUMIFS('Comp2016-2017 (3)'!$G$5:$G$289,'Comp2016-2017 (3)'!$A$5:$A$289,$D324,'Comp2016-2017 (3)'!$R$5:$R$289,$V324)*$AB324))</f>
        <v>1251.9597072500444</v>
      </c>
      <c r="AE324" s="2">
        <f>IF($W324=AE$3,$AB324,IF(NOT($W324=0),"",SUMIFS('Val-Vol (2)'!AE$4:AE$1116,'Val-Vol (2)'!$A$4:$A$1116,$D324,'Val-Vol (2)'!$V$4:$V$1116,$V324)/SUMIFS('Comp2016-2017 (3)'!$G$5:$G$289,'Comp2016-2017 (3)'!$A$5:$A$289,$D324,'Comp2016-2017 (3)'!$R$5:$R$289,$V324)*$AB324))</f>
        <v>21.821651530128719</v>
      </c>
      <c r="AF324" s="2">
        <f>IF($W324=AF$3,$AB324,IF(NOT($W324=0),"",SUMIFS('Val-Vol (2)'!AF$4:AF$1116,'Val-Vol (2)'!$A$4:$A$1116,$D324,'Val-Vol (2)'!$V$4:$V$1116,$V324)/SUMIFS('Comp2016-2017 (3)'!$G$5:$G$289,'Comp2016-2017 (3)'!$A$5:$A$289,$D324,'Comp2016-2017 (3)'!$R$5:$R$289,$V324)*$AB324))</f>
        <v>0</v>
      </c>
      <c r="AG324" s="2">
        <f>IF($W324=AG$3,$AB324,IF(NOT($W324=0),"",SUMIFS('Val-Vol (2)'!AG$4:AG$1116,'Val-Vol (2)'!$A$4:$A$1116,$D324,'Val-Vol (2)'!$V$4:$V$1116,$V324)/SUMIFS('Comp2016-2017 (3)'!$G$5:$G$289,'Comp2016-2017 (3)'!$A$5:$A$289,$D324,'Comp2016-2017 (3)'!$R$5:$R$289,$V324)*$AB324))</f>
        <v>459.11928506651316</v>
      </c>
      <c r="AH324" s="2">
        <f>IF($W324=AH$3,$AB324,IF(NOT($W324=0),"",SUMIFS('Val-Vol (2)'!AH$4:AH$1116,'Val-Vol (2)'!$A$4:$A$1116,$D324,'Val-Vol (2)'!$V$4:$V$1116,$V324)/SUMIFS('Comp2016-2017 (3)'!$G$5:$G$289,'Comp2016-2017 (3)'!$A$5:$A$289,$D324,'Comp2016-2017 (3)'!$R$5:$R$289,$V324)*$AB324))</f>
        <v>0</v>
      </c>
      <c r="AI324" s="2">
        <f>IF($W324=AI$3,$AB324,IF(NOT($W324=0),"",SUMIFS('Val-Vol (2)'!AI$4:AI$1116,'Val-Vol (2)'!$A$4:$A$1116,$D324,'Val-Vol (2)'!$V$4:$V$1116,$V324)/SUMIFS('Comp2016-2017 (3)'!$G$5:$G$289,'Comp2016-2017 (3)'!$A$5:$A$289,$D324,'Comp2016-2017 (3)'!$R$5:$R$289,$V324)*$AB324))</f>
        <v>708.02919608425839</v>
      </c>
      <c r="AJ324" s="2">
        <f>IF($W324=AJ$3,$AB324,IF(NOT($W324=0),"",SUMIFS('Val-Vol (2)'!AJ$4:AJ$1116,'Val-Vol (2)'!$A$4:$A$1116,$D324,'Val-Vol (2)'!$V$4:$V$1116,$V324)/SUMIFS('Comp2016-2017 (3)'!$G$5:$G$289,'Comp2016-2017 (3)'!$A$5:$A$289,$D324,'Comp2016-2017 (3)'!$R$5:$R$289,$V324)*$AB324))</f>
        <v>81.937115140492267</v>
      </c>
      <c r="AK324" s="2">
        <f t="shared" si="37"/>
        <v>0</v>
      </c>
      <c r="AL324" t="str">
        <f t="shared" ref="AL324:AL387" si="40">IF(A324=D324,"remplir à la main","")</f>
        <v/>
      </c>
      <c r="AM324" t="str">
        <f>VLOOKUP(A324,'Table corresp.'!$M$4:$U$63,8,FALSE)</f>
        <v>Production intermédiaire</v>
      </c>
      <c r="AN324" t="str">
        <f>VLOOKUP(D324,'Table corresp.'!$M$4:$U$63,9,FALSE)</f>
        <v>Production intermédiaire</v>
      </c>
    </row>
    <row r="325" spans="1:40" x14ac:dyDescent="0.25">
      <c r="A325" t="s">
        <v>106</v>
      </c>
      <c r="B325" t="str">
        <f>VLOOKUP(LEFT(A325,3),'Table corresp.'!$A$4:$D$63,3,FALSE)</f>
        <v>Transformation</v>
      </c>
      <c r="C325" t="str">
        <f>VLOOKUP(A325,'Table corresp.'!$M$4:$P$63,4,FALSE)</f>
        <v>Production et transformation de produits bois</v>
      </c>
      <c r="D325" t="s">
        <v>82</v>
      </c>
      <c r="E325" t="str">
        <f>VLOOKUP(LEFT(D325,3),'Table corresp.'!$A$4:$D$63,4,FALSE)</f>
        <v>Transformation</v>
      </c>
      <c r="F325" t="str">
        <f t="shared" si="39"/>
        <v xml:space="preserve">63  - 10 </v>
      </c>
      <c r="G325" s="1">
        <v>5623.4354219999987</v>
      </c>
      <c r="H325" s="1">
        <v>0</v>
      </c>
      <c r="I325" s="1">
        <v>5623.4354219999987</v>
      </c>
      <c r="J325" s="1">
        <v>0</v>
      </c>
      <c r="K325" s="1">
        <v>0</v>
      </c>
      <c r="L325" s="1">
        <v>0</v>
      </c>
      <c r="M325" s="1">
        <v>0</v>
      </c>
      <c r="N325" s="1">
        <v>0</v>
      </c>
      <c r="O325" s="1">
        <v>0</v>
      </c>
      <c r="P325" s="1">
        <v>0</v>
      </c>
      <c r="Q325" s="1">
        <v>0</v>
      </c>
      <c r="R325" s="1">
        <v>0</v>
      </c>
      <c r="S325" s="67"/>
      <c r="T325">
        <f>VLOOKUP(A325,'Groupe de branches'!$Z$27:$AM$86,14,FALSE)</f>
        <v>0</v>
      </c>
      <c r="U325">
        <f>VLOOKUP(D325,'Groupe de branches'!$Z$27:$AM$86,14,FALSE)</f>
        <v>0</v>
      </c>
      <c r="V325">
        <v>2016</v>
      </c>
      <c r="W325">
        <f>VLOOKUP(D325,'Table corresp.'!$M$4:$S$63,7,FALSE)</f>
        <v>0</v>
      </c>
      <c r="X325" s="167">
        <f>IFERROR(G325/SUMIFS('Comp2016-2017 (3)'!$I$5:$I$289,'Comp2016-2017 (3)'!$A$5:$A$289,A325,'Comp2016-2017 (3)'!$R$5:$R$289,V325),0)</f>
        <v>1.3894402622895119E-2</v>
      </c>
      <c r="Y325" s="178">
        <f>IFERROR(IF(RIGHT(F325,3)="Exp",VLOOKUP(F325,#REF!,2,FALSE),VLOOKUP(F325,#REF!,9,FALSE)),1)</f>
        <v>1</v>
      </c>
      <c r="Z325" s="167">
        <f t="shared" si="38"/>
        <v>5.8823529411764705E-2</v>
      </c>
      <c r="AA325" s="189">
        <f t="shared" ref="AA325:AA388" si="41">X325*Z325</f>
        <v>8.1731780134677173E-4</v>
      </c>
      <c r="AB325" s="2">
        <f>IFERROR(SUMIFS('Comp2016-2017 (3)'!$G$5:$G$289,'Comp2016-2017 (3)'!$A$5:$A$289,A325,'Comp2016-2017 (3)'!$R$5:$R$289,V325)*AA325/SUMIFS($AA$4:$AA$1116,$A$4:$A$1116,A325,$V$4:$V$1116,V325),0)</f>
        <v>2873.6876311620563</v>
      </c>
      <c r="AC325" s="2">
        <f>IF($W325=AC$3,$AB325,IF(NOT($W325=0),"",SUMIFS('Val-Vol (2)'!AC$4:AC$1116,'Val-Vol (2)'!$A$4:$A$1116,$D325,'Val-Vol (2)'!$V$4:$V$1116,$V325)/SUMIFS('Comp2016-2017 (3)'!$G$5:$G$289,'Comp2016-2017 (3)'!$A$5:$A$289,$D325,'Comp2016-2017 (3)'!$R$5:$R$289,$V325)*$AB325))</f>
        <v>555.68968928573383</v>
      </c>
      <c r="AD325" s="2">
        <f>IF($W325=AD$3,$AB325,IF(NOT($W325=0),"",SUMIFS('Val-Vol (2)'!AD$4:AD$1116,'Val-Vol (2)'!$A$4:$A$1116,$D325,'Val-Vol (2)'!$V$4:$V$1116,$V325)/SUMIFS('Comp2016-2017 (3)'!$G$5:$G$289,'Comp2016-2017 (3)'!$A$5:$A$289,$D325,'Comp2016-2017 (3)'!$R$5:$R$289,$V325)*$AB325))</f>
        <v>819.80095999788705</v>
      </c>
      <c r="AE325" s="2">
        <f>IF($W325=AE$3,$AB325,IF(NOT($W325=0),"",SUMIFS('Val-Vol (2)'!AE$4:AE$1116,'Val-Vol (2)'!$A$4:$A$1116,$D325,'Val-Vol (2)'!$V$4:$V$1116,$V325)/SUMIFS('Comp2016-2017 (3)'!$G$5:$G$289,'Comp2016-2017 (3)'!$A$5:$A$289,$D325,'Comp2016-2017 (3)'!$R$5:$R$289,$V325)*$AB325))</f>
        <v>171.85189560763055</v>
      </c>
      <c r="AF325" s="2">
        <f>IF($W325=AF$3,$AB325,IF(NOT($W325=0),"",SUMIFS('Val-Vol (2)'!AF$4:AF$1116,'Val-Vol (2)'!$A$4:$A$1116,$D325,'Val-Vol (2)'!$V$4:$V$1116,$V325)/SUMIFS('Comp2016-2017 (3)'!$G$5:$G$289,'Comp2016-2017 (3)'!$A$5:$A$289,$D325,'Comp2016-2017 (3)'!$R$5:$R$289,$V325)*$AB325))</f>
        <v>0</v>
      </c>
      <c r="AG325" s="2">
        <f>IF($W325=AG$3,$AB325,IF(NOT($W325=0),"",SUMIFS('Val-Vol (2)'!AG$4:AG$1116,'Val-Vol (2)'!$A$4:$A$1116,$D325,'Val-Vol (2)'!$V$4:$V$1116,$V325)/SUMIFS('Comp2016-2017 (3)'!$G$5:$G$289,'Comp2016-2017 (3)'!$A$5:$A$289,$D325,'Comp2016-2017 (3)'!$R$5:$R$289,$V325)*$AB325))</f>
        <v>590.64192074231562</v>
      </c>
      <c r="AH325" s="2">
        <f>IF($W325=AH$3,$AB325,IF(NOT($W325=0),"",SUMIFS('Val-Vol (2)'!AH$4:AH$1116,'Val-Vol (2)'!$A$4:$A$1116,$D325,'Val-Vol (2)'!$V$4:$V$1116,$V325)/SUMIFS('Comp2016-2017 (3)'!$G$5:$G$289,'Comp2016-2017 (3)'!$A$5:$A$289,$D325,'Comp2016-2017 (3)'!$R$5:$R$289,$V325)*$AB325))</f>
        <v>0</v>
      </c>
      <c r="AI325" s="2">
        <f>IF($W325=AI$3,$AB325,IF(NOT($W325=0),"",SUMIFS('Val-Vol (2)'!AI$4:AI$1116,'Val-Vol (2)'!$A$4:$A$1116,$D325,'Val-Vol (2)'!$V$4:$V$1116,$V325)/SUMIFS('Comp2016-2017 (3)'!$G$5:$G$289,'Comp2016-2017 (3)'!$A$5:$A$289,$D325,'Comp2016-2017 (3)'!$R$5:$R$289,$V325)*$AB325))</f>
        <v>661.76590642585063</v>
      </c>
      <c r="AJ325" s="2">
        <f>IF($W325=AJ$3,$AB325,IF(NOT($W325=0),"",SUMIFS('Val-Vol (2)'!AJ$4:AJ$1116,'Val-Vol (2)'!$A$4:$A$1116,$D325,'Val-Vol (2)'!$V$4:$V$1116,$V325)/SUMIFS('Comp2016-2017 (3)'!$G$5:$G$289,'Comp2016-2017 (3)'!$A$5:$A$289,$D325,'Comp2016-2017 (3)'!$R$5:$R$289,$V325)*$AB325))</f>
        <v>73.937259102638649</v>
      </c>
      <c r="AK325" s="2">
        <f t="shared" si="37"/>
        <v>0</v>
      </c>
      <c r="AL325" t="str">
        <f t="shared" si="40"/>
        <v/>
      </c>
      <c r="AM325" t="str">
        <f>VLOOKUP(A325,'Table corresp.'!$M$4:$U$63,8,FALSE)</f>
        <v>Production intermédiaire</v>
      </c>
      <c r="AN325" t="str">
        <f>VLOOKUP(D325,'Table corresp.'!$M$4:$U$63,9,FALSE)</f>
        <v>Production intermédiaire</v>
      </c>
    </row>
    <row r="326" spans="1:40" x14ac:dyDescent="0.25">
      <c r="A326" t="s">
        <v>106</v>
      </c>
      <c r="B326" t="str">
        <f>VLOOKUP(LEFT(A326,3),'Table corresp.'!$A$4:$D$63,3,FALSE)</f>
        <v>Transformation</v>
      </c>
      <c r="C326" t="str">
        <f>VLOOKUP(A326,'Table corresp.'!$M$4:$P$63,4,FALSE)</f>
        <v>Production et transformation de produits bois</v>
      </c>
      <c r="D326" t="s">
        <v>7</v>
      </c>
      <c r="E326" t="str">
        <f>VLOOKUP(LEFT(D326,3),'Table corresp.'!$A$4:$D$63,4,FALSE)</f>
        <v>Transformation</v>
      </c>
      <c r="F326" t="str">
        <f t="shared" si="39"/>
        <v xml:space="preserve">63  - 12 </v>
      </c>
      <c r="G326" s="1">
        <v>58293.302488862879</v>
      </c>
      <c r="H326" s="1">
        <v>0</v>
      </c>
      <c r="I326" s="1">
        <v>58293.302488862879</v>
      </c>
      <c r="J326" s="1">
        <v>0</v>
      </c>
      <c r="K326" s="1">
        <v>0</v>
      </c>
      <c r="L326" s="1">
        <v>0</v>
      </c>
      <c r="M326" s="1">
        <v>0</v>
      </c>
      <c r="N326" s="1">
        <v>0</v>
      </c>
      <c r="O326" s="1">
        <v>0</v>
      </c>
      <c r="P326" s="1">
        <v>0</v>
      </c>
      <c r="Q326" s="1">
        <v>0</v>
      </c>
      <c r="R326" s="1">
        <v>0</v>
      </c>
      <c r="S326" s="67"/>
      <c r="T326">
        <f>VLOOKUP(A326,'Groupe de branches'!$Z$27:$AM$86,14,FALSE)</f>
        <v>0</v>
      </c>
      <c r="U326">
        <f>VLOOKUP(D326,'Groupe de branches'!$Z$27:$AM$86,14,FALSE)</f>
        <v>0</v>
      </c>
      <c r="V326">
        <v>2016</v>
      </c>
      <c r="W326">
        <f>VLOOKUP(D326,'Table corresp.'!$M$4:$S$63,7,FALSE)</f>
        <v>0</v>
      </c>
      <c r="X326" s="167">
        <f>IFERROR(G326/SUMIFS('Comp2016-2017 (3)'!$I$5:$I$289,'Comp2016-2017 (3)'!$A$5:$A$289,A326,'Comp2016-2017 (3)'!$R$5:$R$289,V326),0)</f>
        <v>0.14403128234206922</v>
      </c>
      <c r="Y326" s="178">
        <f>IFERROR(IF(RIGHT(F326,3)="Exp",VLOOKUP(F326,#REF!,2,FALSE),VLOOKUP(F326,#REF!,9,FALSE)),1)</f>
        <v>1</v>
      </c>
      <c r="Z326" s="167">
        <f t="shared" si="38"/>
        <v>5.8823529411764705E-2</v>
      </c>
      <c r="AA326" s="189">
        <f t="shared" si="41"/>
        <v>8.4724283730628954E-3</v>
      </c>
      <c r="AB326" s="2">
        <f>IFERROR(SUMIFS('Comp2016-2017 (3)'!$G$5:$G$289,'Comp2016-2017 (3)'!$A$5:$A$289,A326,'Comp2016-2017 (3)'!$R$5:$R$289,V326)*AA326/SUMIFS($AA$4:$AA$1116,$A$4:$A$1116,A326,$V$4:$V$1116,V326),0)</f>
        <v>29789.039932151572</v>
      </c>
      <c r="AC326" s="2">
        <f>IF($W326=AC$3,$AB326,IF(NOT($W326=0),"",SUMIFS('Val-Vol (2)'!AC$4:AC$1116,'Val-Vol (2)'!$A$4:$A$1116,$D326,'Val-Vol (2)'!$V$4:$V$1116,$V326)/SUMIFS('Comp2016-2017 (3)'!$G$5:$G$289,'Comp2016-2017 (3)'!$A$5:$A$289,$D326,'Comp2016-2017 (3)'!$R$5:$R$289,$V326)*$AB326))</f>
        <v>1874.1124110650953</v>
      </c>
      <c r="AD326" s="2">
        <f>IF($W326=AD$3,$AB326,IF(NOT($W326=0),"",SUMIFS('Val-Vol (2)'!AD$4:AD$1116,'Val-Vol (2)'!$A$4:$A$1116,$D326,'Val-Vol (2)'!$V$4:$V$1116,$V326)/SUMIFS('Comp2016-2017 (3)'!$G$5:$G$289,'Comp2016-2017 (3)'!$A$5:$A$289,$D326,'Comp2016-2017 (3)'!$R$5:$R$289,$V326)*$AB326))</f>
        <v>19345.362444895796</v>
      </c>
      <c r="AE326" s="2">
        <f>IF($W326=AE$3,$AB326,IF(NOT($W326=0),"",SUMIFS('Val-Vol (2)'!AE$4:AE$1116,'Val-Vol (2)'!$A$4:$A$1116,$D326,'Val-Vol (2)'!$V$4:$V$1116,$V326)/SUMIFS('Comp2016-2017 (3)'!$G$5:$G$289,'Comp2016-2017 (3)'!$A$5:$A$289,$D326,'Comp2016-2017 (3)'!$R$5:$R$289,$V326)*$AB326))</f>
        <v>554.31813455705981</v>
      </c>
      <c r="AF326" s="2">
        <f>IF($W326=AF$3,$AB326,IF(NOT($W326=0),"",SUMIFS('Val-Vol (2)'!AF$4:AF$1116,'Val-Vol (2)'!$A$4:$A$1116,$D326,'Val-Vol (2)'!$V$4:$V$1116,$V326)/SUMIFS('Comp2016-2017 (3)'!$G$5:$G$289,'Comp2016-2017 (3)'!$A$5:$A$289,$D326,'Comp2016-2017 (3)'!$R$5:$R$289,$V326)*$AB326))</f>
        <v>0</v>
      </c>
      <c r="AG326" s="2">
        <f>IF($W326=AG$3,$AB326,IF(NOT($W326=0),"",SUMIFS('Val-Vol (2)'!AG$4:AG$1116,'Val-Vol (2)'!$A$4:$A$1116,$D326,'Val-Vol (2)'!$V$4:$V$1116,$V326)/SUMIFS('Comp2016-2017 (3)'!$G$5:$G$289,'Comp2016-2017 (3)'!$A$5:$A$289,$D326,'Comp2016-2017 (3)'!$R$5:$R$289,$V326)*$AB326))</f>
        <v>3613.7441804669647</v>
      </c>
      <c r="AH326" s="2">
        <f>IF($W326=AH$3,$AB326,IF(NOT($W326=0),"",SUMIFS('Val-Vol (2)'!AH$4:AH$1116,'Val-Vol (2)'!$A$4:$A$1116,$D326,'Val-Vol (2)'!$V$4:$V$1116,$V326)/SUMIFS('Comp2016-2017 (3)'!$G$5:$G$289,'Comp2016-2017 (3)'!$A$5:$A$289,$D326,'Comp2016-2017 (3)'!$R$5:$R$289,$V326)*$AB326))</f>
        <v>0</v>
      </c>
      <c r="AI326" s="2">
        <f>IF($W326=AI$3,$AB326,IF(NOT($W326=0),"",SUMIFS('Val-Vol (2)'!AI$4:AI$1116,'Val-Vol (2)'!$A$4:$A$1116,$D326,'Val-Vol (2)'!$V$4:$V$1116,$V326)/SUMIFS('Comp2016-2017 (3)'!$G$5:$G$289,'Comp2016-2017 (3)'!$A$5:$A$289,$D326,'Comp2016-2017 (3)'!$R$5:$R$289,$V326)*$AB326))</f>
        <v>922.56683548349304</v>
      </c>
      <c r="AJ326" s="2">
        <f>IF($W326=AJ$3,$AB326,IF(NOT($W326=0),"",SUMIFS('Val-Vol (2)'!AJ$4:AJ$1116,'Val-Vol (2)'!$A$4:$A$1116,$D326,'Val-Vol (2)'!$V$4:$V$1116,$V326)/SUMIFS('Comp2016-2017 (3)'!$G$5:$G$289,'Comp2016-2017 (3)'!$A$5:$A$289,$D326,'Comp2016-2017 (3)'!$R$5:$R$289,$V326)*$AB326))</f>
        <v>3478.9359256831626</v>
      </c>
      <c r="AK326" s="2">
        <f t="shared" si="37"/>
        <v>0</v>
      </c>
      <c r="AL326" t="str">
        <f t="shared" si="40"/>
        <v/>
      </c>
      <c r="AM326" t="str">
        <f>VLOOKUP(A326,'Table corresp.'!$M$4:$U$63,8,FALSE)</f>
        <v>Production intermédiaire</v>
      </c>
      <c r="AN326" t="str">
        <f>VLOOKUP(D326,'Table corresp.'!$M$4:$U$63,9,FALSE)</f>
        <v>Production intermédiaire</v>
      </c>
    </row>
    <row r="327" spans="1:40" x14ac:dyDescent="0.25">
      <c r="A327" t="s">
        <v>106</v>
      </c>
      <c r="B327" t="str">
        <f>VLOOKUP(LEFT(A327,3),'Table corresp.'!$A$4:$D$63,3,FALSE)</f>
        <v>Transformation</v>
      </c>
      <c r="C327" t="str">
        <f>VLOOKUP(A327,'Table corresp.'!$M$4:$P$63,4,FALSE)</f>
        <v>Production et transformation de produits bois</v>
      </c>
      <c r="D327" t="s">
        <v>8</v>
      </c>
      <c r="E327" t="str">
        <f>VLOOKUP(LEFT(D327,3),'Table corresp.'!$A$4:$D$63,4,FALSE)</f>
        <v>Transformation</v>
      </c>
      <c r="F327" t="str">
        <f t="shared" si="39"/>
        <v xml:space="preserve">63  - 13 </v>
      </c>
      <c r="G327" s="1">
        <v>14326.735500000001</v>
      </c>
      <c r="H327" s="1">
        <v>0</v>
      </c>
      <c r="I327" s="1">
        <v>14326.735500000001</v>
      </c>
      <c r="J327" s="1">
        <v>0</v>
      </c>
      <c r="K327" s="1">
        <v>0</v>
      </c>
      <c r="L327" s="1">
        <v>0</v>
      </c>
      <c r="M327" s="1">
        <v>0</v>
      </c>
      <c r="N327" s="1">
        <v>0</v>
      </c>
      <c r="O327" s="1">
        <v>0</v>
      </c>
      <c r="P327" s="1">
        <v>0</v>
      </c>
      <c r="Q327" s="1">
        <v>0</v>
      </c>
      <c r="R327" s="1">
        <v>0</v>
      </c>
      <c r="S327" s="67"/>
      <c r="T327">
        <f>VLOOKUP(A327,'Groupe de branches'!$Z$27:$AM$86,14,FALSE)</f>
        <v>0</v>
      </c>
      <c r="U327">
        <f>VLOOKUP(D327,'Groupe de branches'!$Z$27:$AM$86,14,FALSE)</f>
        <v>0</v>
      </c>
      <c r="V327">
        <v>2016</v>
      </c>
      <c r="W327">
        <f>VLOOKUP(D327,'Table corresp.'!$M$4:$S$63,7,FALSE)</f>
        <v>0</v>
      </c>
      <c r="X327" s="167">
        <f>IFERROR(G327/SUMIFS('Comp2016-2017 (3)'!$I$5:$I$289,'Comp2016-2017 (3)'!$A$5:$A$289,A327,'Comp2016-2017 (3)'!$R$5:$R$289,V327),0)</f>
        <v>3.5398544905478363E-2</v>
      </c>
      <c r="Y327" s="178">
        <f>IFERROR(IF(RIGHT(F327,3)="Exp",VLOOKUP(F327,#REF!,2,FALSE),VLOOKUP(F327,#REF!,9,FALSE)),1)</f>
        <v>1</v>
      </c>
      <c r="Z327" s="167">
        <f t="shared" si="38"/>
        <v>5.8823529411764705E-2</v>
      </c>
      <c r="AA327" s="189">
        <f t="shared" si="41"/>
        <v>2.0822673473810801E-3</v>
      </c>
      <c r="AB327" s="2">
        <f>IFERROR(SUMIFS('Comp2016-2017 (3)'!$G$5:$G$289,'Comp2016-2017 (3)'!$A$5:$A$289,A327,'Comp2016-2017 (3)'!$R$5:$R$289,V327)*AA327/SUMIFS($AA$4:$AA$1116,$A$4:$A$1116,A327,$V$4:$V$1116,V327),0)</f>
        <v>7321.2475136129251</v>
      </c>
      <c r="AC327" s="2">
        <f>IF($W327=AC$3,$AB327,IF(NOT($W327=0),"",SUMIFS('Val-Vol (2)'!AC$4:AC$1116,'Val-Vol (2)'!$A$4:$A$1116,$D327,'Val-Vol (2)'!$V$4:$V$1116,$V327)/SUMIFS('Comp2016-2017 (3)'!$G$5:$G$289,'Comp2016-2017 (3)'!$A$5:$A$289,$D327,'Comp2016-2017 (3)'!$R$5:$R$289,$V327)*$AB327))</f>
        <v>1052.9523574802233</v>
      </c>
      <c r="AD327" s="2">
        <f>IF($W327=AD$3,$AB327,IF(NOT($W327=0),"",SUMIFS('Val-Vol (2)'!AD$4:AD$1116,'Val-Vol (2)'!$A$4:$A$1116,$D327,'Val-Vol (2)'!$V$4:$V$1116,$V327)/SUMIFS('Comp2016-2017 (3)'!$G$5:$G$289,'Comp2016-2017 (3)'!$A$5:$A$289,$D327,'Comp2016-2017 (3)'!$R$5:$R$289,$V327)*$AB327))</f>
        <v>2360.6863155208098</v>
      </c>
      <c r="AE327" s="2">
        <f>IF($W327=AE$3,$AB327,IF(NOT($W327=0),"",SUMIFS('Val-Vol (2)'!AE$4:AE$1116,'Val-Vol (2)'!$A$4:$A$1116,$D327,'Val-Vol (2)'!$V$4:$V$1116,$V327)/SUMIFS('Comp2016-2017 (3)'!$G$5:$G$289,'Comp2016-2017 (3)'!$A$5:$A$289,$D327,'Comp2016-2017 (3)'!$R$5:$R$289,$V327)*$AB327))</f>
        <v>0.39725036264052688</v>
      </c>
      <c r="AF327" s="2">
        <f>IF($W327=AF$3,$AB327,IF(NOT($W327=0),"",SUMIFS('Val-Vol (2)'!AF$4:AF$1116,'Val-Vol (2)'!$A$4:$A$1116,$D327,'Val-Vol (2)'!$V$4:$V$1116,$V327)/SUMIFS('Comp2016-2017 (3)'!$G$5:$G$289,'Comp2016-2017 (3)'!$A$5:$A$289,$D327,'Comp2016-2017 (3)'!$R$5:$R$289,$V327)*$AB327))</f>
        <v>0</v>
      </c>
      <c r="AG327" s="2">
        <f>IF($W327=AG$3,$AB327,IF(NOT($W327=0),"",SUMIFS('Val-Vol (2)'!AG$4:AG$1116,'Val-Vol (2)'!$A$4:$A$1116,$D327,'Val-Vol (2)'!$V$4:$V$1116,$V327)/SUMIFS('Comp2016-2017 (3)'!$G$5:$G$289,'Comp2016-2017 (3)'!$A$5:$A$289,$D327,'Comp2016-2017 (3)'!$R$5:$R$289,$V327)*$AB327))</f>
        <v>1847.630217795014</v>
      </c>
      <c r="AH327" s="2">
        <f>IF($W327=AH$3,$AB327,IF(NOT($W327=0),"",SUMIFS('Val-Vol (2)'!AH$4:AH$1116,'Val-Vol (2)'!$A$4:$A$1116,$D327,'Val-Vol (2)'!$V$4:$V$1116,$V327)/SUMIFS('Comp2016-2017 (3)'!$G$5:$G$289,'Comp2016-2017 (3)'!$A$5:$A$289,$D327,'Comp2016-2017 (3)'!$R$5:$R$289,$V327)*$AB327))</f>
        <v>0</v>
      </c>
      <c r="AI327" s="2">
        <f>IF($W327=AI$3,$AB327,IF(NOT($W327=0),"",SUMIFS('Val-Vol (2)'!AI$4:AI$1116,'Val-Vol (2)'!$A$4:$A$1116,$D327,'Val-Vol (2)'!$V$4:$V$1116,$V327)/SUMIFS('Comp2016-2017 (3)'!$G$5:$G$289,'Comp2016-2017 (3)'!$A$5:$A$289,$D327,'Comp2016-2017 (3)'!$R$5:$R$289,$V327)*$AB327))</f>
        <v>0</v>
      </c>
      <c r="AJ327" s="2">
        <f>IF($W327=AJ$3,$AB327,IF(NOT($W327=0),"",SUMIFS('Val-Vol (2)'!AJ$4:AJ$1116,'Val-Vol (2)'!$A$4:$A$1116,$D327,'Val-Vol (2)'!$V$4:$V$1116,$V327)/SUMIFS('Comp2016-2017 (3)'!$G$5:$G$289,'Comp2016-2017 (3)'!$A$5:$A$289,$D327,'Comp2016-2017 (3)'!$R$5:$R$289,$V327)*$AB327))</f>
        <v>2059.5813724542363</v>
      </c>
      <c r="AK327" s="2">
        <f t="shared" si="37"/>
        <v>0</v>
      </c>
      <c r="AL327" t="str">
        <f t="shared" si="40"/>
        <v/>
      </c>
      <c r="AM327" t="str">
        <f>VLOOKUP(A327,'Table corresp.'!$M$4:$U$63,8,FALSE)</f>
        <v>Production intermédiaire</v>
      </c>
      <c r="AN327" t="str">
        <f>VLOOKUP(D327,'Table corresp.'!$M$4:$U$63,9,FALSE)</f>
        <v>Production intermédiaire</v>
      </c>
    </row>
    <row r="328" spans="1:40" x14ac:dyDescent="0.25">
      <c r="A328" t="s">
        <v>106</v>
      </c>
      <c r="B328" t="str">
        <f>VLOOKUP(LEFT(A328,3),'Table corresp.'!$A$4:$D$63,3,FALSE)</f>
        <v>Transformation</v>
      </c>
      <c r="C328" t="str">
        <f>VLOOKUP(A328,'Table corresp.'!$M$4:$P$63,4,FALSE)</f>
        <v>Production et transformation de produits bois</v>
      </c>
      <c r="D328" t="s">
        <v>83</v>
      </c>
      <c r="E328" t="str">
        <f>VLOOKUP(LEFT(D328,3),'Table corresp.'!$A$4:$D$63,4,FALSE)</f>
        <v>Transformation</v>
      </c>
      <c r="F328" t="str">
        <f t="shared" si="39"/>
        <v xml:space="preserve">63  - 14 </v>
      </c>
      <c r="G328" s="1">
        <v>11439.123299999999</v>
      </c>
      <c r="H328" s="1">
        <v>0</v>
      </c>
      <c r="I328" s="1">
        <v>11439.123299999999</v>
      </c>
      <c r="J328" s="1">
        <v>0</v>
      </c>
      <c r="K328" s="1">
        <v>0</v>
      </c>
      <c r="L328" s="1">
        <v>0</v>
      </c>
      <c r="M328" s="1">
        <v>0</v>
      </c>
      <c r="N328" s="1">
        <v>0</v>
      </c>
      <c r="O328" s="1">
        <v>0</v>
      </c>
      <c r="P328" s="1">
        <v>0</v>
      </c>
      <c r="Q328" s="1">
        <v>0</v>
      </c>
      <c r="R328" s="1">
        <v>0</v>
      </c>
      <c r="S328" s="67"/>
      <c r="T328">
        <f>VLOOKUP(A328,'Groupe de branches'!$Z$27:$AM$86,14,FALSE)</f>
        <v>0</v>
      </c>
      <c r="U328">
        <f>VLOOKUP(D328,'Groupe de branches'!$Z$27:$AM$86,14,FALSE)</f>
        <v>0</v>
      </c>
      <c r="V328">
        <v>2016</v>
      </c>
      <c r="W328">
        <f>VLOOKUP(D328,'Table corresp.'!$M$4:$S$63,7,FALSE)</f>
        <v>0</v>
      </c>
      <c r="X328" s="167">
        <f>IFERROR(G328/SUMIFS('Comp2016-2017 (3)'!$I$5:$I$289,'Comp2016-2017 (3)'!$A$5:$A$289,A328,'Comp2016-2017 (3)'!$R$5:$R$289,V328),0)</f>
        <v>2.8263823242521215E-2</v>
      </c>
      <c r="Y328" s="178">
        <f>IFERROR(IF(RIGHT(F328,3)="Exp",VLOOKUP(F328,#REF!,2,FALSE),VLOOKUP(F328,#REF!,9,FALSE)),1)</f>
        <v>1</v>
      </c>
      <c r="Z328" s="167">
        <f t="shared" si="38"/>
        <v>5.8823529411764705E-2</v>
      </c>
      <c r="AA328" s="189">
        <f t="shared" si="41"/>
        <v>1.6625778377953656E-3</v>
      </c>
      <c r="AB328" s="2">
        <f>IFERROR(SUMIFS('Comp2016-2017 (3)'!$G$5:$G$289,'Comp2016-2017 (3)'!$A$5:$A$289,A328,'Comp2016-2017 (3)'!$R$5:$R$289,V328)*AA328/SUMIFS($AA$4:$AA$1116,$A$4:$A$1116,A328,$V$4:$V$1116,V328),0)</f>
        <v>5845.6201008273429</v>
      </c>
      <c r="AC328" s="2">
        <f>IF($W328=AC$3,$AB328,IF(NOT($W328=0),"",SUMIFS('Val-Vol (2)'!AC$4:AC$1116,'Val-Vol (2)'!$A$4:$A$1116,$D328,'Val-Vol (2)'!$V$4:$V$1116,$V328)/SUMIFS('Comp2016-2017 (3)'!$G$5:$G$289,'Comp2016-2017 (3)'!$A$5:$A$289,$D328,'Comp2016-2017 (3)'!$R$5:$R$289,$V328)*$AB328))</f>
        <v>3663.5042312406445</v>
      </c>
      <c r="AD328" s="2">
        <f>IF($W328=AD$3,$AB328,IF(NOT($W328=0),"",SUMIFS('Val-Vol (2)'!AD$4:AD$1116,'Val-Vol (2)'!$A$4:$A$1116,$D328,'Val-Vol (2)'!$V$4:$V$1116,$V328)/SUMIFS('Comp2016-2017 (3)'!$G$5:$G$289,'Comp2016-2017 (3)'!$A$5:$A$289,$D328,'Comp2016-2017 (3)'!$R$5:$R$289,$V328)*$AB328))</f>
        <v>987.15051389144992</v>
      </c>
      <c r="AE328" s="2">
        <f>IF($W328=AE$3,$AB328,IF(NOT($W328=0),"",SUMIFS('Val-Vol (2)'!AE$4:AE$1116,'Val-Vol (2)'!$A$4:$A$1116,$D328,'Val-Vol (2)'!$V$4:$V$1116,$V328)/SUMIFS('Comp2016-2017 (3)'!$G$5:$G$289,'Comp2016-2017 (3)'!$A$5:$A$289,$D328,'Comp2016-2017 (3)'!$R$5:$R$289,$V328)*$AB328))</f>
        <v>36.848066306997374</v>
      </c>
      <c r="AF328" s="2">
        <f>IF($W328=AF$3,$AB328,IF(NOT($W328=0),"",SUMIFS('Val-Vol (2)'!AF$4:AF$1116,'Val-Vol (2)'!$A$4:$A$1116,$D328,'Val-Vol (2)'!$V$4:$V$1116,$V328)/SUMIFS('Comp2016-2017 (3)'!$G$5:$G$289,'Comp2016-2017 (3)'!$A$5:$A$289,$D328,'Comp2016-2017 (3)'!$R$5:$R$289,$V328)*$AB328))</f>
        <v>0</v>
      </c>
      <c r="AG328" s="2">
        <f>IF($W328=AG$3,$AB328,IF(NOT($W328=0),"",SUMIFS('Val-Vol (2)'!AG$4:AG$1116,'Val-Vol (2)'!$A$4:$A$1116,$D328,'Val-Vol (2)'!$V$4:$V$1116,$V328)/SUMIFS('Comp2016-2017 (3)'!$G$5:$G$289,'Comp2016-2017 (3)'!$A$5:$A$289,$D328,'Comp2016-2017 (3)'!$R$5:$R$289,$V328)*$AB328))</f>
        <v>1072.3286434827999</v>
      </c>
      <c r="AH328" s="2">
        <f>IF($W328=AH$3,$AB328,IF(NOT($W328=0),"",SUMIFS('Val-Vol (2)'!AH$4:AH$1116,'Val-Vol (2)'!$A$4:$A$1116,$D328,'Val-Vol (2)'!$V$4:$V$1116,$V328)/SUMIFS('Comp2016-2017 (3)'!$G$5:$G$289,'Comp2016-2017 (3)'!$A$5:$A$289,$D328,'Comp2016-2017 (3)'!$R$5:$R$289,$V328)*$AB328))</f>
        <v>0</v>
      </c>
      <c r="AI328" s="2">
        <f>IF($W328=AI$3,$AB328,IF(NOT($W328=0),"",SUMIFS('Val-Vol (2)'!AI$4:AI$1116,'Val-Vol (2)'!$A$4:$A$1116,$D328,'Val-Vol (2)'!$V$4:$V$1116,$V328)/SUMIFS('Comp2016-2017 (3)'!$G$5:$G$289,'Comp2016-2017 (3)'!$A$5:$A$289,$D328,'Comp2016-2017 (3)'!$R$5:$R$289,$V328)*$AB328))</f>
        <v>0</v>
      </c>
      <c r="AJ328" s="2">
        <f>IF($W328=AJ$3,$AB328,IF(NOT($W328=0),"",SUMIFS('Val-Vol (2)'!AJ$4:AJ$1116,'Val-Vol (2)'!$A$4:$A$1116,$D328,'Val-Vol (2)'!$V$4:$V$1116,$V328)/SUMIFS('Comp2016-2017 (3)'!$G$5:$G$289,'Comp2016-2017 (3)'!$A$5:$A$289,$D328,'Comp2016-2017 (3)'!$R$5:$R$289,$V328)*$AB328))</f>
        <v>85.788645905449769</v>
      </c>
      <c r="AK328" s="2">
        <f t="shared" si="37"/>
        <v>0</v>
      </c>
      <c r="AL328" t="str">
        <f t="shared" si="40"/>
        <v/>
      </c>
      <c r="AM328" t="str">
        <f>VLOOKUP(A328,'Table corresp.'!$M$4:$U$63,8,FALSE)</f>
        <v>Production intermédiaire</v>
      </c>
      <c r="AN328" t="str">
        <f>VLOOKUP(D328,'Table corresp.'!$M$4:$U$63,9,FALSE)</f>
        <v>Production intermédiaire</v>
      </c>
    </row>
    <row r="329" spans="1:40" x14ac:dyDescent="0.25">
      <c r="A329" t="s">
        <v>106</v>
      </c>
      <c r="B329" t="str">
        <f>VLOOKUP(LEFT(A329,3),'Table corresp.'!$A$4:$D$63,3,FALSE)</f>
        <v>Transformation</v>
      </c>
      <c r="C329" t="str">
        <f>VLOOKUP(A329,'Table corresp.'!$M$4:$P$63,4,FALSE)</f>
        <v>Production et transformation de produits bois</v>
      </c>
      <c r="D329" t="s">
        <v>9</v>
      </c>
      <c r="E329" t="str">
        <f>VLOOKUP(LEFT(D329,3),'Table corresp.'!$A$4:$D$63,4,FALSE)</f>
        <v>Transformation</v>
      </c>
      <c r="F329" t="str">
        <f t="shared" si="39"/>
        <v xml:space="preserve">63  - 15 </v>
      </c>
      <c r="G329" s="1">
        <v>27313.775280000002</v>
      </c>
      <c r="H329" s="1">
        <v>0</v>
      </c>
      <c r="I329" s="1">
        <v>27313.775280000002</v>
      </c>
      <c r="J329" s="1">
        <v>0</v>
      </c>
      <c r="K329" s="1">
        <v>0</v>
      </c>
      <c r="L329" s="1">
        <v>0</v>
      </c>
      <c r="M329" s="1">
        <v>0</v>
      </c>
      <c r="N329" s="1">
        <v>0</v>
      </c>
      <c r="O329" s="1">
        <v>0</v>
      </c>
      <c r="P329" s="1">
        <v>0</v>
      </c>
      <c r="Q329" s="1">
        <v>0</v>
      </c>
      <c r="R329" s="1">
        <v>0</v>
      </c>
      <c r="S329" s="67"/>
      <c r="T329">
        <f>VLOOKUP(A329,'Groupe de branches'!$Z$27:$AM$86,14,FALSE)</f>
        <v>0</v>
      </c>
      <c r="U329">
        <f>VLOOKUP(D329,'Groupe de branches'!$Z$27:$AM$86,14,FALSE)</f>
        <v>0</v>
      </c>
      <c r="V329">
        <v>2016</v>
      </c>
      <c r="W329">
        <f>VLOOKUP(D329,'Table corresp.'!$M$4:$S$63,7,FALSE)</f>
        <v>0</v>
      </c>
      <c r="X329" s="167">
        <f>IFERROR(G329/SUMIFS('Comp2016-2017 (3)'!$I$5:$I$289,'Comp2016-2017 (3)'!$A$5:$A$289,A329,'Comp2016-2017 (3)'!$R$5:$R$289,V329),0)</f>
        <v>6.7486965246704306E-2</v>
      </c>
      <c r="Y329" s="178">
        <f>IFERROR(IF(RIGHT(F329,3)="Exp",VLOOKUP(F329,#REF!,2,FALSE),VLOOKUP(F329,#REF!,9,FALSE)),1)</f>
        <v>1</v>
      </c>
      <c r="Z329" s="167">
        <f t="shared" si="38"/>
        <v>5.8823529411764705E-2</v>
      </c>
      <c r="AA329" s="189">
        <f t="shared" si="41"/>
        <v>3.9698214851002535E-3</v>
      </c>
      <c r="AB329" s="2">
        <f>IFERROR(SUMIFS('Comp2016-2017 (3)'!$G$5:$G$289,'Comp2016-2017 (3)'!$A$5:$A$289,A329,'Comp2016-2017 (3)'!$R$5:$R$289,V329)*AA329/SUMIFS($AA$4:$AA$1116,$A$4:$A$1116,A329,$V$4:$V$1116,V329),0)</f>
        <v>13957.883800959555</v>
      </c>
      <c r="AC329" s="2">
        <f>IF($W329=AC$3,$AB329,IF(NOT($W329=0),"",SUMIFS('Val-Vol (2)'!AC$4:AC$1116,'Val-Vol (2)'!$A$4:$A$1116,$D329,'Val-Vol (2)'!$V$4:$V$1116,$V329)/SUMIFS('Comp2016-2017 (3)'!$G$5:$G$289,'Comp2016-2017 (3)'!$A$5:$A$289,$D329,'Comp2016-2017 (3)'!$R$5:$R$289,$V329)*$AB329))</f>
        <v>470.29813259142713</v>
      </c>
      <c r="AD329" s="2">
        <f>IF($W329=AD$3,$AB329,IF(NOT($W329=0),"",SUMIFS('Val-Vol (2)'!AD$4:AD$1116,'Val-Vol (2)'!$A$4:$A$1116,$D329,'Val-Vol (2)'!$V$4:$V$1116,$V329)/SUMIFS('Comp2016-2017 (3)'!$G$5:$G$289,'Comp2016-2017 (3)'!$A$5:$A$289,$D329,'Comp2016-2017 (3)'!$R$5:$R$289,$V329)*$AB329))</f>
        <v>2679.0036160375939</v>
      </c>
      <c r="AE329" s="2">
        <f>IF($W329=AE$3,$AB329,IF(NOT($W329=0),"",SUMIFS('Val-Vol (2)'!AE$4:AE$1116,'Val-Vol (2)'!$A$4:$A$1116,$D329,'Val-Vol (2)'!$V$4:$V$1116,$V329)/SUMIFS('Comp2016-2017 (3)'!$G$5:$G$289,'Comp2016-2017 (3)'!$A$5:$A$289,$D329,'Comp2016-2017 (3)'!$R$5:$R$289,$V329)*$AB329))</f>
        <v>0.3190420167927091</v>
      </c>
      <c r="AF329" s="2">
        <f>IF($W329=AF$3,$AB329,IF(NOT($W329=0),"",SUMIFS('Val-Vol (2)'!AF$4:AF$1116,'Val-Vol (2)'!$A$4:$A$1116,$D329,'Val-Vol (2)'!$V$4:$V$1116,$V329)/SUMIFS('Comp2016-2017 (3)'!$G$5:$G$289,'Comp2016-2017 (3)'!$A$5:$A$289,$D329,'Comp2016-2017 (3)'!$R$5:$R$289,$V329)*$AB329))</f>
        <v>0</v>
      </c>
      <c r="AG329" s="2">
        <f>IF($W329=AG$3,$AB329,IF(NOT($W329=0),"",SUMIFS('Val-Vol (2)'!AG$4:AG$1116,'Val-Vol (2)'!$A$4:$A$1116,$D329,'Val-Vol (2)'!$V$4:$V$1116,$V329)/SUMIFS('Comp2016-2017 (3)'!$G$5:$G$289,'Comp2016-2017 (3)'!$A$5:$A$289,$D329,'Comp2016-2017 (3)'!$R$5:$R$289,$V329)*$AB329))</f>
        <v>6216.6258822404379</v>
      </c>
      <c r="AH329" s="2">
        <f>IF($W329=AH$3,$AB329,IF(NOT($W329=0),"",SUMIFS('Val-Vol (2)'!AH$4:AH$1116,'Val-Vol (2)'!$A$4:$A$1116,$D329,'Val-Vol (2)'!$V$4:$V$1116,$V329)/SUMIFS('Comp2016-2017 (3)'!$G$5:$G$289,'Comp2016-2017 (3)'!$A$5:$A$289,$D329,'Comp2016-2017 (3)'!$R$5:$R$289,$V329)*$AB329))</f>
        <v>0</v>
      </c>
      <c r="AI329" s="2">
        <f>IF($W329=AI$3,$AB329,IF(NOT($W329=0),"",SUMIFS('Val-Vol (2)'!AI$4:AI$1116,'Val-Vol (2)'!$A$4:$A$1116,$D329,'Val-Vol (2)'!$V$4:$V$1116,$V329)/SUMIFS('Comp2016-2017 (3)'!$G$5:$G$289,'Comp2016-2017 (3)'!$A$5:$A$289,$D329,'Comp2016-2017 (3)'!$R$5:$R$289,$V329)*$AB329))</f>
        <v>0</v>
      </c>
      <c r="AJ329" s="2">
        <f>IF($W329=AJ$3,$AB329,IF(NOT($W329=0),"",SUMIFS('Val-Vol (2)'!AJ$4:AJ$1116,'Val-Vol (2)'!$A$4:$A$1116,$D329,'Val-Vol (2)'!$V$4:$V$1116,$V329)/SUMIFS('Comp2016-2017 (3)'!$G$5:$G$289,'Comp2016-2017 (3)'!$A$5:$A$289,$D329,'Comp2016-2017 (3)'!$R$5:$R$289,$V329)*$AB329))</f>
        <v>4591.6371280733028</v>
      </c>
      <c r="AK329" s="2">
        <f t="shared" si="37"/>
        <v>0</v>
      </c>
      <c r="AL329" t="str">
        <f t="shared" si="40"/>
        <v/>
      </c>
      <c r="AM329" t="str">
        <f>VLOOKUP(A329,'Table corresp.'!$M$4:$U$63,8,FALSE)</f>
        <v>Production intermédiaire</v>
      </c>
      <c r="AN329" t="str">
        <f>VLOOKUP(D329,'Table corresp.'!$M$4:$U$63,9,FALSE)</f>
        <v>Production intermédiaire</v>
      </c>
    </row>
    <row r="330" spans="1:40" x14ac:dyDescent="0.25">
      <c r="A330" t="s">
        <v>106</v>
      </c>
      <c r="B330" t="str">
        <f>VLOOKUP(LEFT(A330,3),'Table corresp.'!$A$4:$D$63,3,FALSE)</f>
        <v>Transformation</v>
      </c>
      <c r="C330" t="str">
        <f>VLOOKUP(A330,'Table corresp.'!$M$4:$P$63,4,FALSE)</f>
        <v>Production et transformation de produits bois</v>
      </c>
      <c r="D330" t="s">
        <v>10</v>
      </c>
      <c r="E330" t="str">
        <f>VLOOKUP(LEFT(D330,3),'Table corresp.'!$A$4:$D$63,4,FALSE)</f>
        <v>Transformation</v>
      </c>
      <c r="F330" t="str">
        <f t="shared" si="39"/>
        <v xml:space="preserve">63  - 16 </v>
      </c>
      <c r="G330" s="1">
        <v>2475</v>
      </c>
      <c r="H330" s="1">
        <v>0</v>
      </c>
      <c r="I330" s="1">
        <v>2475</v>
      </c>
      <c r="J330" s="1">
        <v>0</v>
      </c>
      <c r="K330" s="1">
        <v>0</v>
      </c>
      <c r="L330" s="1">
        <v>0</v>
      </c>
      <c r="M330" s="1">
        <v>0</v>
      </c>
      <c r="N330" s="1">
        <v>0</v>
      </c>
      <c r="O330" s="1">
        <v>0</v>
      </c>
      <c r="P330" s="1">
        <v>0</v>
      </c>
      <c r="Q330" s="1">
        <v>0</v>
      </c>
      <c r="R330" s="1">
        <v>0</v>
      </c>
      <c r="S330" s="67"/>
      <c r="T330">
        <f>VLOOKUP(A330,'Groupe de branches'!$Z$27:$AM$86,14,FALSE)</f>
        <v>0</v>
      </c>
      <c r="U330">
        <f>VLOOKUP(D330,'Groupe de branches'!$Z$27:$AM$86,14,FALSE)</f>
        <v>0</v>
      </c>
      <c r="V330">
        <v>2016</v>
      </c>
      <c r="W330" t="str">
        <f>VLOOKUP(D330,'Table corresp.'!$M$4:$S$63,7,FALSE)</f>
        <v>Emballage bois et carton</v>
      </c>
      <c r="X330" s="167">
        <f>IFERROR(G330/SUMIFS('Comp2016-2017 (3)'!$I$5:$I$289,'Comp2016-2017 (3)'!$A$5:$A$289,A330,'Comp2016-2017 (3)'!$R$5:$R$289,V330),0)</f>
        <v>6.1152380904260393E-3</v>
      </c>
      <c r="Y330" s="178">
        <f>IFERROR(IF(RIGHT(F330,3)="Exp",VLOOKUP(F330,#REF!,2,FALSE),VLOOKUP(F330,#REF!,9,FALSE)),1)</f>
        <v>1</v>
      </c>
      <c r="Z330" s="167">
        <f t="shared" si="38"/>
        <v>5.8823529411764705E-2</v>
      </c>
      <c r="AA330" s="189">
        <f t="shared" si="41"/>
        <v>3.5971988767211993E-4</v>
      </c>
      <c r="AB330" s="2">
        <f>IFERROR(SUMIFS('Comp2016-2017 (3)'!$G$5:$G$289,'Comp2016-2017 (3)'!$A$5:$A$289,A330,'Comp2016-2017 (3)'!$R$5:$R$289,V330)*AA330/SUMIFS($AA$4:$AA$1116,$A$4:$A$1116,A330,$V$4:$V$1116,V330),0)</f>
        <v>1264.7743511557107</v>
      </c>
      <c r="AC330" s="2" t="str">
        <f>IF($W330=AC$3,$AB330,IF(NOT($W330=0),"",SUMIFS('Val-Vol (2)'!AC$4:AC$1116,'Val-Vol (2)'!$A$4:$A$1116,$D330,'Val-Vol (2)'!$V$4:$V$1116,$V330)/SUMIFS('Comp2016-2017 (3)'!$G$5:$G$289,'Comp2016-2017 (3)'!$A$5:$A$289,$D330,'Comp2016-2017 (3)'!$R$5:$R$289,$V330)*$AB330))</f>
        <v/>
      </c>
      <c r="AD330" s="2" t="str">
        <f>IF($W330=AD$3,$AB330,IF(NOT($W330=0),"",SUMIFS('Val-Vol (2)'!AD$4:AD$1116,'Val-Vol (2)'!$A$4:$A$1116,$D330,'Val-Vol (2)'!$V$4:$V$1116,$V330)/SUMIFS('Comp2016-2017 (3)'!$G$5:$G$289,'Comp2016-2017 (3)'!$A$5:$A$289,$D330,'Comp2016-2017 (3)'!$R$5:$R$289,$V330)*$AB330))</f>
        <v/>
      </c>
      <c r="AE330" s="2" t="str">
        <f>IF($W330=AE$3,$AB330,IF(NOT($W330=0),"",SUMIFS('Val-Vol (2)'!AE$4:AE$1116,'Val-Vol (2)'!$A$4:$A$1116,$D330,'Val-Vol (2)'!$V$4:$V$1116,$V330)/SUMIFS('Comp2016-2017 (3)'!$G$5:$G$289,'Comp2016-2017 (3)'!$A$5:$A$289,$D330,'Comp2016-2017 (3)'!$R$5:$R$289,$V330)*$AB330))</f>
        <v/>
      </c>
      <c r="AF330" s="2" t="str">
        <f>IF($W330=AF$3,$AB330,IF(NOT($W330=0),"",SUMIFS('Val-Vol (2)'!AF$4:AF$1116,'Val-Vol (2)'!$A$4:$A$1116,$D330,'Val-Vol (2)'!$V$4:$V$1116,$V330)/SUMIFS('Comp2016-2017 (3)'!$G$5:$G$289,'Comp2016-2017 (3)'!$A$5:$A$289,$D330,'Comp2016-2017 (3)'!$R$5:$R$289,$V330)*$AB330))</f>
        <v/>
      </c>
      <c r="AG330" s="2">
        <f>IF($W330=AG$3,$AB330,IF(NOT($W330=0),"",SUMIFS('Val-Vol (2)'!AG$4:AG$1116,'Val-Vol (2)'!$A$4:$A$1116,$D330,'Val-Vol (2)'!$V$4:$V$1116,$V330)/SUMIFS('Comp2016-2017 (3)'!$G$5:$G$289,'Comp2016-2017 (3)'!$A$5:$A$289,$D330,'Comp2016-2017 (3)'!$R$5:$R$289,$V330)*$AB330))</f>
        <v>1264.7743511557107</v>
      </c>
      <c r="AH330" s="2" t="str">
        <f>IF($W330=AH$3,$AB330,IF(NOT($W330=0),"",SUMIFS('Val-Vol (2)'!AH$4:AH$1116,'Val-Vol (2)'!$A$4:$A$1116,$D330,'Val-Vol (2)'!$V$4:$V$1116,$V330)/SUMIFS('Comp2016-2017 (3)'!$G$5:$G$289,'Comp2016-2017 (3)'!$A$5:$A$289,$D330,'Comp2016-2017 (3)'!$R$5:$R$289,$V330)*$AB330))</f>
        <v/>
      </c>
      <c r="AI330" s="2" t="str">
        <f>IF($W330=AI$3,$AB330,IF(NOT($W330=0),"",SUMIFS('Val-Vol (2)'!AI$4:AI$1116,'Val-Vol (2)'!$A$4:$A$1116,$D330,'Val-Vol (2)'!$V$4:$V$1116,$V330)/SUMIFS('Comp2016-2017 (3)'!$G$5:$G$289,'Comp2016-2017 (3)'!$A$5:$A$289,$D330,'Comp2016-2017 (3)'!$R$5:$R$289,$V330)*$AB330))</f>
        <v/>
      </c>
      <c r="AJ330" s="2" t="str">
        <f>IF($W330=AJ$3,$AB330,IF(NOT($W330=0),"",SUMIFS('Val-Vol (2)'!AJ$4:AJ$1116,'Val-Vol (2)'!$A$4:$A$1116,$D330,'Val-Vol (2)'!$V$4:$V$1116,$V330)/SUMIFS('Comp2016-2017 (3)'!$G$5:$G$289,'Comp2016-2017 (3)'!$A$5:$A$289,$D330,'Comp2016-2017 (3)'!$R$5:$R$289,$V330)*$AB330))</f>
        <v/>
      </c>
      <c r="AK330" s="2">
        <f t="shared" si="37"/>
        <v>0</v>
      </c>
      <c r="AL330" t="str">
        <f t="shared" si="40"/>
        <v/>
      </c>
      <c r="AM330" t="str">
        <f>VLOOKUP(A330,'Table corresp.'!$M$4:$U$63,8,FALSE)</f>
        <v>Production intermédiaire</v>
      </c>
      <c r="AN330" t="str">
        <f>VLOOKUP(D330,'Table corresp.'!$M$4:$U$63,9,FALSE)</f>
        <v>Production intermédiaire</v>
      </c>
    </row>
    <row r="331" spans="1:40" x14ac:dyDescent="0.25">
      <c r="A331" t="s">
        <v>106</v>
      </c>
      <c r="B331" t="str">
        <f>VLOOKUP(LEFT(A331,3),'Table corresp.'!$A$4:$D$63,3,FALSE)</f>
        <v>Transformation</v>
      </c>
      <c r="C331" t="str">
        <f>VLOOKUP(A331,'Table corresp.'!$M$4:$P$63,4,FALSE)</f>
        <v>Production et transformation de produits bois</v>
      </c>
      <c r="D331" t="s">
        <v>84</v>
      </c>
      <c r="E331" t="str">
        <f>VLOOKUP(LEFT(D331,3),'Table corresp.'!$A$4:$D$63,4,FALSE)</f>
        <v>Transformation</v>
      </c>
      <c r="F331" t="str">
        <f t="shared" si="39"/>
        <v xml:space="preserve">63  - 17 </v>
      </c>
      <c r="G331" s="1">
        <v>3333.447216</v>
      </c>
      <c r="H331" s="1">
        <v>0</v>
      </c>
      <c r="I331" s="1">
        <v>3333.447216</v>
      </c>
      <c r="J331" s="1">
        <v>0</v>
      </c>
      <c r="K331" s="1">
        <v>0</v>
      </c>
      <c r="L331" s="1">
        <v>0</v>
      </c>
      <c r="M331" s="1">
        <v>0</v>
      </c>
      <c r="N331" s="1">
        <v>0</v>
      </c>
      <c r="O331" s="1">
        <v>0</v>
      </c>
      <c r="P331" s="1">
        <v>0</v>
      </c>
      <c r="Q331" s="1">
        <v>0</v>
      </c>
      <c r="R331" s="1">
        <v>0</v>
      </c>
      <c r="S331" s="67"/>
      <c r="T331">
        <f>VLOOKUP(A331,'Groupe de branches'!$Z$27:$AM$86,14,FALSE)</f>
        <v>0</v>
      </c>
      <c r="U331">
        <f>VLOOKUP(D331,'Groupe de branches'!$Z$27:$AM$86,14,FALSE)</f>
        <v>0</v>
      </c>
      <c r="V331">
        <v>2016</v>
      </c>
      <c r="W331" t="str">
        <f>VLOOKUP(D331,'Table corresp.'!$M$4:$S$63,7,FALSE)</f>
        <v>Construction</v>
      </c>
      <c r="X331" s="167">
        <f>IFERROR(G331/SUMIFS('Comp2016-2017 (3)'!$I$5:$I$289,'Comp2016-2017 (3)'!$A$5:$A$289,A331,'Comp2016-2017 (3)'!$R$5:$R$289,V331),0)</f>
        <v>8.2362922778617519E-3</v>
      </c>
      <c r="Y331" s="178">
        <f>IFERROR(IF(RIGHT(F331,3)="Exp",VLOOKUP(F331,#REF!,2,FALSE),VLOOKUP(F331,#REF!,9,FALSE)),1)</f>
        <v>1</v>
      </c>
      <c r="Z331" s="167">
        <f t="shared" si="38"/>
        <v>5.8823529411764705E-2</v>
      </c>
      <c r="AA331" s="189">
        <f t="shared" si="41"/>
        <v>4.8448778105069127E-4</v>
      </c>
      <c r="AB331" s="2">
        <f>IFERROR(SUMIFS('Comp2016-2017 (3)'!$G$5:$G$289,'Comp2016-2017 (3)'!$A$5:$A$289,A331,'Comp2016-2017 (3)'!$R$5:$R$289,V331)*AA331/SUMIFS($AA$4:$AA$1116,$A$4:$A$1116,A331,$V$4:$V$1116,V331),0)</f>
        <v>1703.4579958497823</v>
      </c>
      <c r="AC331" s="2" t="str">
        <f>IF($W331=AC$3,$AB331,IF(NOT($W331=0),"",SUMIFS('Val-Vol (2)'!AC$4:AC$1116,'Val-Vol (2)'!$A$4:$A$1116,$D331,'Val-Vol (2)'!$V$4:$V$1116,$V331)/SUMIFS('Comp2016-2017 (3)'!$G$5:$G$289,'Comp2016-2017 (3)'!$A$5:$A$289,$D331,'Comp2016-2017 (3)'!$R$5:$R$289,$V331)*$AB331))</f>
        <v/>
      </c>
      <c r="AD331" s="2">
        <f>IF($W331=AD$3,$AB331,IF(NOT($W331=0),"",SUMIFS('Val-Vol (2)'!AD$4:AD$1116,'Val-Vol (2)'!$A$4:$A$1116,$D331,'Val-Vol (2)'!$V$4:$V$1116,$V331)/SUMIFS('Comp2016-2017 (3)'!$G$5:$G$289,'Comp2016-2017 (3)'!$A$5:$A$289,$D331,'Comp2016-2017 (3)'!$R$5:$R$289,$V331)*$AB331))</f>
        <v>1703.4579958497823</v>
      </c>
      <c r="AE331" s="2" t="str">
        <f>IF($W331=AE$3,$AB331,IF(NOT($W331=0),"",SUMIFS('Val-Vol (2)'!AE$4:AE$1116,'Val-Vol (2)'!$A$4:$A$1116,$D331,'Val-Vol (2)'!$V$4:$V$1116,$V331)/SUMIFS('Comp2016-2017 (3)'!$G$5:$G$289,'Comp2016-2017 (3)'!$A$5:$A$289,$D331,'Comp2016-2017 (3)'!$R$5:$R$289,$V331)*$AB331))</f>
        <v/>
      </c>
      <c r="AF331" s="2" t="str">
        <f>IF($W331=AF$3,$AB331,IF(NOT($W331=0),"",SUMIFS('Val-Vol (2)'!AF$4:AF$1116,'Val-Vol (2)'!$A$4:$A$1116,$D331,'Val-Vol (2)'!$V$4:$V$1116,$V331)/SUMIFS('Comp2016-2017 (3)'!$G$5:$G$289,'Comp2016-2017 (3)'!$A$5:$A$289,$D331,'Comp2016-2017 (3)'!$R$5:$R$289,$V331)*$AB331))</f>
        <v/>
      </c>
      <c r="AG331" s="2" t="str">
        <f>IF($W331=AG$3,$AB331,IF(NOT($W331=0),"",SUMIFS('Val-Vol (2)'!AG$4:AG$1116,'Val-Vol (2)'!$A$4:$A$1116,$D331,'Val-Vol (2)'!$V$4:$V$1116,$V331)/SUMIFS('Comp2016-2017 (3)'!$G$5:$G$289,'Comp2016-2017 (3)'!$A$5:$A$289,$D331,'Comp2016-2017 (3)'!$R$5:$R$289,$V331)*$AB331))</f>
        <v/>
      </c>
      <c r="AH331" s="2" t="str">
        <f>IF($W331=AH$3,$AB331,IF(NOT($W331=0),"",SUMIFS('Val-Vol (2)'!AH$4:AH$1116,'Val-Vol (2)'!$A$4:$A$1116,$D331,'Val-Vol (2)'!$V$4:$V$1116,$V331)/SUMIFS('Comp2016-2017 (3)'!$G$5:$G$289,'Comp2016-2017 (3)'!$A$5:$A$289,$D331,'Comp2016-2017 (3)'!$R$5:$R$289,$V331)*$AB331))</f>
        <v/>
      </c>
      <c r="AI331" s="2" t="str">
        <f>IF($W331=AI$3,$AB331,IF(NOT($W331=0),"",SUMIFS('Val-Vol (2)'!AI$4:AI$1116,'Val-Vol (2)'!$A$4:$A$1116,$D331,'Val-Vol (2)'!$V$4:$V$1116,$V331)/SUMIFS('Comp2016-2017 (3)'!$G$5:$G$289,'Comp2016-2017 (3)'!$A$5:$A$289,$D331,'Comp2016-2017 (3)'!$R$5:$R$289,$V331)*$AB331))</f>
        <v/>
      </c>
      <c r="AJ331" s="2" t="str">
        <f>IF($W331=AJ$3,$AB331,IF(NOT($W331=0),"",SUMIFS('Val-Vol (2)'!AJ$4:AJ$1116,'Val-Vol (2)'!$A$4:$A$1116,$D331,'Val-Vol (2)'!$V$4:$V$1116,$V331)/SUMIFS('Comp2016-2017 (3)'!$G$5:$G$289,'Comp2016-2017 (3)'!$A$5:$A$289,$D331,'Comp2016-2017 (3)'!$R$5:$R$289,$V331)*$AB331))</f>
        <v/>
      </c>
      <c r="AK331" s="2">
        <f t="shared" si="37"/>
        <v>0</v>
      </c>
      <c r="AL331" t="str">
        <f t="shared" si="40"/>
        <v/>
      </c>
      <c r="AM331" t="str">
        <f>VLOOKUP(A331,'Table corresp.'!$M$4:$U$63,8,FALSE)</f>
        <v>Production intermédiaire</v>
      </c>
      <c r="AN331" t="str">
        <f>VLOOKUP(D331,'Table corresp.'!$M$4:$U$63,9,FALSE)</f>
        <v>Production intermédiaire</v>
      </c>
    </row>
    <row r="332" spans="1:40" x14ac:dyDescent="0.25">
      <c r="A332" t="s">
        <v>106</v>
      </c>
      <c r="B332" t="str">
        <f>VLOOKUP(LEFT(A332,3),'Table corresp.'!$A$4:$D$63,3,FALSE)</f>
        <v>Transformation</v>
      </c>
      <c r="C332" t="str">
        <f>VLOOKUP(A332,'Table corresp.'!$M$4:$P$63,4,FALSE)</f>
        <v>Production et transformation de produits bois</v>
      </c>
      <c r="D332" t="s">
        <v>86</v>
      </c>
      <c r="E332" t="str">
        <f>VLOOKUP(LEFT(D332,3),'Table corresp.'!$A$4:$D$63,4,FALSE)</f>
        <v>Transformation</v>
      </c>
      <c r="F332" t="str">
        <f t="shared" si="39"/>
        <v xml:space="preserve">63  - 30 </v>
      </c>
      <c r="G332" s="1">
        <v>22715.159775</v>
      </c>
      <c r="H332" s="1">
        <v>0</v>
      </c>
      <c r="I332" s="1">
        <v>22715.159775</v>
      </c>
      <c r="J332" s="1">
        <v>0</v>
      </c>
      <c r="K332" s="1">
        <v>0</v>
      </c>
      <c r="L332" s="1">
        <v>0</v>
      </c>
      <c r="M332" s="1">
        <v>0</v>
      </c>
      <c r="N332" s="1">
        <v>0</v>
      </c>
      <c r="O332" s="1">
        <v>0</v>
      </c>
      <c r="P332" s="1">
        <v>0</v>
      </c>
      <c r="Q332" s="1">
        <v>0</v>
      </c>
      <c r="R332" s="1">
        <v>0</v>
      </c>
      <c r="S332" s="67"/>
      <c r="T332">
        <f>VLOOKUP(A332,'Groupe de branches'!$Z$27:$AM$86,14,FALSE)</f>
        <v>0</v>
      </c>
      <c r="U332">
        <f>VLOOKUP(D332,'Groupe de branches'!$Z$27:$AM$86,14,FALSE)</f>
        <v>1</v>
      </c>
      <c r="V332">
        <v>2016</v>
      </c>
      <c r="W332" t="str">
        <f>VLOOKUP(D332,'Table corresp.'!$M$4:$S$63,7,FALSE)</f>
        <v>Energie</v>
      </c>
      <c r="X332" s="167">
        <f>IFERROR(G332/SUMIFS('Comp2016-2017 (3)'!$I$5:$I$289,'Comp2016-2017 (3)'!$A$5:$A$289,A332,'Comp2016-2017 (3)'!$R$5:$R$289,V332),0)</f>
        <v>5.6124691024724595E-2</v>
      </c>
      <c r="Y332" s="178">
        <f>IFERROR(IF(RIGHT(F332,3)="Exp",VLOOKUP(F332,#REF!,2,FALSE),VLOOKUP(F332,#REF!,9,FALSE)),1)</f>
        <v>1</v>
      </c>
      <c r="Z332" s="167">
        <f t="shared" si="38"/>
        <v>5.8823529411764705E-2</v>
      </c>
      <c r="AA332" s="189">
        <f t="shared" si="41"/>
        <v>3.3014524132190938E-3</v>
      </c>
      <c r="AB332" s="2">
        <f>IFERROR(SUMIFS('Comp2016-2017 (3)'!$G$5:$G$289,'Comp2016-2017 (3)'!$A$5:$A$289,A332,'Comp2016-2017 (3)'!$R$5:$R$289,V332)*AA332/SUMIFS($AA$4:$AA$1116,$A$4:$A$1116,A332,$V$4:$V$1116,V332),0)</f>
        <v>11607.899582151083</v>
      </c>
      <c r="AC332" s="2" t="str">
        <f>IF($W332=AC$3,$AB332,IF(NOT($W332=0),"",SUMIFS('Val-Vol (2)'!AC$4:AC$1116,'Val-Vol (2)'!$A$4:$A$1116,$D332,'Val-Vol (2)'!$V$4:$V$1116,$V332)/SUMIFS('Comp2016-2017 (3)'!$G$5:$G$289,'Comp2016-2017 (3)'!$A$5:$A$289,$D332,'Comp2016-2017 (3)'!$R$5:$R$289,$V332)*$AB332))</f>
        <v/>
      </c>
      <c r="AD332" s="2" t="str">
        <f>IF($W332=AD$3,$AB332,IF(NOT($W332=0),"",SUMIFS('Val-Vol (2)'!AD$4:AD$1116,'Val-Vol (2)'!$A$4:$A$1116,$D332,'Val-Vol (2)'!$V$4:$V$1116,$V332)/SUMIFS('Comp2016-2017 (3)'!$G$5:$G$289,'Comp2016-2017 (3)'!$A$5:$A$289,$D332,'Comp2016-2017 (3)'!$R$5:$R$289,$V332)*$AB332))</f>
        <v/>
      </c>
      <c r="AE332" s="2" t="str">
        <f>IF($W332=AE$3,$AB332,IF(NOT($W332=0),"",SUMIFS('Val-Vol (2)'!AE$4:AE$1116,'Val-Vol (2)'!$A$4:$A$1116,$D332,'Val-Vol (2)'!$V$4:$V$1116,$V332)/SUMIFS('Comp2016-2017 (3)'!$G$5:$G$289,'Comp2016-2017 (3)'!$A$5:$A$289,$D332,'Comp2016-2017 (3)'!$R$5:$R$289,$V332)*$AB332))</f>
        <v/>
      </c>
      <c r="AF332" s="2" t="str">
        <f>IF($W332=AF$3,$AB332,IF(NOT($W332=0),"",SUMIFS('Val-Vol (2)'!AF$4:AF$1116,'Val-Vol (2)'!$A$4:$A$1116,$D332,'Val-Vol (2)'!$V$4:$V$1116,$V332)/SUMIFS('Comp2016-2017 (3)'!$G$5:$G$289,'Comp2016-2017 (3)'!$A$5:$A$289,$D332,'Comp2016-2017 (3)'!$R$5:$R$289,$V332)*$AB332))</f>
        <v/>
      </c>
      <c r="AG332" s="2" t="str">
        <f>IF($W332=AG$3,$AB332,IF(NOT($W332=0),"",SUMIFS('Val-Vol (2)'!AG$4:AG$1116,'Val-Vol (2)'!$A$4:$A$1116,$D332,'Val-Vol (2)'!$V$4:$V$1116,$V332)/SUMIFS('Comp2016-2017 (3)'!$G$5:$G$289,'Comp2016-2017 (3)'!$A$5:$A$289,$D332,'Comp2016-2017 (3)'!$R$5:$R$289,$V332)*$AB332))</f>
        <v/>
      </c>
      <c r="AH332" s="2">
        <f>IF($W332=AH$3,$AB332,IF(NOT($W332=0),"",SUMIFS('Val-Vol (2)'!AH$4:AH$1116,'Val-Vol (2)'!$A$4:$A$1116,$D332,'Val-Vol (2)'!$V$4:$V$1116,$V332)/SUMIFS('Comp2016-2017 (3)'!$G$5:$G$289,'Comp2016-2017 (3)'!$A$5:$A$289,$D332,'Comp2016-2017 (3)'!$R$5:$R$289,$V332)*$AB332))</f>
        <v>11607.899582151083</v>
      </c>
      <c r="AI332" s="2" t="str">
        <f>IF($W332=AI$3,$AB332,IF(NOT($W332=0),"",SUMIFS('Val-Vol (2)'!AI$4:AI$1116,'Val-Vol (2)'!$A$4:$A$1116,$D332,'Val-Vol (2)'!$V$4:$V$1116,$V332)/SUMIFS('Comp2016-2017 (3)'!$G$5:$G$289,'Comp2016-2017 (3)'!$A$5:$A$289,$D332,'Comp2016-2017 (3)'!$R$5:$R$289,$V332)*$AB332))</f>
        <v/>
      </c>
      <c r="AJ332" s="2" t="str">
        <f>IF($W332=AJ$3,$AB332,IF(NOT($W332=0),"",SUMIFS('Val-Vol (2)'!AJ$4:AJ$1116,'Val-Vol (2)'!$A$4:$A$1116,$D332,'Val-Vol (2)'!$V$4:$V$1116,$V332)/SUMIFS('Comp2016-2017 (3)'!$G$5:$G$289,'Comp2016-2017 (3)'!$A$5:$A$289,$D332,'Comp2016-2017 (3)'!$R$5:$R$289,$V332)*$AB332))</f>
        <v/>
      </c>
      <c r="AK332" s="2">
        <f t="shared" si="37"/>
        <v>0</v>
      </c>
      <c r="AL332" t="str">
        <f t="shared" si="40"/>
        <v/>
      </c>
      <c r="AM332" t="str">
        <f>VLOOKUP(A332,'Table corresp.'!$M$4:$U$63,8,FALSE)</f>
        <v>Production intermédiaire</v>
      </c>
      <c r="AN332" t="str">
        <f>VLOOKUP(D332,'Table corresp.'!$M$4:$U$63,9,FALSE)</f>
        <v>Production intermédiaire</v>
      </c>
    </row>
    <row r="333" spans="1:40" x14ac:dyDescent="0.25">
      <c r="A333" t="s">
        <v>106</v>
      </c>
      <c r="B333" t="str">
        <f>VLOOKUP(LEFT(A333,3),'Table corresp.'!$A$4:$D$63,3,FALSE)</f>
        <v>Transformation</v>
      </c>
      <c r="C333" t="str">
        <f>VLOOKUP(A333,'Table corresp.'!$M$4:$P$63,4,FALSE)</f>
        <v>Production et transformation de produits bois</v>
      </c>
      <c r="D333" t="s">
        <v>87</v>
      </c>
      <c r="E333" t="str">
        <f>VLOOKUP(LEFT(D333,3),'Table corresp.'!$A$4:$D$63,4,FALSE)</f>
        <v>Transformation</v>
      </c>
      <c r="F333" t="str">
        <f t="shared" si="39"/>
        <v xml:space="preserve">63  - 31 </v>
      </c>
      <c r="G333" s="1">
        <v>38802.720000000001</v>
      </c>
      <c r="H333" s="1">
        <v>0</v>
      </c>
      <c r="I333" s="1">
        <v>38802.720000000001</v>
      </c>
      <c r="J333" s="1">
        <v>0</v>
      </c>
      <c r="K333" s="1">
        <v>0</v>
      </c>
      <c r="L333" s="1">
        <v>0</v>
      </c>
      <c r="M333" s="1">
        <v>0</v>
      </c>
      <c r="N333" s="1">
        <v>0</v>
      </c>
      <c r="O333" s="1">
        <v>0</v>
      </c>
      <c r="P333" s="1">
        <v>0</v>
      </c>
      <c r="Q333" s="1">
        <v>0</v>
      </c>
      <c r="R333" s="1">
        <v>0</v>
      </c>
      <c r="S333" s="67"/>
      <c r="T333">
        <f>VLOOKUP(A333,'Groupe de branches'!$Z$27:$AM$86,14,FALSE)</f>
        <v>0</v>
      </c>
      <c r="U333">
        <f>VLOOKUP(D333,'Groupe de branches'!$Z$27:$AM$86,14,FALSE)</f>
        <v>0</v>
      </c>
      <c r="V333">
        <v>2016</v>
      </c>
      <c r="W333">
        <f>VLOOKUP(D333,'Table corresp.'!$M$4:$S$63,7,FALSE)</f>
        <v>0</v>
      </c>
      <c r="X333" s="167">
        <f>IFERROR(G333/SUMIFS('Comp2016-2017 (3)'!$I$5:$I$289,'Comp2016-2017 (3)'!$A$5:$A$289,A333,'Comp2016-2017 (3)'!$R$5:$R$289,V333),0)</f>
        <v>9.5873887416620715E-2</v>
      </c>
      <c r="Y333" s="178">
        <f>IFERROR(IF(RIGHT(F333,3)="Exp",VLOOKUP(F333,#REF!,2,FALSE),VLOOKUP(F333,#REF!,9,FALSE)),1)</f>
        <v>1</v>
      </c>
      <c r="Z333" s="167">
        <f t="shared" si="38"/>
        <v>5.8823529411764705E-2</v>
      </c>
      <c r="AA333" s="189">
        <f t="shared" si="41"/>
        <v>5.6396404362718065E-3</v>
      </c>
      <c r="AB333" s="2">
        <f>IFERROR(SUMIFS('Comp2016-2017 (3)'!$G$5:$G$289,'Comp2016-2017 (3)'!$A$5:$A$289,A333,'Comp2016-2017 (3)'!$R$5:$R$289,V333)*AA333/SUMIFS($AA$4:$AA$1116,$A$4:$A$1116,A333,$V$4:$V$1116,V333),0)</f>
        <v>19828.963640839076</v>
      </c>
      <c r="AC333" s="2">
        <f>IF($W333=AC$3,$AB333,IF(NOT($W333=0),"",SUMIFS('Val-Vol (2)'!AC$4:AC$1116,'Val-Vol (2)'!$A$4:$A$1116,$D333,'Val-Vol (2)'!$V$4:$V$1116,$V333)/SUMIFS('Comp2016-2017 (3)'!$G$5:$G$289,'Comp2016-2017 (3)'!$A$5:$A$289,$D333,'Comp2016-2017 (3)'!$R$5:$R$289,$V333)*$AB333))</f>
        <v>10879.556879929452</v>
      </c>
      <c r="AD333" s="2">
        <f>IF($W333=AD$3,$AB333,IF(NOT($W333=0),"",SUMIFS('Val-Vol (2)'!AD$4:AD$1116,'Val-Vol (2)'!$A$4:$A$1116,$D333,'Val-Vol (2)'!$V$4:$V$1116,$V333)/SUMIFS('Comp2016-2017 (3)'!$G$5:$G$289,'Comp2016-2017 (3)'!$A$5:$A$289,$D333,'Comp2016-2017 (3)'!$R$5:$R$289,$V333)*$AB333))</f>
        <v>3003.6222276880649</v>
      </c>
      <c r="AE333" s="2">
        <f>IF($W333=AE$3,$AB333,IF(NOT($W333=0),"",SUMIFS('Val-Vol (2)'!AE$4:AE$1116,'Val-Vol (2)'!$A$4:$A$1116,$D333,'Val-Vol (2)'!$V$4:$V$1116,$V333)/SUMIFS('Comp2016-2017 (3)'!$G$5:$G$289,'Comp2016-2017 (3)'!$A$5:$A$289,$D333,'Comp2016-2017 (3)'!$R$5:$R$289,$V333)*$AB333))</f>
        <v>3754.8855370545584</v>
      </c>
      <c r="AF333" s="2">
        <f>IF($W333=AF$3,$AB333,IF(NOT($W333=0),"",SUMIFS('Val-Vol (2)'!AF$4:AF$1116,'Val-Vol (2)'!$A$4:$A$1116,$D333,'Val-Vol (2)'!$V$4:$V$1116,$V333)/SUMIFS('Comp2016-2017 (3)'!$G$5:$G$289,'Comp2016-2017 (3)'!$A$5:$A$289,$D333,'Comp2016-2017 (3)'!$R$5:$R$289,$V333)*$AB333))</f>
        <v>0</v>
      </c>
      <c r="AG333" s="2">
        <f>IF($W333=AG$3,$AB333,IF(NOT($W333=0),"",SUMIFS('Val-Vol (2)'!AG$4:AG$1116,'Val-Vol (2)'!$A$4:$A$1116,$D333,'Val-Vol (2)'!$V$4:$V$1116,$V333)/SUMIFS('Comp2016-2017 (3)'!$G$5:$G$289,'Comp2016-2017 (3)'!$A$5:$A$289,$D333,'Comp2016-2017 (3)'!$R$5:$R$289,$V333)*$AB333))</f>
        <v>1619.6775774442106</v>
      </c>
      <c r="AH333" s="2">
        <f>IF($W333=AH$3,$AB333,IF(NOT($W333=0),"",SUMIFS('Val-Vol (2)'!AH$4:AH$1116,'Val-Vol (2)'!$A$4:$A$1116,$D333,'Val-Vol (2)'!$V$4:$V$1116,$V333)/SUMIFS('Comp2016-2017 (3)'!$G$5:$G$289,'Comp2016-2017 (3)'!$A$5:$A$289,$D333,'Comp2016-2017 (3)'!$R$5:$R$289,$V333)*$AB333))</f>
        <v>0</v>
      </c>
      <c r="AI333" s="2">
        <f>IF($W333=AI$3,$AB333,IF(NOT($W333=0),"",SUMIFS('Val-Vol (2)'!AI$4:AI$1116,'Val-Vol (2)'!$A$4:$A$1116,$D333,'Val-Vol (2)'!$V$4:$V$1116,$V333)/SUMIFS('Comp2016-2017 (3)'!$G$5:$G$289,'Comp2016-2017 (3)'!$A$5:$A$289,$D333,'Comp2016-2017 (3)'!$R$5:$R$289,$V333)*$AB333))</f>
        <v>0</v>
      </c>
      <c r="AJ333" s="2">
        <f>IF($W333=AJ$3,$AB333,IF(NOT($W333=0),"",SUMIFS('Val-Vol (2)'!AJ$4:AJ$1116,'Val-Vol (2)'!$A$4:$A$1116,$D333,'Val-Vol (2)'!$V$4:$V$1116,$V333)/SUMIFS('Comp2016-2017 (3)'!$G$5:$G$289,'Comp2016-2017 (3)'!$A$5:$A$289,$D333,'Comp2016-2017 (3)'!$R$5:$R$289,$V333)*$AB333))</f>
        <v>571.22141872279201</v>
      </c>
      <c r="AK333" s="2">
        <f t="shared" si="37"/>
        <v>0</v>
      </c>
      <c r="AL333" t="str">
        <f t="shared" si="40"/>
        <v/>
      </c>
      <c r="AM333" t="str">
        <f>VLOOKUP(A333,'Table corresp.'!$M$4:$U$63,8,FALSE)</f>
        <v>Production intermédiaire</v>
      </c>
      <c r="AN333" t="str">
        <f>VLOOKUP(D333,'Table corresp.'!$M$4:$U$63,9,FALSE)</f>
        <v>Production intermédiaire</v>
      </c>
    </row>
    <row r="334" spans="1:40" x14ac:dyDescent="0.25">
      <c r="A334" t="s">
        <v>106</v>
      </c>
      <c r="B334" t="str">
        <f>VLOOKUP(LEFT(A334,3),'Table corresp.'!$A$4:$D$63,3,FALSE)</f>
        <v>Transformation</v>
      </c>
      <c r="C334" t="str">
        <f>VLOOKUP(A334,'Table corresp.'!$M$4:$P$63,4,FALSE)</f>
        <v>Production et transformation de produits bois</v>
      </c>
      <c r="D334" t="s">
        <v>91</v>
      </c>
      <c r="E334" t="str">
        <f>VLOOKUP(LEFT(D334,3),'Table corresp.'!$A$4:$D$63,4,FALSE)</f>
        <v>Transformation</v>
      </c>
      <c r="F334" t="str">
        <f t="shared" si="39"/>
        <v xml:space="preserve">63  - 37 </v>
      </c>
      <c r="G334" s="1">
        <v>11233.688399999999</v>
      </c>
      <c r="H334" s="1">
        <v>0</v>
      </c>
      <c r="I334" s="1">
        <v>11233.688399999999</v>
      </c>
      <c r="J334" s="1">
        <v>0</v>
      </c>
      <c r="K334" s="1">
        <v>0</v>
      </c>
      <c r="L334" s="1">
        <v>0</v>
      </c>
      <c r="M334" s="1">
        <v>0</v>
      </c>
      <c r="N334" s="1">
        <v>0</v>
      </c>
      <c r="O334" s="1">
        <v>0</v>
      </c>
      <c r="P334" s="1">
        <v>0</v>
      </c>
      <c r="Q334" s="1">
        <v>0</v>
      </c>
      <c r="R334" s="1">
        <v>0</v>
      </c>
      <c r="S334" s="67"/>
      <c r="T334">
        <f>VLOOKUP(A334,'Groupe de branches'!$Z$27:$AM$86,14,FALSE)</f>
        <v>0</v>
      </c>
      <c r="U334">
        <f>VLOOKUP(D334,'Groupe de branches'!$Z$27:$AM$86,14,FALSE)</f>
        <v>0</v>
      </c>
      <c r="V334">
        <v>2016</v>
      </c>
      <c r="W334" t="str">
        <f>VLOOKUP(D334,'Table corresp.'!$M$4:$S$63,7,FALSE)</f>
        <v>Emballage bois et carton</v>
      </c>
      <c r="X334" s="167">
        <f>IFERROR(G334/SUMIFS('Comp2016-2017 (3)'!$I$5:$I$289,'Comp2016-2017 (3)'!$A$5:$A$289,A334,'Comp2016-2017 (3)'!$R$5:$R$289,V334),0)</f>
        <v>2.775623402006349E-2</v>
      </c>
      <c r="Y334" s="178">
        <f>IFERROR(IF(RIGHT(F334,3)="Exp",VLOOKUP(F334,#REF!,2,FALSE),VLOOKUP(F334,#REF!,9,FALSE)),1)</f>
        <v>1</v>
      </c>
      <c r="Z334" s="167">
        <f t="shared" si="38"/>
        <v>5.8823529411764705E-2</v>
      </c>
      <c r="AA334" s="189">
        <f t="shared" si="41"/>
        <v>1.6327196482390288E-3</v>
      </c>
      <c r="AB334" s="2">
        <f>IFERROR(SUMIFS('Comp2016-2017 (3)'!$G$5:$G$289,'Comp2016-2017 (3)'!$A$5:$A$289,A334,'Comp2016-2017 (3)'!$R$5:$R$289,V334)*AA334/SUMIFS($AA$4:$AA$1116,$A$4:$A$1116,A334,$V$4:$V$1116,V334),0)</f>
        <v>5740.6387705840143</v>
      </c>
      <c r="AC334" s="2" t="str">
        <f>IF($W334=AC$3,$AB334,IF(NOT($W334=0),"",SUMIFS('Val-Vol (2)'!AC$4:AC$1116,'Val-Vol (2)'!$A$4:$A$1116,$D334,'Val-Vol (2)'!$V$4:$V$1116,$V334)/SUMIFS('Comp2016-2017 (3)'!$G$5:$G$289,'Comp2016-2017 (3)'!$A$5:$A$289,$D334,'Comp2016-2017 (3)'!$R$5:$R$289,$V334)*$AB334))</f>
        <v/>
      </c>
      <c r="AD334" s="2" t="str">
        <f>IF($W334=AD$3,$AB334,IF(NOT($W334=0),"",SUMIFS('Val-Vol (2)'!AD$4:AD$1116,'Val-Vol (2)'!$A$4:$A$1116,$D334,'Val-Vol (2)'!$V$4:$V$1116,$V334)/SUMIFS('Comp2016-2017 (3)'!$G$5:$G$289,'Comp2016-2017 (3)'!$A$5:$A$289,$D334,'Comp2016-2017 (3)'!$R$5:$R$289,$V334)*$AB334))</f>
        <v/>
      </c>
      <c r="AE334" s="2" t="str">
        <f>IF($W334=AE$3,$AB334,IF(NOT($W334=0),"",SUMIFS('Val-Vol (2)'!AE$4:AE$1116,'Val-Vol (2)'!$A$4:$A$1116,$D334,'Val-Vol (2)'!$V$4:$V$1116,$V334)/SUMIFS('Comp2016-2017 (3)'!$G$5:$G$289,'Comp2016-2017 (3)'!$A$5:$A$289,$D334,'Comp2016-2017 (3)'!$R$5:$R$289,$V334)*$AB334))</f>
        <v/>
      </c>
      <c r="AF334" s="2" t="str">
        <f>IF($W334=AF$3,$AB334,IF(NOT($W334=0),"",SUMIFS('Val-Vol (2)'!AF$4:AF$1116,'Val-Vol (2)'!$A$4:$A$1116,$D334,'Val-Vol (2)'!$V$4:$V$1116,$V334)/SUMIFS('Comp2016-2017 (3)'!$G$5:$G$289,'Comp2016-2017 (3)'!$A$5:$A$289,$D334,'Comp2016-2017 (3)'!$R$5:$R$289,$V334)*$AB334))</f>
        <v/>
      </c>
      <c r="AG334" s="2">
        <f>IF($W334=AG$3,$AB334,IF(NOT($W334=0),"",SUMIFS('Val-Vol (2)'!AG$4:AG$1116,'Val-Vol (2)'!$A$4:$A$1116,$D334,'Val-Vol (2)'!$V$4:$V$1116,$V334)/SUMIFS('Comp2016-2017 (3)'!$G$5:$G$289,'Comp2016-2017 (3)'!$A$5:$A$289,$D334,'Comp2016-2017 (3)'!$R$5:$R$289,$V334)*$AB334))</f>
        <v>5740.6387705840143</v>
      </c>
      <c r="AH334" s="2" t="str">
        <f>IF($W334=AH$3,$AB334,IF(NOT($W334=0),"",SUMIFS('Val-Vol (2)'!AH$4:AH$1116,'Val-Vol (2)'!$A$4:$A$1116,$D334,'Val-Vol (2)'!$V$4:$V$1116,$V334)/SUMIFS('Comp2016-2017 (3)'!$G$5:$G$289,'Comp2016-2017 (3)'!$A$5:$A$289,$D334,'Comp2016-2017 (3)'!$R$5:$R$289,$V334)*$AB334))</f>
        <v/>
      </c>
      <c r="AI334" s="2" t="str">
        <f>IF($W334=AI$3,$AB334,IF(NOT($W334=0),"",SUMIFS('Val-Vol (2)'!AI$4:AI$1116,'Val-Vol (2)'!$A$4:$A$1116,$D334,'Val-Vol (2)'!$V$4:$V$1116,$V334)/SUMIFS('Comp2016-2017 (3)'!$G$5:$G$289,'Comp2016-2017 (3)'!$A$5:$A$289,$D334,'Comp2016-2017 (3)'!$R$5:$R$289,$V334)*$AB334))</f>
        <v/>
      </c>
      <c r="AJ334" s="2" t="str">
        <f>IF($W334=AJ$3,$AB334,IF(NOT($W334=0),"",SUMIFS('Val-Vol (2)'!AJ$4:AJ$1116,'Val-Vol (2)'!$A$4:$A$1116,$D334,'Val-Vol (2)'!$V$4:$V$1116,$V334)/SUMIFS('Comp2016-2017 (3)'!$G$5:$G$289,'Comp2016-2017 (3)'!$A$5:$A$289,$D334,'Comp2016-2017 (3)'!$R$5:$R$289,$V334)*$AB334))</f>
        <v/>
      </c>
      <c r="AK334" s="2">
        <f t="shared" si="37"/>
        <v>0</v>
      </c>
      <c r="AL334" t="str">
        <f t="shared" si="40"/>
        <v/>
      </c>
      <c r="AM334" t="str">
        <f>VLOOKUP(A334,'Table corresp.'!$M$4:$U$63,8,FALSE)</f>
        <v>Production intermédiaire</v>
      </c>
      <c r="AN334" t="str">
        <f>VLOOKUP(D334,'Table corresp.'!$M$4:$U$63,9,FALSE)</f>
        <v>Production finale</v>
      </c>
    </row>
    <row r="335" spans="1:40" x14ac:dyDescent="0.25">
      <c r="A335" t="s">
        <v>106</v>
      </c>
      <c r="B335" t="str">
        <f>VLOOKUP(LEFT(A335,3),'Table corresp.'!$A$4:$D$63,3,FALSE)</f>
        <v>Transformation</v>
      </c>
      <c r="C335" t="str">
        <f>VLOOKUP(A335,'Table corresp.'!$M$4:$P$63,4,FALSE)</f>
        <v>Production et transformation de produits bois</v>
      </c>
      <c r="D335" t="s">
        <v>95</v>
      </c>
      <c r="E335" t="str">
        <f>VLOOKUP(LEFT(D335,3),'Table corresp.'!$A$4:$D$63,4,FALSE)</f>
        <v>Transformation</v>
      </c>
      <c r="F335" t="str">
        <f t="shared" si="39"/>
        <v xml:space="preserve">63  - 43 </v>
      </c>
      <c r="G335" s="1">
        <v>48865.535869768421</v>
      </c>
      <c r="H335" s="1">
        <v>0</v>
      </c>
      <c r="I335" s="1">
        <v>48865.535869768421</v>
      </c>
      <c r="J335" s="1">
        <v>0</v>
      </c>
      <c r="K335" s="1">
        <v>0</v>
      </c>
      <c r="L335" s="1">
        <v>0</v>
      </c>
      <c r="M335" s="1">
        <v>0</v>
      </c>
      <c r="N335" s="1">
        <v>0</v>
      </c>
      <c r="O335" s="1">
        <v>0</v>
      </c>
      <c r="P335" s="1">
        <v>0</v>
      </c>
      <c r="Q335" s="1">
        <v>0</v>
      </c>
      <c r="R335" s="1">
        <v>0</v>
      </c>
      <c r="S335" s="67"/>
      <c r="T335">
        <f>VLOOKUP(A335,'Groupe de branches'!$Z$27:$AM$86,14,FALSE)</f>
        <v>0</v>
      </c>
      <c r="U335">
        <f>VLOOKUP(D335,'Groupe de branches'!$Z$27:$AM$86,14,FALSE)</f>
        <v>0</v>
      </c>
      <c r="V335">
        <v>2016</v>
      </c>
      <c r="W335" t="str">
        <f>VLOOKUP(D335,'Table corresp.'!$M$4:$S$63,7,FALSE)</f>
        <v>Pate &amp; papier &amp; carton</v>
      </c>
      <c r="X335" s="167">
        <f>IFERROR(G335/SUMIFS('Comp2016-2017 (3)'!$I$5:$I$289,'Comp2016-2017 (3)'!$A$5:$A$289,A335,'Comp2016-2017 (3)'!$R$5:$R$289,V335),0)</f>
        <v>0.12073712576157081</v>
      </c>
      <c r="Y335" s="178">
        <f>IFERROR(IF(RIGHT(F335,3)="Exp",VLOOKUP(F335,#REF!,2,FALSE),VLOOKUP(F335,#REF!,9,FALSE)),1)</f>
        <v>1</v>
      </c>
      <c r="Z335" s="167">
        <f t="shared" si="38"/>
        <v>5.8823529411764705E-2</v>
      </c>
      <c r="AA335" s="189">
        <f t="shared" si="41"/>
        <v>7.1021838683276942E-3</v>
      </c>
      <c r="AB335" s="2">
        <f>IFERROR(SUMIFS('Comp2016-2017 (3)'!$G$5:$G$289,'Comp2016-2017 (3)'!$A$5:$A$289,A335,'Comp2016-2017 (3)'!$R$5:$R$289,V335)*AA335/SUMIFS($AA$4:$AA$1116,$A$4:$A$1116,A335,$V$4:$V$1116,V335),0)</f>
        <v>24971.263201439382</v>
      </c>
      <c r="AC335" s="2" t="str">
        <f>IF($W335=AC$3,$AB335,IF(NOT($W335=0),"",SUMIFS('Val-Vol (2)'!AC$4:AC$1116,'Val-Vol (2)'!$A$4:$A$1116,$D335,'Val-Vol (2)'!$V$4:$V$1116,$V335)/SUMIFS('Comp2016-2017 (3)'!$G$5:$G$289,'Comp2016-2017 (3)'!$A$5:$A$289,$D335,'Comp2016-2017 (3)'!$R$5:$R$289,$V335)*$AB335))</f>
        <v/>
      </c>
      <c r="AD335" s="2" t="str">
        <f>IF($W335=AD$3,$AB335,IF(NOT($W335=0),"",SUMIFS('Val-Vol (2)'!AD$4:AD$1116,'Val-Vol (2)'!$A$4:$A$1116,$D335,'Val-Vol (2)'!$V$4:$V$1116,$V335)/SUMIFS('Comp2016-2017 (3)'!$G$5:$G$289,'Comp2016-2017 (3)'!$A$5:$A$289,$D335,'Comp2016-2017 (3)'!$R$5:$R$289,$V335)*$AB335))</f>
        <v/>
      </c>
      <c r="AE335" s="2" t="str">
        <f>IF($W335=AE$3,$AB335,IF(NOT($W335=0),"",SUMIFS('Val-Vol (2)'!AE$4:AE$1116,'Val-Vol (2)'!$A$4:$A$1116,$D335,'Val-Vol (2)'!$V$4:$V$1116,$V335)/SUMIFS('Comp2016-2017 (3)'!$G$5:$G$289,'Comp2016-2017 (3)'!$A$5:$A$289,$D335,'Comp2016-2017 (3)'!$R$5:$R$289,$V335)*$AB335))</f>
        <v/>
      </c>
      <c r="AF335" s="2">
        <f>IF($W335=AF$3,$AB335,IF(NOT($W335=0),"",SUMIFS('Val-Vol (2)'!AF$4:AF$1116,'Val-Vol (2)'!$A$4:$A$1116,$D335,'Val-Vol (2)'!$V$4:$V$1116,$V335)/SUMIFS('Comp2016-2017 (3)'!$G$5:$G$289,'Comp2016-2017 (3)'!$A$5:$A$289,$D335,'Comp2016-2017 (3)'!$R$5:$R$289,$V335)*$AB335))</f>
        <v>24971.263201439382</v>
      </c>
      <c r="AG335" s="2" t="str">
        <f>IF($W335=AG$3,$AB335,IF(NOT($W335=0),"",SUMIFS('Val-Vol (2)'!AG$4:AG$1116,'Val-Vol (2)'!$A$4:$A$1116,$D335,'Val-Vol (2)'!$V$4:$V$1116,$V335)/SUMIFS('Comp2016-2017 (3)'!$G$5:$G$289,'Comp2016-2017 (3)'!$A$5:$A$289,$D335,'Comp2016-2017 (3)'!$R$5:$R$289,$V335)*$AB335))</f>
        <v/>
      </c>
      <c r="AH335" s="2" t="str">
        <f>IF($W335=AH$3,$AB335,IF(NOT($W335=0),"",SUMIFS('Val-Vol (2)'!AH$4:AH$1116,'Val-Vol (2)'!$A$4:$A$1116,$D335,'Val-Vol (2)'!$V$4:$V$1116,$V335)/SUMIFS('Comp2016-2017 (3)'!$G$5:$G$289,'Comp2016-2017 (3)'!$A$5:$A$289,$D335,'Comp2016-2017 (3)'!$R$5:$R$289,$V335)*$AB335))</f>
        <v/>
      </c>
      <c r="AI335" s="2" t="str">
        <f>IF($W335=AI$3,$AB335,IF(NOT($W335=0),"",SUMIFS('Val-Vol (2)'!AI$4:AI$1116,'Val-Vol (2)'!$A$4:$A$1116,$D335,'Val-Vol (2)'!$V$4:$V$1116,$V335)/SUMIFS('Comp2016-2017 (3)'!$G$5:$G$289,'Comp2016-2017 (3)'!$A$5:$A$289,$D335,'Comp2016-2017 (3)'!$R$5:$R$289,$V335)*$AB335))</f>
        <v/>
      </c>
      <c r="AJ335" s="2" t="str">
        <f>IF($W335=AJ$3,$AB335,IF(NOT($W335=0),"",SUMIFS('Val-Vol (2)'!AJ$4:AJ$1116,'Val-Vol (2)'!$A$4:$A$1116,$D335,'Val-Vol (2)'!$V$4:$V$1116,$V335)/SUMIFS('Comp2016-2017 (3)'!$G$5:$G$289,'Comp2016-2017 (3)'!$A$5:$A$289,$D335,'Comp2016-2017 (3)'!$R$5:$R$289,$V335)*$AB335))</f>
        <v/>
      </c>
      <c r="AK335" s="2">
        <f t="shared" si="37"/>
        <v>0</v>
      </c>
      <c r="AL335" t="str">
        <f t="shared" si="40"/>
        <v/>
      </c>
      <c r="AM335" t="str">
        <f>VLOOKUP(A335,'Table corresp.'!$M$4:$U$63,8,FALSE)</f>
        <v>Production intermédiaire</v>
      </c>
      <c r="AN335" t="str">
        <f>VLOOKUP(D335,'Table corresp.'!$M$4:$U$63,9,FALSE)</f>
        <v>Production intermédiaire</v>
      </c>
    </row>
    <row r="336" spans="1:40" x14ac:dyDescent="0.25">
      <c r="A336" t="s">
        <v>106</v>
      </c>
      <c r="B336" t="str">
        <f>VLOOKUP(LEFT(A336,3),'Table corresp.'!$A$4:$D$63,3,FALSE)</f>
        <v>Transformation</v>
      </c>
      <c r="C336" t="str">
        <f>VLOOKUP(A336,'Table corresp.'!$M$4:$P$63,4,FALSE)</f>
        <v>Production et transformation de produits bois</v>
      </c>
      <c r="D336" t="s">
        <v>98</v>
      </c>
      <c r="E336" t="str">
        <f>VLOOKUP(LEFT(D336,3),'Table corresp.'!$A$4:$D$63,4,FALSE)</f>
        <v>Transformation</v>
      </c>
      <c r="F336" t="str">
        <f t="shared" si="39"/>
        <v xml:space="preserve">63  - 46 </v>
      </c>
      <c r="G336" s="1">
        <v>8059.2542891406129</v>
      </c>
      <c r="H336" s="1">
        <v>0</v>
      </c>
      <c r="I336" s="1">
        <v>8059.2542891406129</v>
      </c>
      <c r="J336" s="1">
        <v>0</v>
      </c>
      <c r="K336" s="1">
        <v>0</v>
      </c>
      <c r="L336" s="1">
        <v>0</v>
      </c>
      <c r="M336" s="1">
        <v>0</v>
      </c>
      <c r="N336" s="1">
        <v>0</v>
      </c>
      <c r="O336" s="1">
        <v>0</v>
      </c>
      <c r="P336" s="1">
        <v>0</v>
      </c>
      <c r="Q336" s="1">
        <v>0</v>
      </c>
      <c r="R336" s="1">
        <v>0</v>
      </c>
      <c r="S336" s="67"/>
      <c r="T336">
        <f>VLOOKUP(A336,'Groupe de branches'!$Z$27:$AM$86,14,FALSE)</f>
        <v>0</v>
      </c>
      <c r="U336">
        <f>VLOOKUP(D336,'Groupe de branches'!$Z$27:$AM$86,14,FALSE)</f>
        <v>0</v>
      </c>
      <c r="V336">
        <v>2016</v>
      </c>
      <c r="W336" t="str">
        <f>VLOOKUP(D336,'Table corresp.'!$M$4:$S$63,7,FALSE)</f>
        <v>Produits de consommation courante</v>
      </c>
      <c r="X336" s="167">
        <f>IFERROR(G336/SUMIFS('Comp2016-2017 (3)'!$I$5:$I$289,'Comp2016-2017 (3)'!$A$5:$A$289,A336,'Comp2016-2017 (3)'!$R$5:$R$289,V336),0)</f>
        <v>1.9912831842174589E-2</v>
      </c>
      <c r="Y336" s="178">
        <f>IFERROR(IF(RIGHT(F336,3)="Exp",VLOOKUP(F336,#REF!,2,FALSE),VLOOKUP(F336,#REF!,9,FALSE)),1)</f>
        <v>1</v>
      </c>
      <c r="Z336" s="167">
        <f t="shared" ref="Z336:Z339" si="42">Y336/SUMIFS($Y$4:$Y$1116,$V$4:$V$1116,V336,$A$4:$A$1116,A336)</f>
        <v>5.8823529411764705E-2</v>
      </c>
      <c r="AA336" s="189">
        <f t="shared" si="41"/>
        <v>1.1713430495396816E-3</v>
      </c>
      <c r="AB336" s="2">
        <f>IFERROR(SUMIFS('Comp2016-2017 (3)'!$G$5:$G$289,'Comp2016-2017 (3)'!$A$5:$A$289,A336,'Comp2016-2017 (3)'!$R$5:$R$289,V336)*AA336/SUMIFS($AA$4:$AA$1116,$A$4:$A$1116,A336,$V$4:$V$1116,V336),0)</f>
        <v>4118.4396421602823</v>
      </c>
      <c r="AC336" s="2" t="str">
        <f>IF($W336=AC$3,$AB336,IF(NOT($W336=0),"",SUMIFS('Val-Vol (2)'!AC$4:AC$1116,'Val-Vol (2)'!$A$4:$A$1116,$D336,'Val-Vol (2)'!$V$4:$V$1116,$V336)/SUMIFS('Comp2016-2017 (3)'!$G$5:$G$289,'Comp2016-2017 (3)'!$A$5:$A$289,$D336,'Comp2016-2017 (3)'!$R$5:$R$289,$V336)*$AB336))</f>
        <v/>
      </c>
      <c r="AD336" s="2" t="str">
        <f>IF($W336=AD$3,$AB336,IF(NOT($W336=0),"",SUMIFS('Val-Vol (2)'!AD$4:AD$1116,'Val-Vol (2)'!$A$4:$A$1116,$D336,'Val-Vol (2)'!$V$4:$V$1116,$V336)/SUMIFS('Comp2016-2017 (3)'!$G$5:$G$289,'Comp2016-2017 (3)'!$A$5:$A$289,$D336,'Comp2016-2017 (3)'!$R$5:$R$289,$V336)*$AB336))</f>
        <v/>
      </c>
      <c r="AE336" s="2" t="str">
        <f>IF($W336=AE$3,$AB336,IF(NOT($W336=0),"",SUMIFS('Val-Vol (2)'!AE$4:AE$1116,'Val-Vol (2)'!$A$4:$A$1116,$D336,'Val-Vol (2)'!$V$4:$V$1116,$V336)/SUMIFS('Comp2016-2017 (3)'!$G$5:$G$289,'Comp2016-2017 (3)'!$A$5:$A$289,$D336,'Comp2016-2017 (3)'!$R$5:$R$289,$V336)*$AB336))</f>
        <v/>
      </c>
      <c r="AF336" s="2" t="str">
        <f>IF($W336=AF$3,$AB336,IF(NOT($W336=0),"",SUMIFS('Val-Vol (2)'!AF$4:AF$1116,'Val-Vol (2)'!$A$4:$A$1116,$D336,'Val-Vol (2)'!$V$4:$V$1116,$V336)/SUMIFS('Comp2016-2017 (3)'!$G$5:$G$289,'Comp2016-2017 (3)'!$A$5:$A$289,$D336,'Comp2016-2017 (3)'!$R$5:$R$289,$V336)*$AB336))</f>
        <v/>
      </c>
      <c r="AG336" s="2" t="str">
        <f>IF($W336=AG$3,$AB336,IF(NOT($W336=0),"",SUMIFS('Val-Vol (2)'!AG$4:AG$1116,'Val-Vol (2)'!$A$4:$A$1116,$D336,'Val-Vol (2)'!$V$4:$V$1116,$V336)/SUMIFS('Comp2016-2017 (3)'!$G$5:$G$289,'Comp2016-2017 (3)'!$A$5:$A$289,$D336,'Comp2016-2017 (3)'!$R$5:$R$289,$V336)*$AB336))</f>
        <v/>
      </c>
      <c r="AH336" s="2" t="str">
        <f>IF($W336=AH$3,$AB336,IF(NOT($W336=0),"",SUMIFS('Val-Vol (2)'!AH$4:AH$1116,'Val-Vol (2)'!$A$4:$A$1116,$D336,'Val-Vol (2)'!$V$4:$V$1116,$V336)/SUMIFS('Comp2016-2017 (3)'!$G$5:$G$289,'Comp2016-2017 (3)'!$A$5:$A$289,$D336,'Comp2016-2017 (3)'!$R$5:$R$289,$V336)*$AB336))</f>
        <v/>
      </c>
      <c r="AI336" s="2">
        <f>IF($W336=AI$3,$AB336,IF(NOT($W336=0),"",SUMIFS('Val-Vol (2)'!AI$4:AI$1116,'Val-Vol (2)'!$A$4:$A$1116,$D336,'Val-Vol (2)'!$V$4:$V$1116,$V336)/SUMIFS('Comp2016-2017 (3)'!$G$5:$G$289,'Comp2016-2017 (3)'!$A$5:$A$289,$D336,'Comp2016-2017 (3)'!$R$5:$R$289,$V336)*$AB336))</f>
        <v>4118.4396421602823</v>
      </c>
      <c r="AJ336" s="2" t="str">
        <f>IF($W336=AJ$3,$AB336,IF(NOT($W336=0),"",SUMIFS('Val-Vol (2)'!AJ$4:AJ$1116,'Val-Vol (2)'!$A$4:$A$1116,$D336,'Val-Vol (2)'!$V$4:$V$1116,$V336)/SUMIFS('Comp2016-2017 (3)'!$G$5:$G$289,'Comp2016-2017 (3)'!$A$5:$A$289,$D336,'Comp2016-2017 (3)'!$R$5:$R$289,$V336)*$AB336))</f>
        <v/>
      </c>
      <c r="AK336" s="2">
        <f t="shared" si="37"/>
        <v>0</v>
      </c>
      <c r="AL336" t="str">
        <f t="shared" si="40"/>
        <v/>
      </c>
      <c r="AM336" t="str">
        <f>VLOOKUP(A336,'Table corresp.'!$M$4:$U$63,8,FALSE)</f>
        <v>Production intermédiaire</v>
      </c>
      <c r="AN336" t="str">
        <f>VLOOKUP(D336,'Table corresp.'!$M$4:$U$63,9,FALSE)</f>
        <v>Production intermédiaire</v>
      </c>
    </row>
    <row r="337" spans="1:40" x14ac:dyDescent="0.25">
      <c r="A337" t="s">
        <v>106</v>
      </c>
      <c r="B337" t="str">
        <f>VLOOKUP(LEFT(A337,3),'Table corresp.'!$A$4:$D$63,3,FALSE)</f>
        <v>Transformation</v>
      </c>
      <c r="C337" t="str">
        <f>VLOOKUP(A337,'Table corresp.'!$M$4:$P$63,4,FALSE)</f>
        <v>Production et transformation de produits bois</v>
      </c>
      <c r="D337" t="s">
        <v>53</v>
      </c>
      <c r="E337" t="str">
        <f>VLOOKUP(LEFT(D337,3),'Table corresp.'!$A$4:$D$63,4,FALSE)</f>
        <v>Exportation</v>
      </c>
      <c r="F337" t="str">
        <f t="shared" si="39"/>
        <v>63  - Exp</v>
      </c>
      <c r="G337" s="1">
        <v>38221.856761398383</v>
      </c>
      <c r="H337" s="1">
        <v>0</v>
      </c>
      <c r="I337" s="1">
        <v>38221.856761398383</v>
      </c>
      <c r="J337" s="1">
        <v>0</v>
      </c>
      <c r="K337" s="1">
        <v>0</v>
      </c>
      <c r="L337" s="1">
        <v>0</v>
      </c>
      <c r="M337" s="1">
        <v>0</v>
      </c>
      <c r="N337" s="1">
        <v>0</v>
      </c>
      <c r="O337" s="1">
        <v>0</v>
      </c>
      <c r="P337" s="1">
        <v>0</v>
      </c>
      <c r="Q337" s="1">
        <v>0</v>
      </c>
      <c r="R337" s="1">
        <v>0</v>
      </c>
      <c r="S337" s="67"/>
      <c r="T337">
        <f>VLOOKUP(A337,'Groupe de branches'!$Z$27:$AM$86,14,FALSE)</f>
        <v>0</v>
      </c>
      <c r="U337">
        <f>VLOOKUP(D337,'Groupe de branches'!$Z$27:$AM$86,14,FALSE)</f>
        <v>0</v>
      </c>
      <c r="V337">
        <v>2016</v>
      </c>
      <c r="W337" t="str">
        <f>VLOOKUP(D337,'Table corresp.'!$M$4:$S$63,7,FALSE)</f>
        <v>Exportation</v>
      </c>
      <c r="X337" s="167">
        <f>IFERROR(G337/SUMIFS('Comp2016-2017 (3)'!$I$5:$I$289,'Comp2016-2017 (3)'!$A$5:$A$289,A337,'Comp2016-2017 (3)'!$R$5:$R$289,V337),0)</f>
        <v>9.4438688627923817E-2</v>
      </c>
      <c r="Y337" s="178">
        <f>IFERROR(IF(RIGHT(F337,3)="Exp",VLOOKUP(F337,#REF!,2,FALSE),VLOOKUP(F337,#REF!,9,FALSE)),1)</f>
        <v>1</v>
      </c>
      <c r="Z337" s="167">
        <f t="shared" si="42"/>
        <v>5.8823529411764705E-2</v>
      </c>
      <c r="AA337" s="189">
        <f t="shared" si="41"/>
        <v>5.555216978113166E-3</v>
      </c>
      <c r="AB337" s="2">
        <f>IFERROR(SUMIFS('Comp2016-2017 (3)'!$G$5:$G$289,'Comp2016-2017 (3)'!$A$5:$A$289,A337,'Comp2016-2017 (3)'!$R$5:$R$289,V337)*AA337/SUMIFS($AA$4:$AA$1116,$A$4:$A$1116,A337,$V$4:$V$1116,V337),0)</f>
        <v>19532.13094358148</v>
      </c>
      <c r="AC337" s="2">
        <f>IF($W337=AC$3,$AB337,IF(NOT($W337=0),"",SUMIFS('Val-Vol (2)'!AC$4:AC$1116,'Val-Vol (2)'!$A$4:$A$1116,$D337,'Val-Vol (2)'!$V$4:$V$1116,$V337)/SUMIFS('Comp2016-2017 (3)'!$G$5:$G$289,'Comp2016-2017 (3)'!$A$5:$A$289,$D337,'Comp2016-2017 (3)'!$R$5:$R$289,$V337)*$AB337))</f>
        <v>19532.13094358148</v>
      </c>
      <c r="AD337" s="2" t="str">
        <f>IF($W337=AD$3,$AB337,IF(NOT($W337=0),"",SUMIFS('Val-Vol (2)'!AD$4:AD$1116,'Val-Vol (2)'!$A$4:$A$1116,$D337,'Val-Vol (2)'!$V$4:$V$1116,$V337)/SUMIFS('Comp2016-2017 (3)'!$G$5:$G$289,'Comp2016-2017 (3)'!$A$5:$A$289,$D337,'Comp2016-2017 (3)'!$R$5:$R$289,$V337)*$AB337))</f>
        <v/>
      </c>
      <c r="AE337" s="2" t="str">
        <f>IF($W337=AE$3,$AB337,IF(NOT($W337=0),"",SUMIFS('Val-Vol (2)'!AE$4:AE$1116,'Val-Vol (2)'!$A$4:$A$1116,$D337,'Val-Vol (2)'!$V$4:$V$1116,$V337)/SUMIFS('Comp2016-2017 (3)'!$G$5:$G$289,'Comp2016-2017 (3)'!$A$5:$A$289,$D337,'Comp2016-2017 (3)'!$R$5:$R$289,$V337)*$AB337))</f>
        <v/>
      </c>
      <c r="AF337" s="2" t="str">
        <f>IF($W337=AF$3,$AB337,IF(NOT($W337=0),"",SUMIFS('Val-Vol (2)'!AF$4:AF$1116,'Val-Vol (2)'!$A$4:$A$1116,$D337,'Val-Vol (2)'!$V$4:$V$1116,$V337)/SUMIFS('Comp2016-2017 (3)'!$G$5:$G$289,'Comp2016-2017 (3)'!$A$5:$A$289,$D337,'Comp2016-2017 (3)'!$R$5:$R$289,$V337)*$AB337))</f>
        <v/>
      </c>
      <c r="AG337" s="2" t="str">
        <f>IF($W337=AG$3,$AB337,IF(NOT($W337=0),"",SUMIFS('Val-Vol (2)'!AG$4:AG$1116,'Val-Vol (2)'!$A$4:$A$1116,$D337,'Val-Vol (2)'!$V$4:$V$1116,$V337)/SUMIFS('Comp2016-2017 (3)'!$G$5:$G$289,'Comp2016-2017 (3)'!$A$5:$A$289,$D337,'Comp2016-2017 (3)'!$R$5:$R$289,$V337)*$AB337))</f>
        <v/>
      </c>
      <c r="AH337" s="2" t="str">
        <f>IF($W337=AH$3,$AB337,IF(NOT($W337=0),"",SUMIFS('Val-Vol (2)'!AH$4:AH$1116,'Val-Vol (2)'!$A$4:$A$1116,$D337,'Val-Vol (2)'!$V$4:$V$1116,$V337)/SUMIFS('Comp2016-2017 (3)'!$G$5:$G$289,'Comp2016-2017 (3)'!$A$5:$A$289,$D337,'Comp2016-2017 (3)'!$R$5:$R$289,$V337)*$AB337))</f>
        <v/>
      </c>
      <c r="AI337" s="2" t="str">
        <f>IF($W337=AI$3,$AB337,IF(NOT($W337=0),"",SUMIFS('Val-Vol (2)'!AI$4:AI$1116,'Val-Vol (2)'!$A$4:$A$1116,$D337,'Val-Vol (2)'!$V$4:$V$1116,$V337)/SUMIFS('Comp2016-2017 (3)'!$G$5:$G$289,'Comp2016-2017 (3)'!$A$5:$A$289,$D337,'Comp2016-2017 (3)'!$R$5:$R$289,$V337)*$AB337))</f>
        <v/>
      </c>
      <c r="AJ337" s="2" t="str">
        <f>IF($W337=AJ$3,$AB337,IF(NOT($W337=0),"",SUMIFS('Val-Vol (2)'!AJ$4:AJ$1116,'Val-Vol (2)'!$A$4:$A$1116,$D337,'Val-Vol (2)'!$V$4:$V$1116,$V337)/SUMIFS('Comp2016-2017 (3)'!$G$5:$G$289,'Comp2016-2017 (3)'!$A$5:$A$289,$D337,'Comp2016-2017 (3)'!$R$5:$R$289,$V337)*$AB337))</f>
        <v/>
      </c>
      <c r="AK337" s="2">
        <f t="shared" si="37"/>
        <v>0</v>
      </c>
      <c r="AL337" t="str">
        <f t="shared" si="40"/>
        <v/>
      </c>
      <c r="AM337" t="str">
        <f>VLOOKUP(A337,'Table corresp.'!$M$4:$U$63,8,FALSE)</f>
        <v>Production intermédiaire</v>
      </c>
      <c r="AN337" t="str">
        <f>VLOOKUP(D337,'Table corresp.'!$M$4:$U$63,9,FALSE)</f>
        <v>Exportation</v>
      </c>
    </row>
    <row r="338" spans="1:40" x14ac:dyDescent="0.25">
      <c r="A338" t="s">
        <v>107</v>
      </c>
      <c r="B338" t="str">
        <f>VLOOKUP(LEFT(A338,3),'Table corresp.'!$A$4:$D$63,3,FALSE)</f>
        <v>Transformation</v>
      </c>
      <c r="C338" t="str">
        <f>VLOOKUP(A338,'Table corresp.'!$M$4:$P$63,4,FALSE)</f>
        <v>Commerces et services</v>
      </c>
      <c r="D338" t="s">
        <v>59</v>
      </c>
      <c r="E338" t="str">
        <f>VLOOKUP(LEFT(D338,3),'Table corresp.'!$A$4:$D$63,4,FALSE)</f>
        <v>Transformation</v>
      </c>
      <c r="F338" t="str">
        <f t="shared" si="39"/>
        <v xml:space="preserve">64  - 07 </v>
      </c>
      <c r="G338" s="1">
        <v>0</v>
      </c>
      <c r="H338" s="1">
        <v>0</v>
      </c>
      <c r="I338" s="1">
        <v>0</v>
      </c>
      <c r="J338" s="1">
        <v>0</v>
      </c>
      <c r="K338" s="1">
        <v>0</v>
      </c>
      <c r="L338" s="1">
        <v>0</v>
      </c>
      <c r="M338" s="1">
        <v>0</v>
      </c>
      <c r="N338" s="1">
        <v>0</v>
      </c>
      <c r="O338" s="1">
        <v>0</v>
      </c>
      <c r="P338" s="1">
        <v>0</v>
      </c>
      <c r="Q338" s="1">
        <v>0</v>
      </c>
      <c r="R338" s="1">
        <v>0</v>
      </c>
      <c r="S338" s="67"/>
      <c r="T338">
        <f>VLOOKUP(A338,'Groupe de branches'!$Z$27:$AM$86,14,FALSE)</f>
        <v>0</v>
      </c>
      <c r="U338">
        <f>VLOOKUP(D338,'Groupe de branches'!$Z$27:$AM$86,14,FALSE)</f>
        <v>0</v>
      </c>
      <c r="V338">
        <v>2016</v>
      </c>
      <c r="W338" t="str">
        <f>VLOOKUP(D338,'Table corresp.'!$M$4:$S$63,7,FALSE)</f>
        <v>Produits de consommation courante</v>
      </c>
      <c r="X338" s="167">
        <f>IFERROR(G338/SUMIFS('Comp2016-2017 (3)'!$I$5:$I$289,'Comp2016-2017 (3)'!$A$5:$A$289,A338,'Comp2016-2017 (3)'!$R$5:$R$289,V338),0)</f>
        <v>0</v>
      </c>
      <c r="Y338" s="178">
        <f>IFERROR(IF(RIGHT(F338,3)="Exp",VLOOKUP(F338,#REF!,2,FALSE),VLOOKUP(F338,#REF!,9,FALSE)),1)</f>
        <v>1</v>
      </c>
      <c r="Z338" s="167">
        <f t="shared" si="42"/>
        <v>0.5</v>
      </c>
      <c r="AA338" s="189">
        <f t="shared" si="41"/>
        <v>0</v>
      </c>
      <c r="AB338" s="2">
        <f>IFERROR(SUMIFS('Comp2016-2017 (3)'!$G$5:$G$289,'Comp2016-2017 (3)'!$A$5:$A$289,A338,'Comp2016-2017 (3)'!$R$5:$R$289,V338)*AA338/SUMIFS($AA$4:$AA$1116,$A$4:$A$1116,A338,$V$4:$V$1116,V338),0)</f>
        <v>0</v>
      </c>
      <c r="AC338" s="2" t="str">
        <f>IF($W338=AC$3,$AB338,IF(NOT($W338=0),"",SUMIFS('Val-Vol (2)'!AC$4:AC$1116,'Val-Vol (2)'!$A$4:$A$1116,$D338,'Val-Vol (2)'!$V$4:$V$1116,$V338)/SUMIFS('Comp2016-2017 (3)'!$G$5:$G$289,'Comp2016-2017 (3)'!$A$5:$A$289,$D338,'Comp2016-2017 (3)'!$R$5:$R$289,$V338)*$AB338))</f>
        <v/>
      </c>
      <c r="AD338" s="2" t="str">
        <f>IF($W338=AD$3,$AB338,IF(NOT($W338=0),"",SUMIFS('Val-Vol (2)'!AD$4:AD$1116,'Val-Vol (2)'!$A$4:$A$1116,$D338,'Val-Vol (2)'!$V$4:$V$1116,$V338)/SUMIFS('Comp2016-2017 (3)'!$G$5:$G$289,'Comp2016-2017 (3)'!$A$5:$A$289,$D338,'Comp2016-2017 (3)'!$R$5:$R$289,$V338)*$AB338))</f>
        <v/>
      </c>
      <c r="AE338" s="2" t="str">
        <f>IF($W338=AE$3,$AB338,IF(NOT($W338=0),"",SUMIFS('Val-Vol (2)'!AE$4:AE$1116,'Val-Vol (2)'!$A$4:$A$1116,$D338,'Val-Vol (2)'!$V$4:$V$1116,$V338)/SUMIFS('Comp2016-2017 (3)'!$G$5:$G$289,'Comp2016-2017 (3)'!$A$5:$A$289,$D338,'Comp2016-2017 (3)'!$R$5:$R$289,$V338)*$AB338))</f>
        <v/>
      </c>
      <c r="AF338" s="2" t="str">
        <f>IF($W338=AF$3,$AB338,IF(NOT($W338=0),"",SUMIFS('Val-Vol (2)'!AF$4:AF$1116,'Val-Vol (2)'!$A$4:$A$1116,$D338,'Val-Vol (2)'!$V$4:$V$1116,$V338)/SUMIFS('Comp2016-2017 (3)'!$G$5:$G$289,'Comp2016-2017 (3)'!$A$5:$A$289,$D338,'Comp2016-2017 (3)'!$R$5:$R$289,$V338)*$AB338))</f>
        <v/>
      </c>
      <c r="AG338" s="2" t="str">
        <f>IF($W338=AG$3,$AB338,IF(NOT($W338=0),"",SUMIFS('Val-Vol (2)'!AG$4:AG$1116,'Val-Vol (2)'!$A$4:$A$1116,$D338,'Val-Vol (2)'!$V$4:$V$1116,$V338)/SUMIFS('Comp2016-2017 (3)'!$G$5:$G$289,'Comp2016-2017 (3)'!$A$5:$A$289,$D338,'Comp2016-2017 (3)'!$R$5:$R$289,$V338)*$AB338))</f>
        <v/>
      </c>
      <c r="AH338" s="2" t="str">
        <f>IF($W338=AH$3,$AB338,IF(NOT($W338=0),"",SUMIFS('Val-Vol (2)'!AH$4:AH$1116,'Val-Vol (2)'!$A$4:$A$1116,$D338,'Val-Vol (2)'!$V$4:$V$1116,$V338)/SUMIFS('Comp2016-2017 (3)'!$G$5:$G$289,'Comp2016-2017 (3)'!$A$5:$A$289,$D338,'Comp2016-2017 (3)'!$R$5:$R$289,$V338)*$AB338))</f>
        <v/>
      </c>
      <c r="AI338" s="2">
        <f>IF($W338=AI$3,$AB338,IF(NOT($W338=0),"",SUMIFS('Val-Vol (2)'!AI$4:AI$1116,'Val-Vol (2)'!$A$4:$A$1116,$D338,'Val-Vol (2)'!$V$4:$V$1116,$V338)/SUMIFS('Comp2016-2017 (3)'!$G$5:$G$289,'Comp2016-2017 (3)'!$A$5:$A$289,$D338,'Comp2016-2017 (3)'!$R$5:$R$289,$V338)*$AB338))</f>
        <v>0</v>
      </c>
      <c r="AJ338" s="2" t="str">
        <f>IF($W338=AJ$3,$AB338,IF(NOT($W338=0),"",SUMIFS('Val-Vol (2)'!AJ$4:AJ$1116,'Val-Vol (2)'!$A$4:$A$1116,$D338,'Val-Vol (2)'!$V$4:$V$1116,$V338)/SUMIFS('Comp2016-2017 (3)'!$G$5:$G$289,'Comp2016-2017 (3)'!$A$5:$A$289,$D338,'Comp2016-2017 (3)'!$R$5:$R$289,$V338)*$AB338))</f>
        <v/>
      </c>
      <c r="AK338" s="2">
        <f t="shared" si="37"/>
        <v>0</v>
      </c>
      <c r="AL338" t="str">
        <f t="shared" si="40"/>
        <v/>
      </c>
      <c r="AM338" t="str">
        <f>VLOOKUP(A338,'Table corresp.'!$M$4:$U$63,8,FALSE)</f>
        <v>Production finale</v>
      </c>
      <c r="AN338" t="str">
        <f>VLOOKUP(D338,'Table corresp.'!$M$4:$U$63,9,FALSE)</f>
        <v>Production intermédiaire</v>
      </c>
    </row>
    <row r="339" spans="1:40" x14ac:dyDescent="0.25">
      <c r="A339" t="s">
        <v>107</v>
      </c>
      <c r="B339" t="str">
        <f>VLOOKUP(LEFT(A339,3),'Table corresp.'!$A$4:$D$63,3,FALSE)</f>
        <v>Transformation</v>
      </c>
      <c r="C339" t="str">
        <f>VLOOKUP(A339,'Table corresp.'!$M$4:$P$63,4,FALSE)</f>
        <v>Commerces et services</v>
      </c>
      <c r="D339" t="s">
        <v>54</v>
      </c>
      <c r="E339" t="str">
        <f>VLOOKUP(LEFT(D339,3),'Table corresp.'!$A$4:$D$63,4,FALSE)</f>
        <v>Consommation finale</v>
      </c>
      <c r="F339" t="str">
        <f t="shared" si="39"/>
        <v>64  - Con</v>
      </c>
      <c r="G339" s="1">
        <v>646496.6960545294</v>
      </c>
      <c r="H339" s="1">
        <v>0</v>
      </c>
      <c r="I339" s="1">
        <v>646496.6960545294</v>
      </c>
      <c r="J339" s="1">
        <v>0</v>
      </c>
      <c r="K339" s="1">
        <v>0</v>
      </c>
      <c r="L339" s="1">
        <v>0</v>
      </c>
      <c r="M339" s="1">
        <v>0</v>
      </c>
      <c r="N339" s="1">
        <v>0</v>
      </c>
      <c r="O339" s="1">
        <v>0</v>
      </c>
      <c r="P339" s="1">
        <v>0</v>
      </c>
      <c r="Q339" s="1">
        <v>0</v>
      </c>
      <c r="R339" s="1">
        <v>0</v>
      </c>
      <c r="S339" s="67"/>
      <c r="T339">
        <f>VLOOKUP(A339,'Groupe de branches'!$Z$27:$AM$86,14,FALSE)</f>
        <v>0</v>
      </c>
      <c r="U339">
        <f>VLOOKUP(D339,'Groupe de branches'!$Z$27:$AM$86,14,FALSE)</f>
        <v>0</v>
      </c>
      <c r="V339">
        <v>2016</v>
      </c>
      <c r="W339" t="str">
        <f>VLOOKUP(D339,'Table corresp.'!$M$4:$S$63,7,FALSE)</f>
        <v>Consommation finale</v>
      </c>
      <c r="X339" s="167">
        <f>IFERROR(G339/SUMIFS('Comp2016-2017 (3)'!$I$5:$I$289,'Comp2016-2017 (3)'!$A$5:$A$289,A339,'Comp2016-2017 (3)'!$R$5:$R$289,V339),0)</f>
        <v>1</v>
      </c>
      <c r="Y339" s="178">
        <f>IFERROR(IF(RIGHT(F339,3)="Exp",VLOOKUP(F339,#REF!,2,FALSE),VLOOKUP(F339,#REF!,9,FALSE)),1)</f>
        <v>1</v>
      </c>
      <c r="Z339" s="167">
        <f t="shared" si="42"/>
        <v>0.5</v>
      </c>
      <c r="AA339" s="189">
        <f t="shared" si="41"/>
        <v>0.5</v>
      </c>
      <c r="AB339" s="2">
        <f>IFERROR(SUMIFS('Comp2016-2017 (3)'!$G$5:$G$289,'Comp2016-2017 (3)'!$A$5:$A$289,A339,'Comp2016-2017 (3)'!$R$5:$R$289,V339)*AA339/SUMIFS($AA$4:$AA$1116,$A$4:$A$1116,A339,$V$4:$V$1116,V339),0)</f>
        <v>646496.6960545294</v>
      </c>
      <c r="AC339" s="2" t="str">
        <f>IF($W339=AC$3,$AB339,IF(NOT($W339=0),"",SUMIFS('Val-Vol (2)'!AC$4:AC$1116,'Val-Vol (2)'!$A$4:$A$1116,$D339,'Val-Vol (2)'!$V$4:$V$1116,$V339)/SUMIFS('Comp2016-2017 (3)'!$G$5:$G$289,'Comp2016-2017 (3)'!$A$5:$A$289,$D339,'Comp2016-2017 (3)'!$R$5:$R$289,$V339)*$AB339))</f>
        <v/>
      </c>
      <c r="AD339" s="2" t="str">
        <f>IF($W339=AD$3,$AB339,IF(NOT($W339=0),"",SUMIFS('Val-Vol (2)'!AD$4:AD$1116,'Val-Vol (2)'!$A$4:$A$1116,$D339,'Val-Vol (2)'!$V$4:$V$1116,$V339)/SUMIFS('Comp2016-2017 (3)'!$G$5:$G$289,'Comp2016-2017 (3)'!$A$5:$A$289,$D339,'Comp2016-2017 (3)'!$R$5:$R$289,$V339)*$AB339))</f>
        <v/>
      </c>
      <c r="AE339" s="2" t="str">
        <f>IF($W339=AE$3,$AB339,IF(NOT($W339=0),"",SUMIFS('Val-Vol (2)'!AE$4:AE$1116,'Val-Vol (2)'!$A$4:$A$1116,$D339,'Val-Vol (2)'!$V$4:$V$1116,$V339)/SUMIFS('Comp2016-2017 (3)'!$G$5:$G$289,'Comp2016-2017 (3)'!$A$5:$A$289,$D339,'Comp2016-2017 (3)'!$R$5:$R$289,$V339)*$AB339))</f>
        <v/>
      </c>
      <c r="AF339" s="2" t="str">
        <f>IF($W339=AF$3,$AB339,IF(NOT($W339=0),"",SUMIFS('Val-Vol (2)'!AF$4:AF$1116,'Val-Vol (2)'!$A$4:$A$1116,$D339,'Val-Vol (2)'!$V$4:$V$1116,$V339)/SUMIFS('Comp2016-2017 (3)'!$G$5:$G$289,'Comp2016-2017 (3)'!$A$5:$A$289,$D339,'Comp2016-2017 (3)'!$R$5:$R$289,$V339)*$AB339))</f>
        <v/>
      </c>
      <c r="AG339" s="2" t="str">
        <f>IF($W339=AG$3,$AB339,IF(NOT($W339=0),"",SUMIFS('Val-Vol (2)'!AG$4:AG$1116,'Val-Vol (2)'!$A$4:$A$1116,$D339,'Val-Vol (2)'!$V$4:$V$1116,$V339)/SUMIFS('Comp2016-2017 (3)'!$G$5:$G$289,'Comp2016-2017 (3)'!$A$5:$A$289,$D339,'Comp2016-2017 (3)'!$R$5:$R$289,$V339)*$AB339))</f>
        <v/>
      </c>
      <c r="AH339" s="2" t="str">
        <f>IF($W339=AH$3,$AB339,IF(NOT($W339=0),"",SUMIFS('Val-Vol (2)'!AH$4:AH$1116,'Val-Vol (2)'!$A$4:$A$1116,$D339,'Val-Vol (2)'!$V$4:$V$1116,$V339)/SUMIFS('Comp2016-2017 (3)'!$G$5:$G$289,'Comp2016-2017 (3)'!$A$5:$A$289,$D339,'Comp2016-2017 (3)'!$R$5:$R$289,$V339)*$AB339))</f>
        <v/>
      </c>
      <c r="AI339" s="2" t="str">
        <f>IF($W339=AI$3,$AB339,IF(NOT($W339=0),"",SUMIFS('Val-Vol (2)'!AI$4:AI$1116,'Val-Vol (2)'!$A$4:$A$1116,$D339,'Val-Vol (2)'!$V$4:$V$1116,$V339)/SUMIFS('Comp2016-2017 (3)'!$G$5:$G$289,'Comp2016-2017 (3)'!$A$5:$A$289,$D339,'Comp2016-2017 (3)'!$R$5:$R$289,$V339)*$AB339))</f>
        <v/>
      </c>
      <c r="AJ339" s="2">
        <f>IF($W339=AJ$3,$AB339,IF(NOT($W339=0),"",SUMIFS('Val-Vol (2)'!AJ$4:AJ$1116,'Val-Vol (2)'!$A$4:$A$1116,$D339,'Val-Vol (2)'!$V$4:$V$1116,$V339)/SUMIFS('Comp2016-2017 (3)'!$G$5:$G$289,'Comp2016-2017 (3)'!$A$5:$A$289,$D339,'Comp2016-2017 (3)'!$R$5:$R$289,$V339)*$AB339))</f>
        <v>646496.6960545294</v>
      </c>
      <c r="AK339" s="2">
        <f t="shared" si="37"/>
        <v>0</v>
      </c>
      <c r="AL339" t="str">
        <f t="shared" si="40"/>
        <v/>
      </c>
      <c r="AM339" t="str">
        <f>VLOOKUP(A339,'Table corresp.'!$M$4:$U$63,8,FALSE)</f>
        <v>Production finale</v>
      </c>
      <c r="AN339" t="str">
        <f>VLOOKUP(D339,'Table corresp.'!$M$4:$U$63,9,FALSE)</f>
        <v>Consommation finale française</v>
      </c>
    </row>
    <row r="340" spans="1:40" x14ac:dyDescent="0.25">
      <c r="A340" t="s">
        <v>52</v>
      </c>
      <c r="B340" t="str">
        <f>VLOOKUP(LEFT(A340,3),'Table corresp.'!$A$4:$D$63,3,FALSE)</f>
        <v>Importation</v>
      </c>
      <c r="C340" t="str">
        <f>VLOOKUP(A340,'Table corresp.'!$M$4:$P$63,4,FALSE)</f>
        <v>Importation</v>
      </c>
      <c r="D340" t="s">
        <v>80</v>
      </c>
      <c r="E340" t="str">
        <f>VLOOKUP(LEFT(D340,3),'Table corresp.'!$A$4:$D$63,4,FALSE)</f>
        <v>Transformation</v>
      </c>
      <c r="F340" t="str">
        <f t="shared" si="39"/>
        <v xml:space="preserve">Imp - 01 </v>
      </c>
      <c r="G340" s="1">
        <v>0</v>
      </c>
      <c r="H340" s="1">
        <v>7219.6989999999996</v>
      </c>
      <c r="I340" s="1">
        <v>7219.6989999999996</v>
      </c>
      <c r="J340" s="1">
        <v>0</v>
      </c>
      <c r="K340" s="1">
        <v>0</v>
      </c>
      <c r="L340" s="1">
        <v>0</v>
      </c>
      <c r="M340" s="1">
        <v>0</v>
      </c>
      <c r="N340" s="1">
        <v>0</v>
      </c>
      <c r="O340" s="1">
        <v>0</v>
      </c>
      <c r="P340" s="1">
        <v>0</v>
      </c>
      <c r="Q340" s="1">
        <v>0</v>
      </c>
      <c r="R340" s="1">
        <v>0</v>
      </c>
      <c r="S340" s="67"/>
      <c r="T340">
        <f>VLOOKUP(A340,'Groupe de branches'!$Z$27:$AM$86,14,FALSE)</f>
        <v>0</v>
      </c>
      <c r="U340">
        <f>VLOOKUP(D340,'Groupe de branches'!$Z$27:$AM$86,14,FALSE)</f>
        <v>0</v>
      </c>
      <c r="V340">
        <v>2016</v>
      </c>
      <c r="W340">
        <f>VLOOKUP(D340,'Table corresp.'!$M$4:$S$63,7,FALSE)</f>
        <v>0</v>
      </c>
      <c r="X340" s="167">
        <f>IFERROR(G340/SUMIFS('Comp2016-2017 (3)'!$I$5:$I$289,'Comp2016-2017 (3)'!$A$5:$A$289,A340,'Comp2016-2017 (3)'!$R$5:$R$289,V340),0)</f>
        <v>0</v>
      </c>
      <c r="Y340" s="178">
        <f>IFERROR(IF(RIGHT(F340,3)="Exp",VLOOKUP(F340,#REF!,2,FALSE),VLOOKUP(F340,#REF!,9,FALSE)),0)</f>
        <v>0</v>
      </c>
      <c r="Z340" s="167">
        <f t="shared" ref="Z340:Z342" si="43">IFERROR(Y340/SUMIFS($Y$4:$Y$1858,$V$4:$V$1858,V340,$A$4:$A$1858,A340),0)</f>
        <v>0</v>
      </c>
      <c r="AA340" s="189">
        <f t="shared" si="41"/>
        <v>0</v>
      </c>
      <c r="AB340" s="2">
        <f>IFERROR(SUMIFS('Comp2016-2017 (3)'!$G$5:$G$289,'Comp2016-2017 (3)'!$A$5:$A$289,A340,'Comp2016-2017 (3)'!$R$5:$R$289,V340)*AA340/SUMIFS($AA$4:$AA$1116,$A$4:$A$1116,A340,$V$4:$V$1116,V340),0)</f>
        <v>0</v>
      </c>
      <c r="AC340" s="2">
        <f>IF($W340=AC$3,$AB340,IF(NOT($W340=0),"",SUMIFS('Val-Vol (2)'!AC$4:AC$1116,'Val-Vol (2)'!$A$4:$A$1116,$D340,'Val-Vol (2)'!$V$4:$V$1116,$V340)/SUMIFS('Comp2016-2017 (3)'!$G$5:$G$289,'Comp2016-2017 (3)'!$A$5:$A$289,$D340,'Comp2016-2017 (3)'!$R$5:$R$289,$V340)*$AB340))</f>
        <v>0</v>
      </c>
      <c r="AD340" s="2">
        <f>IF($W340=AD$3,$AB340,IF(NOT($W340=0),"",SUMIFS('Val-Vol (2)'!AD$4:AD$1116,'Val-Vol (2)'!$A$4:$A$1116,$D340,'Val-Vol (2)'!$V$4:$V$1116,$V340)/SUMIFS('Comp2016-2017 (3)'!$G$5:$G$289,'Comp2016-2017 (3)'!$A$5:$A$289,$D340,'Comp2016-2017 (3)'!$R$5:$R$289,$V340)*$AB340))</f>
        <v>0</v>
      </c>
      <c r="AE340" s="2">
        <f>IF($W340=AE$3,$AB340,IF(NOT($W340=0),"",SUMIFS('Val-Vol (2)'!AE$4:AE$1116,'Val-Vol (2)'!$A$4:$A$1116,$D340,'Val-Vol (2)'!$V$4:$V$1116,$V340)/SUMIFS('Comp2016-2017 (3)'!$G$5:$G$289,'Comp2016-2017 (3)'!$A$5:$A$289,$D340,'Comp2016-2017 (3)'!$R$5:$R$289,$V340)*$AB340))</f>
        <v>0</v>
      </c>
      <c r="AF340" s="2">
        <f>IF($W340=AF$3,$AB340,IF(NOT($W340=0),"",SUMIFS('Val-Vol (2)'!AF$4:AF$1116,'Val-Vol (2)'!$A$4:$A$1116,$D340,'Val-Vol (2)'!$V$4:$V$1116,$V340)/SUMIFS('Comp2016-2017 (3)'!$G$5:$G$289,'Comp2016-2017 (3)'!$A$5:$A$289,$D340,'Comp2016-2017 (3)'!$R$5:$R$289,$V340)*$AB340))</f>
        <v>0</v>
      </c>
      <c r="AG340" s="2">
        <f>IF($W340=AG$3,$AB340,IF(NOT($W340=0),"",SUMIFS('Val-Vol (2)'!AG$4:AG$1116,'Val-Vol (2)'!$A$4:$A$1116,$D340,'Val-Vol (2)'!$V$4:$V$1116,$V340)/SUMIFS('Comp2016-2017 (3)'!$G$5:$G$289,'Comp2016-2017 (3)'!$A$5:$A$289,$D340,'Comp2016-2017 (3)'!$R$5:$R$289,$V340)*$AB340))</f>
        <v>0</v>
      </c>
      <c r="AH340" s="2">
        <f>IF($W340=AH$3,$AB340,IF(NOT($W340=0),"",SUMIFS('Val-Vol (2)'!AH$4:AH$1116,'Val-Vol (2)'!$A$4:$A$1116,$D340,'Val-Vol (2)'!$V$4:$V$1116,$V340)/SUMIFS('Comp2016-2017 (3)'!$G$5:$G$289,'Comp2016-2017 (3)'!$A$5:$A$289,$D340,'Comp2016-2017 (3)'!$R$5:$R$289,$V340)*$AB340))</f>
        <v>0</v>
      </c>
      <c r="AI340" s="2">
        <f>IF($W340=AI$3,$AB340,IF(NOT($W340=0),"",SUMIFS('Val-Vol (2)'!AI$4:AI$1116,'Val-Vol (2)'!$A$4:$A$1116,$D340,'Val-Vol (2)'!$V$4:$V$1116,$V340)/SUMIFS('Comp2016-2017 (3)'!$G$5:$G$289,'Comp2016-2017 (3)'!$A$5:$A$289,$D340,'Comp2016-2017 (3)'!$R$5:$R$289,$V340)*$AB340))</f>
        <v>0</v>
      </c>
      <c r="AJ340" s="2">
        <f>IF($W340=AJ$3,$AB340,IF(NOT($W340=0),"",SUMIFS('Val-Vol (2)'!AJ$4:AJ$1116,'Val-Vol (2)'!$A$4:$A$1116,$D340,'Val-Vol (2)'!$V$4:$V$1116,$V340)/SUMIFS('Comp2016-2017 (3)'!$G$5:$G$289,'Comp2016-2017 (3)'!$A$5:$A$289,$D340,'Comp2016-2017 (3)'!$R$5:$R$289,$V340)*$AB340))</f>
        <v>0</v>
      </c>
      <c r="AK340" s="2">
        <f t="shared" si="37"/>
        <v>0</v>
      </c>
      <c r="AL340" t="str">
        <f t="shared" si="40"/>
        <v/>
      </c>
      <c r="AM340" t="str">
        <f>VLOOKUP(A340,'Table corresp.'!$M$4:$U$63,8,FALSE)</f>
        <v>Importation</v>
      </c>
      <c r="AN340" t="str">
        <f>VLOOKUP(D340,'Table corresp.'!$M$4:$U$63,9,FALSE)</f>
        <v>Production intermédiaire</v>
      </c>
    </row>
    <row r="341" spans="1:40" x14ac:dyDescent="0.25">
      <c r="A341" t="s">
        <v>52</v>
      </c>
      <c r="B341" t="str">
        <f>VLOOKUP(LEFT(A341,3),'Table corresp.'!$A$4:$D$63,3,FALSE)</f>
        <v>Importation</v>
      </c>
      <c r="C341" t="str">
        <f>VLOOKUP(A341,'Table corresp.'!$M$4:$P$63,4,FALSE)</f>
        <v>Importation</v>
      </c>
      <c r="D341" t="s">
        <v>0</v>
      </c>
      <c r="E341" t="str">
        <f>VLOOKUP(LEFT(D341,3),'Table corresp.'!$A$4:$D$63,4,FALSE)</f>
        <v>Transformation</v>
      </c>
      <c r="F341" t="str">
        <f t="shared" si="39"/>
        <v xml:space="preserve">Imp - 02 </v>
      </c>
      <c r="G341" s="1">
        <v>0</v>
      </c>
      <c r="H341" s="1">
        <v>61826.712000000007</v>
      </c>
      <c r="I341" s="1">
        <v>61826.712000000007</v>
      </c>
      <c r="J341" s="1">
        <v>0</v>
      </c>
      <c r="K341" s="1">
        <v>379.70210906049749</v>
      </c>
      <c r="L341" s="1">
        <v>379.70210906049749</v>
      </c>
      <c r="M341" s="1">
        <v>0</v>
      </c>
      <c r="N341" s="1">
        <v>0</v>
      </c>
      <c r="O341" s="1">
        <v>0</v>
      </c>
      <c r="P341" s="1">
        <v>0</v>
      </c>
      <c r="Q341" s="1">
        <v>0</v>
      </c>
      <c r="R341" s="1">
        <v>0</v>
      </c>
      <c r="S341" s="67"/>
      <c r="T341">
        <f>VLOOKUP(A341,'Groupe de branches'!$Z$27:$AM$86,14,FALSE)</f>
        <v>0</v>
      </c>
      <c r="U341">
        <f>VLOOKUP(D341,'Groupe de branches'!$Z$27:$AM$86,14,FALSE)</f>
        <v>0</v>
      </c>
      <c r="V341">
        <v>2016</v>
      </c>
      <c r="W341">
        <f>VLOOKUP(D341,'Table corresp.'!$M$4:$S$63,7,FALSE)</f>
        <v>0</v>
      </c>
      <c r="X341" s="167">
        <f>IFERROR(G341/SUMIFS('Comp2016-2017 (3)'!$I$5:$I$289,'Comp2016-2017 (3)'!$A$5:$A$289,A341,'Comp2016-2017 (3)'!$R$5:$R$289,V341),0)</f>
        <v>0</v>
      </c>
      <c r="Y341" s="178">
        <f>IFERROR(IF(RIGHT(F341,3)="Exp",VLOOKUP(F341,#REF!,2,FALSE),VLOOKUP(F341,#REF!,9,FALSE)),0)</f>
        <v>0</v>
      </c>
      <c r="Z341" s="167">
        <f t="shared" si="43"/>
        <v>0</v>
      </c>
      <c r="AA341" s="189">
        <f t="shared" si="41"/>
        <v>0</v>
      </c>
      <c r="AB341" s="2">
        <f>IFERROR(SUMIFS('Comp2016-2017 (3)'!$G$5:$G$289,'Comp2016-2017 (3)'!$A$5:$A$289,A341,'Comp2016-2017 (3)'!$R$5:$R$289,V341)*AA341/SUMIFS($AA$4:$AA$1116,$A$4:$A$1116,A341,$V$4:$V$1116,V341),0)</f>
        <v>0</v>
      </c>
      <c r="AC341" s="2">
        <f>IF($W341=AC$3,$AB341,IF(NOT($W341=0),"",SUMIFS('Val-Vol (2)'!AC$4:AC$1116,'Val-Vol (2)'!$A$4:$A$1116,$D341,'Val-Vol (2)'!$V$4:$V$1116,$V341)/SUMIFS('Comp2016-2017 (3)'!$G$5:$G$289,'Comp2016-2017 (3)'!$A$5:$A$289,$D341,'Comp2016-2017 (3)'!$R$5:$R$289,$V341)*$AB341))</f>
        <v>0</v>
      </c>
      <c r="AD341" s="2">
        <f>IF($W341=AD$3,$AB341,IF(NOT($W341=0),"",SUMIFS('Val-Vol (2)'!AD$4:AD$1116,'Val-Vol (2)'!$A$4:$A$1116,$D341,'Val-Vol (2)'!$V$4:$V$1116,$V341)/SUMIFS('Comp2016-2017 (3)'!$G$5:$G$289,'Comp2016-2017 (3)'!$A$5:$A$289,$D341,'Comp2016-2017 (3)'!$R$5:$R$289,$V341)*$AB341))</f>
        <v>0</v>
      </c>
      <c r="AE341" s="2">
        <f>IF($W341=AE$3,$AB341,IF(NOT($W341=0),"",SUMIFS('Val-Vol (2)'!AE$4:AE$1116,'Val-Vol (2)'!$A$4:$A$1116,$D341,'Val-Vol (2)'!$V$4:$V$1116,$V341)/SUMIFS('Comp2016-2017 (3)'!$G$5:$G$289,'Comp2016-2017 (3)'!$A$5:$A$289,$D341,'Comp2016-2017 (3)'!$R$5:$R$289,$V341)*$AB341))</f>
        <v>0</v>
      </c>
      <c r="AF341" s="2">
        <f>IF($W341=AF$3,$AB341,IF(NOT($W341=0),"",SUMIFS('Val-Vol (2)'!AF$4:AF$1116,'Val-Vol (2)'!$A$4:$A$1116,$D341,'Val-Vol (2)'!$V$4:$V$1116,$V341)/SUMIFS('Comp2016-2017 (3)'!$G$5:$G$289,'Comp2016-2017 (3)'!$A$5:$A$289,$D341,'Comp2016-2017 (3)'!$R$5:$R$289,$V341)*$AB341))</f>
        <v>0</v>
      </c>
      <c r="AG341" s="2">
        <f>IF($W341=AG$3,$AB341,IF(NOT($W341=0),"",SUMIFS('Val-Vol (2)'!AG$4:AG$1116,'Val-Vol (2)'!$A$4:$A$1116,$D341,'Val-Vol (2)'!$V$4:$V$1116,$V341)/SUMIFS('Comp2016-2017 (3)'!$G$5:$G$289,'Comp2016-2017 (3)'!$A$5:$A$289,$D341,'Comp2016-2017 (3)'!$R$5:$R$289,$V341)*$AB341))</f>
        <v>0</v>
      </c>
      <c r="AH341" s="2">
        <f>IF($W341=AH$3,$AB341,IF(NOT($W341=0),"",SUMIFS('Val-Vol (2)'!AH$4:AH$1116,'Val-Vol (2)'!$A$4:$A$1116,$D341,'Val-Vol (2)'!$V$4:$V$1116,$V341)/SUMIFS('Comp2016-2017 (3)'!$G$5:$G$289,'Comp2016-2017 (3)'!$A$5:$A$289,$D341,'Comp2016-2017 (3)'!$R$5:$R$289,$V341)*$AB341))</f>
        <v>0</v>
      </c>
      <c r="AI341" s="2">
        <f>IF($W341=AI$3,$AB341,IF(NOT($W341=0),"",SUMIFS('Val-Vol (2)'!AI$4:AI$1116,'Val-Vol (2)'!$A$4:$A$1116,$D341,'Val-Vol (2)'!$V$4:$V$1116,$V341)/SUMIFS('Comp2016-2017 (3)'!$G$5:$G$289,'Comp2016-2017 (3)'!$A$5:$A$289,$D341,'Comp2016-2017 (3)'!$R$5:$R$289,$V341)*$AB341))</f>
        <v>0</v>
      </c>
      <c r="AJ341" s="2">
        <f>IF($W341=AJ$3,$AB341,IF(NOT($W341=0),"",SUMIFS('Val-Vol (2)'!AJ$4:AJ$1116,'Val-Vol (2)'!$A$4:$A$1116,$D341,'Val-Vol (2)'!$V$4:$V$1116,$V341)/SUMIFS('Comp2016-2017 (3)'!$G$5:$G$289,'Comp2016-2017 (3)'!$A$5:$A$289,$D341,'Comp2016-2017 (3)'!$R$5:$R$289,$V341)*$AB341))</f>
        <v>0</v>
      </c>
      <c r="AK341" s="2">
        <f t="shared" si="37"/>
        <v>0</v>
      </c>
      <c r="AL341" t="str">
        <f t="shared" si="40"/>
        <v/>
      </c>
      <c r="AM341" t="str">
        <f>VLOOKUP(A341,'Table corresp.'!$M$4:$U$63,8,FALSE)</f>
        <v>Importation</v>
      </c>
      <c r="AN341" t="str">
        <f>VLOOKUP(D341,'Table corresp.'!$M$4:$U$63,9,FALSE)</f>
        <v>Production intermédiaire</v>
      </c>
    </row>
    <row r="342" spans="1:40" x14ac:dyDescent="0.25">
      <c r="A342" t="s">
        <v>52</v>
      </c>
      <c r="B342" t="str">
        <f>VLOOKUP(LEFT(A342,3),'Table corresp.'!$A$4:$D$63,3,FALSE)</f>
        <v>Importation</v>
      </c>
      <c r="C342" t="str">
        <f>VLOOKUP(A342,'Table corresp.'!$M$4:$P$63,4,FALSE)</f>
        <v>Importation</v>
      </c>
      <c r="D342" t="s">
        <v>1</v>
      </c>
      <c r="E342" t="str">
        <f>VLOOKUP(LEFT(D342,3),'Table corresp.'!$A$4:$D$63,4,FALSE)</f>
        <v>Transformation</v>
      </c>
      <c r="F342" t="str">
        <f t="shared" si="39"/>
        <v xml:space="preserve">Imp - 03 </v>
      </c>
      <c r="G342" s="1">
        <v>0</v>
      </c>
      <c r="H342" s="1">
        <v>51829.933999999994</v>
      </c>
      <c r="I342" s="1">
        <v>51829.933999999994</v>
      </c>
      <c r="J342" s="1">
        <v>0</v>
      </c>
      <c r="K342" s="1">
        <v>0</v>
      </c>
      <c r="L342" s="1">
        <v>0</v>
      </c>
      <c r="M342" s="1">
        <v>0</v>
      </c>
      <c r="N342" s="1">
        <v>585.85125397970273</v>
      </c>
      <c r="O342" s="1">
        <v>585.85125397970273</v>
      </c>
      <c r="P342" s="1">
        <v>0</v>
      </c>
      <c r="Q342" s="1">
        <v>0</v>
      </c>
      <c r="R342" s="1">
        <v>0</v>
      </c>
      <c r="S342" s="67"/>
      <c r="T342">
        <f>VLOOKUP(A342,'Groupe de branches'!$Z$27:$AM$86,14,FALSE)</f>
        <v>0</v>
      </c>
      <c r="U342">
        <f>VLOOKUP(D342,'Groupe de branches'!$Z$27:$AM$86,14,FALSE)</f>
        <v>0</v>
      </c>
      <c r="V342">
        <v>2016</v>
      </c>
      <c r="W342">
        <f>VLOOKUP(D342,'Table corresp.'!$M$4:$S$63,7,FALSE)</f>
        <v>0</v>
      </c>
      <c r="X342" s="167">
        <f>IFERROR(G342/SUMIFS('Comp2016-2017 (3)'!$I$5:$I$289,'Comp2016-2017 (3)'!$A$5:$A$289,A342,'Comp2016-2017 (3)'!$R$5:$R$289,V342),0)</f>
        <v>0</v>
      </c>
      <c r="Y342" s="178">
        <f>IFERROR(IF(RIGHT(F342,3)="Exp",VLOOKUP(F342,#REF!,2,FALSE),VLOOKUP(F342,#REF!,9,FALSE)),0)</f>
        <v>0</v>
      </c>
      <c r="Z342" s="167">
        <f t="shared" si="43"/>
        <v>0</v>
      </c>
      <c r="AA342" s="189">
        <f t="shared" si="41"/>
        <v>0</v>
      </c>
      <c r="AB342" s="2">
        <f>IFERROR(SUMIFS('Comp2016-2017 (3)'!$G$5:$G$289,'Comp2016-2017 (3)'!$A$5:$A$289,A342,'Comp2016-2017 (3)'!$R$5:$R$289,V342)*AA342/SUMIFS($AA$4:$AA$1116,$A$4:$A$1116,A342,$V$4:$V$1116,V342),0)</f>
        <v>0</v>
      </c>
      <c r="AC342" s="2">
        <f>IF($W342=AC$3,$AB342,IF(NOT($W342=0),"",SUMIFS('Val-Vol (2)'!AC$4:AC$1116,'Val-Vol (2)'!$A$4:$A$1116,$D342,'Val-Vol (2)'!$V$4:$V$1116,$V342)/SUMIFS('Comp2016-2017 (3)'!$G$5:$G$289,'Comp2016-2017 (3)'!$A$5:$A$289,$D342,'Comp2016-2017 (3)'!$R$5:$R$289,$V342)*$AB342))</f>
        <v>0</v>
      </c>
      <c r="AD342" s="2">
        <f>IF($W342=AD$3,$AB342,IF(NOT($W342=0),"",SUMIFS('Val-Vol (2)'!AD$4:AD$1116,'Val-Vol (2)'!$A$4:$A$1116,$D342,'Val-Vol (2)'!$V$4:$V$1116,$V342)/SUMIFS('Comp2016-2017 (3)'!$G$5:$G$289,'Comp2016-2017 (3)'!$A$5:$A$289,$D342,'Comp2016-2017 (3)'!$R$5:$R$289,$V342)*$AB342))</f>
        <v>0</v>
      </c>
      <c r="AE342" s="2">
        <f>IF($W342=AE$3,$AB342,IF(NOT($W342=0),"",SUMIFS('Val-Vol (2)'!AE$4:AE$1116,'Val-Vol (2)'!$A$4:$A$1116,$D342,'Val-Vol (2)'!$V$4:$V$1116,$V342)/SUMIFS('Comp2016-2017 (3)'!$G$5:$G$289,'Comp2016-2017 (3)'!$A$5:$A$289,$D342,'Comp2016-2017 (3)'!$R$5:$R$289,$V342)*$AB342))</f>
        <v>0</v>
      </c>
      <c r="AF342" s="2">
        <f>IF($W342=AF$3,$AB342,IF(NOT($W342=0),"",SUMIFS('Val-Vol (2)'!AF$4:AF$1116,'Val-Vol (2)'!$A$4:$A$1116,$D342,'Val-Vol (2)'!$V$4:$V$1116,$V342)/SUMIFS('Comp2016-2017 (3)'!$G$5:$G$289,'Comp2016-2017 (3)'!$A$5:$A$289,$D342,'Comp2016-2017 (3)'!$R$5:$R$289,$V342)*$AB342))</f>
        <v>0</v>
      </c>
      <c r="AG342" s="2">
        <f>IF($W342=AG$3,$AB342,IF(NOT($W342=0),"",SUMIFS('Val-Vol (2)'!AG$4:AG$1116,'Val-Vol (2)'!$A$4:$A$1116,$D342,'Val-Vol (2)'!$V$4:$V$1116,$V342)/SUMIFS('Comp2016-2017 (3)'!$G$5:$G$289,'Comp2016-2017 (3)'!$A$5:$A$289,$D342,'Comp2016-2017 (3)'!$R$5:$R$289,$V342)*$AB342))</f>
        <v>0</v>
      </c>
      <c r="AH342" s="2">
        <f>IF($W342=AH$3,$AB342,IF(NOT($W342=0),"",SUMIFS('Val-Vol (2)'!AH$4:AH$1116,'Val-Vol (2)'!$A$4:$A$1116,$D342,'Val-Vol (2)'!$V$4:$V$1116,$V342)/SUMIFS('Comp2016-2017 (3)'!$G$5:$G$289,'Comp2016-2017 (3)'!$A$5:$A$289,$D342,'Comp2016-2017 (3)'!$R$5:$R$289,$V342)*$AB342))</f>
        <v>0</v>
      </c>
      <c r="AI342" s="2">
        <f>IF($W342=AI$3,$AB342,IF(NOT($W342=0),"",SUMIFS('Val-Vol (2)'!AI$4:AI$1116,'Val-Vol (2)'!$A$4:$A$1116,$D342,'Val-Vol (2)'!$V$4:$V$1116,$V342)/SUMIFS('Comp2016-2017 (3)'!$G$5:$G$289,'Comp2016-2017 (3)'!$A$5:$A$289,$D342,'Comp2016-2017 (3)'!$R$5:$R$289,$V342)*$AB342))</f>
        <v>0</v>
      </c>
      <c r="AJ342" s="2">
        <f>IF($W342=AJ$3,$AB342,IF(NOT($W342=0),"",SUMIFS('Val-Vol (2)'!AJ$4:AJ$1116,'Val-Vol (2)'!$A$4:$A$1116,$D342,'Val-Vol (2)'!$V$4:$V$1116,$V342)/SUMIFS('Comp2016-2017 (3)'!$G$5:$G$289,'Comp2016-2017 (3)'!$A$5:$A$289,$D342,'Comp2016-2017 (3)'!$R$5:$R$289,$V342)*$AB342))</f>
        <v>0</v>
      </c>
      <c r="AK342" s="2">
        <f t="shared" si="37"/>
        <v>0</v>
      </c>
      <c r="AL342" t="str">
        <f t="shared" si="40"/>
        <v/>
      </c>
      <c r="AM342" t="str">
        <f>VLOOKUP(A342,'Table corresp.'!$M$4:$U$63,8,FALSE)</f>
        <v>Importation</v>
      </c>
      <c r="AN342" t="str">
        <f>VLOOKUP(D342,'Table corresp.'!$M$4:$U$63,9,FALSE)</f>
        <v>Production intermédiaire</v>
      </c>
    </row>
    <row r="343" spans="1:40" x14ac:dyDescent="0.25">
      <c r="A343" t="s">
        <v>52</v>
      </c>
      <c r="B343" t="str">
        <f>VLOOKUP(LEFT(A343,3),'Table corresp.'!$A$4:$D$63,3,FALSE)</f>
        <v>Importation</v>
      </c>
      <c r="C343" t="str">
        <f>VLOOKUP(A343,'Table corresp.'!$M$4:$P$63,4,FALSE)</f>
        <v>Importation</v>
      </c>
      <c r="D343" t="s">
        <v>2</v>
      </c>
      <c r="E343" t="str">
        <f>VLOOKUP(LEFT(D343,3),'Table corresp.'!$A$4:$D$63,4,FALSE)</f>
        <v>Transformation</v>
      </c>
      <c r="F343" t="str">
        <f t="shared" si="39"/>
        <v xml:space="preserve">Imp - 04 </v>
      </c>
      <c r="G343" s="1">
        <v>0</v>
      </c>
      <c r="H343" s="1">
        <v>14423.248</v>
      </c>
      <c r="I343" s="1">
        <v>14423.248</v>
      </c>
      <c r="J343" s="1">
        <v>0</v>
      </c>
      <c r="K343" s="1">
        <v>0</v>
      </c>
      <c r="L343" s="1">
        <v>0</v>
      </c>
      <c r="M343" s="1">
        <v>0</v>
      </c>
      <c r="N343" s="1">
        <v>0</v>
      </c>
      <c r="O343" s="1">
        <v>0</v>
      </c>
      <c r="P343" s="1">
        <v>0</v>
      </c>
      <c r="Q343" s="1">
        <v>175.15701173070789</v>
      </c>
      <c r="R343" s="1">
        <v>175.15701173070789</v>
      </c>
      <c r="S343" s="67" t="s">
        <v>198</v>
      </c>
      <c r="T343">
        <f>VLOOKUP(A343,'Groupe de branches'!$Z$27:$AM$86,14,FALSE)</f>
        <v>0</v>
      </c>
      <c r="U343">
        <f>VLOOKUP(D343,'Groupe de branches'!$Z$27:$AM$86,14,FALSE)</f>
        <v>0</v>
      </c>
      <c r="V343">
        <v>2016</v>
      </c>
      <c r="W343" t="str">
        <f>VLOOKUP(D343,'Table corresp.'!$M$4:$S$63,7,FALSE)</f>
        <v>Energie</v>
      </c>
      <c r="X343" s="167">
        <f>IFERROR(G343/SUMIFS('Comp2016-2017 (3)'!$I$5:$I$289,'Comp2016-2017 (3)'!$A$5:$A$289,A343,'Comp2016-2017 (3)'!$R$5:$R$289,V343),0)</f>
        <v>0</v>
      </c>
      <c r="Y343" s="178">
        <f>IFERROR(IF(RIGHT(F343,3)="Exp",VLOOKUP(F343,#REF!,2,FALSE),VLOOKUP(F343,#REF!,9,FALSE)),0)</f>
        <v>0</v>
      </c>
      <c r="Z343" s="167">
        <f t="shared" ref="Z343:Z374" si="44">IFERROR(Y343/SUMIFS($Y$4:$Y$1858,$V$4:$V$1858,V343,$A$4:$A$1858,A343),0)</f>
        <v>0</v>
      </c>
      <c r="AA343" s="189">
        <f t="shared" si="41"/>
        <v>0</v>
      </c>
      <c r="AB343" s="2">
        <f>IFERROR(SUMIFS('Comp2016-2017 (3)'!$G$5:$G$289,'Comp2016-2017 (3)'!$A$5:$A$289,A343,'Comp2016-2017 (3)'!$R$5:$R$289,V343)*AA343/SUMIFS($AA$4:$AA$1116,$A$4:$A$1116,A343,$V$4:$V$1116,V343),0)</f>
        <v>0</v>
      </c>
      <c r="AC343" s="2" t="str">
        <f>IF($W343=AC$3,$AB343,IF(NOT($W343=0),"",SUMIFS('Val-Vol (2)'!AC$4:AC$1116,'Val-Vol (2)'!$A$4:$A$1116,$D343,'Val-Vol (2)'!$V$4:$V$1116,$V343)/SUMIFS('Comp2016-2017 (3)'!$G$5:$G$289,'Comp2016-2017 (3)'!$A$5:$A$289,$D343,'Comp2016-2017 (3)'!$R$5:$R$289,$V343)*$AB343))</f>
        <v/>
      </c>
      <c r="AD343" s="2" t="str">
        <f>IF($W343=AD$3,$AB343,IF(NOT($W343=0),"",SUMIFS('Val-Vol (2)'!AD$4:AD$1116,'Val-Vol (2)'!$A$4:$A$1116,$D343,'Val-Vol (2)'!$V$4:$V$1116,$V343)/SUMIFS('Comp2016-2017 (3)'!$G$5:$G$289,'Comp2016-2017 (3)'!$A$5:$A$289,$D343,'Comp2016-2017 (3)'!$R$5:$R$289,$V343)*$AB343))</f>
        <v/>
      </c>
      <c r="AE343" s="2" t="str">
        <f>IF($W343=AE$3,$AB343,IF(NOT($W343=0),"",SUMIFS('Val-Vol (2)'!AE$4:AE$1116,'Val-Vol (2)'!$A$4:$A$1116,$D343,'Val-Vol (2)'!$V$4:$V$1116,$V343)/SUMIFS('Comp2016-2017 (3)'!$G$5:$G$289,'Comp2016-2017 (3)'!$A$5:$A$289,$D343,'Comp2016-2017 (3)'!$R$5:$R$289,$V343)*$AB343))</f>
        <v/>
      </c>
      <c r="AF343" s="2" t="str">
        <f>IF($W343=AF$3,$AB343,IF(NOT($W343=0),"",SUMIFS('Val-Vol (2)'!AF$4:AF$1116,'Val-Vol (2)'!$A$4:$A$1116,$D343,'Val-Vol (2)'!$V$4:$V$1116,$V343)/SUMIFS('Comp2016-2017 (3)'!$G$5:$G$289,'Comp2016-2017 (3)'!$A$5:$A$289,$D343,'Comp2016-2017 (3)'!$R$5:$R$289,$V343)*$AB343))</f>
        <v/>
      </c>
      <c r="AG343" s="2" t="str">
        <f>IF($W343=AG$3,$AB343,IF(NOT($W343=0),"",SUMIFS('Val-Vol (2)'!AG$4:AG$1116,'Val-Vol (2)'!$A$4:$A$1116,$D343,'Val-Vol (2)'!$V$4:$V$1116,$V343)/SUMIFS('Comp2016-2017 (3)'!$G$5:$G$289,'Comp2016-2017 (3)'!$A$5:$A$289,$D343,'Comp2016-2017 (3)'!$R$5:$R$289,$V343)*$AB343))</f>
        <v/>
      </c>
      <c r="AH343" s="2">
        <f>IF($W343=AH$3,$AB343,IF(NOT($W343=0),"",SUMIFS('Val-Vol (2)'!AH$4:AH$1116,'Val-Vol (2)'!$A$4:$A$1116,$D343,'Val-Vol (2)'!$V$4:$V$1116,$V343)/SUMIFS('Comp2016-2017 (3)'!$G$5:$G$289,'Comp2016-2017 (3)'!$A$5:$A$289,$D343,'Comp2016-2017 (3)'!$R$5:$R$289,$V343)*$AB343))</f>
        <v>0</v>
      </c>
      <c r="AI343" s="2" t="str">
        <f>IF($W343=AI$3,$AB343,IF(NOT($W343=0),"",SUMIFS('Val-Vol (2)'!AI$4:AI$1116,'Val-Vol (2)'!$A$4:$A$1116,$D343,'Val-Vol (2)'!$V$4:$V$1116,$V343)/SUMIFS('Comp2016-2017 (3)'!$G$5:$G$289,'Comp2016-2017 (3)'!$A$5:$A$289,$D343,'Comp2016-2017 (3)'!$R$5:$R$289,$V343)*$AB343))</f>
        <v/>
      </c>
      <c r="AJ343" s="2" t="str">
        <f>IF($W343=AJ$3,$AB343,IF(NOT($W343=0),"",SUMIFS('Val-Vol (2)'!AJ$4:AJ$1116,'Val-Vol (2)'!$A$4:$A$1116,$D343,'Val-Vol (2)'!$V$4:$V$1116,$V343)/SUMIFS('Comp2016-2017 (3)'!$G$5:$G$289,'Comp2016-2017 (3)'!$A$5:$A$289,$D343,'Comp2016-2017 (3)'!$R$5:$R$289,$V343)*$AB343))</f>
        <v/>
      </c>
      <c r="AK343" s="2">
        <f t="shared" si="37"/>
        <v>0</v>
      </c>
      <c r="AL343" t="str">
        <f t="shared" si="40"/>
        <v/>
      </c>
      <c r="AM343" t="str">
        <f>VLOOKUP(A343,'Table corresp.'!$M$4:$U$63,8,FALSE)</f>
        <v>Importation</v>
      </c>
      <c r="AN343" t="str">
        <f>VLOOKUP(D343,'Table corresp.'!$M$4:$U$63,9,FALSE)</f>
        <v>Production intermédiaire</v>
      </c>
    </row>
    <row r="344" spans="1:40" x14ac:dyDescent="0.25">
      <c r="A344" t="s">
        <v>52</v>
      </c>
      <c r="B344" t="str">
        <f>VLOOKUP(LEFT(A344,3),'Table corresp.'!$A$4:$D$63,3,FALSE)</f>
        <v>Importation</v>
      </c>
      <c r="C344" t="str">
        <f>VLOOKUP(A344,'Table corresp.'!$M$4:$P$63,4,FALSE)</f>
        <v>Importation</v>
      </c>
      <c r="D344" t="s">
        <v>59</v>
      </c>
      <c r="E344" t="str">
        <f>VLOOKUP(LEFT(D344,3),'Table corresp.'!$A$4:$D$63,4,FALSE)</f>
        <v>Transformation</v>
      </c>
      <c r="F344" t="str">
        <f t="shared" si="39"/>
        <v xml:space="preserve">Imp - 07 </v>
      </c>
      <c r="G344" s="1">
        <v>0</v>
      </c>
      <c r="H344" s="1">
        <v>58436.694000000003</v>
      </c>
      <c r="I344" s="1">
        <v>58436.694000000003</v>
      </c>
      <c r="J344" s="1">
        <v>0</v>
      </c>
      <c r="K344" s="1">
        <v>0</v>
      </c>
      <c r="L344" s="1">
        <v>0</v>
      </c>
      <c r="M344" s="1">
        <v>0</v>
      </c>
      <c r="N344" s="1">
        <v>0</v>
      </c>
      <c r="O344" s="1">
        <v>0</v>
      </c>
      <c r="P344" s="1">
        <v>0</v>
      </c>
      <c r="Q344" s="1">
        <v>0</v>
      </c>
      <c r="R344" s="1">
        <v>0</v>
      </c>
      <c r="S344" s="67"/>
      <c r="T344">
        <f>VLOOKUP(A344,'Groupe de branches'!$Z$27:$AM$86,14,FALSE)</f>
        <v>0</v>
      </c>
      <c r="U344">
        <f>VLOOKUP(D344,'Groupe de branches'!$Z$27:$AM$86,14,FALSE)</f>
        <v>0</v>
      </c>
      <c r="V344">
        <v>2016</v>
      </c>
      <c r="W344" t="str">
        <f>VLOOKUP(D344,'Table corresp.'!$M$4:$S$63,7,FALSE)</f>
        <v>Produits de consommation courante</v>
      </c>
      <c r="X344" s="167">
        <f>IFERROR(G344/SUMIFS('Comp2016-2017 (3)'!$I$5:$I$289,'Comp2016-2017 (3)'!$A$5:$A$289,A344,'Comp2016-2017 (3)'!$R$5:$R$289,V344),0)</f>
        <v>0</v>
      </c>
      <c r="Y344" s="178">
        <f>IFERROR(IF(RIGHT(F344,3)="Exp",VLOOKUP(F344,#REF!,2,FALSE),VLOOKUP(F344,#REF!,9,FALSE)),0)</f>
        <v>0</v>
      </c>
      <c r="Z344" s="167">
        <f t="shared" si="44"/>
        <v>0</v>
      </c>
      <c r="AA344" s="189">
        <f t="shared" si="41"/>
        <v>0</v>
      </c>
      <c r="AB344" s="2">
        <f>IFERROR(SUMIFS('Comp2016-2017 (3)'!$G$5:$G$289,'Comp2016-2017 (3)'!$A$5:$A$289,A344,'Comp2016-2017 (3)'!$R$5:$R$289,V344)*AA344/SUMIFS($AA$4:$AA$1116,$A$4:$A$1116,A344,$V$4:$V$1116,V344),0)</f>
        <v>0</v>
      </c>
      <c r="AC344" s="2" t="str">
        <f>IF($W344=AC$3,$AB344,IF(NOT($W344=0),"",SUMIFS('Val-Vol (2)'!AC$4:AC$1116,'Val-Vol (2)'!$A$4:$A$1116,$D344,'Val-Vol (2)'!$V$4:$V$1116,$V344)/SUMIFS('Comp2016-2017 (3)'!$G$5:$G$289,'Comp2016-2017 (3)'!$A$5:$A$289,$D344,'Comp2016-2017 (3)'!$R$5:$R$289,$V344)*$AB344))</f>
        <v/>
      </c>
      <c r="AD344" s="2" t="str">
        <f>IF($W344=AD$3,$AB344,IF(NOT($W344=0),"",SUMIFS('Val-Vol (2)'!AD$4:AD$1116,'Val-Vol (2)'!$A$4:$A$1116,$D344,'Val-Vol (2)'!$V$4:$V$1116,$V344)/SUMIFS('Comp2016-2017 (3)'!$G$5:$G$289,'Comp2016-2017 (3)'!$A$5:$A$289,$D344,'Comp2016-2017 (3)'!$R$5:$R$289,$V344)*$AB344))</f>
        <v/>
      </c>
      <c r="AE344" s="2" t="str">
        <f>IF($W344=AE$3,$AB344,IF(NOT($W344=0),"",SUMIFS('Val-Vol (2)'!AE$4:AE$1116,'Val-Vol (2)'!$A$4:$A$1116,$D344,'Val-Vol (2)'!$V$4:$V$1116,$V344)/SUMIFS('Comp2016-2017 (3)'!$G$5:$G$289,'Comp2016-2017 (3)'!$A$5:$A$289,$D344,'Comp2016-2017 (3)'!$R$5:$R$289,$V344)*$AB344))</f>
        <v/>
      </c>
      <c r="AF344" s="2" t="str">
        <f>IF($W344=AF$3,$AB344,IF(NOT($W344=0),"",SUMIFS('Val-Vol (2)'!AF$4:AF$1116,'Val-Vol (2)'!$A$4:$A$1116,$D344,'Val-Vol (2)'!$V$4:$V$1116,$V344)/SUMIFS('Comp2016-2017 (3)'!$G$5:$G$289,'Comp2016-2017 (3)'!$A$5:$A$289,$D344,'Comp2016-2017 (3)'!$R$5:$R$289,$V344)*$AB344))</f>
        <v/>
      </c>
      <c r="AG344" s="2" t="str">
        <f>IF($W344=AG$3,$AB344,IF(NOT($W344=0),"",SUMIFS('Val-Vol (2)'!AG$4:AG$1116,'Val-Vol (2)'!$A$4:$A$1116,$D344,'Val-Vol (2)'!$V$4:$V$1116,$V344)/SUMIFS('Comp2016-2017 (3)'!$G$5:$G$289,'Comp2016-2017 (3)'!$A$5:$A$289,$D344,'Comp2016-2017 (3)'!$R$5:$R$289,$V344)*$AB344))</f>
        <v/>
      </c>
      <c r="AH344" s="2" t="str">
        <f>IF($W344=AH$3,$AB344,IF(NOT($W344=0),"",SUMIFS('Val-Vol (2)'!AH$4:AH$1116,'Val-Vol (2)'!$A$4:$A$1116,$D344,'Val-Vol (2)'!$V$4:$V$1116,$V344)/SUMIFS('Comp2016-2017 (3)'!$G$5:$G$289,'Comp2016-2017 (3)'!$A$5:$A$289,$D344,'Comp2016-2017 (3)'!$R$5:$R$289,$V344)*$AB344))</f>
        <v/>
      </c>
      <c r="AI344" s="2">
        <f>IF($W344=AI$3,$AB344,IF(NOT($W344=0),"",SUMIFS('Val-Vol (2)'!AI$4:AI$1116,'Val-Vol (2)'!$A$4:$A$1116,$D344,'Val-Vol (2)'!$V$4:$V$1116,$V344)/SUMIFS('Comp2016-2017 (3)'!$G$5:$G$289,'Comp2016-2017 (3)'!$A$5:$A$289,$D344,'Comp2016-2017 (3)'!$R$5:$R$289,$V344)*$AB344))</f>
        <v>0</v>
      </c>
      <c r="AJ344" s="2" t="str">
        <f>IF($W344=AJ$3,$AB344,IF(NOT($W344=0),"",SUMIFS('Val-Vol (2)'!AJ$4:AJ$1116,'Val-Vol (2)'!$A$4:$A$1116,$D344,'Val-Vol (2)'!$V$4:$V$1116,$V344)/SUMIFS('Comp2016-2017 (3)'!$G$5:$G$289,'Comp2016-2017 (3)'!$A$5:$A$289,$D344,'Comp2016-2017 (3)'!$R$5:$R$289,$V344)*$AB344))</f>
        <v/>
      </c>
      <c r="AK344" s="2">
        <f t="shared" si="37"/>
        <v>0</v>
      </c>
      <c r="AL344" t="str">
        <f t="shared" si="40"/>
        <v/>
      </c>
      <c r="AM344" t="str">
        <f>VLOOKUP(A344,'Table corresp.'!$M$4:$U$63,8,FALSE)</f>
        <v>Importation</v>
      </c>
      <c r="AN344" t="str">
        <f>VLOOKUP(D344,'Table corresp.'!$M$4:$U$63,9,FALSE)</f>
        <v>Production intermédiaire</v>
      </c>
    </row>
    <row r="345" spans="1:40" x14ac:dyDescent="0.25">
      <c r="A345" t="s">
        <v>52</v>
      </c>
      <c r="B345" t="str">
        <f>VLOOKUP(LEFT(A345,3),'Table corresp.'!$A$4:$D$63,3,FALSE)</f>
        <v>Importation</v>
      </c>
      <c r="C345" t="str">
        <f>VLOOKUP(A345,'Table corresp.'!$M$4:$P$63,4,FALSE)</f>
        <v>Importation</v>
      </c>
      <c r="D345" t="s">
        <v>4</v>
      </c>
      <c r="E345" t="str">
        <f>VLOOKUP(LEFT(D345,3),'Table corresp.'!$A$4:$D$63,4,FALSE)</f>
        <v>Transformation</v>
      </c>
      <c r="F345" t="str">
        <f t="shared" si="39"/>
        <v xml:space="preserve">Imp - 08 </v>
      </c>
      <c r="G345" s="1">
        <v>0</v>
      </c>
      <c r="H345" s="1">
        <v>24279.906999999999</v>
      </c>
      <c r="I345" s="1">
        <v>24279.906999999999</v>
      </c>
      <c r="J345" s="1">
        <v>0</v>
      </c>
      <c r="K345" s="1">
        <v>58.009213563678685</v>
      </c>
      <c r="L345" s="1">
        <v>58.009213563678685</v>
      </c>
      <c r="M345" s="1">
        <v>0</v>
      </c>
      <c r="N345" s="1">
        <v>0</v>
      </c>
      <c r="O345" s="1">
        <v>0</v>
      </c>
      <c r="P345" s="1">
        <v>0</v>
      </c>
      <c r="Q345" s="1">
        <v>0</v>
      </c>
      <c r="R345" s="1">
        <v>0</v>
      </c>
      <c r="S345" s="67"/>
      <c r="T345">
        <f>VLOOKUP(A345,'Groupe de branches'!$Z$27:$AM$86,14,FALSE)</f>
        <v>0</v>
      </c>
      <c r="U345">
        <f>VLOOKUP(D345,'Groupe de branches'!$Z$27:$AM$86,14,FALSE)</f>
        <v>0</v>
      </c>
      <c r="V345">
        <v>2016</v>
      </c>
      <c r="W345">
        <f>VLOOKUP(D345,'Table corresp.'!$M$4:$S$63,7,FALSE)</f>
        <v>0</v>
      </c>
      <c r="X345" s="167">
        <f>IFERROR(G345/SUMIFS('Comp2016-2017 (3)'!$I$5:$I$289,'Comp2016-2017 (3)'!$A$5:$A$289,A345,'Comp2016-2017 (3)'!$R$5:$R$289,V345),0)</f>
        <v>0</v>
      </c>
      <c r="Y345" s="178">
        <f>IFERROR(IF(RIGHT(F345,3)="Exp",VLOOKUP(F345,#REF!,2,FALSE),VLOOKUP(F345,#REF!,9,FALSE)),0)</f>
        <v>0</v>
      </c>
      <c r="Z345" s="167">
        <f t="shared" si="44"/>
        <v>0</v>
      </c>
      <c r="AA345" s="189">
        <f t="shared" si="41"/>
        <v>0</v>
      </c>
      <c r="AB345" s="2">
        <f>IFERROR(SUMIFS('Comp2016-2017 (3)'!$G$5:$G$289,'Comp2016-2017 (3)'!$A$5:$A$289,A345,'Comp2016-2017 (3)'!$R$5:$R$289,V345)*AA345/SUMIFS($AA$4:$AA$1116,$A$4:$A$1116,A345,$V$4:$V$1116,V345),0)</f>
        <v>0</v>
      </c>
      <c r="AC345" s="2">
        <f>IF($W345=AC$3,$AB345,IF(NOT($W345=0),"",SUMIFS('Val-Vol (2)'!AC$4:AC$1116,'Val-Vol (2)'!$A$4:$A$1116,$D345,'Val-Vol (2)'!$V$4:$V$1116,$V345)/SUMIFS('Comp2016-2017 (3)'!$G$5:$G$289,'Comp2016-2017 (3)'!$A$5:$A$289,$D345,'Comp2016-2017 (3)'!$R$5:$R$289,$V345)*$AB345))</f>
        <v>0</v>
      </c>
      <c r="AD345" s="2">
        <f>IF($W345=AD$3,$AB345,IF(NOT($W345=0),"",SUMIFS('Val-Vol (2)'!AD$4:AD$1116,'Val-Vol (2)'!$A$4:$A$1116,$D345,'Val-Vol (2)'!$V$4:$V$1116,$V345)/SUMIFS('Comp2016-2017 (3)'!$G$5:$G$289,'Comp2016-2017 (3)'!$A$5:$A$289,$D345,'Comp2016-2017 (3)'!$R$5:$R$289,$V345)*$AB345))</f>
        <v>0</v>
      </c>
      <c r="AE345" s="2">
        <f>IF($W345=AE$3,$AB345,IF(NOT($W345=0),"",SUMIFS('Val-Vol (2)'!AE$4:AE$1116,'Val-Vol (2)'!$A$4:$A$1116,$D345,'Val-Vol (2)'!$V$4:$V$1116,$V345)/SUMIFS('Comp2016-2017 (3)'!$G$5:$G$289,'Comp2016-2017 (3)'!$A$5:$A$289,$D345,'Comp2016-2017 (3)'!$R$5:$R$289,$V345)*$AB345))</f>
        <v>0</v>
      </c>
      <c r="AF345" s="2">
        <f>IF($W345=AF$3,$AB345,IF(NOT($W345=0),"",SUMIFS('Val-Vol (2)'!AF$4:AF$1116,'Val-Vol (2)'!$A$4:$A$1116,$D345,'Val-Vol (2)'!$V$4:$V$1116,$V345)/SUMIFS('Comp2016-2017 (3)'!$G$5:$G$289,'Comp2016-2017 (3)'!$A$5:$A$289,$D345,'Comp2016-2017 (3)'!$R$5:$R$289,$V345)*$AB345))</f>
        <v>0</v>
      </c>
      <c r="AG345" s="2">
        <f>IF($W345=AG$3,$AB345,IF(NOT($W345=0),"",SUMIFS('Val-Vol (2)'!AG$4:AG$1116,'Val-Vol (2)'!$A$4:$A$1116,$D345,'Val-Vol (2)'!$V$4:$V$1116,$V345)/SUMIFS('Comp2016-2017 (3)'!$G$5:$G$289,'Comp2016-2017 (3)'!$A$5:$A$289,$D345,'Comp2016-2017 (3)'!$R$5:$R$289,$V345)*$AB345))</f>
        <v>0</v>
      </c>
      <c r="AH345" s="2">
        <f>IF($W345=AH$3,$AB345,IF(NOT($W345=0),"",SUMIFS('Val-Vol (2)'!AH$4:AH$1116,'Val-Vol (2)'!$A$4:$A$1116,$D345,'Val-Vol (2)'!$V$4:$V$1116,$V345)/SUMIFS('Comp2016-2017 (3)'!$G$5:$G$289,'Comp2016-2017 (3)'!$A$5:$A$289,$D345,'Comp2016-2017 (3)'!$R$5:$R$289,$V345)*$AB345))</f>
        <v>0</v>
      </c>
      <c r="AI345" s="2">
        <f>IF($W345=AI$3,$AB345,IF(NOT($W345=0),"",SUMIFS('Val-Vol (2)'!AI$4:AI$1116,'Val-Vol (2)'!$A$4:$A$1116,$D345,'Val-Vol (2)'!$V$4:$V$1116,$V345)/SUMIFS('Comp2016-2017 (3)'!$G$5:$G$289,'Comp2016-2017 (3)'!$A$5:$A$289,$D345,'Comp2016-2017 (3)'!$R$5:$R$289,$V345)*$AB345))</f>
        <v>0</v>
      </c>
      <c r="AJ345" s="2">
        <f>IF($W345=AJ$3,$AB345,IF(NOT($W345=0),"",SUMIFS('Val-Vol (2)'!AJ$4:AJ$1116,'Val-Vol (2)'!$A$4:$A$1116,$D345,'Val-Vol (2)'!$V$4:$V$1116,$V345)/SUMIFS('Comp2016-2017 (3)'!$G$5:$G$289,'Comp2016-2017 (3)'!$A$5:$A$289,$D345,'Comp2016-2017 (3)'!$R$5:$R$289,$V345)*$AB345))</f>
        <v>0</v>
      </c>
      <c r="AK345" s="2">
        <f t="shared" si="37"/>
        <v>0</v>
      </c>
      <c r="AL345" t="str">
        <f t="shared" si="40"/>
        <v/>
      </c>
      <c r="AM345" t="str">
        <f>VLOOKUP(A345,'Table corresp.'!$M$4:$U$63,8,FALSE)</f>
        <v>Importation</v>
      </c>
      <c r="AN345" t="str">
        <f>VLOOKUP(D345,'Table corresp.'!$M$4:$U$63,9,FALSE)</f>
        <v>Production intermédiaire</v>
      </c>
    </row>
    <row r="346" spans="1:40" x14ac:dyDescent="0.25">
      <c r="A346" t="s">
        <v>52</v>
      </c>
      <c r="B346" t="str">
        <f>VLOOKUP(LEFT(A346,3),'Table corresp.'!$A$4:$D$63,3,FALSE)</f>
        <v>Importation</v>
      </c>
      <c r="C346" t="str">
        <f>VLOOKUP(A346,'Table corresp.'!$M$4:$P$63,4,FALSE)</f>
        <v>Importation</v>
      </c>
      <c r="D346" t="s">
        <v>5</v>
      </c>
      <c r="E346" t="str">
        <f>VLOOKUP(LEFT(D346,3),'Table corresp.'!$A$4:$D$63,4,FALSE)</f>
        <v>Transformation</v>
      </c>
      <c r="F346" t="str">
        <f t="shared" si="39"/>
        <v xml:space="preserve">Imp - 09 </v>
      </c>
      <c r="G346" s="1">
        <v>0</v>
      </c>
      <c r="H346" s="1">
        <v>21450.989000000001</v>
      </c>
      <c r="I346" s="1">
        <v>21450.989000000001</v>
      </c>
      <c r="J346" s="1">
        <v>0</v>
      </c>
      <c r="K346" s="1">
        <v>81.839194480665313</v>
      </c>
      <c r="L346" s="1">
        <v>81.839194480665313</v>
      </c>
      <c r="M346" s="1">
        <v>0</v>
      </c>
      <c r="N346" s="1">
        <v>0</v>
      </c>
      <c r="O346" s="1">
        <v>0</v>
      </c>
      <c r="P346" s="1">
        <v>0</v>
      </c>
      <c r="Q346" s="1">
        <v>0</v>
      </c>
      <c r="R346" s="1">
        <v>0</v>
      </c>
      <c r="S346" s="67"/>
      <c r="T346">
        <f>VLOOKUP(A346,'Groupe de branches'!$Z$27:$AM$86,14,FALSE)</f>
        <v>0</v>
      </c>
      <c r="U346">
        <f>VLOOKUP(D346,'Groupe de branches'!$Z$27:$AM$86,14,FALSE)</f>
        <v>0</v>
      </c>
      <c r="V346">
        <v>2016</v>
      </c>
      <c r="W346">
        <f>VLOOKUP(D346,'Table corresp.'!$M$4:$S$63,7,FALSE)</f>
        <v>0</v>
      </c>
      <c r="X346" s="167">
        <f>IFERROR(G346/SUMIFS('Comp2016-2017 (3)'!$I$5:$I$289,'Comp2016-2017 (3)'!$A$5:$A$289,A346,'Comp2016-2017 (3)'!$R$5:$R$289,V346),0)</f>
        <v>0</v>
      </c>
      <c r="Y346" s="178">
        <f>IFERROR(IF(RIGHT(F346,3)="Exp",VLOOKUP(F346,#REF!,2,FALSE),VLOOKUP(F346,#REF!,9,FALSE)),0)</f>
        <v>0</v>
      </c>
      <c r="Z346" s="167">
        <f t="shared" si="44"/>
        <v>0</v>
      </c>
      <c r="AA346" s="189">
        <f t="shared" si="41"/>
        <v>0</v>
      </c>
      <c r="AB346" s="2">
        <f>IFERROR(SUMIFS('Comp2016-2017 (3)'!$G$5:$G$289,'Comp2016-2017 (3)'!$A$5:$A$289,A346,'Comp2016-2017 (3)'!$R$5:$R$289,V346)*AA346/SUMIFS($AA$4:$AA$1116,$A$4:$A$1116,A346,$V$4:$V$1116,V346),0)</f>
        <v>0</v>
      </c>
      <c r="AC346" s="2">
        <f>IF($W346=AC$3,$AB346,IF(NOT($W346=0),"",SUMIFS('Val-Vol (2)'!AC$4:AC$1116,'Val-Vol (2)'!$A$4:$A$1116,$D346,'Val-Vol (2)'!$V$4:$V$1116,$V346)/SUMIFS('Comp2016-2017 (3)'!$G$5:$G$289,'Comp2016-2017 (3)'!$A$5:$A$289,$D346,'Comp2016-2017 (3)'!$R$5:$R$289,$V346)*$AB346))</f>
        <v>0</v>
      </c>
      <c r="AD346" s="2">
        <f>IF($W346=AD$3,$AB346,IF(NOT($W346=0),"",SUMIFS('Val-Vol (2)'!AD$4:AD$1116,'Val-Vol (2)'!$A$4:$A$1116,$D346,'Val-Vol (2)'!$V$4:$V$1116,$V346)/SUMIFS('Comp2016-2017 (3)'!$G$5:$G$289,'Comp2016-2017 (3)'!$A$5:$A$289,$D346,'Comp2016-2017 (3)'!$R$5:$R$289,$V346)*$AB346))</f>
        <v>0</v>
      </c>
      <c r="AE346" s="2">
        <f>IF($W346=AE$3,$AB346,IF(NOT($W346=0),"",SUMIFS('Val-Vol (2)'!AE$4:AE$1116,'Val-Vol (2)'!$A$4:$A$1116,$D346,'Val-Vol (2)'!$V$4:$V$1116,$V346)/SUMIFS('Comp2016-2017 (3)'!$G$5:$G$289,'Comp2016-2017 (3)'!$A$5:$A$289,$D346,'Comp2016-2017 (3)'!$R$5:$R$289,$V346)*$AB346))</f>
        <v>0</v>
      </c>
      <c r="AF346" s="2">
        <f>IF($W346=AF$3,$AB346,IF(NOT($W346=0),"",SUMIFS('Val-Vol (2)'!AF$4:AF$1116,'Val-Vol (2)'!$A$4:$A$1116,$D346,'Val-Vol (2)'!$V$4:$V$1116,$V346)/SUMIFS('Comp2016-2017 (3)'!$G$5:$G$289,'Comp2016-2017 (3)'!$A$5:$A$289,$D346,'Comp2016-2017 (3)'!$R$5:$R$289,$V346)*$AB346))</f>
        <v>0</v>
      </c>
      <c r="AG346" s="2">
        <f>IF($W346=AG$3,$AB346,IF(NOT($W346=0),"",SUMIFS('Val-Vol (2)'!AG$4:AG$1116,'Val-Vol (2)'!$A$4:$A$1116,$D346,'Val-Vol (2)'!$V$4:$V$1116,$V346)/SUMIFS('Comp2016-2017 (3)'!$G$5:$G$289,'Comp2016-2017 (3)'!$A$5:$A$289,$D346,'Comp2016-2017 (3)'!$R$5:$R$289,$V346)*$AB346))</f>
        <v>0</v>
      </c>
      <c r="AH346" s="2">
        <f>IF($W346=AH$3,$AB346,IF(NOT($W346=0),"",SUMIFS('Val-Vol (2)'!AH$4:AH$1116,'Val-Vol (2)'!$A$4:$A$1116,$D346,'Val-Vol (2)'!$V$4:$V$1116,$V346)/SUMIFS('Comp2016-2017 (3)'!$G$5:$G$289,'Comp2016-2017 (3)'!$A$5:$A$289,$D346,'Comp2016-2017 (3)'!$R$5:$R$289,$V346)*$AB346))</f>
        <v>0</v>
      </c>
      <c r="AI346" s="2">
        <f>IF($W346=AI$3,$AB346,IF(NOT($W346=0),"",SUMIFS('Val-Vol (2)'!AI$4:AI$1116,'Val-Vol (2)'!$A$4:$A$1116,$D346,'Val-Vol (2)'!$V$4:$V$1116,$V346)/SUMIFS('Comp2016-2017 (3)'!$G$5:$G$289,'Comp2016-2017 (3)'!$A$5:$A$289,$D346,'Comp2016-2017 (3)'!$R$5:$R$289,$V346)*$AB346))</f>
        <v>0</v>
      </c>
      <c r="AJ346" s="2">
        <f>IF($W346=AJ$3,$AB346,IF(NOT($W346=0),"",SUMIFS('Val-Vol (2)'!AJ$4:AJ$1116,'Val-Vol (2)'!$A$4:$A$1116,$D346,'Val-Vol (2)'!$V$4:$V$1116,$V346)/SUMIFS('Comp2016-2017 (3)'!$G$5:$G$289,'Comp2016-2017 (3)'!$A$5:$A$289,$D346,'Comp2016-2017 (3)'!$R$5:$R$289,$V346)*$AB346))</f>
        <v>0</v>
      </c>
      <c r="AK346" s="2">
        <f t="shared" si="37"/>
        <v>0</v>
      </c>
      <c r="AL346" t="str">
        <f t="shared" si="40"/>
        <v/>
      </c>
      <c r="AM346" t="str">
        <f>VLOOKUP(A346,'Table corresp.'!$M$4:$U$63,8,FALSE)</f>
        <v>Importation</v>
      </c>
      <c r="AN346" t="str">
        <f>VLOOKUP(D346,'Table corresp.'!$M$4:$U$63,9,FALSE)</f>
        <v>Production intermédiaire</v>
      </c>
    </row>
    <row r="347" spans="1:40" x14ac:dyDescent="0.25">
      <c r="A347" t="s">
        <v>52</v>
      </c>
      <c r="B347" t="str">
        <f>VLOOKUP(LEFT(A347,3),'Table corresp.'!$A$4:$D$63,3,FALSE)</f>
        <v>Importation</v>
      </c>
      <c r="C347" t="str">
        <f>VLOOKUP(A347,'Table corresp.'!$M$4:$P$63,4,FALSE)</f>
        <v>Importation</v>
      </c>
      <c r="D347" t="s">
        <v>82</v>
      </c>
      <c r="E347" t="str">
        <f>VLOOKUP(LEFT(D347,3),'Table corresp.'!$A$4:$D$63,4,FALSE)</f>
        <v>Transformation</v>
      </c>
      <c r="F347" t="str">
        <f t="shared" si="39"/>
        <v xml:space="preserve">Imp - 10 </v>
      </c>
      <c r="G347" s="1">
        <v>0</v>
      </c>
      <c r="H347" s="1">
        <v>13781</v>
      </c>
      <c r="I347" s="1">
        <v>13781</v>
      </c>
      <c r="J347" s="1">
        <v>0</v>
      </c>
      <c r="K347" s="1">
        <v>53.301960736448592</v>
      </c>
      <c r="L347" s="1">
        <v>53.301960736448592</v>
      </c>
      <c r="M347" s="1">
        <v>0</v>
      </c>
      <c r="N347" s="1">
        <v>0</v>
      </c>
      <c r="O347" s="1">
        <v>0</v>
      </c>
      <c r="P347" s="1">
        <v>0</v>
      </c>
      <c r="Q347" s="1">
        <v>0</v>
      </c>
      <c r="R347" s="1">
        <v>0</v>
      </c>
      <c r="S347" s="67"/>
      <c r="T347">
        <f>VLOOKUP(A347,'Groupe de branches'!$Z$27:$AM$86,14,FALSE)</f>
        <v>0</v>
      </c>
      <c r="U347">
        <f>VLOOKUP(D347,'Groupe de branches'!$Z$27:$AM$86,14,FALSE)</f>
        <v>0</v>
      </c>
      <c r="V347">
        <v>2016</v>
      </c>
      <c r="W347">
        <f>VLOOKUP(D347,'Table corresp.'!$M$4:$S$63,7,FALSE)</f>
        <v>0</v>
      </c>
      <c r="X347" s="167">
        <f>IFERROR(G347/SUMIFS('Comp2016-2017 (3)'!$I$5:$I$289,'Comp2016-2017 (3)'!$A$5:$A$289,A347,'Comp2016-2017 (3)'!$R$5:$R$289,V347),0)</f>
        <v>0</v>
      </c>
      <c r="Y347" s="178">
        <f>IFERROR(IF(RIGHT(F347,3)="Exp",VLOOKUP(F347,#REF!,2,FALSE),VLOOKUP(F347,#REF!,9,FALSE)),0)</f>
        <v>0</v>
      </c>
      <c r="Z347" s="167">
        <f t="shared" si="44"/>
        <v>0</v>
      </c>
      <c r="AA347" s="189">
        <f t="shared" si="41"/>
        <v>0</v>
      </c>
      <c r="AB347" s="2">
        <f>IFERROR(SUMIFS('Comp2016-2017 (3)'!$G$5:$G$289,'Comp2016-2017 (3)'!$A$5:$A$289,A347,'Comp2016-2017 (3)'!$R$5:$R$289,V347)*AA347/SUMIFS($AA$4:$AA$1116,$A$4:$A$1116,A347,$V$4:$V$1116,V347),0)</f>
        <v>0</v>
      </c>
      <c r="AC347" s="2">
        <f>IF($W347=AC$3,$AB347,IF(NOT($W347=0),"",SUMIFS('Val-Vol (2)'!AC$4:AC$1116,'Val-Vol (2)'!$A$4:$A$1116,$D347,'Val-Vol (2)'!$V$4:$V$1116,$V347)/SUMIFS('Comp2016-2017 (3)'!$G$5:$G$289,'Comp2016-2017 (3)'!$A$5:$A$289,$D347,'Comp2016-2017 (3)'!$R$5:$R$289,$V347)*$AB347))</f>
        <v>0</v>
      </c>
      <c r="AD347" s="2">
        <f>IF($W347=AD$3,$AB347,IF(NOT($W347=0),"",SUMIFS('Val-Vol (2)'!AD$4:AD$1116,'Val-Vol (2)'!$A$4:$A$1116,$D347,'Val-Vol (2)'!$V$4:$V$1116,$V347)/SUMIFS('Comp2016-2017 (3)'!$G$5:$G$289,'Comp2016-2017 (3)'!$A$5:$A$289,$D347,'Comp2016-2017 (3)'!$R$5:$R$289,$V347)*$AB347))</f>
        <v>0</v>
      </c>
      <c r="AE347" s="2">
        <f>IF($W347=AE$3,$AB347,IF(NOT($W347=0),"",SUMIFS('Val-Vol (2)'!AE$4:AE$1116,'Val-Vol (2)'!$A$4:$A$1116,$D347,'Val-Vol (2)'!$V$4:$V$1116,$V347)/SUMIFS('Comp2016-2017 (3)'!$G$5:$G$289,'Comp2016-2017 (3)'!$A$5:$A$289,$D347,'Comp2016-2017 (3)'!$R$5:$R$289,$V347)*$AB347))</f>
        <v>0</v>
      </c>
      <c r="AF347" s="2">
        <f>IF($W347=AF$3,$AB347,IF(NOT($W347=0),"",SUMIFS('Val-Vol (2)'!AF$4:AF$1116,'Val-Vol (2)'!$A$4:$A$1116,$D347,'Val-Vol (2)'!$V$4:$V$1116,$V347)/SUMIFS('Comp2016-2017 (3)'!$G$5:$G$289,'Comp2016-2017 (3)'!$A$5:$A$289,$D347,'Comp2016-2017 (3)'!$R$5:$R$289,$V347)*$AB347))</f>
        <v>0</v>
      </c>
      <c r="AG347" s="2">
        <f>IF($W347=AG$3,$AB347,IF(NOT($W347=0),"",SUMIFS('Val-Vol (2)'!AG$4:AG$1116,'Val-Vol (2)'!$A$4:$A$1116,$D347,'Val-Vol (2)'!$V$4:$V$1116,$V347)/SUMIFS('Comp2016-2017 (3)'!$G$5:$G$289,'Comp2016-2017 (3)'!$A$5:$A$289,$D347,'Comp2016-2017 (3)'!$R$5:$R$289,$V347)*$AB347))</f>
        <v>0</v>
      </c>
      <c r="AH347" s="2">
        <f>IF($W347=AH$3,$AB347,IF(NOT($W347=0),"",SUMIFS('Val-Vol (2)'!AH$4:AH$1116,'Val-Vol (2)'!$A$4:$A$1116,$D347,'Val-Vol (2)'!$V$4:$V$1116,$V347)/SUMIFS('Comp2016-2017 (3)'!$G$5:$G$289,'Comp2016-2017 (3)'!$A$5:$A$289,$D347,'Comp2016-2017 (3)'!$R$5:$R$289,$V347)*$AB347))</f>
        <v>0</v>
      </c>
      <c r="AI347" s="2">
        <f>IF($W347=AI$3,$AB347,IF(NOT($W347=0),"",SUMIFS('Val-Vol (2)'!AI$4:AI$1116,'Val-Vol (2)'!$A$4:$A$1116,$D347,'Val-Vol (2)'!$V$4:$V$1116,$V347)/SUMIFS('Comp2016-2017 (3)'!$G$5:$G$289,'Comp2016-2017 (3)'!$A$5:$A$289,$D347,'Comp2016-2017 (3)'!$R$5:$R$289,$V347)*$AB347))</f>
        <v>0</v>
      </c>
      <c r="AJ347" s="2">
        <f>IF($W347=AJ$3,$AB347,IF(NOT($W347=0),"",SUMIFS('Val-Vol (2)'!AJ$4:AJ$1116,'Val-Vol (2)'!$A$4:$A$1116,$D347,'Val-Vol (2)'!$V$4:$V$1116,$V347)/SUMIFS('Comp2016-2017 (3)'!$G$5:$G$289,'Comp2016-2017 (3)'!$A$5:$A$289,$D347,'Comp2016-2017 (3)'!$R$5:$R$289,$V347)*$AB347))</f>
        <v>0</v>
      </c>
      <c r="AK347" s="2">
        <f t="shared" si="37"/>
        <v>0</v>
      </c>
      <c r="AL347" t="str">
        <f t="shared" si="40"/>
        <v/>
      </c>
      <c r="AM347" t="str">
        <f>VLOOKUP(A347,'Table corresp.'!$M$4:$U$63,8,FALSE)</f>
        <v>Importation</v>
      </c>
      <c r="AN347" t="str">
        <f>VLOOKUP(D347,'Table corresp.'!$M$4:$U$63,9,FALSE)</f>
        <v>Production intermédiaire</v>
      </c>
    </row>
    <row r="348" spans="1:40" x14ac:dyDescent="0.25">
      <c r="A348" t="s">
        <v>52</v>
      </c>
      <c r="B348" t="str">
        <f>VLOOKUP(LEFT(A348,3),'Table corresp.'!$A$4:$D$63,3,FALSE)</f>
        <v>Importation</v>
      </c>
      <c r="C348" t="str">
        <f>VLOOKUP(A348,'Table corresp.'!$M$4:$P$63,4,FALSE)</f>
        <v>Importation</v>
      </c>
      <c r="D348" t="s">
        <v>6</v>
      </c>
      <c r="E348" t="str">
        <f>VLOOKUP(LEFT(D348,3),'Table corresp.'!$A$4:$D$63,4,FALSE)</f>
        <v>Transformation</v>
      </c>
      <c r="F348" t="str">
        <f t="shared" si="39"/>
        <v xml:space="preserve">Imp - 11 </v>
      </c>
      <c r="G348" s="1">
        <v>0</v>
      </c>
      <c r="H348" s="1">
        <v>77569.119000000006</v>
      </c>
      <c r="I348" s="1">
        <v>77569.119000000006</v>
      </c>
      <c r="J348" s="1">
        <v>0</v>
      </c>
      <c r="K348" s="1">
        <v>84.992720404123702</v>
      </c>
      <c r="L348" s="1">
        <v>84.992720404123702</v>
      </c>
      <c r="M348" s="1">
        <v>0</v>
      </c>
      <c r="N348" s="1">
        <v>0</v>
      </c>
      <c r="O348" s="1">
        <v>0</v>
      </c>
      <c r="P348" s="1">
        <v>0</v>
      </c>
      <c r="Q348" s="1">
        <v>0</v>
      </c>
      <c r="R348" s="1">
        <v>0</v>
      </c>
      <c r="S348" s="67"/>
      <c r="T348">
        <f>VLOOKUP(A348,'Groupe de branches'!$Z$27:$AM$86,14,FALSE)</f>
        <v>0</v>
      </c>
      <c r="U348">
        <f>VLOOKUP(D348,'Groupe de branches'!$Z$27:$AM$86,14,FALSE)</f>
        <v>0</v>
      </c>
      <c r="V348">
        <v>2016</v>
      </c>
      <c r="W348">
        <f>VLOOKUP(D348,'Table corresp.'!$M$4:$S$63,7,FALSE)</f>
        <v>0</v>
      </c>
      <c r="X348" s="167">
        <f>IFERROR(G348/SUMIFS('Comp2016-2017 (3)'!$I$5:$I$289,'Comp2016-2017 (3)'!$A$5:$A$289,A348,'Comp2016-2017 (3)'!$R$5:$R$289,V348),0)</f>
        <v>0</v>
      </c>
      <c r="Y348" s="178">
        <f>IFERROR(IF(RIGHT(F348,3)="Exp",VLOOKUP(F348,#REF!,2,FALSE),VLOOKUP(F348,#REF!,9,FALSE)),0)</f>
        <v>0</v>
      </c>
      <c r="Z348" s="167">
        <f t="shared" si="44"/>
        <v>0</v>
      </c>
      <c r="AA348" s="189">
        <f t="shared" si="41"/>
        <v>0</v>
      </c>
      <c r="AB348" s="2">
        <f>IFERROR(SUMIFS('Comp2016-2017 (3)'!$G$5:$G$289,'Comp2016-2017 (3)'!$A$5:$A$289,A348,'Comp2016-2017 (3)'!$R$5:$R$289,V348)*AA348/SUMIFS($AA$4:$AA$1116,$A$4:$A$1116,A348,$V$4:$V$1116,V348),0)</f>
        <v>0</v>
      </c>
      <c r="AC348" s="2">
        <f>IF($W348=AC$3,$AB348,IF(NOT($W348=0),"",SUMIFS('Val-Vol (2)'!AC$4:AC$1116,'Val-Vol (2)'!$A$4:$A$1116,$D348,'Val-Vol (2)'!$V$4:$V$1116,$V348)/SUMIFS('Comp2016-2017 (3)'!$G$5:$G$289,'Comp2016-2017 (3)'!$A$5:$A$289,$D348,'Comp2016-2017 (3)'!$R$5:$R$289,$V348)*$AB348))</f>
        <v>0</v>
      </c>
      <c r="AD348" s="2">
        <f>IF($W348=AD$3,$AB348,IF(NOT($W348=0),"",SUMIFS('Val-Vol (2)'!AD$4:AD$1116,'Val-Vol (2)'!$A$4:$A$1116,$D348,'Val-Vol (2)'!$V$4:$V$1116,$V348)/SUMIFS('Comp2016-2017 (3)'!$G$5:$G$289,'Comp2016-2017 (3)'!$A$5:$A$289,$D348,'Comp2016-2017 (3)'!$R$5:$R$289,$V348)*$AB348))</f>
        <v>0</v>
      </c>
      <c r="AE348" s="2">
        <f>IF($W348=AE$3,$AB348,IF(NOT($W348=0),"",SUMIFS('Val-Vol (2)'!AE$4:AE$1116,'Val-Vol (2)'!$A$4:$A$1116,$D348,'Val-Vol (2)'!$V$4:$V$1116,$V348)/SUMIFS('Comp2016-2017 (3)'!$G$5:$G$289,'Comp2016-2017 (3)'!$A$5:$A$289,$D348,'Comp2016-2017 (3)'!$R$5:$R$289,$V348)*$AB348))</f>
        <v>0</v>
      </c>
      <c r="AF348" s="2">
        <f>IF($W348=AF$3,$AB348,IF(NOT($W348=0),"",SUMIFS('Val-Vol (2)'!AF$4:AF$1116,'Val-Vol (2)'!$A$4:$A$1116,$D348,'Val-Vol (2)'!$V$4:$V$1116,$V348)/SUMIFS('Comp2016-2017 (3)'!$G$5:$G$289,'Comp2016-2017 (3)'!$A$5:$A$289,$D348,'Comp2016-2017 (3)'!$R$5:$R$289,$V348)*$AB348))</f>
        <v>0</v>
      </c>
      <c r="AG348" s="2">
        <f>IF($W348=AG$3,$AB348,IF(NOT($W348=0),"",SUMIFS('Val-Vol (2)'!AG$4:AG$1116,'Val-Vol (2)'!$A$4:$A$1116,$D348,'Val-Vol (2)'!$V$4:$V$1116,$V348)/SUMIFS('Comp2016-2017 (3)'!$G$5:$G$289,'Comp2016-2017 (3)'!$A$5:$A$289,$D348,'Comp2016-2017 (3)'!$R$5:$R$289,$V348)*$AB348))</f>
        <v>0</v>
      </c>
      <c r="AH348" s="2">
        <f>IF($W348=AH$3,$AB348,IF(NOT($W348=0),"",SUMIFS('Val-Vol (2)'!AH$4:AH$1116,'Val-Vol (2)'!$A$4:$A$1116,$D348,'Val-Vol (2)'!$V$4:$V$1116,$V348)/SUMIFS('Comp2016-2017 (3)'!$G$5:$G$289,'Comp2016-2017 (3)'!$A$5:$A$289,$D348,'Comp2016-2017 (3)'!$R$5:$R$289,$V348)*$AB348))</f>
        <v>0</v>
      </c>
      <c r="AI348" s="2">
        <f>IF($W348=AI$3,$AB348,IF(NOT($W348=0),"",SUMIFS('Val-Vol (2)'!AI$4:AI$1116,'Val-Vol (2)'!$A$4:$A$1116,$D348,'Val-Vol (2)'!$V$4:$V$1116,$V348)/SUMIFS('Comp2016-2017 (3)'!$G$5:$G$289,'Comp2016-2017 (3)'!$A$5:$A$289,$D348,'Comp2016-2017 (3)'!$R$5:$R$289,$V348)*$AB348))</f>
        <v>0</v>
      </c>
      <c r="AJ348" s="2">
        <f>IF($W348=AJ$3,$AB348,IF(NOT($W348=0),"",SUMIFS('Val-Vol (2)'!AJ$4:AJ$1116,'Val-Vol (2)'!$A$4:$A$1116,$D348,'Val-Vol (2)'!$V$4:$V$1116,$V348)/SUMIFS('Comp2016-2017 (3)'!$G$5:$G$289,'Comp2016-2017 (3)'!$A$5:$A$289,$D348,'Comp2016-2017 (3)'!$R$5:$R$289,$V348)*$AB348))</f>
        <v>0</v>
      </c>
      <c r="AK348" s="2">
        <f t="shared" si="37"/>
        <v>0</v>
      </c>
      <c r="AL348" t="str">
        <f t="shared" si="40"/>
        <v/>
      </c>
      <c r="AM348" t="str">
        <f>VLOOKUP(A348,'Table corresp.'!$M$4:$U$63,8,FALSE)</f>
        <v>Importation</v>
      </c>
      <c r="AN348" t="str">
        <f>VLOOKUP(D348,'Table corresp.'!$M$4:$U$63,9,FALSE)</f>
        <v>Production intermédiaire</v>
      </c>
    </row>
    <row r="349" spans="1:40" x14ac:dyDescent="0.25">
      <c r="A349" t="s">
        <v>52</v>
      </c>
      <c r="B349" t="str">
        <f>VLOOKUP(LEFT(A349,3),'Table corresp.'!$A$4:$D$63,3,FALSE)</f>
        <v>Importation</v>
      </c>
      <c r="C349" t="str">
        <f>VLOOKUP(A349,'Table corresp.'!$M$4:$P$63,4,FALSE)</f>
        <v>Importation</v>
      </c>
      <c r="D349" t="s">
        <v>7</v>
      </c>
      <c r="E349" t="str">
        <f>VLOOKUP(LEFT(D349,3),'Table corresp.'!$A$4:$D$63,4,FALSE)</f>
        <v>Transformation</v>
      </c>
      <c r="F349" t="str">
        <f t="shared" si="39"/>
        <v xml:space="preserve">Imp - 12 </v>
      </c>
      <c r="G349" s="1">
        <v>0</v>
      </c>
      <c r="H349" s="1">
        <v>299896.77</v>
      </c>
      <c r="I349" s="1">
        <v>299896.77</v>
      </c>
      <c r="J349" s="1">
        <v>0</v>
      </c>
      <c r="K349" s="1">
        <v>2818.644550372318</v>
      </c>
      <c r="L349" s="1">
        <v>2818.644550372318</v>
      </c>
      <c r="M349" s="1">
        <v>0</v>
      </c>
      <c r="N349" s="1">
        <v>0</v>
      </c>
      <c r="O349" s="1">
        <v>0</v>
      </c>
      <c r="P349" s="1">
        <v>0</v>
      </c>
      <c r="Q349" s="1">
        <v>0</v>
      </c>
      <c r="R349" s="1">
        <v>0</v>
      </c>
      <c r="S349" s="67"/>
      <c r="T349">
        <f>VLOOKUP(A349,'Groupe de branches'!$Z$27:$AM$86,14,FALSE)</f>
        <v>0</v>
      </c>
      <c r="U349">
        <f>VLOOKUP(D349,'Groupe de branches'!$Z$27:$AM$86,14,FALSE)</f>
        <v>0</v>
      </c>
      <c r="V349">
        <v>2016</v>
      </c>
      <c r="W349">
        <f>VLOOKUP(D349,'Table corresp.'!$M$4:$S$63,7,FALSE)</f>
        <v>0</v>
      </c>
      <c r="X349" s="167">
        <f>IFERROR(G349/SUMIFS('Comp2016-2017 (3)'!$I$5:$I$289,'Comp2016-2017 (3)'!$A$5:$A$289,A349,'Comp2016-2017 (3)'!$R$5:$R$289,V349),0)</f>
        <v>0</v>
      </c>
      <c r="Y349" s="178">
        <f>IFERROR(IF(RIGHT(F349,3)="Exp",VLOOKUP(F349,#REF!,2,FALSE),VLOOKUP(F349,#REF!,9,FALSE)),0)</f>
        <v>0</v>
      </c>
      <c r="Z349" s="167">
        <f t="shared" si="44"/>
        <v>0</v>
      </c>
      <c r="AA349" s="189">
        <f t="shared" si="41"/>
        <v>0</v>
      </c>
      <c r="AB349" s="2">
        <f>IFERROR(SUMIFS('Comp2016-2017 (3)'!$G$5:$G$289,'Comp2016-2017 (3)'!$A$5:$A$289,A349,'Comp2016-2017 (3)'!$R$5:$R$289,V349)*AA349/SUMIFS($AA$4:$AA$1116,$A$4:$A$1116,A349,$V$4:$V$1116,V349),0)</f>
        <v>0</v>
      </c>
      <c r="AC349" s="2">
        <f>IF($W349=AC$3,$AB349,IF(NOT($W349=0),"",SUMIFS('Val-Vol (2)'!AC$4:AC$1116,'Val-Vol (2)'!$A$4:$A$1116,$D349,'Val-Vol (2)'!$V$4:$V$1116,$V349)/SUMIFS('Comp2016-2017 (3)'!$G$5:$G$289,'Comp2016-2017 (3)'!$A$5:$A$289,$D349,'Comp2016-2017 (3)'!$R$5:$R$289,$V349)*$AB349))</f>
        <v>0</v>
      </c>
      <c r="AD349" s="2">
        <f>IF($W349=AD$3,$AB349,IF(NOT($W349=0),"",SUMIFS('Val-Vol (2)'!AD$4:AD$1116,'Val-Vol (2)'!$A$4:$A$1116,$D349,'Val-Vol (2)'!$V$4:$V$1116,$V349)/SUMIFS('Comp2016-2017 (3)'!$G$5:$G$289,'Comp2016-2017 (3)'!$A$5:$A$289,$D349,'Comp2016-2017 (3)'!$R$5:$R$289,$V349)*$AB349))</f>
        <v>0</v>
      </c>
      <c r="AE349" s="2">
        <f>IF($W349=AE$3,$AB349,IF(NOT($W349=0),"",SUMIFS('Val-Vol (2)'!AE$4:AE$1116,'Val-Vol (2)'!$A$4:$A$1116,$D349,'Val-Vol (2)'!$V$4:$V$1116,$V349)/SUMIFS('Comp2016-2017 (3)'!$G$5:$G$289,'Comp2016-2017 (3)'!$A$5:$A$289,$D349,'Comp2016-2017 (3)'!$R$5:$R$289,$V349)*$AB349))</f>
        <v>0</v>
      </c>
      <c r="AF349" s="2">
        <f>IF($W349=AF$3,$AB349,IF(NOT($W349=0),"",SUMIFS('Val-Vol (2)'!AF$4:AF$1116,'Val-Vol (2)'!$A$4:$A$1116,$D349,'Val-Vol (2)'!$V$4:$V$1116,$V349)/SUMIFS('Comp2016-2017 (3)'!$G$5:$G$289,'Comp2016-2017 (3)'!$A$5:$A$289,$D349,'Comp2016-2017 (3)'!$R$5:$R$289,$V349)*$AB349))</f>
        <v>0</v>
      </c>
      <c r="AG349" s="2">
        <f>IF($W349=AG$3,$AB349,IF(NOT($W349=0),"",SUMIFS('Val-Vol (2)'!AG$4:AG$1116,'Val-Vol (2)'!$A$4:$A$1116,$D349,'Val-Vol (2)'!$V$4:$V$1116,$V349)/SUMIFS('Comp2016-2017 (3)'!$G$5:$G$289,'Comp2016-2017 (3)'!$A$5:$A$289,$D349,'Comp2016-2017 (3)'!$R$5:$R$289,$V349)*$AB349))</f>
        <v>0</v>
      </c>
      <c r="AH349" s="2">
        <f>IF($W349=AH$3,$AB349,IF(NOT($W349=0),"",SUMIFS('Val-Vol (2)'!AH$4:AH$1116,'Val-Vol (2)'!$A$4:$A$1116,$D349,'Val-Vol (2)'!$V$4:$V$1116,$V349)/SUMIFS('Comp2016-2017 (3)'!$G$5:$G$289,'Comp2016-2017 (3)'!$A$5:$A$289,$D349,'Comp2016-2017 (3)'!$R$5:$R$289,$V349)*$AB349))</f>
        <v>0</v>
      </c>
      <c r="AI349" s="2">
        <f>IF($W349=AI$3,$AB349,IF(NOT($W349=0),"",SUMIFS('Val-Vol (2)'!AI$4:AI$1116,'Val-Vol (2)'!$A$4:$A$1116,$D349,'Val-Vol (2)'!$V$4:$V$1116,$V349)/SUMIFS('Comp2016-2017 (3)'!$G$5:$G$289,'Comp2016-2017 (3)'!$A$5:$A$289,$D349,'Comp2016-2017 (3)'!$R$5:$R$289,$V349)*$AB349))</f>
        <v>0</v>
      </c>
      <c r="AJ349" s="2">
        <f>IF($W349=AJ$3,$AB349,IF(NOT($W349=0),"",SUMIFS('Val-Vol (2)'!AJ$4:AJ$1116,'Val-Vol (2)'!$A$4:$A$1116,$D349,'Val-Vol (2)'!$V$4:$V$1116,$V349)/SUMIFS('Comp2016-2017 (3)'!$G$5:$G$289,'Comp2016-2017 (3)'!$A$5:$A$289,$D349,'Comp2016-2017 (3)'!$R$5:$R$289,$V349)*$AB349))</f>
        <v>0</v>
      </c>
      <c r="AK349" s="2">
        <f t="shared" si="37"/>
        <v>0</v>
      </c>
      <c r="AL349" t="str">
        <f t="shared" si="40"/>
        <v/>
      </c>
      <c r="AM349" t="str">
        <f>VLOOKUP(A349,'Table corresp.'!$M$4:$U$63,8,FALSE)</f>
        <v>Importation</v>
      </c>
      <c r="AN349" t="str">
        <f>VLOOKUP(D349,'Table corresp.'!$M$4:$U$63,9,FALSE)</f>
        <v>Production intermédiaire</v>
      </c>
    </row>
    <row r="350" spans="1:40" x14ac:dyDescent="0.25">
      <c r="A350" t="s">
        <v>52</v>
      </c>
      <c r="B350" t="str">
        <f>VLOOKUP(LEFT(A350,3),'Table corresp.'!$A$4:$D$63,3,FALSE)</f>
        <v>Importation</v>
      </c>
      <c r="C350" t="str">
        <f>VLOOKUP(A350,'Table corresp.'!$M$4:$P$63,4,FALSE)</f>
        <v>Importation</v>
      </c>
      <c r="D350" t="s">
        <v>83</v>
      </c>
      <c r="E350" t="str">
        <f>VLOOKUP(LEFT(D350,3),'Table corresp.'!$A$4:$D$63,4,FALSE)</f>
        <v>Transformation</v>
      </c>
      <c r="F350" t="str">
        <f t="shared" si="39"/>
        <v xml:space="preserve">Imp - 14 </v>
      </c>
      <c r="G350" s="1">
        <v>0</v>
      </c>
      <c r="H350" s="1">
        <v>97832.210280944695</v>
      </c>
      <c r="I350" s="1">
        <v>97832.210280944695</v>
      </c>
      <c r="J350" s="1">
        <v>0</v>
      </c>
      <c r="K350" s="1">
        <v>468.7382152923816</v>
      </c>
      <c r="L350" s="1">
        <v>468.7382152923816</v>
      </c>
      <c r="M350" s="1">
        <v>0</v>
      </c>
      <c r="N350" s="1">
        <v>0</v>
      </c>
      <c r="O350" s="1">
        <v>0</v>
      </c>
      <c r="P350" s="1">
        <v>0</v>
      </c>
      <c r="Q350" s="1">
        <v>0</v>
      </c>
      <c r="R350" s="1">
        <v>0</v>
      </c>
      <c r="S350" s="67"/>
      <c r="T350">
        <f>VLOOKUP(A350,'Groupe de branches'!$Z$27:$AM$86,14,FALSE)</f>
        <v>0</v>
      </c>
      <c r="U350">
        <f>VLOOKUP(D350,'Groupe de branches'!$Z$27:$AM$86,14,FALSE)</f>
        <v>0</v>
      </c>
      <c r="V350">
        <v>2016</v>
      </c>
      <c r="W350">
        <f>VLOOKUP(D350,'Table corresp.'!$M$4:$S$63,7,FALSE)</f>
        <v>0</v>
      </c>
      <c r="X350" s="167">
        <f>IFERROR(G350/SUMIFS('Comp2016-2017 (3)'!$I$5:$I$289,'Comp2016-2017 (3)'!$A$5:$A$289,A350,'Comp2016-2017 (3)'!$R$5:$R$289,V350),0)</f>
        <v>0</v>
      </c>
      <c r="Y350" s="178">
        <f>IFERROR(IF(RIGHT(F350,3)="Exp",VLOOKUP(F350,#REF!,2,FALSE),VLOOKUP(F350,#REF!,9,FALSE)),0)</f>
        <v>0</v>
      </c>
      <c r="Z350" s="167">
        <f t="shared" si="44"/>
        <v>0</v>
      </c>
      <c r="AA350" s="189">
        <f t="shared" si="41"/>
        <v>0</v>
      </c>
      <c r="AB350" s="2">
        <f>IFERROR(SUMIFS('Comp2016-2017 (3)'!$G$5:$G$289,'Comp2016-2017 (3)'!$A$5:$A$289,A350,'Comp2016-2017 (3)'!$R$5:$R$289,V350)*AA350/SUMIFS($AA$4:$AA$1116,$A$4:$A$1116,A350,$V$4:$V$1116,V350),0)</f>
        <v>0</v>
      </c>
      <c r="AC350" s="2">
        <f>IF($W350=AC$3,$AB350,IF(NOT($W350=0),"",SUMIFS('Val-Vol (2)'!AC$4:AC$1116,'Val-Vol (2)'!$A$4:$A$1116,$D350,'Val-Vol (2)'!$V$4:$V$1116,$V350)/SUMIFS('Comp2016-2017 (3)'!$G$5:$G$289,'Comp2016-2017 (3)'!$A$5:$A$289,$D350,'Comp2016-2017 (3)'!$R$5:$R$289,$V350)*$AB350))</f>
        <v>0</v>
      </c>
      <c r="AD350" s="2">
        <f>IF($W350=AD$3,$AB350,IF(NOT($W350=0),"",SUMIFS('Val-Vol (2)'!AD$4:AD$1116,'Val-Vol (2)'!$A$4:$A$1116,$D350,'Val-Vol (2)'!$V$4:$V$1116,$V350)/SUMIFS('Comp2016-2017 (3)'!$G$5:$G$289,'Comp2016-2017 (3)'!$A$5:$A$289,$D350,'Comp2016-2017 (3)'!$R$5:$R$289,$V350)*$AB350))</f>
        <v>0</v>
      </c>
      <c r="AE350" s="2">
        <f>IF($W350=AE$3,$AB350,IF(NOT($W350=0),"",SUMIFS('Val-Vol (2)'!AE$4:AE$1116,'Val-Vol (2)'!$A$4:$A$1116,$D350,'Val-Vol (2)'!$V$4:$V$1116,$V350)/SUMIFS('Comp2016-2017 (3)'!$G$5:$G$289,'Comp2016-2017 (3)'!$A$5:$A$289,$D350,'Comp2016-2017 (3)'!$R$5:$R$289,$V350)*$AB350))</f>
        <v>0</v>
      </c>
      <c r="AF350" s="2">
        <f>IF($W350=AF$3,$AB350,IF(NOT($W350=0),"",SUMIFS('Val-Vol (2)'!AF$4:AF$1116,'Val-Vol (2)'!$A$4:$A$1116,$D350,'Val-Vol (2)'!$V$4:$V$1116,$V350)/SUMIFS('Comp2016-2017 (3)'!$G$5:$G$289,'Comp2016-2017 (3)'!$A$5:$A$289,$D350,'Comp2016-2017 (3)'!$R$5:$R$289,$V350)*$AB350))</f>
        <v>0</v>
      </c>
      <c r="AG350" s="2">
        <f>IF($W350=AG$3,$AB350,IF(NOT($W350=0),"",SUMIFS('Val-Vol (2)'!AG$4:AG$1116,'Val-Vol (2)'!$A$4:$A$1116,$D350,'Val-Vol (2)'!$V$4:$V$1116,$V350)/SUMIFS('Comp2016-2017 (3)'!$G$5:$G$289,'Comp2016-2017 (3)'!$A$5:$A$289,$D350,'Comp2016-2017 (3)'!$R$5:$R$289,$V350)*$AB350))</f>
        <v>0</v>
      </c>
      <c r="AH350" s="2">
        <f>IF($W350=AH$3,$AB350,IF(NOT($W350=0),"",SUMIFS('Val-Vol (2)'!AH$4:AH$1116,'Val-Vol (2)'!$A$4:$A$1116,$D350,'Val-Vol (2)'!$V$4:$V$1116,$V350)/SUMIFS('Comp2016-2017 (3)'!$G$5:$G$289,'Comp2016-2017 (3)'!$A$5:$A$289,$D350,'Comp2016-2017 (3)'!$R$5:$R$289,$V350)*$AB350))</f>
        <v>0</v>
      </c>
      <c r="AI350" s="2">
        <f>IF($W350=AI$3,$AB350,IF(NOT($W350=0),"",SUMIFS('Val-Vol (2)'!AI$4:AI$1116,'Val-Vol (2)'!$A$4:$A$1116,$D350,'Val-Vol (2)'!$V$4:$V$1116,$V350)/SUMIFS('Comp2016-2017 (3)'!$G$5:$G$289,'Comp2016-2017 (3)'!$A$5:$A$289,$D350,'Comp2016-2017 (3)'!$R$5:$R$289,$V350)*$AB350))</f>
        <v>0</v>
      </c>
      <c r="AJ350" s="2">
        <f>IF($W350=AJ$3,$AB350,IF(NOT($W350=0),"",SUMIFS('Val-Vol (2)'!AJ$4:AJ$1116,'Val-Vol (2)'!$A$4:$A$1116,$D350,'Val-Vol (2)'!$V$4:$V$1116,$V350)/SUMIFS('Comp2016-2017 (3)'!$G$5:$G$289,'Comp2016-2017 (3)'!$A$5:$A$289,$D350,'Comp2016-2017 (3)'!$R$5:$R$289,$V350)*$AB350))</f>
        <v>0</v>
      </c>
      <c r="AK350" s="2">
        <f t="shared" si="37"/>
        <v>0</v>
      </c>
      <c r="AL350" t="str">
        <f t="shared" si="40"/>
        <v/>
      </c>
      <c r="AM350" t="str">
        <f>VLOOKUP(A350,'Table corresp.'!$M$4:$U$63,8,FALSE)</f>
        <v>Importation</v>
      </c>
      <c r="AN350" t="str">
        <f>VLOOKUP(D350,'Table corresp.'!$M$4:$U$63,9,FALSE)</f>
        <v>Production intermédiaire</v>
      </c>
    </row>
    <row r="351" spans="1:40" x14ac:dyDescent="0.25">
      <c r="A351" t="s">
        <v>52</v>
      </c>
      <c r="B351" t="str">
        <f>VLOOKUP(LEFT(A351,3),'Table corresp.'!$A$4:$D$63,3,FALSE)</f>
        <v>Importation</v>
      </c>
      <c r="C351" t="str">
        <f>VLOOKUP(A351,'Table corresp.'!$M$4:$P$63,4,FALSE)</f>
        <v>Importation</v>
      </c>
      <c r="D351" t="s">
        <v>84</v>
      </c>
      <c r="E351" t="str">
        <f>VLOOKUP(LEFT(D351,3),'Table corresp.'!$A$4:$D$63,4,FALSE)</f>
        <v>Transformation</v>
      </c>
      <c r="F351" t="str">
        <f t="shared" si="39"/>
        <v xml:space="preserve">Imp - 17 </v>
      </c>
      <c r="G351" s="1">
        <v>0</v>
      </c>
      <c r="H351" s="1">
        <v>8422.1270000000004</v>
      </c>
      <c r="I351" s="1">
        <v>8422.1270000000004</v>
      </c>
      <c r="J351" s="1">
        <v>0</v>
      </c>
      <c r="K351" s="1">
        <v>41.602040808223656</v>
      </c>
      <c r="L351" s="1">
        <v>41.602040808223656</v>
      </c>
      <c r="M351" s="1">
        <v>0</v>
      </c>
      <c r="N351" s="1">
        <v>0</v>
      </c>
      <c r="O351" s="1">
        <v>0</v>
      </c>
      <c r="P351" s="1">
        <v>0</v>
      </c>
      <c r="Q351" s="1">
        <v>0</v>
      </c>
      <c r="R351" s="1">
        <v>0</v>
      </c>
      <c r="S351" s="67"/>
      <c r="T351">
        <f>VLOOKUP(A351,'Groupe de branches'!$Z$27:$AM$86,14,FALSE)</f>
        <v>0</v>
      </c>
      <c r="U351">
        <f>VLOOKUP(D351,'Groupe de branches'!$Z$27:$AM$86,14,FALSE)</f>
        <v>0</v>
      </c>
      <c r="V351">
        <v>2016</v>
      </c>
      <c r="W351" t="str">
        <f>VLOOKUP(D351,'Table corresp.'!$M$4:$S$63,7,FALSE)</f>
        <v>Construction</v>
      </c>
      <c r="X351" s="167">
        <f>IFERROR(G351/SUMIFS('Comp2016-2017 (3)'!$I$5:$I$289,'Comp2016-2017 (3)'!$A$5:$A$289,A351,'Comp2016-2017 (3)'!$R$5:$R$289,V351),0)</f>
        <v>0</v>
      </c>
      <c r="Y351" s="178">
        <f>IFERROR(IF(RIGHT(F351,3)="Exp",VLOOKUP(F351,#REF!,2,FALSE),VLOOKUP(F351,#REF!,9,FALSE)),0)</f>
        <v>0</v>
      </c>
      <c r="Z351" s="167">
        <f t="shared" si="44"/>
        <v>0</v>
      </c>
      <c r="AA351" s="189">
        <f t="shared" si="41"/>
        <v>0</v>
      </c>
      <c r="AB351" s="2">
        <f>IFERROR(SUMIFS('Comp2016-2017 (3)'!$G$5:$G$289,'Comp2016-2017 (3)'!$A$5:$A$289,A351,'Comp2016-2017 (3)'!$R$5:$R$289,V351)*AA351/SUMIFS($AA$4:$AA$1116,$A$4:$A$1116,A351,$V$4:$V$1116,V351),0)</f>
        <v>0</v>
      </c>
      <c r="AC351" s="2" t="str">
        <f>IF($W351=AC$3,$AB351,IF(NOT($W351=0),"",SUMIFS('Val-Vol (2)'!AC$4:AC$1116,'Val-Vol (2)'!$A$4:$A$1116,$D351,'Val-Vol (2)'!$V$4:$V$1116,$V351)/SUMIFS('Comp2016-2017 (3)'!$G$5:$G$289,'Comp2016-2017 (3)'!$A$5:$A$289,$D351,'Comp2016-2017 (3)'!$R$5:$R$289,$V351)*$AB351))</f>
        <v/>
      </c>
      <c r="AD351" s="2">
        <f>IF($W351=AD$3,$AB351,IF(NOT($W351=0),"",SUMIFS('Val-Vol (2)'!AD$4:AD$1116,'Val-Vol (2)'!$A$4:$A$1116,$D351,'Val-Vol (2)'!$V$4:$V$1116,$V351)/SUMIFS('Comp2016-2017 (3)'!$G$5:$G$289,'Comp2016-2017 (3)'!$A$5:$A$289,$D351,'Comp2016-2017 (3)'!$R$5:$R$289,$V351)*$AB351))</f>
        <v>0</v>
      </c>
      <c r="AE351" s="2" t="str">
        <f>IF($W351=AE$3,$AB351,IF(NOT($W351=0),"",SUMIFS('Val-Vol (2)'!AE$4:AE$1116,'Val-Vol (2)'!$A$4:$A$1116,$D351,'Val-Vol (2)'!$V$4:$V$1116,$V351)/SUMIFS('Comp2016-2017 (3)'!$G$5:$G$289,'Comp2016-2017 (3)'!$A$5:$A$289,$D351,'Comp2016-2017 (3)'!$R$5:$R$289,$V351)*$AB351))</f>
        <v/>
      </c>
      <c r="AF351" s="2" t="str">
        <f>IF($W351=AF$3,$AB351,IF(NOT($W351=0),"",SUMIFS('Val-Vol (2)'!AF$4:AF$1116,'Val-Vol (2)'!$A$4:$A$1116,$D351,'Val-Vol (2)'!$V$4:$V$1116,$V351)/SUMIFS('Comp2016-2017 (3)'!$G$5:$G$289,'Comp2016-2017 (3)'!$A$5:$A$289,$D351,'Comp2016-2017 (3)'!$R$5:$R$289,$V351)*$AB351))</f>
        <v/>
      </c>
      <c r="AG351" s="2" t="str">
        <f>IF($W351=AG$3,$AB351,IF(NOT($W351=0),"",SUMIFS('Val-Vol (2)'!AG$4:AG$1116,'Val-Vol (2)'!$A$4:$A$1116,$D351,'Val-Vol (2)'!$V$4:$V$1116,$V351)/SUMIFS('Comp2016-2017 (3)'!$G$5:$G$289,'Comp2016-2017 (3)'!$A$5:$A$289,$D351,'Comp2016-2017 (3)'!$R$5:$R$289,$V351)*$AB351))</f>
        <v/>
      </c>
      <c r="AH351" s="2" t="str">
        <f>IF($W351=AH$3,$AB351,IF(NOT($W351=0),"",SUMIFS('Val-Vol (2)'!AH$4:AH$1116,'Val-Vol (2)'!$A$4:$A$1116,$D351,'Val-Vol (2)'!$V$4:$V$1116,$V351)/SUMIFS('Comp2016-2017 (3)'!$G$5:$G$289,'Comp2016-2017 (3)'!$A$5:$A$289,$D351,'Comp2016-2017 (3)'!$R$5:$R$289,$V351)*$AB351))</f>
        <v/>
      </c>
      <c r="AI351" s="2" t="str">
        <f>IF($W351=AI$3,$AB351,IF(NOT($W351=0),"",SUMIFS('Val-Vol (2)'!AI$4:AI$1116,'Val-Vol (2)'!$A$4:$A$1116,$D351,'Val-Vol (2)'!$V$4:$V$1116,$V351)/SUMIFS('Comp2016-2017 (3)'!$G$5:$G$289,'Comp2016-2017 (3)'!$A$5:$A$289,$D351,'Comp2016-2017 (3)'!$R$5:$R$289,$V351)*$AB351))</f>
        <v/>
      </c>
      <c r="AJ351" s="2" t="str">
        <f>IF($W351=AJ$3,$AB351,IF(NOT($W351=0),"",SUMIFS('Val-Vol (2)'!AJ$4:AJ$1116,'Val-Vol (2)'!$A$4:$A$1116,$D351,'Val-Vol (2)'!$V$4:$V$1116,$V351)/SUMIFS('Comp2016-2017 (3)'!$G$5:$G$289,'Comp2016-2017 (3)'!$A$5:$A$289,$D351,'Comp2016-2017 (3)'!$R$5:$R$289,$V351)*$AB351))</f>
        <v/>
      </c>
      <c r="AK351" s="2">
        <f t="shared" si="37"/>
        <v>0</v>
      </c>
      <c r="AL351" t="str">
        <f t="shared" si="40"/>
        <v/>
      </c>
      <c r="AM351" t="str">
        <f>VLOOKUP(A351,'Table corresp.'!$M$4:$U$63,8,FALSE)</f>
        <v>Importation</v>
      </c>
      <c r="AN351" t="str">
        <f>VLOOKUP(D351,'Table corresp.'!$M$4:$U$63,9,FALSE)</f>
        <v>Production intermédiaire</v>
      </c>
    </row>
    <row r="352" spans="1:40" x14ac:dyDescent="0.25">
      <c r="A352" t="s">
        <v>52</v>
      </c>
      <c r="B352" t="str">
        <f>VLOOKUP(LEFT(A352,3),'Table corresp.'!$A$4:$D$63,3,FALSE)</f>
        <v>Importation</v>
      </c>
      <c r="C352" t="str">
        <f>VLOOKUP(A352,'Table corresp.'!$M$4:$P$63,4,FALSE)</f>
        <v>Importation</v>
      </c>
      <c r="D352" t="s">
        <v>11</v>
      </c>
      <c r="E352" t="str">
        <f>VLOOKUP(LEFT(D352,3),'Table corresp.'!$A$4:$D$63,4,FALSE)</f>
        <v>Transformation</v>
      </c>
      <c r="F352" t="str">
        <f t="shared" si="39"/>
        <v xml:space="preserve">Imp - 18 </v>
      </c>
      <c r="G352" s="1">
        <v>0</v>
      </c>
      <c r="H352" s="1">
        <v>19212.263999999999</v>
      </c>
      <c r="I352" s="1">
        <v>19212.263999999999</v>
      </c>
      <c r="J352" s="1">
        <v>0</v>
      </c>
      <c r="K352" s="1">
        <v>0</v>
      </c>
      <c r="L352" s="1">
        <v>0</v>
      </c>
      <c r="M352" s="1">
        <v>0</v>
      </c>
      <c r="N352" s="1">
        <v>285.04991693441599</v>
      </c>
      <c r="O352" s="1">
        <v>285.04991693441599</v>
      </c>
      <c r="P352" s="1">
        <v>0</v>
      </c>
      <c r="Q352" s="1">
        <v>0</v>
      </c>
      <c r="R352" s="1">
        <v>0</v>
      </c>
      <c r="S352" s="67"/>
      <c r="T352">
        <f>VLOOKUP(A352,'Groupe de branches'!$Z$27:$AM$86,14,FALSE)</f>
        <v>0</v>
      </c>
      <c r="U352">
        <f>VLOOKUP(D352,'Groupe de branches'!$Z$27:$AM$86,14,FALSE)</f>
        <v>0</v>
      </c>
      <c r="V352">
        <v>2016</v>
      </c>
      <c r="W352">
        <f>VLOOKUP(D352,'Table corresp.'!$M$4:$S$63,7,FALSE)</f>
        <v>0</v>
      </c>
      <c r="X352" s="167">
        <f>IFERROR(G352/SUMIFS('Comp2016-2017 (3)'!$I$5:$I$289,'Comp2016-2017 (3)'!$A$5:$A$289,A352,'Comp2016-2017 (3)'!$R$5:$R$289,V352),0)</f>
        <v>0</v>
      </c>
      <c r="Y352" s="178">
        <f>IFERROR(IF(RIGHT(F352,3)="Exp",VLOOKUP(F352,#REF!,2,FALSE),VLOOKUP(F352,#REF!,9,FALSE)),0)</f>
        <v>0</v>
      </c>
      <c r="Z352" s="167">
        <f t="shared" si="44"/>
        <v>0</v>
      </c>
      <c r="AA352" s="189">
        <f t="shared" si="41"/>
        <v>0</v>
      </c>
      <c r="AB352" s="2">
        <f>IFERROR(SUMIFS('Comp2016-2017 (3)'!$G$5:$G$289,'Comp2016-2017 (3)'!$A$5:$A$289,A352,'Comp2016-2017 (3)'!$R$5:$R$289,V352)*AA352/SUMIFS($AA$4:$AA$1116,$A$4:$A$1116,A352,$V$4:$V$1116,V352),0)</f>
        <v>0</v>
      </c>
      <c r="AC352" s="2">
        <f>IF($W352=AC$3,$AB352,IF(NOT($W352=0),"",SUMIFS('Val-Vol (2)'!AC$4:AC$1116,'Val-Vol (2)'!$A$4:$A$1116,$D352,'Val-Vol (2)'!$V$4:$V$1116,$V352)/SUMIFS('Comp2016-2017 (3)'!$G$5:$G$289,'Comp2016-2017 (3)'!$A$5:$A$289,$D352,'Comp2016-2017 (3)'!$R$5:$R$289,$V352)*$AB352))</f>
        <v>0</v>
      </c>
      <c r="AD352" s="2">
        <f>IF($W352=AD$3,$AB352,IF(NOT($W352=0),"",SUMIFS('Val-Vol (2)'!AD$4:AD$1116,'Val-Vol (2)'!$A$4:$A$1116,$D352,'Val-Vol (2)'!$V$4:$V$1116,$V352)/SUMIFS('Comp2016-2017 (3)'!$G$5:$G$289,'Comp2016-2017 (3)'!$A$5:$A$289,$D352,'Comp2016-2017 (3)'!$R$5:$R$289,$V352)*$AB352))</f>
        <v>0</v>
      </c>
      <c r="AE352" s="2">
        <f>IF($W352=AE$3,$AB352,IF(NOT($W352=0),"",SUMIFS('Val-Vol (2)'!AE$4:AE$1116,'Val-Vol (2)'!$A$4:$A$1116,$D352,'Val-Vol (2)'!$V$4:$V$1116,$V352)/SUMIFS('Comp2016-2017 (3)'!$G$5:$G$289,'Comp2016-2017 (3)'!$A$5:$A$289,$D352,'Comp2016-2017 (3)'!$R$5:$R$289,$V352)*$AB352))</f>
        <v>0</v>
      </c>
      <c r="AF352" s="2">
        <f>IF($W352=AF$3,$AB352,IF(NOT($W352=0),"",SUMIFS('Val-Vol (2)'!AF$4:AF$1116,'Val-Vol (2)'!$A$4:$A$1116,$D352,'Val-Vol (2)'!$V$4:$V$1116,$V352)/SUMIFS('Comp2016-2017 (3)'!$G$5:$G$289,'Comp2016-2017 (3)'!$A$5:$A$289,$D352,'Comp2016-2017 (3)'!$R$5:$R$289,$V352)*$AB352))</f>
        <v>0</v>
      </c>
      <c r="AG352" s="2">
        <f>IF($W352=AG$3,$AB352,IF(NOT($W352=0),"",SUMIFS('Val-Vol (2)'!AG$4:AG$1116,'Val-Vol (2)'!$A$4:$A$1116,$D352,'Val-Vol (2)'!$V$4:$V$1116,$V352)/SUMIFS('Comp2016-2017 (3)'!$G$5:$G$289,'Comp2016-2017 (3)'!$A$5:$A$289,$D352,'Comp2016-2017 (3)'!$R$5:$R$289,$V352)*$AB352))</f>
        <v>0</v>
      </c>
      <c r="AH352" s="2">
        <f>IF($W352=AH$3,$AB352,IF(NOT($W352=0),"",SUMIFS('Val-Vol (2)'!AH$4:AH$1116,'Val-Vol (2)'!$A$4:$A$1116,$D352,'Val-Vol (2)'!$V$4:$V$1116,$V352)/SUMIFS('Comp2016-2017 (3)'!$G$5:$G$289,'Comp2016-2017 (3)'!$A$5:$A$289,$D352,'Comp2016-2017 (3)'!$R$5:$R$289,$V352)*$AB352))</f>
        <v>0</v>
      </c>
      <c r="AI352" s="2">
        <f>IF($W352=AI$3,$AB352,IF(NOT($W352=0),"",SUMIFS('Val-Vol (2)'!AI$4:AI$1116,'Val-Vol (2)'!$A$4:$A$1116,$D352,'Val-Vol (2)'!$V$4:$V$1116,$V352)/SUMIFS('Comp2016-2017 (3)'!$G$5:$G$289,'Comp2016-2017 (3)'!$A$5:$A$289,$D352,'Comp2016-2017 (3)'!$R$5:$R$289,$V352)*$AB352))</f>
        <v>0</v>
      </c>
      <c r="AJ352" s="2">
        <f>IF($W352=AJ$3,$AB352,IF(NOT($W352=0),"",SUMIFS('Val-Vol (2)'!AJ$4:AJ$1116,'Val-Vol (2)'!$A$4:$A$1116,$D352,'Val-Vol (2)'!$V$4:$V$1116,$V352)/SUMIFS('Comp2016-2017 (3)'!$G$5:$G$289,'Comp2016-2017 (3)'!$A$5:$A$289,$D352,'Comp2016-2017 (3)'!$R$5:$R$289,$V352)*$AB352))</f>
        <v>0</v>
      </c>
      <c r="AK352" s="2">
        <f t="shared" si="37"/>
        <v>0</v>
      </c>
      <c r="AL352" t="str">
        <f t="shared" si="40"/>
        <v/>
      </c>
      <c r="AM352" t="str">
        <f>VLOOKUP(A352,'Table corresp.'!$M$4:$U$63,8,FALSE)</f>
        <v>Importation</v>
      </c>
      <c r="AN352" t="str">
        <f>VLOOKUP(D352,'Table corresp.'!$M$4:$U$63,9,FALSE)</f>
        <v>Production intermédiaire</v>
      </c>
    </row>
    <row r="353" spans="1:40" x14ac:dyDescent="0.25">
      <c r="A353" t="s">
        <v>52</v>
      </c>
      <c r="B353" t="str">
        <f>VLOOKUP(LEFT(A353,3),'Table corresp.'!$A$4:$D$63,3,FALSE)</f>
        <v>Importation</v>
      </c>
      <c r="C353" t="str">
        <f>VLOOKUP(A353,'Table corresp.'!$M$4:$P$63,4,FALSE)</f>
        <v>Importation</v>
      </c>
      <c r="D353" t="s">
        <v>12</v>
      </c>
      <c r="E353" t="str">
        <f>VLOOKUP(LEFT(D353,3),'Table corresp.'!$A$4:$D$63,4,FALSE)</f>
        <v>Transformation</v>
      </c>
      <c r="F353" t="str">
        <f t="shared" si="39"/>
        <v xml:space="preserve">Imp - 19 </v>
      </c>
      <c r="G353" s="1">
        <v>0</v>
      </c>
      <c r="H353" s="1">
        <v>49033.254000000008</v>
      </c>
      <c r="I353" s="1">
        <v>49033.254000000008</v>
      </c>
      <c r="J353" s="1">
        <v>0</v>
      </c>
      <c r="K353" s="1">
        <v>0</v>
      </c>
      <c r="L353" s="1">
        <v>0</v>
      </c>
      <c r="M353" s="1">
        <v>0</v>
      </c>
      <c r="N353" s="1">
        <v>0</v>
      </c>
      <c r="O353" s="1">
        <v>0</v>
      </c>
      <c r="P353" s="1">
        <v>0</v>
      </c>
      <c r="Q353" s="1">
        <v>658.07040890865346</v>
      </c>
      <c r="R353" s="1">
        <v>658.07040890865346</v>
      </c>
      <c r="S353" s="67" t="s">
        <v>198</v>
      </c>
      <c r="T353">
        <f>VLOOKUP(A353,'Groupe de branches'!$Z$27:$AM$86,14,FALSE)</f>
        <v>0</v>
      </c>
      <c r="U353">
        <f>VLOOKUP(D353,'Groupe de branches'!$Z$27:$AM$86,14,FALSE)</f>
        <v>0</v>
      </c>
      <c r="V353">
        <v>2016</v>
      </c>
      <c r="W353" t="str">
        <f>VLOOKUP(D353,'Table corresp.'!$M$4:$S$63,7,FALSE)</f>
        <v>Energie</v>
      </c>
      <c r="X353" s="167">
        <f>IFERROR(G353/SUMIFS('Comp2016-2017 (3)'!$I$5:$I$289,'Comp2016-2017 (3)'!$A$5:$A$289,A353,'Comp2016-2017 (3)'!$R$5:$R$289,V353),0)</f>
        <v>0</v>
      </c>
      <c r="Y353" s="178">
        <f>IFERROR(IF(RIGHT(F353,3)="Exp",VLOOKUP(F353,#REF!,2,FALSE),VLOOKUP(F353,#REF!,9,FALSE)),0)</f>
        <v>0</v>
      </c>
      <c r="Z353" s="167">
        <f t="shared" si="44"/>
        <v>0</v>
      </c>
      <c r="AA353" s="189">
        <f t="shared" si="41"/>
        <v>0</v>
      </c>
      <c r="AB353" s="2">
        <f>IFERROR(SUMIFS('Comp2016-2017 (3)'!$G$5:$G$289,'Comp2016-2017 (3)'!$A$5:$A$289,A353,'Comp2016-2017 (3)'!$R$5:$R$289,V353)*AA353/SUMIFS($AA$4:$AA$1116,$A$4:$A$1116,A353,$V$4:$V$1116,V353),0)</f>
        <v>0</v>
      </c>
      <c r="AC353" s="2" t="str">
        <f>IF($W353=AC$3,$AB353,IF(NOT($W353=0),"",SUMIFS('Val-Vol (2)'!AC$4:AC$1116,'Val-Vol (2)'!$A$4:$A$1116,$D353,'Val-Vol (2)'!$V$4:$V$1116,$V353)/SUMIFS('Comp2016-2017 (3)'!$G$5:$G$289,'Comp2016-2017 (3)'!$A$5:$A$289,$D353,'Comp2016-2017 (3)'!$R$5:$R$289,$V353)*$AB353))</f>
        <v/>
      </c>
      <c r="AD353" s="2" t="str">
        <f>IF($W353=AD$3,$AB353,IF(NOT($W353=0),"",SUMIFS('Val-Vol (2)'!AD$4:AD$1116,'Val-Vol (2)'!$A$4:$A$1116,$D353,'Val-Vol (2)'!$V$4:$V$1116,$V353)/SUMIFS('Comp2016-2017 (3)'!$G$5:$G$289,'Comp2016-2017 (3)'!$A$5:$A$289,$D353,'Comp2016-2017 (3)'!$R$5:$R$289,$V353)*$AB353))</f>
        <v/>
      </c>
      <c r="AE353" s="2" t="str">
        <f>IF($W353=AE$3,$AB353,IF(NOT($W353=0),"",SUMIFS('Val-Vol (2)'!AE$4:AE$1116,'Val-Vol (2)'!$A$4:$A$1116,$D353,'Val-Vol (2)'!$V$4:$V$1116,$V353)/SUMIFS('Comp2016-2017 (3)'!$G$5:$G$289,'Comp2016-2017 (3)'!$A$5:$A$289,$D353,'Comp2016-2017 (3)'!$R$5:$R$289,$V353)*$AB353))</f>
        <v/>
      </c>
      <c r="AF353" s="2" t="str">
        <f>IF($W353=AF$3,$AB353,IF(NOT($W353=0),"",SUMIFS('Val-Vol (2)'!AF$4:AF$1116,'Val-Vol (2)'!$A$4:$A$1116,$D353,'Val-Vol (2)'!$V$4:$V$1116,$V353)/SUMIFS('Comp2016-2017 (3)'!$G$5:$G$289,'Comp2016-2017 (3)'!$A$5:$A$289,$D353,'Comp2016-2017 (3)'!$R$5:$R$289,$V353)*$AB353))</f>
        <v/>
      </c>
      <c r="AG353" s="2" t="str">
        <f>IF($W353=AG$3,$AB353,IF(NOT($W353=0),"",SUMIFS('Val-Vol (2)'!AG$4:AG$1116,'Val-Vol (2)'!$A$4:$A$1116,$D353,'Val-Vol (2)'!$V$4:$V$1116,$V353)/SUMIFS('Comp2016-2017 (3)'!$G$5:$G$289,'Comp2016-2017 (3)'!$A$5:$A$289,$D353,'Comp2016-2017 (3)'!$R$5:$R$289,$V353)*$AB353))</f>
        <v/>
      </c>
      <c r="AH353" s="2">
        <f>IF($W353=AH$3,$AB353,IF(NOT($W353=0),"",SUMIFS('Val-Vol (2)'!AH$4:AH$1116,'Val-Vol (2)'!$A$4:$A$1116,$D353,'Val-Vol (2)'!$V$4:$V$1116,$V353)/SUMIFS('Comp2016-2017 (3)'!$G$5:$G$289,'Comp2016-2017 (3)'!$A$5:$A$289,$D353,'Comp2016-2017 (3)'!$R$5:$R$289,$V353)*$AB353))</f>
        <v>0</v>
      </c>
      <c r="AI353" s="2" t="str">
        <f>IF($W353=AI$3,$AB353,IF(NOT($W353=0),"",SUMIFS('Val-Vol (2)'!AI$4:AI$1116,'Val-Vol (2)'!$A$4:$A$1116,$D353,'Val-Vol (2)'!$V$4:$V$1116,$V353)/SUMIFS('Comp2016-2017 (3)'!$G$5:$G$289,'Comp2016-2017 (3)'!$A$5:$A$289,$D353,'Comp2016-2017 (3)'!$R$5:$R$289,$V353)*$AB353))</f>
        <v/>
      </c>
      <c r="AJ353" s="2" t="str">
        <f>IF($W353=AJ$3,$AB353,IF(NOT($W353=0),"",SUMIFS('Val-Vol (2)'!AJ$4:AJ$1116,'Val-Vol (2)'!$A$4:$A$1116,$D353,'Val-Vol (2)'!$V$4:$V$1116,$V353)/SUMIFS('Comp2016-2017 (3)'!$G$5:$G$289,'Comp2016-2017 (3)'!$A$5:$A$289,$D353,'Comp2016-2017 (3)'!$R$5:$R$289,$V353)*$AB353))</f>
        <v/>
      </c>
      <c r="AK353" s="2">
        <f t="shared" si="37"/>
        <v>0</v>
      </c>
      <c r="AL353" t="str">
        <f t="shared" si="40"/>
        <v/>
      </c>
      <c r="AM353" t="str">
        <f>VLOOKUP(A353,'Table corresp.'!$M$4:$U$63,8,FALSE)</f>
        <v>Importation</v>
      </c>
      <c r="AN353" t="str">
        <f>VLOOKUP(D353,'Table corresp.'!$M$4:$U$63,9,FALSE)</f>
        <v>Production intermédiaire</v>
      </c>
    </row>
    <row r="354" spans="1:40" x14ac:dyDescent="0.25">
      <c r="A354" t="s">
        <v>52</v>
      </c>
      <c r="B354" t="str">
        <f>VLOOKUP(LEFT(A354,3),'Table corresp.'!$A$4:$D$63,3,FALSE)</f>
        <v>Importation</v>
      </c>
      <c r="C354" t="str">
        <f>VLOOKUP(A354,'Table corresp.'!$M$4:$P$63,4,FALSE)</f>
        <v>Importation</v>
      </c>
      <c r="D354" t="s">
        <v>13</v>
      </c>
      <c r="E354" t="str">
        <f>VLOOKUP(LEFT(D354,3),'Table corresp.'!$A$4:$D$63,4,FALSE)</f>
        <v>Transformation</v>
      </c>
      <c r="F354" t="str">
        <f t="shared" si="39"/>
        <v xml:space="preserve">Imp - 20 </v>
      </c>
      <c r="G354" s="1">
        <v>0</v>
      </c>
      <c r="H354" s="1">
        <v>316162.10399999999</v>
      </c>
      <c r="I354" s="1">
        <v>316162.10399999999</v>
      </c>
      <c r="J354" s="1">
        <v>0</v>
      </c>
      <c r="K354" s="1">
        <v>941.34773855433457</v>
      </c>
      <c r="L354" s="1">
        <v>941.34773855433457</v>
      </c>
      <c r="M354" s="1">
        <v>0</v>
      </c>
      <c r="N354" s="1">
        <v>0</v>
      </c>
      <c r="O354" s="1">
        <v>0</v>
      </c>
      <c r="P354" s="1">
        <v>0</v>
      </c>
      <c r="Q354" s="1">
        <v>0</v>
      </c>
      <c r="R354" s="1">
        <v>0</v>
      </c>
      <c r="S354" s="67"/>
      <c r="T354">
        <f>VLOOKUP(A354,'Groupe de branches'!$Z$27:$AM$86,14,FALSE)</f>
        <v>0</v>
      </c>
      <c r="U354">
        <f>VLOOKUP(D354,'Groupe de branches'!$Z$27:$AM$86,14,FALSE)</f>
        <v>0</v>
      </c>
      <c r="V354">
        <v>2016</v>
      </c>
      <c r="W354">
        <f>VLOOKUP(D354,'Table corresp.'!$M$4:$S$63,7,FALSE)</f>
        <v>0</v>
      </c>
      <c r="X354" s="167">
        <f>IFERROR(G354/SUMIFS('Comp2016-2017 (3)'!$I$5:$I$289,'Comp2016-2017 (3)'!$A$5:$A$289,A354,'Comp2016-2017 (3)'!$R$5:$R$289,V354),0)</f>
        <v>0</v>
      </c>
      <c r="Y354" s="178">
        <f>IFERROR(IF(RIGHT(F354,3)="Exp",VLOOKUP(F354,#REF!,2,FALSE),VLOOKUP(F354,#REF!,9,FALSE)),0)</f>
        <v>0</v>
      </c>
      <c r="Z354" s="167">
        <f t="shared" si="44"/>
        <v>0</v>
      </c>
      <c r="AA354" s="189">
        <f t="shared" si="41"/>
        <v>0</v>
      </c>
      <c r="AB354" s="2">
        <f>IFERROR(SUMIFS('Comp2016-2017 (3)'!$G$5:$G$289,'Comp2016-2017 (3)'!$A$5:$A$289,A354,'Comp2016-2017 (3)'!$R$5:$R$289,V354)*AA354/SUMIFS($AA$4:$AA$1116,$A$4:$A$1116,A354,$V$4:$V$1116,V354),0)</f>
        <v>0</v>
      </c>
      <c r="AC354" s="2">
        <f>IF($W354=AC$3,$AB354,IF(NOT($W354=0),"",SUMIFS('Val-Vol (2)'!AC$4:AC$1116,'Val-Vol (2)'!$A$4:$A$1116,$D354,'Val-Vol (2)'!$V$4:$V$1116,$V354)/SUMIFS('Comp2016-2017 (3)'!$G$5:$G$289,'Comp2016-2017 (3)'!$A$5:$A$289,$D354,'Comp2016-2017 (3)'!$R$5:$R$289,$V354)*$AB354))</f>
        <v>0</v>
      </c>
      <c r="AD354" s="2">
        <f>IF($W354=AD$3,$AB354,IF(NOT($W354=0),"",SUMIFS('Val-Vol (2)'!AD$4:AD$1116,'Val-Vol (2)'!$A$4:$A$1116,$D354,'Val-Vol (2)'!$V$4:$V$1116,$V354)/SUMIFS('Comp2016-2017 (3)'!$G$5:$G$289,'Comp2016-2017 (3)'!$A$5:$A$289,$D354,'Comp2016-2017 (3)'!$R$5:$R$289,$V354)*$AB354))</f>
        <v>0</v>
      </c>
      <c r="AE354" s="2">
        <f>IF($W354=AE$3,$AB354,IF(NOT($W354=0),"",SUMIFS('Val-Vol (2)'!AE$4:AE$1116,'Val-Vol (2)'!$A$4:$A$1116,$D354,'Val-Vol (2)'!$V$4:$V$1116,$V354)/SUMIFS('Comp2016-2017 (3)'!$G$5:$G$289,'Comp2016-2017 (3)'!$A$5:$A$289,$D354,'Comp2016-2017 (3)'!$R$5:$R$289,$V354)*$AB354))</f>
        <v>0</v>
      </c>
      <c r="AF354" s="2">
        <f>IF($W354=AF$3,$AB354,IF(NOT($W354=0),"",SUMIFS('Val-Vol (2)'!AF$4:AF$1116,'Val-Vol (2)'!$A$4:$A$1116,$D354,'Val-Vol (2)'!$V$4:$V$1116,$V354)/SUMIFS('Comp2016-2017 (3)'!$G$5:$G$289,'Comp2016-2017 (3)'!$A$5:$A$289,$D354,'Comp2016-2017 (3)'!$R$5:$R$289,$V354)*$AB354))</f>
        <v>0</v>
      </c>
      <c r="AG354" s="2">
        <f>IF($W354=AG$3,$AB354,IF(NOT($W354=0),"",SUMIFS('Val-Vol (2)'!AG$4:AG$1116,'Val-Vol (2)'!$A$4:$A$1116,$D354,'Val-Vol (2)'!$V$4:$V$1116,$V354)/SUMIFS('Comp2016-2017 (3)'!$G$5:$G$289,'Comp2016-2017 (3)'!$A$5:$A$289,$D354,'Comp2016-2017 (3)'!$R$5:$R$289,$V354)*$AB354))</f>
        <v>0</v>
      </c>
      <c r="AH354" s="2">
        <f>IF($W354=AH$3,$AB354,IF(NOT($W354=0),"",SUMIFS('Val-Vol (2)'!AH$4:AH$1116,'Val-Vol (2)'!$A$4:$A$1116,$D354,'Val-Vol (2)'!$V$4:$V$1116,$V354)/SUMIFS('Comp2016-2017 (3)'!$G$5:$G$289,'Comp2016-2017 (3)'!$A$5:$A$289,$D354,'Comp2016-2017 (3)'!$R$5:$R$289,$V354)*$AB354))</f>
        <v>0</v>
      </c>
      <c r="AI354" s="2">
        <f>IF($W354=AI$3,$AB354,IF(NOT($W354=0),"",SUMIFS('Val-Vol (2)'!AI$4:AI$1116,'Val-Vol (2)'!$A$4:$A$1116,$D354,'Val-Vol (2)'!$V$4:$V$1116,$V354)/SUMIFS('Comp2016-2017 (3)'!$G$5:$G$289,'Comp2016-2017 (3)'!$A$5:$A$289,$D354,'Comp2016-2017 (3)'!$R$5:$R$289,$V354)*$AB354))</f>
        <v>0</v>
      </c>
      <c r="AJ354" s="2">
        <f>IF($W354=AJ$3,$AB354,IF(NOT($W354=0),"",SUMIFS('Val-Vol (2)'!AJ$4:AJ$1116,'Val-Vol (2)'!$A$4:$A$1116,$D354,'Val-Vol (2)'!$V$4:$V$1116,$V354)/SUMIFS('Comp2016-2017 (3)'!$G$5:$G$289,'Comp2016-2017 (3)'!$A$5:$A$289,$D354,'Comp2016-2017 (3)'!$R$5:$R$289,$V354)*$AB354))</f>
        <v>0</v>
      </c>
      <c r="AK354" s="2">
        <f t="shared" si="37"/>
        <v>0</v>
      </c>
      <c r="AL354" t="str">
        <f t="shared" si="40"/>
        <v/>
      </c>
      <c r="AM354" t="str">
        <f>VLOOKUP(A354,'Table corresp.'!$M$4:$U$63,8,FALSE)</f>
        <v>Importation</v>
      </c>
      <c r="AN354" t="str">
        <f>VLOOKUP(D354,'Table corresp.'!$M$4:$U$63,9,FALSE)</f>
        <v>Production intermédiaire</v>
      </c>
    </row>
    <row r="355" spans="1:40" x14ac:dyDescent="0.25">
      <c r="A355" t="s">
        <v>52</v>
      </c>
      <c r="B355" t="str">
        <f>VLOOKUP(LEFT(A355,3),'Table corresp.'!$A$4:$D$63,3,FALSE)</f>
        <v>Importation</v>
      </c>
      <c r="C355" t="str">
        <f>VLOOKUP(A355,'Table corresp.'!$M$4:$P$63,4,FALSE)</f>
        <v>Importation</v>
      </c>
      <c r="D355" t="s">
        <v>14</v>
      </c>
      <c r="E355" t="str">
        <f>VLOOKUP(LEFT(D355,3),'Table corresp.'!$A$4:$D$63,4,FALSE)</f>
        <v>Transformation</v>
      </c>
      <c r="F355" t="str">
        <f t="shared" si="39"/>
        <v>Imp - 20b</v>
      </c>
      <c r="G355" s="1">
        <v>0</v>
      </c>
      <c r="H355" s="1">
        <v>307000</v>
      </c>
      <c r="I355" s="1">
        <v>307000</v>
      </c>
      <c r="J355" s="1">
        <v>0</v>
      </c>
      <c r="K355" s="1">
        <v>1201.6971892735446</v>
      </c>
      <c r="L355" s="1">
        <v>1201.6971892735446</v>
      </c>
      <c r="M355" s="1">
        <v>0</v>
      </c>
      <c r="N355" s="1">
        <v>0</v>
      </c>
      <c r="O355" s="1">
        <v>0</v>
      </c>
      <c r="P355" s="1">
        <v>0</v>
      </c>
      <c r="Q355" s="1">
        <v>0</v>
      </c>
      <c r="R355" s="1">
        <v>0</v>
      </c>
      <c r="S355" s="67"/>
      <c r="T355">
        <f>VLOOKUP(A355,'Groupe de branches'!$Z$27:$AM$86,14,FALSE)</f>
        <v>0</v>
      </c>
      <c r="U355">
        <f>VLOOKUP(D355,'Groupe de branches'!$Z$27:$AM$86,14,FALSE)</f>
        <v>0</v>
      </c>
      <c r="V355">
        <v>2016</v>
      </c>
      <c r="W355">
        <f>VLOOKUP(D355,'Table corresp.'!$M$4:$S$63,7,FALSE)</f>
        <v>0</v>
      </c>
      <c r="X355" s="167">
        <f>IFERROR(G355/SUMIFS('Comp2016-2017 (3)'!$I$5:$I$289,'Comp2016-2017 (3)'!$A$5:$A$289,A355,'Comp2016-2017 (3)'!$R$5:$R$289,V355),0)</f>
        <v>0</v>
      </c>
      <c r="Y355" s="178">
        <f>IFERROR(IF(RIGHT(F355,3)="Exp",VLOOKUP(F355,#REF!,2,FALSE),VLOOKUP(F355,#REF!,9,FALSE)),0)</f>
        <v>0</v>
      </c>
      <c r="Z355" s="167">
        <f t="shared" si="44"/>
        <v>0</v>
      </c>
      <c r="AA355" s="189">
        <f t="shared" si="41"/>
        <v>0</v>
      </c>
      <c r="AB355" s="2">
        <f>IFERROR(SUMIFS('Comp2016-2017 (3)'!$G$5:$G$289,'Comp2016-2017 (3)'!$A$5:$A$289,A355,'Comp2016-2017 (3)'!$R$5:$R$289,V355)*AA355/SUMIFS($AA$4:$AA$1116,$A$4:$A$1116,A355,$V$4:$V$1116,V355),0)</f>
        <v>0</v>
      </c>
      <c r="AC355" s="2">
        <f>IF($W355=AC$3,$AB355,IF(NOT($W355=0),"",SUMIFS('Val-Vol (2)'!AC$4:AC$1116,'Val-Vol (2)'!$A$4:$A$1116,$D355,'Val-Vol (2)'!$V$4:$V$1116,$V355)/SUMIFS('Comp2016-2017 (3)'!$G$5:$G$289,'Comp2016-2017 (3)'!$A$5:$A$289,$D355,'Comp2016-2017 (3)'!$R$5:$R$289,$V355)*$AB355))</f>
        <v>0</v>
      </c>
      <c r="AD355" s="2">
        <f>IF($W355=AD$3,$AB355,IF(NOT($W355=0),"",SUMIFS('Val-Vol (2)'!AD$4:AD$1116,'Val-Vol (2)'!$A$4:$A$1116,$D355,'Val-Vol (2)'!$V$4:$V$1116,$V355)/SUMIFS('Comp2016-2017 (3)'!$G$5:$G$289,'Comp2016-2017 (3)'!$A$5:$A$289,$D355,'Comp2016-2017 (3)'!$R$5:$R$289,$V355)*$AB355))</f>
        <v>0</v>
      </c>
      <c r="AE355" s="2">
        <f>IF($W355=AE$3,$AB355,IF(NOT($W355=0),"",SUMIFS('Val-Vol (2)'!AE$4:AE$1116,'Val-Vol (2)'!$A$4:$A$1116,$D355,'Val-Vol (2)'!$V$4:$V$1116,$V355)/SUMIFS('Comp2016-2017 (3)'!$G$5:$G$289,'Comp2016-2017 (3)'!$A$5:$A$289,$D355,'Comp2016-2017 (3)'!$R$5:$R$289,$V355)*$AB355))</f>
        <v>0</v>
      </c>
      <c r="AF355" s="2">
        <f>IF($W355=AF$3,$AB355,IF(NOT($W355=0),"",SUMIFS('Val-Vol (2)'!AF$4:AF$1116,'Val-Vol (2)'!$A$4:$A$1116,$D355,'Val-Vol (2)'!$V$4:$V$1116,$V355)/SUMIFS('Comp2016-2017 (3)'!$G$5:$G$289,'Comp2016-2017 (3)'!$A$5:$A$289,$D355,'Comp2016-2017 (3)'!$R$5:$R$289,$V355)*$AB355))</f>
        <v>0</v>
      </c>
      <c r="AG355" s="2">
        <f>IF($W355=AG$3,$AB355,IF(NOT($W355=0),"",SUMIFS('Val-Vol (2)'!AG$4:AG$1116,'Val-Vol (2)'!$A$4:$A$1116,$D355,'Val-Vol (2)'!$V$4:$V$1116,$V355)/SUMIFS('Comp2016-2017 (3)'!$G$5:$G$289,'Comp2016-2017 (3)'!$A$5:$A$289,$D355,'Comp2016-2017 (3)'!$R$5:$R$289,$V355)*$AB355))</f>
        <v>0</v>
      </c>
      <c r="AH355" s="2">
        <f>IF($W355=AH$3,$AB355,IF(NOT($W355=0),"",SUMIFS('Val-Vol (2)'!AH$4:AH$1116,'Val-Vol (2)'!$A$4:$A$1116,$D355,'Val-Vol (2)'!$V$4:$V$1116,$V355)/SUMIFS('Comp2016-2017 (3)'!$G$5:$G$289,'Comp2016-2017 (3)'!$A$5:$A$289,$D355,'Comp2016-2017 (3)'!$R$5:$R$289,$V355)*$AB355))</f>
        <v>0</v>
      </c>
      <c r="AI355" s="2">
        <f>IF($W355=AI$3,$AB355,IF(NOT($W355=0),"",SUMIFS('Val-Vol (2)'!AI$4:AI$1116,'Val-Vol (2)'!$A$4:$A$1116,$D355,'Val-Vol (2)'!$V$4:$V$1116,$V355)/SUMIFS('Comp2016-2017 (3)'!$G$5:$G$289,'Comp2016-2017 (3)'!$A$5:$A$289,$D355,'Comp2016-2017 (3)'!$R$5:$R$289,$V355)*$AB355))</f>
        <v>0</v>
      </c>
      <c r="AJ355" s="2">
        <f>IF($W355=AJ$3,$AB355,IF(NOT($W355=0),"",SUMIFS('Val-Vol (2)'!AJ$4:AJ$1116,'Val-Vol (2)'!$A$4:$A$1116,$D355,'Val-Vol (2)'!$V$4:$V$1116,$V355)/SUMIFS('Comp2016-2017 (3)'!$G$5:$G$289,'Comp2016-2017 (3)'!$A$5:$A$289,$D355,'Comp2016-2017 (3)'!$R$5:$R$289,$V355)*$AB355))</f>
        <v>0</v>
      </c>
      <c r="AK355" s="2">
        <f t="shared" si="37"/>
        <v>0</v>
      </c>
      <c r="AL355" t="str">
        <f t="shared" si="40"/>
        <v/>
      </c>
      <c r="AM355" t="str">
        <f>VLOOKUP(A355,'Table corresp.'!$M$4:$U$63,8,FALSE)</f>
        <v>Importation</v>
      </c>
      <c r="AN355" t="str">
        <f>VLOOKUP(D355,'Table corresp.'!$M$4:$U$63,9,FALSE)</f>
        <v>Production intermédiaire</v>
      </c>
    </row>
    <row r="356" spans="1:40" x14ac:dyDescent="0.25">
      <c r="A356" t="s">
        <v>52</v>
      </c>
      <c r="B356" t="str">
        <f>VLOOKUP(LEFT(A356,3),'Table corresp.'!$A$4:$D$63,3,FALSE)</f>
        <v>Importation</v>
      </c>
      <c r="C356" t="str">
        <f>VLOOKUP(A356,'Table corresp.'!$M$4:$P$63,4,FALSE)</f>
        <v>Importation</v>
      </c>
      <c r="D356" t="s">
        <v>85</v>
      </c>
      <c r="E356" t="str">
        <f>VLOOKUP(LEFT(D356,3),'Table corresp.'!$A$4:$D$63,4,FALSE)</f>
        <v>Transformation</v>
      </c>
      <c r="F356" t="str">
        <f t="shared" si="39"/>
        <v xml:space="preserve">Imp - 29 </v>
      </c>
      <c r="G356" s="1">
        <v>0</v>
      </c>
      <c r="H356" s="1">
        <v>194790</v>
      </c>
      <c r="I356" s="1">
        <v>194790</v>
      </c>
      <c r="J356" s="1">
        <v>0</v>
      </c>
      <c r="K356" s="1">
        <v>902.20127699973284</v>
      </c>
      <c r="L356" s="1">
        <v>902.20127699973284</v>
      </c>
      <c r="M356" s="1">
        <v>0</v>
      </c>
      <c r="N356" s="1">
        <v>0</v>
      </c>
      <c r="O356" s="1">
        <v>0</v>
      </c>
      <c r="P356" s="1">
        <v>0</v>
      </c>
      <c r="Q356" s="1">
        <v>0</v>
      </c>
      <c r="R356" s="1">
        <v>0</v>
      </c>
      <c r="S356" s="67"/>
      <c r="T356">
        <f>VLOOKUP(A356,'Groupe de branches'!$Z$27:$AM$86,14,FALSE)</f>
        <v>0</v>
      </c>
      <c r="U356">
        <f>VLOOKUP(D356,'Groupe de branches'!$Z$27:$AM$86,14,FALSE)</f>
        <v>0</v>
      </c>
      <c r="V356">
        <v>2016</v>
      </c>
      <c r="W356" t="str">
        <f>VLOOKUP(D356,'Table corresp.'!$M$4:$S$63,7,FALSE)</f>
        <v>Construction</v>
      </c>
      <c r="X356" s="167">
        <f>IFERROR(G356/SUMIFS('Comp2016-2017 (3)'!$I$5:$I$289,'Comp2016-2017 (3)'!$A$5:$A$289,A356,'Comp2016-2017 (3)'!$R$5:$R$289,V356),0)</f>
        <v>0</v>
      </c>
      <c r="Y356" s="178">
        <f>IFERROR(IF(RIGHT(F356,3)="Exp",VLOOKUP(F356,#REF!,2,FALSE),VLOOKUP(F356,#REF!,9,FALSE)),0)</f>
        <v>0</v>
      </c>
      <c r="Z356" s="167">
        <f t="shared" si="44"/>
        <v>0</v>
      </c>
      <c r="AA356" s="189">
        <f t="shared" si="41"/>
        <v>0</v>
      </c>
      <c r="AB356" s="2">
        <f>IFERROR(SUMIFS('Comp2016-2017 (3)'!$G$5:$G$289,'Comp2016-2017 (3)'!$A$5:$A$289,A356,'Comp2016-2017 (3)'!$R$5:$R$289,V356)*AA356/SUMIFS($AA$4:$AA$1116,$A$4:$A$1116,A356,$V$4:$V$1116,V356),0)</f>
        <v>0</v>
      </c>
      <c r="AC356" s="2" t="str">
        <f>IF($W356=AC$3,$AB356,IF(NOT($W356=0),"",SUMIFS('Val-Vol (2)'!AC$4:AC$1116,'Val-Vol (2)'!$A$4:$A$1116,$D356,'Val-Vol (2)'!$V$4:$V$1116,$V356)/SUMIFS('Comp2016-2017 (3)'!$G$5:$G$289,'Comp2016-2017 (3)'!$A$5:$A$289,$D356,'Comp2016-2017 (3)'!$R$5:$R$289,$V356)*$AB356))</f>
        <v/>
      </c>
      <c r="AD356" s="2">
        <f>IF($W356=AD$3,$AB356,IF(NOT($W356=0),"",SUMIFS('Val-Vol (2)'!AD$4:AD$1116,'Val-Vol (2)'!$A$4:$A$1116,$D356,'Val-Vol (2)'!$V$4:$V$1116,$V356)/SUMIFS('Comp2016-2017 (3)'!$G$5:$G$289,'Comp2016-2017 (3)'!$A$5:$A$289,$D356,'Comp2016-2017 (3)'!$R$5:$R$289,$V356)*$AB356))</f>
        <v>0</v>
      </c>
      <c r="AE356" s="2" t="str">
        <f>IF($W356=AE$3,$AB356,IF(NOT($W356=0),"",SUMIFS('Val-Vol (2)'!AE$4:AE$1116,'Val-Vol (2)'!$A$4:$A$1116,$D356,'Val-Vol (2)'!$V$4:$V$1116,$V356)/SUMIFS('Comp2016-2017 (3)'!$G$5:$G$289,'Comp2016-2017 (3)'!$A$5:$A$289,$D356,'Comp2016-2017 (3)'!$R$5:$R$289,$V356)*$AB356))</f>
        <v/>
      </c>
      <c r="AF356" s="2" t="str">
        <f>IF($W356=AF$3,$AB356,IF(NOT($W356=0),"",SUMIFS('Val-Vol (2)'!AF$4:AF$1116,'Val-Vol (2)'!$A$4:$A$1116,$D356,'Val-Vol (2)'!$V$4:$V$1116,$V356)/SUMIFS('Comp2016-2017 (3)'!$G$5:$G$289,'Comp2016-2017 (3)'!$A$5:$A$289,$D356,'Comp2016-2017 (3)'!$R$5:$R$289,$V356)*$AB356))</f>
        <v/>
      </c>
      <c r="AG356" s="2" t="str">
        <f>IF($W356=AG$3,$AB356,IF(NOT($W356=0),"",SUMIFS('Val-Vol (2)'!AG$4:AG$1116,'Val-Vol (2)'!$A$4:$A$1116,$D356,'Val-Vol (2)'!$V$4:$V$1116,$V356)/SUMIFS('Comp2016-2017 (3)'!$G$5:$G$289,'Comp2016-2017 (3)'!$A$5:$A$289,$D356,'Comp2016-2017 (3)'!$R$5:$R$289,$V356)*$AB356))</f>
        <v/>
      </c>
      <c r="AH356" s="2" t="str">
        <f>IF($W356=AH$3,$AB356,IF(NOT($W356=0),"",SUMIFS('Val-Vol (2)'!AH$4:AH$1116,'Val-Vol (2)'!$A$4:$A$1116,$D356,'Val-Vol (2)'!$V$4:$V$1116,$V356)/SUMIFS('Comp2016-2017 (3)'!$G$5:$G$289,'Comp2016-2017 (3)'!$A$5:$A$289,$D356,'Comp2016-2017 (3)'!$R$5:$R$289,$V356)*$AB356))</f>
        <v/>
      </c>
      <c r="AI356" s="2" t="str">
        <f>IF($W356=AI$3,$AB356,IF(NOT($W356=0),"",SUMIFS('Val-Vol (2)'!AI$4:AI$1116,'Val-Vol (2)'!$A$4:$A$1116,$D356,'Val-Vol (2)'!$V$4:$V$1116,$V356)/SUMIFS('Comp2016-2017 (3)'!$G$5:$G$289,'Comp2016-2017 (3)'!$A$5:$A$289,$D356,'Comp2016-2017 (3)'!$R$5:$R$289,$V356)*$AB356))</f>
        <v/>
      </c>
      <c r="AJ356" s="2" t="str">
        <f>IF($W356=AJ$3,$AB356,IF(NOT($W356=0),"",SUMIFS('Val-Vol (2)'!AJ$4:AJ$1116,'Val-Vol (2)'!$A$4:$A$1116,$D356,'Val-Vol (2)'!$V$4:$V$1116,$V356)/SUMIFS('Comp2016-2017 (3)'!$G$5:$G$289,'Comp2016-2017 (3)'!$A$5:$A$289,$D356,'Comp2016-2017 (3)'!$R$5:$R$289,$V356)*$AB356))</f>
        <v/>
      </c>
      <c r="AK356" s="2">
        <f t="shared" ref="AK356:AK374" si="45">SUM(AC356:AJ356)-AB356</f>
        <v>0</v>
      </c>
      <c r="AL356" t="str">
        <f t="shared" si="40"/>
        <v/>
      </c>
      <c r="AM356" t="str">
        <f>VLOOKUP(A356,'Table corresp.'!$M$4:$U$63,8,FALSE)</f>
        <v>Importation</v>
      </c>
      <c r="AN356" t="str">
        <f>VLOOKUP(D356,'Table corresp.'!$M$4:$U$63,9,FALSE)</f>
        <v>Production intermédiaire</v>
      </c>
    </row>
    <row r="357" spans="1:40" x14ac:dyDescent="0.25">
      <c r="A357" t="s">
        <v>52</v>
      </c>
      <c r="B357" t="str">
        <f>VLOOKUP(LEFT(A357,3),'Table corresp.'!$A$4:$D$63,3,FALSE)</f>
        <v>Importation</v>
      </c>
      <c r="C357" t="str">
        <f>VLOOKUP(A357,'Table corresp.'!$M$4:$P$63,4,FALSE)</f>
        <v>Importation</v>
      </c>
      <c r="D357" t="s">
        <v>86</v>
      </c>
      <c r="E357" t="str">
        <f>VLOOKUP(LEFT(D357,3),'Table corresp.'!$A$4:$D$63,4,FALSE)</f>
        <v>Transformation</v>
      </c>
      <c r="F357" t="str">
        <f t="shared" si="39"/>
        <v xml:space="preserve">Imp - 30 </v>
      </c>
      <c r="G357" s="1">
        <v>0</v>
      </c>
      <c r="H357" s="1">
        <v>97117.467000000004</v>
      </c>
      <c r="I357" s="1">
        <v>97117.467000000004</v>
      </c>
      <c r="J357" s="1">
        <v>0</v>
      </c>
      <c r="K357" s="1">
        <v>0</v>
      </c>
      <c r="L357" s="1">
        <v>0</v>
      </c>
      <c r="M357" s="1">
        <v>0</v>
      </c>
      <c r="N357" s="1">
        <v>0</v>
      </c>
      <c r="O357" s="1">
        <v>0</v>
      </c>
      <c r="P357" s="1">
        <v>0</v>
      </c>
      <c r="Q357" s="1">
        <v>1128.2977517147474</v>
      </c>
      <c r="R357" s="1">
        <v>1128.2977517147474</v>
      </c>
      <c r="S357" s="67" t="s">
        <v>198</v>
      </c>
      <c r="T357">
        <f>VLOOKUP(A357,'Groupe de branches'!$Z$27:$AM$86,14,FALSE)</f>
        <v>0</v>
      </c>
      <c r="U357">
        <f>VLOOKUP(D357,'Groupe de branches'!$Z$27:$AM$86,14,FALSE)</f>
        <v>1</v>
      </c>
      <c r="V357">
        <v>2016</v>
      </c>
      <c r="W357" t="str">
        <f>VLOOKUP(D357,'Table corresp.'!$M$4:$S$63,7,FALSE)</f>
        <v>Energie</v>
      </c>
      <c r="X357" s="167">
        <f>IFERROR(G357/SUMIFS('Comp2016-2017 (3)'!$I$5:$I$289,'Comp2016-2017 (3)'!$A$5:$A$289,A357,'Comp2016-2017 (3)'!$R$5:$R$289,V357),0)</f>
        <v>0</v>
      </c>
      <c r="Y357" s="178">
        <f>IFERROR(IF(RIGHT(F357,3)="Exp",VLOOKUP(F357,#REF!,2,FALSE),VLOOKUP(F357,#REF!,9,FALSE)),0)</f>
        <v>0</v>
      </c>
      <c r="Z357" s="167">
        <f t="shared" si="44"/>
        <v>0</v>
      </c>
      <c r="AA357" s="189">
        <f t="shared" si="41"/>
        <v>0</v>
      </c>
      <c r="AB357" s="2">
        <f>IFERROR(SUMIFS('Comp2016-2017 (3)'!$G$5:$G$289,'Comp2016-2017 (3)'!$A$5:$A$289,A357,'Comp2016-2017 (3)'!$R$5:$R$289,V357)*AA357/SUMIFS($AA$4:$AA$1116,$A$4:$A$1116,A357,$V$4:$V$1116,V357),0)</f>
        <v>0</v>
      </c>
      <c r="AC357" s="2" t="str">
        <f>IF($W357=AC$3,$AB357,IF(NOT($W357=0),"",SUMIFS('Val-Vol (2)'!AC$4:AC$1116,'Val-Vol (2)'!$A$4:$A$1116,$D357,'Val-Vol (2)'!$V$4:$V$1116,$V357)/SUMIFS('Comp2016-2017 (3)'!$G$5:$G$289,'Comp2016-2017 (3)'!$A$5:$A$289,$D357,'Comp2016-2017 (3)'!$R$5:$R$289,$V357)*$AB357))</f>
        <v/>
      </c>
      <c r="AD357" s="2" t="str">
        <f>IF($W357=AD$3,$AB357,IF(NOT($W357=0),"",SUMIFS('Val-Vol (2)'!AD$4:AD$1116,'Val-Vol (2)'!$A$4:$A$1116,$D357,'Val-Vol (2)'!$V$4:$V$1116,$V357)/SUMIFS('Comp2016-2017 (3)'!$G$5:$G$289,'Comp2016-2017 (3)'!$A$5:$A$289,$D357,'Comp2016-2017 (3)'!$R$5:$R$289,$V357)*$AB357))</f>
        <v/>
      </c>
      <c r="AE357" s="2" t="str">
        <f>IF($W357=AE$3,$AB357,IF(NOT($W357=0),"",SUMIFS('Val-Vol (2)'!AE$4:AE$1116,'Val-Vol (2)'!$A$4:$A$1116,$D357,'Val-Vol (2)'!$V$4:$V$1116,$V357)/SUMIFS('Comp2016-2017 (3)'!$G$5:$G$289,'Comp2016-2017 (3)'!$A$5:$A$289,$D357,'Comp2016-2017 (3)'!$R$5:$R$289,$V357)*$AB357))</f>
        <v/>
      </c>
      <c r="AF357" s="2" t="str">
        <f>IF($W357=AF$3,$AB357,IF(NOT($W357=0),"",SUMIFS('Val-Vol (2)'!AF$4:AF$1116,'Val-Vol (2)'!$A$4:$A$1116,$D357,'Val-Vol (2)'!$V$4:$V$1116,$V357)/SUMIFS('Comp2016-2017 (3)'!$G$5:$G$289,'Comp2016-2017 (3)'!$A$5:$A$289,$D357,'Comp2016-2017 (3)'!$R$5:$R$289,$V357)*$AB357))</f>
        <v/>
      </c>
      <c r="AG357" s="2" t="str">
        <f>IF($W357=AG$3,$AB357,IF(NOT($W357=0),"",SUMIFS('Val-Vol (2)'!AG$4:AG$1116,'Val-Vol (2)'!$A$4:$A$1116,$D357,'Val-Vol (2)'!$V$4:$V$1116,$V357)/SUMIFS('Comp2016-2017 (3)'!$G$5:$G$289,'Comp2016-2017 (3)'!$A$5:$A$289,$D357,'Comp2016-2017 (3)'!$R$5:$R$289,$V357)*$AB357))</f>
        <v/>
      </c>
      <c r="AH357" s="2">
        <f>IF($W357=AH$3,$AB357,IF(NOT($W357=0),"",SUMIFS('Val-Vol (2)'!AH$4:AH$1116,'Val-Vol (2)'!$A$4:$A$1116,$D357,'Val-Vol (2)'!$V$4:$V$1116,$V357)/SUMIFS('Comp2016-2017 (3)'!$G$5:$G$289,'Comp2016-2017 (3)'!$A$5:$A$289,$D357,'Comp2016-2017 (3)'!$R$5:$R$289,$V357)*$AB357))</f>
        <v>0</v>
      </c>
      <c r="AI357" s="2" t="str">
        <f>IF($W357=AI$3,$AB357,IF(NOT($W357=0),"",SUMIFS('Val-Vol (2)'!AI$4:AI$1116,'Val-Vol (2)'!$A$4:$A$1116,$D357,'Val-Vol (2)'!$V$4:$V$1116,$V357)/SUMIFS('Comp2016-2017 (3)'!$G$5:$G$289,'Comp2016-2017 (3)'!$A$5:$A$289,$D357,'Comp2016-2017 (3)'!$R$5:$R$289,$V357)*$AB357))</f>
        <v/>
      </c>
      <c r="AJ357" s="2" t="str">
        <f>IF($W357=AJ$3,$AB357,IF(NOT($W357=0),"",SUMIFS('Val-Vol (2)'!AJ$4:AJ$1116,'Val-Vol (2)'!$A$4:$A$1116,$D357,'Val-Vol (2)'!$V$4:$V$1116,$V357)/SUMIFS('Comp2016-2017 (3)'!$G$5:$G$289,'Comp2016-2017 (3)'!$A$5:$A$289,$D357,'Comp2016-2017 (3)'!$R$5:$R$289,$V357)*$AB357))</f>
        <v/>
      </c>
      <c r="AK357" s="2">
        <f t="shared" si="45"/>
        <v>0</v>
      </c>
      <c r="AL357" t="str">
        <f t="shared" si="40"/>
        <v/>
      </c>
      <c r="AM357" t="str">
        <f>VLOOKUP(A357,'Table corresp.'!$M$4:$U$63,8,FALSE)</f>
        <v>Importation</v>
      </c>
      <c r="AN357" t="str">
        <f>VLOOKUP(D357,'Table corresp.'!$M$4:$U$63,9,FALSE)</f>
        <v>Production intermédiaire</v>
      </c>
    </row>
    <row r="358" spans="1:40" x14ac:dyDescent="0.25">
      <c r="A358" t="s">
        <v>52</v>
      </c>
      <c r="B358" t="str">
        <f>VLOOKUP(LEFT(A358,3),'Table corresp.'!$A$4:$D$63,3,FALSE)</f>
        <v>Importation</v>
      </c>
      <c r="C358" t="str">
        <f>VLOOKUP(A358,'Table corresp.'!$M$4:$P$63,4,FALSE)</f>
        <v>Importation</v>
      </c>
      <c r="D358" t="s">
        <v>87</v>
      </c>
      <c r="E358" t="str">
        <f>VLOOKUP(LEFT(D358,3),'Table corresp.'!$A$4:$D$63,4,FALSE)</f>
        <v>Transformation</v>
      </c>
      <c r="F358" t="str">
        <f t="shared" si="39"/>
        <v xml:space="preserve">Imp - 31 </v>
      </c>
      <c r="G358" s="1">
        <v>0</v>
      </c>
      <c r="H358" s="1">
        <v>963754.30499999993</v>
      </c>
      <c r="I358" s="1">
        <v>963754.30499999993</v>
      </c>
      <c r="J358" s="1">
        <v>0</v>
      </c>
      <c r="K358" s="1">
        <v>142.65812642536196</v>
      </c>
      <c r="L358" s="1">
        <v>142.65812642536196</v>
      </c>
      <c r="M358" s="1">
        <v>0</v>
      </c>
      <c r="N358" s="1">
        <v>1755.4450010766654</v>
      </c>
      <c r="O358" s="1">
        <v>1755.4450010766654</v>
      </c>
      <c r="P358" s="1">
        <v>0</v>
      </c>
      <c r="Q358" s="1">
        <v>518.17620741777796</v>
      </c>
      <c r="R358" s="1">
        <v>518.17620741777796</v>
      </c>
      <c r="S358" s="67" t="s">
        <v>192</v>
      </c>
      <c r="T358">
        <f>VLOOKUP(A358,'Groupe de branches'!$Z$27:$AM$86,14,FALSE)</f>
        <v>0</v>
      </c>
      <c r="U358">
        <f>VLOOKUP(D358,'Groupe de branches'!$Z$27:$AM$86,14,FALSE)</f>
        <v>0</v>
      </c>
      <c r="V358">
        <v>2016</v>
      </c>
      <c r="W358">
        <f>VLOOKUP(D358,'Table corresp.'!$M$4:$S$63,7,FALSE)</f>
        <v>0</v>
      </c>
      <c r="X358" s="167">
        <f>IFERROR(G358/SUMIFS('Comp2016-2017 (3)'!$I$5:$I$289,'Comp2016-2017 (3)'!$A$5:$A$289,A358,'Comp2016-2017 (3)'!$R$5:$R$289,V358),0)</f>
        <v>0</v>
      </c>
      <c r="Y358" s="178">
        <f>IFERROR(IF(RIGHT(F358,3)="Exp",VLOOKUP(F358,#REF!,2,FALSE),VLOOKUP(F358,#REF!,9,FALSE)),0)</f>
        <v>0</v>
      </c>
      <c r="Z358" s="167">
        <f t="shared" si="44"/>
        <v>0</v>
      </c>
      <c r="AA358" s="189">
        <f t="shared" si="41"/>
        <v>0</v>
      </c>
      <c r="AB358" s="2">
        <f>IFERROR(SUMIFS('Comp2016-2017 (3)'!$G$5:$G$289,'Comp2016-2017 (3)'!$A$5:$A$289,A358,'Comp2016-2017 (3)'!$R$5:$R$289,V358)*AA358/SUMIFS($AA$4:$AA$1116,$A$4:$A$1116,A358,$V$4:$V$1116,V358),0)</f>
        <v>0</v>
      </c>
      <c r="AC358" s="2">
        <f>IF($W358=AC$3,$AB358,IF(NOT($W358=0),"",SUMIFS('Val-Vol (2)'!AC$4:AC$1116,'Val-Vol (2)'!$A$4:$A$1116,$D358,'Val-Vol (2)'!$V$4:$V$1116,$V358)/SUMIFS('Comp2016-2017 (3)'!$G$5:$G$289,'Comp2016-2017 (3)'!$A$5:$A$289,$D358,'Comp2016-2017 (3)'!$R$5:$R$289,$V358)*$AB358))</f>
        <v>0</v>
      </c>
      <c r="AD358" s="2">
        <f>IF($W358=AD$3,$AB358,IF(NOT($W358=0),"",SUMIFS('Val-Vol (2)'!AD$4:AD$1116,'Val-Vol (2)'!$A$4:$A$1116,$D358,'Val-Vol (2)'!$V$4:$V$1116,$V358)/SUMIFS('Comp2016-2017 (3)'!$G$5:$G$289,'Comp2016-2017 (3)'!$A$5:$A$289,$D358,'Comp2016-2017 (3)'!$R$5:$R$289,$V358)*$AB358))</f>
        <v>0</v>
      </c>
      <c r="AE358" s="2">
        <f>IF($W358=AE$3,$AB358,IF(NOT($W358=0),"",SUMIFS('Val-Vol (2)'!AE$4:AE$1116,'Val-Vol (2)'!$A$4:$A$1116,$D358,'Val-Vol (2)'!$V$4:$V$1116,$V358)/SUMIFS('Comp2016-2017 (3)'!$G$5:$G$289,'Comp2016-2017 (3)'!$A$5:$A$289,$D358,'Comp2016-2017 (3)'!$R$5:$R$289,$V358)*$AB358))</f>
        <v>0</v>
      </c>
      <c r="AF358" s="2">
        <f>IF($W358=AF$3,$AB358,IF(NOT($W358=0),"",SUMIFS('Val-Vol (2)'!AF$4:AF$1116,'Val-Vol (2)'!$A$4:$A$1116,$D358,'Val-Vol (2)'!$V$4:$V$1116,$V358)/SUMIFS('Comp2016-2017 (3)'!$G$5:$G$289,'Comp2016-2017 (3)'!$A$5:$A$289,$D358,'Comp2016-2017 (3)'!$R$5:$R$289,$V358)*$AB358))</f>
        <v>0</v>
      </c>
      <c r="AG358" s="2">
        <f>IF($W358=AG$3,$AB358,IF(NOT($W358=0),"",SUMIFS('Val-Vol (2)'!AG$4:AG$1116,'Val-Vol (2)'!$A$4:$A$1116,$D358,'Val-Vol (2)'!$V$4:$V$1116,$V358)/SUMIFS('Comp2016-2017 (3)'!$G$5:$G$289,'Comp2016-2017 (3)'!$A$5:$A$289,$D358,'Comp2016-2017 (3)'!$R$5:$R$289,$V358)*$AB358))</f>
        <v>0</v>
      </c>
      <c r="AH358" s="2">
        <f>IF($W358=AH$3,$AB358,IF(NOT($W358=0),"",SUMIFS('Val-Vol (2)'!AH$4:AH$1116,'Val-Vol (2)'!$A$4:$A$1116,$D358,'Val-Vol (2)'!$V$4:$V$1116,$V358)/SUMIFS('Comp2016-2017 (3)'!$G$5:$G$289,'Comp2016-2017 (3)'!$A$5:$A$289,$D358,'Comp2016-2017 (3)'!$R$5:$R$289,$V358)*$AB358))</f>
        <v>0</v>
      </c>
      <c r="AI358" s="2">
        <f>IF($W358=AI$3,$AB358,IF(NOT($W358=0),"",SUMIFS('Val-Vol (2)'!AI$4:AI$1116,'Val-Vol (2)'!$A$4:$A$1116,$D358,'Val-Vol (2)'!$V$4:$V$1116,$V358)/SUMIFS('Comp2016-2017 (3)'!$G$5:$G$289,'Comp2016-2017 (3)'!$A$5:$A$289,$D358,'Comp2016-2017 (3)'!$R$5:$R$289,$V358)*$AB358))</f>
        <v>0</v>
      </c>
      <c r="AJ358" s="2">
        <f>IF($W358=AJ$3,$AB358,IF(NOT($W358=0),"",SUMIFS('Val-Vol (2)'!AJ$4:AJ$1116,'Val-Vol (2)'!$A$4:$A$1116,$D358,'Val-Vol (2)'!$V$4:$V$1116,$V358)/SUMIFS('Comp2016-2017 (3)'!$G$5:$G$289,'Comp2016-2017 (3)'!$A$5:$A$289,$D358,'Comp2016-2017 (3)'!$R$5:$R$289,$V358)*$AB358))</f>
        <v>0</v>
      </c>
      <c r="AK358" s="2">
        <f t="shared" si="45"/>
        <v>0</v>
      </c>
      <c r="AL358" t="str">
        <f t="shared" si="40"/>
        <v/>
      </c>
      <c r="AM358" t="str">
        <f>VLOOKUP(A358,'Table corresp.'!$M$4:$U$63,8,FALSE)</f>
        <v>Importation</v>
      </c>
      <c r="AN358" t="str">
        <f>VLOOKUP(D358,'Table corresp.'!$M$4:$U$63,9,FALSE)</f>
        <v>Production intermédiaire</v>
      </c>
    </row>
    <row r="359" spans="1:40" x14ac:dyDescent="0.25">
      <c r="A359" t="s">
        <v>52</v>
      </c>
      <c r="B359" t="str">
        <f>VLOOKUP(LEFT(A359,3),'Table corresp.'!$A$4:$D$63,3,FALSE)</f>
        <v>Importation</v>
      </c>
      <c r="C359" t="str">
        <f>VLOOKUP(A359,'Table corresp.'!$M$4:$P$63,4,FALSE)</f>
        <v>Importation</v>
      </c>
      <c r="D359" t="s">
        <v>89</v>
      </c>
      <c r="E359" t="str">
        <f>VLOOKUP(LEFT(D359,3),'Table corresp.'!$A$4:$D$63,4,FALSE)</f>
        <v>Transformation</v>
      </c>
      <c r="F359" t="str">
        <f t="shared" si="39"/>
        <v xml:space="preserve">Imp - 33 </v>
      </c>
      <c r="G359" s="1">
        <v>0</v>
      </c>
      <c r="H359" s="1">
        <v>82686</v>
      </c>
      <c r="I359" s="1">
        <v>82686</v>
      </c>
      <c r="J359" s="1">
        <v>0</v>
      </c>
      <c r="K359" s="1">
        <v>19.745220449140337</v>
      </c>
      <c r="L359" s="1">
        <v>19.745220449140337</v>
      </c>
      <c r="M359" s="1">
        <v>0</v>
      </c>
      <c r="N359" s="1">
        <v>21.808934526346</v>
      </c>
      <c r="O359" s="1">
        <v>21.808934526346</v>
      </c>
      <c r="P359" s="1">
        <v>0</v>
      </c>
      <c r="Q359" s="1">
        <v>5.8716852433573026</v>
      </c>
      <c r="R359" s="1">
        <v>5.8716852433573026</v>
      </c>
      <c r="S359" s="67" t="s">
        <v>192</v>
      </c>
      <c r="T359">
        <f>VLOOKUP(A359,'Groupe de branches'!$Z$27:$AM$86,14,FALSE)</f>
        <v>0</v>
      </c>
      <c r="U359">
        <f>VLOOKUP(D359,'Groupe de branches'!$Z$27:$AM$86,14,FALSE)</f>
        <v>0</v>
      </c>
      <c r="V359">
        <v>2016</v>
      </c>
      <c r="W359" t="str">
        <f>VLOOKUP(D359,'Table corresp.'!$M$4:$S$63,7,FALSE)</f>
        <v>Construction</v>
      </c>
      <c r="X359" s="167">
        <f>IFERROR(G359/SUMIFS('Comp2016-2017 (3)'!$I$5:$I$289,'Comp2016-2017 (3)'!$A$5:$A$289,A359,'Comp2016-2017 (3)'!$R$5:$R$289,V359),0)</f>
        <v>0</v>
      </c>
      <c r="Y359" s="178">
        <f>IFERROR(IF(RIGHT(F359,3)="Exp",VLOOKUP(F359,#REF!,2,FALSE),VLOOKUP(F359,#REF!,9,FALSE)),0)</f>
        <v>0</v>
      </c>
      <c r="Z359" s="167">
        <f t="shared" si="44"/>
        <v>0</v>
      </c>
      <c r="AA359" s="189">
        <f t="shared" si="41"/>
        <v>0</v>
      </c>
      <c r="AB359" s="2">
        <f>IFERROR(SUMIFS('Comp2016-2017 (3)'!$G$5:$G$289,'Comp2016-2017 (3)'!$A$5:$A$289,A359,'Comp2016-2017 (3)'!$R$5:$R$289,V359)*AA359/SUMIFS($AA$4:$AA$1116,$A$4:$A$1116,A359,$V$4:$V$1116,V359),0)</f>
        <v>0</v>
      </c>
      <c r="AC359" s="2" t="str">
        <f>IF($W359=AC$3,$AB359,IF(NOT($W359=0),"",SUMIFS('Val-Vol (2)'!AC$4:AC$1116,'Val-Vol (2)'!$A$4:$A$1116,$D359,'Val-Vol (2)'!$V$4:$V$1116,$V359)/SUMIFS('Comp2016-2017 (3)'!$G$5:$G$289,'Comp2016-2017 (3)'!$A$5:$A$289,$D359,'Comp2016-2017 (3)'!$R$5:$R$289,$V359)*$AB359))</f>
        <v/>
      </c>
      <c r="AD359" s="2">
        <f>IF($W359=AD$3,$AB359,IF(NOT($W359=0),"",SUMIFS('Val-Vol (2)'!AD$4:AD$1116,'Val-Vol (2)'!$A$4:$A$1116,$D359,'Val-Vol (2)'!$V$4:$V$1116,$V359)/SUMIFS('Comp2016-2017 (3)'!$G$5:$G$289,'Comp2016-2017 (3)'!$A$5:$A$289,$D359,'Comp2016-2017 (3)'!$R$5:$R$289,$V359)*$AB359))</f>
        <v>0</v>
      </c>
      <c r="AE359" s="2" t="str">
        <f>IF($W359=AE$3,$AB359,IF(NOT($W359=0),"",SUMIFS('Val-Vol (2)'!AE$4:AE$1116,'Val-Vol (2)'!$A$4:$A$1116,$D359,'Val-Vol (2)'!$V$4:$V$1116,$V359)/SUMIFS('Comp2016-2017 (3)'!$G$5:$G$289,'Comp2016-2017 (3)'!$A$5:$A$289,$D359,'Comp2016-2017 (3)'!$R$5:$R$289,$V359)*$AB359))</f>
        <v/>
      </c>
      <c r="AF359" s="2" t="str">
        <f>IF($W359=AF$3,$AB359,IF(NOT($W359=0),"",SUMIFS('Val-Vol (2)'!AF$4:AF$1116,'Val-Vol (2)'!$A$4:$A$1116,$D359,'Val-Vol (2)'!$V$4:$V$1116,$V359)/SUMIFS('Comp2016-2017 (3)'!$G$5:$G$289,'Comp2016-2017 (3)'!$A$5:$A$289,$D359,'Comp2016-2017 (3)'!$R$5:$R$289,$V359)*$AB359))</f>
        <v/>
      </c>
      <c r="AG359" s="2" t="str">
        <f>IF($W359=AG$3,$AB359,IF(NOT($W359=0),"",SUMIFS('Val-Vol (2)'!AG$4:AG$1116,'Val-Vol (2)'!$A$4:$A$1116,$D359,'Val-Vol (2)'!$V$4:$V$1116,$V359)/SUMIFS('Comp2016-2017 (3)'!$G$5:$G$289,'Comp2016-2017 (3)'!$A$5:$A$289,$D359,'Comp2016-2017 (3)'!$R$5:$R$289,$V359)*$AB359))</f>
        <v/>
      </c>
      <c r="AH359" s="2" t="str">
        <f>IF($W359=AH$3,$AB359,IF(NOT($W359=0),"",SUMIFS('Val-Vol (2)'!AH$4:AH$1116,'Val-Vol (2)'!$A$4:$A$1116,$D359,'Val-Vol (2)'!$V$4:$V$1116,$V359)/SUMIFS('Comp2016-2017 (3)'!$G$5:$G$289,'Comp2016-2017 (3)'!$A$5:$A$289,$D359,'Comp2016-2017 (3)'!$R$5:$R$289,$V359)*$AB359))</f>
        <v/>
      </c>
      <c r="AI359" s="2" t="str">
        <f>IF($W359=AI$3,$AB359,IF(NOT($W359=0),"",SUMIFS('Val-Vol (2)'!AI$4:AI$1116,'Val-Vol (2)'!$A$4:$A$1116,$D359,'Val-Vol (2)'!$V$4:$V$1116,$V359)/SUMIFS('Comp2016-2017 (3)'!$G$5:$G$289,'Comp2016-2017 (3)'!$A$5:$A$289,$D359,'Comp2016-2017 (3)'!$R$5:$R$289,$V359)*$AB359))</f>
        <v/>
      </c>
      <c r="AJ359" s="2" t="str">
        <f>IF($W359=AJ$3,$AB359,IF(NOT($W359=0),"",SUMIFS('Val-Vol (2)'!AJ$4:AJ$1116,'Val-Vol (2)'!$A$4:$A$1116,$D359,'Val-Vol (2)'!$V$4:$V$1116,$V359)/SUMIFS('Comp2016-2017 (3)'!$G$5:$G$289,'Comp2016-2017 (3)'!$A$5:$A$289,$D359,'Comp2016-2017 (3)'!$R$5:$R$289,$V359)*$AB359))</f>
        <v/>
      </c>
      <c r="AK359" s="2">
        <f t="shared" si="45"/>
        <v>0</v>
      </c>
      <c r="AL359" t="str">
        <f t="shared" si="40"/>
        <v/>
      </c>
      <c r="AM359" t="str">
        <f>VLOOKUP(A359,'Table corresp.'!$M$4:$U$63,8,FALSE)</f>
        <v>Importation</v>
      </c>
      <c r="AN359" t="str">
        <f>VLOOKUP(D359,'Table corresp.'!$M$4:$U$63,9,FALSE)</f>
        <v>Production finale</v>
      </c>
    </row>
    <row r="360" spans="1:40" x14ac:dyDescent="0.25">
      <c r="A360" t="s">
        <v>52</v>
      </c>
      <c r="B360" t="str">
        <f>VLOOKUP(LEFT(A360,3),'Table corresp.'!$A$4:$D$63,3,FALSE)</f>
        <v>Importation</v>
      </c>
      <c r="C360" t="str">
        <f>VLOOKUP(A360,'Table corresp.'!$M$4:$P$63,4,FALSE)</f>
        <v>Importation</v>
      </c>
      <c r="D360" t="s">
        <v>90</v>
      </c>
      <c r="E360" t="str">
        <f>VLOOKUP(LEFT(D360,3),'Table corresp.'!$A$4:$D$63,4,FALSE)</f>
        <v>Transformation</v>
      </c>
      <c r="F360" t="str">
        <f t="shared" si="39"/>
        <v xml:space="preserve">Imp - 34 </v>
      </c>
      <c r="G360" s="1">
        <v>0</v>
      </c>
      <c r="H360" s="1">
        <v>158983.29800000001</v>
      </c>
      <c r="I360" s="1">
        <v>158983.29800000001</v>
      </c>
      <c r="J360" s="1">
        <v>0</v>
      </c>
      <c r="K360" s="1">
        <v>239.43989672497449</v>
      </c>
      <c r="L360" s="1">
        <v>239.43989672497449</v>
      </c>
      <c r="M360" s="1">
        <v>0</v>
      </c>
      <c r="N360" s="1">
        <v>27.651775669364888</v>
      </c>
      <c r="O360" s="1">
        <v>27.651775669364888</v>
      </c>
      <c r="P360" s="1">
        <v>0</v>
      </c>
      <c r="Q360" s="1">
        <v>5.0763456709836365</v>
      </c>
      <c r="R360" s="1">
        <v>5.0763456709836365</v>
      </c>
      <c r="S360" s="67" t="s">
        <v>192</v>
      </c>
      <c r="T360">
        <f>VLOOKUP(A360,'Groupe de branches'!$Z$27:$AM$86,14,FALSE)</f>
        <v>0</v>
      </c>
      <c r="U360">
        <f>VLOOKUP(D360,'Groupe de branches'!$Z$27:$AM$86,14,FALSE)</f>
        <v>0</v>
      </c>
      <c r="V360">
        <v>2016</v>
      </c>
      <c r="W360" t="str">
        <f>VLOOKUP(D360,'Table corresp.'!$M$4:$S$63,7,FALSE)</f>
        <v>Construction</v>
      </c>
      <c r="X360" s="167">
        <f>IFERROR(G360/SUMIFS('Comp2016-2017 (3)'!$I$5:$I$289,'Comp2016-2017 (3)'!$A$5:$A$289,A360,'Comp2016-2017 (3)'!$R$5:$R$289,V360),0)</f>
        <v>0</v>
      </c>
      <c r="Y360" s="178">
        <f>IFERROR(IF(RIGHT(F360,3)="Exp",VLOOKUP(F360,#REF!,2,FALSE),VLOOKUP(F360,#REF!,9,FALSE)),0)</f>
        <v>0</v>
      </c>
      <c r="Z360" s="167">
        <f t="shared" si="44"/>
        <v>0</v>
      </c>
      <c r="AA360" s="189">
        <f t="shared" si="41"/>
        <v>0</v>
      </c>
      <c r="AB360" s="2">
        <f>IFERROR(SUMIFS('Comp2016-2017 (3)'!$G$5:$G$289,'Comp2016-2017 (3)'!$A$5:$A$289,A360,'Comp2016-2017 (3)'!$R$5:$R$289,V360)*AA360/SUMIFS($AA$4:$AA$1116,$A$4:$A$1116,A360,$V$4:$V$1116,V360),0)</f>
        <v>0</v>
      </c>
      <c r="AC360" s="2" t="str">
        <f>IF($W360=AC$3,$AB360,IF(NOT($W360=0),"",SUMIFS('Val-Vol (2)'!AC$4:AC$1116,'Val-Vol (2)'!$A$4:$A$1116,$D360,'Val-Vol (2)'!$V$4:$V$1116,$V360)/SUMIFS('Comp2016-2017 (3)'!$G$5:$G$289,'Comp2016-2017 (3)'!$A$5:$A$289,$D360,'Comp2016-2017 (3)'!$R$5:$R$289,$V360)*$AB360))</f>
        <v/>
      </c>
      <c r="AD360" s="2">
        <f>IF($W360=AD$3,$AB360,IF(NOT($W360=0),"",SUMIFS('Val-Vol (2)'!AD$4:AD$1116,'Val-Vol (2)'!$A$4:$A$1116,$D360,'Val-Vol (2)'!$V$4:$V$1116,$V360)/SUMIFS('Comp2016-2017 (3)'!$G$5:$G$289,'Comp2016-2017 (3)'!$A$5:$A$289,$D360,'Comp2016-2017 (3)'!$R$5:$R$289,$V360)*$AB360))</f>
        <v>0</v>
      </c>
      <c r="AE360" s="2" t="str">
        <f>IF($W360=AE$3,$AB360,IF(NOT($W360=0),"",SUMIFS('Val-Vol (2)'!AE$4:AE$1116,'Val-Vol (2)'!$A$4:$A$1116,$D360,'Val-Vol (2)'!$V$4:$V$1116,$V360)/SUMIFS('Comp2016-2017 (3)'!$G$5:$G$289,'Comp2016-2017 (3)'!$A$5:$A$289,$D360,'Comp2016-2017 (3)'!$R$5:$R$289,$V360)*$AB360))</f>
        <v/>
      </c>
      <c r="AF360" s="2" t="str">
        <f>IF($W360=AF$3,$AB360,IF(NOT($W360=0),"",SUMIFS('Val-Vol (2)'!AF$4:AF$1116,'Val-Vol (2)'!$A$4:$A$1116,$D360,'Val-Vol (2)'!$V$4:$V$1116,$V360)/SUMIFS('Comp2016-2017 (3)'!$G$5:$G$289,'Comp2016-2017 (3)'!$A$5:$A$289,$D360,'Comp2016-2017 (3)'!$R$5:$R$289,$V360)*$AB360))</f>
        <v/>
      </c>
      <c r="AG360" s="2" t="str">
        <f>IF($W360=AG$3,$AB360,IF(NOT($W360=0),"",SUMIFS('Val-Vol (2)'!AG$4:AG$1116,'Val-Vol (2)'!$A$4:$A$1116,$D360,'Val-Vol (2)'!$V$4:$V$1116,$V360)/SUMIFS('Comp2016-2017 (3)'!$G$5:$G$289,'Comp2016-2017 (3)'!$A$5:$A$289,$D360,'Comp2016-2017 (3)'!$R$5:$R$289,$V360)*$AB360))</f>
        <v/>
      </c>
      <c r="AH360" s="2" t="str">
        <f>IF($W360=AH$3,$AB360,IF(NOT($W360=0),"",SUMIFS('Val-Vol (2)'!AH$4:AH$1116,'Val-Vol (2)'!$A$4:$A$1116,$D360,'Val-Vol (2)'!$V$4:$V$1116,$V360)/SUMIFS('Comp2016-2017 (3)'!$G$5:$G$289,'Comp2016-2017 (3)'!$A$5:$A$289,$D360,'Comp2016-2017 (3)'!$R$5:$R$289,$V360)*$AB360))</f>
        <v/>
      </c>
      <c r="AI360" s="2" t="str">
        <f>IF($W360=AI$3,$AB360,IF(NOT($W360=0),"",SUMIFS('Val-Vol (2)'!AI$4:AI$1116,'Val-Vol (2)'!$A$4:$A$1116,$D360,'Val-Vol (2)'!$V$4:$V$1116,$V360)/SUMIFS('Comp2016-2017 (3)'!$G$5:$G$289,'Comp2016-2017 (3)'!$A$5:$A$289,$D360,'Comp2016-2017 (3)'!$R$5:$R$289,$V360)*$AB360))</f>
        <v/>
      </c>
      <c r="AJ360" s="2" t="str">
        <f>IF($W360=AJ$3,$AB360,IF(NOT($W360=0),"",SUMIFS('Val-Vol (2)'!AJ$4:AJ$1116,'Val-Vol (2)'!$A$4:$A$1116,$D360,'Val-Vol (2)'!$V$4:$V$1116,$V360)/SUMIFS('Comp2016-2017 (3)'!$G$5:$G$289,'Comp2016-2017 (3)'!$A$5:$A$289,$D360,'Comp2016-2017 (3)'!$R$5:$R$289,$V360)*$AB360))</f>
        <v/>
      </c>
      <c r="AK360" s="2">
        <f t="shared" si="45"/>
        <v>0</v>
      </c>
      <c r="AL360" t="str">
        <f t="shared" si="40"/>
        <v/>
      </c>
      <c r="AM360" t="str">
        <f>VLOOKUP(A360,'Table corresp.'!$M$4:$U$63,8,FALSE)</f>
        <v>Importation</v>
      </c>
      <c r="AN360" t="str">
        <f>VLOOKUP(D360,'Table corresp.'!$M$4:$U$63,9,FALSE)</f>
        <v>Production finale</v>
      </c>
    </row>
    <row r="361" spans="1:40" x14ac:dyDescent="0.25">
      <c r="A361" t="s">
        <v>52</v>
      </c>
      <c r="B361" t="str">
        <f>VLOOKUP(LEFT(A361,3),'Table corresp.'!$A$4:$D$63,3,FALSE)</f>
        <v>Importation</v>
      </c>
      <c r="C361" t="str">
        <f>VLOOKUP(A361,'Table corresp.'!$M$4:$P$63,4,FALSE)</f>
        <v>Importation</v>
      </c>
      <c r="D361" t="s">
        <v>15</v>
      </c>
      <c r="E361" t="str">
        <f>VLOOKUP(LEFT(D361,3),'Table corresp.'!$A$4:$D$63,4,FALSE)</f>
        <v>Transformation</v>
      </c>
      <c r="F361" t="str">
        <f t="shared" si="39"/>
        <v xml:space="preserve">Imp - 35 </v>
      </c>
      <c r="G361" s="1">
        <v>0</v>
      </c>
      <c r="H361" s="1">
        <v>72241.137000000002</v>
      </c>
      <c r="I361" s="1">
        <v>72241.137000000002</v>
      </c>
      <c r="J361" s="1">
        <v>0</v>
      </c>
      <c r="K361" s="1">
        <v>78.685215321272224</v>
      </c>
      <c r="L361" s="1">
        <v>78.685215321272224</v>
      </c>
      <c r="M361" s="1">
        <v>0</v>
      </c>
      <c r="N361" s="1">
        <v>4.2237663372090131</v>
      </c>
      <c r="O361" s="1">
        <v>4.2237663372090131</v>
      </c>
      <c r="P361" s="1">
        <v>0</v>
      </c>
      <c r="Q361" s="1">
        <v>1.6650596654335057</v>
      </c>
      <c r="R361" s="1">
        <v>1.6650596654335057</v>
      </c>
      <c r="S361" s="67" t="s">
        <v>192</v>
      </c>
      <c r="T361">
        <f>VLOOKUP(A361,'Groupe de branches'!$Z$27:$AM$86,14,FALSE)</f>
        <v>0</v>
      </c>
      <c r="U361">
        <f>VLOOKUP(D361,'Groupe de branches'!$Z$27:$AM$86,14,FALSE)</f>
        <v>0</v>
      </c>
      <c r="V361">
        <v>2016</v>
      </c>
      <c r="W361" t="str">
        <f>VLOOKUP(D361,'Table corresp.'!$M$4:$S$63,7,FALSE)</f>
        <v>Construction</v>
      </c>
      <c r="X361" s="167">
        <f>IFERROR(G361/SUMIFS('Comp2016-2017 (3)'!$I$5:$I$289,'Comp2016-2017 (3)'!$A$5:$A$289,A361,'Comp2016-2017 (3)'!$R$5:$R$289,V361),0)</f>
        <v>0</v>
      </c>
      <c r="Y361" s="178">
        <f>IFERROR(IF(RIGHT(F361,3)="Exp",VLOOKUP(F361,#REF!,2,FALSE),VLOOKUP(F361,#REF!,9,FALSE)),0)</f>
        <v>0</v>
      </c>
      <c r="Z361" s="167">
        <f t="shared" si="44"/>
        <v>0</v>
      </c>
      <c r="AA361" s="189">
        <f t="shared" si="41"/>
        <v>0</v>
      </c>
      <c r="AB361" s="2">
        <f>IFERROR(SUMIFS('Comp2016-2017 (3)'!$G$5:$G$289,'Comp2016-2017 (3)'!$A$5:$A$289,A361,'Comp2016-2017 (3)'!$R$5:$R$289,V361)*AA361/SUMIFS($AA$4:$AA$1116,$A$4:$A$1116,A361,$V$4:$V$1116,V361),0)</f>
        <v>0</v>
      </c>
      <c r="AC361" s="2" t="str">
        <f>IF($W361=AC$3,$AB361,IF(NOT($W361=0),"",SUMIFS('Val-Vol (2)'!AC$4:AC$1116,'Val-Vol (2)'!$A$4:$A$1116,$D361,'Val-Vol (2)'!$V$4:$V$1116,$V361)/SUMIFS('Comp2016-2017 (3)'!$G$5:$G$289,'Comp2016-2017 (3)'!$A$5:$A$289,$D361,'Comp2016-2017 (3)'!$R$5:$R$289,$V361)*$AB361))</f>
        <v/>
      </c>
      <c r="AD361" s="2">
        <f>IF($W361=AD$3,$AB361,IF(NOT($W361=0),"",SUMIFS('Val-Vol (2)'!AD$4:AD$1116,'Val-Vol (2)'!$A$4:$A$1116,$D361,'Val-Vol (2)'!$V$4:$V$1116,$V361)/SUMIFS('Comp2016-2017 (3)'!$G$5:$G$289,'Comp2016-2017 (3)'!$A$5:$A$289,$D361,'Comp2016-2017 (3)'!$R$5:$R$289,$V361)*$AB361))</f>
        <v>0</v>
      </c>
      <c r="AE361" s="2" t="str">
        <f>IF($W361=AE$3,$AB361,IF(NOT($W361=0),"",SUMIFS('Val-Vol (2)'!AE$4:AE$1116,'Val-Vol (2)'!$A$4:$A$1116,$D361,'Val-Vol (2)'!$V$4:$V$1116,$V361)/SUMIFS('Comp2016-2017 (3)'!$G$5:$G$289,'Comp2016-2017 (3)'!$A$5:$A$289,$D361,'Comp2016-2017 (3)'!$R$5:$R$289,$V361)*$AB361))</f>
        <v/>
      </c>
      <c r="AF361" s="2" t="str">
        <f>IF($W361=AF$3,$AB361,IF(NOT($W361=0),"",SUMIFS('Val-Vol (2)'!AF$4:AF$1116,'Val-Vol (2)'!$A$4:$A$1116,$D361,'Val-Vol (2)'!$V$4:$V$1116,$V361)/SUMIFS('Comp2016-2017 (3)'!$G$5:$G$289,'Comp2016-2017 (3)'!$A$5:$A$289,$D361,'Comp2016-2017 (3)'!$R$5:$R$289,$V361)*$AB361))</f>
        <v/>
      </c>
      <c r="AG361" s="2" t="str">
        <f>IF($W361=AG$3,$AB361,IF(NOT($W361=0),"",SUMIFS('Val-Vol (2)'!AG$4:AG$1116,'Val-Vol (2)'!$A$4:$A$1116,$D361,'Val-Vol (2)'!$V$4:$V$1116,$V361)/SUMIFS('Comp2016-2017 (3)'!$G$5:$G$289,'Comp2016-2017 (3)'!$A$5:$A$289,$D361,'Comp2016-2017 (3)'!$R$5:$R$289,$V361)*$AB361))</f>
        <v/>
      </c>
      <c r="AH361" s="2" t="str">
        <f>IF($W361=AH$3,$AB361,IF(NOT($W361=0),"",SUMIFS('Val-Vol (2)'!AH$4:AH$1116,'Val-Vol (2)'!$A$4:$A$1116,$D361,'Val-Vol (2)'!$V$4:$V$1116,$V361)/SUMIFS('Comp2016-2017 (3)'!$G$5:$G$289,'Comp2016-2017 (3)'!$A$5:$A$289,$D361,'Comp2016-2017 (3)'!$R$5:$R$289,$V361)*$AB361))</f>
        <v/>
      </c>
      <c r="AI361" s="2" t="str">
        <f>IF($W361=AI$3,$AB361,IF(NOT($W361=0),"",SUMIFS('Val-Vol (2)'!AI$4:AI$1116,'Val-Vol (2)'!$A$4:$A$1116,$D361,'Val-Vol (2)'!$V$4:$V$1116,$V361)/SUMIFS('Comp2016-2017 (3)'!$G$5:$G$289,'Comp2016-2017 (3)'!$A$5:$A$289,$D361,'Comp2016-2017 (3)'!$R$5:$R$289,$V361)*$AB361))</f>
        <v/>
      </c>
      <c r="AJ361" s="2" t="str">
        <f>IF($W361=AJ$3,$AB361,IF(NOT($W361=0),"",SUMIFS('Val-Vol (2)'!AJ$4:AJ$1116,'Val-Vol (2)'!$A$4:$A$1116,$D361,'Val-Vol (2)'!$V$4:$V$1116,$V361)/SUMIFS('Comp2016-2017 (3)'!$G$5:$G$289,'Comp2016-2017 (3)'!$A$5:$A$289,$D361,'Comp2016-2017 (3)'!$R$5:$R$289,$V361)*$AB361))</f>
        <v/>
      </c>
      <c r="AK361" s="2">
        <f t="shared" si="45"/>
        <v>0</v>
      </c>
      <c r="AL361" t="str">
        <f t="shared" si="40"/>
        <v/>
      </c>
      <c r="AM361" t="str">
        <f>VLOOKUP(A361,'Table corresp.'!$M$4:$U$63,8,FALSE)</f>
        <v>Importation</v>
      </c>
      <c r="AN361" t="str">
        <f>VLOOKUP(D361,'Table corresp.'!$M$4:$U$63,9,FALSE)</f>
        <v>Production finale</v>
      </c>
    </row>
    <row r="362" spans="1:40" x14ac:dyDescent="0.25">
      <c r="A362" t="s">
        <v>52</v>
      </c>
      <c r="B362" t="str">
        <f>VLOOKUP(LEFT(A362,3),'Table corresp.'!$A$4:$D$63,3,FALSE)</f>
        <v>Importation</v>
      </c>
      <c r="C362" t="str">
        <f>VLOOKUP(A362,'Table corresp.'!$M$4:$P$63,4,FALSE)</f>
        <v>Importation</v>
      </c>
      <c r="D362" t="s">
        <v>16</v>
      </c>
      <c r="E362" t="str">
        <f>VLOOKUP(LEFT(D362,3),'Table corresp.'!$A$4:$D$63,4,FALSE)</f>
        <v>Transformation</v>
      </c>
      <c r="F362" t="str">
        <f t="shared" si="39"/>
        <v xml:space="preserve">Imp - 36 </v>
      </c>
      <c r="G362" s="1">
        <v>0</v>
      </c>
      <c r="H362" s="1">
        <v>130177</v>
      </c>
      <c r="I362" s="1">
        <v>130177</v>
      </c>
      <c r="J362" s="1">
        <v>0</v>
      </c>
      <c r="K362" s="1">
        <v>68.841809945295751</v>
      </c>
      <c r="L362" s="1">
        <v>68.841809945295751</v>
      </c>
      <c r="M362" s="1">
        <v>0</v>
      </c>
      <c r="N362" s="1">
        <v>45.776853135993321</v>
      </c>
      <c r="O362" s="1">
        <v>45.776853135993321</v>
      </c>
      <c r="P362" s="1">
        <v>0</v>
      </c>
      <c r="Q362" s="1">
        <v>19.464634713457396</v>
      </c>
      <c r="R362" s="1">
        <v>19.464634713457396</v>
      </c>
      <c r="S362" s="67" t="s">
        <v>192</v>
      </c>
      <c r="T362">
        <f>VLOOKUP(A362,'Groupe de branches'!$Z$27:$AM$86,14,FALSE)</f>
        <v>0</v>
      </c>
      <c r="U362">
        <f>VLOOKUP(D362,'Groupe de branches'!$Z$27:$AM$86,14,FALSE)</f>
        <v>0</v>
      </c>
      <c r="V362">
        <v>2016</v>
      </c>
      <c r="W362" t="str">
        <f>VLOOKUP(D362,'Table corresp.'!$M$4:$S$63,7,FALSE)</f>
        <v>Construction</v>
      </c>
      <c r="X362" s="167">
        <f>IFERROR(G362/SUMIFS('Comp2016-2017 (3)'!$I$5:$I$289,'Comp2016-2017 (3)'!$A$5:$A$289,A362,'Comp2016-2017 (3)'!$R$5:$R$289,V362),0)</f>
        <v>0</v>
      </c>
      <c r="Y362" s="178">
        <f>IFERROR(IF(RIGHT(F362,3)="Exp",VLOOKUP(F362,#REF!,2,FALSE),VLOOKUP(F362,#REF!,9,FALSE)),0)</f>
        <v>0</v>
      </c>
      <c r="Z362" s="167">
        <f t="shared" si="44"/>
        <v>0</v>
      </c>
      <c r="AA362" s="189">
        <f t="shared" si="41"/>
        <v>0</v>
      </c>
      <c r="AB362" s="2">
        <f>IFERROR(SUMIFS('Comp2016-2017 (3)'!$G$5:$G$289,'Comp2016-2017 (3)'!$A$5:$A$289,A362,'Comp2016-2017 (3)'!$R$5:$R$289,V362)*AA362/SUMIFS($AA$4:$AA$1116,$A$4:$A$1116,A362,$V$4:$V$1116,V362),0)</f>
        <v>0</v>
      </c>
      <c r="AC362" s="2" t="str">
        <f>IF($W362=AC$3,$AB362,IF(NOT($W362=0),"",SUMIFS('Val-Vol (2)'!AC$4:AC$1116,'Val-Vol (2)'!$A$4:$A$1116,$D362,'Val-Vol (2)'!$V$4:$V$1116,$V362)/SUMIFS('Comp2016-2017 (3)'!$G$5:$G$289,'Comp2016-2017 (3)'!$A$5:$A$289,$D362,'Comp2016-2017 (3)'!$R$5:$R$289,$V362)*$AB362))</f>
        <v/>
      </c>
      <c r="AD362" s="2">
        <f>IF($W362=AD$3,$AB362,IF(NOT($W362=0),"",SUMIFS('Val-Vol (2)'!AD$4:AD$1116,'Val-Vol (2)'!$A$4:$A$1116,$D362,'Val-Vol (2)'!$V$4:$V$1116,$V362)/SUMIFS('Comp2016-2017 (3)'!$G$5:$G$289,'Comp2016-2017 (3)'!$A$5:$A$289,$D362,'Comp2016-2017 (3)'!$R$5:$R$289,$V362)*$AB362))</f>
        <v>0</v>
      </c>
      <c r="AE362" s="2" t="str">
        <f>IF($W362=AE$3,$AB362,IF(NOT($W362=0),"",SUMIFS('Val-Vol (2)'!AE$4:AE$1116,'Val-Vol (2)'!$A$4:$A$1116,$D362,'Val-Vol (2)'!$V$4:$V$1116,$V362)/SUMIFS('Comp2016-2017 (3)'!$G$5:$G$289,'Comp2016-2017 (3)'!$A$5:$A$289,$D362,'Comp2016-2017 (3)'!$R$5:$R$289,$V362)*$AB362))</f>
        <v/>
      </c>
      <c r="AF362" s="2" t="str">
        <f>IF($W362=AF$3,$AB362,IF(NOT($W362=0),"",SUMIFS('Val-Vol (2)'!AF$4:AF$1116,'Val-Vol (2)'!$A$4:$A$1116,$D362,'Val-Vol (2)'!$V$4:$V$1116,$V362)/SUMIFS('Comp2016-2017 (3)'!$G$5:$G$289,'Comp2016-2017 (3)'!$A$5:$A$289,$D362,'Comp2016-2017 (3)'!$R$5:$R$289,$V362)*$AB362))</f>
        <v/>
      </c>
      <c r="AG362" s="2" t="str">
        <f>IF($W362=AG$3,$AB362,IF(NOT($W362=0),"",SUMIFS('Val-Vol (2)'!AG$4:AG$1116,'Val-Vol (2)'!$A$4:$A$1116,$D362,'Val-Vol (2)'!$V$4:$V$1116,$V362)/SUMIFS('Comp2016-2017 (3)'!$G$5:$G$289,'Comp2016-2017 (3)'!$A$5:$A$289,$D362,'Comp2016-2017 (3)'!$R$5:$R$289,$V362)*$AB362))</f>
        <v/>
      </c>
      <c r="AH362" s="2" t="str">
        <f>IF($W362=AH$3,$AB362,IF(NOT($W362=0),"",SUMIFS('Val-Vol (2)'!AH$4:AH$1116,'Val-Vol (2)'!$A$4:$A$1116,$D362,'Val-Vol (2)'!$V$4:$V$1116,$V362)/SUMIFS('Comp2016-2017 (3)'!$G$5:$G$289,'Comp2016-2017 (3)'!$A$5:$A$289,$D362,'Comp2016-2017 (3)'!$R$5:$R$289,$V362)*$AB362))</f>
        <v/>
      </c>
      <c r="AI362" s="2" t="str">
        <f>IF($W362=AI$3,$AB362,IF(NOT($W362=0),"",SUMIFS('Val-Vol (2)'!AI$4:AI$1116,'Val-Vol (2)'!$A$4:$A$1116,$D362,'Val-Vol (2)'!$V$4:$V$1116,$V362)/SUMIFS('Comp2016-2017 (3)'!$G$5:$G$289,'Comp2016-2017 (3)'!$A$5:$A$289,$D362,'Comp2016-2017 (3)'!$R$5:$R$289,$V362)*$AB362))</f>
        <v/>
      </c>
      <c r="AJ362" s="2" t="str">
        <f>IF($W362=AJ$3,$AB362,IF(NOT($W362=0),"",SUMIFS('Val-Vol (2)'!AJ$4:AJ$1116,'Val-Vol (2)'!$A$4:$A$1116,$D362,'Val-Vol (2)'!$V$4:$V$1116,$V362)/SUMIFS('Comp2016-2017 (3)'!$G$5:$G$289,'Comp2016-2017 (3)'!$A$5:$A$289,$D362,'Comp2016-2017 (3)'!$R$5:$R$289,$V362)*$AB362))</f>
        <v/>
      </c>
      <c r="AK362" s="2">
        <f t="shared" si="45"/>
        <v>0</v>
      </c>
      <c r="AL362" t="str">
        <f t="shared" si="40"/>
        <v/>
      </c>
      <c r="AM362" t="str">
        <f>VLOOKUP(A362,'Table corresp.'!$M$4:$U$63,8,FALSE)</f>
        <v>Importation</v>
      </c>
      <c r="AN362" t="str">
        <f>VLOOKUP(D362,'Table corresp.'!$M$4:$U$63,9,FALSE)</f>
        <v>Production finale</v>
      </c>
    </row>
    <row r="363" spans="1:40" x14ac:dyDescent="0.25">
      <c r="A363" t="s">
        <v>52</v>
      </c>
      <c r="B363" t="str">
        <f>VLOOKUP(LEFT(A363,3),'Table corresp.'!$A$4:$D$63,3,FALSE)</f>
        <v>Importation</v>
      </c>
      <c r="C363" t="str">
        <f>VLOOKUP(A363,'Table corresp.'!$M$4:$P$63,4,FALSE)</f>
        <v>Importation</v>
      </c>
      <c r="D363" t="s">
        <v>91</v>
      </c>
      <c r="E363" t="str">
        <f>VLOOKUP(LEFT(D363,3),'Table corresp.'!$A$4:$D$63,4,FALSE)</f>
        <v>Transformation</v>
      </c>
      <c r="F363" t="str">
        <f t="shared" si="39"/>
        <v xml:space="preserve">Imp - 37 </v>
      </c>
      <c r="G363" s="1">
        <v>0</v>
      </c>
      <c r="H363" s="1">
        <v>206876.057</v>
      </c>
      <c r="I363" s="1">
        <v>206876.057</v>
      </c>
      <c r="J363" s="1">
        <v>0</v>
      </c>
      <c r="K363" s="1">
        <v>1009.0948756473264</v>
      </c>
      <c r="L363" s="1">
        <v>1009.0948756473264</v>
      </c>
      <c r="M363" s="1">
        <v>0</v>
      </c>
      <c r="N363" s="1">
        <v>90.38507057684059</v>
      </c>
      <c r="O363" s="1">
        <v>90.38507057684059</v>
      </c>
      <c r="P363" s="1">
        <v>0</v>
      </c>
      <c r="Q363" s="1">
        <v>4.7030094615587364E-4</v>
      </c>
      <c r="R363" s="1">
        <v>4.7030094615587364E-4</v>
      </c>
      <c r="S363" s="67"/>
      <c r="T363">
        <f>VLOOKUP(A363,'Groupe de branches'!$Z$27:$AM$86,14,FALSE)</f>
        <v>0</v>
      </c>
      <c r="U363">
        <f>VLOOKUP(D363,'Groupe de branches'!$Z$27:$AM$86,14,FALSE)</f>
        <v>0</v>
      </c>
      <c r="V363">
        <v>2016</v>
      </c>
      <c r="W363" t="str">
        <f>VLOOKUP(D363,'Table corresp.'!$M$4:$S$63,7,FALSE)</f>
        <v>Emballage bois et carton</v>
      </c>
      <c r="X363" s="167">
        <f>IFERROR(G363/SUMIFS('Comp2016-2017 (3)'!$I$5:$I$289,'Comp2016-2017 (3)'!$A$5:$A$289,A363,'Comp2016-2017 (3)'!$R$5:$R$289,V363),0)</f>
        <v>0</v>
      </c>
      <c r="Y363" s="178">
        <f>IFERROR(IF(RIGHT(F363,3)="Exp",VLOOKUP(F363,#REF!,2,FALSE),VLOOKUP(F363,#REF!,9,FALSE)),0)</f>
        <v>0</v>
      </c>
      <c r="Z363" s="167">
        <f t="shared" si="44"/>
        <v>0</v>
      </c>
      <c r="AA363" s="189">
        <f t="shared" si="41"/>
        <v>0</v>
      </c>
      <c r="AB363" s="2">
        <f>IFERROR(SUMIFS('Comp2016-2017 (3)'!$G$5:$G$289,'Comp2016-2017 (3)'!$A$5:$A$289,A363,'Comp2016-2017 (3)'!$R$5:$R$289,V363)*AA363/SUMIFS($AA$4:$AA$1116,$A$4:$A$1116,A363,$V$4:$V$1116,V363),0)</f>
        <v>0</v>
      </c>
      <c r="AC363" s="2" t="str">
        <f>IF($W363=AC$3,$AB363,IF(NOT($W363=0),"",SUMIFS('Val-Vol (2)'!AC$4:AC$1116,'Val-Vol (2)'!$A$4:$A$1116,$D363,'Val-Vol (2)'!$V$4:$V$1116,$V363)/SUMIFS('Comp2016-2017 (3)'!$G$5:$G$289,'Comp2016-2017 (3)'!$A$5:$A$289,$D363,'Comp2016-2017 (3)'!$R$5:$R$289,$V363)*$AB363))</f>
        <v/>
      </c>
      <c r="AD363" s="2" t="str">
        <f>IF($W363=AD$3,$AB363,IF(NOT($W363=0),"",SUMIFS('Val-Vol (2)'!AD$4:AD$1116,'Val-Vol (2)'!$A$4:$A$1116,$D363,'Val-Vol (2)'!$V$4:$V$1116,$V363)/SUMIFS('Comp2016-2017 (3)'!$G$5:$G$289,'Comp2016-2017 (3)'!$A$5:$A$289,$D363,'Comp2016-2017 (3)'!$R$5:$R$289,$V363)*$AB363))</f>
        <v/>
      </c>
      <c r="AE363" s="2" t="str">
        <f>IF($W363=AE$3,$AB363,IF(NOT($W363=0),"",SUMIFS('Val-Vol (2)'!AE$4:AE$1116,'Val-Vol (2)'!$A$4:$A$1116,$D363,'Val-Vol (2)'!$V$4:$V$1116,$V363)/SUMIFS('Comp2016-2017 (3)'!$G$5:$G$289,'Comp2016-2017 (3)'!$A$5:$A$289,$D363,'Comp2016-2017 (3)'!$R$5:$R$289,$V363)*$AB363))</f>
        <v/>
      </c>
      <c r="AF363" s="2" t="str">
        <f>IF($W363=AF$3,$AB363,IF(NOT($W363=0),"",SUMIFS('Val-Vol (2)'!AF$4:AF$1116,'Val-Vol (2)'!$A$4:$A$1116,$D363,'Val-Vol (2)'!$V$4:$V$1116,$V363)/SUMIFS('Comp2016-2017 (3)'!$G$5:$G$289,'Comp2016-2017 (3)'!$A$5:$A$289,$D363,'Comp2016-2017 (3)'!$R$5:$R$289,$V363)*$AB363))</f>
        <v/>
      </c>
      <c r="AG363" s="2">
        <f>IF($W363=AG$3,$AB363,IF(NOT($W363=0),"",SUMIFS('Val-Vol (2)'!AG$4:AG$1116,'Val-Vol (2)'!$A$4:$A$1116,$D363,'Val-Vol (2)'!$V$4:$V$1116,$V363)/SUMIFS('Comp2016-2017 (3)'!$G$5:$G$289,'Comp2016-2017 (3)'!$A$5:$A$289,$D363,'Comp2016-2017 (3)'!$R$5:$R$289,$V363)*$AB363))</f>
        <v>0</v>
      </c>
      <c r="AH363" s="2" t="str">
        <f>IF($W363=AH$3,$AB363,IF(NOT($W363=0),"",SUMIFS('Val-Vol (2)'!AH$4:AH$1116,'Val-Vol (2)'!$A$4:$A$1116,$D363,'Val-Vol (2)'!$V$4:$V$1116,$V363)/SUMIFS('Comp2016-2017 (3)'!$G$5:$G$289,'Comp2016-2017 (3)'!$A$5:$A$289,$D363,'Comp2016-2017 (3)'!$R$5:$R$289,$V363)*$AB363))</f>
        <v/>
      </c>
      <c r="AI363" s="2" t="str">
        <f>IF($W363=AI$3,$AB363,IF(NOT($W363=0),"",SUMIFS('Val-Vol (2)'!AI$4:AI$1116,'Val-Vol (2)'!$A$4:$A$1116,$D363,'Val-Vol (2)'!$V$4:$V$1116,$V363)/SUMIFS('Comp2016-2017 (3)'!$G$5:$G$289,'Comp2016-2017 (3)'!$A$5:$A$289,$D363,'Comp2016-2017 (3)'!$R$5:$R$289,$V363)*$AB363))</f>
        <v/>
      </c>
      <c r="AJ363" s="2" t="str">
        <f>IF($W363=AJ$3,$AB363,IF(NOT($W363=0),"",SUMIFS('Val-Vol (2)'!AJ$4:AJ$1116,'Val-Vol (2)'!$A$4:$A$1116,$D363,'Val-Vol (2)'!$V$4:$V$1116,$V363)/SUMIFS('Comp2016-2017 (3)'!$G$5:$G$289,'Comp2016-2017 (3)'!$A$5:$A$289,$D363,'Comp2016-2017 (3)'!$R$5:$R$289,$V363)*$AB363))</f>
        <v/>
      </c>
      <c r="AK363" s="2">
        <f t="shared" si="45"/>
        <v>0</v>
      </c>
      <c r="AL363" t="str">
        <f t="shared" si="40"/>
        <v/>
      </c>
      <c r="AM363" t="str">
        <f>VLOOKUP(A363,'Table corresp.'!$M$4:$U$63,8,FALSE)</f>
        <v>Importation</v>
      </c>
      <c r="AN363" t="str">
        <f>VLOOKUP(D363,'Table corresp.'!$M$4:$U$63,9,FALSE)</f>
        <v>Production finale</v>
      </c>
    </row>
    <row r="364" spans="1:40" x14ac:dyDescent="0.25">
      <c r="A364" t="s">
        <v>52</v>
      </c>
      <c r="B364" t="str">
        <f>VLOOKUP(LEFT(A364,3),'Table corresp.'!$A$4:$D$63,3,FALSE)</f>
        <v>Importation</v>
      </c>
      <c r="C364" t="str">
        <f>VLOOKUP(A364,'Table corresp.'!$M$4:$P$63,4,FALSE)</f>
        <v>Importation</v>
      </c>
      <c r="D364" t="s">
        <v>17</v>
      </c>
      <c r="E364" t="str">
        <f>VLOOKUP(LEFT(D364,3),'Table corresp.'!$A$4:$D$63,4,FALSE)</f>
        <v>Transformation</v>
      </c>
      <c r="F364" t="str">
        <f t="shared" si="39"/>
        <v xml:space="preserve">Imp - 38 </v>
      </c>
      <c r="G364" s="1">
        <v>0</v>
      </c>
      <c r="H364" s="1">
        <v>34990</v>
      </c>
      <c r="I364" s="1">
        <v>34990</v>
      </c>
      <c r="J364" s="1">
        <v>0</v>
      </c>
      <c r="K364" s="1">
        <v>40.368623280939495</v>
      </c>
      <c r="L364" s="1">
        <v>40.368623280939495</v>
      </c>
      <c r="M364" s="1">
        <v>0</v>
      </c>
      <c r="N364" s="1">
        <v>0</v>
      </c>
      <c r="O364" s="1">
        <v>0</v>
      </c>
      <c r="P364" s="1">
        <v>0</v>
      </c>
      <c r="Q364" s="1">
        <v>0</v>
      </c>
      <c r="R364" s="1">
        <v>0</v>
      </c>
      <c r="S364" s="67"/>
      <c r="T364">
        <f>VLOOKUP(A364,'Groupe de branches'!$Z$27:$AM$86,14,FALSE)</f>
        <v>0</v>
      </c>
      <c r="U364">
        <f>VLOOKUP(D364,'Groupe de branches'!$Z$27:$AM$86,14,FALSE)</f>
        <v>0</v>
      </c>
      <c r="V364">
        <v>2016</v>
      </c>
      <c r="W364" t="str">
        <f>VLOOKUP(D364,'Table corresp.'!$M$4:$S$63,7,FALSE)</f>
        <v>Emballage bois et carton</v>
      </c>
      <c r="X364" s="167">
        <f>IFERROR(G364/SUMIFS('Comp2016-2017 (3)'!$I$5:$I$289,'Comp2016-2017 (3)'!$A$5:$A$289,A364,'Comp2016-2017 (3)'!$R$5:$R$289,V364),0)</f>
        <v>0</v>
      </c>
      <c r="Y364" s="178">
        <f>IFERROR(IF(RIGHT(F364,3)="Exp",VLOOKUP(F364,#REF!,2,FALSE),VLOOKUP(F364,#REF!,9,FALSE)),0)</f>
        <v>0</v>
      </c>
      <c r="Z364" s="167">
        <f t="shared" si="44"/>
        <v>0</v>
      </c>
      <c r="AA364" s="189">
        <f t="shared" si="41"/>
        <v>0</v>
      </c>
      <c r="AB364" s="2">
        <f>IFERROR(SUMIFS('Comp2016-2017 (3)'!$G$5:$G$289,'Comp2016-2017 (3)'!$A$5:$A$289,A364,'Comp2016-2017 (3)'!$R$5:$R$289,V364)*AA364/SUMIFS($AA$4:$AA$1116,$A$4:$A$1116,A364,$V$4:$V$1116,V364),0)</f>
        <v>0</v>
      </c>
      <c r="AC364" s="2" t="str">
        <f>IF($W364=AC$3,$AB364,IF(NOT($W364=0),"",SUMIFS('Val-Vol (2)'!AC$4:AC$1116,'Val-Vol (2)'!$A$4:$A$1116,$D364,'Val-Vol (2)'!$V$4:$V$1116,$V364)/SUMIFS('Comp2016-2017 (3)'!$G$5:$G$289,'Comp2016-2017 (3)'!$A$5:$A$289,$D364,'Comp2016-2017 (3)'!$R$5:$R$289,$V364)*$AB364))</f>
        <v/>
      </c>
      <c r="AD364" s="2" t="str">
        <f>IF($W364=AD$3,$AB364,IF(NOT($W364=0),"",SUMIFS('Val-Vol (2)'!AD$4:AD$1116,'Val-Vol (2)'!$A$4:$A$1116,$D364,'Val-Vol (2)'!$V$4:$V$1116,$V364)/SUMIFS('Comp2016-2017 (3)'!$G$5:$G$289,'Comp2016-2017 (3)'!$A$5:$A$289,$D364,'Comp2016-2017 (3)'!$R$5:$R$289,$V364)*$AB364))</f>
        <v/>
      </c>
      <c r="AE364" s="2" t="str">
        <f>IF($W364=AE$3,$AB364,IF(NOT($W364=0),"",SUMIFS('Val-Vol (2)'!AE$4:AE$1116,'Val-Vol (2)'!$A$4:$A$1116,$D364,'Val-Vol (2)'!$V$4:$V$1116,$V364)/SUMIFS('Comp2016-2017 (3)'!$G$5:$G$289,'Comp2016-2017 (3)'!$A$5:$A$289,$D364,'Comp2016-2017 (3)'!$R$5:$R$289,$V364)*$AB364))</f>
        <v/>
      </c>
      <c r="AF364" s="2" t="str">
        <f>IF($W364=AF$3,$AB364,IF(NOT($W364=0),"",SUMIFS('Val-Vol (2)'!AF$4:AF$1116,'Val-Vol (2)'!$A$4:$A$1116,$D364,'Val-Vol (2)'!$V$4:$V$1116,$V364)/SUMIFS('Comp2016-2017 (3)'!$G$5:$G$289,'Comp2016-2017 (3)'!$A$5:$A$289,$D364,'Comp2016-2017 (3)'!$R$5:$R$289,$V364)*$AB364))</f>
        <v/>
      </c>
      <c r="AG364" s="2">
        <f>IF($W364=AG$3,$AB364,IF(NOT($W364=0),"",SUMIFS('Val-Vol (2)'!AG$4:AG$1116,'Val-Vol (2)'!$A$4:$A$1116,$D364,'Val-Vol (2)'!$V$4:$V$1116,$V364)/SUMIFS('Comp2016-2017 (3)'!$G$5:$G$289,'Comp2016-2017 (3)'!$A$5:$A$289,$D364,'Comp2016-2017 (3)'!$R$5:$R$289,$V364)*$AB364))</f>
        <v>0</v>
      </c>
      <c r="AH364" s="2" t="str">
        <f>IF($W364=AH$3,$AB364,IF(NOT($W364=0),"",SUMIFS('Val-Vol (2)'!AH$4:AH$1116,'Val-Vol (2)'!$A$4:$A$1116,$D364,'Val-Vol (2)'!$V$4:$V$1116,$V364)/SUMIFS('Comp2016-2017 (3)'!$G$5:$G$289,'Comp2016-2017 (3)'!$A$5:$A$289,$D364,'Comp2016-2017 (3)'!$R$5:$R$289,$V364)*$AB364))</f>
        <v/>
      </c>
      <c r="AI364" s="2" t="str">
        <f>IF($W364=AI$3,$AB364,IF(NOT($W364=0),"",SUMIFS('Val-Vol (2)'!AI$4:AI$1116,'Val-Vol (2)'!$A$4:$A$1116,$D364,'Val-Vol (2)'!$V$4:$V$1116,$V364)/SUMIFS('Comp2016-2017 (3)'!$G$5:$G$289,'Comp2016-2017 (3)'!$A$5:$A$289,$D364,'Comp2016-2017 (3)'!$R$5:$R$289,$V364)*$AB364))</f>
        <v/>
      </c>
      <c r="AJ364" s="2" t="str">
        <f>IF($W364=AJ$3,$AB364,IF(NOT($W364=0),"",SUMIFS('Val-Vol (2)'!AJ$4:AJ$1116,'Val-Vol (2)'!$A$4:$A$1116,$D364,'Val-Vol (2)'!$V$4:$V$1116,$V364)/SUMIFS('Comp2016-2017 (3)'!$G$5:$G$289,'Comp2016-2017 (3)'!$A$5:$A$289,$D364,'Comp2016-2017 (3)'!$R$5:$R$289,$V364)*$AB364))</f>
        <v/>
      </c>
      <c r="AK364" s="2">
        <f t="shared" si="45"/>
        <v>0</v>
      </c>
      <c r="AL364" t="str">
        <f t="shared" si="40"/>
        <v/>
      </c>
      <c r="AM364" t="str">
        <f>VLOOKUP(A364,'Table corresp.'!$M$4:$U$63,8,FALSE)</f>
        <v>Importation</v>
      </c>
      <c r="AN364" t="str">
        <f>VLOOKUP(D364,'Table corresp.'!$M$4:$U$63,9,FALSE)</f>
        <v>Production finale</v>
      </c>
    </row>
    <row r="365" spans="1:40" x14ac:dyDescent="0.25">
      <c r="A365" t="s">
        <v>52</v>
      </c>
      <c r="B365" t="str">
        <f>VLOOKUP(LEFT(A365,3),'Table corresp.'!$A$4:$D$63,3,FALSE)</f>
        <v>Importation</v>
      </c>
      <c r="C365" t="str">
        <f>VLOOKUP(A365,'Table corresp.'!$M$4:$P$63,4,FALSE)</f>
        <v>Importation</v>
      </c>
      <c r="D365" t="s">
        <v>18</v>
      </c>
      <c r="E365" t="str">
        <f>VLOOKUP(LEFT(D365,3),'Table corresp.'!$A$4:$D$63,4,FALSE)</f>
        <v>Transformation</v>
      </c>
      <c r="F365" t="str">
        <f t="shared" si="39"/>
        <v xml:space="preserve">Imp - 39 </v>
      </c>
      <c r="G365" s="1">
        <v>0</v>
      </c>
      <c r="H365" s="1">
        <v>13224.968000000001</v>
      </c>
      <c r="I365" s="1">
        <v>13224.968000000001</v>
      </c>
      <c r="J365" s="1">
        <v>0</v>
      </c>
      <c r="K365" s="1">
        <v>18.203369548520751</v>
      </c>
      <c r="L365" s="1">
        <v>18.203369548520751</v>
      </c>
      <c r="M365" s="1">
        <v>0</v>
      </c>
      <c r="N365" s="1">
        <v>4.9912170652659764</v>
      </c>
      <c r="O365" s="1">
        <v>4.9912170652659764</v>
      </c>
      <c r="P365" s="1">
        <v>0</v>
      </c>
      <c r="Q365" s="1">
        <v>1.8538155496786866</v>
      </c>
      <c r="R365" s="1">
        <v>1.8538155496786866</v>
      </c>
      <c r="S365" s="67" t="s">
        <v>192</v>
      </c>
      <c r="T365">
        <f>VLOOKUP(A365,'Groupe de branches'!$Z$27:$AM$86,14,FALSE)</f>
        <v>0</v>
      </c>
      <c r="U365">
        <f>VLOOKUP(D365,'Groupe de branches'!$Z$27:$AM$86,14,FALSE)</f>
        <v>0</v>
      </c>
      <c r="V365">
        <v>2016</v>
      </c>
      <c r="W365" t="str">
        <f>VLOOKUP(D365,'Table corresp.'!$M$4:$S$63,7,FALSE)</f>
        <v>Construction</v>
      </c>
      <c r="X365" s="167">
        <f>IFERROR(G365/SUMIFS('Comp2016-2017 (3)'!$I$5:$I$289,'Comp2016-2017 (3)'!$A$5:$A$289,A365,'Comp2016-2017 (3)'!$R$5:$R$289,V365),0)</f>
        <v>0</v>
      </c>
      <c r="Y365" s="178">
        <f>IFERROR(IF(RIGHT(F365,3)="Exp",VLOOKUP(F365,#REF!,2,FALSE),VLOOKUP(F365,#REF!,9,FALSE)),0)</f>
        <v>0</v>
      </c>
      <c r="Z365" s="167">
        <f t="shared" si="44"/>
        <v>0</v>
      </c>
      <c r="AA365" s="189">
        <f t="shared" si="41"/>
        <v>0</v>
      </c>
      <c r="AB365" s="2">
        <f>IFERROR(SUMIFS('Comp2016-2017 (3)'!$G$5:$G$289,'Comp2016-2017 (3)'!$A$5:$A$289,A365,'Comp2016-2017 (3)'!$R$5:$R$289,V365)*AA365/SUMIFS($AA$4:$AA$1116,$A$4:$A$1116,A365,$V$4:$V$1116,V365),0)</f>
        <v>0</v>
      </c>
      <c r="AC365" s="2" t="str">
        <f>IF($W365=AC$3,$AB365,IF(NOT($W365=0),"",SUMIFS('Val-Vol (2)'!AC$4:AC$1116,'Val-Vol (2)'!$A$4:$A$1116,$D365,'Val-Vol (2)'!$V$4:$V$1116,$V365)/SUMIFS('Comp2016-2017 (3)'!$G$5:$G$289,'Comp2016-2017 (3)'!$A$5:$A$289,$D365,'Comp2016-2017 (3)'!$R$5:$R$289,$V365)*$AB365))</f>
        <v/>
      </c>
      <c r="AD365" s="2">
        <f>IF($W365=AD$3,$AB365,IF(NOT($W365=0),"",SUMIFS('Val-Vol (2)'!AD$4:AD$1116,'Val-Vol (2)'!$A$4:$A$1116,$D365,'Val-Vol (2)'!$V$4:$V$1116,$V365)/SUMIFS('Comp2016-2017 (3)'!$G$5:$G$289,'Comp2016-2017 (3)'!$A$5:$A$289,$D365,'Comp2016-2017 (3)'!$R$5:$R$289,$V365)*$AB365))</f>
        <v>0</v>
      </c>
      <c r="AE365" s="2" t="str">
        <f>IF($W365=AE$3,$AB365,IF(NOT($W365=0),"",SUMIFS('Val-Vol (2)'!AE$4:AE$1116,'Val-Vol (2)'!$A$4:$A$1116,$D365,'Val-Vol (2)'!$V$4:$V$1116,$V365)/SUMIFS('Comp2016-2017 (3)'!$G$5:$G$289,'Comp2016-2017 (3)'!$A$5:$A$289,$D365,'Comp2016-2017 (3)'!$R$5:$R$289,$V365)*$AB365))</f>
        <v/>
      </c>
      <c r="AF365" s="2" t="str">
        <f>IF($W365=AF$3,$AB365,IF(NOT($W365=0),"",SUMIFS('Val-Vol (2)'!AF$4:AF$1116,'Val-Vol (2)'!$A$4:$A$1116,$D365,'Val-Vol (2)'!$V$4:$V$1116,$V365)/SUMIFS('Comp2016-2017 (3)'!$G$5:$G$289,'Comp2016-2017 (3)'!$A$5:$A$289,$D365,'Comp2016-2017 (3)'!$R$5:$R$289,$V365)*$AB365))</f>
        <v/>
      </c>
      <c r="AG365" s="2" t="str">
        <f>IF($W365=AG$3,$AB365,IF(NOT($W365=0),"",SUMIFS('Val-Vol (2)'!AG$4:AG$1116,'Val-Vol (2)'!$A$4:$A$1116,$D365,'Val-Vol (2)'!$V$4:$V$1116,$V365)/SUMIFS('Comp2016-2017 (3)'!$G$5:$G$289,'Comp2016-2017 (3)'!$A$5:$A$289,$D365,'Comp2016-2017 (3)'!$R$5:$R$289,$V365)*$AB365))</f>
        <v/>
      </c>
      <c r="AH365" s="2" t="str">
        <f>IF($W365=AH$3,$AB365,IF(NOT($W365=0),"",SUMIFS('Val-Vol (2)'!AH$4:AH$1116,'Val-Vol (2)'!$A$4:$A$1116,$D365,'Val-Vol (2)'!$V$4:$V$1116,$V365)/SUMIFS('Comp2016-2017 (3)'!$G$5:$G$289,'Comp2016-2017 (3)'!$A$5:$A$289,$D365,'Comp2016-2017 (3)'!$R$5:$R$289,$V365)*$AB365))</f>
        <v/>
      </c>
      <c r="AI365" s="2" t="str">
        <f>IF($W365=AI$3,$AB365,IF(NOT($W365=0),"",SUMIFS('Val-Vol (2)'!AI$4:AI$1116,'Val-Vol (2)'!$A$4:$A$1116,$D365,'Val-Vol (2)'!$V$4:$V$1116,$V365)/SUMIFS('Comp2016-2017 (3)'!$G$5:$G$289,'Comp2016-2017 (3)'!$A$5:$A$289,$D365,'Comp2016-2017 (3)'!$R$5:$R$289,$V365)*$AB365))</f>
        <v/>
      </c>
      <c r="AJ365" s="2" t="str">
        <f>IF($W365=AJ$3,$AB365,IF(NOT($W365=0),"",SUMIFS('Val-Vol (2)'!AJ$4:AJ$1116,'Val-Vol (2)'!$A$4:$A$1116,$D365,'Val-Vol (2)'!$V$4:$V$1116,$V365)/SUMIFS('Comp2016-2017 (3)'!$G$5:$G$289,'Comp2016-2017 (3)'!$A$5:$A$289,$D365,'Comp2016-2017 (3)'!$R$5:$R$289,$V365)*$AB365))</f>
        <v/>
      </c>
      <c r="AK365" s="2">
        <f t="shared" si="45"/>
        <v>0</v>
      </c>
      <c r="AL365" t="str">
        <f t="shared" si="40"/>
        <v/>
      </c>
      <c r="AM365" t="str">
        <f>VLOOKUP(A365,'Table corresp.'!$M$4:$U$63,8,FALSE)</f>
        <v>Importation</v>
      </c>
      <c r="AN365" t="str">
        <f>VLOOKUP(D365,'Table corresp.'!$M$4:$U$63,9,FALSE)</f>
        <v>Production finale</v>
      </c>
    </row>
    <row r="366" spans="1:40" x14ac:dyDescent="0.25">
      <c r="A366" t="s">
        <v>52</v>
      </c>
      <c r="B366" t="str">
        <f>VLOOKUP(LEFT(A366,3),'Table corresp.'!$A$4:$D$63,3,FALSE)</f>
        <v>Importation</v>
      </c>
      <c r="C366" t="str">
        <f>VLOOKUP(A366,'Table corresp.'!$M$4:$P$63,4,FALSE)</f>
        <v>Importation</v>
      </c>
      <c r="D366" t="s">
        <v>92</v>
      </c>
      <c r="E366" t="str">
        <f>VLOOKUP(LEFT(D366,3),'Table corresp.'!$A$4:$D$63,4,FALSE)</f>
        <v>Transformation</v>
      </c>
      <c r="F366" t="str">
        <f t="shared" si="39"/>
        <v xml:space="preserve">Imp - 40 </v>
      </c>
      <c r="G366" s="1">
        <v>0</v>
      </c>
      <c r="H366" s="1">
        <v>206862.76954545453</v>
      </c>
      <c r="I366" s="1">
        <v>206862.76954545453</v>
      </c>
      <c r="J366" s="1">
        <v>0</v>
      </c>
      <c r="K366" s="1">
        <v>405.58822390786526</v>
      </c>
      <c r="L366" s="1">
        <v>405.58822390786526</v>
      </c>
      <c r="M366" s="1">
        <v>0</v>
      </c>
      <c r="N366" s="1">
        <v>0</v>
      </c>
      <c r="O366" s="1">
        <v>0</v>
      </c>
      <c r="P366" s="1">
        <v>0</v>
      </c>
      <c r="Q366" s="1">
        <v>0</v>
      </c>
      <c r="R366" s="1">
        <v>0</v>
      </c>
      <c r="S366" s="67"/>
      <c r="T366">
        <f>VLOOKUP(A366,'Groupe de branches'!$Z$27:$AM$86,14,FALSE)</f>
        <v>0</v>
      </c>
      <c r="U366">
        <f>VLOOKUP(D366,'Groupe de branches'!$Z$27:$AM$86,14,FALSE)</f>
        <v>0</v>
      </c>
      <c r="V366">
        <v>2016</v>
      </c>
      <c r="W366" t="str">
        <f>VLOOKUP(D366,'Table corresp.'!$M$4:$S$63,7,FALSE)</f>
        <v>Construction</v>
      </c>
      <c r="X366" s="167">
        <f>IFERROR(G366/SUMIFS('Comp2016-2017 (3)'!$I$5:$I$289,'Comp2016-2017 (3)'!$A$5:$A$289,A366,'Comp2016-2017 (3)'!$R$5:$R$289,V366),0)</f>
        <v>0</v>
      </c>
      <c r="Y366" s="178">
        <f>IFERROR(IF(RIGHT(F366,3)="Exp",VLOOKUP(F366,#REF!,2,FALSE),VLOOKUP(F366,#REF!,9,FALSE)),0)</f>
        <v>0</v>
      </c>
      <c r="Z366" s="167">
        <f t="shared" si="44"/>
        <v>0</v>
      </c>
      <c r="AA366" s="189">
        <f t="shared" si="41"/>
        <v>0</v>
      </c>
      <c r="AB366" s="2">
        <f>IFERROR(SUMIFS('Comp2016-2017 (3)'!$G$5:$G$289,'Comp2016-2017 (3)'!$A$5:$A$289,A366,'Comp2016-2017 (3)'!$R$5:$R$289,V366)*AA366/SUMIFS($AA$4:$AA$1116,$A$4:$A$1116,A366,$V$4:$V$1116,V366),0)</f>
        <v>0</v>
      </c>
      <c r="AC366" s="2" t="str">
        <f>IF($W366=AC$3,$AB366,IF(NOT($W366=0),"",SUMIFS('Val-Vol (2)'!AC$4:AC$1116,'Val-Vol (2)'!$A$4:$A$1116,$D366,'Val-Vol (2)'!$V$4:$V$1116,$V366)/SUMIFS('Comp2016-2017 (3)'!$G$5:$G$289,'Comp2016-2017 (3)'!$A$5:$A$289,$D366,'Comp2016-2017 (3)'!$R$5:$R$289,$V366)*$AB366))</f>
        <v/>
      </c>
      <c r="AD366" s="2">
        <f>IF($W366=AD$3,$AB366,IF(NOT($W366=0),"",SUMIFS('Val-Vol (2)'!AD$4:AD$1116,'Val-Vol (2)'!$A$4:$A$1116,$D366,'Val-Vol (2)'!$V$4:$V$1116,$V366)/SUMIFS('Comp2016-2017 (3)'!$G$5:$G$289,'Comp2016-2017 (3)'!$A$5:$A$289,$D366,'Comp2016-2017 (3)'!$R$5:$R$289,$V366)*$AB366))</f>
        <v>0</v>
      </c>
      <c r="AE366" s="2" t="str">
        <f>IF($W366=AE$3,$AB366,IF(NOT($W366=0),"",SUMIFS('Val-Vol (2)'!AE$4:AE$1116,'Val-Vol (2)'!$A$4:$A$1116,$D366,'Val-Vol (2)'!$V$4:$V$1116,$V366)/SUMIFS('Comp2016-2017 (3)'!$G$5:$G$289,'Comp2016-2017 (3)'!$A$5:$A$289,$D366,'Comp2016-2017 (3)'!$R$5:$R$289,$V366)*$AB366))</f>
        <v/>
      </c>
      <c r="AF366" s="2" t="str">
        <f>IF($W366=AF$3,$AB366,IF(NOT($W366=0),"",SUMIFS('Val-Vol (2)'!AF$4:AF$1116,'Val-Vol (2)'!$A$4:$A$1116,$D366,'Val-Vol (2)'!$V$4:$V$1116,$V366)/SUMIFS('Comp2016-2017 (3)'!$G$5:$G$289,'Comp2016-2017 (3)'!$A$5:$A$289,$D366,'Comp2016-2017 (3)'!$R$5:$R$289,$V366)*$AB366))</f>
        <v/>
      </c>
      <c r="AG366" s="2" t="str">
        <f>IF($W366=AG$3,$AB366,IF(NOT($W366=0),"",SUMIFS('Val-Vol (2)'!AG$4:AG$1116,'Val-Vol (2)'!$A$4:$A$1116,$D366,'Val-Vol (2)'!$V$4:$V$1116,$V366)/SUMIFS('Comp2016-2017 (3)'!$G$5:$G$289,'Comp2016-2017 (3)'!$A$5:$A$289,$D366,'Comp2016-2017 (3)'!$R$5:$R$289,$V366)*$AB366))</f>
        <v/>
      </c>
      <c r="AH366" s="2" t="str">
        <f>IF($W366=AH$3,$AB366,IF(NOT($W366=0),"",SUMIFS('Val-Vol (2)'!AH$4:AH$1116,'Val-Vol (2)'!$A$4:$A$1116,$D366,'Val-Vol (2)'!$V$4:$V$1116,$V366)/SUMIFS('Comp2016-2017 (3)'!$G$5:$G$289,'Comp2016-2017 (3)'!$A$5:$A$289,$D366,'Comp2016-2017 (3)'!$R$5:$R$289,$V366)*$AB366))</f>
        <v/>
      </c>
      <c r="AI366" s="2" t="str">
        <f>IF($W366=AI$3,$AB366,IF(NOT($W366=0),"",SUMIFS('Val-Vol (2)'!AI$4:AI$1116,'Val-Vol (2)'!$A$4:$A$1116,$D366,'Val-Vol (2)'!$V$4:$V$1116,$V366)/SUMIFS('Comp2016-2017 (3)'!$G$5:$G$289,'Comp2016-2017 (3)'!$A$5:$A$289,$D366,'Comp2016-2017 (3)'!$R$5:$R$289,$V366)*$AB366))</f>
        <v/>
      </c>
      <c r="AJ366" s="2" t="str">
        <f>IF($W366=AJ$3,$AB366,IF(NOT($W366=0),"",SUMIFS('Val-Vol (2)'!AJ$4:AJ$1116,'Val-Vol (2)'!$A$4:$A$1116,$D366,'Val-Vol (2)'!$V$4:$V$1116,$V366)/SUMIFS('Comp2016-2017 (3)'!$G$5:$G$289,'Comp2016-2017 (3)'!$A$5:$A$289,$D366,'Comp2016-2017 (3)'!$R$5:$R$289,$V366)*$AB366))</f>
        <v/>
      </c>
      <c r="AK366" s="2">
        <f t="shared" si="45"/>
        <v>0</v>
      </c>
      <c r="AL366" t="str">
        <f t="shared" si="40"/>
        <v/>
      </c>
      <c r="AM366" t="str">
        <f>VLOOKUP(A366,'Table corresp.'!$M$4:$U$63,8,FALSE)</f>
        <v>Importation</v>
      </c>
      <c r="AN366" t="str">
        <f>VLOOKUP(D366,'Table corresp.'!$M$4:$U$63,9,FALSE)</f>
        <v>Production finale</v>
      </c>
    </row>
    <row r="367" spans="1:40" x14ac:dyDescent="0.25">
      <c r="A367" t="s">
        <v>52</v>
      </c>
      <c r="B367" t="str">
        <f>VLOOKUP(LEFT(A367,3),'Table corresp.'!$A$4:$D$63,3,FALSE)</f>
        <v>Importation</v>
      </c>
      <c r="C367" t="str">
        <f>VLOOKUP(A367,'Table corresp.'!$M$4:$P$63,4,FALSE)</f>
        <v>Importation</v>
      </c>
      <c r="D367" t="s">
        <v>93</v>
      </c>
      <c r="E367" t="str">
        <f>VLOOKUP(LEFT(D367,3),'Table corresp.'!$A$4:$D$63,4,FALSE)</f>
        <v>Transformation</v>
      </c>
      <c r="F367" t="str">
        <f t="shared" si="39"/>
        <v xml:space="preserve">Imp - 41 </v>
      </c>
      <c r="G367" s="1">
        <v>0</v>
      </c>
      <c r="H367" s="1">
        <v>181374.35</v>
      </c>
      <c r="I367" s="1">
        <v>181374.35</v>
      </c>
      <c r="J367" s="1">
        <v>0</v>
      </c>
      <c r="K367" s="1">
        <v>574.25439373887923</v>
      </c>
      <c r="L367" s="1">
        <v>574.25439373887923</v>
      </c>
      <c r="M367" s="1">
        <v>0</v>
      </c>
      <c r="N367" s="1">
        <v>0</v>
      </c>
      <c r="O367" s="1">
        <v>0</v>
      </c>
      <c r="P367" s="1">
        <v>0</v>
      </c>
      <c r="Q367" s="1">
        <v>0</v>
      </c>
      <c r="R367" s="1">
        <v>0</v>
      </c>
      <c r="S367" s="67"/>
      <c r="T367">
        <f>VLOOKUP(A367,'Groupe de branches'!$Z$27:$AM$86,14,FALSE)</f>
        <v>0</v>
      </c>
      <c r="U367">
        <f>VLOOKUP(D367,'Groupe de branches'!$Z$27:$AM$86,14,FALSE)</f>
        <v>0</v>
      </c>
      <c r="V367">
        <v>2016</v>
      </c>
      <c r="W367" t="str">
        <f>VLOOKUP(D367,'Table corresp.'!$M$4:$S$63,7,FALSE)</f>
        <v>Produits de consommation courante</v>
      </c>
      <c r="X367" s="167">
        <f>IFERROR(G367/SUMIFS('Comp2016-2017 (3)'!$I$5:$I$289,'Comp2016-2017 (3)'!$A$5:$A$289,A367,'Comp2016-2017 (3)'!$R$5:$R$289,V367),0)</f>
        <v>0</v>
      </c>
      <c r="Y367" s="178">
        <f>IFERROR(IF(RIGHT(F367,3)="Exp",VLOOKUP(F367,#REF!,2,FALSE),VLOOKUP(F367,#REF!,9,FALSE)),0)</f>
        <v>0</v>
      </c>
      <c r="Z367" s="167">
        <f t="shared" si="44"/>
        <v>0</v>
      </c>
      <c r="AA367" s="189">
        <f t="shared" si="41"/>
        <v>0</v>
      </c>
      <c r="AB367" s="2">
        <f>IFERROR(SUMIFS('Comp2016-2017 (3)'!$G$5:$G$289,'Comp2016-2017 (3)'!$A$5:$A$289,A367,'Comp2016-2017 (3)'!$R$5:$R$289,V367)*AA367/SUMIFS($AA$4:$AA$1116,$A$4:$A$1116,A367,$V$4:$V$1116,V367),0)</f>
        <v>0</v>
      </c>
      <c r="AC367" s="2" t="str">
        <f>IF($W367=AC$3,$AB367,IF(NOT($W367=0),"",SUMIFS('Val-Vol (2)'!AC$4:AC$1116,'Val-Vol (2)'!$A$4:$A$1116,$D367,'Val-Vol (2)'!$V$4:$V$1116,$V367)/SUMIFS('Comp2016-2017 (3)'!$G$5:$G$289,'Comp2016-2017 (3)'!$A$5:$A$289,$D367,'Comp2016-2017 (3)'!$R$5:$R$289,$V367)*$AB367))</f>
        <v/>
      </c>
      <c r="AD367" s="2" t="str">
        <f>IF($W367=AD$3,$AB367,IF(NOT($W367=0),"",SUMIFS('Val-Vol (2)'!AD$4:AD$1116,'Val-Vol (2)'!$A$4:$A$1116,$D367,'Val-Vol (2)'!$V$4:$V$1116,$V367)/SUMIFS('Comp2016-2017 (3)'!$G$5:$G$289,'Comp2016-2017 (3)'!$A$5:$A$289,$D367,'Comp2016-2017 (3)'!$R$5:$R$289,$V367)*$AB367))</f>
        <v/>
      </c>
      <c r="AE367" s="2" t="str">
        <f>IF($W367=AE$3,$AB367,IF(NOT($W367=0),"",SUMIFS('Val-Vol (2)'!AE$4:AE$1116,'Val-Vol (2)'!$A$4:$A$1116,$D367,'Val-Vol (2)'!$V$4:$V$1116,$V367)/SUMIFS('Comp2016-2017 (3)'!$G$5:$G$289,'Comp2016-2017 (3)'!$A$5:$A$289,$D367,'Comp2016-2017 (3)'!$R$5:$R$289,$V367)*$AB367))</f>
        <v/>
      </c>
      <c r="AF367" s="2" t="str">
        <f>IF($W367=AF$3,$AB367,IF(NOT($W367=0),"",SUMIFS('Val-Vol (2)'!AF$4:AF$1116,'Val-Vol (2)'!$A$4:$A$1116,$D367,'Val-Vol (2)'!$V$4:$V$1116,$V367)/SUMIFS('Comp2016-2017 (3)'!$G$5:$G$289,'Comp2016-2017 (3)'!$A$5:$A$289,$D367,'Comp2016-2017 (3)'!$R$5:$R$289,$V367)*$AB367))</f>
        <v/>
      </c>
      <c r="AG367" s="2" t="str">
        <f>IF($W367=AG$3,$AB367,IF(NOT($W367=0),"",SUMIFS('Val-Vol (2)'!AG$4:AG$1116,'Val-Vol (2)'!$A$4:$A$1116,$D367,'Val-Vol (2)'!$V$4:$V$1116,$V367)/SUMIFS('Comp2016-2017 (3)'!$G$5:$G$289,'Comp2016-2017 (3)'!$A$5:$A$289,$D367,'Comp2016-2017 (3)'!$R$5:$R$289,$V367)*$AB367))</f>
        <v/>
      </c>
      <c r="AH367" s="2" t="str">
        <f>IF($W367=AH$3,$AB367,IF(NOT($W367=0),"",SUMIFS('Val-Vol (2)'!AH$4:AH$1116,'Val-Vol (2)'!$A$4:$A$1116,$D367,'Val-Vol (2)'!$V$4:$V$1116,$V367)/SUMIFS('Comp2016-2017 (3)'!$G$5:$G$289,'Comp2016-2017 (3)'!$A$5:$A$289,$D367,'Comp2016-2017 (3)'!$R$5:$R$289,$V367)*$AB367))</f>
        <v/>
      </c>
      <c r="AI367" s="2">
        <f>IF($W367=AI$3,$AB367,IF(NOT($W367=0),"",SUMIFS('Val-Vol (2)'!AI$4:AI$1116,'Val-Vol (2)'!$A$4:$A$1116,$D367,'Val-Vol (2)'!$V$4:$V$1116,$V367)/SUMIFS('Comp2016-2017 (3)'!$G$5:$G$289,'Comp2016-2017 (3)'!$A$5:$A$289,$D367,'Comp2016-2017 (3)'!$R$5:$R$289,$V367)*$AB367))</f>
        <v>0</v>
      </c>
      <c r="AJ367" s="2" t="str">
        <f>IF($W367=AJ$3,$AB367,IF(NOT($W367=0),"",SUMIFS('Val-Vol (2)'!AJ$4:AJ$1116,'Val-Vol (2)'!$A$4:$A$1116,$D367,'Val-Vol (2)'!$V$4:$V$1116,$V367)/SUMIFS('Comp2016-2017 (3)'!$G$5:$G$289,'Comp2016-2017 (3)'!$A$5:$A$289,$D367,'Comp2016-2017 (3)'!$R$5:$R$289,$V367)*$AB367))</f>
        <v/>
      </c>
      <c r="AK367" s="2">
        <f t="shared" si="45"/>
        <v>0</v>
      </c>
      <c r="AL367" t="str">
        <f t="shared" si="40"/>
        <v/>
      </c>
      <c r="AM367" t="str">
        <f>VLOOKUP(A367,'Table corresp.'!$M$4:$U$63,8,FALSE)</f>
        <v>Importation</v>
      </c>
      <c r="AN367" t="str">
        <f>VLOOKUP(D367,'Table corresp.'!$M$4:$U$63,9,FALSE)</f>
        <v>Production finale</v>
      </c>
    </row>
    <row r="368" spans="1:40" x14ac:dyDescent="0.25">
      <c r="A368" t="s">
        <v>52</v>
      </c>
      <c r="B368" t="str">
        <f>VLOOKUP(LEFT(A368,3),'Table corresp.'!$A$4:$D$63,3,FALSE)</f>
        <v>Importation</v>
      </c>
      <c r="C368" t="str">
        <f>VLOOKUP(A368,'Table corresp.'!$M$4:$P$63,4,FALSE)</f>
        <v>Importation</v>
      </c>
      <c r="D368" t="s">
        <v>94</v>
      </c>
      <c r="E368" t="str">
        <f>VLOOKUP(LEFT(D368,3),'Table corresp.'!$A$4:$D$63,4,FALSE)</f>
        <v>Transformation</v>
      </c>
      <c r="F368" t="str">
        <f t="shared" si="39"/>
        <v xml:space="preserve">Imp - 42 </v>
      </c>
      <c r="G368" s="1">
        <v>0</v>
      </c>
      <c r="H368" s="1">
        <v>238460.41899999999</v>
      </c>
      <c r="I368" s="1">
        <v>238460.41899999999</v>
      </c>
      <c r="J368" s="1">
        <v>0</v>
      </c>
      <c r="K368" s="1">
        <v>30.572592039617785</v>
      </c>
      <c r="L368" s="1">
        <v>30.572592039617785</v>
      </c>
      <c r="M368" s="1">
        <v>0</v>
      </c>
      <c r="N368" s="1">
        <v>0</v>
      </c>
      <c r="O368" s="1">
        <v>0</v>
      </c>
      <c r="P368" s="1">
        <v>0</v>
      </c>
      <c r="Q368" s="1">
        <v>0</v>
      </c>
      <c r="R368" s="1">
        <v>0</v>
      </c>
      <c r="S368" s="67"/>
      <c r="T368">
        <f>VLOOKUP(A368,'Groupe de branches'!$Z$27:$AM$86,14,FALSE)</f>
        <v>0</v>
      </c>
      <c r="U368">
        <f>VLOOKUP(D368,'Groupe de branches'!$Z$27:$AM$86,14,FALSE)</f>
        <v>0</v>
      </c>
      <c r="V368">
        <v>2016</v>
      </c>
      <c r="W368" t="str">
        <f>VLOOKUP(D368,'Table corresp.'!$M$4:$S$63,7,FALSE)</f>
        <v>Produits de consommation courante</v>
      </c>
      <c r="X368" s="167">
        <f>IFERROR(G368/SUMIFS('Comp2016-2017 (3)'!$I$5:$I$289,'Comp2016-2017 (3)'!$A$5:$A$289,A368,'Comp2016-2017 (3)'!$R$5:$R$289,V368),0)</f>
        <v>0</v>
      </c>
      <c r="Y368" s="178">
        <f>IFERROR(IF(RIGHT(F368,3)="Exp",VLOOKUP(F368,#REF!,2,FALSE),VLOOKUP(F368,#REF!,9,FALSE)),0)</f>
        <v>0</v>
      </c>
      <c r="Z368" s="167">
        <f t="shared" si="44"/>
        <v>0</v>
      </c>
      <c r="AA368" s="189">
        <f t="shared" si="41"/>
        <v>0</v>
      </c>
      <c r="AB368" s="2">
        <f>IFERROR(SUMIFS('Comp2016-2017 (3)'!$G$5:$G$289,'Comp2016-2017 (3)'!$A$5:$A$289,A368,'Comp2016-2017 (3)'!$R$5:$R$289,V368)*AA368/SUMIFS($AA$4:$AA$1116,$A$4:$A$1116,A368,$V$4:$V$1116,V368),0)</f>
        <v>0</v>
      </c>
      <c r="AC368" s="2" t="str">
        <f>IF($W368=AC$3,$AB368,IF(NOT($W368=0),"",SUMIFS('Val-Vol (2)'!AC$4:AC$1116,'Val-Vol (2)'!$A$4:$A$1116,$D368,'Val-Vol (2)'!$V$4:$V$1116,$V368)/SUMIFS('Comp2016-2017 (3)'!$G$5:$G$289,'Comp2016-2017 (3)'!$A$5:$A$289,$D368,'Comp2016-2017 (3)'!$R$5:$R$289,$V368)*$AB368))</f>
        <v/>
      </c>
      <c r="AD368" s="2" t="str">
        <f>IF($W368=AD$3,$AB368,IF(NOT($W368=0),"",SUMIFS('Val-Vol (2)'!AD$4:AD$1116,'Val-Vol (2)'!$A$4:$A$1116,$D368,'Val-Vol (2)'!$V$4:$V$1116,$V368)/SUMIFS('Comp2016-2017 (3)'!$G$5:$G$289,'Comp2016-2017 (3)'!$A$5:$A$289,$D368,'Comp2016-2017 (3)'!$R$5:$R$289,$V368)*$AB368))</f>
        <v/>
      </c>
      <c r="AE368" s="2" t="str">
        <f>IF($W368=AE$3,$AB368,IF(NOT($W368=0),"",SUMIFS('Val-Vol (2)'!AE$4:AE$1116,'Val-Vol (2)'!$A$4:$A$1116,$D368,'Val-Vol (2)'!$V$4:$V$1116,$V368)/SUMIFS('Comp2016-2017 (3)'!$G$5:$G$289,'Comp2016-2017 (3)'!$A$5:$A$289,$D368,'Comp2016-2017 (3)'!$R$5:$R$289,$V368)*$AB368))</f>
        <v/>
      </c>
      <c r="AF368" s="2" t="str">
        <f>IF($W368=AF$3,$AB368,IF(NOT($W368=0),"",SUMIFS('Val-Vol (2)'!AF$4:AF$1116,'Val-Vol (2)'!$A$4:$A$1116,$D368,'Val-Vol (2)'!$V$4:$V$1116,$V368)/SUMIFS('Comp2016-2017 (3)'!$G$5:$G$289,'Comp2016-2017 (3)'!$A$5:$A$289,$D368,'Comp2016-2017 (3)'!$R$5:$R$289,$V368)*$AB368))</f>
        <v/>
      </c>
      <c r="AG368" s="2" t="str">
        <f>IF($W368=AG$3,$AB368,IF(NOT($W368=0),"",SUMIFS('Val-Vol (2)'!AG$4:AG$1116,'Val-Vol (2)'!$A$4:$A$1116,$D368,'Val-Vol (2)'!$V$4:$V$1116,$V368)/SUMIFS('Comp2016-2017 (3)'!$G$5:$G$289,'Comp2016-2017 (3)'!$A$5:$A$289,$D368,'Comp2016-2017 (3)'!$R$5:$R$289,$V368)*$AB368))</f>
        <v/>
      </c>
      <c r="AH368" s="2" t="str">
        <f>IF($W368=AH$3,$AB368,IF(NOT($W368=0),"",SUMIFS('Val-Vol (2)'!AH$4:AH$1116,'Val-Vol (2)'!$A$4:$A$1116,$D368,'Val-Vol (2)'!$V$4:$V$1116,$V368)/SUMIFS('Comp2016-2017 (3)'!$G$5:$G$289,'Comp2016-2017 (3)'!$A$5:$A$289,$D368,'Comp2016-2017 (3)'!$R$5:$R$289,$V368)*$AB368))</f>
        <v/>
      </c>
      <c r="AI368" s="2">
        <f>IF($W368=AI$3,$AB368,IF(NOT($W368=0),"",SUMIFS('Val-Vol (2)'!AI$4:AI$1116,'Val-Vol (2)'!$A$4:$A$1116,$D368,'Val-Vol (2)'!$V$4:$V$1116,$V368)/SUMIFS('Comp2016-2017 (3)'!$G$5:$G$289,'Comp2016-2017 (3)'!$A$5:$A$289,$D368,'Comp2016-2017 (3)'!$R$5:$R$289,$V368)*$AB368))</f>
        <v>0</v>
      </c>
      <c r="AJ368" s="2" t="str">
        <f>IF($W368=AJ$3,$AB368,IF(NOT($W368=0),"",SUMIFS('Val-Vol (2)'!AJ$4:AJ$1116,'Val-Vol (2)'!$A$4:$A$1116,$D368,'Val-Vol (2)'!$V$4:$V$1116,$V368)/SUMIFS('Comp2016-2017 (3)'!$G$5:$G$289,'Comp2016-2017 (3)'!$A$5:$A$289,$D368,'Comp2016-2017 (3)'!$R$5:$R$289,$V368)*$AB368))</f>
        <v/>
      </c>
      <c r="AK368" s="2">
        <f t="shared" si="45"/>
        <v>0</v>
      </c>
      <c r="AL368" t="str">
        <f t="shared" si="40"/>
        <v/>
      </c>
      <c r="AM368" t="str">
        <f>VLOOKUP(A368,'Table corresp.'!$M$4:$U$63,8,FALSE)</f>
        <v>Importation</v>
      </c>
      <c r="AN368" t="str">
        <f>VLOOKUP(D368,'Table corresp.'!$M$4:$U$63,9,FALSE)</f>
        <v>Production finale</v>
      </c>
    </row>
    <row r="369" spans="1:43" x14ac:dyDescent="0.25">
      <c r="A369" t="s">
        <v>52</v>
      </c>
      <c r="B369" t="str">
        <f>VLOOKUP(LEFT(A369,3),'Table corresp.'!$A$4:$D$63,3,FALSE)</f>
        <v>Importation</v>
      </c>
      <c r="C369" t="str">
        <f>VLOOKUP(A369,'Table corresp.'!$M$4:$P$63,4,FALSE)</f>
        <v>Importation</v>
      </c>
      <c r="D369" t="s">
        <v>95</v>
      </c>
      <c r="E369" t="str">
        <f>VLOOKUP(LEFT(D369,3),'Table corresp.'!$A$4:$D$63,4,FALSE)</f>
        <v>Transformation</v>
      </c>
      <c r="F369" t="str">
        <f t="shared" si="39"/>
        <v xml:space="preserve">Imp - 43 </v>
      </c>
      <c r="G369" s="1">
        <v>0</v>
      </c>
      <c r="H369" s="1">
        <v>1037719.7130000001</v>
      </c>
      <c r="I369" s="1">
        <v>1037719.7130000001</v>
      </c>
      <c r="J369" s="1">
        <v>0</v>
      </c>
      <c r="K369" s="1">
        <v>0</v>
      </c>
      <c r="L369" s="1">
        <v>0</v>
      </c>
      <c r="M369" s="1">
        <v>0</v>
      </c>
      <c r="N369" s="1">
        <v>6296.0530013160142</v>
      </c>
      <c r="O369" s="1">
        <v>6296.0530013160142</v>
      </c>
      <c r="P369" s="1">
        <v>0</v>
      </c>
      <c r="Q369" s="1">
        <v>0</v>
      </c>
      <c r="R369" s="1">
        <v>0</v>
      </c>
      <c r="S369" s="67"/>
      <c r="T369">
        <f>VLOOKUP(A369,'Groupe de branches'!$Z$27:$AM$86,14,FALSE)</f>
        <v>0</v>
      </c>
      <c r="U369">
        <f>VLOOKUP(D369,'Groupe de branches'!$Z$27:$AM$86,14,FALSE)</f>
        <v>0</v>
      </c>
      <c r="V369">
        <v>2016</v>
      </c>
      <c r="W369" t="str">
        <f>VLOOKUP(D369,'Table corresp.'!$M$4:$S$63,7,FALSE)</f>
        <v>Pate &amp; papier &amp; carton</v>
      </c>
      <c r="X369" s="167">
        <f>IFERROR(G369/SUMIFS('Comp2016-2017 (3)'!$I$5:$I$289,'Comp2016-2017 (3)'!$A$5:$A$289,A369,'Comp2016-2017 (3)'!$R$5:$R$289,V369),0)</f>
        <v>0</v>
      </c>
      <c r="Y369" s="178">
        <f>IFERROR(IF(RIGHT(F369,3)="Exp",VLOOKUP(F369,#REF!,2,FALSE),VLOOKUP(F369,#REF!,9,FALSE)),0)</f>
        <v>0</v>
      </c>
      <c r="Z369" s="167">
        <f t="shared" si="44"/>
        <v>0</v>
      </c>
      <c r="AA369" s="189">
        <f t="shared" si="41"/>
        <v>0</v>
      </c>
      <c r="AB369" s="2">
        <f>IFERROR(SUMIFS('Comp2016-2017 (3)'!$G$5:$G$289,'Comp2016-2017 (3)'!$A$5:$A$289,A369,'Comp2016-2017 (3)'!$R$5:$R$289,V369)*AA369/SUMIFS($AA$4:$AA$1116,$A$4:$A$1116,A369,$V$4:$V$1116,V369),0)</f>
        <v>0</v>
      </c>
      <c r="AC369" s="2" t="str">
        <f>IF($W369=AC$3,$AB369,IF(NOT($W369=0),"",SUMIFS('Val-Vol (2)'!AC$4:AC$1116,'Val-Vol (2)'!$A$4:$A$1116,$D369,'Val-Vol (2)'!$V$4:$V$1116,$V369)/SUMIFS('Comp2016-2017 (3)'!$G$5:$G$289,'Comp2016-2017 (3)'!$A$5:$A$289,$D369,'Comp2016-2017 (3)'!$R$5:$R$289,$V369)*$AB369))</f>
        <v/>
      </c>
      <c r="AD369" s="2" t="str">
        <f>IF($W369=AD$3,$AB369,IF(NOT($W369=0),"",SUMIFS('Val-Vol (2)'!AD$4:AD$1116,'Val-Vol (2)'!$A$4:$A$1116,$D369,'Val-Vol (2)'!$V$4:$V$1116,$V369)/SUMIFS('Comp2016-2017 (3)'!$G$5:$G$289,'Comp2016-2017 (3)'!$A$5:$A$289,$D369,'Comp2016-2017 (3)'!$R$5:$R$289,$V369)*$AB369))</f>
        <v/>
      </c>
      <c r="AE369" s="2" t="str">
        <f>IF($W369=AE$3,$AB369,IF(NOT($W369=0),"",SUMIFS('Val-Vol (2)'!AE$4:AE$1116,'Val-Vol (2)'!$A$4:$A$1116,$D369,'Val-Vol (2)'!$V$4:$V$1116,$V369)/SUMIFS('Comp2016-2017 (3)'!$G$5:$G$289,'Comp2016-2017 (3)'!$A$5:$A$289,$D369,'Comp2016-2017 (3)'!$R$5:$R$289,$V369)*$AB369))</f>
        <v/>
      </c>
      <c r="AF369" s="2">
        <f>IF($W369=AF$3,$AB369,IF(NOT($W369=0),"",SUMIFS('Val-Vol (2)'!AF$4:AF$1116,'Val-Vol (2)'!$A$4:$A$1116,$D369,'Val-Vol (2)'!$V$4:$V$1116,$V369)/SUMIFS('Comp2016-2017 (3)'!$G$5:$G$289,'Comp2016-2017 (3)'!$A$5:$A$289,$D369,'Comp2016-2017 (3)'!$R$5:$R$289,$V369)*$AB369))</f>
        <v>0</v>
      </c>
      <c r="AG369" s="2" t="str">
        <f>IF($W369=AG$3,$AB369,IF(NOT($W369=0),"",SUMIFS('Val-Vol (2)'!AG$4:AG$1116,'Val-Vol (2)'!$A$4:$A$1116,$D369,'Val-Vol (2)'!$V$4:$V$1116,$V369)/SUMIFS('Comp2016-2017 (3)'!$G$5:$G$289,'Comp2016-2017 (3)'!$A$5:$A$289,$D369,'Comp2016-2017 (3)'!$R$5:$R$289,$V369)*$AB369))</f>
        <v/>
      </c>
      <c r="AH369" s="2" t="str">
        <f>IF($W369=AH$3,$AB369,IF(NOT($W369=0),"",SUMIFS('Val-Vol (2)'!AH$4:AH$1116,'Val-Vol (2)'!$A$4:$A$1116,$D369,'Val-Vol (2)'!$V$4:$V$1116,$V369)/SUMIFS('Comp2016-2017 (3)'!$G$5:$G$289,'Comp2016-2017 (3)'!$A$5:$A$289,$D369,'Comp2016-2017 (3)'!$R$5:$R$289,$V369)*$AB369))</f>
        <v/>
      </c>
      <c r="AI369" s="2" t="str">
        <f>IF($W369=AI$3,$AB369,IF(NOT($W369=0),"",SUMIFS('Val-Vol (2)'!AI$4:AI$1116,'Val-Vol (2)'!$A$4:$A$1116,$D369,'Val-Vol (2)'!$V$4:$V$1116,$V369)/SUMIFS('Comp2016-2017 (3)'!$G$5:$G$289,'Comp2016-2017 (3)'!$A$5:$A$289,$D369,'Comp2016-2017 (3)'!$R$5:$R$289,$V369)*$AB369))</f>
        <v/>
      </c>
      <c r="AJ369" s="2" t="str">
        <f>IF($W369=AJ$3,$AB369,IF(NOT($W369=0),"",SUMIFS('Val-Vol (2)'!AJ$4:AJ$1116,'Val-Vol (2)'!$A$4:$A$1116,$D369,'Val-Vol (2)'!$V$4:$V$1116,$V369)/SUMIFS('Comp2016-2017 (3)'!$G$5:$G$289,'Comp2016-2017 (3)'!$A$5:$A$289,$D369,'Comp2016-2017 (3)'!$R$5:$R$289,$V369)*$AB369))</f>
        <v/>
      </c>
      <c r="AK369" s="2">
        <f t="shared" si="45"/>
        <v>0</v>
      </c>
      <c r="AL369" t="str">
        <f t="shared" si="40"/>
        <v/>
      </c>
      <c r="AM369" t="str">
        <f>VLOOKUP(A369,'Table corresp.'!$M$4:$U$63,8,FALSE)</f>
        <v>Importation</v>
      </c>
      <c r="AN369" t="str">
        <f>VLOOKUP(D369,'Table corresp.'!$M$4:$U$63,9,FALSE)</f>
        <v>Production intermédiaire</v>
      </c>
    </row>
    <row r="370" spans="1:43" x14ac:dyDescent="0.25">
      <c r="A370" t="s">
        <v>52</v>
      </c>
      <c r="B370" t="str">
        <f>VLOOKUP(LEFT(A370,3),'Table corresp.'!$A$4:$D$63,3,FALSE)</f>
        <v>Importation</v>
      </c>
      <c r="C370" t="str">
        <f>VLOOKUP(A370,'Table corresp.'!$M$4:$P$63,4,FALSE)</f>
        <v>Importation</v>
      </c>
      <c r="D370" t="s">
        <v>96</v>
      </c>
      <c r="E370" t="str">
        <f>VLOOKUP(LEFT(D370,3),'Table corresp.'!$A$4:$D$63,4,FALSE)</f>
        <v>Transformation</v>
      </c>
      <c r="F370" t="str">
        <f t="shared" si="39"/>
        <v xml:space="preserve">Imp - 44 </v>
      </c>
      <c r="G370" s="1">
        <v>0</v>
      </c>
      <c r="H370" s="1">
        <v>4021357.54</v>
      </c>
      <c r="I370" s="1">
        <v>4021357.54</v>
      </c>
      <c r="J370" s="1">
        <v>0</v>
      </c>
      <c r="K370" s="1">
        <v>0</v>
      </c>
      <c r="L370" s="1">
        <v>0</v>
      </c>
      <c r="M370" s="1">
        <v>0</v>
      </c>
      <c r="N370" s="1">
        <v>6047.5310421559689</v>
      </c>
      <c r="O370" s="1">
        <v>6047.5310421559689</v>
      </c>
      <c r="P370" s="1">
        <v>0</v>
      </c>
      <c r="Q370" s="1">
        <v>0</v>
      </c>
      <c r="R370" s="1">
        <v>0</v>
      </c>
      <c r="S370" s="67"/>
      <c r="T370">
        <f>VLOOKUP(A370,'Groupe de branches'!$Z$27:$AM$86,14,FALSE)</f>
        <v>0</v>
      </c>
      <c r="U370">
        <f>VLOOKUP(D370,'Groupe de branches'!$Z$27:$AM$86,14,FALSE)</f>
        <v>0</v>
      </c>
      <c r="V370">
        <v>2016</v>
      </c>
      <c r="W370" t="str">
        <f>VLOOKUP(D370,'Table corresp.'!$M$4:$S$63,7,FALSE)</f>
        <v>Pate &amp; papier &amp; carton</v>
      </c>
      <c r="X370" s="167">
        <f>IFERROR(G370/SUMIFS('Comp2016-2017 (3)'!$I$5:$I$289,'Comp2016-2017 (3)'!$A$5:$A$289,A370,'Comp2016-2017 (3)'!$R$5:$R$289,V370),0)</f>
        <v>0</v>
      </c>
      <c r="Y370" s="178">
        <f>IFERROR(IF(RIGHT(F370,3)="Exp",VLOOKUP(F370,#REF!,2,FALSE),VLOOKUP(F370,#REF!,9,FALSE)),0)</f>
        <v>0</v>
      </c>
      <c r="Z370" s="167">
        <f t="shared" si="44"/>
        <v>0</v>
      </c>
      <c r="AA370" s="189">
        <f t="shared" si="41"/>
        <v>0</v>
      </c>
      <c r="AB370" s="2">
        <f>IFERROR(SUMIFS('Comp2016-2017 (3)'!$G$5:$G$289,'Comp2016-2017 (3)'!$A$5:$A$289,A370,'Comp2016-2017 (3)'!$R$5:$R$289,V370)*AA370/SUMIFS($AA$4:$AA$1116,$A$4:$A$1116,A370,$V$4:$V$1116,V370),0)</f>
        <v>0</v>
      </c>
      <c r="AC370" s="2" t="str">
        <f>IF($W370=AC$3,$AB370,IF(NOT($W370=0),"",SUMIFS('Val-Vol (2)'!AC$4:AC$1116,'Val-Vol (2)'!$A$4:$A$1116,$D370,'Val-Vol (2)'!$V$4:$V$1116,$V370)/SUMIFS('Comp2016-2017 (3)'!$G$5:$G$289,'Comp2016-2017 (3)'!$A$5:$A$289,$D370,'Comp2016-2017 (3)'!$R$5:$R$289,$V370)*$AB370))</f>
        <v/>
      </c>
      <c r="AD370" s="2" t="str">
        <f>IF($W370=AD$3,$AB370,IF(NOT($W370=0),"",SUMIFS('Val-Vol (2)'!AD$4:AD$1116,'Val-Vol (2)'!$A$4:$A$1116,$D370,'Val-Vol (2)'!$V$4:$V$1116,$V370)/SUMIFS('Comp2016-2017 (3)'!$G$5:$G$289,'Comp2016-2017 (3)'!$A$5:$A$289,$D370,'Comp2016-2017 (3)'!$R$5:$R$289,$V370)*$AB370))</f>
        <v/>
      </c>
      <c r="AE370" s="2" t="str">
        <f>IF($W370=AE$3,$AB370,IF(NOT($W370=0),"",SUMIFS('Val-Vol (2)'!AE$4:AE$1116,'Val-Vol (2)'!$A$4:$A$1116,$D370,'Val-Vol (2)'!$V$4:$V$1116,$V370)/SUMIFS('Comp2016-2017 (3)'!$G$5:$G$289,'Comp2016-2017 (3)'!$A$5:$A$289,$D370,'Comp2016-2017 (3)'!$R$5:$R$289,$V370)*$AB370))</f>
        <v/>
      </c>
      <c r="AF370" s="2">
        <f>IF($W370=AF$3,$AB370,IF(NOT($W370=0),"",SUMIFS('Val-Vol (2)'!AF$4:AF$1116,'Val-Vol (2)'!$A$4:$A$1116,$D370,'Val-Vol (2)'!$V$4:$V$1116,$V370)/SUMIFS('Comp2016-2017 (3)'!$G$5:$G$289,'Comp2016-2017 (3)'!$A$5:$A$289,$D370,'Comp2016-2017 (3)'!$R$5:$R$289,$V370)*$AB370))</f>
        <v>0</v>
      </c>
      <c r="AG370" s="2" t="str">
        <f>IF($W370=AG$3,$AB370,IF(NOT($W370=0),"",SUMIFS('Val-Vol (2)'!AG$4:AG$1116,'Val-Vol (2)'!$A$4:$A$1116,$D370,'Val-Vol (2)'!$V$4:$V$1116,$V370)/SUMIFS('Comp2016-2017 (3)'!$G$5:$G$289,'Comp2016-2017 (3)'!$A$5:$A$289,$D370,'Comp2016-2017 (3)'!$R$5:$R$289,$V370)*$AB370))</f>
        <v/>
      </c>
      <c r="AH370" s="2" t="str">
        <f>IF($W370=AH$3,$AB370,IF(NOT($W370=0),"",SUMIFS('Val-Vol (2)'!AH$4:AH$1116,'Val-Vol (2)'!$A$4:$A$1116,$D370,'Val-Vol (2)'!$V$4:$V$1116,$V370)/SUMIFS('Comp2016-2017 (3)'!$G$5:$G$289,'Comp2016-2017 (3)'!$A$5:$A$289,$D370,'Comp2016-2017 (3)'!$R$5:$R$289,$V370)*$AB370))</f>
        <v/>
      </c>
      <c r="AI370" s="2" t="str">
        <f>IF($W370=AI$3,$AB370,IF(NOT($W370=0),"",SUMIFS('Val-Vol (2)'!AI$4:AI$1116,'Val-Vol (2)'!$A$4:$A$1116,$D370,'Val-Vol (2)'!$V$4:$V$1116,$V370)/SUMIFS('Comp2016-2017 (3)'!$G$5:$G$289,'Comp2016-2017 (3)'!$A$5:$A$289,$D370,'Comp2016-2017 (3)'!$R$5:$R$289,$V370)*$AB370))</f>
        <v/>
      </c>
      <c r="AJ370" s="2" t="str">
        <f>IF($W370=AJ$3,$AB370,IF(NOT($W370=0),"",SUMIFS('Val-Vol (2)'!AJ$4:AJ$1116,'Val-Vol (2)'!$A$4:$A$1116,$D370,'Val-Vol (2)'!$V$4:$V$1116,$V370)/SUMIFS('Comp2016-2017 (3)'!$G$5:$G$289,'Comp2016-2017 (3)'!$A$5:$A$289,$D370,'Comp2016-2017 (3)'!$R$5:$R$289,$V370)*$AB370))</f>
        <v/>
      </c>
      <c r="AK370" s="2">
        <f t="shared" si="45"/>
        <v>0</v>
      </c>
      <c r="AL370" t="str">
        <f t="shared" si="40"/>
        <v/>
      </c>
      <c r="AM370" t="str">
        <f>VLOOKUP(A370,'Table corresp.'!$M$4:$U$63,8,FALSE)</f>
        <v>Importation</v>
      </c>
      <c r="AN370" t="str">
        <f>VLOOKUP(D370,'Table corresp.'!$M$4:$U$63,9,FALSE)</f>
        <v>Production intermédiaire</v>
      </c>
    </row>
    <row r="371" spans="1:43" x14ac:dyDescent="0.25">
      <c r="A371" t="s">
        <v>52</v>
      </c>
      <c r="B371" t="str">
        <f>VLOOKUP(LEFT(A371,3),'Table corresp.'!$A$4:$D$63,3,FALSE)</f>
        <v>Importation</v>
      </c>
      <c r="C371" t="str">
        <f>VLOOKUP(A371,'Table corresp.'!$M$4:$P$63,4,FALSE)</f>
        <v>Importation</v>
      </c>
      <c r="D371" t="s">
        <v>97</v>
      </c>
      <c r="E371" t="str">
        <f>VLOOKUP(LEFT(D371,3),'Table corresp.'!$A$4:$D$63,4,FALSE)</f>
        <v>Transformation</v>
      </c>
      <c r="F371" t="str">
        <f t="shared" si="39"/>
        <v xml:space="preserve">Imp - 45 </v>
      </c>
      <c r="G371" s="1">
        <v>0</v>
      </c>
      <c r="H371" s="1">
        <v>3610669.98</v>
      </c>
      <c r="I371" s="1">
        <v>3610669.98</v>
      </c>
      <c r="J371" s="1">
        <v>0</v>
      </c>
      <c r="K371" s="1">
        <v>0</v>
      </c>
      <c r="L371" s="1">
        <v>0</v>
      </c>
      <c r="M371" s="1">
        <v>0</v>
      </c>
      <c r="N371" s="1">
        <v>1696.4116192733454</v>
      </c>
      <c r="O371" s="1">
        <v>1696.4116192733454</v>
      </c>
      <c r="P371" s="1">
        <v>0</v>
      </c>
      <c r="Q371" s="1">
        <v>0</v>
      </c>
      <c r="R371" s="1">
        <v>0</v>
      </c>
      <c r="S371" s="67"/>
      <c r="T371">
        <f>VLOOKUP(A371,'Groupe de branches'!$Z$27:$AM$86,14,FALSE)</f>
        <v>0</v>
      </c>
      <c r="U371">
        <f>VLOOKUP(D371,'Groupe de branches'!$Z$27:$AM$86,14,FALSE)</f>
        <v>0</v>
      </c>
      <c r="V371">
        <v>2016</v>
      </c>
      <c r="W371" t="str">
        <f>VLOOKUP(D371,'Table corresp.'!$M$4:$S$63,7,FALSE)</f>
        <v>Pate &amp; papier &amp; carton</v>
      </c>
      <c r="X371" s="167">
        <f>IFERROR(G371/SUMIFS('Comp2016-2017 (3)'!$I$5:$I$289,'Comp2016-2017 (3)'!$A$5:$A$289,A371,'Comp2016-2017 (3)'!$R$5:$R$289,V371),0)</f>
        <v>0</v>
      </c>
      <c r="Y371" s="178">
        <f>IFERROR(IF(RIGHT(F371,3)="Exp",VLOOKUP(F371,#REF!,2,FALSE),VLOOKUP(F371,#REF!,9,FALSE)),0)</f>
        <v>0</v>
      </c>
      <c r="Z371" s="167">
        <f t="shared" si="44"/>
        <v>0</v>
      </c>
      <c r="AA371" s="189">
        <f t="shared" si="41"/>
        <v>0</v>
      </c>
      <c r="AB371" s="2">
        <f>IFERROR(SUMIFS('Comp2016-2017 (3)'!$G$5:$G$289,'Comp2016-2017 (3)'!$A$5:$A$289,A371,'Comp2016-2017 (3)'!$R$5:$R$289,V371)*AA371/SUMIFS($AA$4:$AA$1116,$A$4:$A$1116,A371,$V$4:$V$1116,V371),0)</f>
        <v>0</v>
      </c>
      <c r="AC371" s="2" t="str">
        <f>IF($W371=AC$3,$AB371,IF(NOT($W371=0),"",SUMIFS('Val-Vol (2)'!AC$4:AC$1116,'Val-Vol (2)'!$A$4:$A$1116,$D371,'Val-Vol (2)'!$V$4:$V$1116,$V371)/SUMIFS('Comp2016-2017 (3)'!$G$5:$G$289,'Comp2016-2017 (3)'!$A$5:$A$289,$D371,'Comp2016-2017 (3)'!$R$5:$R$289,$V371)*$AB371))</f>
        <v/>
      </c>
      <c r="AD371" s="2" t="str">
        <f>IF($W371=AD$3,$AB371,IF(NOT($W371=0),"",SUMIFS('Val-Vol (2)'!AD$4:AD$1116,'Val-Vol (2)'!$A$4:$A$1116,$D371,'Val-Vol (2)'!$V$4:$V$1116,$V371)/SUMIFS('Comp2016-2017 (3)'!$G$5:$G$289,'Comp2016-2017 (3)'!$A$5:$A$289,$D371,'Comp2016-2017 (3)'!$R$5:$R$289,$V371)*$AB371))</f>
        <v/>
      </c>
      <c r="AE371" s="2" t="str">
        <f>IF($W371=AE$3,$AB371,IF(NOT($W371=0),"",SUMIFS('Val-Vol (2)'!AE$4:AE$1116,'Val-Vol (2)'!$A$4:$A$1116,$D371,'Val-Vol (2)'!$V$4:$V$1116,$V371)/SUMIFS('Comp2016-2017 (3)'!$G$5:$G$289,'Comp2016-2017 (3)'!$A$5:$A$289,$D371,'Comp2016-2017 (3)'!$R$5:$R$289,$V371)*$AB371))</f>
        <v/>
      </c>
      <c r="AF371" s="2">
        <f>IF($W371=AF$3,$AB371,IF(NOT($W371=0),"",SUMIFS('Val-Vol (2)'!AF$4:AF$1116,'Val-Vol (2)'!$A$4:$A$1116,$D371,'Val-Vol (2)'!$V$4:$V$1116,$V371)/SUMIFS('Comp2016-2017 (3)'!$G$5:$G$289,'Comp2016-2017 (3)'!$A$5:$A$289,$D371,'Comp2016-2017 (3)'!$R$5:$R$289,$V371)*$AB371))</f>
        <v>0</v>
      </c>
      <c r="AG371" s="2" t="str">
        <f>IF($W371=AG$3,$AB371,IF(NOT($W371=0),"",SUMIFS('Val-Vol (2)'!AG$4:AG$1116,'Val-Vol (2)'!$A$4:$A$1116,$D371,'Val-Vol (2)'!$V$4:$V$1116,$V371)/SUMIFS('Comp2016-2017 (3)'!$G$5:$G$289,'Comp2016-2017 (3)'!$A$5:$A$289,$D371,'Comp2016-2017 (3)'!$R$5:$R$289,$V371)*$AB371))</f>
        <v/>
      </c>
      <c r="AH371" s="2" t="str">
        <f>IF($W371=AH$3,$AB371,IF(NOT($W371=0),"",SUMIFS('Val-Vol (2)'!AH$4:AH$1116,'Val-Vol (2)'!$A$4:$A$1116,$D371,'Val-Vol (2)'!$V$4:$V$1116,$V371)/SUMIFS('Comp2016-2017 (3)'!$G$5:$G$289,'Comp2016-2017 (3)'!$A$5:$A$289,$D371,'Comp2016-2017 (3)'!$R$5:$R$289,$V371)*$AB371))</f>
        <v/>
      </c>
      <c r="AI371" s="2" t="str">
        <f>IF($W371=AI$3,$AB371,IF(NOT($W371=0),"",SUMIFS('Val-Vol (2)'!AI$4:AI$1116,'Val-Vol (2)'!$A$4:$A$1116,$D371,'Val-Vol (2)'!$V$4:$V$1116,$V371)/SUMIFS('Comp2016-2017 (3)'!$G$5:$G$289,'Comp2016-2017 (3)'!$A$5:$A$289,$D371,'Comp2016-2017 (3)'!$R$5:$R$289,$V371)*$AB371))</f>
        <v/>
      </c>
      <c r="AJ371" s="2" t="str">
        <f>IF($W371=AJ$3,$AB371,IF(NOT($W371=0),"",SUMIFS('Val-Vol (2)'!AJ$4:AJ$1116,'Val-Vol (2)'!$A$4:$A$1116,$D371,'Val-Vol (2)'!$V$4:$V$1116,$V371)/SUMIFS('Comp2016-2017 (3)'!$G$5:$G$289,'Comp2016-2017 (3)'!$A$5:$A$289,$D371,'Comp2016-2017 (3)'!$R$5:$R$289,$V371)*$AB371))</f>
        <v/>
      </c>
      <c r="AK371" s="2">
        <f t="shared" si="45"/>
        <v>0</v>
      </c>
      <c r="AL371" t="str">
        <f t="shared" si="40"/>
        <v/>
      </c>
      <c r="AM371" t="str">
        <f>VLOOKUP(A371,'Table corresp.'!$M$4:$U$63,8,FALSE)</f>
        <v>Importation</v>
      </c>
      <c r="AN371" t="str">
        <f>VLOOKUP(D371,'Table corresp.'!$M$4:$U$63,9,FALSE)</f>
        <v>Production finale</v>
      </c>
    </row>
    <row r="372" spans="1:43" x14ac:dyDescent="0.25">
      <c r="A372" t="s">
        <v>52</v>
      </c>
      <c r="B372" t="str">
        <f>VLOOKUP(LEFT(A372,3),'Table corresp.'!$A$4:$D$63,3,FALSE)</f>
        <v>Importation</v>
      </c>
      <c r="C372" t="str">
        <f>VLOOKUP(A372,'Table corresp.'!$M$4:$P$63,4,FALSE)</f>
        <v>Importation</v>
      </c>
      <c r="D372" t="s">
        <v>98</v>
      </c>
      <c r="E372" t="str">
        <f>VLOOKUP(LEFT(D372,3),'Table corresp.'!$A$4:$D$63,4,FALSE)</f>
        <v>Transformation</v>
      </c>
      <c r="F372" t="str">
        <f t="shared" si="39"/>
        <v xml:space="preserve">Imp - 46 </v>
      </c>
      <c r="G372" s="1">
        <v>0</v>
      </c>
      <c r="H372" s="1">
        <v>27833.044982698957</v>
      </c>
      <c r="I372" s="1">
        <v>27833.044982698957</v>
      </c>
      <c r="J372" s="1">
        <v>0</v>
      </c>
      <c r="K372" s="1">
        <v>0</v>
      </c>
      <c r="L372" s="1">
        <v>0</v>
      </c>
      <c r="M372" s="1">
        <v>0</v>
      </c>
      <c r="N372" s="1">
        <v>110.98113772948291</v>
      </c>
      <c r="O372" s="1">
        <v>110.98113772948291</v>
      </c>
      <c r="P372" s="1">
        <v>0</v>
      </c>
      <c r="Q372" s="1">
        <v>0</v>
      </c>
      <c r="R372" s="1">
        <v>0</v>
      </c>
      <c r="S372" s="67"/>
      <c r="T372">
        <f>VLOOKUP(A372,'Groupe de branches'!$Z$27:$AM$86,14,FALSE)</f>
        <v>0</v>
      </c>
      <c r="U372">
        <f>VLOOKUP(D372,'Groupe de branches'!$Z$27:$AM$86,14,FALSE)</f>
        <v>0</v>
      </c>
      <c r="V372">
        <v>2016</v>
      </c>
      <c r="W372" t="str">
        <f>VLOOKUP(D372,'Table corresp.'!$M$4:$S$63,7,FALSE)</f>
        <v>Produits de consommation courante</v>
      </c>
      <c r="X372" s="167">
        <f>IFERROR(G372/SUMIFS('Comp2016-2017 (3)'!$I$5:$I$289,'Comp2016-2017 (3)'!$A$5:$A$289,A372,'Comp2016-2017 (3)'!$R$5:$R$289,V372),0)</f>
        <v>0</v>
      </c>
      <c r="Y372" s="178">
        <f>IFERROR(IF(RIGHT(F372,3)="Exp",VLOOKUP(F372,#REF!,2,FALSE),VLOOKUP(F372,#REF!,9,FALSE)),0)</f>
        <v>0</v>
      </c>
      <c r="Z372" s="167">
        <f t="shared" si="44"/>
        <v>0</v>
      </c>
      <c r="AA372" s="189">
        <f t="shared" si="41"/>
        <v>0</v>
      </c>
      <c r="AB372" s="2">
        <f>IFERROR(SUMIFS('Comp2016-2017 (3)'!$G$5:$G$289,'Comp2016-2017 (3)'!$A$5:$A$289,A372,'Comp2016-2017 (3)'!$R$5:$R$289,V372)*AA372/SUMIFS($AA$4:$AA$1116,$A$4:$A$1116,A372,$V$4:$V$1116,V372),0)</f>
        <v>0</v>
      </c>
      <c r="AC372" s="2" t="str">
        <f>IF($W372=AC$3,$AB372,IF(NOT($W372=0),"",SUMIFS('Val-Vol (2)'!AC$4:AC$1116,'Val-Vol (2)'!$A$4:$A$1116,$D372,'Val-Vol (2)'!$V$4:$V$1116,$V372)/SUMIFS('Comp2016-2017 (3)'!$G$5:$G$289,'Comp2016-2017 (3)'!$A$5:$A$289,$D372,'Comp2016-2017 (3)'!$R$5:$R$289,$V372)*$AB372))</f>
        <v/>
      </c>
      <c r="AD372" s="2" t="str">
        <f>IF($W372=AD$3,$AB372,IF(NOT($W372=0),"",SUMIFS('Val-Vol (2)'!AD$4:AD$1116,'Val-Vol (2)'!$A$4:$A$1116,$D372,'Val-Vol (2)'!$V$4:$V$1116,$V372)/SUMIFS('Comp2016-2017 (3)'!$G$5:$G$289,'Comp2016-2017 (3)'!$A$5:$A$289,$D372,'Comp2016-2017 (3)'!$R$5:$R$289,$V372)*$AB372))</f>
        <v/>
      </c>
      <c r="AE372" s="2" t="str">
        <f>IF($W372=AE$3,$AB372,IF(NOT($W372=0),"",SUMIFS('Val-Vol (2)'!AE$4:AE$1116,'Val-Vol (2)'!$A$4:$A$1116,$D372,'Val-Vol (2)'!$V$4:$V$1116,$V372)/SUMIFS('Comp2016-2017 (3)'!$G$5:$G$289,'Comp2016-2017 (3)'!$A$5:$A$289,$D372,'Comp2016-2017 (3)'!$R$5:$R$289,$V372)*$AB372))</f>
        <v/>
      </c>
      <c r="AF372" s="2" t="str">
        <f>IF($W372=AF$3,$AB372,IF(NOT($W372=0),"",SUMIFS('Val-Vol (2)'!AF$4:AF$1116,'Val-Vol (2)'!$A$4:$A$1116,$D372,'Val-Vol (2)'!$V$4:$V$1116,$V372)/SUMIFS('Comp2016-2017 (3)'!$G$5:$G$289,'Comp2016-2017 (3)'!$A$5:$A$289,$D372,'Comp2016-2017 (3)'!$R$5:$R$289,$V372)*$AB372))</f>
        <v/>
      </c>
      <c r="AG372" s="2" t="str">
        <f>IF($W372=AG$3,$AB372,IF(NOT($W372=0),"",SUMIFS('Val-Vol (2)'!AG$4:AG$1116,'Val-Vol (2)'!$A$4:$A$1116,$D372,'Val-Vol (2)'!$V$4:$V$1116,$V372)/SUMIFS('Comp2016-2017 (3)'!$G$5:$G$289,'Comp2016-2017 (3)'!$A$5:$A$289,$D372,'Comp2016-2017 (3)'!$R$5:$R$289,$V372)*$AB372))</f>
        <v/>
      </c>
      <c r="AH372" s="2" t="str">
        <f>IF($W372=AH$3,$AB372,IF(NOT($W372=0),"",SUMIFS('Val-Vol (2)'!AH$4:AH$1116,'Val-Vol (2)'!$A$4:$A$1116,$D372,'Val-Vol (2)'!$V$4:$V$1116,$V372)/SUMIFS('Comp2016-2017 (3)'!$G$5:$G$289,'Comp2016-2017 (3)'!$A$5:$A$289,$D372,'Comp2016-2017 (3)'!$R$5:$R$289,$V372)*$AB372))</f>
        <v/>
      </c>
      <c r="AI372" s="2">
        <f>IF($W372=AI$3,$AB372,IF(NOT($W372=0),"",SUMIFS('Val-Vol (2)'!AI$4:AI$1116,'Val-Vol (2)'!$A$4:$A$1116,$D372,'Val-Vol (2)'!$V$4:$V$1116,$V372)/SUMIFS('Comp2016-2017 (3)'!$G$5:$G$289,'Comp2016-2017 (3)'!$A$5:$A$289,$D372,'Comp2016-2017 (3)'!$R$5:$R$289,$V372)*$AB372))</f>
        <v>0</v>
      </c>
      <c r="AJ372" s="2" t="str">
        <f>IF($W372=AJ$3,$AB372,IF(NOT($W372=0),"",SUMIFS('Val-Vol (2)'!AJ$4:AJ$1116,'Val-Vol (2)'!$A$4:$A$1116,$D372,'Val-Vol (2)'!$V$4:$V$1116,$V372)/SUMIFS('Comp2016-2017 (3)'!$G$5:$G$289,'Comp2016-2017 (3)'!$A$5:$A$289,$D372,'Comp2016-2017 (3)'!$R$5:$R$289,$V372)*$AB372))</f>
        <v/>
      </c>
      <c r="AK372" s="2">
        <f t="shared" si="45"/>
        <v>0</v>
      </c>
      <c r="AL372" t="str">
        <f t="shared" si="40"/>
        <v/>
      </c>
      <c r="AM372" t="str">
        <f>VLOOKUP(A372,'Table corresp.'!$M$4:$U$63,8,FALSE)</f>
        <v>Importation</v>
      </c>
      <c r="AN372" t="str">
        <f>VLOOKUP(D372,'Table corresp.'!$M$4:$U$63,9,FALSE)</f>
        <v>Production intermédiaire</v>
      </c>
    </row>
    <row r="373" spans="1:43" x14ac:dyDescent="0.25">
      <c r="A373" t="s">
        <v>52</v>
      </c>
      <c r="B373" t="str">
        <f>VLOOKUP(LEFT(A373,3),'Table corresp.'!$A$4:$D$63,3,FALSE)</f>
        <v>Importation</v>
      </c>
      <c r="C373" t="str">
        <f>VLOOKUP(A373,'Table corresp.'!$M$4:$P$63,4,FALSE)</f>
        <v>Importation</v>
      </c>
      <c r="D373" t="s">
        <v>99</v>
      </c>
      <c r="E373" t="str">
        <f>VLOOKUP(LEFT(D373,3),'Table corresp.'!$A$4:$D$63,4,FALSE)</f>
        <v>Transformation</v>
      </c>
      <c r="F373" t="str">
        <f t="shared" si="39"/>
        <v xml:space="preserve">Imp - 47 </v>
      </c>
      <c r="G373" s="1">
        <v>0</v>
      </c>
      <c r="H373" s="1">
        <v>3379168.8160000001</v>
      </c>
      <c r="I373" s="1">
        <v>3379168.8160000001</v>
      </c>
      <c r="J373" s="1">
        <v>0</v>
      </c>
      <c r="K373" s="1">
        <v>701.94076648688304</v>
      </c>
      <c r="L373" s="1">
        <v>701.94076648688304</v>
      </c>
      <c r="M373" s="1">
        <v>0</v>
      </c>
      <c r="N373" s="1">
        <v>1564.8291535794037</v>
      </c>
      <c r="O373" s="1">
        <v>1564.8291535794037</v>
      </c>
      <c r="P373" s="1">
        <v>0</v>
      </c>
      <c r="Q373" s="1">
        <v>379.77756417078416</v>
      </c>
      <c r="R373" s="1">
        <v>379.77756417078416</v>
      </c>
      <c r="S373" s="67" t="s">
        <v>192</v>
      </c>
      <c r="T373">
        <f>VLOOKUP(A373,'Groupe de branches'!$Z$27:$AM$86,14,FALSE)</f>
        <v>0</v>
      </c>
      <c r="U373">
        <f>VLOOKUP(D373,'Groupe de branches'!$Z$27:$AM$86,14,FALSE)</f>
        <v>0</v>
      </c>
      <c r="V373">
        <v>2016</v>
      </c>
      <c r="W373" t="str">
        <f>VLOOKUP(D373,'Table corresp.'!$M$4:$S$63,7,FALSE)</f>
        <v>Meuble</v>
      </c>
      <c r="X373" s="167">
        <f>IFERROR(G373/SUMIFS('Comp2016-2017 (3)'!$I$5:$I$289,'Comp2016-2017 (3)'!$A$5:$A$289,A373,'Comp2016-2017 (3)'!$R$5:$R$289,V373),0)</f>
        <v>0</v>
      </c>
      <c r="Y373" s="178">
        <f>IFERROR(IF(RIGHT(F373,3)="Exp",VLOOKUP(F373,#REF!,2,FALSE),VLOOKUP(F373,#REF!,9,FALSE)),0)</f>
        <v>0</v>
      </c>
      <c r="Z373" s="167">
        <f t="shared" si="44"/>
        <v>0</v>
      </c>
      <c r="AA373" s="189">
        <f t="shared" si="41"/>
        <v>0</v>
      </c>
      <c r="AB373" s="2">
        <f>IFERROR(SUMIFS('Comp2016-2017 (3)'!$G$5:$G$289,'Comp2016-2017 (3)'!$A$5:$A$289,A373,'Comp2016-2017 (3)'!$R$5:$R$289,V373)*AA373/SUMIFS($AA$4:$AA$1116,$A$4:$A$1116,A373,$V$4:$V$1116,V373),0)</f>
        <v>0</v>
      </c>
      <c r="AC373" s="2" t="str">
        <f>IF($W373=AC$3,$AB373,IF(NOT($W373=0),"",SUMIFS('Val-Vol (2)'!AC$4:AC$1116,'Val-Vol (2)'!$A$4:$A$1116,$D373,'Val-Vol (2)'!$V$4:$V$1116,$V373)/SUMIFS('Comp2016-2017 (3)'!$G$5:$G$289,'Comp2016-2017 (3)'!$A$5:$A$289,$D373,'Comp2016-2017 (3)'!$R$5:$R$289,$V373)*$AB373))</f>
        <v/>
      </c>
      <c r="AD373" s="2" t="str">
        <f>IF($W373=AD$3,$AB373,IF(NOT($W373=0),"",SUMIFS('Val-Vol (2)'!AD$4:AD$1116,'Val-Vol (2)'!$A$4:$A$1116,$D373,'Val-Vol (2)'!$V$4:$V$1116,$V373)/SUMIFS('Comp2016-2017 (3)'!$G$5:$G$289,'Comp2016-2017 (3)'!$A$5:$A$289,$D373,'Comp2016-2017 (3)'!$R$5:$R$289,$V373)*$AB373))</f>
        <v/>
      </c>
      <c r="AE373" s="2">
        <f>IF($W373=AE$3,$AB373,IF(NOT($W373=0),"",SUMIFS('Val-Vol (2)'!AE$4:AE$1116,'Val-Vol (2)'!$A$4:$A$1116,$D373,'Val-Vol (2)'!$V$4:$V$1116,$V373)/SUMIFS('Comp2016-2017 (3)'!$G$5:$G$289,'Comp2016-2017 (3)'!$A$5:$A$289,$D373,'Comp2016-2017 (3)'!$R$5:$R$289,$V373)*$AB373))</f>
        <v>0</v>
      </c>
      <c r="AF373" s="2" t="str">
        <f>IF($W373=AF$3,$AB373,IF(NOT($W373=0),"",SUMIFS('Val-Vol (2)'!AF$4:AF$1116,'Val-Vol (2)'!$A$4:$A$1116,$D373,'Val-Vol (2)'!$V$4:$V$1116,$V373)/SUMIFS('Comp2016-2017 (3)'!$G$5:$G$289,'Comp2016-2017 (3)'!$A$5:$A$289,$D373,'Comp2016-2017 (3)'!$R$5:$R$289,$V373)*$AB373))</f>
        <v/>
      </c>
      <c r="AG373" s="2" t="str">
        <f>IF($W373=AG$3,$AB373,IF(NOT($W373=0),"",SUMIFS('Val-Vol (2)'!AG$4:AG$1116,'Val-Vol (2)'!$A$4:$A$1116,$D373,'Val-Vol (2)'!$V$4:$V$1116,$V373)/SUMIFS('Comp2016-2017 (3)'!$G$5:$G$289,'Comp2016-2017 (3)'!$A$5:$A$289,$D373,'Comp2016-2017 (3)'!$R$5:$R$289,$V373)*$AB373))</f>
        <v/>
      </c>
      <c r="AH373" s="2" t="str">
        <f>IF($W373=AH$3,$AB373,IF(NOT($W373=0),"",SUMIFS('Val-Vol (2)'!AH$4:AH$1116,'Val-Vol (2)'!$A$4:$A$1116,$D373,'Val-Vol (2)'!$V$4:$V$1116,$V373)/SUMIFS('Comp2016-2017 (3)'!$G$5:$G$289,'Comp2016-2017 (3)'!$A$5:$A$289,$D373,'Comp2016-2017 (3)'!$R$5:$R$289,$V373)*$AB373))</f>
        <v/>
      </c>
      <c r="AI373" s="2" t="str">
        <f>IF($W373=AI$3,$AB373,IF(NOT($W373=0),"",SUMIFS('Val-Vol (2)'!AI$4:AI$1116,'Val-Vol (2)'!$A$4:$A$1116,$D373,'Val-Vol (2)'!$V$4:$V$1116,$V373)/SUMIFS('Comp2016-2017 (3)'!$G$5:$G$289,'Comp2016-2017 (3)'!$A$5:$A$289,$D373,'Comp2016-2017 (3)'!$R$5:$R$289,$V373)*$AB373))</f>
        <v/>
      </c>
      <c r="AJ373" s="2" t="str">
        <f>IF($W373=AJ$3,$AB373,IF(NOT($W373=0),"",SUMIFS('Val-Vol (2)'!AJ$4:AJ$1116,'Val-Vol (2)'!$A$4:$A$1116,$D373,'Val-Vol (2)'!$V$4:$V$1116,$V373)/SUMIFS('Comp2016-2017 (3)'!$G$5:$G$289,'Comp2016-2017 (3)'!$A$5:$A$289,$D373,'Comp2016-2017 (3)'!$R$5:$R$289,$V373)*$AB373))</f>
        <v/>
      </c>
      <c r="AK373" s="2">
        <f t="shared" si="45"/>
        <v>0</v>
      </c>
      <c r="AL373" t="str">
        <f t="shared" si="40"/>
        <v/>
      </c>
      <c r="AM373" t="str">
        <f>VLOOKUP(A373,'Table corresp.'!$M$4:$U$63,8,FALSE)</f>
        <v>Importation</v>
      </c>
      <c r="AN373" t="str">
        <f>VLOOKUP(D373,'Table corresp.'!$M$4:$U$63,9,FALSE)</f>
        <v>Production finale</v>
      </c>
    </row>
    <row r="374" spans="1:43" x14ac:dyDescent="0.25">
      <c r="A374" t="s">
        <v>52</v>
      </c>
      <c r="B374" t="str">
        <f>VLOOKUP(LEFT(A374,3),'Table corresp.'!$A$4:$D$63,3,FALSE)</f>
        <v>Importation</v>
      </c>
      <c r="C374" t="str">
        <f>VLOOKUP(A374,'Table corresp.'!$M$4:$P$63,4,FALSE)</f>
        <v>Importation</v>
      </c>
      <c r="D374" t="s">
        <v>100</v>
      </c>
      <c r="E374" t="str">
        <f>VLOOKUP(LEFT(D374,3),'Table corresp.'!$A$4:$D$63,4,FALSE)</f>
        <v>Transformation</v>
      </c>
      <c r="F374" t="str">
        <f t="shared" si="39"/>
        <v xml:space="preserve">Imp - 48 </v>
      </c>
      <c r="G374" s="1">
        <v>0</v>
      </c>
      <c r="H374" s="1">
        <v>356515</v>
      </c>
      <c r="I374" s="1">
        <v>356515</v>
      </c>
      <c r="J374" s="1">
        <v>0</v>
      </c>
      <c r="K374" s="1">
        <v>379.70483094655611</v>
      </c>
      <c r="L374" s="1">
        <v>379.70483094655611</v>
      </c>
      <c r="M374" s="1">
        <v>0</v>
      </c>
      <c r="N374" s="1">
        <v>0</v>
      </c>
      <c r="O374" s="1">
        <v>0</v>
      </c>
      <c r="P374" s="1">
        <v>0</v>
      </c>
      <c r="Q374" s="1">
        <v>0</v>
      </c>
      <c r="R374" s="1">
        <v>0</v>
      </c>
      <c r="S374" s="67"/>
      <c r="T374">
        <f>VLOOKUP(A374,'Groupe de branches'!$Z$27:$AM$86,14,FALSE)</f>
        <v>0</v>
      </c>
      <c r="U374">
        <f>VLOOKUP(D374,'Groupe de branches'!$Z$27:$AM$86,14,FALSE)</f>
        <v>0</v>
      </c>
      <c r="V374">
        <v>2016</v>
      </c>
      <c r="W374" t="str">
        <f>VLOOKUP(D374,'Table corresp.'!$M$4:$S$63,7,FALSE)</f>
        <v>Produits de consommation courante</v>
      </c>
      <c r="X374" s="167">
        <f>IFERROR(G374/SUMIFS('Comp2016-2017 (3)'!$I$5:$I$289,'Comp2016-2017 (3)'!$A$5:$A$289,A374,'Comp2016-2017 (3)'!$R$5:$R$289,V374),0)</f>
        <v>0</v>
      </c>
      <c r="Y374" s="178">
        <f>IFERROR(IF(RIGHT(F374,3)="Exp",VLOOKUP(F374,#REF!,2,FALSE),VLOOKUP(F374,#REF!,9,FALSE)),0)</f>
        <v>0</v>
      </c>
      <c r="Z374" s="167">
        <f t="shared" si="44"/>
        <v>0</v>
      </c>
      <c r="AA374" s="189">
        <f t="shared" si="41"/>
        <v>0</v>
      </c>
      <c r="AB374" s="2">
        <f>IFERROR(SUMIFS('Comp2016-2017 (3)'!$G$5:$G$289,'Comp2016-2017 (3)'!$A$5:$A$289,A374,'Comp2016-2017 (3)'!$R$5:$R$289,V374)*AA374/SUMIFS($AA$4:$AA$1116,$A$4:$A$1116,A374,$V$4:$V$1116,V374),0)</f>
        <v>0</v>
      </c>
      <c r="AC374" s="2" t="str">
        <f>IF($W374=AC$3,$AB374,IF(NOT($W374=0),"",SUMIFS('Val-Vol (2)'!AC$4:AC$1116,'Val-Vol (2)'!$A$4:$A$1116,$D374,'Val-Vol (2)'!$V$4:$V$1116,$V374)/SUMIFS('Comp2016-2017 (3)'!$G$5:$G$289,'Comp2016-2017 (3)'!$A$5:$A$289,$D374,'Comp2016-2017 (3)'!$R$5:$R$289,$V374)*$AB374))</f>
        <v/>
      </c>
      <c r="AD374" s="2" t="str">
        <f>IF($W374=AD$3,$AB374,IF(NOT($W374=0),"",SUMIFS('Val-Vol (2)'!AD$4:AD$1116,'Val-Vol (2)'!$A$4:$A$1116,$D374,'Val-Vol (2)'!$V$4:$V$1116,$V374)/SUMIFS('Comp2016-2017 (3)'!$G$5:$G$289,'Comp2016-2017 (3)'!$A$5:$A$289,$D374,'Comp2016-2017 (3)'!$R$5:$R$289,$V374)*$AB374))</f>
        <v/>
      </c>
      <c r="AE374" s="2" t="str">
        <f>IF($W374=AE$3,$AB374,IF(NOT($W374=0),"",SUMIFS('Val-Vol (2)'!AE$4:AE$1116,'Val-Vol (2)'!$A$4:$A$1116,$D374,'Val-Vol (2)'!$V$4:$V$1116,$V374)/SUMIFS('Comp2016-2017 (3)'!$G$5:$G$289,'Comp2016-2017 (3)'!$A$5:$A$289,$D374,'Comp2016-2017 (3)'!$R$5:$R$289,$V374)*$AB374))</f>
        <v/>
      </c>
      <c r="AF374" s="2" t="str">
        <f>IF($W374=AF$3,$AB374,IF(NOT($W374=0),"",SUMIFS('Val-Vol (2)'!AF$4:AF$1116,'Val-Vol (2)'!$A$4:$A$1116,$D374,'Val-Vol (2)'!$V$4:$V$1116,$V374)/SUMIFS('Comp2016-2017 (3)'!$G$5:$G$289,'Comp2016-2017 (3)'!$A$5:$A$289,$D374,'Comp2016-2017 (3)'!$R$5:$R$289,$V374)*$AB374))</f>
        <v/>
      </c>
      <c r="AG374" s="2" t="str">
        <f>IF($W374=AG$3,$AB374,IF(NOT($W374=0),"",SUMIFS('Val-Vol (2)'!AG$4:AG$1116,'Val-Vol (2)'!$A$4:$A$1116,$D374,'Val-Vol (2)'!$V$4:$V$1116,$V374)/SUMIFS('Comp2016-2017 (3)'!$G$5:$G$289,'Comp2016-2017 (3)'!$A$5:$A$289,$D374,'Comp2016-2017 (3)'!$R$5:$R$289,$V374)*$AB374))</f>
        <v/>
      </c>
      <c r="AH374" s="2" t="str">
        <f>IF($W374=AH$3,$AB374,IF(NOT($W374=0),"",SUMIFS('Val-Vol (2)'!AH$4:AH$1116,'Val-Vol (2)'!$A$4:$A$1116,$D374,'Val-Vol (2)'!$V$4:$V$1116,$V374)/SUMIFS('Comp2016-2017 (3)'!$G$5:$G$289,'Comp2016-2017 (3)'!$A$5:$A$289,$D374,'Comp2016-2017 (3)'!$R$5:$R$289,$V374)*$AB374))</f>
        <v/>
      </c>
      <c r="AI374" s="2">
        <f>IF($W374=AI$3,$AB374,IF(NOT($W374=0),"",SUMIFS('Val-Vol (2)'!AI$4:AI$1116,'Val-Vol (2)'!$A$4:$A$1116,$D374,'Val-Vol (2)'!$V$4:$V$1116,$V374)/SUMIFS('Comp2016-2017 (3)'!$G$5:$G$289,'Comp2016-2017 (3)'!$A$5:$A$289,$D374,'Comp2016-2017 (3)'!$R$5:$R$289,$V374)*$AB374))</f>
        <v>0</v>
      </c>
      <c r="AJ374" s="2" t="str">
        <f>IF($W374=AJ$3,$AB374,IF(NOT($W374=0),"",SUMIFS('Val-Vol (2)'!AJ$4:AJ$1116,'Val-Vol (2)'!$A$4:$A$1116,$D374,'Val-Vol (2)'!$V$4:$V$1116,$V374)/SUMIFS('Comp2016-2017 (3)'!$G$5:$G$289,'Comp2016-2017 (3)'!$A$5:$A$289,$D374,'Comp2016-2017 (3)'!$R$5:$R$289,$V374)*$AB374))</f>
        <v/>
      </c>
      <c r="AK374" s="2">
        <f t="shared" si="45"/>
        <v>0</v>
      </c>
      <c r="AL374" t="str">
        <f t="shared" si="40"/>
        <v/>
      </c>
      <c r="AM374" t="str">
        <f>VLOOKUP(A374,'Table corresp.'!$M$4:$U$63,8,FALSE)</f>
        <v>Importation</v>
      </c>
      <c r="AN374" t="str">
        <f>VLOOKUP(D374,'Table corresp.'!$M$4:$U$63,9,FALSE)</f>
        <v>Production finale</v>
      </c>
    </row>
    <row r="375" spans="1:43" s="192" customFormat="1" x14ac:dyDescent="0.25">
      <c r="A375" s="192" t="s">
        <v>80</v>
      </c>
      <c r="B375" s="192">
        <f>VLOOKUP(LEFT(A375,3),'Table corresp.'!$A$4:$D$63,3,FALSE)</f>
        <v>0</v>
      </c>
      <c r="C375" t="str">
        <f>VLOOKUP(A375,'Table corresp.'!$M$4:$P$63,4,FALSE)</f>
        <v>Production et transformation de produits bois</v>
      </c>
      <c r="D375" s="192" t="s">
        <v>81</v>
      </c>
      <c r="E375" s="192" t="str">
        <f>VLOOKUP(LEFT(D375,3),'Table corresp.'!$A$4:$D$63,4,FALSE)</f>
        <v>Transformation</v>
      </c>
      <c r="F375" s="192" t="str">
        <f t="shared" si="39"/>
        <v xml:space="preserve">01  - 05 </v>
      </c>
      <c r="G375" s="193">
        <v>12932.592785641922</v>
      </c>
      <c r="H375" s="193">
        <v>4536.6803578718927</v>
      </c>
      <c r="I375" s="193">
        <v>17469.272455876697</v>
      </c>
      <c r="J375" s="193">
        <v>0</v>
      </c>
      <c r="K375" s="193">
        <v>0</v>
      </c>
      <c r="L375" s="193">
        <v>0</v>
      </c>
      <c r="M375" s="193">
        <v>0</v>
      </c>
      <c r="N375" s="193">
        <v>0</v>
      </c>
      <c r="O375" s="193">
        <v>0</v>
      </c>
      <c r="P375" s="193">
        <v>0</v>
      </c>
      <c r="Q375" s="193">
        <v>0</v>
      </c>
      <c r="R375" s="193">
        <v>0</v>
      </c>
      <c r="S375" s="193"/>
      <c r="T375" s="192">
        <f>VLOOKUP(A375,'Groupe de branches'!$Z$27:$AM$86,14,FALSE)</f>
        <v>0</v>
      </c>
      <c r="U375" s="192">
        <f>VLOOKUP(D375,'Groupe de branches'!$Z$27:$AM$86,14,FALSE)</f>
        <v>0</v>
      </c>
      <c r="V375" s="192">
        <v>2017</v>
      </c>
      <c r="W375" s="192">
        <f>VLOOKUP(D375,'Table corresp.'!$M$4:$S$63,7,FALSE)</f>
        <v>0</v>
      </c>
      <c r="X375" s="194">
        <f>IFERROR(G375/SUMIFS('Comp2016-2017 (3)'!$I$5:$I$289,'Comp2016-2017 (3)'!$A$5:$A$289,A375,'Comp2016-2017 (3)'!$R$5:$R$289,V375),0)</f>
        <v>0.46769413266836646</v>
      </c>
      <c r="Y375" s="195">
        <f>IFERROR(IF(RIGHT(F375,3)="Exp",VLOOKUP(F375,#REF!,2,FALSE),VLOOKUP(F375,#REF!,9,FALSE)),1)</f>
        <v>1</v>
      </c>
      <c r="Z375" s="194">
        <f t="shared" ref="Z375:Z399" si="46">Y375/SUMIFS($Y$4:$Y$1116,$V$4:$V$1116,V375,$A$4:$A$1116,A375)</f>
        <v>0.25</v>
      </c>
      <c r="AA375" s="196">
        <f t="shared" si="41"/>
        <v>0.11692353316709161</v>
      </c>
      <c r="AB375" s="2">
        <f>IFERROR(SUMIFS('Comp2016-2017 (3)'!$G$5:$G$289,'Comp2016-2017 (3)'!$A$5:$A$289,A375,'Comp2016-2017 (3)'!$R$5:$R$289,V375)*AA375/SUMIFS($AA$4:$AA$1116,$A$4:$A$1116,A375,$V$4:$V$1116,V375),0)</f>
        <v>6724.9482485338003</v>
      </c>
      <c r="AC375" s="197">
        <f>IF($W375=AC$3,$AB375,IF(NOT($W375=0),"",SUMIFS('Val-Vol (2)'!AC$4:AC$1858,'Val-Vol (2)'!$A$4:$A$1858,$D375,'Val-Vol (2)'!$V$4:$V$1858,$V375)/SUMIFS('Comp2016-2017 (3)'!$G$5:$G$289,'Comp2016-2017 (3)'!$A$5:$A$289,$D375,'Comp2016-2017 (3)'!$R$5:$R$289,$V375)*$AB375))</f>
        <v>1562.1468754534685</v>
      </c>
      <c r="AD375" s="197">
        <f>IF($W375=AD$3,$AB375,IF(NOT($W375=0),"",SUMIFS('Val-Vol (2)'!AD$4:AD$1116,'Val-Vol (2)'!$A$4:$A$1116,$D375,'Val-Vol (2)'!$V$4:$V$1116,$V375)/SUMIFS('Comp2016-2017 (3)'!$G$5:$G$289,'Comp2016-2017 (3)'!$A$5:$A$289,$D375,'Comp2016-2017 (3)'!$R$5:$R$289,$V375)*$AB375))</f>
        <v>1480.0978077024015</v>
      </c>
      <c r="AE375" s="197">
        <f>IF($W375=AE$3,$AB375,IF(NOT($W375=0),"",SUMIFS('Val-Vol (2)'!AE$4:AE$1116,'Val-Vol (2)'!$A$4:$A$1116,$D375,'Val-Vol (2)'!$V$4:$V$1116,$V375)/SUMIFS('Comp2016-2017 (3)'!$G$5:$G$289,'Comp2016-2017 (3)'!$A$5:$A$289,$D375,'Comp2016-2017 (3)'!$R$5:$R$289,$V375)*$AB375))</f>
        <v>203.90593276883561</v>
      </c>
      <c r="AF375" s="197">
        <f>IF($W375=AF$3,$AB375,IF(NOT($W375=0),"",SUMIFS('Val-Vol (2)'!AF$4:AF$1116,'Val-Vol (2)'!$A$4:$A$1116,$D375,'Val-Vol (2)'!$V$4:$V$1116,$V375)/SUMIFS('Comp2016-2017 (3)'!$G$5:$G$289,'Comp2016-2017 (3)'!$A$5:$A$289,$D375,'Comp2016-2017 (3)'!$R$5:$R$289,$V375)*$AB375))</f>
        <v>450.53580196975309</v>
      </c>
      <c r="AG375" s="197">
        <f>IF($W375=AG$3,$AB375,IF(NOT($W375=0),"",SUMIFS('Val-Vol (2)'!AG$4:AG$1116,'Val-Vol (2)'!$A$4:$A$1116,$D375,'Val-Vol (2)'!$V$4:$V$1116,$V375)/SUMIFS('Comp2016-2017 (3)'!$G$5:$G$289,'Comp2016-2017 (3)'!$A$5:$A$289,$D375,'Comp2016-2017 (3)'!$R$5:$R$289,$V375)*$AB375))</f>
        <v>1104.905195358253</v>
      </c>
      <c r="AH375" s="197">
        <f>IF($W375=AH$3,$AB375,IF(NOT($W375=0),"",SUMIFS('Val-Vol (2)'!AH$4:AH$1116,'Val-Vol (2)'!$A$4:$A$1116,$D375,'Val-Vol (2)'!$V$4:$V$1116,$V375)/SUMIFS('Comp2016-2017 (3)'!$G$5:$G$289,'Comp2016-2017 (3)'!$A$5:$A$289,$D375,'Comp2016-2017 (3)'!$R$5:$R$289,$V375)*$AB375))</f>
        <v>999.79628730797458</v>
      </c>
      <c r="AI375" s="197">
        <f>IF($W375=AI$3,$AB375,IF(NOT($W375=0),"",SUMIFS('Val-Vol (2)'!AI$4:AI$1116,'Val-Vol (2)'!$A$4:$A$1116,$D375,'Val-Vol (2)'!$V$4:$V$1116,$V375)/SUMIFS('Comp2016-2017 (3)'!$G$5:$G$289,'Comp2016-2017 (3)'!$A$5:$A$289,$D375,'Comp2016-2017 (3)'!$R$5:$R$289,$V375)*$AB375))</f>
        <v>303.32383477336845</v>
      </c>
      <c r="AJ375" s="197">
        <f>IF($W375=AJ$3,$AB375,IF(NOT($W375=0),"",SUMIFS('Val-Vol (2)'!AJ$4:AJ$1116,'Val-Vol (2)'!$A$4:$A$1116,$D375,'Val-Vol (2)'!$V$4:$V$1116,$V375)/SUMIFS('Comp2016-2017 (3)'!$G$5:$G$289,'Comp2016-2017 (3)'!$A$5:$A$289,$D375,'Comp2016-2017 (3)'!$R$5:$R$289,$V375)*$AB375))</f>
        <v>620.23651319974635</v>
      </c>
      <c r="AK375" s="197">
        <f>SUM(AC375:AJ375)-AB375</f>
        <v>0</v>
      </c>
      <c r="AL375" s="197" t="str">
        <f t="shared" si="40"/>
        <v/>
      </c>
      <c r="AM375" t="str">
        <f>VLOOKUP(A375,'Table corresp.'!$M$4:$U$63,8,FALSE)</f>
        <v>Forêt</v>
      </c>
      <c r="AN375" t="str">
        <f>VLOOKUP(D375,'Table corresp.'!$M$4:$U$63,9,FALSE)</f>
        <v>Production intermédiaire</v>
      </c>
    </row>
    <row r="376" spans="1:43" x14ac:dyDescent="0.25">
      <c r="A376" t="s">
        <v>80</v>
      </c>
      <c r="B376">
        <f>VLOOKUP(LEFT(A376,3),'Table corresp.'!$A$4:$D$63,3,FALSE)</f>
        <v>0</v>
      </c>
      <c r="C376" t="str">
        <f>VLOOKUP(A376,'Table corresp.'!$M$4:$P$63,4,FALSE)</f>
        <v>Production et transformation de produits bois</v>
      </c>
      <c r="D376" t="s">
        <v>3</v>
      </c>
      <c r="E376" t="str">
        <f>VLOOKUP(LEFT(D376,3),'Table corresp.'!$A$4:$D$63,4,FALSE)</f>
        <v>Transformation</v>
      </c>
      <c r="F376" t="str">
        <f t="shared" si="39"/>
        <v xml:space="preserve">01  - 06 </v>
      </c>
      <c r="G376" s="3">
        <v>9862.1454400201837</v>
      </c>
      <c r="H376" s="3">
        <v>3222.8040437807554</v>
      </c>
      <c r="I376" s="3">
        <v>13084.948968742478</v>
      </c>
      <c r="J376" s="3">
        <v>0</v>
      </c>
      <c r="K376" s="3">
        <v>0</v>
      </c>
      <c r="L376" s="3">
        <v>0</v>
      </c>
      <c r="M376" s="3">
        <v>0</v>
      </c>
      <c r="N376" s="3">
        <v>0</v>
      </c>
      <c r="O376" s="3">
        <v>0</v>
      </c>
      <c r="P376" s="3">
        <v>0</v>
      </c>
      <c r="Q376" s="3">
        <v>0</v>
      </c>
      <c r="R376" s="3">
        <v>0</v>
      </c>
      <c r="S376" s="67"/>
      <c r="T376">
        <f>VLOOKUP(A376,'Groupe de branches'!$Z$27:$AM$86,14,FALSE)</f>
        <v>0</v>
      </c>
      <c r="U376">
        <f>VLOOKUP(D376,'Groupe de branches'!$Z$27:$AM$86,14,FALSE)</f>
        <v>0</v>
      </c>
      <c r="V376">
        <v>2017</v>
      </c>
      <c r="W376">
        <f>VLOOKUP(D376,'Table corresp.'!$M$4:$S$63,7,FALSE)</f>
        <v>0</v>
      </c>
      <c r="X376" s="167">
        <f>IFERROR(G376/SUMIFS('Comp2016-2017 (3)'!$I$5:$I$289,'Comp2016-2017 (3)'!$A$5:$A$289,A376,'Comp2016-2017 (3)'!$R$5:$R$289,V376),0)</f>
        <v>0.35665451114647317</v>
      </c>
      <c r="Y376" s="190">
        <f>IFERROR(IF(RIGHT(F376,3)="Exp",VLOOKUP(F376,#REF!,2,FALSE),VLOOKUP(F376,#REF!,9,FALSE)),1)</f>
        <v>1</v>
      </c>
      <c r="Z376" s="167">
        <f t="shared" si="46"/>
        <v>0.25</v>
      </c>
      <c r="AA376" s="189">
        <f t="shared" si="41"/>
        <v>8.9163627786618294E-2</v>
      </c>
      <c r="AB376" s="2">
        <f>IFERROR(SUMIFS('Comp2016-2017 (3)'!$G$5:$G$289,'Comp2016-2017 (3)'!$A$5:$A$289,A376,'Comp2016-2017 (3)'!$R$5:$R$289,V376)*AA376/SUMIFS($AA$4:$AA$1116,$A$4:$A$1116,A376,$V$4:$V$1116,V376),0)</f>
        <v>5128.3156288104974</v>
      </c>
      <c r="AC376" s="2">
        <f>IF($W376=AC$3,$AB376,IF(NOT($W376=0),"",SUMIFS('Val-Vol (2)'!AC$4:AC$1116,'Val-Vol (2)'!$A$4:$A$1116,$D376,'Val-Vol (2)'!$V$4:$V$1116,$V376)/SUMIFS('Comp2016-2017 (3)'!$G$5:$G$289,'Comp2016-2017 (3)'!$A$5:$A$289,$D376,'Comp2016-2017 (3)'!$R$5:$R$289,$V376)*$AB376))</f>
        <v>1268.0868527084713</v>
      </c>
      <c r="AD376" s="2">
        <f>IF($W376=AD$3,$AB376,IF(NOT($W376=0),"",SUMIFS('Val-Vol (2)'!AD$4:AD$1116,'Val-Vol (2)'!$A$4:$A$1116,$D376,'Val-Vol (2)'!$V$4:$V$1116,$V376)/SUMIFS('Comp2016-2017 (3)'!$G$5:$G$289,'Comp2016-2017 (3)'!$A$5:$A$289,$D376,'Comp2016-2017 (3)'!$R$5:$R$289,$V376)*$AB376))</f>
        <v>1387.2443278493324</v>
      </c>
      <c r="AE376" s="2">
        <f>IF($W376=AE$3,$AB376,IF(NOT($W376=0),"",SUMIFS('Val-Vol (2)'!AE$4:AE$1116,'Val-Vol (2)'!$A$4:$A$1116,$D376,'Val-Vol (2)'!$V$4:$V$1116,$V376)/SUMIFS('Comp2016-2017 (3)'!$G$5:$G$289,'Comp2016-2017 (3)'!$A$5:$A$289,$D376,'Comp2016-2017 (3)'!$R$5:$R$289,$V376)*$AB376))</f>
        <v>165.69231677932572</v>
      </c>
      <c r="AF376" s="2">
        <f>IF($W376=AF$3,$AB376,IF(NOT($W376=0),"",SUMIFS('Val-Vol (2)'!AF$4:AF$1116,'Val-Vol (2)'!$A$4:$A$1116,$D376,'Val-Vol (2)'!$V$4:$V$1116,$V376)/SUMIFS('Comp2016-2017 (3)'!$G$5:$G$289,'Comp2016-2017 (3)'!$A$5:$A$289,$D376,'Comp2016-2017 (3)'!$R$5:$R$289,$V376)*$AB376))</f>
        <v>89.377449707749008</v>
      </c>
      <c r="AG376" s="2">
        <f>IF($W376=AG$3,$AB376,IF(NOT($W376=0),"",SUMIFS('Val-Vol (2)'!AG$4:AG$1116,'Val-Vol (2)'!$A$4:$A$1116,$D376,'Val-Vol (2)'!$V$4:$V$1116,$V376)/SUMIFS('Comp2016-2017 (3)'!$G$5:$G$289,'Comp2016-2017 (3)'!$A$5:$A$289,$D376,'Comp2016-2017 (3)'!$R$5:$R$289,$V376)*$AB376))</f>
        <v>1128.7208311052932</v>
      </c>
      <c r="AH376" s="2">
        <f>IF($W376=AH$3,$AB376,IF(NOT($W376=0),"",SUMIFS('Val-Vol (2)'!AH$4:AH$1116,'Val-Vol (2)'!$A$4:$A$1116,$D376,'Val-Vol (2)'!$V$4:$V$1116,$V376)/SUMIFS('Comp2016-2017 (3)'!$G$5:$G$289,'Comp2016-2017 (3)'!$A$5:$A$289,$D376,'Comp2016-2017 (3)'!$R$5:$R$289,$V376)*$AB376))</f>
        <v>193.78947842227322</v>
      </c>
      <c r="AI376" s="2">
        <f>IF($W376=AI$3,$AB376,IF(NOT($W376=0),"",SUMIFS('Val-Vol (2)'!AI$4:AI$1116,'Val-Vol (2)'!$A$4:$A$1116,$D376,'Val-Vol (2)'!$V$4:$V$1116,$V376)/SUMIFS('Comp2016-2017 (3)'!$G$5:$G$289,'Comp2016-2017 (3)'!$A$5:$A$289,$D376,'Comp2016-2017 (3)'!$R$5:$R$289,$V376)*$AB376))</f>
        <v>277.60301417691903</v>
      </c>
      <c r="AJ376" s="2">
        <f>IF($W376=AJ$3,$AB376,IF(NOT($W376=0),"",SUMIFS('Val-Vol (2)'!AJ$4:AJ$1116,'Val-Vol (2)'!$A$4:$A$1116,$D376,'Val-Vol (2)'!$V$4:$V$1116,$V376)/SUMIFS('Comp2016-2017 (3)'!$G$5:$G$289,'Comp2016-2017 (3)'!$A$5:$A$289,$D376,'Comp2016-2017 (3)'!$R$5:$R$289,$V376)*$AB376))</f>
        <v>617.80135806113401</v>
      </c>
      <c r="AK376" s="2">
        <f t="shared" ref="AK376:AK439" si="47">SUM(AC376:AJ376)-AB376</f>
        <v>0</v>
      </c>
      <c r="AL376" t="str">
        <f t="shared" si="40"/>
        <v/>
      </c>
      <c r="AM376" t="str">
        <f>VLOOKUP(A376,'Table corresp.'!$M$4:$U$63,8,FALSE)</f>
        <v>Forêt</v>
      </c>
      <c r="AN376" t="str">
        <f>VLOOKUP(D376,'Table corresp.'!$M$4:$U$63,9,FALSE)</f>
        <v>Production intermédiaire</v>
      </c>
      <c r="AO376" s="2"/>
      <c r="AP376" s="2"/>
    </row>
    <row r="377" spans="1:43" x14ac:dyDescent="0.25">
      <c r="A377" t="s">
        <v>80</v>
      </c>
      <c r="B377">
        <f>VLOOKUP(LEFT(A377,3),'Table corresp.'!$A$4:$D$63,3,FALSE)</f>
        <v>0</v>
      </c>
      <c r="C377" t="str">
        <f>VLOOKUP(A377,'Table corresp.'!$M$4:$P$63,4,FALSE)</f>
        <v>Production et transformation de produits bois</v>
      </c>
      <c r="D377" t="s">
        <v>54</v>
      </c>
      <c r="E377" t="str">
        <f>VLOOKUP(LEFT(D377,3),'Table corresp.'!$A$4:$D$63,4,FALSE)</f>
        <v>Consommation finale</v>
      </c>
      <c r="F377" t="str">
        <f t="shared" si="39"/>
        <v>01  - Con</v>
      </c>
      <c r="G377" s="3">
        <v>1258.4300969259191</v>
      </c>
      <c r="H377" s="3">
        <v>1377.087598347352</v>
      </c>
      <c r="I377" s="3">
        <v>2635.5175915322757</v>
      </c>
      <c r="J377" s="3">
        <v>0</v>
      </c>
      <c r="K377" s="3">
        <v>0</v>
      </c>
      <c r="L377" s="3">
        <v>0</v>
      </c>
      <c r="M377" s="3">
        <v>0</v>
      </c>
      <c r="N377" s="3">
        <v>0</v>
      </c>
      <c r="O377" s="3">
        <v>0</v>
      </c>
      <c r="P377" s="3">
        <v>0</v>
      </c>
      <c r="Q377" s="3">
        <v>0</v>
      </c>
      <c r="R377" s="3">
        <v>0</v>
      </c>
      <c r="S377" s="67"/>
      <c r="T377">
        <f>VLOOKUP(A377,'Groupe de branches'!$Z$27:$AM$86,14,FALSE)</f>
        <v>0</v>
      </c>
      <c r="U377">
        <f>VLOOKUP(D377,'Groupe de branches'!$Z$27:$AM$86,14,FALSE)</f>
        <v>0</v>
      </c>
      <c r="V377">
        <v>2017</v>
      </c>
      <c r="W377" t="str">
        <f>VLOOKUP(D377,'Table corresp.'!$M$4:$S$63,7,FALSE)</f>
        <v>Consommation finale</v>
      </c>
      <c r="X377" s="167">
        <f>IFERROR(G377/SUMIFS('Comp2016-2017 (3)'!$I$5:$I$289,'Comp2016-2017 (3)'!$A$5:$A$289,A377,'Comp2016-2017 (3)'!$R$5:$R$289,V377),0)</f>
        <v>4.5509851153665806E-2</v>
      </c>
      <c r="Y377" s="190">
        <f>IFERROR(IF(RIGHT(F377,3)="Exp",VLOOKUP(F377,#REF!,2,FALSE),VLOOKUP(F377,#REF!,9,FALSE)),1)</f>
        <v>1</v>
      </c>
      <c r="Z377" s="167">
        <f t="shared" si="46"/>
        <v>0.25</v>
      </c>
      <c r="AA377" s="189">
        <f t="shared" si="41"/>
        <v>1.1377462788416452E-2</v>
      </c>
      <c r="AB377" s="2">
        <f>IFERROR(SUMIFS('Comp2016-2017 (3)'!$G$5:$G$289,'Comp2016-2017 (3)'!$A$5:$A$289,A377,'Comp2016-2017 (3)'!$R$5:$R$289,V377)*AA377/SUMIFS($AA$4:$AA$1116,$A$4:$A$1116,A377,$V$4:$V$1116,V377),0)</f>
        <v>654.38365040147812</v>
      </c>
      <c r="AC377" s="2" t="str">
        <f>IF($W377=AC$3,$AB377,IF(NOT($W377=0),"",SUMIFS('Val-Vol (2)'!AC$4:AC$1116,'Val-Vol (2)'!$A$4:$A$1116,$D377,'Val-Vol (2)'!$V$4:$V$1116,$V377)/SUMIFS('Comp2016-2017 (3)'!$G$5:$G$289,'Comp2016-2017 (3)'!$A$5:$A$289,$D377,'Comp2016-2017 (3)'!$R$5:$R$289,$V377)*$AB377))</f>
        <v/>
      </c>
      <c r="AD377" s="2" t="str">
        <f>IF($W377=AD$3,$AB377,IF(NOT($W377=0),"",SUMIFS('Val-Vol (2)'!AD$4:AD$1116,'Val-Vol (2)'!$A$4:$A$1116,$D377,'Val-Vol (2)'!$V$4:$V$1116,$V377)/SUMIFS('Comp2016-2017 (3)'!$G$5:$G$289,'Comp2016-2017 (3)'!$A$5:$A$289,$D377,'Comp2016-2017 (3)'!$R$5:$R$289,$V377)*$AB377))</f>
        <v/>
      </c>
      <c r="AE377" s="2" t="str">
        <f>IF($W377=AE$3,$AB377,IF(NOT($W377=0),"",SUMIFS('Val-Vol (2)'!AE$4:AE$1116,'Val-Vol (2)'!$A$4:$A$1116,$D377,'Val-Vol (2)'!$V$4:$V$1116,$V377)/SUMIFS('Comp2016-2017 (3)'!$G$5:$G$289,'Comp2016-2017 (3)'!$A$5:$A$289,$D377,'Comp2016-2017 (3)'!$R$5:$R$289,$V377)*$AB377))</f>
        <v/>
      </c>
      <c r="AF377" s="2" t="str">
        <f>IF($W377=AF$3,$AB377,IF(NOT($W377=0),"",SUMIFS('Val-Vol (2)'!AF$4:AF$1116,'Val-Vol (2)'!$A$4:$A$1116,$D377,'Val-Vol (2)'!$V$4:$V$1116,$V377)/SUMIFS('Comp2016-2017 (3)'!$G$5:$G$289,'Comp2016-2017 (3)'!$A$5:$A$289,$D377,'Comp2016-2017 (3)'!$R$5:$R$289,$V377)*$AB377))</f>
        <v/>
      </c>
      <c r="AG377" s="2" t="str">
        <f>IF($W377=AG$3,$AB377,IF(NOT($W377=0),"",SUMIFS('Val-Vol (2)'!AG$4:AG$1116,'Val-Vol (2)'!$A$4:$A$1116,$D377,'Val-Vol (2)'!$V$4:$V$1116,$V377)/SUMIFS('Comp2016-2017 (3)'!$G$5:$G$289,'Comp2016-2017 (3)'!$A$5:$A$289,$D377,'Comp2016-2017 (3)'!$R$5:$R$289,$V377)*$AB377))</f>
        <v/>
      </c>
      <c r="AH377" s="2" t="str">
        <f>IF($W377=AH$3,$AB377,IF(NOT($W377=0),"",SUMIFS('Val-Vol (2)'!AH$4:AH$1116,'Val-Vol (2)'!$A$4:$A$1116,$D377,'Val-Vol (2)'!$V$4:$V$1116,$V377)/SUMIFS('Comp2016-2017 (3)'!$G$5:$G$289,'Comp2016-2017 (3)'!$A$5:$A$289,$D377,'Comp2016-2017 (3)'!$R$5:$R$289,$V377)*$AB377))</f>
        <v/>
      </c>
      <c r="AI377" s="2" t="str">
        <f>IF($W377=AI$3,$AB377,IF(NOT($W377=0),"",SUMIFS('Val-Vol (2)'!AI$4:AI$1116,'Val-Vol (2)'!$A$4:$A$1116,$D377,'Val-Vol (2)'!$V$4:$V$1116,$V377)/SUMIFS('Comp2016-2017 (3)'!$G$5:$G$289,'Comp2016-2017 (3)'!$A$5:$A$289,$D377,'Comp2016-2017 (3)'!$R$5:$R$289,$V377)*$AB377))</f>
        <v/>
      </c>
      <c r="AJ377" s="2">
        <f>IF($W377=AJ$3,$AB377,IF(NOT($W377=0),"",SUMIFS('Val-Vol (2)'!AJ$4:AJ$1116,'Val-Vol (2)'!$A$4:$A$1116,$D377,'Val-Vol (2)'!$V$4:$V$1116,$V377)/SUMIFS('Comp2016-2017 (3)'!$G$5:$G$289,'Comp2016-2017 (3)'!$A$5:$A$289,$D377,'Comp2016-2017 (3)'!$R$5:$R$289,$V377)*$AB377))</f>
        <v>654.38365040147812</v>
      </c>
      <c r="AK377" s="2">
        <f t="shared" si="47"/>
        <v>0</v>
      </c>
      <c r="AL377" t="str">
        <f t="shared" si="40"/>
        <v/>
      </c>
      <c r="AM377" t="str">
        <f>VLOOKUP(A377,'Table corresp.'!$M$4:$U$63,8,FALSE)</f>
        <v>Forêt</v>
      </c>
      <c r="AN377" t="str">
        <f>VLOOKUP(D377,'Table corresp.'!$M$4:$U$63,9,FALSE)</f>
        <v>Consommation finale française</v>
      </c>
      <c r="AO377" s="2"/>
      <c r="AP377" s="2"/>
    </row>
    <row r="378" spans="1:43" x14ac:dyDescent="0.25">
      <c r="A378" t="s">
        <v>80</v>
      </c>
      <c r="B378">
        <f>VLOOKUP(LEFT(A378,3),'Table corresp.'!$A$4:$D$63,3,FALSE)</f>
        <v>0</v>
      </c>
      <c r="C378" t="str">
        <f>VLOOKUP(A378,'Table corresp.'!$M$4:$P$63,4,FALSE)</f>
        <v>Production et transformation de produits bois</v>
      </c>
      <c r="D378" t="s">
        <v>53</v>
      </c>
      <c r="E378" t="str">
        <f>VLOOKUP(LEFT(D378,3),'Table corresp.'!$A$4:$D$63,4,FALSE)</f>
        <v>Exportation</v>
      </c>
      <c r="F378" t="str">
        <f t="shared" si="39"/>
        <v>01  - Exp</v>
      </c>
      <c r="G378" s="3">
        <v>3598.649141652415</v>
      </c>
      <c r="H378" s="3">
        <v>0</v>
      </c>
      <c r="I378" s="3">
        <v>3598.6490000000003</v>
      </c>
      <c r="J378" s="3">
        <v>0</v>
      </c>
      <c r="K378" s="3">
        <v>0</v>
      </c>
      <c r="L378" s="3">
        <v>0</v>
      </c>
      <c r="M378" s="3">
        <v>0</v>
      </c>
      <c r="N378" s="3">
        <v>0</v>
      </c>
      <c r="O378" s="3">
        <v>0</v>
      </c>
      <c r="P378" s="3">
        <v>0</v>
      </c>
      <c r="Q378" s="3">
        <v>0</v>
      </c>
      <c r="R378" s="3">
        <v>0</v>
      </c>
      <c r="S378" s="67"/>
      <c r="T378">
        <f>VLOOKUP(A378,'Groupe de branches'!$Z$27:$AM$86,14,FALSE)</f>
        <v>0</v>
      </c>
      <c r="U378">
        <f>VLOOKUP(D378,'Groupe de branches'!$Z$27:$AM$86,14,FALSE)</f>
        <v>0</v>
      </c>
      <c r="V378">
        <v>2017</v>
      </c>
      <c r="W378" t="str">
        <f>VLOOKUP(D378,'Table corresp.'!$M$4:$S$63,7,FALSE)</f>
        <v>Exportation</v>
      </c>
      <c r="X378" s="167">
        <f>IFERROR(G378/SUMIFS('Comp2016-2017 (3)'!$I$5:$I$289,'Comp2016-2017 (3)'!$A$5:$A$289,A378,'Comp2016-2017 (3)'!$R$5:$R$289,V378),0)</f>
        <v>0.13014150503149449</v>
      </c>
      <c r="Y378" s="190">
        <f>IFERROR(IF(RIGHT(F378,3)="Exp",VLOOKUP(F378,#REF!,2,FALSE),VLOOKUP(F378,#REF!,9,FALSE)),1)</f>
        <v>1</v>
      </c>
      <c r="Z378" s="167">
        <f t="shared" si="46"/>
        <v>0.25</v>
      </c>
      <c r="AA378" s="189">
        <f t="shared" si="41"/>
        <v>3.2535376257873623E-2</v>
      </c>
      <c r="AB378" s="2">
        <f>IFERROR(SUMIFS('Comp2016-2017 (3)'!$G$5:$G$289,'Comp2016-2017 (3)'!$A$5:$A$289,A378,'Comp2016-2017 (3)'!$R$5:$R$289,V378)*AA378/SUMIFS($AA$4:$AA$1116,$A$4:$A$1116,A378,$V$4:$V$1116,V378),0)</f>
        <v>1871.297553659256</v>
      </c>
      <c r="AC378" s="2">
        <f>IF($W378=AC$3,$AB378,IF(NOT($W378=0),"",SUMIFS('Val-Vol (2)'!AC$4:AC$1116,'Val-Vol (2)'!$A$4:$A$1116,$D378,'Val-Vol (2)'!$V$4:$V$1116,$V378)/SUMIFS('Comp2016-2017 (3)'!$G$5:$G$289,'Comp2016-2017 (3)'!$A$5:$A$289,$D378,'Comp2016-2017 (3)'!$R$5:$R$289,$V378)*$AB378))</f>
        <v>1871.297553659256</v>
      </c>
      <c r="AD378" s="2" t="str">
        <f>IF($W378=AD$3,$AB378,IF(NOT($W378=0),"",SUMIFS('Val-Vol (2)'!AD$4:AD$1116,'Val-Vol (2)'!$A$4:$A$1116,$D378,'Val-Vol (2)'!$V$4:$V$1116,$V378)/SUMIFS('Comp2016-2017 (3)'!$G$5:$G$289,'Comp2016-2017 (3)'!$A$5:$A$289,$D378,'Comp2016-2017 (3)'!$R$5:$R$289,$V378)*$AB378))</f>
        <v/>
      </c>
      <c r="AE378" s="2" t="str">
        <f>IF($W378=AE$3,$AB378,IF(NOT($W378=0),"",SUMIFS('Val-Vol (2)'!AE$4:AE$1116,'Val-Vol (2)'!$A$4:$A$1116,$D378,'Val-Vol (2)'!$V$4:$V$1116,$V378)/SUMIFS('Comp2016-2017 (3)'!$G$5:$G$289,'Comp2016-2017 (3)'!$A$5:$A$289,$D378,'Comp2016-2017 (3)'!$R$5:$R$289,$V378)*$AB378))</f>
        <v/>
      </c>
      <c r="AF378" s="2" t="str">
        <f>IF($W378=AF$3,$AB378,IF(NOT($W378=0),"",SUMIFS('Val-Vol (2)'!AF$4:AF$1116,'Val-Vol (2)'!$A$4:$A$1116,$D378,'Val-Vol (2)'!$V$4:$V$1116,$V378)/SUMIFS('Comp2016-2017 (3)'!$G$5:$G$289,'Comp2016-2017 (3)'!$A$5:$A$289,$D378,'Comp2016-2017 (3)'!$R$5:$R$289,$V378)*$AB378))</f>
        <v/>
      </c>
      <c r="AG378" s="2" t="str">
        <f>IF($W378=AG$3,$AB378,IF(NOT($W378=0),"",SUMIFS('Val-Vol (2)'!AG$4:AG$1116,'Val-Vol (2)'!$A$4:$A$1116,$D378,'Val-Vol (2)'!$V$4:$V$1116,$V378)/SUMIFS('Comp2016-2017 (3)'!$G$5:$G$289,'Comp2016-2017 (3)'!$A$5:$A$289,$D378,'Comp2016-2017 (3)'!$R$5:$R$289,$V378)*$AB378))</f>
        <v/>
      </c>
      <c r="AH378" s="2" t="str">
        <f>IF($W378=AH$3,$AB378,IF(NOT($W378=0),"",SUMIFS('Val-Vol (2)'!AH$4:AH$1116,'Val-Vol (2)'!$A$4:$A$1116,$D378,'Val-Vol (2)'!$V$4:$V$1116,$V378)/SUMIFS('Comp2016-2017 (3)'!$G$5:$G$289,'Comp2016-2017 (3)'!$A$5:$A$289,$D378,'Comp2016-2017 (3)'!$R$5:$R$289,$V378)*$AB378))</f>
        <v/>
      </c>
      <c r="AI378" s="2" t="str">
        <f>IF($W378=AI$3,$AB378,IF(NOT($W378=0),"",SUMIFS('Val-Vol (2)'!AI$4:AI$1116,'Val-Vol (2)'!$A$4:$A$1116,$D378,'Val-Vol (2)'!$V$4:$V$1116,$V378)/SUMIFS('Comp2016-2017 (3)'!$G$5:$G$289,'Comp2016-2017 (3)'!$A$5:$A$289,$D378,'Comp2016-2017 (3)'!$R$5:$R$289,$V378)*$AB378))</f>
        <v/>
      </c>
      <c r="AJ378" s="2" t="str">
        <f>IF($W378=AJ$3,$AB378,IF(NOT($W378=0),"",SUMIFS('Val-Vol (2)'!AJ$4:AJ$1116,'Val-Vol (2)'!$A$4:$A$1116,$D378,'Val-Vol (2)'!$V$4:$V$1116,$V378)/SUMIFS('Comp2016-2017 (3)'!$G$5:$G$289,'Comp2016-2017 (3)'!$A$5:$A$289,$D378,'Comp2016-2017 (3)'!$R$5:$R$289,$V378)*$AB378))</f>
        <v/>
      </c>
      <c r="AK378" s="2">
        <f t="shared" si="47"/>
        <v>0</v>
      </c>
      <c r="AL378" t="str">
        <f t="shared" si="40"/>
        <v/>
      </c>
      <c r="AM378" t="str">
        <f>VLOOKUP(A378,'Table corresp.'!$M$4:$U$63,8,FALSE)</f>
        <v>Forêt</v>
      </c>
      <c r="AN378" t="str">
        <f>VLOOKUP(D378,'Table corresp.'!$M$4:$U$63,9,FALSE)</f>
        <v>Exportation</v>
      </c>
      <c r="AO378" s="2"/>
      <c r="AP378" s="2"/>
      <c r="AQ378" s="2"/>
    </row>
    <row r="379" spans="1:43" x14ac:dyDescent="0.25">
      <c r="A379" t="s">
        <v>0</v>
      </c>
      <c r="B379" t="str">
        <f>VLOOKUP(LEFT(A379,3),'Table corresp.'!$A$4:$D$63,3,FALSE)</f>
        <v>Forêt</v>
      </c>
      <c r="C379" t="str">
        <f>VLOOKUP(A379,'Table corresp.'!$M$4:$P$63,4,FALSE)</f>
        <v>Production et transformation de produits bois</v>
      </c>
      <c r="D379" t="s">
        <v>4</v>
      </c>
      <c r="E379" t="str">
        <f>VLOOKUP(LEFT(D379,3),'Table corresp.'!$A$4:$D$63,4,FALSE)</f>
        <v>Transformation</v>
      </c>
      <c r="F379" t="str">
        <f t="shared" si="39"/>
        <v xml:space="preserve">02  - 08 </v>
      </c>
      <c r="G379" s="223">
        <v>227921.26131324391</v>
      </c>
      <c r="H379" s="223">
        <v>5515.5479943155642</v>
      </c>
      <c r="I379" s="223">
        <v>233436.81142829737</v>
      </c>
      <c r="J379" s="223">
        <v>1617.7940970217942</v>
      </c>
      <c r="K379" s="223">
        <v>10.121637596808073</v>
      </c>
      <c r="L379" s="223">
        <v>1627.9157346186023</v>
      </c>
      <c r="M379" s="3">
        <v>0</v>
      </c>
      <c r="N379" s="3">
        <v>0</v>
      </c>
      <c r="O379" s="3">
        <v>0</v>
      </c>
      <c r="P379" s="3">
        <v>0</v>
      </c>
      <c r="Q379" s="3">
        <v>0</v>
      </c>
      <c r="R379" s="3">
        <v>0</v>
      </c>
      <c r="S379" s="67"/>
      <c r="T379">
        <f>VLOOKUP(A379,'Groupe de branches'!$Z$27:$AM$86,14,FALSE)</f>
        <v>0</v>
      </c>
      <c r="U379">
        <f>VLOOKUP(D379,'Groupe de branches'!$Z$27:$AM$86,14,FALSE)</f>
        <v>0</v>
      </c>
      <c r="V379">
        <v>2017</v>
      </c>
      <c r="W379">
        <f>VLOOKUP(D379,'Table corresp.'!$M$4:$S$63,7,FALSE)</f>
        <v>0</v>
      </c>
      <c r="X379" s="167">
        <f>IFERROR(G379/SUMIFS('Comp2016-2017 (3)'!$I$5:$I$289,'Comp2016-2017 (3)'!$A$5:$A$289,A379,'Comp2016-2017 (3)'!$R$5:$R$289,V379),0)</f>
        <v>0.19668095092468621</v>
      </c>
      <c r="Y379" s="190">
        <f>IFERROR(IF(RIGHT(F379,3)="Exp",VLOOKUP(F379,#REF!,2,FALSE),VLOOKUP(F379,#REF!,9,FALSE)),1)</f>
        <v>1</v>
      </c>
      <c r="Z379" s="167">
        <f t="shared" si="46"/>
        <v>6.25E-2</v>
      </c>
      <c r="AA379" s="189">
        <f t="shared" si="41"/>
        <v>1.2292559432792888E-2</v>
      </c>
      <c r="AB379" s="2">
        <f>IFERROR(SUMIFS('Comp2016-2017 (3)'!$G$5:$G$289,'Comp2016-2017 (3)'!$A$5:$A$289,A379,'Comp2016-2017 (3)'!$R$5:$R$289,V379)*AA379/SUMIFS($AA$4:$AA$1116,$A$4:$A$1116,A379,$V$4:$V$1116,V379),0)</f>
        <v>137638.32741829968</v>
      </c>
      <c r="AC379" s="2">
        <f>IF($W379=AC$3,$AB379,IF(NOT($W379=0),"",SUMIFS('Val-Vol (2)'!AC$4:AC$1116,'Val-Vol (2)'!$A$4:$A$1116,$D379,'Val-Vol (2)'!$V$4:$V$1116,$V379)/SUMIFS('Comp2016-2017 (3)'!$G$5:$G$289,'Comp2016-2017 (3)'!$A$5:$A$289,$D379,'Comp2016-2017 (3)'!$R$5:$R$289,$V379)*$AB379))</f>
        <v>37801.880976419001</v>
      </c>
      <c r="AD379" s="2">
        <f>IF($W379=AD$3,$AB379,IF(NOT($W379=0),"",SUMIFS('Val-Vol (2)'!AD$4:AD$1116,'Val-Vol (2)'!$A$4:$A$1116,$D379,'Val-Vol (2)'!$V$4:$V$1116,$V379)/SUMIFS('Comp2016-2017 (3)'!$G$5:$G$289,'Comp2016-2017 (3)'!$A$5:$A$289,$D379,'Comp2016-2017 (3)'!$R$5:$R$289,$V379)*$AB379))</f>
        <v>37463.935649471867</v>
      </c>
      <c r="AE379" s="2">
        <f>IF($W379=AE$3,$AB379,IF(NOT($W379=0),"",SUMIFS('Val-Vol (2)'!AE$4:AE$1116,'Val-Vol (2)'!$A$4:$A$1116,$D379,'Val-Vol (2)'!$V$4:$V$1116,$V379)/SUMIFS('Comp2016-2017 (3)'!$G$5:$G$289,'Comp2016-2017 (3)'!$A$5:$A$289,$D379,'Comp2016-2017 (3)'!$R$5:$R$289,$V379)*$AB379))</f>
        <v>18143.821085512376</v>
      </c>
      <c r="AF379" s="2">
        <f>IF($W379=AF$3,$AB379,IF(NOT($W379=0),"",SUMIFS('Val-Vol (2)'!AF$4:AF$1116,'Val-Vol (2)'!$A$4:$A$1116,$D379,'Val-Vol (2)'!$V$4:$V$1116,$V379)/SUMIFS('Comp2016-2017 (3)'!$G$5:$G$289,'Comp2016-2017 (3)'!$A$5:$A$289,$D379,'Comp2016-2017 (3)'!$R$5:$R$289,$V379)*$AB379))</f>
        <v>0</v>
      </c>
      <c r="AG379" s="2">
        <f>IF($W379=AG$3,$AB379,IF(NOT($W379=0),"",SUMIFS('Val-Vol (2)'!AG$4:AG$1116,'Val-Vol (2)'!$A$4:$A$1116,$D379,'Val-Vol (2)'!$V$4:$V$1116,$V379)/SUMIFS('Comp2016-2017 (3)'!$G$5:$G$289,'Comp2016-2017 (3)'!$A$5:$A$289,$D379,'Comp2016-2017 (3)'!$R$5:$R$289,$V379)*$AB379))</f>
        <v>0</v>
      </c>
      <c r="AH379" s="2">
        <f>IF($W379=AH$3,$AB379,IF(NOT($W379=0),"",SUMIFS('Val-Vol (2)'!AH$4:AH$1116,'Val-Vol (2)'!$A$4:$A$1116,$D379,'Val-Vol (2)'!$V$4:$V$1116,$V379)/SUMIFS('Comp2016-2017 (3)'!$G$5:$G$289,'Comp2016-2017 (3)'!$A$5:$A$289,$D379,'Comp2016-2017 (3)'!$R$5:$R$289,$V379)*$AB379))</f>
        <v>0</v>
      </c>
      <c r="AI379" s="2">
        <f>IF($W379=AI$3,$AB379,IF(NOT($W379=0),"",SUMIFS('Val-Vol (2)'!AI$4:AI$1116,'Val-Vol (2)'!$A$4:$A$1116,$D379,'Val-Vol (2)'!$V$4:$V$1116,$V379)/SUMIFS('Comp2016-2017 (3)'!$G$5:$G$289,'Comp2016-2017 (3)'!$A$5:$A$289,$D379,'Comp2016-2017 (3)'!$R$5:$R$289,$V379)*$AB379))</f>
        <v>15136.549640679477</v>
      </c>
      <c r="AJ379" s="2">
        <f>IF($W379=AJ$3,$AB379,IF(NOT($W379=0),"",SUMIFS('Val-Vol (2)'!AJ$4:AJ$1116,'Val-Vol (2)'!$A$4:$A$1116,$D379,'Val-Vol (2)'!$V$4:$V$1116,$V379)/SUMIFS('Comp2016-2017 (3)'!$G$5:$G$289,'Comp2016-2017 (3)'!$A$5:$A$289,$D379,'Comp2016-2017 (3)'!$R$5:$R$289,$V379)*$AB379))</f>
        <v>29092.140066216969</v>
      </c>
      <c r="AK379" s="2">
        <f t="shared" si="47"/>
        <v>0</v>
      </c>
      <c r="AL379" t="str">
        <f t="shared" si="40"/>
        <v/>
      </c>
      <c r="AM379" t="str">
        <f>VLOOKUP(A379,'Table corresp.'!$M$4:$U$63,8,FALSE)</f>
        <v>Forêt</v>
      </c>
      <c r="AN379" t="str">
        <f>VLOOKUP(D379,'Table corresp.'!$M$4:$U$63,9,FALSE)</f>
        <v>Production intermédiaire</v>
      </c>
    </row>
    <row r="380" spans="1:43" x14ac:dyDescent="0.25">
      <c r="A380" t="s">
        <v>0</v>
      </c>
      <c r="B380" t="str">
        <f>VLOOKUP(LEFT(A380,3),'Table corresp.'!$A$4:$D$63,3,FALSE)</f>
        <v>Forêt</v>
      </c>
      <c r="C380" t="str">
        <f>VLOOKUP(A380,'Table corresp.'!$M$4:$P$63,4,FALSE)</f>
        <v>Production et transformation de produits bois</v>
      </c>
      <c r="D380" t="s">
        <v>5</v>
      </c>
      <c r="E380" t="str">
        <f>VLOOKUP(LEFT(D380,3),'Table corresp.'!$A$4:$D$63,4,FALSE)</f>
        <v>Transformation</v>
      </c>
      <c r="F380" t="str">
        <f t="shared" si="39"/>
        <v xml:space="preserve">02  - 09 </v>
      </c>
      <c r="G380" s="3">
        <v>32101.670334542901</v>
      </c>
      <c r="H380" s="3">
        <v>565.04264713065072</v>
      </c>
      <c r="I380" s="3">
        <v>32666.71327844567</v>
      </c>
      <c r="J380" s="3">
        <v>728.41361067736534</v>
      </c>
      <c r="K380" s="3">
        <v>1.0369154446469926</v>
      </c>
      <c r="L380" s="3">
        <v>729.45052612201232</v>
      </c>
      <c r="M380" s="3">
        <v>0</v>
      </c>
      <c r="N380" s="3">
        <v>0</v>
      </c>
      <c r="O380" s="3">
        <v>0</v>
      </c>
      <c r="P380" s="3">
        <v>0</v>
      </c>
      <c r="Q380" s="3">
        <v>0</v>
      </c>
      <c r="R380" s="3">
        <v>0</v>
      </c>
      <c r="S380" s="67"/>
      <c r="T380">
        <f>VLOOKUP(A380,'Groupe de branches'!$Z$27:$AM$86,14,FALSE)</f>
        <v>0</v>
      </c>
      <c r="U380">
        <f>VLOOKUP(D380,'Groupe de branches'!$Z$27:$AM$86,14,FALSE)</f>
        <v>0</v>
      </c>
      <c r="V380">
        <v>2017</v>
      </c>
      <c r="W380">
        <f>VLOOKUP(D380,'Table corresp.'!$M$4:$S$63,7,FALSE)</f>
        <v>0</v>
      </c>
      <c r="X380" s="167">
        <f>IFERROR(G380/SUMIFS('Comp2016-2017 (3)'!$I$5:$I$289,'Comp2016-2017 (3)'!$A$5:$A$289,A380,'Comp2016-2017 (3)'!$R$5:$R$289,V380),0)</f>
        <v>2.7701615072195152E-2</v>
      </c>
      <c r="Y380" s="190">
        <f>IFERROR(IF(RIGHT(F380,3)="Exp",VLOOKUP(F380,#REF!,2,FALSE),VLOOKUP(F380,#REF!,9,FALSE)),1)</f>
        <v>1</v>
      </c>
      <c r="Z380" s="167">
        <f t="shared" si="46"/>
        <v>6.25E-2</v>
      </c>
      <c r="AA380" s="189">
        <f t="shared" si="41"/>
        <v>1.731350942012197E-3</v>
      </c>
      <c r="AB380" s="2">
        <f>IFERROR(SUMIFS('Comp2016-2017 (3)'!$G$5:$G$289,'Comp2016-2017 (3)'!$A$5:$A$289,A380,'Comp2016-2017 (3)'!$R$5:$R$289,V380)*AA380/SUMIFS($AA$4:$AA$1116,$A$4:$A$1116,A380,$V$4:$V$1116,V380),0)</f>
        <v>19385.730785807085</v>
      </c>
      <c r="AC380" s="2">
        <f>IF($W380=AC$3,$AB380,IF(NOT($W380=0),"",SUMIFS('Val-Vol (2)'!AC$4:AC$1116,'Val-Vol (2)'!$A$4:$A$1116,$D380,'Val-Vol (2)'!$V$4:$V$1116,$V380)/SUMIFS('Comp2016-2017 (3)'!$G$5:$G$289,'Comp2016-2017 (3)'!$A$5:$A$289,$D380,'Comp2016-2017 (3)'!$R$5:$R$289,$V380)*$AB380))</f>
        <v>7146.9533587458609</v>
      </c>
      <c r="AD380" s="2">
        <f>IF($W380=AD$3,$AB380,IF(NOT($W380=0),"",SUMIFS('Val-Vol (2)'!AD$4:AD$1116,'Val-Vol (2)'!$A$4:$A$1116,$D380,'Val-Vol (2)'!$V$4:$V$1116,$V380)/SUMIFS('Comp2016-2017 (3)'!$G$5:$G$289,'Comp2016-2017 (3)'!$A$5:$A$289,$D380,'Comp2016-2017 (3)'!$R$5:$R$289,$V380)*$AB380))</f>
        <v>5998.598719600046</v>
      </c>
      <c r="AE380" s="2">
        <f>IF($W380=AE$3,$AB380,IF(NOT($W380=0),"",SUMIFS('Val-Vol (2)'!AE$4:AE$1116,'Val-Vol (2)'!$A$4:$A$1116,$D380,'Val-Vol (2)'!$V$4:$V$1116,$V380)/SUMIFS('Comp2016-2017 (3)'!$G$5:$G$289,'Comp2016-2017 (3)'!$A$5:$A$289,$D380,'Comp2016-2017 (3)'!$R$5:$R$289,$V380)*$AB380))</f>
        <v>53.649284129085103</v>
      </c>
      <c r="AF380" s="2">
        <f>IF($W380=AF$3,$AB380,IF(NOT($W380=0),"",SUMIFS('Val-Vol (2)'!AF$4:AF$1116,'Val-Vol (2)'!$A$4:$A$1116,$D380,'Val-Vol (2)'!$V$4:$V$1116,$V380)/SUMIFS('Comp2016-2017 (3)'!$G$5:$G$289,'Comp2016-2017 (3)'!$A$5:$A$289,$D380,'Comp2016-2017 (3)'!$R$5:$R$289,$V380)*$AB380))</f>
        <v>0</v>
      </c>
      <c r="AG380" s="2">
        <f>IF($W380=AG$3,$AB380,IF(NOT($W380=0),"",SUMIFS('Val-Vol (2)'!AG$4:AG$1116,'Val-Vol (2)'!$A$4:$A$1116,$D380,'Val-Vol (2)'!$V$4:$V$1116,$V380)/SUMIFS('Comp2016-2017 (3)'!$G$5:$G$289,'Comp2016-2017 (3)'!$A$5:$A$289,$D380,'Comp2016-2017 (3)'!$R$5:$R$289,$V380)*$AB380))</f>
        <v>2519.1522989844207</v>
      </c>
      <c r="AH380" s="2">
        <f>IF($W380=AH$3,$AB380,IF(NOT($W380=0),"",SUMIFS('Val-Vol (2)'!AH$4:AH$1116,'Val-Vol (2)'!$A$4:$A$1116,$D380,'Val-Vol (2)'!$V$4:$V$1116,$V380)/SUMIFS('Comp2016-2017 (3)'!$G$5:$G$289,'Comp2016-2017 (3)'!$A$5:$A$289,$D380,'Comp2016-2017 (3)'!$R$5:$R$289,$V380)*$AB380))</f>
        <v>0</v>
      </c>
      <c r="AI380" s="2">
        <f>IF($W380=AI$3,$AB380,IF(NOT($W380=0),"",SUMIFS('Val-Vol (2)'!AI$4:AI$1116,'Val-Vol (2)'!$A$4:$A$1116,$D380,'Val-Vol (2)'!$V$4:$V$1116,$V380)/SUMIFS('Comp2016-2017 (3)'!$G$5:$G$289,'Comp2016-2017 (3)'!$A$5:$A$289,$D380,'Comp2016-2017 (3)'!$R$5:$R$289,$V380)*$AB380))</f>
        <v>3486.8560980010616</v>
      </c>
      <c r="AJ380" s="2">
        <f>IF($W380=AJ$3,$AB380,IF(NOT($W380=0),"",SUMIFS('Val-Vol (2)'!AJ$4:AJ$1116,'Val-Vol (2)'!$A$4:$A$1116,$D380,'Val-Vol (2)'!$V$4:$V$1116,$V380)/SUMIFS('Comp2016-2017 (3)'!$G$5:$G$289,'Comp2016-2017 (3)'!$A$5:$A$289,$D380,'Comp2016-2017 (3)'!$R$5:$R$289,$V380)*$AB380))</f>
        <v>180.5210263466121</v>
      </c>
      <c r="AK380" s="2">
        <f t="shared" si="47"/>
        <v>0</v>
      </c>
      <c r="AL380" t="str">
        <f t="shared" si="40"/>
        <v/>
      </c>
      <c r="AM380" t="str">
        <f>VLOOKUP(A380,'Table corresp.'!$M$4:$U$63,8,FALSE)</f>
        <v>Forêt</v>
      </c>
      <c r="AN380" t="str">
        <f>VLOOKUP(D380,'Table corresp.'!$M$4:$U$63,9,FALSE)</f>
        <v>Production intermédiaire</v>
      </c>
    </row>
    <row r="381" spans="1:43" x14ac:dyDescent="0.25">
      <c r="A381" t="s">
        <v>0</v>
      </c>
      <c r="B381" t="str">
        <f>VLOOKUP(LEFT(A381,3),'Table corresp.'!$A$4:$D$63,3,FALSE)</f>
        <v>Forêt</v>
      </c>
      <c r="C381" t="str">
        <f>VLOOKUP(A381,'Table corresp.'!$M$4:$P$63,4,FALSE)</f>
        <v>Production et transformation de produits bois</v>
      </c>
      <c r="D381" t="s">
        <v>82</v>
      </c>
      <c r="E381" t="str">
        <f>VLOOKUP(LEFT(D381,3),'Table corresp.'!$A$4:$D$63,4,FALSE)</f>
        <v>Transformation</v>
      </c>
      <c r="F381" t="str">
        <f t="shared" si="39"/>
        <v xml:space="preserve">02  - 10 </v>
      </c>
      <c r="G381" s="3">
        <v>28834.865086471757</v>
      </c>
      <c r="H381" s="3">
        <v>0</v>
      </c>
      <c r="I381" s="3">
        <v>28834.865348432115</v>
      </c>
      <c r="J381" s="3">
        <v>597.66998687094838</v>
      </c>
      <c r="K381" s="3">
        <v>0</v>
      </c>
      <c r="L381" s="3">
        <v>597.66998687094838</v>
      </c>
      <c r="M381" s="3">
        <v>0</v>
      </c>
      <c r="N381" s="3">
        <v>0</v>
      </c>
      <c r="O381" s="3">
        <v>0</v>
      </c>
      <c r="P381" s="3">
        <v>0</v>
      </c>
      <c r="Q381" s="3">
        <v>0</v>
      </c>
      <c r="R381" s="3">
        <v>0</v>
      </c>
      <c r="S381" s="67"/>
      <c r="T381">
        <f>VLOOKUP(A381,'Groupe de branches'!$Z$27:$AM$86,14,FALSE)</f>
        <v>0</v>
      </c>
      <c r="U381">
        <f>VLOOKUP(D381,'Groupe de branches'!$Z$27:$AM$86,14,FALSE)</f>
        <v>0</v>
      </c>
      <c r="V381">
        <v>2017</v>
      </c>
      <c r="W381">
        <f>VLOOKUP(D381,'Table corresp.'!$M$4:$S$63,7,FALSE)</f>
        <v>0</v>
      </c>
      <c r="X381" s="167">
        <f>IFERROR(G381/SUMIFS('Comp2016-2017 (3)'!$I$5:$I$289,'Comp2016-2017 (3)'!$A$5:$A$289,A381,'Comp2016-2017 (3)'!$R$5:$R$289,V381),0)</f>
        <v>2.4882578537497573E-2</v>
      </c>
      <c r="Y381" s="190">
        <f>IFERROR(IF(RIGHT(F381,3)="Exp",VLOOKUP(F381,#REF!,2,FALSE),VLOOKUP(F381,#REF!,9,FALSE)),1)</f>
        <v>1</v>
      </c>
      <c r="Z381" s="167">
        <f t="shared" si="46"/>
        <v>6.25E-2</v>
      </c>
      <c r="AA381" s="189">
        <f t="shared" si="41"/>
        <v>1.5551611585935983E-3</v>
      </c>
      <c r="AB381" s="2">
        <f>IFERROR(SUMIFS('Comp2016-2017 (3)'!$G$5:$G$289,'Comp2016-2017 (3)'!$A$5:$A$289,A381,'Comp2016-2017 (3)'!$R$5:$R$289,V381)*AA381/SUMIFS($AA$4:$AA$1116,$A$4:$A$1116,A381,$V$4:$V$1116,V381),0)</f>
        <v>17412.954715004827</v>
      </c>
      <c r="AC381" s="2">
        <f>IF($W381=AC$3,$AB381,IF(NOT($W381=0),"",SUMIFS('Val-Vol (2)'!AC$4:AC$1116,'Val-Vol (2)'!$A$4:$A$1116,$D381,'Val-Vol (2)'!$V$4:$V$1116,$V381)/SUMIFS('Comp2016-2017 (3)'!$G$5:$G$289,'Comp2016-2017 (3)'!$A$5:$A$289,$D381,'Comp2016-2017 (3)'!$R$5:$R$289,$V381)*$AB381))</f>
        <v>3234.2469277851142</v>
      </c>
      <c r="AD381" s="2">
        <f>IF($W381=AD$3,$AB381,IF(NOT($W381=0),"",SUMIFS('Val-Vol (2)'!AD$4:AD$1116,'Val-Vol (2)'!$A$4:$A$1116,$D381,'Val-Vol (2)'!$V$4:$V$1116,$V381)/SUMIFS('Comp2016-2017 (3)'!$G$5:$G$289,'Comp2016-2017 (3)'!$A$5:$A$289,$D381,'Comp2016-2017 (3)'!$R$5:$R$289,$V381)*$AB381))</f>
        <v>4861.63715636692</v>
      </c>
      <c r="AE381" s="2">
        <f>IF($W381=AE$3,$AB381,IF(NOT($W381=0),"",SUMIFS('Val-Vol (2)'!AE$4:AE$1116,'Val-Vol (2)'!$A$4:$A$1116,$D381,'Val-Vol (2)'!$V$4:$V$1116,$V381)/SUMIFS('Comp2016-2017 (3)'!$G$5:$G$289,'Comp2016-2017 (3)'!$A$5:$A$289,$D381,'Comp2016-2017 (3)'!$R$5:$R$289,$V381)*$AB381))</f>
        <v>983.27297179367565</v>
      </c>
      <c r="AF381" s="2">
        <f>IF($W381=AF$3,$AB381,IF(NOT($W381=0),"",SUMIFS('Val-Vol (2)'!AF$4:AF$1116,'Val-Vol (2)'!$A$4:$A$1116,$D381,'Val-Vol (2)'!$V$4:$V$1116,$V381)/SUMIFS('Comp2016-2017 (3)'!$G$5:$G$289,'Comp2016-2017 (3)'!$A$5:$A$289,$D381,'Comp2016-2017 (3)'!$R$5:$R$289,$V381)*$AB381))</f>
        <v>0</v>
      </c>
      <c r="AG381" s="2">
        <f>IF($W381=AG$3,$AB381,IF(NOT($W381=0),"",SUMIFS('Val-Vol (2)'!AG$4:AG$1116,'Val-Vol (2)'!$A$4:$A$1116,$D381,'Val-Vol (2)'!$V$4:$V$1116,$V381)/SUMIFS('Comp2016-2017 (3)'!$G$5:$G$289,'Comp2016-2017 (3)'!$A$5:$A$289,$D381,'Comp2016-2017 (3)'!$R$5:$R$289,$V381)*$AB381))</f>
        <v>3725.6333193313872</v>
      </c>
      <c r="AH381" s="2">
        <f>IF($W381=AH$3,$AB381,IF(NOT($W381=0),"",SUMIFS('Val-Vol (2)'!AH$4:AH$1116,'Val-Vol (2)'!$A$4:$A$1116,$D381,'Val-Vol (2)'!$V$4:$V$1116,$V381)/SUMIFS('Comp2016-2017 (3)'!$G$5:$G$289,'Comp2016-2017 (3)'!$A$5:$A$289,$D381,'Comp2016-2017 (3)'!$R$5:$R$289,$V381)*$AB381))</f>
        <v>0</v>
      </c>
      <c r="AI381" s="2">
        <f>IF($W381=AI$3,$AB381,IF(NOT($W381=0),"",SUMIFS('Val-Vol (2)'!AI$4:AI$1116,'Val-Vol (2)'!$A$4:$A$1116,$D381,'Val-Vol (2)'!$V$4:$V$1116,$V381)/SUMIFS('Comp2016-2017 (3)'!$G$5:$G$289,'Comp2016-2017 (3)'!$A$5:$A$289,$D381,'Comp2016-2017 (3)'!$R$5:$R$289,$V381)*$AB381))</f>
        <v>4173.5597039710301</v>
      </c>
      <c r="AJ381" s="2">
        <f>IF($W381=AJ$3,$AB381,IF(NOT($W381=0),"",SUMIFS('Val-Vol (2)'!AJ$4:AJ$1116,'Val-Vol (2)'!$A$4:$A$1116,$D381,'Val-Vol (2)'!$V$4:$V$1116,$V381)/SUMIFS('Comp2016-2017 (3)'!$G$5:$G$289,'Comp2016-2017 (3)'!$A$5:$A$289,$D381,'Comp2016-2017 (3)'!$R$5:$R$289,$V381)*$AB381))</f>
        <v>434.60463575669866</v>
      </c>
      <c r="AK381" s="2">
        <f t="shared" si="47"/>
        <v>0</v>
      </c>
      <c r="AL381" t="str">
        <f t="shared" si="40"/>
        <v/>
      </c>
      <c r="AM381" t="str">
        <f>VLOOKUP(A381,'Table corresp.'!$M$4:$U$63,8,FALSE)</f>
        <v>Forêt</v>
      </c>
      <c r="AN381" t="str">
        <f>VLOOKUP(D381,'Table corresp.'!$M$4:$U$63,9,FALSE)</f>
        <v>Production intermédiaire</v>
      </c>
    </row>
    <row r="382" spans="1:43" x14ac:dyDescent="0.25">
      <c r="A382" t="s">
        <v>0</v>
      </c>
      <c r="B382" t="str">
        <f>VLOOKUP(LEFT(A382,3),'Table corresp.'!$A$4:$D$63,3,FALSE)</f>
        <v>Forêt</v>
      </c>
      <c r="C382" t="str">
        <f>VLOOKUP(A382,'Table corresp.'!$M$4:$P$63,4,FALSE)</f>
        <v>Production et transformation de produits bois</v>
      </c>
      <c r="D382" t="s">
        <v>6</v>
      </c>
      <c r="E382" t="str">
        <f>VLOOKUP(LEFT(D382,3),'Table corresp.'!$A$4:$D$63,4,FALSE)</f>
        <v>Transformation</v>
      </c>
      <c r="F382" t="str">
        <f t="shared" si="39"/>
        <v xml:space="preserve">02  - 11 </v>
      </c>
      <c r="G382" s="3">
        <v>699.10359362059273</v>
      </c>
      <c r="H382" s="3">
        <v>8305.6011346693085</v>
      </c>
      <c r="I382" s="3">
        <v>9004.7048100962784</v>
      </c>
      <c r="J382" s="3">
        <v>12.139994328032968</v>
      </c>
      <c r="K382" s="3">
        <v>7.7169474502458577</v>
      </c>
      <c r="L382" s="3">
        <v>19.856941778278824</v>
      </c>
      <c r="M382" s="3">
        <v>0</v>
      </c>
      <c r="N382" s="3">
        <v>0</v>
      </c>
      <c r="O382" s="3">
        <v>0</v>
      </c>
      <c r="P382" s="3">
        <v>0</v>
      </c>
      <c r="Q382" s="3">
        <v>0</v>
      </c>
      <c r="R382" s="3">
        <v>0</v>
      </c>
      <c r="S382" s="67"/>
      <c r="T382">
        <f>VLOOKUP(A382,'Groupe de branches'!$Z$27:$AM$86,14,FALSE)</f>
        <v>0</v>
      </c>
      <c r="U382">
        <f>VLOOKUP(D382,'Groupe de branches'!$Z$27:$AM$86,14,FALSE)</f>
        <v>0</v>
      </c>
      <c r="V382">
        <v>2017</v>
      </c>
      <c r="W382">
        <f>VLOOKUP(D382,'Table corresp.'!$M$4:$S$63,7,FALSE)</f>
        <v>0</v>
      </c>
      <c r="X382" s="167">
        <f>IFERROR(G382/SUMIFS('Comp2016-2017 (3)'!$I$5:$I$289,'Comp2016-2017 (3)'!$A$5:$A$289,A382,'Comp2016-2017 (3)'!$R$5:$R$289,V382),0)</f>
        <v>6.0328009241397511E-4</v>
      </c>
      <c r="Y382" s="190">
        <f>IFERROR(IF(RIGHT(F382,3)="Exp",VLOOKUP(F382,#REF!,2,FALSE),VLOOKUP(F382,#REF!,9,FALSE)),1)</f>
        <v>1</v>
      </c>
      <c r="Z382" s="167">
        <f t="shared" si="46"/>
        <v>6.25E-2</v>
      </c>
      <c r="AA382" s="189">
        <f t="shared" si="41"/>
        <v>3.7705005775873444E-5</v>
      </c>
      <c r="AB382" s="2">
        <f>IFERROR(SUMIFS('Comp2016-2017 (3)'!$G$5:$G$289,'Comp2016-2017 (3)'!$A$5:$A$289,A382,'Comp2016-2017 (3)'!$R$5:$R$289,V382)*AA382/SUMIFS($AA$4:$AA$1116,$A$4:$A$1116,A382,$V$4:$V$1116,V382),0)</f>
        <v>422.17846972080514</v>
      </c>
      <c r="AC382" s="2">
        <f>IF($W382=AC$3,$AB382,IF(NOT($W382=0),"",SUMIFS('Val-Vol (2)'!AC$4:AC$1116,'Val-Vol (2)'!$A$4:$A$1116,$D382,'Val-Vol (2)'!$V$4:$V$1116,$V382)/SUMIFS('Comp2016-2017 (3)'!$G$5:$G$289,'Comp2016-2017 (3)'!$A$5:$A$289,$D382,'Comp2016-2017 (3)'!$R$5:$R$289,$V382)*$AB382))</f>
        <v>106.26804647234576</v>
      </c>
      <c r="AD382" s="2">
        <f>IF($W382=AD$3,$AB382,IF(NOT($W382=0),"",SUMIFS('Val-Vol (2)'!AD$4:AD$1116,'Val-Vol (2)'!$A$4:$A$1116,$D382,'Val-Vol (2)'!$V$4:$V$1116,$V382)/SUMIFS('Comp2016-2017 (3)'!$G$5:$G$289,'Comp2016-2017 (3)'!$A$5:$A$289,$D382,'Comp2016-2017 (3)'!$R$5:$R$289,$V382)*$AB382))</f>
        <v>99.231499583706054</v>
      </c>
      <c r="AE382" s="2">
        <f>IF($W382=AE$3,$AB382,IF(NOT($W382=0),"",SUMIFS('Val-Vol (2)'!AE$4:AE$1116,'Val-Vol (2)'!$A$4:$A$1116,$D382,'Val-Vol (2)'!$V$4:$V$1116,$V382)/SUMIFS('Comp2016-2017 (3)'!$G$5:$G$289,'Comp2016-2017 (3)'!$A$5:$A$289,$D382,'Comp2016-2017 (3)'!$R$5:$R$289,$V382)*$AB382))</f>
        <v>0</v>
      </c>
      <c r="AF382" s="2">
        <f>IF($W382=AF$3,$AB382,IF(NOT($W382=0),"",SUMIFS('Val-Vol (2)'!AF$4:AF$1116,'Val-Vol (2)'!$A$4:$A$1116,$D382,'Val-Vol (2)'!$V$4:$V$1116,$V382)/SUMIFS('Comp2016-2017 (3)'!$G$5:$G$289,'Comp2016-2017 (3)'!$A$5:$A$289,$D382,'Comp2016-2017 (3)'!$R$5:$R$289,$V382)*$AB382))</f>
        <v>0</v>
      </c>
      <c r="AG382" s="2">
        <f>IF($W382=AG$3,$AB382,IF(NOT($W382=0),"",SUMIFS('Val-Vol (2)'!AG$4:AG$1116,'Val-Vol (2)'!$A$4:$A$1116,$D382,'Val-Vol (2)'!$V$4:$V$1116,$V382)/SUMIFS('Comp2016-2017 (3)'!$G$5:$G$289,'Comp2016-2017 (3)'!$A$5:$A$289,$D382,'Comp2016-2017 (3)'!$R$5:$R$289,$V382)*$AB382))</f>
        <v>0</v>
      </c>
      <c r="AH382" s="2">
        <f>IF($W382=AH$3,$AB382,IF(NOT($W382=0),"",SUMIFS('Val-Vol (2)'!AH$4:AH$1116,'Val-Vol (2)'!$A$4:$A$1116,$D382,'Val-Vol (2)'!$V$4:$V$1116,$V382)/SUMIFS('Comp2016-2017 (3)'!$G$5:$G$289,'Comp2016-2017 (3)'!$A$5:$A$289,$D382,'Comp2016-2017 (3)'!$R$5:$R$289,$V382)*$AB382))</f>
        <v>0</v>
      </c>
      <c r="AI382" s="2">
        <f>IF($W382=AI$3,$AB382,IF(NOT($W382=0),"",SUMIFS('Val-Vol (2)'!AI$4:AI$1116,'Val-Vol (2)'!$A$4:$A$1116,$D382,'Val-Vol (2)'!$V$4:$V$1116,$V382)/SUMIFS('Comp2016-2017 (3)'!$G$5:$G$289,'Comp2016-2017 (3)'!$A$5:$A$289,$D382,'Comp2016-2017 (3)'!$R$5:$R$289,$V382)*$AB382))</f>
        <v>205.55927854337932</v>
      </c>
      <c r="AJ382" s="2">
        <f>IF($W382=AJ$3,$AB382,IF(NOT($W382=0),"",SUMIFS('Val-Vol (2)'!AJ$4:AJ$1116,'Val-Vol (2)'!$A$4:$A$1116,$D382,'Val-Vol (2)'!$V$4:$V$1116,$V382)/SUMIFS('Comp2016-2017 (3)'!$G$5:$G$289,'Comp2016-2017 (3)'!$A$5:$A$289,$D382,'Comp2016-2017 (3)'!$R$5:$R$289,$V382)*$AB382))</f>
        <v>11.119645121374004</v>
      </c>
      <c r="AK382" s="2">
        <f t="shared" si="47"/>
        <v>0</v>
      </c>
      <c r="AL382" t="str">
        <f t="shared" si="40"/>
        <v/>
      </c>
      <c r="AM382" t="str">
        <f>VLOOKUP(A382,'Table corresp.'!$M$4:$U$63,8,FALSE)</f>
        <v>Forêt</v>
      </c>
      <c r="AN382" t="str">
        <f>VLOOKUP(D382,'Table corresp.'!$M$4:$U$63,9,FALSE)</f>
        <v>Production intermédiaire</v>
      </c>
    </row>
    <row r="383" spans="1:43" x14ac:dyDescent="0.25">
      <c r="A383" t="s">
        <v>0</v>
      </c>
      <c r="B383" t="str">
        <f>VLOOKUP(LEFT(A383,3),'Table corresp.'!$A$4:$D$63,3,FALSE)</f>
        <v>Forêt</v>
      </c>
      <c r="C383" t="str">
        <f>VLOOKUP(A383,'Table corresp.'!$M$4:$P$63,4,FALSE)</f>
        <v>Production et transformation de produits bois</v>
      </c>
      <c r="D383" t="s">
        <v>7</v>
      </c>
      <c r="E383" t="str">
        <f>VLOOKUP(LEFT(D383,3),'Table corresp.'!$A$4:$D$63,4,FALSE)</f>
        <v>Transformation</v>
      </c>
      <c r="F383" t="str">
        <f t="shared" si="39"/>
        <v xml:space="preserve">02  - 12 </v>
      </c>
      <c r="G383" s="3">
        <v>266429.60863481765</v>
      </c>
      <c r="H383" s="3">
        <v>21302.115835978078</v>
      </c>
      <c r="I383" s="3">
        <v>287731.72708479466</v>
      </c>
      <c r="J383" s="3">
        <v>6409.7707567805974</v>
      </c>
      <c r="K383" s="3">
        <v>112.73330698624017</v>
      </c>
      <c r="L383" s="3">
        <v>6522.5040637668371</v>
      </c>
      <c r="M383" s="3">
        <v>0</v>
      </c>
      <c r="N383" s="3">
        <v>0</v>
      </c>
      <c r="O383" s="3">
        <v>0</v>
      </c>
      <c r="P383" s="3">
        <v>0</v>
      </c>
      <c r="Q383" s="3">
        <v>0</v>
      </c>
      <c r="R383" s="3">
        <v>0</v>
      </c>
      <c r="S383" s="67"/>
      <c r="T383">
        <f>VLOOKUP(A383,'Groupe de branches'!$Z$27:$AM$86,14,FALSE)</f>
        <v>0</v>
      </c>
      <c r="U383">
        <f>VLOOKUP(D383,'Groupe de branches'!$Z$27:$AM$86,14,FALSE)</f>
        <v>0</v>
      </c>
      <c r="V383">
        <v>2017</v>
      </c>
      <c r="W383">
        <f>VLOOKUP(D383,'Table corresp.'!$M$4:$S$63,7,FALSE)</f>
        <v>0</v>
      </c>
      <c r="X383" s="167">
        <f>IFERROR(G383/SUMIFS('Comp2016-2017 (3)'!$I$5:$I$289,'Comp2016-2017 (3)'!$A$5:$A$289,A383,'Comp2016-2017 (3)'!$R$5:$R$289,V383),0)</f>
        <v>0.22991110385603591</v>
      </c>
      <c r="Y383" s="190">
        <f>IFERROR(IF(RIGHT(F383,3)="Exp",VLOOKUP(F383,#REF!,2,FALSE),VLOOKUP(F383,#REF!,9,FALSE)),1)</f>
        <v>1</v>
      </c>
      <c r="Z383" s="167">
        <f t="shared" si="46"/>
        <v>6.25E-2</v>
      </c>
      <c r="AA383" s="189">
        <f t="shared" si="41"/>
        <v>1.4369443991002245E-2</v>
      </c>
      <c r="AB383" s="2">
        <f>IFERROR(SUMIFS('Comp2016-2017 (3)'!$G$5:$G$289,'Comp2016-2017 (3)'!$A$5:$A$289,A383,'Comp2016-2017 (3)'!$R$5:$R$289,V383)*AA383/SUMIFS($AA$4:$AA$1116,$A$4:$A$1116,A383,$V$4:$V$1116,V383),0)</f>
        <v>160892.95704980212</v>
      </c>
      <c r="AC383" s="2">
        <f>IF($W383=AC$3,$AB383,IF(NOT($W383=0),"",SUMIFS('Val-Vol (2)'!AC$4:AC$1116,'Val-Vol (2)'!$A$4:$A$1116,$D383,'Val-Vol (2)'!$V$4:$V$1116,$V383)/SUMIFS('Comp2016-2017 (3)'!$G$5:$G$289,'Comp2016-2017 (3)'!$A$5:$A$289,$D383,'Comp2016-2017 (3)'!$R$5:$R$289,$V383)*$AB383))</f>
        <v>9976.5541530670635</v>
      </c>
      <c r="AD383" s="2">
        <f>IF($W383=AD$3,$AB383,IF(NOT($W383=0),"",SUMIFS('Val-Vol (2)'!AD$4:AD$1116,'Val-Vol (2)'!$A$4:$A$1116,$D383,'Val-Vol (2)'!$V$4:$V$1116,$V383)/SUMIFS('Comp2016-2017 (3)'!$G$5:$G$289,'Comp2016-2017 (3)'!$A$5:$A$289,$D383,'Comp2016-2017 (3)'!$R$5:$R$289,$V383)*$AB383))</f>
        <v>102375.77935381744</v>
      </c>
      <c r="AE383" s="2">
        <f>IF($W383=AE$3,$AB383,IF(NOT($W383=0),"",SUMIFS('Val-Vol (2)'!AE$4:AE$1116,'Val-Vol (2)'!$A$4:$A$1116,$D383,'Val-Vol (2)'!$V$4:$V$1116,$V383)/SUMIFS('Comp2016-2017 (3)'!$G$5:$G$289,'Comp2016-2017 (3)'!$A$5:$A$289,$D383,'Comp2016-2017 (3)'!$R$5:$R$289,$V383)*$AB383))</f>
        <v>3116.9728954851394</v>
      </c>
      <c r="AF383" s="2">
        <f>IF($W383=AF$3,$AB383,IF(NOT($W383=0),"",SUMIFS('Val-Vol (2)'!AF$4:AF$1116,'Val-Vol (2)'!$A$4:$A$1116,$D383,'Val-Vol (2)'!$V$4:$V$1116,$V383)/SUMIFS('Comp2016-2017 (3)'!$G$5:$G$289,'Comp2016-2017 (3)'!$A$5:$A$289,$D383,'Comp2016-2017 (3)'!$R$5:$R$289,$V383)*$AB383))</f>
        <v>0</v>
      </c>
      <c r="AG383" s="2">
        <f>IF($W383=AG$3,$AB383,IF(NOT($W383=0),"",SUMIFS('Val-Vol (2)'!AG$4:AG$1116,'Val-Vol (2)'!$A$4:$A$1116,$D383,'Val-Vol (2)'!$V$4:$V$1116,$V383)/SUMIFS('Comp2016-2017 (3)'!$G$5:$G$289,'Comp2016-2017 (3)'!$A$5:$A$289,$D383,'Comp2016-2017 (3)'!$R$5:$R$289,$V383)*$AB383))</f>
        <v>20061.099067230123</v>
      </c>
      <c r="AH383" s="2">
        <f>IF($W383=AH$3,$AB383,IF(NOT($W383=0),"",SUMIFS('Val-Vol (2)'!AH$4:AH$1116,'Val-Vol (2)'!$A$4:$A$1116,$D383,'Val-Vol (2)'!$V$4:$V$1116,$V383)/SUMIFS('Comp2016-2017 (3)'!$G$5:$G$289,'Comp2016-2017 (3)'!$A$5:$A$289,$D383,'Comp2016-2017 (3)'!$R$5:$R$289,$V383)*$AB383))</f>
        <v>0</v>
      </c>
      <c r="AI383" s="2">
        <f>IF($W383=AI$3,$AB383,IF(NOT($W383=0),"",SUMIFS('Val-Vol (2)'!AI$4:AI$1116,'Val-Vol (2)'!$A$4:$A$1116,$D383,'Val-Vol (2)'!$V$4:$V$1116,$V383)/SUMIFS('Comp2016-2017 (3)'!$G$5:$G$289,'Comp2016-2017 (3)'!$A$5:$A$289,$D383,'Comp2016-2017 (3)'!$R$5:$R$289,$V383)*$AB383))</f>
        <v>5020.4558576513273</v>
      </c>
      <c r="AJ383" s="2">
        <f>IF($W383=AJ$3,$AB383,IF(NOT($W383=0),"",SUMIFS('Val-Vol (2)'!AJ$4:AJ$1116,'Val-Vol (2)'!$A$4:$A$1116,$D383,'Val-Vol (2)'!$V$4:$V$1116,$V383)/SUMIFS('Comp2016-2017 (3)'!$G$5:$G$289,'Comp2016-2017 (3)'!$A$5:$A$289,$D383,'Comp2016-2017 (3)'!$R$5:$R$289,$V383)*$AB383))</f>
        <v>20342.095722551061</v>
      </c>
      <c r="AK383" s="2">
        <f t="shared" si="47"/>
        <v>0</v>
      </c>
      <c r="AL383" t="str">
        <f t="shared" si="40"/>
        <v/>
      </c>
      <c r="AM383" t="str">
        <f>VLOOKUP(A383,'Table corresp.'!$M$4:$U$63,8,FALSE)</f>
        <v>Forêt</v>
      </c>
      <c r="AN383" t="str">
        <f>VLOOKUP(D383,'Table corresp.'!$M$4:$U$63,9,FALSE)</f>
        <v>Production intermédiaire</v>
      </c>
    </row>
    <row r="384" spans="1:43" x14ac:dyDescent="0.25">
      <c r="A384" t="s">
        <v>0</v>
      </c>
      <c r="B384" t="str">
        <f>VLOOKUP(LEFT(A384,3),'Table corresp.'!$A$4:$D$63,3,FALSE)</f>
        <v>Forêt</v>
      </c>
      <c r="C384" t="str">
        <f>VLOOKUP(A384,'Table corresp.'!$M$4:$P$63,4,FALSE)</f>
        <v>Production et transformation de produits bois</v>
      </c>
      <c r="D384" t="s">
        <v>8</v>
      </c>
      <c r="E384" t="str">
        <f>VLOOKUP(LEFT(D384,3),'Table corresp.'!$A$4:$D$63,4,FALSE)</f>
        <v>Transformation</v>
      </c>
      <c r="F384" t="str">
        <f t="shared" si="39"/>
        <v xml:space="preserve">02  - 13 </v>
      </c>
      <c r="G384" s="3">
        <v>99798.569185997112</v>
      </c>
      <c r="H384" s="3">
        <v>0</v>
      </c>
      <c r="I384" s="3">
        <v>99798.570092651906</v>
      </c>
      <c r="J384" s="3">
        <v>2041.8138845533167</v>
      </c>
      <c r="K384" s="3">
        <v>0</v>
      </c>
      <c r="L384" s="3">
        <v>2041.8138845533167</v>
      </c>
      <c r="M384" s="3">
        <v>0</v>
      </c>
      <c r="N384" s="3">
        <v>0</v>
      </c>
      <c r="O384" s="3">
        <v>0</v>
      </c>
      <c r="P384" s="3">
        <v>0</v>
      </c>
      <c r="Q384" s="3">
        <v>0</v>
      </c>
      <c r="R384" s="3">
        <v>0</v>
      </c>
      <c r="S384" s="67"/>
      <c r="T384">
        <f>VLOOKUP(A384,'Groupe de branches'!$Z$27:$AM$86,14,FALSE)</f>
        <v>0</v>
      </c>
      <c r="U384">
        <f>VLOOKUP(D384,'Groupe de branches'!$Z$27:$AM$86,14,FALSE)</f>
        <v>0</v>
      </c>
      <c r="V384">
        <v>2017</v>
      </c>
      <c r="W384">
        <f>VLOOKUP(D384,'Table corresp.'!$M$4:$S$63,7,FALSE)</f>
        <v>0</v>
      </c>
      <c r="X384" s="167">
        <f>IFERROR(G384/SUMIFS('Comp2016-2017 (3)'!$I$5:$I$289,'Comp2016-2017 (3)'!$A$5:$A$289,A384,'Comp2016-2017 (3)'!$R$5:$R$289,V384),0)</f>
        <v>8.6119554513383337E-2</v>
      </c>
      <c r="Y384" s="190">
        <f>IFERROR(IF(RIGHT(F384,3)="Exp",VLOOKUP(F384,#REF!,2,FALSE),VLOOKUP(F384,#REF!,9,FALSE)),1)</f>
        <v>1</v>
      </c>
      <c r="Z384" s="167">
        <f t="shared" si="46"/>
        <v>6.25E-2</v>
      </c>
      <c r="AA384" s="189">
        <f t="shared" si="41"/>
        <v>5.3824721570864585E-3</v>
      </c>
      <c r="AB384" s="2">
        <f>IFERROR(SUMIFS('Comp2016-2017 (3)'!$G$5:$G$289,'Comp2016-2017 (3)'!$A$5:$A$289,A384,'Comp2016-2017 (3)'!$R$5:$R$289,V384)*AA384/SUMIFS($AA$4:$AA$1116,$A$4:$A$1116,A384,$V$4:$V$1116,V384),0)</f>
        <v>60266.901219986954</v>
      </c>
      <c r="AC384" s="2">
        <f>IF($W384=AC$3,$AB384,IF(NOT($W384=0),"",SUMIFS('Val-Vol (2)'!AC$4:AC$1116,'Val-Vol (2)'!$A$4:$A$1116,$D384,'Val-Vol (2)'!$V$4:$V$1116,$V384)/SUMIFS('Comp2016-2017 (3)'!$G$5:$G$289,'Comp2016-2017 (3)'!$A$5:$A$289,$D384,'Comp2016-2017 (3)'!$R$5:$R$289,$V384)*$AB384))</f>
        <v>8373.0250711066401</v>
      </c>
      <c r="AD384" s="2">
        <f>IF($W384=AD$3,$AB384,IF(NOT($W384=0),"",SUMIFS('Val-Vol (2)'!AD$4:AD$1116,'Val-Vol (2)'!$A$4:$A$1116,$D384,'Val-Vol (2)'!$V$4:$V$1116,$V384)/SUMIFS('Comp2016-2017 (3)'!$G$5:$G$289,'Comp2016-2017 (3)'!$A$5:$A$289,$D384,'Comp2016-2017 (3)'!$R$5:$R$289,$V384)*$AB384))</f>
        <v>16450.424976152124</v>
      </c>
      <c r="AE384" s="2">
        <f>IF($W384=AE$3,$AB384,IF(NOT($W384=0),"",SUMIFS('Val-Vol (2)'!AE$4:AE$1116,'Val-Vol (2)'!$A$4:$A$1116,$D384,'Val-Vol (2)'!$V$4:$V$1116,$V384)/SUMIFS('Comp2016-2017 (3)'!$G$5:$G$289,'Comp2016-2017 (3)'!$A$5:$A$289,$D384,'Comp2016-2017 (3)'!$R$5:$R$289,$V384)*$AB384))</f>
        <v>3.1211701469830211</v>
      </c>
      <c r="AF384" s="2">
        <f>IF($W384=AF$3,$AB384,IF(NOT($W384=0),"",SUMIFS('Val-Vol (2)'!AF$4:AF$1116,'Val-Vol (2)'!$A$4:$A$1116,$D384,'Val-Vol (2)'!$V$4:$V$1116,$V384)/SUMIFS('Comp2016-2017 (3)'!$G$5:$G$289,'Comp2016-2017 (3)'!$A$5:$A$289,$D384,'Comp2016-2017 (3)'!$R$5:$R$289,$V384)*$AB384))</f>
        <v>0</v>
      </c>
      <c r="AG384" s="2">
        <f>IF($W384=AG$3,$AB384,IF(NOT($W384=0),"",SUMIFS('Val-Vol (2)'!AG$4:AG$1116,'Val-Vol (2)'!$A$4:$A$1116,$D384,'Val-Vol (2)'!$V$4:$V$1116,$V384)/SUMIFS('Comp2016-2017 (3)'!$G$5:$G$289,'Comp2016-2017 (3)'!$A$5:$A$289,$D384,'Comp2016-2017 (3)'!$R$5:$R$289,$V384)*$AB384))</f>
        <v>12799.372140330122</v>
      </c>
      <c r="AH384" s="2">
        <f>IF($W384=AH$3,$AB384,IF(NOT($W384=0),"",SUMIFS('Val-Vol (2)'!AH$4:AH$1116,'Val-Vol (2)'!$A$4:$A$1116,$D384,'Val-Vol (2)'!$V$4:$V$1116,$V384)/SUMIFS('Comp2016-2017 (3)'!$G$5:$G$289,'Comp2016-2017 (3)'!$A$5:$A$289,$D384,'Comp2016-2017 (3)'!$R$5:$R$289,$V384)*$AB384))</f>
        <v>0</v>
      </c>
      <c r="AI384" s="2">
        <f>IF($W384=AI$3,$AB384,IF(NOT($W384=0),"",SUMIFS('Val-Vol (2)'!AI$4:AI$1116,'Val-Vol (2)'!$A$4:$A$1116,$D384,'Val-Vol (2)'!$V$4:$V$1116,$V384)/SUMIFS('Comp2016-2017 (3)'!$G$5:$G$289,'Comp2016-2017 (3)'!$A$5:$A$289,$D384,'Comp2016-2017 (3)'!$R$5:$R$289,$V384)*$AB384))</f>
        <v>0</v>
      </c>
      <c r="AJ384" s="2">
        <f>IF($W384=AJ$3,$AB384,IF(NOT($W384=0),"",SUMIFS('Val-Vol (2)'!AJ$4:AJ$1116,'Val-Vol (2)'!$A$4:$A$1116,$D384,'Val-Vol (2)'!$V$4:$V$1116,$V384)/SUMIFS('Comp2016-2017 (3)'!$G$5:$G$289,'Comp2016-2017 (3)'!$A$5:$A$289,$D384,'Comp2016-2017 (3)'!$R$5:$R$289,$V384)*$AB384))</f>
        <v>22640.957862251071</v>
      </c>
      <c r="AK384" s="2">
        <f t="shared" si="47"/>
        <v>0</v>
      </c>
      <c r="AL384" t="str">
        <f t="shared" si="40"/>
        <v/>
      </c>
      <c r="AM384" t="str">
        <f>VLOOKUP(A384,'Table corresp.'!$M$4:$U$63,8,FALSE)</f>
        <v>Forêt</v>
      </c>
      <c r="AN384" t="str">
        <f>VLOOKUP(D384,'Table corresp.'!$M$4:$U$63,9,FALSE)</f>
        <v>Production intermédiaire</v>
      </c>
    </row>
    <row r="385" spans="1:40" x14ac:dyDescent="0.25">
      <c r="A385" t="s">
        <v>0</v>
      </c>
      <c r="B385" t="str">
        <f>VLOOKUP(LEFT(A385,3),'Table corresp.'!$A$4:$D$63,3,FALSE)</f>
        <v>Forêt</v>
      </c>
      <c r="C385" t="str">
        <f>VLOOKUP(A385,'Table corresp.'!$M$4:$P$63,4,FALSE)</f>
        <v>Production et transformation de produits bois</v>
      </c>
      <c r="D385" t="s">
        <v>83</v>
      </c>
      <c r="E385" t="str">
        <f>VLOOKUP(LEFT(D385,3),'Table corresp.'!$A$4:$D$63,4,FALSE)</f>
        <v>Transformation</v>
      </c>
      <c r="F385" t="str">
        <f t="shared" si="39"/>
        <v xml:space="preserve">02  - 14 </v>
      </c>
      <c r="G385" s="3">
        <v>44986.156203546947</v>
      </c>
      <c r="H385" s="3">
        <v>2739.4312335352524</v>
      </c>
      <c r="I385" s="3">
        <v>47725.587870661904</v>
      </c>
      <c r="J385" s="3">
        <v>1215.7077291108365</v>
      </c>
      <c r="K385" s="3">
        <v>14.675250473964619</v>
      </c>
      <c r="L385" s="3">
        <v>1230.382979584801</v>
      </c>
      <c r="M385" s="3">
        <v>0</v>
      </c>
      <c r="N385" s="3">
        <v>0</v>
      </c>
      <c r="O385" s="3">
        <v>0</v>
      </c>
      <c r="P385" s="3">
        <v>0</v>
      </c>
      <c r="Q385" s="3">
        <v>0</v>
      </c>
      <c r="R385" s="3">
        <v>0</v>
      </c>
      <c r="S385" s="67"/>
      <c r="T385">
        <f>VLOOKUP(A385,'Groupe de branches'!$Z$27:$AM$86,14,FALSE)</f>
        <v>0</v>
      </c>
      <c r="U385">
        <f>VLOOKUP(D385,'Groupe de branches'!$Z$27:$AM$86,14,FALSE)</f>
        <v>0</v>
      </c>
      <c r="V385">
        <v>2017</v>
      </c>
      <c r="W385">
        <f>VLOOKUP(D385,'Table corresp.'!$M$4:$S$63,7,FALSE)</f>
        <v>0</v>
      </c>
      <c r="X385" s="167">
        <f>IFERROR(G385/SUMIFS('Comp2016-2017 (3)'!$I$5:$I$289,'Comp2016-2017 (3)'!$A$5:$A$289,A385,'Comp2016-2017 (3)'!$R$5:$R$289,V385),0)</f>
        <v>3.8820072904036509E-2</v>
      </c>
      <c r="Y385" s="190">
        <f>IFERROR(IF(RIGHT(F385,3)="Exp",VLOOKUP(F385,#REF!,2,FALSE),VLOOKUP(F385,#REF!,9,FALSE)),1)</f>
        <v>1</v>
      </c>
      <c r="Z385" s="167">
        <f t="shared" si="46"/>
        <v>6.25E-2</v>
      </c>
      <c r="AA385" s="189">
        <f t="shared" si="41"/>
        <v>2.4262545565022818E-3</v>
      </c>
      <c r="AB385" s="2">
        <f>IFERROR(SUMIFS('Comp2016-2017 (3)'!$G$5:$G$289,'Comp2016-2017 (3)'!$A$5:$A$289,A385,'Comp2016-2017 (3)'!$R$5:$R$289,V385)*AA385/SUMIFS($AA$4:$AA$1116,$A$4:$A$1116,A385,$V$4:$V$1116,V385),0)</f>
        <v>27166.48399170112</v>
      </c>
      <c r="AC385" s="2">
        <f>IF($W385=AC$3,$AB385,IF(NOT($W385=0),"",SUMIFS('Val-Vol (2)'!AC$4:AC$1116,'Val-Vol (2)'!$A$4:$A$1116,$D385,'Val-Vol (2)'!$V$4:$V$1116,$V385)/SUMIFS('Comp2016-2017 (3)'!$G$5:$G$289,'Comp2016-2017 (3)'!$A$5:$A$289,$D385,'Comp2016-2017 (3)'!$R$5:$R$289,$V385)*$AB385))</f>
        <v>14535.985190027743</v>
      </c>
      <c r="AD385" s="2">
        <f>IF($W385=AD$3,$AB385,IF(NOT($W385=0),"",SUMIFS('Val-Vol (2)'!AD$4:AD$1116,'Val-Vol (2)'!$A$4:$A$1116,$D385,'Val-Vol (2)'!$V$4:$V$1116,$V385)/SUMIFS('Comp2016-2017 (3)'!$G$5:$G$289,'Comp2016-2017 (3)'!$A$5:$A$289,$D385,'Comp2016-2017 (3)'!$R$5:$R$289,$V385)*$AB385))</f>
        <v>5597.818999565894</v>
      </c>
      <c r="AE385" s="2">
        <f>IF($W385=AE$3,$AB385,IF(NOT($W385=0),"",SUMIFS('Val-Vol (2)'!AE$4:AE$1116,'Val-Vol (2)'!$A$4:$A$1116,$D385,'Val-Vol (2)'!$V$4:$V$1116,$V385)/SUMIFS('Comp2016-2017 (3)'!$G$5:$G$289,'Comp2016-2017 (3)'!$A$5:$A$289,$D385,'Comp2016-2017 (3)'!$R$5:$R$289,$V385)*$AB385))</f>
        <v>197.54976088497421</v>
      </c>
      <c r="AF385" s="2">
        <f>IF($W385=AF$3,$AB385,IF(NOT($W385=0),"",SUMIFS('Val-Vol (2)'!AF$4:AF$1116,'Val-Vol (2)'!$A$4:$A$1116,$D385,'Val-Vol (2)'!$V$4:$V$1116,$V385)/SUMIFS('Comp2016-2017 (3)'!$G$5:$G$289,'Comp2016-2017 (3)'!$A$5:$A$289,$D385,'Comp2016-2017 (3)'!$R$5:$R$289,$V385)*$AB385))</f>
        <v>0</v>
      </c>
      <c r="AG385" s="2">
        <f>IF($W385=AG$3,$AB385,IF(NOT($W385=0),"",SUMIFS('Val-Vol (2)'!AG$4:AG$1116,'Val-Vol (2)'!$A$4:$A$1116,$D385,'Val-Vol (2)'!$V$4:$V$1116,$V385)/SUMIFS('Comp2016-2017 (3)'!$G$5:$G$289,'Comp2016-2017 (3)'!$A$5:$A$289,$D385,'Comp2016-2017 (3)'!$R$5:$R$289,$V385)*$AB385))</f>
        <v>6171.3209391</v>
      </c>
      <c r="AH385" s="2">
        <f>IF($W385=AH$3,$AB385,IF(NOT($W385=0),"",SUMIFS('Val-Vol (2)'!AH$4:AH$1116,'Val-Vol (2)'!$A$4:$A$1116,$D385,'Val-Vol (2)'!$V$4:$V$1116,$V385)/SUMIFS('Comp2016-2017 (3)'!$G$5:$G$289,'Comp2016-2017 (3)'!$A$5:$A$289,$D385,'Comp2016-2017 (3)'!$R$5:$R$289,$V385)*$AB385))</f>
        <v>0</v>
      </c>
      <c r="AI385" s="2">
        <f>IF($W385=AI$3,$AB385,IF(NOT($W385=0),"",SUMIFS('Val-Vol (2)'!AI$4:AI$1116,'Val-Vol (2)'!$A$4:$A$1116,$D385,'Val-Vol (2)'!$V$4:$V$1116,$V385)/SUMIFS('Comp2016-2017 (3)'!$G$5:$G$289,'Comp2016-2017 (3)'!$A$5:$A$289,$D385,'Comp2016-2017 (3)'!$R$5:$R$289,$V385)*$AB385))</f>
        <v>0</v>
      </c>
      <c r="AJ385" s="2">
        <f>IF($W385=AJ$3,$AB385,IF(NOT($W385=0),"",SUMIFS('Val-Vol (2)'!AJ$4:AJ$1116,'Val-Vol (2)'!$A$4:$A$1116,$D385,'Val-Vol (2)'!$V$4:$V$1116,$V385)/SUMIFS('Comp2016-2017 (3)'!$G$5:$G$289,'Comp2016-2017 (3)'!$A$5:$A$289,$D385,'Comp2016-2017 (3)'!$R$5:$R$289,$V385)*$AB385))</f>
        <v>663.80910212250888</v>
      </c>
      <c r="AK385" s="2">
        <f t="shared" si="47"/>
        <v>0</v>
      </c>
      <c r="AL385" t="str">
        <f t="shared" si="40"/>
        <v/>
      </c>
      <c r="AM385" t="str">
        <f>VLOOKUP(A385,'Table corresp.'!$M$4:$U$63,8,FALSE)</f>
        <v>Forêt</v>
      </c>
      <c r="AN385" t="str">
        <f>VLOOKUP(D385,'Table corresp.'!$M$4:$U$63,9,FALSE)</f>
        <v>Production intermédiaire</v>
      </c>
    </row>
    <row r="386" spans="1:40" x14ac:dyDescent="0.25">
      <c r="A386" t="s">
        <v>0</v>
      </c>
      <c r="B386" t="str">
        <f>VLOOKUP(LEFT(A386,3),'Table corresp.'!$A$4:$D$63,3,FALSE)</f>
        <v>Forêt</v>
      </c>
      <c r="C386" t="str">
        <f>VLOOKUP(A386,'Table corresp.'!$M$4:$P$63,4,FALSE)</f>
        <v>Production et transformation de produits bois</v>
      </c>
      <c r="D386" t="s">
        <v>9</v>
      </c>
      <c r="E386" t="str">
        <f>VLOOKUP(LEFT(D386,3),'Table corresp.'!$A$4:$D$63,4,FALSE)</f>
        <v>Transformation</v>
      </c>
      <c r="F386" t="str">
        <f t="shared" si="39"/>
        <v xml:space="preserve">02  - 15 </v>
      </c>
      <c r="G386" s="3">
        <v>94374.187828204187</v>
      </c>
      <c r="H386" s="3">
        <v>0</v>
      </c>
      <c r="I386" s="3">
        <v>94374.188685579313</v>
      </c>
      <c r="J386" s="3">
        <v>2746.2738195973338</v>
      </c>
      <c r="K386" s="3">
        <v>0</v>
      </c>
      <c r="L386" s="3">
        <v>2746.2738195973338</v>
      </c>
      <c r="M386" s="3">
        <v>0</v>
      </c>
      <c r="N386" s="3">
        <v>0</v>
      </c>
      <c r="O386" s="3">
        <v>0</v>
      </c>
      <c r="P386" s="3">
        <v>0</v>
      </c>
      <c r="Q386" s="3">
        <v>0</v>
      </c>
      <c r="R386" s="3">
        <v>0</v>
      </c>
      <c r="S386" s="67"/>
      <c r="T386">
        <f>VLOOKUP(A386,'Groupe de branches'!$Z$27:$AM$86,14,FALSE)</f>
        <v>0</v>
      </c>
      <c r="U386">
        <f>VLOOKUP(D386,'Groupe de branches'!$Z$27:$AM$86,14,FALSE)</f>
        <v>0</v>
      </c>
      <c r="V386">
        <v>2017</v>
      </c>
      <c r="W386">
        <f>VLOOKUP(D386,'Table corresp.'!$M$4:$S$63,7,FALSE)</f>
        <v>0</v>
      </c>
      <c r="X386" s="167">
        <f>IFERROR(G386/SUMIFS('Comp2016-2017 (3)'!$I$5:$I$289,'Comp2016-2017 (3)'!$A$5:$A$289,A386,'Comp2016-2017 (3)'!$R$5:$R$289,V386),0)</f>
        <v>8.1438672714635327E-2</v>
      </c>
      <c r="Y386" s="190">
        <f>IFERROR(IF(RIGHT(F386,3)="Exp",VLOOKUP(F386,#REF!,2,FALSE),VLOOKUP(F386,#REF!,9,FALSE)),1)</f>
        <v>1</v>
      </c>
      <c r="Z386" s="167">
        <f t="shared" si="46"/>
        <v>6.25E-2</v>
      </c>
      <c r="AA386" s="189">
        <f t="shared" si="41"/>
        <v>5.0899170446647079E-3</v>
      </c>
      <c r="AB386" s="2">
        <f>IFERROR(SUMIFS('Comp2016-2017 (3)'!$G$5:$G$289,'Comp2016-2017 (3)'!$A$5:$A$289,A386,'Comp2016-2017 (3)'!$R$5:$R$289,V386)*AA386/SUMIFS($AA$4:$AA$1116,$A$4:$A$1116,A386,$V$4:$V$1116,V386),0)</f>
        <v>56991.196386379837</v>
      </c>
      <c r="AC386" s="2">
        <f>IF($W386=AC$3,$AB386,IF(NOT($W386=0),"",SUMIFS('Val-Vol (2)'!AC$4:AC$1116,'Val-Vol (2)'!$A$4:$A$1116,$D386,'Val-Vol (2)'!$V$4:$V$1116,$V386)/SUMIFS('Comp2016-2017 (3)'!$G$5:$G$289,'Comp2016-2017 (3)'!$A$5:$A$289,$D386,'Comp2016-2017 (3)'!$R$5:$R$289,$V386)*$AB386))</f>
        <v>1892.8675599431115</v>
      </c>
      <c r="AD386" s="2">
        <f>IF($W386=AD$3,$AB386,IF(NOT($W386=0),"",SUMIFS('Val-Vol (2)'!AD$4:AD$1116,'Val-Vol (2)'!$A$4:$A$1116,$D386,'Val-Vol (2)'!$V$4:$V$1116,$V386)/SUMIFS('Comp2016-2017 (3)'!$G$5:$G$289,'Comp2016-2017 (3)'!$A$5:$A$289,$D386,'Comp2016-2017 (3)'!$R$5:$R$289,$V386)*$AB386))</f>
        <v>10921.312486049132</v>
      </c>
      <c r="AE386" s="2">
        <f>IF($W386=AE$3,$AB386,IF(NOT($W386=0),"",SUMIFS('Val-Vol (2)'!AE$4:AE$1116,'Val-Vol (2)'!$A$4:$A$1116,$D386,'Val-Vol (2)'!$V$4:$V$1116,$V386)/SUMIFS('Comp2016-2017 (3)'!$G$5:$G$289,'Comp2016-2017 (3)'!$A$5:$A$289,$D386,'Comp2016-2017 (3)'!$R$5:$R$289,$V386)*$AB386))</f>
        <v>1.2151080799803362</v>
      </c>
      <c r="AF386" s="2">
        <f>IF($W386=AF$3,$AB386,IF(NOT($W386=0),"",SUMIFS('Val-Vol (2)'!AF$4:AF$1116,'Val-Vol (2)'!$A$4:$A$1116,$D386,'Val-Vol (2)'!$V$4:$V$1116,$V386)/SUMIFS('Comp2016-2017 (3)'!$G$5:$G$289,'Comp2016-2017 (3)'!$A$5:$A$289,$D386,'Comp2016-2017 (3)'!$R$5:$R$289,$V386)*$AB386))</f>
        <v>0</v>
      </c>
      <c r="AG386" s="2">
        <f>IF($W386=AG$3,$AB386,IF(NOT($W386=0),"",SUMIFS('Val-Vol (2)'!AG$4:AG$1116,'Val-Vol (2)'!$A$4:$A$1116,$D386,'Val-Vol (2)'!$V$4:$V$1116,$V386)/SUMIFS('Comp2016-2017 (3)'!$G$5:$G$289,'Comp2016-2017 (3)'!$A$5:$A$289,$D386,'Comp2016-2017 (3)'!$R$5:$R$289,$V386)*$AB386))</f>
        <v>27527.486470896019</v>
      </c>
      <c r="AH386" s="2">
        <f>IF($W386=AH$3,$AB386,IF(NOT($W386=0),"",SUMIFS('Val-Vol (2)'!AH$4:AH$1116,'Val-Vol (2)'!$A$4:$A$1116,$D386,'Val-Vol (2)'!$V$4:$V$1116,$V386)/SUMIFS('Comp2016-2017 (3)'!$G$5:$G$289,'Comp2016-2017 (3)'!$A$5:$A$289,$D386,'Comp2016-2017 (3)'!$R$5:$R$289,$V386)*$AB386))</f>
        <v>0</v>
      </c>
      <c r="AI386" s="2">
        <f>IF($W386=AI$3,$AB386,IF(NOT($W386=0),"",SUMIFS('Val-Vol (2)'!AI$4:AI$1116,'Val-Vol (2)'!$A$4:$A$1116,$D386,'Val-Vol (2)'!$V$4:$V$1116,$V386)/SUMIFS('Comp2016-2017 (3)'!$G$5:$G$289,'Comp2016-2017 (3)'!$A$5:$A$289,$D386,'Comp2016-2017 (3)'!$R$5:$R$289,$V386)*$AB386))</f>
        <v>0</v>
      </c>
      <c r="AJ386" s="2">
        <f>IF($W386=AJ$3,$AB386,IF(NOT($W386=0),"",SUMIFS('Val-Vol (2)'!AJ$4:AJ$1116,'Val-Vol (2)'!$A$4:$A$1116,$D386,'Val-Vol (2)'!$V$4:$V$1116,$V386)/SUMIFS('Comp2016-2017 (3)'!$G$5:$G$289,'Comp2016-2017 (3)'!$A$5:$A$289,$D386,'Comp2016-2017 (3)'!$R$5:$R$289,$V386)*$AB386))</f>
        <v>16648.314761411595</v>
      </c>
      <c r="AK386" s="2">
        <f t="shared" si="47"/>
        <v>0</v>
      </c>
      <c r="AL386" t="str">
        <f t="shared" si="40"/>
        <v/>
      </c>
      <c r="AM386" t="str">
        <f>VLOOKUP(A386,'Table corresp.'!$M$4:$U$63,8,FALSE)</f>
        <v>Forêt</v>
      </c>
      <c r="AN386" t="str">
        <f>VLOOKUP(D386,'Table corresp.'!$M$4:$U$63,9,FALSE)</f>
        <v>Production intermédiaire</v>
      </c>
    </row>
    <row r="387" spans="1:40" x14ac:dyDescent="0.25">
      <c r="A387" t="s">
        <v>0</v>
      </c>
      <c r="B387" t="str">
        <f>VLOOKUP(LEFT(A387,3),'Table corresp.'!$A$4:$D$63,3,FALSE)</f>
        <v>Forêt</v>
      </c>
      <c r="C387" t="str">
        <f>VLOOKUP(A387,'Table corresp.'!$M$4:$P$63,4,FALSE)</f>
        <v>Production et transformation de produits bois</v>
      </c>
      <c r="D387" t="s">
        <v>10</v>
      </c>
      <c r="E387" t="str">
        <f>VLOOKUP(LEFT(D387,3),'Table corresp.'!$A$4:$D$63,4,FALSE)</f>
        <v>Transformation</v>
      </c>
      <c r="F387" t="str">
        <f t="shared" si="39"/>
        <v xml:space="preserve">02  - 16 </v>
      </c>
      <c r="G387" s="3">
        <v>115293.88168206209</v>
      </c>
      <c r="H387" s="3">
        <v>0</v>
      </c>
      <c r="I387" s="3">
        <v>115293.88272948944</v>
      </c>
      <c r="J387" s="3">
        <v>290.39273457718633</v>
      </c>
      <c r="K387" s="3">
        <v>0</v>
      </c>
      <c r="L387" s="3">
        <v>290.39273457718633</v>
      </c>
      <c r="M387" s="3">
        <v>0</v>
      </c>
      <c r="N387" s="3">
        <v>0</v>
      </c>
      <c r="O387" s="3">
        <v>0</v>
      </c>
      <c r="P387" s="3">
        <v>0</v>
      </c>
      <c r="Q387" s="3">
        <v>0</v>
      </c>
      <c r="R387" s="3">
        <v>0</v>
      </c>
      <c r="S387" s="67"/>
      <c r="T387">
        <f>VLOOKUP(A387,'Groupe de branches'!$Z$27:$AM$86,14,FALSE)</f>
        <v>0</v>
      </c>
      <c r="U387">
        <f>VLOOKUP(D387,'Groupe de branches'!$Z$27:$AM$86,14,FALSE)</f>
        <v>0</v>
      </c>
      <c r="V387">
        <v>2017</v>
      </c>
      <c r="W387" t="str">
        <f>VLOOKUP(D387,'Table corresp.'!$M$4:$S$63,7,FALSE)</f>
        <v>Emballage bois et carton</v>
      </c>
      <c r="X387" s="167">
        <f>IFERROR(G387/SUMIFS('Comp2016-2017 (3)'!$I$5:$I$289,'Comp2016-2017 (3)'!$A$5:$A$289,A387,'Comp2016-2017 (3)'!$R$5:$R$289,V387),0)</f>
        <v>9.9490982782256918E-2</v>
      </c>
      <c r="Y387" s="190">
        <f>IFERROR(IF(RIGHT(F387,3)="Exp",VLOOKUP(F387,#REF!,2,FALSE),VLOOKUP(F387,#REF!,9,FALSE)),1)</f>
        <v>1</v>
      </c>
      <c r="Z387" s="167">
        <f t="shared" si="46"/>
        <v>6.25E-2</v>
      </c>
      <c r="AA387" s="189">
        <f t="shared" si="41"/>
        <v>6.2181864238910574E-3</v>
      </c>
      <c r="AB387" s="2">
        <f>IFERROR(SUMIFS('Comp2016-2017 (3)'!$G$5:$G$289,'Comp2016-2017 (3)'!$A$5:$A$289,A387,'Comp2016-2017 (3)'!$R$5:$R$289,V387)*AA387/SUMIFS($AA$4:$AA$1116,$A$4:$A$1116,A387,$V$4:$V$1116,V387),0)</f>
        <v>69624.294569311722</v>
      </c>
      <c r="AC387" s="2" t="str">
        <f>IF($W387=AC$3,$AB387,IF(NOT($W387=0),"",SUMIFS('Val-Vol (2)'!AC$4:AC$1116,'Val-Vol (2)'!$A$4:$A$1116,$D387,'Val-Vol (2)'!$V$4:$V$1116,$V387)/SUMIFS('Comp2016-2017 (3)'!$G$5:$G$289,'Comp2016-2017 (3)'!$A$5:$A$289,$D387,'Comp2016-2017 (3)'!$R$5:$R$289,$V387)*$AB387))</f>
        <v/>
      </c>
      <c r="AD387" s="2" t="str">
        <f>IF($W387=AD$3,$AB387,IF(NOT($W387=0),"",SUMIFS('Val-Vol (2)'!AD$4:AD$1116,'Val-Vol (2)'!$A$4:$A$1116,$D387,'Val-Vol (2)'!$V$4:$V$1116,$V387)/SUMIFS('Comp2016-2017 (3)'!$G$5:$G$289,'Comp2016-2017 (3)'!$A$5:$A$289,$D387,'Comp2016-2017 (3)'!$R$5:$R$289,$V387)*$AB387))</f>
        <v/>
      </c>
      <c r="AE387" s="2" t="str">
        <f>IF($W387=AE$3,$AB387,IF(NOT($W387=0),"",SUMIFS('Val-Vol (2)'!AE$4:AE$1116,'Val-Vol (2)'!$A$4:$A$1116,$D387,'Val-Vol (2)'!$V$4:$V$1116,$V387)/SUMIFS('Comp2016-2017 (3)'!$G$5:$G$289,'Comp2016-2017 (3)'!$A$5:$A$289,$D387,'Comp2016-2017 (3)'!$R$5:$R$289,$V387)*$AB387))</f>
        <v/>
      </c>
      <c r="AF387" s="2" t="str">
        <f>IF($W387=AF$3,$AB387,IF(NOT($W387=0),"",SUMIFS('Val-Vol (2)'!AF$4:AF$1116,'Val-Vol (2)'!$A$4:$A$1116,$D387,'Val-Vol (2)'!$V$4:$V$1116,$V387)/SUMIFS('Comp2016-2017 (3)'!$G$5:$G$289,'Comp2016-2017 (3)'!$A$5:$A$289,$D387,'Comp2016-2017 (3)'!$R$5:$R$289,$V387)*$AB387))</f>
        <v/>
      </c>
      <c r="AG387" s="2">
        <f>IF($W387=AG$3,$AB387,IF(NOT($W387=0),"",SUMIFS('Val-Vol (2)'!AG$4:AG$1116,'Val-Vol (2)'!$A$4:$A$1116,$D387,'Val-Vol (2)'!$V$4:$V$1116,$V387)/SUMIFS('Comp2016-2017 (3)'!$G$5:$G$289,'Comp2016-2017 (3)'!$A$5:$A$289,$D387,'Comp2016-2017 (3)'!$R$5:$R$289,$V387)*$AB387))</f>
        <v>69624.294569311722</v>
      </c>
      <c r="AH387" s="2" t="str">
        <f>IF($W387=AH$3,$AB387,IF(NOT($W387=0),"",SUMIFS('Val-Vol (2)'!AH$4:AH$1116,'Val-Vol (2)'!$A$4:$A$1116,$D387,'Val-Vol (2)'!$V$4:$V$1116,$V387)/SUMIFS('Comp2016-2017 (3)'!$G$5:$G$289,'Comp2016-2017 (3)'!$A$5:$A$289,$D387,'Comp2016-2017 (3)'!$R$5:$R$289,$V387)*$AB387))</f>
        <v/>
      </c>
      <c r="AI387" s="2" t="str">
        <f>IF($W387=AI$3,$AB387,IF(NOT($W387=0),"",SUMIFS('Val-Vol (2)'!AI$4:AI$1116,'Val-Vol (2)'!$A$4:$A$1116,$D387,'Val-Vol (2)'!$V$4:$V$1116,$V387)/SUMIFS('Comp2016-2017 (3)'!$G$5:$G$289,'Comp2016-2017 (3)'!$A$5:$A$289,$D387,'Comp2016-2017 (3)'!$R$5:$R$289,$V387)*$AB387))</f>
        <v/>
      </c>
      <c r="AJ387" s="2" t="str">
        <f>IF($W387=AJ$3,$AB387,IF(NOT($W387=0),"",SUMIFS('Val-Vol (2)'!AJ$4:AJ$1116,'Val-Vol (2)'!$A$4:$A$1116,$D387,'Val-Vol (2)'!$V$4:$V$1116,$V387)/SUMIFS('Comp2016-2017 (3)'!$G$5:$G$289,'Comp2016-2017 (3)'!$A$5:$A$289,$D387,'Comp2016-2017 (3)'!$R$5:$R$289,$V387)*$AB387))</f>
        <v/>
      </c>
      <c r="AK387" s="2">
        <f t="shared" si="47"/>
        <v>0</v>
      </c>
      <c r="AL387" t="str">
        <f t="shared" si="40"/>
        <v/>
      </c>
      <c r="AM387" t="str">
        <f>VLOOKUP(A387,'Table corresp.'!$M$4:$U$63,8,FALSE)</f>
        <v>Forêt</v>
      </c>
      <c r="AN387" t="str">
        <f>VLOOKUP(D387,'Table corresp.'!$M$4:$U$63,9,FALSE)</f>
        <v>Production intermédiaire</v>
      </c>
    </row>
    <row r="388" spans="1:40" x14ac:dyDescent="0.25">
      <c r="A388" t="s">
        <v>0</v>
      </c>
      <c r="B388" t="str">
        <f>VLOOKUP(LEFT(A388,3),'Table corresp.'!$A$4:$D$63,3,FALSE)</f>
        <v>Forêt</v>
      </c>
      <c r="C388" t="str">
        <f>VLOOKUP(A388,'Table corresp.'!$M$4:$P$63,4,FALSE)</f>
        <v>Production et transformation de produits bois</v>
      </c>
      <c r="D388" t="s">
        <v>84</v>
      </c>
      <c r="E388" t="str">
        <f>VLOOKUP(LEFT(D388,3),'Table corresp.'!$A$4:$D$63,4,FALSE)</f>
        <v>Transformation</v>
      </c>
      <c r="F388" t="str">
        <f t="shared" ref="F388:F451" si="48">LEFT(A388,3)&amp;" - "&amp;LEFT(D388,3)</f>
        <v xml:space="preserve">02  - 17 </v>
      </c>
      <c r="G388" s="3">
        <v>15901.588363865952</v>
      </c>
      <c r="H388" s="3">
        <v>0</v>
      </c>
      <c r="I388" s="3">
        <v>15901.588508329462</v>
      </c>
      <c r="J388" s="3">
        <v>303.72496680496414</v>
      </c>
      <c r="K388" s="3">
        <v>0</v>
      </c>
      <c r="L388" s="3">
        <v>303.72496680496414</v>
      </c>
      <c r="M388" s="3">
        <v>0</v>
      </c>
      <c r="N388" s="3">
        <v>0</v>
      </c>
      <c r="O388" s="3">
        <v>0</v>
      </c>
      <c r="P388" s="3">
        <v>0</v>
      </c>
      <c r="Q388" s="3">
        <v>0</v>
      </c>
      <c r="R388" s="3">
        <v>0</v>
      </c>
      <c r="S388" s="67"/>
      <c r="T388">
        <f>VLOOKUP(A388,'Groupe de branches'!$Z$27:$AM$86,14,FALSE)</f>
        <v>0</v>
      </c>
      <c r="U388">
        <f>VLOOKUP(D388,'Groupe de branches'!$Z$27:$AM$86,14,FALSE)</f>
        <v>0</v>
      </c>
      <c r="V388">
        <v>2017</v>
      </c>
      <c r="W388" t="str">
        <f>VLOOKUP(D388,'Table corresp.'!$M$4:$S$63,7,FALSE)</f>
        <v>Construction</v>
      </c>
      <c r="X388" s="167">
        <f>IFERROR(G388/SUMIFS('Comp2016-2017 (3)'!$I$5:$I$289,'Comp2016-2017 (3)'!$A$5:$A$289,A388,'Comp2016-2017 (3)'!$R$5:$R$289,V388),0)</f>
        <v>1.3722017430922086E-2</v>
      </c>
      <c r="Y388" s="190">
        <f>IFERROR(IF(RIGHT(F388,3)="Exp",VLOOKUP(F388,#REF!,2,FALSE),VLOOKUP(F388,#REF!,9,FALSE)),1)</f>
        <v>1</v>
      </c>
      <c r="Z388" s="167">
        <f t="shared" si="46"/>
        <v>6.25E-2</v>
      </c>
      <c r="AA388" s="189">
        <f t="shared" si="41"/>
        <v>8.5762608943263036E-4</v>
      </c>
      <c r="AB388" s="2">
        <f>IFERROR(SUMIFS('Comp2016-2017 (3)'!$G$5:$G$289,'Comp2016-2017 (3)'!$A$5:$A$289,A388,'Comp2016-2017 (3)'!$R$5:$R$289,V388)*AA388/SUMIFS($AA$4:$AA$1116,$A$4:$A$1116,A388,$V$4:$V$1116,V388),0)</f>
        <v>9602.7374238193934</v>
      </c>
      <c r="AC388" s="2" t="str">
        <f>IF($W388=AC$3,$AB388,IF(NOT($W388=0),"",SUMIFS('Val-Vol (2)'!AC$4:AC$1116,'Val-Vol (2)'!$A$4:$A$1116,$D388,'Val-Vol (2)'!$V$4:$V$1116,$V388)/SUMIFS('Comp2016-2017 (3)'!$G$5:$G$289,'Comp2016-2017 (3)'!$A$5:$A$289,$D388,'Comp2016-2017 (3)'!$R$5:$R$289,$V388)*$AB388))</f>
        <v/>
      </c>
      <c r="AD388" s="2">
        <f>IF($W388=AD$3,$AB388,IF(NOT($W388=0),"",SUMIFS('Val-Vol (2)'!AD$4:AD$1116,'Val-Vol (2)'!$A$4:$A$1116,$D388,'Val-Vol (2)'!$V$4:$V$1116,$V388)/SUMIFS('Comp2016-2017 (3)'!$G$5:$G$289,'Comp2016-2017 (3)'!$A$5:$A$289,$D388,'Comp2016-2017 (3)'!$R$5:$R$289,$V388)*$AB388))</f>
        <v>9602.7374238193934</v>
      </c>
      <c r="AE388" s="2" t="str">
        <f>IF($W388=AE$3,$AB388,IF(NOT($W388=0),"",SUMIFS('Val-Vol (2)'!AE$4:AE$1116,'Val-Vol (2)'!$A$4:$A$1116,$D388,'Val-Vol (2)'!$V$4:$V$1116,$V388)/SUMIFS('Comp2016-2017 (3)'!$G$5:$G$289,'Comp2016-2017 (3)'!$A$5:$A$289,$D388,'Comp2016-2017 (3)'!$R$5:$R$289,$V388)*$AB388))</f>
        <v/>
      </c>
      <c r="AF388" s="2" t="str">
        <f>IF($W388=AF$3,$AB388,IF(NOT($W388=0),"",SUMIFS('Val-Vol (2)'!AF$4:AF$1116,'Val-Vol (2)'!$A$4:$A$1116,$D388,'Val-Vol (2)'!$V$4:$V$1116,$V388)/SUMIFS('Comp2016-2017 (3)'!$G$5:$G$289,'Comp2016-2017 (3)'!$A$5:$A$289,$D388,'Comp2016-2017 (3)'!$R$5:$R$289,$V388)*$AB388))</f>
        <v/>
      </c>
      <c r="AG388" s="2" t="str">
        <f>IF($W388=AG$3,$AB388,IF(NOT($W388=0),"",SUMIFS('Val-Vol (2)'!AG$4:AG$1116,'Val-Vol (2)'!$A$4:$A$1116,$D388,'Val-Vol (2)'!$V$4:$V$1116,$V388)/SUMIFS('Comp2016-2017 (3)'!$G$5:$G$289,'Comp2016-2017 (3)'!$A$5:$A$289,$D388,'Comp2016-2017 (3)'!$R$5:$R$289,$V388)*$AB388))</f>
        <v/>
      </c>
      <c r="AH388" s="2" t="str">
        <f>IF($W388=AH$3,$AB388,IF(NOT($W388=0),"",SUMIFS('Val-Vol (2)'!AH$4:AH$1116,'Val-Vol (2)'!$A$4:$A$1116,$D388,'Val-Vol (2)'!$V$4:$V$1116,$V388)/SUMIFS('Comp2016-2017 (3)'!$G$5:$G$289,'Comp2016-2017 (3)'!$A$5:$A$289,$D388,'Comp2016-2017 (3)'!$R$5:$R$289,$V388)*$AB388))</f>
        <v/>
      </c>
      <c r="AI388" s="2" t="str">
        <f>IF($W388=AI$3,$AB388,IF(NOT($W388=0),"",SUMIFS('Val-Vol (2)'!AI$4:AI$1116,'Val-Vol (2)'!$A$4:$A$1116,$D388,'Val-Vol (2)'!$V$4:$V$1116,$V388)/SUMIFS('Comp2016-2017 (3)'!$G$5:$G$289,'Comp2016-2017 (3)'!$A$5:$A$289,$D388,'Comp2016-2017 (3)'!$R$5:$R$289,$V388)*$AB388))</f>
        <v/>
      </c>
      <c r="AJ388" s="2" t="str">
        <f>IF($W388=AJ$3,$AB388,IF(NOT($W388=0),"",SUMIFS('Val-Vol (2)'!AJ$4:AJ$1116,'Val-Vol (2)'!$A$4:$A$1116,$D388,'Val-Vol (2)'!$V$4:$V$1116,$V388)/SUMIFS('Comp2016-2017 (3)'!$G$5:$G$289,'Comp2016-2017 (3)'!$A$5:$A$289,$D388,'Comp2016-2017 (3)'!$R$5:$R$289,$V388)*$AB388))</f>
        <v/>
      </c>
      <c r="AK388" s="2">
        <f t="shared" si="47"/>
        <v>0</v>
      </c>
      <c r="AL388" t="str">
        <f t="shared" ref="AL388:AL451" si="49">IF(A388=D388,"remplir à la main","")</f>
        <v/>
      </c>
      <c r="AM388" t="str">
        <f>VLOOKUP(A388,'Table corresp.'!$M$4:$U$63,8,FALSE)</f>
        <v>Forêt</v>
      </c>
      <c r="AN388" t="str">
        <f>VLOOKUP(D388,'Table corresp.'!$M$4:$U$63,9,FALSE)</f>
        <v>Production intermédiaire</v>
      </c>
    </row>
    <row r="389" spans="1:40" x14ac:dyDescent="0.25">
      <c r="A389" t="s">
        <v>0</v>
      </c>
      <c r="B389" t="str">
        <f>VLOOKUP(LEFT(A389,3),'Table corresp.'!$A$4:$D$63,3,FALSE)</f>
        <v>Forêt</v>
      </c>
      <c r="C389" t="str">
        <f>VLOOKUP(A389,'Table corresp.'!$M$4:$P$63,4,FALSE)</f>
        <v>Production et transformation de produits bois</v>
      </c>
      <c r="D389" t="s">
        <v>85</v>
      </c>
      <c r="E389" t="str">
        <f>VLOOKUP(LEFT(D389,3),'Table corresp.'!$A$4:$D$63,4,FALSE)</f>
        <v>Transformation</v>
      </c>
      <c r="F389" t="str">
        <f t="shared" si="48"/>
        <v xml:space="preserve">02  - 29 </v>
      </c>
      <c r="G389" s="3">
        <v>13279.242288720296</v>
      </c>
      <c r="H389" s="3">
        <v>0</v>
      </c>
      <c r="I389" s="3">
        <v>13279.242409360191</v>
      </c>
      <c r="J389" s="3">
        <v>176.59503514625206</v>
      </c>
      <c r="K389" s="3">
        <v>0</v>
      </c>
      <c r="L389" s="3">
        <v>176.59503514625206</v>
      </c>
      <c r="M389" s="3">
        <v>0</v>
      </c>
      <c r="N389" s="3">
        <v>0</v>
      </c>
      <c r="O389" s="3">
        <v>0</v>
      </c>
      <c r="P389" s="3">
        <v>0</v>
      </c>
      <c r="Q389" s="3">
        <v>0</v>
      </c>
      <c r="R389" s="3">
        <v>0</v>
      </c>
      <c r="S389" s="67"/>
      <c r="T389">
        <f>VLOOKUP(A389,'Groupe de branches'!$Z$27:$AM$86,14,FALSE)</f>
        <v>0</v>
      </c>
      <c r="U389">
        <f>VLOOKUP(D389,'Groupe de branches'!$Z$27:$AM$86,14,FALSE)</f>
        <v>0</v>
      </c>
      <c r="V389">
        <v>2017</v>
      </c>
      <c r="W389" t="str">
        <f>VLOOKUP(D389,'Table corresp.'!$M$4:$S$63,7,FALSE)</f>
        <v>Construction</v>
      </c>
      <c r="X389" s="167">
        <f>IFERROR(G389/SUMIFS('Comp2016-2017 (3)'!$I$5:$I$289,'Comp2016-2017 (3)'!$A$5:$A$289,A389,'Comp2016-2017 (3)'!$R$5:$R$289,V389),0)</f>
        <v>1.1459106473245243E-2</v>
      </c>
      <c r="Y389" s="190">
        <f>IFERROR(IF(RIGHT(F389,3)="Exp",VLOOKUP(F389,#REF!,2,FALSE),VLOOKUP(F389,#REF!,9,FALSE)),1)</f>
        <v>1</v>
      </c>
      <c r="Z389" s="167">
        <f t="shared" si="46"/>
        <v>6.25E-2</v>
      </c>
      <c r="AA389" s="189">
        <f t="shared" ref="AA389:AA452" si="50">X389*Z389</f>
        <v>7.1619415457782772E-4</v>
      </c>
      <c r="AB389" s="2">
        <f>IFERROR(SUMIFS('Comp2016-2017 (3)'!$G$5:$G$289,'Comp2016-2017 (3)'!$A$5:$A$289,A389,'Comp2016-2017 (3)'!$R$5:$R$289,V389)*AA389/SUMIFS($AA$4:$AA$1116,$A$4:$A$1116,A389,$V$4:$V$1116,V389),0)</f>
        <v>8019.1408536032459</v>
      </c>
      <c r="AC389" s="2" t="str">
        <f>IF($W389=AC$3,$AB389,IF(NOT($W389=0),"",SUMIFS('Val-Vol (2)'!AC$4:AC$1116,'Val-Vol (2)'!$A$4:$A$1116,$D389,'Val-Vol (2)'!$V$4:$V$1116,$V389)/SUMIFS('Comp2016-2017 (3)'!$G$5:$G$289,'Comp2016-2017 (3)'!$A$5:$A$289,$D389,'Comp2016-2017 (3)'!$R$5:$R$289,$V389)*$AB389))</f>
        <v/>
      </c>
      <c r="AD389" s="2">
        <f>IF($W389=AD$3,$AB389,IF(NOT($W389=0),"",SUMIFS('Val-Vol (2)'!AD$4:AD$1116,'Val-Vol (2)'!$A$4:$A$1116,$D389,'Val-Vol (2)'!$V$4:$V$1116,$V389)/SUMIFS('Comp2016-2017 (3)'!$G$5:$G$289,'Comp2016-2017 (3)'!$A$5:$A$289,$D389,'Comp2016-2017 (3)'!$R$5:$R$289,$V389)*$AB389))</f>
        <v>8019.1408536032459</v>
      </c>
      <c r="AE389" s="2" t="str">
        <f>IF($W389=AE$3,$AB389,IF(NOT($W389=0),"",SUMIFS('Val-Vol (2)'!AE$4:AE$1116,'Val-Vol (2)'!$A$4:$A$1116,$D389,'Val-Vol (2)'!$V$4:$V$1116,$V389)/SUMIFS('Comp2016-2017 (3)'!$G$5:$G$289,'Comp2016-2017 (3)'!$A$5:$A$289,$D389,'Comp2016-2017 (3)'!$R$5:$R$289,$V389)*$AB389))</f>
        <v/>
      </c>
      <c r="AF389" s="2" t="str">
        <f>IF($W389=AF$3,$AB389,IF(NOT($W389=0),"",SUMIFS('Val-Vol (2)'!AF$4:AF$1116,'Val-Vol (2)'!$A$4:$A$1116,$D389,'Val-Vol (2)'!$V$4:$V$1116,$V389)/SUMIFS('Comp2016-2017 (3)'!$G$5:$G$289,'Comp2016-2017 (3)'!$A$5:$A$289,$D389,'Comp2016-2017 (3)'!$R$5:$R$289,$V389)*$AB389))</f>
        <v/>
      </c>
      <c r="AG389" s="2" t="str">
        <f>IF($W389=AG$3,$AB389,IF(NOT($W389=0),"",SUMIFS('Val-Vol (2)'!AG$4:AG$1116,'Val-Vol (2)'!$A$4:$A$1116,$D389,'Val-Vol (2)'!$V$4:$V$1116,$V389)/SUMIFS('Comp2016-2017 (3)'!$G$5:$G$289,'Comp2016-2017 (3)'!$A$5:$A$289,$D389,'Comp2016-2017 (3)'!$R$5:$R$289,$V389)*$AB389))</f>
        <v/>
      </c>
      <c r="AH389" s="2" t="str">
        <f>IF($W389=AH$3,$AB389,IF(NOT($W389=0),"",SUMIFS('Val-Vol (2)'!AH$4:AH$1116,'Val-Vol (2)'!$A$4:$A$1116,$D389,'Val-Vol (2)'!$V$4:$V$1116,$V389)/SUMIFS('Comp2016-2017 (3)'!$G$5:$G$289,'Comp2016-2017 (3)'!$A$5:$A$289,$D389,'Comp2016-2017 (3)'!$R$5:$R$289,$V389)*$AB389))</f>
        <v/>
      </c>
      <c r="AI389" s="2" t="str">
        <f>IF($W389=AI$3,$AB389,IF(NOT($W389=0),"",SUMIFS('Val-Vol (2)'!AI$4:AI$1116,'Val-Vol (2)'!$A$4:$A$1116,$D389,'Val-Vol (2)'!$V$4:$V$1116,$V389)/SUMIFS('Comp2016-2017 (3)'!$G$5:$G$289,'Comp2016-2017 (3)'!$A$5:$A$289,$D389,'Comp2016-2017 (3)'!$R$5:$R$289,$V389)*$AB389))</f>
        <v/>
      </c>
      <c r="AJ389" s="2" t="str">
        <f>IF($W389=AJ$3,$AB389,IF(NOT($W389=0),"",SUMIFS('Val-Vol (2)'!AJ$4:AJ$1116,'Val-Vol (2)'!$A$4:$A$1116,$D389,'Val-Vol (2)'!$V$4:$V$1116,$V389)/SUMIFS('Comp2016-2017 (3)'!$G$5:$G$289,'Comp2016-2017 (3)'!$A$5:$A$289,$D389,'Comp2016-2017 (3)'!$R$5:$R$289,$V389)*$AB389))</f>
        <v/>
      </c>
      <c r="AK389" s="2">
        <f t="shared" si="47"/>
        <v>0</v>
      </c>
      <c r="AL389" t="str">
        <f t="shared" si="49"/>
        <v/>
      </c>
      <c r="AM389" t="str">
        <f>VLOOKUP(A389,'Table corresp.'!$M$4:$U$63,8,FALSE)</f>
        <v>Forêt</v>
      </c>
      <c r="AN389" t="str">
        <f>VLOOKUP(D389,'Table corresp.'!$M$4:$U$63,9,FALSE)</f>
        <v>Production intermédiaire</v>
      </c>
    </row>
    <row r="390" spans="1:40" x14ac:dyDescent="0.25">
      <c r="A390" t="s">
        <v>0</v>
      </c>
      <c r="B390" t="str">
        <f>VLOOKUP(LEFT(A390,3),'Table corresp.'!$A$4:$D$63,3,FALSE)</f>
        <v>Forêt</v>
      </c>
      <c r="C390" t="str">
        <f>VLOOKUP(A390,'Table corresp.'!$M$4:$P$63,4,FALSE)</f>
        <v>Production et transformation de produits bois</v>
      </c>
      <c r="D390" t="s">
        <v>87</v>
      </c>
      <c r="E390" t="str">
        <f>VLOOKUP(LEFT(D390,3),'Table corresp.'!$A$4:$D$63,4,FALSE)</f>
        <v>Transformation</v>
      </c>
      <c r="F390" t="str">
        <f t="shared" si="48"/>
        <v xml:space="preserve">02  - 31 </v>
      </c>
      <c r="G390" s="3">
        <v>5768.3107032410635</v>
      </c>
      <c r="H390" s="3">
        <v>10798.279154371181</v>
      </c>
      <c r="I390" s="3">
        <v>16566.590008117204</v>
      </c>
      <c r="J390" s="3">
        <v>175.93436663088565</v>
      </c>
      <c r="K390" s="3">
        <v>149.25505011501016</v>
      </c>
      <c r="L390" s="3">
        <v>325.18941674589581</v>
      </c>
      <c r="M390" s="3">
        <v>0</v>
      </c>
      <c r="N390" s="3">
        <v>0</v>
      </c>
      <c r="O390" s="3">
        <v>0</v>
      </c>
      <c r="P390" s="3">
        <v>0</v>
      </c>
      <c r="Q390" s="3">
        <v>0</v>
      </c>
      <c r="R390" s="3">
        <v>0</v>
      </c>
      <c r="S390" s="67"/>
      <c r="T390">
        <f>VLOOKUP(A390,'Groupe de branches'!$Z$27:$AM$86,14,FALSE)</f>
        <v>0</v>
      </c>
      <c r="U390">
        <f>VLOOKUP(D390,'Groupe de branches'!$Z$27:$AM$86,14,FALSE)</f>
        <v>0</v>
      </c>
      <c r="V390">
        <v>2017</v>
      </c>
      <c r="W390">
        <f>VLOOKUP(D390,'Table corresp.'!$M$4:$S$63,7,FALSE)</f>
        <v>0</v>
      </c>
      <c r="X390" s="167">
        <f>IFERROR(G390/SUMIFS('Comp2016-2017 (3)'!$I$5:$I$289,'Comp2016-2017 (3)'!$A$5:$A$289,A390,'Comp2016-2017 (3)'!$R$5:$R$289,V390),0)</f>
        <v>4.9776700418627156E-3</v>
      </c>
      <c r="Y390" s="190">
        <f>IFERROR(IF(RIGHT(F390,3)="Exp",VLOOKUP(F390,#REF!,2,FALSE),VLOOKUP(F390,#REF!,9,FALSE)),1)</f>
        <v>1</v>
      </c>
      <c r="Z390" s="167">
        <f t="shared" si="46"/>
        <v>6.25E-2</v>
      </c>
      <c r="AA390" s="189">
        <f t="shared" si="50"/>
        <v>3.1110437761641972E-4</v>
      </c>
      <c r="AB390" s="2">
        <f>IFERROR(SUMIFS('Comp2016-2017 (3)'!$G$5:$G$289,'Comp2016-2017 (3)'!$A$5:$A$289,A390,'Comp2016-2017 (3)'!$R$5:$R$289,V390)*AA390/SUMIFS($AA$4:$AA$1116,$A$4:$A$1116,A390,$V$4:$V$1116,V390),0)</f>
        <v>3483.398752045438</v>
      </c>
      <c r="AC390" s="2">
        <f>IF($W390=AC$3,$AB390,IF(NOT($W390=0),"",SUMIFS('Val-Vol (2)'!AC$4:AC$1116,'Val-Vol (2)'!$A$4:$A$1116,$D390,'Val-Vol (2)'!$V$4:$V$1116,$V390)/SUMIFS('Comp2016-2017 (3)'!$G$5:$G$289,'Comp2016-2017 (3)'!$A$5:$A$289,$D390,'Comp2016-2017 (3)'!$R$5:$R$289,$V390)*$AB390))</f>
        <v>1849.234486140545</v>
      </c>
      <c r="AD390" s="2">
        <f>IF($W390=AD$3,$AB390,IF(NOT($W390=0),"",SUMIFS('Val-Vol (2)'!AD$4:AD$1116,'Val-Vol (2)'!$A$4:$A$1116,$D390,'Val-Vol (2)'!$V$4:$V$1116,$V390)/SUMIFS('Comp2016-2017 (3)'!$G$5:$G$289,'Comp2016-2017 (3)'!$A$5:$A$289,$D390,'Comp2016-2017 (3)'!$R$5:$R$289,$V390)*$AB390))</f>
        <v>533.59560319906279</v>
      </c>
      <c r="AE390" s="2">
        <f>IF($W390=AE$3,$AB390,IF(NOT($W390=0),"",SUMIFS('Val-Vol (2)'!AE$4:AE$1116,'Val-Vol (2)'!$A$4:$A$1116,$D390,'Val-Vol (2)'!$V$4:$V$1116,$V390)/SUMIFS('Comp2016-2017 (3)'!$G$5:$G$289,'Comp2016-2017 (3)'!$A$5:$A$289,$D390,'Comp2016-2017 (3)'!$R$5:$R$289,$V390)*$AB390))</f>
        <v>682.70128116765011</v>
      </c>
      <c r="AF390" s="2">
        <f>IF($W390=AF$3,$AB390,IF(NOT($W390=0),"",SUMIFS('Val-Vol (2)'!AF$4:AF$1116,'Val-Vol (2)'!$A$4:$A$1116,$D390,'Val-Vol (2)'!$V$4:$V$1116,$V390)/SUMIFS('Comp2016-2017 (3)'!$G$5:$G$289,'Comp2016-2017 (3)'!$A$5:$A$289,$D390,'Comp2016-2017 (3)'!$R$5:$R$289,$V390)*$AB390))</f>
        <v>0</v>
      </c>
      <c r="AG390" s="2">
        <f>IF($W390=AG$3,$AB390,IF(NOT($W390=0),"",SUMIFS('Val-Vol (2)'!AG$4:AG$1116,'Val-Vol (2)'!$A$4:$A$1116,$D390,'Val-Vol (2)'!$V$4:$V$1116,$V390)/SUMIFS('Comp2016-2017 (3)'!$G$5:$G$289,'Comp2016-2017 (3)'!$A$5:$A$289,$D390,'Comp2016-2017 (3)'!$R$5:$R$289,$V390)*$AB390))</f>
        <v>315.96371908171403</v>
      </c>
      <c r="AH390" s="2">
        <f>IF($W390=AH$3,$AB390,IF(NOT($W390=0),"",SUMIFS('Val-Vol (2)'!AH$4:AH$1116,'Val-Vol (2)'!$A$4:$A$1116,$D390,'Val-Vol (2)'!$V$4:$V$1116,$V390)/SUMIFS('Comp2016-2017 (3)'!$G$5:$G$289,'Comp2016-2017 (3)'!$A$5:$A$289,$D390,'Comp2016-2017 (3)'!$R$5:$R$289,$V390)*$AB390))</f>
        <v>0</v>
      </c>
      <c r="AI390" s="2">
        <f>IF($W390=AI$3,$AB390,IF(NOT($W390=0),"",SUMIFS('Val-Vol (2)'!AI$4:AI$1116,'Val-Vol (2)'!$A$4:$A$1116,$D390,'Val-Vol (2)'!$V$4:$V$1116,$V390)/SUMIFS('Comp2016-2017 (3)'!$G$5:$G$289,'Comp2016-2017 (3)'!$A$5:$A$289,$D390,'Comp2016-2017 (3)'!$R$5:$R$289,$V390)*$AB390))</f>
        <v>0</v>
      </c>
      <c r="AJ390" s="2">
        <f>IF($W390=AJ$3,$AB390,IF(NOT($W390=0),"",SUMIFS('Val-Vol (2)'!AJ$4:AJ$1116,'Val-Vol (2)'!$A$4:$A$1116,$D390,'Val-Vol (2)'!$V$4:$V$1116,$V390)/SUMIFS('Comp2016-2017 (3)'!$G$5:$G$289,'Comp2016-2017 (3)'!$A$5:$A$289,$D390,'Comp2016-2017 (3)'!$R$5:$R$289,$V390)*$AB390))</f>
        <v>101.90366245646598</v>
      </c>
      <c r="AK390" s="2">
        <f t="shared" si="47"/>
        <v>0</v>
      </c>
      <c r="AL390" t="str">
        <f t="shared" si="49"/>
        <v/>
      </c>
      <c r="AM390" t="str">
        <f>VLOOKUP(A390,'Table corresp.'!$M$4:$U$63,8,FALSE)</f>
        <v>Forêt</v>
      </c>
      <c r="AN390" t="str">
        <f>VLOOKUP(D390,'Table corresp.'!$M$4:$U$63,9,FALSE)</f>
        <v>Production intermédiaire</v>
      </c>
    </row>
    <row r="391" spans="1:40" x14ac:dyDescent="0.25">
      <c r="A391" t="s">
        <v>0</v>
      </c>
      <c r="B391" t="str">
        <f>VLOOKUP(LEFT(A391,3),'Table corresp.'!$A$4:$D$63,3,FALSE)</f>
        <v>Forêt</v>
      </c>
      <c r="C391" t="str">
        <f>VLOOKUP(A391,'Table corresp.'!$M$4:$P$63,4,FALSE)</f>
        <v>Production et transformation de produits bois</v>
      </c>
      <c r="D391" t="s">
        <v>91</v>
      </c>
      <c r="E391" t="str">
        <f>VLOOKUP(LEFT(D391,3),'Table corresp.'!$A$4:$D$63,4,FALSE)</f>
        <v>Transformation</v>
      </c>
      <c r="F391" t="str">
        <f t="shared" si="48"/>
        <v xml:space="preserve">02  - 37 </v>
      </c>
      <c r="G391" s="3">
        <v>39208.208172885221</v>
      </c>
      <c r="H391" s="3">
        <v>0</v>
      </c>
      <c r="I391" s="3">
        <v>39208.208529085823</v>
      </c>
      <c r="J391" s="3">
        <v>1264.0324901658385</v>
      </c>
      <c r="K391" s="3">
        <v>0</v>
      </c>
      <c r="L391" s="3">
        <v>1264.0324901658385</v>
      </c>
      <c r="M391" s="3">
        <v>0</v>
      </c>
      <c r="N391" s="3">
        <v>0</v>
      </c>
      <c r="O391" s="3">
        <v>0</v>
      </c>
      <c r="P391" s="3">
        <v>0</v>
      </c>
      <c r="Q391" s="3">
        <v>0</v>
      </c>
      <c r="R391" s="3">
        <v>0</v>
      </c>
      <c r="S391" s="67"/>
      <c r="T391">
        <f>VLOOKUP(A391,'Groupe de branches'!$Z$27:$AM$86,14,FALSE)</f>
        <v>0</v>
      </c>
      <c r="U391">
        <f>VLOOKUP(D391,'Groupe de branches'!$Z$27:$AM$86,14,FALSE)</f>
        <v>0</v>
      </c>
      <c r="V391">
        <v>2017</v>
      </c>
      <c r="W391" t="str">
        <f>VLOOKUP(D391,'Table corresp.'!$M$4:$S$63,7,FALSE)</f>
        <v>Emballage bois et carton</v>
      </c>
      <c r="X391" s="167">
        <f>IFERROR(G391/SUMIFS('Comp2016-2017 (3)'!$I$5:$I$289,'Comp2016-2017 (3)'!$A$5:$A$289,A391,'Comp2016-2017 (3)'!$R$5:$R$289,V391),0)</f>
        <v>3.3834086486989899E-2</v>
      </c>
      <c r="Y391" s="190">
        <f>IFERROR(IF(RIGHT(F391,3)="Exp",VLOOKUP(F391,#REF!,2,FALSE),VLOOKUP(F391,#REF!,9,FALSE)),1)</f>
        <v>1</v>
      </c>
      <c r="Z391" s="167">
        <f t="shared" si="46"/>
        <v>6.25E-2</v>
      </c>
      <c r="AA391" s="189">
        <f t="shared" si="50"/>
        <v>2.1146304054368687E-3</v>
      </c>
      <c r="AB391" s="2">
        <f>IFERROR(SUMIFS('Comp2016-2017 (3)'!$G$5:$G$289,'Comp2016-2017 (3)'!$A$5:$A$289,A391,'Comp2016-2017 (3)'!$R$5:$R$289,V391)*AA391/SUMIFS($AA$4:$AA$1116,$A$4:$A$1116,A391,$V$4:$V$1116,V391),0)</f>
        <v>23677.265398104617</v>
      </c>
      <c r="AC391" s="2" t="str">
        <f>IF($W391=AC$3,$AB391,IF(NOT($W391=0),"",SUMIFS('Val-Vol (2)'!AC$4:AC$1116,'Val-Vol (2)'!$A$4:$A$1116,$D391,'Val-Vol (2)'!$V$4:$V$1116,$V391)/SUMIFS('Comp2016-2017 (3)'!$G$5:$G$289,'Comp2016-2017 (3)'!$A$5:$A$289,$D391,'Comp2016-2017 (3)'!$R$5:$R$289,$V391)*$AB391))</f>
        <v/>
      </c>
      <c r="AD391" s="2" t="str">
        <f>IF($W391=AD$3,$AB391,IF(NOT($W391=0),"",SUMIFS('Val-Vol (2)'!AD$4:AD$1116,'Val-Vol (2)'!$A$4:$A$1116,$D391,'Val-Vol (2)'!$V$4:$V$1116,$V391)/SUMIFS('Comp2016-2017 (3)'!$G$5:$G$289,'Comp2016-2017 (3)'!$A$5:$A$289,$D391,'Comp2016-2017 (3)'!$R$5:$R$289,$V391)*$AB391))</f>
        <v/>
      </c>
      <c r="AE391" s="2" t="str">
        <f>IF($W391=AE$3,$AB391,IF(NOT($W391=0),"",SUMIFS('Val-Vol (2)'!AE$4:AE$1116,'Val-Vol (2)'!$A$4:$A$1116,$D391,'Val-Vol (2)'!$V$4:$V$1116,$V391)/SUMIFS('Comp2016-2017 (3)'!$G$5:$G$289,'Comp2016-2017 (3)'!$A$5:$A$289,$D391,'Comp2016-2017 (3)'!$R$5:$R$289,$V391)*$AB391))</f>
        <v/>
      </c>
      <c r="AF391" s="2" t="str">
        <f>IF($W391=AF$3,$AB391,IF(NOT($W391=0),"",SUMIFS('Val-Vol (2)'!AF$4:AF$1116,'Val-Vol (2)'!$A$4:$A$1116,$D391,'Val-Vol (2)'!$V$4:$V$1116,$V391)/SUMIFS('Comp2016-2017 (3)'!$G$5:$G$289,'Comp2016-2017 (3)'!$A$5:$A$289,$D391,'Comp2016-2017 (3)'!$R$5:$R$289,$V391)*$AB391))</f>
        <v/>
      </c>
      <c r="AG391" s="2">
        <f>IF($W391=AG$3,$AB391,IF(NOT($W391=0),"",SUMIFS('Val-Vol (2)'!AG$4:AG$1116,'Val-Vol (2)'!$A$4:$A$1116,$D391,'Val-Vol (2)'!$V$4:$V$1116,$V391)/SUMIFS('Comp2016-2017 (3)'!$G$5:$G$289,'Comp2016-2017 (3)'!$A$5:$A$289,$D391,'Comp2016-2017 (3)'!$R$5:$R$289,$V391)*$AB391))</f>
        <v>23677.265398104617</v>
      </c>
      <c r="AH391" s="2" t="str">
        <f>IF($W391=AH$3,$AB391,IF(NOT($W391=0),"",SUMIFS('Val-Vol (2)'!AH$4:AH$1116,'Val-Vol (2)'!$A$4:$A$1116,$D391,'Val-Vol (2)'!$V$4:$V$1116,$V391)/SUMIFS('Comp2016-2017 (3)'!$G$5:$G$289,'Comp2016-2017 (3)'!$A$5:$A$289,$D391,'Comp2016-2017 (3)'!$R$5:$R$289,$V391)*$AB391))</f>
        <v/>
      </c>
      <c r="AI391" s="2" t="str">
        <f>IF($W391=AI$3,$AB391,IF(NOT($W391=0),"",SUMIFS('Val-Vol (2)'!AI$4:AI$1116,'Val-Vol (2)'!$A$4:$A$1116,$D391,'Val-Vol (2)'!$V$4:$V$1116,$V391)/SUMIFS('Comp2016-2017 (3)'!$G$5:$G$289,'Comp2016-2017 (3)'!$A$5:$A$289,$D391,'Comp2016-2017 (3)'!$R$5:$R$289,$V391)*$AB391))</f>
        <v/>
      </c>
      <c r="AJ391" s="2" t="str">
        <f>IF($W391=AJ$3,$AB391,IF(NOT($W391=0),"",SUMIFS('Val-Vol (2)'!AJ$4:AJ$1116,'Val-Vol (2)'!$A$4:$A$1116,$D391,'Val-Vol (2)'!$V$4:$V$1116,$V391)/SUMIFS('Comp2016-2017 (3)'!$G$5:$G$289,'Comp2016-2017 (3)'!$A$5:$A$289,$D391,'Comp2016-2017 (3)'!$R$5:$R$289,$V391)*$AB391))</f>
        <v/>
      </c>
      <c r="AK391" s="2">
        <f t="shared" si="47"/>
        <v>0</v>
      </c>
      <c r="AL391" t="str">
        <f t="shared" si="49"/>
        <v/>
      </c>
      <c r="AM391" t="str">
        <f>VLOOKUP(A391,'Table corresp.'!$M$4:$U$63,8,FALSE)</f>
        <v>Forêt</v>
      </c>
      <c r="AN391" t="str">
        <f>VLOOKUP(D391,'Table corresp.'!$M$4:$U$63,9,FALSE)</f>
        <v>Production finale</v>
      </c>
    </row>
    <row r="392" spans="1:40" x14ac:dyDescent="0.25">
      <c r="A392" t="s">
        <v>0</v>
      </c>
      <c r="B392" t="str">
        <f>VLOOKUP(LEFT(A392,3),'Table corresp.'!$A$4:$D$63,3,FALSE)</f>
        <v>Forêt</v>
      </c>
      <c r="C392" t="str">
        <f>VLOOKUP(A392,'Table corresp.'!$M$4:$P$63,4,FALSE)</f>
        <v>Production et transformation de produits bois</v>
      </c>
      <c r="D392" t="s">
        <v>94</v>
      </c>
      <c r="E392" t="str">
        <f>VLOOKUP(LEFT(D392,3),'Table corresp.'!$A$4:$D$63,4,FALSE)</f>
        <v>Transformation</v>
      </c>
      <c r="F392" t="str">
        <f t="shared" si="48"/>
        <v xml:space="preserve">02  - 42 </v>
      </c>
      <c r="G392" s="3">
        <v>20600.07142505778</v>
      </c>
      <c r="H392" s="3">
        <v>0</v>
      </c>
      <c r="I392" s="3">
        <v>20600.071612206295</v>
      </c>
      <c r="J392" s="3">
        <v>20.116993479396189</v>
      </c>
      <c r="K392" s="3">
        <v>0</v>
      </c>
      <c r="L392" s="3">
        <v>20.116993479396189</v>
      </c>
      <c r="M392" s="3">
        <v>0</v>
      </c>
      <c r="N392" s="3">
        <v>0</v>
      </c>
      <c r="O392" s="3">
        <v>0</v>
      </c>
      <c r="P392" s="3">
        <v>0</v>
      </c>
      <c r="Q392" s="3">
        <v>0</v>
      </c>
      <c r="R392" s="3">
        <v>0</v>
      </c>
      <c r="S392" s="67"/>
      <c r="T392">
        <f>VLOOKUP(A392,'Groupe de branches'!$Z$27:$AM$86,14,FALSE)</f>
        <v>0</v>
      </c>
      <c r="U392">
        <f>VLOOKUP(D392,'Groupe de branches'!$Z$27:$AM$86,14,FALSE)</f>
        <v>0</v>
      </c>
      <c r="V392">
        <v>2017</v>
      </c>
      <c r="W392" t="str">
        <f>VLOOKUP(D392,'Table corresp.'!$M$4:$S$63,7,FALSE)</f>
        <v>Produits de consommation courante</v>
      </c>
      <c r="X392" s="167">
        <f>IFERROR(G392/SUMIFS('Comp2016-2017 (3)'!$I$5:$I$289,'Comp2016-2017 (3)'!$A$5:$A$289,A392,'Comp2016-2017 (3)'!$R$5:$R$289,V392),0)</f>
        <v>1.7776497083474983E-2</v>
      </c>
      <c r="Y392" s="190">
        <f>IFERROR(IF(RIGHT(F392,3)="Exp",VLOOKUP(F392,#REF!,2,FALSE),VLOOKUP(F392,#REF!,9,FALSE)),1)</f>
        <v>1</v>
      </c>
      <c r="Z392" s="167">
        <f t="shared" si="46"/>
        <v>6.25E-2</v>
      </c>
      <c r="AA392" s="189">
        <f t="shared" si="50"/>
        <v>1.1110310677171864E-3</v>
      </c>
      <c r="AB392" s="2">
        <f>IFERROR(SUMIFS('Comp2016-2017 (3)'!$G$5:$G$289,'Comp2016-2017 (3)'!$A$5:$A$289,A392,'Comp2016-2017 (3)'!$R$5:$R$289,V392)*AA392/SUMIFS($AA$4:$AA$1116,$A$4:$A$1116,A392,$V$4:$V$1116,V392),0)</f>
        <v>12440.082857148118</v>
      </c>
      <c r="AC392" s="2" t="str">
        <f>IF($W392=AC$3,$AB392,IF(NOT($W392=0),"",SUMIFS('Val-Vol (2)'!AC$4:AC$1116,'Val-Vol (2)'!$A$4:$A$1116,$D392,'Val-Vol (2)'!$V$4:$V$1116,$V392)/SUMIFS('Comp2016-2017 (3)'!$G$5:$G$289,'Comp2016-2017 (3)'!$A$5:$A$289,$D392,'Comp2016-2017 (3)'!$R$5:$R$289,$V392)*$AB392))</f>
        <v/>
      </c>
      <c r="AD392" s="2" t="str">
        <f>IF($W392=AD$3,$AB392,IF(NOT($W392=0),"",SUMIFS('Val-Vol (2)'!AD$4:AD$1116,'Val-Vol (2)'!$A$4:$A$1116,$D392,'Val-Vol (2)'!$V$4:$V$1116,$V392)/SUMIFS('Comp2016-2017 (3)'!$G$5:$G$289,'Comp2016-2017 (3)'!$A$5:$A$289,$D392,'Comp2016-2017 (3)'!$R$5:$R$289,$V392)*$AB392))</f>
        <v/>
      </c>
      <c r="AE392" s="2" t="str">
        <f>IF($W392=AE$3,$AB392,IF(NOT($W392=0),"",SUMIFS('Val-Vol (2)'!AE$4:AE$1116,'Val-Vol (2)'!$A$4:$A$1116,$D392,'Val-Vol (2)'!$V$4:$V$1116,$V392)/SUMIFS('Comp2016-2017 (3)'!$G$5:$G$289,'Comp2016-2017 (3)'!$A$5:$A$289,$D392,'Comp2016-2017 (3)'!$R$5:$R$289,$V392)*$AB392))</f>
        <v/>
      </c>
      <c r="AF392" s="2" t="str">
        <f>IF($W392=AF$3,$AB392,IF(NOT($W392=0),"",SUMIFS('Val-Vol (2)'!AF$4:AF$1116,'Val-Vol (2)'!$A$4:$A$1116,$D392,'Val-Vol (2)'!$V$4:$V$1116,$V392)/SUMIFS('Comp2016-2017 (3)'!$G$5:$G$289,'Comp2016-2017 (3)'!$A$5:$A$289,$D392,'Comp2016-2017 (3)'!$R$5:$R$289,$V392)*$AB392))</f>
        <v/>
      </c>
      <c r="AG392" s="2" t="str">
        <f>IF($W392=AG$3,$AB392,IF(NOT($W392=0),"",SUMIFS('Val-Vol (2)'!AG$4:AG$1116,'Val-Vol (2)'!$A$4:$A$1116,$D392,'Val-Vol (2)'!$V$4:$V$1116,$V392)/SUMIFS('Comp2016-2017 (3)'!$G$5:$G$289,'Comp2016-2017 (3)'!$A$5:$A$289,$D392,'Comp2016-2017 (3)'!$R$5:$R$289,$V392)*$AB392))</f>
        <v/>
      </c>
      <c r="AH392" s="2" t="str">
        <f>IF($W392=AH$3,$AB392,IF(NOT($W392=0),"",SUMIFS('Val-Vol (2)'!AH$4:AH$1116,'Val-Vol (2)'!$A$4:$A$1116,$D392,'Val-Vol (2)'!$V$4:$V$1116,$V392)/SUMIFS('Comp2016-2017 (3)'!$G$5:$G$289,'Comp2016-2017 (3)'!$A$5:$A$289,$D392,'Comp2016-2017 (3)'!$R$5:$R$289,$V392)*$AB392))</f>
        <v/>
      </c>
      <c r="AI392" s="2">
        <f>IF($W392=AI$3,$AB392,IF(NOT($W392=0),"",SUMIFS('Val-Vol (2)'!AI$4:AI$1116,'Val-Vol (2)'!$A$4:$A$1116,$D392,'Val-Vol (2)'!$V$4:$V$1116,$V392)/SUMIFS('Comp2016-2017 (3)'!$G$5:$G$289,'Comp2016-2017 (3)'!$A$5:$A$289,$D392,'Comp2016-2017 (3)'!$R$5:$R$289,$V392)*$AB392))</f>
        <v>12440.082857148118</v>
      </c>
      <c r="AJ392" s="2" t="str">
        <f>IF($W392=AJ$3,$AB392,IF(NOT($W392=0),"",SUMIFS('Val-Vol (2)'!AJ$4:AJ$1116,'Val-Vol (2)'!$A$4:$A$1116,$D392,'Val-Vol (2)'!$V$4:$V$1116,$V392)/SUMIFS('Comp2016-2017 (3)'!$G$5:$G$289,'Comp2016-2017 (3)'!$A$5:$A$289,$D392,'Comp2016-2017 (3)'!$R$5:$R$289,$V392)*$AB392))</f>
        <v/>
      </c>
      <c r="AK392" s="2">
        <f t="shared" si="47"/>
        <v>0</v>
      </c>
      <c r="AL392" t="str">
        <f t="shared" si="49"/>
        <v/>
      </c>
      <c r="AM392" t="str">
        <f>VLOOKUP(A392,'Table corresp.'!$M$4:$U$63,8,FALSE)</f>
        <v>Forêt</v>
      </c>
      <c r="AN392" t="str">
        <f>VLOOKUP(D392,'Table corresp.'!$M$4:$U$63,9,FALSE)</f>
        <v>Production finale</v>
      </c>
    </row>
    <row r="393" spans="1:40" x14ac:dyDescent="0.25">
      <c r="A393" t="s">
        <v>0</v>
      </c>
      <c r="B393" t="str">
        <f>VLOOKUP(LEFT(A393,3),'Table corresp.'!$A$4:$D$63,3,FALSE)</f>
        <v>Forêt</v>
      </c>
      <c r="C393" t="str">
        <f>VLOOKUP(A393,'Table corresp.'!$M$4:$P$63,4,FALSE)</f>
        <v>Production et transformation de produits bois</v>
      </c>
      <c r="D393" t="s">
        <v>54</v>
      </c>
      <c r="E393" t="str">
        <f>VLOOKUP(LEFT(D393,3),'Table corresp.'!$A$4:$D$63,4,FALSE)</f>
        <v>Consommation finale</v>
      </c>
      <c r="F393" t="str">
        <f t="shared" si="48"/>
        <v>02  - Con</v>
      </c>
      <c r="G393" s="3">
        <v>497.59579230301341</v>
      </c>
      <c r="H393" s="3">
        <v>0</v>
      </c>
      <c r="I393" s="3">
        <v>497.59579682359538</v>
      </c>
      <c r="J393" s="3">
        <v>8.6407939414627499</v>
      </c>
      <c r="K393" s="3">
        <v>0</v>
      </c>
      <c r="L393" s="3">
        <v>8.6407939414627499</v>
      </c>
      <c r="M393" s="3">
        <v>0</v>
      </c>
      <c r="N393" s="3">
        <v>0</v>
      </c>
      <c r="O393" s="3">
        <v>0</v>
      </c>
      <c r="P393" s="3">
        <v>0</v>
      </c>
      <c r="Q393" s="3">
        <v>0</v>
      </c>
      <c r="R393" s="3">
        <v>0</v>
      </c>
      <c r="S393" s="67"/>
      <c r="T393">
        <f>VLOOKUP(A393,'Groupe de branches'!$Z$27:$AM$86,14,FALSE)</f>
        <v>0</v>
      </c>
      <c r="U393">
        <f>VLOOKUP(D393,'Groupe de branches'!$Z$27:$AM$86,14,FALSE)</f>
        <v>0</v>
      </c>
      <c r="V393">
        <v>2017</v>
      </c>
      <c r="W393" t="str">
        <f>VLOOKUP(D393,'Table corresp.'!$M$4:$S$63,7,FALSE)</f>
        <v>Consommation finale</v>
      </c>
      <c r="X393" s="167">
        <f>IFERROR(G393/SUMIFS('Comp2016-2017 (3)'!$I$5:$I$289,'Comp2016-2017 (3)'!$A$5:$A$289,A393,'Comp2016-2017 (3)'!$R$5:$R$289,V393),0)</f>
        <v>4.293922078281887E-4</v>
      </c>
      <c r="Y393" s="190">
        <f>IFERROR(IF(RIGHT(F393,3)="Exp",VLOOKUP(F393,#REF!,2,FALSE),VLOOKUP(F393,#REF!,9,FALSE)),1)</f>
        <v>1</v>
      </c>
      <c r="Z393" s="167">
        <f t="shared" si="46"/>
        <v>6.25E-2</v>
      </c>
      <c r="AA393" s="189">
        <f t="shared" si="50"/>
        <v>2.6837012989261794E-5</v>
      </c>
      <c r="AB393" s="2">
        <f>IFERROR(SUMIFS('Comp2016-2017 (3)'!$G$5:$G$289,'Comp2016-2017 (3)'!$A$5:$A$289,A393,'Comp2016-2017 (3)'!$R$5:$R$289,V393)*AA393/SUMIFS($AA$4:$AA$1116,$A$4:$A$1116,A393,$V$4:$V$1116,V393),0)</f>
        <v>300.4908457787248</v>
      </c>
      <c r="AC393" s="2" t="str">
        <f>IF($W393=AC$3,$AB393,IF(NOT($W393=0),"",SUMIFS('Val-Vol (2)'!AC$4:AC$1116,'Val-Vol (2)'!$A$4:$A$1116,$D393,'Val-Vol (2)'!$V$4:$V$1116,$V393)/SUMIFS('Comp2016-2017 (3)'!$G$5:$G$289,'Comp2016-2017 (3)'!$A$5:$A$289,$D393,'Comp2016-2017 (3)'!$R$5:$R$289,$V393)*$AB393))</f>
        <v/>
      </c>
      <c r="AD393" s="2" t="str">
        <f>IF($W393=AD$3,$AB393,IF(NOT($W393=0),"",SUMIFS('Val-Vol (2)'!AD$4:AD$1116,'Val-Vol (2)'!$A$4:$A$1116,$D393,'Val-Vol (2)'!$V$4:$V$1116,$V393)/SUMIFS('Comp2016-2017 (3)'!$G$5:$G$289,'Comp2016-2017 (3)'!$A$5:$A$289,$D393,'Comp2016-2017 (3)'!$R$5:$R$289,$V393)*$AB393))</f>
        <v/>
      </c>
      <c r="AE393" s="2" t="str">
        <f>IF($W393=AE$3,$AB393,IF(NOT($W393=0),"",SUMIFS('Val-Vol (2)'!AE$4:AE$1116,'Val-Vol (2)'!$A$4:$A$1116,$D393,'Val-Vol (2)'!$V$4:$V$1116,$V393)/SUMIFS('Comp2016-2017 (3)'!$G$5:$G$289,'Comp2016-2017 (3)'!$A$5:$A$289,$D393,'Comp2016-2017 (3)'!$R$5:$R$289,$V393)*$AB393))</f>
        <v/>
      </c>
      <c r="AF393" s="2" t="str">
        <f>IF($W393=AF$3,$AB393,IF(NOT($W393=0),"",SUMIFS('Val-Vol (2)'!AF$4:AF$1116,'Val-Vol (2)'!$A$4:$A$1116,$D393,'Val-Vol (2)'!$V$4:$V$1116,$V393)/SUMIFS('Comp2016-2017 (3)'!$G$5:$G$289,'Comp2016-2017 (3)'!$A$5:$A$289,$D393,'Comp2016-2017 (3)'!$R$5:$R$289,$V393)*$AB393))</f>
        <v/>
      </c>
      <c r="AG393" s="2" t="str">
        <f>IF($W393=AG$3,$AB393,IF(NOT($W393=0),"",SUMIFS('Val-Vol (2)'!AG$4:AG$1116,'Val-Vol (2)'!$A$4:$A$1116,$D393,'Val-Vol (2)'!$V$4:$V$1116,$V393)/SUMIFS('Comp2016-2017 (3)'!$G$5:$G$289,'Comp2016-2017 (3)'!$A$5:$A$289,$D393,'Comp2016-2017 (3)'!$R$5:$R$289,$V393)*$AB393))</f>
        <v/>
      </c>
      <c r="AH393" s="2" t="str">
        <f>IF($W393=AH$3,$AB393,IF(NOT($W393=0),"",SUMIFS('Val-Vol (2)'!AH$4:AH$1116,'Val-Vol (2)'!$A$4:$A$1116,$D393,'Val-Vol (2)'!$V$4:$V$1116,$V393)/SUMIFS('Comp2016-2017 (3)'!$G$5:$G$289,'Comp2016-2017 (3)'!$A$5:$A$289,$D393,'Comp2016-2017 (3)'!$R$5:$R$289,$V393)*$AB393))</f>
        <v/>
      </c>
      <c r="AI393" s="2" t="str">
        <f>IF($W393=AI$3,$AB393,IF(NOT($W393=0),"",SUMIFS('Val-Vol (2)'!AI$4:AI$1116,'Val-Vol (2)'!$A$4:$A$1116,$D393,'Val-Vol (2)'!$V$4:$V$1116,$V393)/SUMIFS('Comp2016-2017 (3)'!$G$5:$G$289,'Comp2016-2017 (3)'!$A$5:$A$289,$D393,'Comp2016-2017 (3)'!$R$5:$R$289,$V393)*$AB393))</f>
        <v/>
      </c>
      <c r="AJ393" s="2">
        <f>IF($W393=AJ$3,$AB393,IF(NOT($W393=0),"",SUMIFS('Val-Vol (2)'!AJ$4:AJ$1116,'Val-Vol (2)'!$A$4:$A$1116,$D393,'Val-Vol (2)'!$V$4:$V$1116,$V393)/SUMIFS('Comp2016-2017 (3)'!$G$5:$G$289,'Comp2016-2017 (3)'!$A$5:$A$289,$D393,'Comp2016-2017 (3)'!$R$5:$R$289,$V393)*$AB393))</f>
        <v>300.4908457787248</v>
      </c>
      <c r="AK393" s="2">
        <f t="shared" si="47"/>
        <v>0</v>
      </c>
      <c r="AL393" t="str">
        <f t="shared" si="49"/>
        <v/>
      </c>
      <c r="AM393" t="str">
        <f>VLOOKUP(A393,'Table corresp.'!$M$4:$U$63,8,FALSE)</f>
        <v>Forêt</v>
      </c>
      <c r="AN393" t="str">
        <f>VLOOKUP(D393,'Table corresp.'!$M$4:$U$63,9,FALSE)</f>
        <v>Consommation finale française</v>
      </c>
    </row>
    <row r="394" spans="1:40" x14ac:dyDescent="0.25">
      <c r="A394" t="s">
        <v>0</v>
      </c>
      <c r="B394" t="str">
        <f>VLOOKUP(LEFT(A394,3),'Table corresp.'!$A$4:$D$63,3,FALSE)</f>
        <v>Forêt</v>
      </c>
      <c r="C394" t="str">
        <f>VLOOKUP(A394,'Table corresp.'!$M$4:$P$63,4,FALSE)</f>
        <v>Production et transformation de produits bois</v>
      </c>
      <c r="D394" t="s">
        <v>53</v>
      </c>
      <c r="E394" t="str">
        <f>VLOOKUP(LEFT(D394,3),'Table corresp.'!$A$4:$D$63,4,FALSE)</f>
        <v>Exportation</v>
      </c>
      <c r="F394" t="str">
        <f t="shared" si="48"/>
        <v>02  - Exp</v>
      </c>
      <c r="G394" s="3">
        <v>153143.17860871757</v>
      </c>
      <c r="H394" s="3">
        <v>0</v>
      </c>
      <c r="I394" s="3">
        <v>153143.18000000002</v>
      </c>
      <c r="J394" s="3">
        <v>1821.9703420495496</v>
      </c>
      <c r="K394" s="3">
        <v>0</v>
      </c>
      <c r="L394" s="3">
        <v>1821.9703420495496</v>
      </c>
      <c r="M394" s="3">
        <v>0</v>
      </c>
      <c r="N394" s="3">
        <v>0</v>
      </c>
      <c r="O394" s="3">
        <v>0</v>
      </c>
      <c r="P394" s="3">
        <v>0</v>
      </c>
      <c r="Q394" s="3">
        <v>0</v>
      </c>
      <c r="R394" s="3">
        <v>0</v>
      </c>
      <c r="S394" s="67"/>
      <c r="T394">
        <f>VLOOKUP(A394,'Groupe de branches'!$Z$27:$AM$86,14,FALSE)</f>
        <v>0</v>
      </c>
      <c r="U394">
        <f>VLOOKUP(D394,'Groupe de branches'!$Z$27:$AM$86,14,FALSE)</f>
        <v>0</v>
      </c>
      <c r="V394">
        <v>2017</v>
      </c>
      <c r="W394" t="str">
        <f>VLOOKUP(D394,'Table corresp.'!$M$4:$S$63,7,FALSE)</f>
        <v>Exportation</v>
      </c>
      <c r="X394" s="167">
        <f>IFERROR(G394/SUMIFS('Comp2016-2017 (3)'!$I$5:$I$289,'Comp2016-2017 (3)'!$A$5:$A$289,A394,'Comp2016-2017 (3)'!$R$5:$R$289,V394),0)</f>
        <v>0.13215241887853407</v>
      </c>
      <c r="Y394" s="190">
        <f>IFERROR(IF(RIGHT(F394,3)="Exp",VLOOKUP(F394,#REF!,2,FALSE),VLOOKUP(F394,#REF!,9,FALSE)),1)</f>
        <v>1</v>
      </c>
      <c r="Z394" s="167">
        <f t="shared" si="46"/>
        <v>6.25E-2</v>
      </c>
      <c r="AA394" s="189">
        <f t="shared" si="50"/>
        <v>8.2595261799083795E-3</v>
      </c>
      <c r="AB394" s="2">
        <f>IFERROR(SUMIFS('Comp2016-2017 (3)'!$G$5:$G$289,'Comp2016-2017 (3)'!$A$5:$A$289,A394,'Comp2016-2017 (3)'!$R$5:$R$289,V394)*AA394/SUMIFS($AA$4:$AA$1116,$A$4:$A$1116,A394,$V$4:$V$1116,V394),0)</f>
        <v>92480.933273955205</v>
      </c>
      <c r="AC394" s="2">
        <f>IF($W394=AC$3,$AB394,IF(NOT($W394=0),"",SUMIFS('Val-Vol (2)'!AC$4:AC$1116,'Val-Vol (2)'!$A$4:$A$1116,$D394,'Val-Vol (2)'!$V$4:$V$1116,$V394)/SUMIFS('Comp2016-2017 (3)'!$G$5:$G$289,'Comp2016-2017 (3)'!$A$5:$A$289,$D394,'Comp2016-2017 (3)'!$R$5:$R$289,$V394)*$AB394))</f>
        <v>92480.933273955205</v>
      </c>
      <c r="AD394" s="2" t="str">
        <f>IF($W394=AD$3,$AB394,IF(NOT($W394=0),"",SUMIFS('Val-Vol (2)'!AD$4:AD$1116,'Val-Vol (2)'!$A$4:$A$1116,$D394,'Val-Vol (2)'!$V$4:$V$1116,$V394)/SUMIFS('Comp2016-2017 (3)'!$G$5:$G$289,'Comp2016-2017 (3)'!$A$5:$A$289,$D394,'Comp2016-2017 (3)'!$R$5:$R$289,$V394)*$AB394))</f>
        <v/>
      </c>
      <c r="AE394" s="2" t="str">
        <f>IF($W394=AE$3,$AB394,IF(NOT($W394=0),"",SUMIFS('Val-Vol (2)'!AE$4:AE$1116,'Val-Vol (2)'!$A$4:$A$1116,$D394,'Val-Vol (2)'!$V$4:$V$1116,$V394)/SUMIFS('Comp2016-2017 (3)'!$G$5:$G$289,'Comp2016-2017 (3)'!$A$5:$A$289,$D394,'Comp2016-2017 (3)'!$R$5:$R$289,$V394)*$AB394))</f>
        <v/>
      </c>
      <c r="AF394" s="2" t="str">
        <f>IF($W394=AF$3,$AB394,IF(NOT($W394=0),"",SUMIFS('Val-Vol (2)'!AF$4:AF$1116,'Val-Vol (2)'!$A$4:$A$1116,$D394,'Val-Vol (2)'!$V$4:$V$1116,$V394)/SUMIFS('Comp2016-2017 (3)'!$G$5:$G$289,'Comp2016-2017 (3)'!$A$5:$A$289,$D394,'Comp2016-2017 (3)'!$R$5:$R$289,$V394)*$AB394))</f>
        <v/>
      </c>
      <c r="AG394" s="2" t="str">
        <f>IF($W394=AG$3,$AB394,IF(NOT($W394=0),"",SUMIFS('Val-Vol (2)'!AG$4:AG$1116,'Val-Vol (2)'!$A$4:$A$1116,$D394,'Val-Vol (2)'!$V$4:$V$1116,$V394)/SUMIFS('Comp2016-2017 (3)'!$G$5:$G$289,'Comp2016-2017 (3)'!$A$5:$A$289,$D394,'Comp2016-2017 (3)'!$R$5:$R$289,$V394)*$AB394))</f>
        <v/>
      </c>
      <c r="AH394" s="2" t="str">
        <f>IF($W394=AH$3,$AB394,IF(NOT($W394=0),"",SUMIFS('Val-Vol (2)'!AH$4:AH$1116,'Val-Vol (2)'!$A$4:$A$1116,$D394,'Val-Vol (2)'!$V$4:$V$1116,$V394)/SUMIFS('Comp2016-2017 (3)'!$G$5:$G$289,'Comp2016-2017 (3)'!$A$5:$A$289,$D394,'Comp2016-2017 (3)'!$R$5:$R$289,$V394)*$AB394))</f>
        <v/>
      </c>
      <c r="AI394" s="2" t="str">
        <f>IF($W394=AI$3,$AB394,IF(NOT($W394=0),"",SUMIFS('Val-Vol (2)'!AI$4:AI$1116,'Val-Vol (2)'!$A$4:$A$1116,$D394,'Val-Vol (2)'!$V$4:$V$1116,$V394)/SUMIFS('Comp2016-2017 (3)'!$G$5:$G$289,'Comp2016-2017 (3)'!$A$5:$A$289,$D394,'Comp2016-2017 (3)'!$R$5:$R$289,$V394)*$AB394))</f>
        <v/>
      </c>
      <c r="AJ394" s="2" t="str">
        <f>IF($W394=AJ$3,$AB394,IF(NOT($W394=0),"",SUMIFS('Val-Vol (2)'!AJ$4:AJ$1116,'Val-Vol (2)'!$A$4:$A$1116,$D394,'Val-Vol (2)'!$V$4:$V$1116,$V394)/SUMIFS('Comp2016-2017 (3)'!$G$5:$G$289,'Comp2016-2017 (3)'!$A$5:$A$289,$D394,'Comp2016-2017 (3)'!$R$5:$R$289,$V394)*$AB394))</f>
        <v/>
      </c>
      <c r="AK394" s="2">
        <f t="shared" si="47"/>
        <v>0</v>
      </c>
      <c r="AL394" t="str">
        <f t="shared" si="49"/>
        <v/>
      </c>
      <c r="AM394" t="str">
        <f>VLOOKUP(A394,'Table corresp.'!$M$4:$U$63,8,FALSE)</f>
        <v>Forêt</v>
      </c>
      <c r="AN394" t="str">
        <f>VLOOKUP(D394,'Table corresp.'!$M$4:$U$63,9,FALSE)</f>
        <v>Exportation</v>
      </c>
    </row>
    <row r="395" spans="1:40" x14ac:dyDescent="0.25">
      <c r="A395" t="s">
        <v>1</v>
      </c>
      <c r="B395" t="str">
        <f>VLOOKUP(LEFT(A395,3),'Table corresp.'!$A$4:$D$63,3,FALSE)</f>
        <v>Forêt</v>
      </c>
      <c r="C395" t="str">
        <f>VLOOKUP(A395,'Table corresp.'!$M$4:$P$63,4,FALSE)</f>
        <v>Production et transformation de produits bois</v>
      </c>
      <c r="D395" t="s">
        <v>87</v>
      </c>
      <c r="E395" t="str">
        <f>VLOOKUP(LEFT(D395,3),'Table corresp.'!$A$4:$D$63,4,FALSE)</f>
        <v>Transformation</v>
      </c>
      <c r="F395" t="str">
        <f t="shared" si="48"/>
        <v xml:space="preserve">03  - 31 </v>
      </c>
      <c r="G395" s="3">
        <v>21088.548028669084</v>
      </c>
      <c r="H395" s="3">
        <v>25198.5613213951</v>
      </c>
      <c r="I395" s="3">
        <v>46287.113145805932</v>
      </c>
      <c r="J395" s="3">
        <v>0</v>
      </c>
      <c r="K395" s="3">
        <v>0</v>
      </c>
      <c r="L395" s="3">
        <v>0</v>
      </c>
      <c r="M395" s="3">
        <v>2098.4284353514868</v>
      </c>
      <c r="N395" s="3">
        <v>571.11802099979343</v>
      </c>
      <c r="O395" s="3">
        <v>2669.5464563512801</v>
      </c>
      <c r="P395" s="3">
        <v>0</v>
      </c>
      <c r="Q395" s="3">
        <v>0</v>
      </c>
      <c r="R395" s="3">
        <v>0</v>
      </c>
      <c r="S395" s="67"/>
      <c r="T395">
        <f>VLOOKUP(A395,'Groupe de branches'!$Z$27:$AM$86,14,FALSE)</f>
        <v>0</v>
      </c>
      <c r="U395">
        <f>VLOOKUP(D395,'Groupe de branches'!$Z$27:$AM$86,14,FALSE)</f>
        <v>0</v>
      </c>
      <c r="V395">
        <v>2017</v>
      </c>
      <c r="W395">
        <f>VLOOKUP(D395,'Table corresp.'!$M$4:$S$63,7,FALSE)</f>
        <v>0</v>
      </c>
      <c r="X395" s="167">
        <f>IFERROR(G395/SUMIFS('Comp2016-2017 (3)'!$I$5:$I$289,'Comp2016-2017 (3)'!$A$5:$A$289,A395,'Comp2016-2017 (3)'!$R$5:$R$289,V395),0)</f>
        <v>0.11043209371929508</v>
      </c>
      <c r="Y395" s="190">
        <f>IFERROR(IF(RIGHT(F395,3)="Exp",VLOOKUP(F395,#REF!,2,FALSE),VLOOKUP(F395,#REF!,9,FALSE)),1)</f>
        <v>1</v>
      </c>
      <c r="Z395" s="167">
        <f t="shared" si="46"/>
        <v>0.25</v>
      </c>
      <c r="AA395" s="189">
        <f t="shared" si="50"/>
        <v>2.7608023429823769E-2</v>
      </c>
      <c r="AB395" s="2">
        <f>IFERROR(SUMIFS('Comp2016-2017 (3)'!$G$5:$G$289,'Comp2016-2017 (3)'!$A$5:$A$289,A395,'Comp2016-2017 (3)'!$R$5:$R$289,V395)*AA395/SUMIFS($AA$4:$AA$1116,$A$4:$A$1116,A395,$V$4:$V$1116,V395),0)</f>
        <v>21088.548028669105</v>
      </c>
      <c r="AC395" s="2">
        <f>IF($W395=AC$3,$AB395,IF(NOT($W395=0),"",SUMIFS('Val-Vol (2)'!AC$4:AC$1116,'Val-Vol (2)'!$A$4:$A$1116,$D395,'Val-Vol (2)'!$V$4:$V$1116,$V395)/SUMIFS('Comp2016-2017 (3)'!$G$5:$G$289,'Comp2016-2017 (3)'!$A$5:$A$289,$D395,'Comp2016-2017 (3)'!$R$5:$R$289,$V395)*$AB395))</f>
        <v>11195.293175766008</v>
      </c>
      <c r="AD395" s="2">
        <f>IF($W395=AD$3,$AB395,IF(NOT($W395=0),"",SUMIFS('Val-Vol (2)'!AD$4:AD$1116,'Val-Vol (2)'!$A$4:$A$1116,$D395,'Val-Vol (2)'!$V$4:$V$1116,$V395)/SUMIFS('Comp2016-2017 (3)'!$G$5:$G$289,'Comp2016-2017 (3)'!$A$5:$A$289,$D395,'Comp2016-2017 (3)'!$R$5:$R$289,$V395)*$AB395))</f>
        <v>3230.3957447715466</v>
      </c>
      <c r="AE395" s="2">
        <f>IF($W395=AE$3,$AB395,IF(NOT($W395=0),"",SUMIFS('Val-Vol (2)'!AE$4:AE$1116,'Val-Vol (2)'!$A$4:$A$1116,$D395,'Val-Vol (2)'!$V$4:$V$1116,$V395)/SUMIFS('Comp2016-2017 (3)'!$G$5:$G$289,'Comp2016-2017 (3)'!$A$5:$A$289,$D395,'Comp2016-2017 (3)'!$R$5:$R$289,$V395)*$AB395))</f>
        <v>4133.0837443413429</v>
      </c>
      <c r="AF395" s="2">
        <f>IF($W395=AF$3,$AB395,IF(NOT($W395=0),"",SUMIFS('Val-Vol (2)'!AF$4:AF$1116,'Val-Vol (2)'!$A$4:$A$1116,$D395,'Val-Vol (2)'!$V$4:$V$1116,$V395)/SUMIFS('Comp2016-2017 (3)'!$G$5:$G$289,'Comp2016-2017 (3)'!$A$5:$A$289,$D395,'Comp2016-2017 (3)'!$R$5:$R$289,$V395)*$AB395))</f>
        <v>0</v>
      </c>
      <c r="AG395" s="2">
        <f>IF($W395=AG$3,$AB395,IF(NOT($W395=0),"",SUMIFS('Val-Vol (2)'!AG$4:AG$1116,'Val-Vol (2)'!$A$4:$A$1116,$D395,'Val-Vol (2)'!$V$4:$V$1116,$V395)/SUMIFS('Comp2016-2017 (3)'!$G$5:$G$289,'Comp2016-2017 (3)'!$A$5:$A$289,$D395,'Comp2016-2017 (3)'!$R$5:$R$289,$V395)*$AB395))</f>
        <v>1912.8490705403813</v>
      </c>
      <c r="AH395" s="2">
        <f>IF($W395=AH$3,$AB395,IF(NOT($W395=0),"",SUMIFS('Val-Vol (2)'!AH$4:AH$1116,'Val-Vol (2)'!$A$4:$A$1116,$D395,'Val-Vol (2)'!$V$4:$V$1116,$V395)/SUMIFS('Comp2016-2017 (3)'!$G$5:$G$289,'Comp2016-2017 (3)'!$A$5:$A$289,$D395,'Comp2016-2017 (3)'!$R$5:$R$289,$V395)*$AB395))</f>
        <v>0</v>
      </c>
      <c r="AI395" s="2">
        <f>IF($W395=AI$3,$AB395,IF(NOT($W395=0),"",SUMIFS('Val-Vol (2)'!AI$4:AI$1116,'Val-Vol (2)'!$A$4:$A$1116,$D395,'Val-Vol (2)'!$V$4:$V$1116,$V395)/SUMIFS('Comp2016-2017 (3)'!$G$5:$G$289,'Comp2016-2017 (3)'!$A$5:$A$289,$D395,'Comp2016-2017 (3)'!$R$5:$R$289,$V395)*$AB395))</f>
        <v>0</v>
      </c>
      <c r="AJ395" s="2">
        <f>IF($W395=AJ$3,$AB395,IF(NOT($W395=0),"",SUMIFS('Val-Vol (2)'!AJ$4:AJ$1116,'Val-Vol (2)'!$A$4:$A$1116,$D395,'Val-Vol (2)'!$V$4:$V$1116,$V395)/SUMIFS('Comp2016-2017 (3)'!$G$5:$G$289,'Comp2016-2017 (3)'!$A$5:$A$289,$D395,'Comp2016-2017 (3)'!$R$5:$R$289,$V395)*$AB395))</f>
        <v>616.92629324982772</v>
      </c>
      <c r="AK395" s="2">
        <f t="shared" si="47"/>
        <v>0</v>
      </c>
      <c r="AL395" t="str">
        <f t="shared" si="49"/>
        <v/>
      </c>
      <c r="AM395" t="str">
        <f>VLOOKUP(A395,'Table corresp.'!$M$4:$U$63,8,FALSE)</f>
        <v>Forêt</v>
      </c>
      <c r="AN395" t="str">
        <f>VLOOKUP(D395,'Table corresp.'!$M$4:$U$63,9,FALSE)</f>
        <v>Production intermédiaire</v>
      </c>
    </row>
    <row r="396" spans="1:40" x14ac:dyDescent="0.25">
      <c r="A396" t="s">
        <v>1</v>
      </c>
      <c r="B396" t="str">
        <f>VLOOKUP(LEFT(A396,3),'Table corresp.'!$A$4:$D$63,3,FALSE)</f>
        <v>Forêt</v>
      </c>
      <c r="C396" t="str">
        <f>VLOOKUP(A396,'Table corresp.'!$M$4:$P$63,4,FALSE)</f>
        <v>Production et transformation de produits bois</v>
      </c>
      <c r="D396" t="s">
        <v>95</v>
      </c>
      <c r="E396" t="str">
        <f>VLOOKUP(LEFT(D396,3),'Table corresp.'!$A$4:$D$63,4,FALSE)</f>
        <v>Transformation</v>
      </c>
      <c r="F396" t="str">
        <f t="shared" si="48"/>
        <v xml:space="preserve">03  - 43 </v>
      </c>
      <c r="G396" s="3">
        <v>29899.229804737988</v>
      </c>
      <c r="H396" s="3">
        <v>35365.412042946045</v>
      </c>
      <c r="I396" s="3">
        <v>65264.647199664963</v>
      </c>
      <c r="J396" s="3">
        <v>0</v>
      </c>
      <c r="K396" s="3">
        <v>0</v>
      </c>
      <c r="L396" s="3">
        <v>0</v>
      </c>
      <c r="M396" s="3">
        <v>2993.0461570357375</v>
      </c>
      <c r="N396" s="3">
        <v>151.44015580377408</v>
      </c>
      <c r="O396" s="3">
        <v>3144.4863128395114</v>
      </c>
      <c r="P396" s="3">
        <v>0</v>
      </c>
      <c r="Q396" s="3">
        <v>0</v>
      </c>
      <c r="R396" s="3">
        <v>0</v>
      </c>
      <c r="S396" s="67"/>
      <c r="T396">
        <f>VLOOKUP(A396,'Groupe de branches'!$Z$27:$AM$86,14,FALSE)</f>
        <v>0</v>
      </c>
      <c r="U396">
        <f>VLOOKUP(D396,'Groupe de branches'!$Z$27:$AM$86,14,FALSE)</f>
        <v>0</v>
      </c>
      <c r="V396">
        <v>2017</v>
      </c>
      <c r="W396" t="str">
        <f>VLOOKUP(D396,'Table corresp.'!$M$4:$S$63,7,FALSE)</f>
        <v>Pate &amp; papier &amp; carton</v>
      </c>
      <c r="X396" s="167">
        <f>IFERROR(G396/SUMIFS('Comp2016-2017 (3)'!$I$5:$I$289,'Comp2016-2017 (3)'!$A$5:$A$289,A396,'Comp2016-2017 (3)'!$R$5:$R$289,V396),0)</f>
        <v>0.15657002764926475</v>
      </c>
      <c r="Y396" s="190">
        <f>IFERROR(IF(RIGHT(F396,3)="Exp",VLOOKUP(F396,#REF!,2,FALSE),VLOOKUP(F396,#REF!,9,FALSE)),1)</f>
        <v>1</v>
      </c>
      <c r="Z396" s="167">
        <f t="shared" si="46"/>
        <v>0.25</v>
      </c>
      <c r="AA396" s="189">
        <f t="shared" si="50"/>
        <v>3.9142506912316188E-2</v>
      </c>
      <c r="AB396" s="2">
        <f>IFERROR(SUMIFS('Comp2016-2017 (3)'!$G$5:$G$289,'Comp2016-2017 (3)'!$A$5:$A$289,A396,'Comp2016-2017 (3)'!$R$5:$R$289,V396)*AA396/SUMIFS($AA$4:$AA$1116,$A$4:$A$1116,A396,$V$4:$V$1116,V396),0)</f>
        <v>29899.229804738017</v>
      </c>
      <c r="AC396" s="2" t="str">
        <f>IF($W396=AC$3,$AB396,IF(NOT($W396=0),"",SUMIFS('Val-Vol (2)'!AC$4:AC$1116,'Val-Vol (2)'!$A$4:$A$1116,$D396,'Val-Vol (2)'!$V$4:$V$1116,$V396)/SUMIFS('Comp2016-2017 (3)'!$G$5:$G$289,'Comp2016-2017 (3)'!$A$5:$A$289,$D396,'Comp2016-2017 (3)'!$R$5:$R$289,$V396)*$AB396))</f>
        <v/>
      </c>
      <c r="AD396" s="2" t="str">
        <f>IF($W396=AD$3,$AB396,IF(NOT($W396=0),"",SUMIFS('Val-Vol (2)'!AD$4:AD$1116,'Val-Vol (2)'!$A$4:$A$1116,$D396,'Val-Vol (2)'!$V$4:$V$1116,$V396)/SUMIFS('Comp2016-2017 (3)'!$G$5:$G$289,'Comp2016-2017 (3)'!$A$5:$A$289,$D396,'Comp2016-2017 (3)'!$R$5:$R$289,$V396)*$AB396))</f>
        <v/>
      </c>
      <c r="AE396" s="2" t="str">
        <f>IF($W396=AE$3,$AB396,IF(NOT($W396=0),"",SUMIFS('Val-Vol (2)'!AE$4:AE$1116,'Val-Vol (2)'!$A$4:$A$1116,$D396,'Val-Vol (2)'!$V$4:$V$1116,$V396)/SUMIFS('Comp2016-2017 (3)'!$G$5:$G$289,'Comp2016-2017 (3)'!$A$5:$A$289,$D396,'Comp2016-2017 (3)'!$R$5:$R$289,$V396)*$AB396))</f>
        <v/>
      </c>
      <c r="AF396" s="2">
        <f>IF($W396=AF$3,$AB396,IF(NOT($W396=0),"",SUMIFS('Val-Vol (2)'!AF$4:AF$1116,'Val-Vol (2)'!$A$4:$A$1116,$D396,'Val-Vol (2)'!$V$4:$V$1116,$V396)/SUMIFS('Comp2016-2017 (3)'!$G$5:$G$289,'Comp2016-2017 (3)'!$A$5:$A$289,$D396,'Comp2016-2017 (3)'!$R$5:$R$289,$V396)*$AB396))</f>
        <v>29899.229804738017</v>
      </c>
      <c r="AG396" s="2" t="str">
        <f>IF($W396=AG$3,$AB396,IF(NOT($W396=0),"",SUMIFS('Val-Vol (2)'!AG$4:AG$1116,'Val-Vol (2)'!$A$4:$A$1116,$D396,'Val-Vol (2)'!$V$4:$V$1116,$V396)/SUMIFS('Comp2016-2017 (3)'!$G$5:$G$289,'Comp2016-2017 (3)'!$A$5:$A$289,$D396,'Comp2016-2017 (3)'!$R$5:$R$289,$V396)*$AB396))</f>
        <v/>
      </c>
      <c r="AH396" s="2" t="str">
        <f>IF($W396=AH$3,$AB396,IF(NOT($W396=0),"",SUMIFS('Val-Vol (2)'!AH$4:AH$1116,'Val-Vol (2)'!$A$4:$A$1116,$D396,'Val-Vol (2)'!$V$4:$V$1116,$V396)/SUMIFS('Comp2016-2017 (3)'!$G$5:$G$289,'Comp2016-2017 (3)'!$A$5:$A$289,$D396,'Comp2016-2017 (3)'!$R$5:$R$289,$V396)*$AB396))</f>
        <v/>
      </c>
      <c r="AI396" s="2" t="str">
        <f>IF($W396=AI$3,$AB396,IF(NOT($W396=0),"",SUMIFS('Val-Vol (2)'!AI$4:AI$1116,'Val-Vol (2)'!$A$4:$A$1116,$D396,'Val-Vol (2)'!$V$4:$V$1116,$V396)/SUMIFS('Comp2016-2017 (3)'!$G$5:$G$289,'Comp2016-2017 (3)'!$A$5:$A$289,$D396,'Comp2016-2017 (3)'!$R$5:$R$289,$V396)*$AB396))</f>
        <v/>
      </c>
      <c r="AJ396" s="2" t="str">
        <f>IF($W396=AJ$3,$AB396,IF(NOT($W396=0),"",SUMIFS('Val-Vol (2)'!AJ$4:AJ$1116,'Val-Vol (2)'!$A$4:$A$1116,$D396,'Val-Vol (2)'!$V$4:$V$1116,$V396)/SUMIFS('Comp2016-2017 (3)'!$G$5:$G$289,'Comp2016-2017 (3)'!$A$5:$A$289,$D396,'Comp2016-2017 (3)'!$R$5:$R$289,$V396)*$AB396))</f>
        <v/>
      </c>
      <c r="AK396" s="2">
        <f t="shared" si="47"/>
        <v>0</v>
      </c>
      <c r="AL396" t="str">
        <f t="shared" si="49"/>
        <v/>
      </c>
      <c r="AM396" t="str">
        <f>VLOOKUP(A396,'Table corresp.'!$M$4:$U$63,8,FALSE)</f>
        <v>Forêt</v>
      </c>
      <c r="AN396" t="str">
        <f>VLOOKUP(D396,'Table corresp.'!$M$4:$U$63,9,FALSE)</f>
        <v>Production intermédiaire</v>
      </c>
    </row>
    <row r="397" spans="1:40" x14ac:dyDescent="0.25">
      <c r="A397" t="s">
        <v>1</v>
      </c>
      <c r="B397" t="str">
        <f>VLOOKUP(LEFT(A397,3),'Table corresp.'!$A$4:$D$63,3,FALSE)</f>
        <v>Forêt</v>
      </c>
      <c r="C397" t="str">
        <f>VLOOKUP(A397,'Table corresp.'!$M$4:$P$63,4,FALSE)</f>
        <v>Production et transformation de produits bois</v>
      </c>
      <c r="D397" t="s">
        <v>98</v>
      </c>
      <c r="E397" t="str">
        <f>VLOOKUP(LEFT(D397,3),'Table corresp.'!$A$4:$D$63,4,FALSE)</f>
        <v>Transformation</v>
      </c>
      <c r="F397" t="str">
        <f t="shared" si="48"/>
        <v xml:space="preserve">03  - 46 </v>
      </c>
      <c r="G397" s="3">
        <v>6370.0849262462953</v>
      </c>
      <c r="H397" s="3">
        <v>5409.7896356588917</v>
      </c>
      <c r="I397" s="3">
        <v>11779.875527905495</v>
      </c>
      <c r="J397" s="3">
        <v>0</v>
      </c>
      <c r="K397" s="3">
        <v>0</v>
      </c>
      <c r="L397" s="3">
        <v>0</v>
      </c>
      <c r="M397" s="3">
        <v>453.50146320572969</v>
      </c>
      <c r="N397" s="3">
        <v>23.16555464686671</v>
      </c>
      <c r="O397" s="3">
        <v>476.66701785259642</v>
      </c>
      <c r="P397" s="3">
        <v>0</v>
      </c>
      <c r="Q397" s="3">
        <v>0</v>
      </c>
      <c r="R397" s="3">
        <v>0</v>
      </c>
      <c r="S397" s="67"/>
      <c r="T397">
        <f>VLOOKUP(A397,'Groupe de branches'!$Z$27:$AM$86,14,FALSE)</f>
        <v>0</v>
      </c>
      <c r="U397">
        <f>VLOOKUP(D397,'Groupe de branches'!$Z$27:$AM$86,14,FALSE)</f>
        <v>0</v>
      </c>
      <c r="V397">
        <v>2017</v>
      </c>
      <c r="W397" t="str">
        <f>VLOOKUP(D397,'Table corresp.'!$M$4:$S$63,7,FALSE)</f>
        <v>Produits de consommation courante</v>
      </c>
      <c r="X397" s="167">
        <f>IFERROR(G397/SUMIFS('Comp2016-2017 (3)'!$I$5:$I$289,'Comp2016-2017 (3)'!$A$5:$A$289,A397,'Comp2016-2017 (3)'!$R$5:$R$289,V397),0)</f>
        <v>3.3357527252173551E-2</v>
      </c>
      <c r="Y397" s="190">
        <f>IFERROR(IF(RIGHT(F397,3)="Exp",VLOOKUP(F397,#REF!,2,FALSE),VLOOKUP(F397,#REF!,9,FALSE)),1)</f>
        <v>1</v>
      </c>
      <c r="Z397" s="167">
        <f t="shared" si="46"/>
        <v>0.25</v>
      </c>
      <c r="AA397" s="189">
        <f t="shared" si="50"/>
        <v>8.3393818130433877E-3</v>
      </c>
      <c r="AB397" s="2">
        <f>IFERROR(SUMIFS('Comp2016-2017 (3)'!$G$5:$G$289,'Comp2016-2017 (3)'!$A$5:$A$289,A397,'Comp2016-2017 (3)'!$R$5:$R$289,V397)*AA397/SUMIFS($AA$4:$AA$1116,$A$4:$A$1116,A397,$V$4:$V$1116,V397),0)</f>
        <v>6370.0849262463016</v>
      </c>
      <c r="AC397" s="2" t="str">
        <f>IF($W397=AC$3,$AB397,IF(NOT($W397=0),"",SUMIFS('Val-Vol (2)'!AC$4:AC$1116,'Val-Vol (2)'!$A$4:$A$1116,$D397,'Val-Vol (2)'!$V$4:$V$1116,$V397)/SUMIFS('Comp2016-2017 (3)'!$G$5:$G$289,'Comp2016-2017 (3)'!$A$5:$A$289,$D397,'Comp2016-2017 (3)'!$R$5:$R$289,$V397)*$AB397))</f>
        <v/>
      </c>
      <c r="AD397" s="2" t="str">
        <f>IF($W397=AD$3,$AB397,IF(NOT($W397=0),"",SUMIFS('Val-Vol (2)'!AD$4:AD$1116,'Val-Vol (2)'!$A$4:$A$1116,$D397,'Val-Vol (2)'!$V$4:$V$1116,$V397)/SUMIFS('Comp2016-2017 (3)'!$G$5:$G$289,'Comp2016-2017 (3)'!$A$5:$A$289,$D397,'Comp2016-2017 (3)'!$R$5:$R$289,$V397)*$AB397))</f>
        <v/>
      </c>
      <c r="AE397" s="2" t="str">
        <f>IF($W397=AE$3,$AB397,IF(NOT($W397=0),"",SUMIFS('Val-Vol (2)'!AE$4:AE$1116,'Val-Vol (2)'!$A$4:$A$1116,$D397,'Val-Vol (2)'!$V$4:$V$1116,$V397)/SUMIFS('Comp2016-2017 (3)'!$G$5:$G$289,'Comp2016-2017 (3)'!$A$5:$A$289,$D397,'Comp2016-2017 (3)'!$R$5:$R$289,$V397)*$AB397))</f>
        <v/>
      </c>
      <c r="AF397" s="2" t="str">
        <f>IF($W397=AF$3,$AB397,IF(NOT($W397=0),"",SUMIFS('Val-Vol (2)'!AF$4:AF$1116,'Val-Vol (2)'!$A$4:$A$1116,$D397,'Val-Vol (2)'!$V$4:$V$1116,$V397)/SUMIFS('Comp2016-2017 (3)'!$G$5:$G$289,'Comp2016-2017 (3)'!$A$5:$A$289,$D397,'Comp2016-2017 (3)'!$R$5:$R$289,$V397)*$AB397))</f>
        <v/>
      </c>
      <c r="AG397" s="2" t="str">
        <f>IF($W397=AG$3,$AB397,IF(NOT($W397=0),"",SUMIFS('Val-Vol (2)'!AG$4:AG$1116,'Val-Vol (2)'!$A$4:$A$1116,$D397,'Val-Vol (2)'!$V$4:$V$1116,$V397)/SUMIFS('Comp2016-2017 (3)'!$G$5:$G$289,'Comp2016-2017 (3)'!$A$5:$A$289,$D397,'Comp2016-2017 (3)'!$R$5:$R$289,$V397)*$AB397))</f>
        <v/>
      </c>
      <c r="AH397" s="2" t="str">
        <f>IF($W397=AH$3,$AB397,IF(NOT($W397=0),"",SUMIFS('Val-Vol (2)'!AH$4:AH$1116,'Val-Vol (2)'!$A$4:$A$1116,$D397,'Val-Vol (2)'!$V$4:$V$1116,$V397)/SUMIFS('Comp2016-2017 (3)'!$G$5:$G$289,'Comp2016-2017 (3)'!$A$5:$A$289,$D397,'Comp2016-2017 (3)'!$R$5:$R$289,$V397)*$AB397))</f>
        <v/>
      </c>
      <c r="AI397" s="2">
        <f>IF($W397=AI$3,$AB397,IF(NOT($W397=0),"",SUMIFS('Val-Vol (2)'!AI$4:AI$1116,'Val-Vol (2)'!$A$4:$A$1116,$D397,'Val-Vol (2)'!$V$4:$V$1116,$V397)/SUMIFS('Comp2016-2017 (3)'!$G$5:$G$289,'Comp2016-2017 (3)'!$A$5:$A$289,$D397,'Comp2016-2017 (3)'!$R$5:$R$289,$V397)*$AB397))</f>
        <v>6370.0849262463016</v>
      </c>
      <c r="AJ397" s="2" t="str">
        <f>IF($W397=AJ$3,$AB397,IF(NOT($W397=0),"",SUMIFS('Val-Vol (2)'!AJ$4:AJ$1116,'Val-Vol (2)'!$A$4:$A$1116,$D397,'Val-Vol (2)'!$V$4:$V$1116,$V397)/SUMIFS('Comp2016-2017 (3)'!$G$5:$G$289,'Comp2016-2017 (3)'!$A$5:$A$289,$D397,'Comp2016-2017 (3)'!$R$5:$R$289,$V397)*$AB397))</f>
        <v/>
      </c>
      <c r="AK397" s="2">
        <f t="shared" si="47"/>
        <v>0</v>
      </c>
      <c r="AL397" t="str">
        <f t="shared" si="49"/>
        <v/>
      </c>
      <c r="AM397" t="str">
        <f>VLOOKUP(A397,'Table corresp.'!$M$4:$U$63,8,FALSE)</f>
        <v>Forêt</v>
      </c>
      <c r="AN397" t="str">
        <f>VLOOKUP(D397,'Table corresp.'!$M$4:$U$63,9,FALSE)</f>
        <v>Production intermédiaire</v>
      </c>
    </row>
    <row r="398" spans="1:40" x14ac:dyDescent="0.25">
      <c r="A398" t="s">
        <v>1</v>
      </c>
      <c r="B398" t="str">
        <f>VLOOKUP(LEFT(A398,3),'Table corresp.'!$A$4:$D$63,3,FALSE)</f>
        <v>Forêt</v>
      </c>
      <c r="C398" t="str">
        <f>VLOOKUP(A398,'Table corresp.'!$M$4:$P$63,4,FALSE)</f>
        <v>Production et transformation de produits bois</v>
      </c>
      <c r="D398" t="s">
        <v>53</v>
      </c>
      <c r="E398" t="str">
        <f>VLOOKUP(LEFT(D398,3),'Table corresp.'!$A$4:$D$63,4,FALSE)</f>
        <v>Exportation</v>
      </c>
      <c r="F398" t="str">
        <f t="shared" si="48"/>
        <v>03  - Exp</v>
      </c>
      <c r="G398" s="3">
        <v>133606.0800437275</v>
      </c>
      <c r="H398" s="3">
        <v>0</v>
      </c>
      <c r="I398" s="3">
        <v>133606.09099999999</v>
      </c>
      <c r="J398" s="3">
        <v>0</v>
      </c>
      <c r="K398" s="3">
        <v>0</v>
      </c>
      <c r="L398" s="3">
        <v>0</v>
      </c>
      <c r="M398" s="3">
        <v>3489.6058138642593</v>
      </c>
      <c r="N398" s="3">
        <v>0</v>
      </c>
      <c r="O398" s="3">
        <v>3489.6058138642593</v>
      </c>
      <c r="P398" s="3">
        <v>0</v>
      </c>
      <c r="Q398" s="3">
        <v>0</v>
      </c>
      <c r="R398" s="3">
        <v>0</v>
      </c>
      <c r="S398" s="67"/>
      <c r="T398">
        <f>VLOOKUP(A398,'Groupe de branches'!$Z$27:$AM$86,14,FALSE)</f>
        <v>0</v>
      </c>
      <c r="U398">
        <f>VLOOKUP(D398,'Groupe de branches'!$Z$27:$AM$86,14,FALSE)</f>
        <v>0</v>
      </c>
      <c r="V398">
        <v>2017</v>
      </c>
      <c r="W398" t="str">
        <f>VLOOKUP(D398,'Table corresp.'!$M$4:$S$63,7,FALSE)</f>
        <v>Exportation</v>
      </c>
      <c r="X398" s="167">
        <f>IFERROR(G398/SUMIFS('Comp2016-2017 (3)'!$I$5:$I$289,'Comp2016-2017 (3)'!$A$5:$A$289,A398,'Comp2016-2017 (3)'!$R$5:$R$289,V398),0)</f>
        <v>0.69964035137926561</v>
      </c>
      <c r="Y398" s="190">
        <f>IFERROR(IF(RIGHT(F398,3)="Exp",VLOOKUP(F398,#REF!,2,FALSE),VLOOKUP(F398,#REF!,9,FALSE)),1)</f>
        <v>1</v>
      </c>
      <c r="Z398" s="167">
        <f t="shared" si="46"/>
        <v>0.25</v>
      </c>
      <c r="AA398" s="189">
        <f t="shared" si="50"/>
        <v>0.1749100878448164</v>
      </c>
      <c r="AB398" s="2">
        <f>IFERROR(SUMIFS('Comp2016-2017 (3)'!$G$5:$G$289,'Comp2016-2017 (3)'!$A$5:$A$289,A398,'Comp2016-2017 (3)'!$R$5:$R$289,V398)*AA398/SUMIFS($AA$4:$AA$1116,$A$4:$A$1116,A398,$V$4:$V$1116,V398),0)</f>
        <v>133606.08004372765</v>
      </c>
      <c r="AC398" s="2">
        <f>IF($W398=AC$3,$AB398,IF(NOT($W398=0),"",SUMIFS('Val-Vol (2)'!AC$4:AC$1116,'Val-Vol (2)'!$A$4:$A$1116,$D398,'Val-Vol (2)'!$V$4:$V$1116,$V398)/SUMIFS('Comp2016-2017 (3)'!$G$5:$G$289,'Comp2016-2017 (3)'!$A$5:$A$289,$D398,'Comp2016-2017 (3)'!$R$5:$R$289,$V398)*$AB398))</f>
        <v>133606.08004372765</v>
      </c>
      <c r="AD398" s="2" t="str">
        <f>IF($W398=AD$3,$AB398,IF(NOT($W398=0),"",SUMIFS('Val-Vol (2)'!AD$4:AD$1116,'Val-Vol (2)'!$A$4:$A$1116,$D398,'Val-Vol (2)'!$V$4:$V$1116,$V398)/SUMIFS('Comp2016-2017 (3)'!$G$5:$G$289,'Comp2016-2017 (3)'!$A$5:$A$289,$D398,'Comp2016-2017 (3)'!$R$5:$R$289,$V398)*$AB398))</f>
        <v/>
      </c>
      <c r="AE398" s="2" t="str">
        <f>IF($W398=AE$3,$AB398,IF(NOT($W398=0),"",SUMIFS('Val-Vol (2)'!AE$4:AE$1116,'Val-Vol (2)'!$A$4:$A$1116,$D398,'Val-Vol (2)'!$V$4:$V$1116,$V398)/SUMIFS('Comp2016-2017 (3)'!$G$5:$G$289,'Comp2016-2017 (3)'!$A$5:$A$289,$D398,'Comp2016-2017 (3)'!$R$5:$R$289,$V398)*$AB398))</f>
        <v/>
      </c>
      <c r="AF398" s="2" t="str">
        <f>IF($W398=AF$3,$AB398,IF(NOT($W398=0),"",SUMIFS('Val-Vol (2)'!AF$4:AF$1116,'Val-Vol (2)'!$A$4:$A$1116,$D398,'Val-Vol (2)'!$V$4:$V$1116,$V398)/SUMIFS('Comp2016-2017 (3)'!$G$5:$G$289,'Comp2016-2017 (3)'!$A$5:$A$289,$D398,'Comp2016-2017 (3)'!$R$5:$R$289,$V398)*$AB398))</f>
        <v/>
      </c>
      <c r="AG398" s="2" t="str">
        <f>IF($W398=AG$3,$AB398,IF(NOT($W398=0),"",SUMIFS('Val-Vol (2)'!AG$4:AG$1116,'Val-Vol (2)'!$A$4:$A$1116,$D398,'Val-Vol (2)'!$V$4:$V$1116,$V398)/SUMIFS('Comp2016-2017 (3)'!$G$5:$G$289,'Comp2016-2017 (3)'!$A$5:$A$289,$D398,'Comp2016-2017 (3)'!$R$5:$R$289,$V398)*$AB398))</f>
        <v/>
      </c>
      <c r="AH398" s="2" t="str">
        <f>IF($W398=AH$3,$AB398,IF(NOT($W398=0),"",SUMIFS('Val-Vol (2)'!AH$4:AH$1116,'Val-Vol (2)'!$A$4:$A$1116,$D398,'Val-Vol (2)'!$V$4:$V$1116,$V398)/SUMIFS('Comp2016-2017 (3)'!$G$5:$G$289,'Comp2016-2017 (3)'!$A$5:$A$289,$D398,'Comp2016-2017 (3)'!$R$5:$R$289,$V398)*$AB398))</f>
        <v/>
      </c>
      <c r="AI398" s="2" t="str">
        <f>IF($W398=AI$3,$AB398,IF(NOT($W398=0),"",SUMIFS('Val-Vol (2)'!AI$4:AI$1116,'Val-Vol (2)'!$A$4:$A$1116,$D398,'Val-Vol (2)'!$V$4:$V$1116,$V398)/SUMIFS('Comp2016-2017 (3)'!$G$5:$G$289,'Comp2016-2017 (3)'!$A$5:$A$289,$D398,'Comp2016-2017 (3)'!$R$5:$R$289,$V398)*$AB398))</f>
        <v/>
      </c>
      <c r="AJ398" s="2" t="str">
        <f>IF($W398=AJ$3,$AB398,IF(NOT($W398=0),"",SUMIFS('Val-Vol (2)'!AJ$4:AJ$1116,'Val-Vol (2)'!$A$4:$A$1116,$D398,'Val-Vol (2)'!$V$4:$V$1116,$V398)/SUMIFS('Comp2016-2017 (3)'!$G$5:$G$289,'Comp2016-2017 (3)'!$A$5:$A$289,$D398,'Comp2016-2017 (3)'!$R$5:$R$289,$V398)*$AB398))</f>
        <v/>
      </c>
      <c r="AK398" s="2">
        <f t="shared" si="47"/>
        <v>0</v>
      </c>
      <c r="AL398" t="str">
        <f t="shared" si="49"/>
        <v/>
      </c>
      <c r="AM398" t="str">
        <f>VLOOKUP(A398,'Table corresp.'!$M$4:$U$63,8,FALSE)</f>
        <v>Forêt</v>
      </c>
      <c r="AN398" t="str">
        <f>VLOOKUP(D398,'Table corresp.'!$M$4:$U$63,9,FALSE)</f>
        <v>Exportation</v>
      </c>
    </row>
    <row r="399" spans="1:40" x14ac:dyDescent="0.25">
      <c r="A399" t="s">
        <v>2</v>
      </c>
      <c r="B399" t="str">
        <f>VLOOKUP(LEFT(A399,3),'Table corresp.'!$A$4:$D$63,3,FALSE)</f>
        <v>Forêt</v>
      </c>
      <c r="C399" t="str">
        <f>VLOOKUP(A399,'Table corresp.'!$M$4:$P$63,4,FALSE)</f>
        <v>Production et transformation de produits bois</v>
      </c>
      <c r="D399" t="s">
        <v>86</v>
      </c>
      <c r="E399" t="str">
        <f>VLOOKUP(LEFT(D399,3),'Table corresp.'!$A$4:$D$63,4,FALSE)</f>
        <v>Transformation</v>
      </c>
      <c r="F399" t="str">
        <f t="shared" si="48"/>
        <v xml:space="preserve">04  - 30 </v>
      </c>
      <c r="G399" s="3">
        <v>55830.895372395345</v>
      </c>
      <c r="H399" s="3">
        <v>0</v>
      </c>
      <c r="I399" s="3">
        <v>55830.895519925849</v>
      </c>
      <c r="J399" s="3">
        <v>0</v>
      </c>
      <c r="K399" s="3">
        <v>0</v>
      </c>
      <c r="L399" s="3">
        <v>0</v>
      </c>
      <c r="M399" s="3">
        <v>0</v>
      </c>
      <c r="N399" s="3">
        <v>0</v>
      </c>
      <c r="O399" s="3">
        <v>0</v>
      </c>
      <c r="P399" s="3">
        <v>2876.879047620766</v>
      </c>
      <c r="Q399" s="3">
        <v>0</v>
      </c>
      <c r="R399" s="3">
        <v>2876.879047620766</v>
      </c>
      <c r="S399" s="67" t="s">
        <v>198</v>
      </c>
      <c r="T399">
        <f>VLOOKUP(A399,'Groupe de branches'!$Z$27:$AM$86,14,FALSE)</f>
        <v>0</v>
      </c>
      <c r="U399">
        <f>VLOOKUP(D399,'Groupe de branches'!$Z$27:$AM$86,14,FALSE)</f>
        <v>1</v>
      </c>
      <c r="V399">
        <v>2017</v>
      </c>
      <c r="W399" t="str">
        <f>VLOOKUP(D399,'Table corresp.'!$M$4:$S$63,7,FALSE)</f>
        <v>Energie</v>
      </c>
      <c r="X399" s="167">
        <f>IFERROR(G399/SUMIFS('Comp2016-2017 (3)'!$I$5:$I$289,'Comp2016-2017 (3)'!$A$5:$A$289,A399,'Comp2016-2017 (3)'!$R$5:$R$289,V399),0)</f>
        <v>0.18277035396275126</v>
      </c>
      <c r="Y399" s="190">
        <f>IFERROR(IF(RIGHT(F399,3)="Exp",VLOOKUP(F399,#REF!,2,FALSE),VLOOKUP(F399,#REF!,9,FALSE)),1)</f>
        <v>1</v>
      </c>
      <c r="Z399" s="167">
        <f t="shared" si="46"/>
        <v>0.33333333333333331</v>
      </c>
      <c r="AA399" s="189">
        <f t="shared" si="50"/>
        <v>6.0923451320917088E-2</v>
      </c>
      <c r="AB399" s="2">
        <f>IFERROR(SUMIFS('Comp2016-2017 (3)'!$G$5:$G$289,'Comp2016-2017 (3)'!$A$5:$A$289,A399,'Comp2016-2017 (3)'!$R$5:$R$289,V399)*AA399/SUMIFS($AA$4:$AA$1116,$A$4:$A$1116,A399,$V$4:$V$1116,V399),0)</f>
        <v>27879.555652359046</v>
      </c>
      <c r="AC399" s="2" t="str">
        <f>IF($W399=AC$3,$AB399,IF(NOT($W399=0),"",SUMIFS('Val-Vol (2)'!AC$4:AC$1116,'Val-Vol (2)'!$A$4:$A$1116,$D399,'Val-Vol (2)'!$V$4:$V$1116,$V399)/SUMIFS('Comp2016-2017 (3)'!$G$5:$G$289,'Comp2016-2017 (3)'!$A$5:$A$289,$D399,'Comp2016-2017 (3)'!$R$5:$R$289,$V399)*$AB399))</f>
        <v/>
      </c>
      <c r="AD399" s="2" t="str">
        <f>IF($W399=AD$3,$AB399,IF(NOT($W399=0),"",SUMIFS('Val-Vol (2)'!AD$4:AD$1116,'Val-Vol (2)'!$A$4:$A$1116,$D399,'Val-Vol (2)'!$V$4:$V$1116,$V399)/SUMIFS('Comp2016-2017 (3)'!$G$5:$G$289,'Comp2016-2017 (3)'!$A$5:$A$289,$D399,'Comp2016-2017 (3)'!$R$5:$R$289,$V399)*$AB399))</f>
        <v/>
      </c>
      <c r="AE399" s="2" t="str">
        <f>IF($W399=AE$3,$AB399,IF(NOT($W399=0),"",SUMIFS('Val-Vol (2)'!AE$4:AE$1116,'Val-Vol (2)'!$A$4:$A$1116,$D399,'Val-Vol (2)'!$V$4:$V$1116,$V399)/SUMIFS('Comp2016-2017 (3)'!$G$5:$G$289,'Comp2016-2017 (3)'!$A$5:$A$289,$D399,'Comp2016-2017 (3)'!$R$5:$R$289,$V399)*$AB399))</f>
        <v/>
      </c>
      <c r="AF399" s="2" t="str">
        <f>IF($W399=AF$3,$AB399,IF(NOT($W399=0),"",SUMIFS('Val-Vol (2)'!AF$4:AF$1116,'Val-Vol (2)'!$A$4:$A$1116,$D399,'Val-Vol (2)'!$V$4:$V$1116,$V399)/SUMIFS('Comp2016-2017 (3)'!$G$5:$G$289,'Comp2016-2017 (3)'!$A$5:$A$289,$D399,'Comp2016-2017 (3)'!$R$5:$R$289,$V399)*$AB399))</f>
        <v/>
      </c>
      <c r="AG399" s="2" t="str">
        <f>IF($W399=AG$3,$AB399,IF(NOT($W399=0),"",SUMIFS('Val-Vol (2)'!AG$4:AG$1116,'Val-Vol (2)'!$A$4:$A$1116,$D399,'Val-Vol (2)'!$V$4:$V$1116,$V399)/SUMIFS('Comp2016-2017 (3)'!$G$5:$G$289,'Comp2016-2017 (3)'!$A$5:$A$289,$D399,'Comp2016-2017 (3)'!$R$5:$R$289,$V399)*$AB399))</f>
        <v/>
      </c>
      <c r="AH399" s="2">
        <f>IF($W399=AH$3,$AB399,IF(NOT($W399=0),"",SUMIFS('Val-Vol (2)'!AH$4:AH$1116,'Val-Vol (2)'!$A$4:$A$1116,$D399,'Val-Vol (2)'!$V$4:$V$1116,$V399)/SUMIFS('Comp2016-2017 (3)'!$G$5:$G$289,'Comp2016-2017 (3)'!$A$5:$A$289,$D399,'Comp2016-2017 (3)'!$R$5:$R$289,$V399)*$AB399))</f>
        <v>27879.555652359046</v>
      </c>
      <c r="AI399" s="2" t="str">
        <f>IF($W399=AI$3,$AB399,IF(NOT($W399=0),"",SUMIFS('Val-Vol (2)'!AI$4:AI$1116,'Val-Vol (2)'!$A$4:$A$1116,$D399,'Val-Vol (2)'!$V$4:$V$1116,$V399)/SUMIFS('Comp2016-2017 (3)'!$G$5:$G$289,'Comp2016-2017 (3)'!$A$5:$A$289,$D399,'Comp2016-2017 (3)'!$R$5:$R$289,$V399)*$AB399))</f>
        <v/>
      </c>
      <c r="AJ399" s="2" t="str">
        <f>IF($W399=AJ$3,$AB399,IF(NOT($W399=0),"",SUMIFS('Val-Vol (2)'!AJ$4:AJ$1116,'Val-Vol (2)'!$A$4:$A$1116,$D399,'Val-Vol (2)'!$V$4:$V$1116,$V399)/SUMIFS('Comp2016-2017 (3)'!$G$5:$G$289,'Comp2016-2017 (3)'!$A$5:$A$289,$D399,'Comp2016-2017 (3)'!$R$5:$R$289,$V399)*$AB399))</f>
        <v/>
      </c>
      <c r="AK399" s="2">
        <f t="shared" si="47"/>
        <v>0</v>
      </c>
      <c r="AL399" t="str">
        <f t="shared" si="49"/>
        <v/>
      </c>
      <c r="AM399" t="str">
        <f>VLOOKUP(A399,'Table corresp.'!$M$4:$U$63,8,FALSE)</f>
        <v>Forêt</v>
      </c>
      <c r="AN399" t="str">
        <f>VLOOKUP(D399,'Table corresp.'!$M$4:$U$63,9,FALSE)</f>
        <v>Production intermédiaire</v>
      </c>
    </row>
    <row r="400" spans="1:40" x14ac:dyDescent="0.25">
      <c r="A400" t="s">
        <v>2</v>
      </c>
      <c r="B400" t="str">
        <f>VLOOKUP(LEFT(A400,3),'Table corresp.'!$A$4:$D$63,3,FALSE)</f>
        <v>Forêt</v>
      </c>
      <c r="C400" t="str">
        <f>VLOOKUP(A400,'Table corresp.'!$M$4:$P$63,4,FALSE)</f>
        <v>Production et transformation de produits bois</v>
      </c>
      <c r="D400" t="s">
        <v>54</v>
      </c>
      <c r="E400" t="str">
        <f>VLOOKUP(LEFT(D400,3),'Table corresp.'!$A$4:$D$63,4,FALSE)</f>
        <v>Consommation finale</v>
      </c>
      <c r="F400" t="str">
        <f t="shared" si="48"/>
        <v>04  - Con</v>
      </c>
      <c r="G400" s="3">
        <v>231014.49207467114</v>
      </c>
      <c r="H400" s="3">
        <v>11746.664000000001</v>
      </c>
      <c r="I400" s="3">
        <v>242761.15671615605</v>
      </c>
      <c r="J400" s="3">
        <v>0</v>
      </c>
      <c r="K400" s="3">
        <v>0</v>
      </c>
      <c r="L400" s="3">
        <v>0</v>
      </c>
      <c r="M400" s="3">
        <v>0</v>
      </c>
      <c r="N400" s="3">
        <v>0</v>
      </c>
      <c r="O400" s="3">
        <v>0</v>
      </c>
      <c r="P400" s="3">
        <v>4559.7749551815505</v>
      </c>
      <c r="Q400" s="3">
        <v>142.65237372640922</v>
      </c>
      <c r="R400" s="3">
        <v>4702.4273289079592</v>
      </c>
      <c r="S400" s="67" t="s">
        <v>198</v>
      </c>
      <c r="T400">
        <f>VLOOKUP(A400,'Groupe de branches'!$Z$27:$AM$86,14,FALSE)</f>
        <v>0</v>
      </c>
      <c r="U400">
        <f>VLOOKUP(D400,'Groupe de branches'!$Z$27:$AM$86,14,FALSE)</f>
        <v>0</v>
      </c>
      <c r="V400">
        <v>2017</v>
      </c>
      <c r="W400" t="str">
        <f>VLOOKUP(D400,'Table corresp.'!$M$4:$S$63,7,FALSE)</f>
        <v>Consommation finale</v>
      </c>
      <c r="X400" s="167">
        <f>IFERROR(G400/SUMIFS('Comp2016-2017 (3)'!$I$5:$I$289,'Comp2016-2017 (3)'!$A$5:$A$289,A400,'Comp2016-2017 (3)'!$R$5:$R$289,V400),0)</f>
        <v>0.75625870237949111</v>
      </c>
      <c r="Y400" s="190">
        <f>IFERROR(IF(RIGHT(F400,3)="Exp",VLOOKUP(F400,#REF!,2,FALSE),VLOOKUP(F400,#REF!,9,FALSE)),1)</f>
        <v>1</v>
      </c>
      <c r="Z400" s="167">
        <f t="shared" ref="Z400:Z431" si="51">Y400/SUMIFS($Y$4:$Y$1116,$V$4:$V$1116,V400,$A$4:$A$1116,A400)</f>
        <v>0.33333333333333331</v>
      </c>
      <c r="AA400" s="189">
        <f t="shared" si="50"/>
        <v>0.252086234126497</v>
      </c>
      <c r="AB400" s="2">
        <f>IFERROR(SUMIFS('Comp2016-2017 (3)'!$G$5:$G$289,'Comp2016-2017 (3)'!$A$5:$A$289,A400,'Comp2016-2017 (3)'!$R$5:$R$289,V400)*AA400/SUMIFS($AA$4:$AA$1116,$A$4:$A$1116,A400,$V$4:$V$1116,V400),0)</f>
        <v>115358.73364269361</v>
      </c>
      <c r="AC400" s="2" t="str">
        <f>IF($W400=AC$3,$AB400,IF(NOT($W400=0),"",SUMIFS('Val-Vol (2)'!AC$4:AC$1116,'Val-Vol (2)'!$A$4:$A$1116,$D400,'Val-Vol (2)'!$V$4:$V$1116,$V400)/SUMIFS('Comp2016-2017 (3)'!$G$5:$G$289,'Comp2016-2017 (3)'!$A$5:$A$289,$D400,'Comp2016-2017 (3)'!$R$5:$R$289,$V400)*$AB400))</f>
        <v/>
      </c>
      <c r="AD400" s="2" t="str">
        <f>IF($W400=AD$3,$AB400,IF(NOT($W400=0),"",SUMIFS('Val-Vol (2)'!AD$4:AD$1116,'Val-Vol (2)'!$A$4:$A$1116,$D400,'Val-Vol (2)'!$V$4:$V$1116,$V400)/SUMIFS('Comp2016-2017 (3)'!$G$5:$G$289,'Comp2016-2017 (3)'!$A$5:$A$289,$D400,'Comp2016-2017 (3)'!$R$5:$R$289,$V400)*$AB400))</f>
        <v/>
      </c>
      <c r="AE400" s="2" t="str">
        <f>IF($W400=AE$3,$AB400,IF(NOT($W400=0),"",SUMIFS('Val-Vol (2)'!AE$4:AE$1116,'Val-Vol (2)'!$A$4:$A$1116,$D400,'Val-Vol (2)'!$V$4:$V$1116,$V400)/SUMIFS('Comp2016-2017 (3)'!$G$5:$G$289,'Comp2016-2017 (3)'!$A$5:$A$289,$D400,'Comp2016-2017 (3)'!$R$5:$R$289,$V400)*$AB400))</f>
        <v/>
      </c>
      <c r="AF400" s="2" t="str">
        <f>IF($W400=AF$3,$AB400,IF(NOT($W400=0),"",SUMIFS('Val-Vol (2)'!AF$4:AF$1116,'Val-Vol (2)'!$A$4:$A$1116,$D400,'Val-Vol (2)'!$V$4:$V$1116,$V400)/SUMIFS('Comp2016-2017 (3)'!$G$5:$G$289,'Comp2016-2017 (3)'!$A$5:$A$289,$D400,'Comp2016-2017 (3)'!$R$5:$R$289,$V400)*$AB400))</f>
        <v/>
      </c>
      <c r="AG400" s="2" t="str">
        <f>IF($W400=AG$3,$AB400,IF(NOT($W400=0),"",SUMIFS('Val-Vol (2)'!AG$4:AG$1116,'Val-Vol (2)'!$A$4:$A$1116,$D400,'Val-Vol (2)'!$V$4:$V$1116,$V400)/SUMIFS('Comp2016-2017 (3)'!$G$5:$G$289,'Comp2016-2017 (3)'!$A$5:$A$289,$D400,'Comp2016-2017 (3)'!$R$5:$R$289,$V400)*$AB400))</f>
        <v/>
      </c>
      <c r="AH400" s="2" t="str">
        <f>IF($W400=AH$3,$AB400,IF(NOT($W400=0),"",SUMIFS('Val-Vol (2)'!AH$4:AH$1116,'Val-Vol (2)'!$A$4:$A$1116,$D400,'Val-Vol (2)'!$V$4:$V$1116,$V400)/SUMIFS('Comp2016-2017 (3)'!$G$5:$G$289,'Comp2016-2017 (3)'!$A$5:$A$289,$D400,'Comp2016-2017 (3)'!$R$5:$R$289,$V400)*$AB400))</f>
        <v/>
      </c>
      <c r="AI400" s="2" t="str">
        <f>IF($W400=AI$3,$AB400,IF(NOT($W400=0),"",SUMIFS('Val-Vol (2)'!AI$4:AI$1116,'Val-Vol (2)'!$A$4:$A$1116,$D400,'Val-Vol (2)'!$V$4:$V$1116,$V400)/SUMIFS('Comp2016-2017 (3)'!$G$5:$G$289,'Comp2016-2017 (3)'!$A$5:$A$289,$D400,'Comp2016-2017 (3)'!$R$5:$R$289,$V400)*$AB400))</f>
        <v/>
      </c>
      <c r="AJ400" s="2">
        <f>IF($W400=AJ$3,$AB400,IF(NOT($W400=0),"",SUMIFS('Val-Vol (2)'!AJ$4:AJ$1116,'Val-Vol (2)'!$A$4:$A$1116,$D400,'Val-Vol (2)'!$V$4:$V$1116,$V400)/SUMIFS('Comp2016-2017 (3)'!$G$5:$G$289,'Comp2016-2017 (3)'!$A$5:$A$289,$D400,'Comp2016-2017 (3)'!$R$5:$R$289,$V400)*$AB400))</f>
        <v>115358.73364269361</v>
      </c>
      <c r="AK400" s="2">
        <f t="shared" si="47"/>
        <v>0</v>
      </c>
      <c r="AL400" t="str">
        <f t="shared" si="49"/>
        <v/>
      </c>
      <c r="AM400" t="str">
        <f>VLOOKUP(A400,'Table corresp.'!$M$4:$U$63,8,FALSE)</f>
        <v>Forêt</v>
      </c>
      <c r="AN400" t="str">
        <f>VLOOKUP(D400,'Table corresp.'!$M$4:$U$63,9,FALSE)</f>
        <v>Consommation finale française</v>
      </c>
    </row>
    <row r="401" spans="1:40" x14ac:dyDescent="0.25">
      <c r="A401" t="s">
        <v>2</v>
      </c>
      <c r="B401" t="str">
        <f>VLOOKUP(LEFT(A401,3),'Table corresp.'!$A$4:$D$63,3,FALSE)</f>
        <v>Forêt</v>
      </c>
      <c r="C401" t="str">
        <f>VLOOKUP(A401,'Table corresp.'!$M$4:$P$63,4,FALSE)</f>
        <v>Production et transformation de produits bois</v>
      </c>
      <c r="D401" t="s">
        <v>53</v>
      </c>
      <c r="E401" t="str">
        <f>VLOOKUP(LEFT(D401,3),'Table corresp.'!$A$4:$D$63,4,FALSE)</f>
        <v>Exportation</v>
      </c>
      <c r="F401" t="str">
        <f t="shared" si="48"/>
        <v>04  - Exp</v>
      </c>
      <c r="G401" s="3">
        <v>18624.805950784834</v>
      </c>
      <c r="H401" s="3">
        <v>0</v>
      </c>
      <c r="I401" s="3">
        <v>18624.806</v>
      </c>
      <c r="J401" s="3">
        <v>0</v>
      </c>
      <c r="K401" s="3">
        <v>0</v>
      </c>
      <c r="L401" s="3">
        <v>0</v>
      </c>
      <c r="M401" s="3">
        <v>0</v>
      </c>
      <c r="N401" s="3">
        <v>0</v>
      </c>
      <c r="O401" s="3">
        <v>0</v>
      </c>
      <c r="P401" s="3">
        <v>399.89956424250516</v>
      </c>
      <c r="Q401" s="3">
        <v>0</v>
      </c>
      <c r="R401" s="3">
        <v>399.89956424250516</v>
      </c>
      <c r="S401" s="67" t="s">
        <v>198</v>
      </c>
      <c r="T401">
        <f>VLOOKUP(A401,'Groupe de branches'!$Z$27:$AM$86,14,FALSE)</f>
        <v>0</v>
      </c>
      <c r="U401">
        <f>VLOOKUP(D401,'Groupe de branches'!$Z$27:$AM$86,14,FALSE)</f>
        <v>0</v>
      </c>
      <c r="V401">
        <v>2017</v>
      </c>
      <c r="W401" t="str">
        <f>VLOOKUP(D401,'Table corresp.'!$M$4:$S$63,7,FALSE)</f>
        <v>Exportation</v>
      </c>
      <c r="X401" s="167">
        <f>IFERROR(G401/SUMIFS('Comp2016-2017 (3)'!$I$5:$I$289,'Comp2016-2017 (3)'!$A$5:$A$289,A401,'Comp2016-2017 (3)'!$R$5:$R$289,V401),0)</f>
        <v>6.0970943657758028E-2</v>
      </c>
      <c r="Y401" s="190">
        <f>IFERROR(IF(RIGHT(F401,3)="Exp",VLOOKUP(F401,#REF!,2,FALSE),VLOOKUP(F401,#REF!,9,FALSE)),1)</f>
        <v>1</v>
      </c>
      <c r="Z401" s="167">
        <f t="shared" si="51"/>
        <v>0.33333333333333331</v>
      </c>
      <c r="AA401" s="189">
        <f t="shared" si="50"/>
        <v>2.0323647885919342E-2</v>
      </c>
      <c r="AB401" s="2">
        <f>IFERROR(SUMIFS('Comp2016-2017 (3)'!$G$5:$G$289,'Comp2016-2017 (3)'!$A$5:$A$289,A401,'Comp2016-2017 (3)'!$R$5:$R$289,V401)*AA401/SUMIFS($AA$4:$AA$1116,$A$4:$A$1116,A401,$V$4:$V$1116,V401),0)</f>
        <v>9300.429637673853</v>
      </c>
      <c r="AC401" s="2">
        <f>IF($W401=AC$3,$AB401,IF(NOT($W401=0),"",SUMIFS('Val-Vol (2)'!AC$4:AC$1116,'Val-Vol (2)'!$A$4:$A$1116,$D401,'Val-Vol (2)'!$V$4:$V$1116,$V401)/SUMIFS('Comp2016-2017 (3)'!$G$5:$G$289,'Comp2016-2017 (3)'!$A$5:$A$289,$D401,'Comp2016-2017 (3)'!$R$5:$R$289,$V401)*$AB401))</f>
        <v>9300.429637673853</v>
      </c>
      <c r="AD401" s="2" t="str">
        <f>IF($W401=AD$3,$AB401,IF(NOT($W401=0),"",SUMIFS('Val-Vol (2)'!AD$4:AD$1116,'Val-Vol (2)'!$A$4:$A$1116,$D401,'Val-Vol (2)'!$V$4:$V$1116,$V401)/SUMIFS('Comp2016-2017 (3)'!$G$5:$G$289,'Comp2016-2017 (3)'!$A$5:$A$289,$D401,'Comp2016-2017 (3)'!$R$5:$R$289,$V401)*$AB401))</f>
        <v/>
      </c>
      <c r="AE401" s="2" t="str">
        <f>IF($W401=AE$3,$AB401,IF(NOT($W401=0),"",SUMIFS('Val-Vol (2)'!AE$4:AE$1116,'Val-Vol (2)'!$A$4:$A$1116,$D401,'Val-Vol (2)'!$V$4:$V$1116,$V401)/SUMIFS('Comp2016-2017 (3)'!$G$5:$G$289,'Comp2016-2017 (3)'!$A$5:$A$289,$D401,'Comp2016-2017 (3)'!$R$5:$R$289,$V401)*$AB401))</f>
        <v/>
      </c>
      <c r="AF401" s="2" t="str">
        <f>IF($W401=AF$3,$AB401,IF(NOT($W401=0),"",SUMIFS('Val-Vol (2)'!AF$4:AF$1116,'Val-Vol (2)'!$A$4:$A$1116,$D401,'Val-Vol (2)'!$V$4:$V$1116,$V401)/SUMIFS('Comp2016-2017 (3)'!$G$5:$G$289,'Comp2016-2017 (3)'!$A$5:$A$289,$D401,'Comp2016-2017 (3)'!$R$5:$R$289,$V401)*$AB401))</f>
        <v/>
      </c>
      <c r="AG401" s="2" t="str">
        <f>IF($W401=AG$3,$AB401,IF(NOT($W401=0),"",SUMIFS('Val-Vol (2)'!AG$4:AG$1116,'Val-Vol (2)'!$A$4:$A$1116,$D401,'Val-Vol (2)'!$V$4:$V$1116,$V401)/SUMIFS('Comp2016-2017 (3)'!$G$5:$G$289,'Comp2016-2017 (3)'!$A$5:$A$289,$D401,'Comp2016-2017 (3)'!$R$5:$R$289,$V401)*$AB401))</f>
        <v/>
      </c>
      <c r="AH401" s="2" t="str">
        <f>IF($W401=AH$3,$AB401,IF(NOT($W401=0),"",SUMIFS('Val-Vol (2)'!AH$4:AH$1116,'Val-Vol (2)'!$A$4:$A$1116,$D401,'Val-Vol (2)'!$V$4:$V$1116,$V401)/SUMIFS('Comp2016-2017 (3)'!$G$5:$G$289,'Comp2016-2017 (3)'!$A$5:$A$289,$D401,'Comp2016-2017 (3)'!$R$5:$R$289,$V401)*$AB401))</f>
        <v/>
      </c>
      <c r="AI401" s="2" t="str">
        <f>IF($W401=AI$3,$AB401,IF(NOT($W401=0),"",SUMIFS('Val-Vol (2)'!AI$4:AI$1116,'Val-Vol (2)'!$A$4:$A$1116,$D401,'Val-Vol (2)'!$V$4:$V$1116,$V401)/SUMIFS('Comp2016-2017 (3)'!$G$5:$G$289,'Comp2016-2017 (3)'!$A$5:$A$289,$D401,'Comp2016-2017 (3)'!$R$5:$R$289,$V401)*$AB401))</f>
        <v/>
      </c>
      <c r="AJ401" s="2" t="str">
        <f>IF($W401=AJ$3,$AB401,IF(NOT($W401=0),"",SUMIFS('Val-Vol (2)'!AJ$4:AJ$1116,'Val-Vol (2)'!$A$4:$A$1116,$D401,'Val-Vol (2)'!$V$4:$V$1116,$V401)/SUMIFS('Comp2016-2017 (3)'!$G$5:$G$289,'Comp2016-2017 (3)'!$A$5:$A$289,$D401,'Comp2016-2017 (3)'!$R$5:$R$289,$V401)*$AB401))</f>
        <v/>
      </c>
      <c r="AK401" s="2">
        <f t="shared" si="47"/>
        <v>0</v>
      </c>
      <c r="AL401" t="str">
        <f t="shared" si="49"/>
        <v/>
      </c>
      <c r="AM401" t="str">
        <f>VLOOKUP(A401,'Table corresp.'!$M$4:$U$63,8,FALSE)</f>
        <v>Forêt</v>
      </c>
      <c r="AN401" t="str">
        <f>VLOOKUP(D401,'Table corresp.'!$M$4:$U$63,9,FALSE)</f>
        <v>Exportation</v>
      </c>
    </row>
    <row r="402" spans="1:40" x14ac:dyDescent="0.25">
      <c r="A402" t="s">
        <v>81</v>
      </c>
      <c r="B402" t="str">
        <f>VLOOKUP(LEFT(A402,3),'Table corresp.'!$A$4:$D$63,3,FALSE)</f>
        <v>Transformation</v>
      </c>
      <c r="C402" t="str">
        <f>VLOOKUP(A402,'Table corresp.'!$M$4:$P$63,4,FALSE)</f>
        <v>Production et transformation de produits bois</v>
      </c>
      <c r="D402" t="s">
        <v>0</v>
      </c>
      <c r="E402" t="str">
        <f>VLOOKUP(LEFT(D402,3),'Table corresp.'!$A$4:$D$63,4,FALSE)</f>
        <v>Transformation</v>
      </c>
      <c r="F402" t="str">
        <f t="shared" si="48"/>
        <v xml:space="preserve">05  - 02 </v>
      </c>
      <c r="G402" s="3">
        <v>377840.6886078745</v>
      </c>
      <c r="H402" s="3">
        <v>0</v>
      </c>
      <c r="I402" s="3">
        <v>377840.68938955932</v>
      </c>
      <c r="J402" s="3">
        <v>0</v>
      </c>
      <c r="K402" s="3">
        <v>0</v>
      </c>
      <c r="L402" s="3">
        <v>0</v>
      </c>
      <c r="M402" s="3">
        <v>0</v>
      </c>
      <c r="N402" s="3">
        <v>0</v>
      </c>
      <c r="O402" s="3">
        <v>0</v>
      </c>
      <c r="P402" s="3">
        <v>0</v>
      </c>
      <c r="Q402" s="3">
        <v>0</v>
      </c>
      <c r="R402" s="3">
        <v>0</v>
      </c>
      <c r="S402" s="67"/>
      <c r="T402">
        <f>VLOOKUP(A402,'Groupe de branches'!$Z$27:$AM$86,14,FALSE)</f>
        <v>0</v>
      </c>
      <c r="U402">
        <f>VLOOKUP(D402,'Groupe de branches'!$Z$27:$AM$86,14,FALSE)</f>
        <v>0</v>
      </c>
      <c r="V402">
        <v>2017</v>
      </c>
      <c r="W402">
        <f>VLOOKUP(D402,'Table corresp.'!$M$4:$S$63,7,FALSE)</f>
        <v>0</v>
      </c>
      <c r="X402" s="167">
        <f>IFERROR(G402/SUMIFS('Comp2016-2017 (3)'!$I$5:$I$289,'Comp2016-2017 (3)'!$A$5:$A$289,A402,'Comp2016-2017 (3)'!$R$5:$R$289,V402),0)</f>
        <v>0.33438073406325769</v>
      </c>
      <c r="Y402" s="190">
        <f>IFERROR(IF(RIGHT(F402,3)="Exp",VLOOKUP(F402,#REF!,2,FALSE),VLOOKUP(F402,#REF!,9,FALSE)),1)</f>
        <v>1</v>
      </c>
      <c r="Z402" s="167">
        <f t="shared" si="51"/>
        <v>5.2631578947368418E-2</v>
      </c>
      <c r="AA402" s="189">
        <f t="shared" si="50"/>
        <v>1.7598986003329351E-2</v>
      </c>
      <c r="AB402" s="2">
        <f>IFERROR(SUMIFS('Comp2016-2017 (3)'!$G$5:$G$289,'Comp2016-2017 (3)'!$A$5:$A$289,A402,'Comp2016-2017 (3)'!$R$5:$R$289,V402)*AA402/SUMIFS($AA$4:$AA$1116,$A$4:$A$1116,A402,$V$4:$V$1116,V402),0)</f>
        <v>273974.05927934236</v>
      </c>
      <c r="AC402" s="2">
        <f>IF($W402=AC$3,$AB402,IF(NOT($W402=0),"",SUMIFS('Val-Vol (2)'!AC$4:AC$1116,'Val-Vol (2)'!$A$4:$A$1116,$D402,'Val-Vol (2)'!$V$4:$V$1116,$V402)/SUMIFS('Comp2016-2017 (3)'!$G$5:$G$289,'Comp2016-2017 (3)'!$A$5:$A$289,$D402,'Comp2016-2017 (3)'!$R$5:$R$289,$V402)*$AB402))</f>
        <v>69451.391555064809</v>
      </c>
      <c r="AD402" s="2">
        <f>IF($W402=AD$3,$AB402,IF(NOT($W402=0),"",SUMIFS('Val-Vol (2)'!AD$4:AD$1116,'Val-Vol (2)'!$A$4:$A$1116,$D402,'Val-Vol (2)'!$V$4:$V$1116,$V402)/SUMIFS('Comp2016-2017 (3)'!$G$5:$G$289,'Comp2016-2017 (3)'!$A$5:$A$289,$D402,'Comp2016-2017 (3)'!$R$5:$R$289,$V402)*$AB402))</f>
        <v>79053.436850606362</v>
      </c>
      <c r="AE402" s="2">
        <f>IF($W402=AE$3,$AB402,IF(NOT($W402=0),"",SUMIFS('Val-Vol (2)'!AE$4:AE$1116,'Val-Vol (2)'!$A$4:$A$1116,$D402,'Val-Vol (2)'!$V$4:$V$1116,$V402)/SUMIFS('Comp2016-2017 (3)'!$G$5:$G$289,'Comp2016-2017 (3)'!$A$5:$A$289,$D402,'Comp2016-2017 (3)'!$R$5:$R$289,$V402)*$AB402))</f>
        <v>9075.8841924558128</v>
      </c>
      <c r="AF402" s="2">
        <f>IF($W402=AF$3,$AB402,IF(NOT($W402=0),"",SUMIFS('Val-Vol (2)'!AF$4:AF$1116,'Val-Vol (2)'!$A$4:$A$1116,$D402,'Val-Vol (2)'!$V$4:$V$1116,$V402)/SUMIFS('Comp2016-2017 (3)'!$G$5:$G$289,'Comp2016-2017 (3)'!$A$5:$A$289,$D402,'Comp2016-2017 (3)'!$R$5:$R$289,$V402)*$AB402))</f>
        <v>0</v>
      </c>
      <c r="AG402" s="2">
        <f>IF($W402=AG$3,$AB402,IF(NOT($W402=0),"",SUMIFS('Val-Vol (2)'!AG$4:AG$1116,'Val-Vol (2)'!$A$4:$A$1116,$D402,'Val-Vol (2)'!$V$4:$V$1116,$V402)/SUMIFS('Comp2016-2017 (3)'!$G$5:$G$289,'Comp2016-2017 (3)'!$A$5:$A$289,$D402,'Comp2016-2017 (3)'!$R$5:$R$289,$V402)*$AB402))</f>
        <v>65154.14032868763</v>
      </c>
      <c r="AH402" s="2">
        <f>IF($W402=AH$3,$AB402,IF(NOT($W402=0),"",SUMIFS('Val-Vol (2)'!AH$4:AH$1116,'Val-Vol (2)'!$A$4:$A$1116,$D402,'Val-Vol (2)'!$V$4:$V$1116,$V402)/SUMIFS('Comp2016-2017 (3)'!$G$5:$G$289,'Comp2016-2017 (3)'!$A$5:$A$289,$D402,'Comp2016-2017 (3)'!$R$5:$R$289,$V402)*$AB402))</f>
        <v>0</v>
      </c>
      <c r="AI402" s="2">
        <f>IF($W402=AI$3,$AB402,IF(NOT($W402=0),"",SUMIFS('Val-Vol (2)'!AI$4:AI$1116,'Val-Vol (2)'!$A$4:$A$1116,$D402,'Val-Vol (2)'!$V$4:$V$1116,$V402)/SUMIFS('Comp2016-2017 (3)'!$G$5:$G$289,'Comp2016-2017 (3)'!$A$5:$A$289,$D402,'Comp2016-2017 (3)'!$R$5:$R$289,$V402)*$AB402))</f>
        <v>15841.310890911143</v>
      </c>
      <c r="AJ402" s="2">
        <f>IF($W402=AJ$3,$AB402,IF(NOT($W402=0),"",SUMIFS('Val-Vol (2)'!AJ$4:AJ$1116,'Val-Vol (2)'!$A$4:$A$1116,$D402,'Val-Vol (2)'!$V$4:$V$1116,$V402)/SUMIFS('Comp2016-2017 (3)'!$G$5:$G$289,'Comp2016-2017 (3)'!$A$5:$A$289,$D402,'Comp2016-2017 (3)'!$R$5:$R$289,$V402)*$AB402))</f>
        <v>35397.895461616674</v>
      </c>
      <c r="AK402" s="2">
        <f t="shared" si="47"/>
        <v>0</v>
      </c>
      <c r="AL402" t="str">
        <f t="shared" si="49"/>
        <v/>
      </c>
      <c r="AM402" t="str">
        <f>VLOOKUP(A402,'Table corresp.'!$M$4:$U$63,8,FALSE)</f>
        <v>Production intermédiaire</v>
      </c>
      <c r="AN402" t="str">
        <f>VLOOKUP(D402,'Table corresp.'!$M$4:$U$63,9,FALSE)</f>
        <v>Production intermédiaire</v>
      </c>
    </row>
    <row r="403" spans="1:40" x14ac:dyDescent="0.25">
      <c r="A403" t="s">
        <v>81</v>
      </c>
      <c r="B403" t="str">
        <f>VLOOKUP(LEFT(A403,3),'Table corresp.'!$A$4:$D$63,3,FALSE)</f>
        <v>Transformation</v>
      </c>
      <c r="C403" t="str">
        <f>VLOOKUP(A403,'Table corresp.'!$M$4:$P$63,4,FALSE)</f>
        <v>Production et transformation de produits bois</v>
      </c>
      <c r="D403" t="s">
        <v>2</v>
      </c>
      <c r="E403" t="str">
        <f>VLOOKUP(LEFT(D403,3),'Table corresp.'!$A$4:$D$63,4,FALSE)</f>
        <v>Transformation</v>
      </c>
      <c r="F403" t="str">
        <f t="shared" si="48"/>
        <v xml:space="preserve">05  - 04 </v>
      </c>
      <c r="G403" s="3">
        <v>93764.732696298641</v>
      </c>
      <c r="H403" s="3">
        <v>0</v>
      </c>
      <c r="I403" s="3">
        <v>93764.732890281084</v>
      </c>
      <c r="J403" s="3">
        <v>0</v>
      </c>
      <c r="K403" s="3">
        <v>0</v>
      </c>
      <c r="L403" s="3">
        <v>0</v>
      </c>
      <c r="M403" s="3">
        <v>0</v>
      </c>
      <c r="N403" s="3">
        <v>0</v>
      </c>
      <c r="O403" s="3">
        <v>0</v>
      </c>
      <c r="P403" s="3">
        <v>0</v>
      </c>
      <c r="Q403" s="3">
        <v>0</v>
      </c>
      <c r="R403" s="3">
        <v>0</v>
      </c>
      <c r="S403" s="67"/>
      <c r="T403">
        <f>VLOOKUP(A403,'Groupe de branches'!$Z$27:$AM$86,14,FALSE)</f>
        <v>0</v>
      </c>
      <c r="U403">
        <f>VLOOKUP(D403,'Groupe de branches'!$Z$27:$AM$86,14,FALSE)</f>
        <v>0</v>
      </c>
      <c r="V403">
        <v>2017</v>
      </c>
      <c r="W403" t="str">
        <f>VLOOKUP(D403,'Table corresp.'!$M$4:$S$63,7,FALSE)</f>
        <v>Energie</v>
      </c>
      <c r="X403" s="167">
        <f>IFERROR(G403/SUMIFS('Comp2016-2017 (3)'!$I$5:$I$289,'Comp2016-2017 (3)'!$A$5:$A$289,A403,'Comp2016-2017 (3)'!$R$5:$R$289,V403),0)</f>
        <v>8.2979734828855206E-2</v>
      </c>
      <c r="Y403" s="190">
        <f>IFERROR(IF(RIGHT(F403,3)="Exp",VLOOKUP(F403,#REF!,2,FALSE),VLOOKUP(F403,#REF!,9,FALSE)),1)</f>
        <v>1</v>
      </c>
      <c r="Z403" s="167">
        <f t="shared" si="51"/>
        <v>5.2631578947368418E-2</v>
      </c>
      <c r="AA403" s="189">
        <f t="shared" si="50"/>
        <v>4.3673544646765892E-3</v>
      </c>
      <c r="AB403" s="2">
        <f>IFERROR(SUMIFS('Comp2016-2017 (3)'!$G$5:$G$289,'Comp2016-2017 (3)'!$A$5:$A$289,A403,'Comp2016-2017 (3)'!$R$5:$R$289,V403)*AA403/SUMIFS($AA$4:$AA$1116,$A$4:$A$1116,A403,$V$4:$V$1116,V403),0)</f>
        <v>67989.248401745659</v>
      </c>
      <c r="AC403" s="2" t="str">
        <f>IF($W403=AC$3,$AB403,IF(NOT($W403=0),"",SUMIFS('Val-Vol (2)'!AC$4:AC$1116,'Val-Vol (2)'!$A$4:$A$1116,$D403,'Val-Vol (2)'!$V$4:$V$1116,$V403)/SUMIFS('Comp2016-2017 (3)'!$G$5:$G$289,'Comp2016-2017 (3)'!$A$5:$A$289,$D403,'Comp2016-2017 (3)'!$R$5:$R$289,$V403)*$AB403))</f>
        <v/>
      </c>
      <c r="AD403" s="2" t="str">
        <f>IF($W403=AD$3,$AB403,IF(NOT($W403=0),"",SUMIFS('Val-Vol (2)'!AD$4:AD$1116,'Val-Vol (2)'!$A$4:$A$1116,$D403,'Val-Vol (2)'!$V$4:$V$1116,$V403)/SUMIFS('Comp2016-2017 (3)'!$G$5:$G$289,'Comp2016-2017 (3)'!$A$5:$A$289,$D403,'Comp2016-2017 (3)'!$R$5:$R$289,$V403)*$AB403))</f>
        <v/>
      </c>
      <c r="AE403" s="2" t="str">
        <f>IF($W403=AE$3,$AB403,IF(NOT($W403=0),"",SUMIFS('Val-Vol (2)'!AE$4:AE$1116,'Val-Vol (2)'!$A$4:$A$1116,$D403,'Val-Vol (2)'!$V$4:$V$1116,$V403)/SUMIFS('Comp2016-2017 (3)'!$G$5:$G$289,'Comp2016-2017 (3)'!$A$5:$A$289,$D403,'Comp2016-2017 (3)'!$R$5:$R$289,$V403)*$AB403))</f>
        <v/>
      </c>
      <c r="AF403" s="2" t="str">
        <f>IF($W403=AF$3,$AB403,IF(NOT($W403=0),"",SUMIFS('Val-Vol (2)'!AF$4:AF$1116,'Val-Vol (2)'!$A$4:$A$1116,$D403,'Val-Vol (2)'!$V$4:$V$1116,$V403)/SUMIFS('Comp2016-2017 (3)'!$G$5:$G$289,'Comp2016-2017 (3)'!$A$5:$A$289,$D403,'Comp2016-2017 (3)'!$R$5:$R$289,$V403)*$AB403))</f>
        <v/>
      </c>
      <c r="AG403" s="2" t="str">
        <f>IF($W403=AG$3,$AB403,IF(NOT($W403=0),"",SUMIFS('Val-Vol (2)'!AG$4:AG$1116,'Val-Vol (2)'!$A$4:$A$1116,$D403,'Val-Vol (2)'!$V$4:$V$1116,$V403)/SUMIFS('Comp2016-2017 (3)'!$G$5:$G$289,'Comp2016-2017 (3)'!$A$5:$A$289,$D403,'Comp2016-2017 (3)'!$R$5:$R$289,$V403)*$AB403))</f>
        <v/>
      </c>
      <c r="AH403" s="2">
        <f>IF($W403=AH$3,$AB403,IF(NOT($W403=0),"",SUMIFS('Val-Vol (2)'!AH$4:AH$1116,'Val-Vol (2)'!$A$4:$A$1116,$D403,'Val-Vol (2)'!$V$4:$V$1116,$V403)/SUMIFS('Comp2016-2017 (3)'!$G$5:$G$289,'Comp2016-2017 (3)'!$A$5:$A$289,$D403,'Comp2016-2017 (3)'!$R$5:$R$289,$V403)*$AB403))</f>
        <v>67989.248401745659</v>
      </c>
      <c r="AI403" s="2" t="str">
        <f>IF($W403=AI$3,$AB403,IF(NOT($W403=0),"",SUMIFS('Val-Vol (2)'!AI$4:AI$1116,'Val-Vol (2)'!$A$4:$A$1116,$D403,'Val-Vol (2)'!$V$4:$V$1116,$V403)/SUMIFS('Comp2016-2017 (3)'!$G$5:$G$289,'Comp2016-2017 (3)'!$A$5:$A$289,$D403,'Comp2016-2017 (3)'!$R$5:$R$289,$V403)*$AB403))</f>
        <v/>
      </c>
      <c r="AJ403" s="2" t="str">
        <f>IF($W403=AJ$3,$AB403,IF(NOT($W403=0),"",SUMIFS('Val-Vol (2)'!AJ$4:AJ$1116,'Val-Vol (2)'!$A$4:$A$1116,$D403,'Val-Vol (2)'!$V$4:$V$1116,$V403)/SUMIFS('Comp2016-2017 (3)'!$G$5:$G$289,'Comp2016-2017 (3)'!$A$5:$A$289,$D403,'Comp2016-2017 (3)'!$R$5:$R$289,$V403)*$AB403))</f>
        <v/>
      </c>
      <c r="AK403" s="2">
        <f t="shared" si="47"/>
        <v>0</v>
      </c>
      <c r="AL403" t="str">
        <f t="shared" si="49"/>
        <v/>
      </c>
      <c r="AM403" t="str">
        <f>VLOOKUP(A403,'Table corresp.'!$M$4:$U$63,8,FALSE)</f>
        <v>Production intermédiaire</v>
      </c>
      <c r="AN403" t="str">
        <f>VLOOKUP(D403,'Table corresp.'!$M$4:$U$63,9,FALSE)</f>
        <v>Production intermédiaire</v>
      </c>
    </row>
    <row r="404" spans="1:40" x14ac:dyDescent="0.25">
      <c r="A404" t="s">
        <v>81</v>
      </c>
      <c r="B404" t="str">
        <f>VLOOKUP(LEFT(A404,3),'Table corresp.'!$A$4:$D$63,3,FALSE)</f>
        <v>Transformation</v>
      </c>
      <c r="C404" t="str">
        <f>VLOOKUP(A404,'Table corresp.'!$M$4:$P$63,4,FALSE)</f>
        <v>Production et transformation de produits bois</v>
      </c>
      <c r="D404" t="s">
        <v>3</v>
      </c>
      <c r="E404" t="str">
        <f>VLOOKUP(LEFT(D404,3),'Table corresp.'!$A$4:$D$63,4,FALSE)</f>
        <v>Transformation</v>
      </c>
      <c r="F404" t="str">
        <f t="shared" si="48"/>
        <v xml:space="preserve">05  - 06 </v>
      </c>
      <c r="G404" s="3">
        <v>107139.17898611994</v>
      </c>
      <c r="H404" s="3">
        <v>0</v>
      </c>
      <c r="I404" s="3">
        <v>107139.17920777173</v>
      </c>
      <c r="J404" s="3">
        <v>0</v>
      </c>
      <c r="K404" s="3">
        <v>0</v>
      </c>
      <c r="L404" s="3">
        <v>0</v>
      </c>
      <c r="M404" s="3">
        <v>0</v>
      </c>
      <c r="N404" s="3">
        <v>0</v>
      </c>
      <c r="O404" s="3">
        <v>0</v>
      </c>
      <c r="P404" s="3">
        <v>0</v>
      </c>
      <c r="Q404" s="3">
        <v>0</v>
      </c>
      <c r="R404" s="3">
        <v>0</v>
      </c>
      <c r="S404" s="67"/>
      <c r="T404">
        <f>VLOOKUP(A404,'Groupe de branches'!$Z$27:$AM$86,14,FALSE)</f>
        <v>0</v>
      </c>
      <c r="U404">
        <f>VLOOKUP(D404,'Groupe de branches'!$Z$27:$AM$86,14,FALSE)</f>
        <v>0</v>
      </c>
      <c r="V404">
        <v>2017</v>
      </c>
      <c r="W404">
        <f>VLOOKUP(D404,'Table corresp.'!$M$4:$S$63,7,FALSE)</f>
        <v>0</v>
      </c>
      <c r="X404" s="167">
        <f>IFERROR(G404/SUMIFS('Comp2016-2017 (3)'!$I$5:$I$289,'Comp2016-2017 (3)'!$A$5:$A$289,A404,'Comp2016-2017 (3)'!$R$5:$R$289,V404),0)</f>
        <v>9.4815826872190673E-2</v>
      </c>
      <c r="Y404" s="190">
        <f>IFERROR(IF(RIGHT(F404,3)="Exp",VLOOKUP(F404,#REF!,2,FALSE),VLOOKUP(F404,#REF!,9,FALSE)),1)</f>
        <v>1</v>
      </c>
      <c r="Z404" s="167">
        <f t="shared" si="51"/>
        <v>5.2631578947368418E-2</v>
      </c>
      <c r="AA404" s="189">
        <f t="shared" si="50"/>
        <v>4.9903066774837192E-3</v>
      </c>
      <c r="AB404" s="2">
        <f>IFERROR(SUMIFS('Comp2016-2017 (3)'!$G$5:$G$289,'Comp2016-2017 (3)'!$A$5:$A$289,A404,'Comp2016-2017 (3)'!$R$5:$R$289,V404)*AA404/SUMIFS($AA$4:$AA$1116,$A$4:$A$1116,A404,$V$4:$V$1116,V404),0)</f>
        <v>77687.122270588472</v>
      </c>
      <c r="AC404" s="2">
        <f>IF($W404=AC$3,$AB404,IF(NOT($W404=0),"",SUMIFS('Val-Vol (2)'!AC$4:AC$1116,'Val-Vol (2)'!$A$4:$A$1116,$D404,'Val-Vol (2)'!$V$4:$V$1116,$V404)/SUMIFS('Comp2016-2017 (3)'!$G$5:$G$289,'Comp2016-2017 (3)'!$A$5:$A$289,$D404,'Comp2016-2017 (3)'!$R$5:$R$289,$V404)*$AB404))</f>
        <v>19209.81965748057</v>
      </c>
      <c r="AD404" s="2">
        <f>IF($W404=AD$3,$AB404,IF(NOT($W404=0),"",SUMIFS('Val-Vol (2)'!AD$4:AD$1116,'Val-Vol (2)'!$A$4:$A$1116,$D404,'Val-Vol (2)'!$V$4:$V$1116,$V404)/SUMIFS('Comp2016-2017 (3)'!$G$5:$G$289,'Comp2016-2017 (3)'!$A$5:$A$289,$D404,'Comp2016-2017 (3)'!$R$5:$R$289,$V404)*$AB404))</f>
        <v>21014.896023825404</v>
      </c>
      <c r="AE404" s="2">
        <f>IF($W404=AE$3,$AB404,IF(NOT($W404=0),"",SUMIFS('Val-Vol (2)'!AE$4:AE$1116,'Val-Vol (2)'!$A$4:$A$1116,$D404,'Val-Vol (2)'!$V$4:$V$1116,$V404)/SUMIFS('Comp2016-2017 (3)'!$G$5:$G$289,'Comp2016-2017 (3)'!$A$5:$A$289,$D404,'Comp2016-2017 (3)'!$R$5:$R$289,$V404)*$AB404))</f>
        <v>2510.0169733348152</v>
      </c>
      <c r="AF404" s="2">
        <f>IF($W404=AF$3,$AB404,IF(NOT($W404=0),"",SUMIFS('Val-Vol (2)'!AF$4:AF$1116,'Val-Vol (2)'!$A$4:$A$1116,$D404,'Val-Vol (2)'!$V$4:$V$1116,$V404)/SUMIFS('Comp2016-2017 (3)'!$G$5:$G$289,'Comp2016-2017 (3)'!$A$5:$A$289,$D404,'Comp2016-2017 (3)'!$R$5:$R$289,$V404)*$AB404))</f>
        <v>1353.9488140455574</v>
      </c>
      <c r="AG404" s="2">
        <f>IF($W404=AG$3,$AB404,IF(NOT($W404=0),"",SUMIFS('Val-Vol (2)'!AG$4:AG$1116,'Val-Vol (2)'!$A$4:$A$1116,$D404,'Val-Vol (2)'!$V$4:$V$1116,$V404)/SUMIFS('Comp2016-2017 (3)'!$G$5:$G$289,'Comp2016-2017 (3)'!$A$5:$A$289,$D404,'Comp2016-2017 (3)'!$R$5:$R$289,$V404)*$AB404))</f>
        <v>17098.610842674676</v>
      </c>
      <c r="AH404" s="2">
        <f>IF($W404=AH$3,$AB404,IF(NOT($W404=0),"",SUMIFS('Val-Vol (2)'!AH$4:AH$1116,'Val-Vol (2)'!$A$4:$A$1116,$D404,'Val-Vol (2)'!$V$4:$V$1116,$V404)/SUMIFS('Comp2016-2017 (3)'!$G$5:$G$289,'Comp2016-2017 (3)'!$A$5:$A$289,$D404,'Comp2016-2017 (3)'!$R$5:$R$289,$V404)*$AB404))</f>
        <v>2935.6513901693434</v>
      </c>
      <c r="AI404" s="2">
        <f>IF($W404=AI$3,$AB404,IF(NOT($W404=0),"",SUMIFS('Val-Vol (2)'!AI$4:AI$1116,'Val-Vol (2)'!$A$4:$A$1116,$D404,'Val-Vol (2)'!$V$4:$V$1116,$V404)/SUMIFS('Comp2016-2017 (3)'!$G$5:$G$289,'Comp2016-2017 (3)'!$A$5:$A$289,$D404,'Comp2016-2017 (3)'!$R$5:$R$289,$V404)*$AB404))</f>
        <v>4205.3143499766311</v>
      </c>
      <c r="AJ404" s="2">
        <f>IF($W404=AJ$3,$AB404,IF(NOT($W404=0),"",SUMIFS('Val-Vol (2)'!AJ$4:AJ$1116,'Val-Vol (2)'!$A$4:$A$1116,$D404,'Val-Vol (2)'!$V$4:$V$1116,$V404)/SUMIFS('Comp2016-2017 (3)'!$G$5:$G$289,'Comp2016-2017 (3)'!$A$5:$A$289,$D404,'Comp2016-2017 (3)'!$R$5:$R$289,$V404)*$AB404))</f>
        <v>9358.8642190814844</v>
      </c>
      <c r="AK404" s="2">
        <f t="shared" si="47"/>
        <v>0</v>
      </c>
      <c r="AL404" t="str">
        <f t="shared" si="49"/>
        <v/>
      </c>
      <c r="AM404" t="str">
        <f>VLOOKUP(A404,'Table corresp.'!$M$4:$U$63,8,FALSE)</f>
        <v>Production intermédiaire</v>
      </c>
      <c r="AN404" t="str">
        <f>VLOOKUP(D404,'Table corresp.'!$M$4:$U$63,9,FALSE)</f>
        <v>Production intermédiaire</v>
      </c>
    </row>
    <row r="405" spans="1:40" x14ac:dyDescent="0.25">
      <c r="A405" t="s">
        <v>81</v>
      </c>
      <c r="B405" t="str">
        <f>VLOOKUP(LEFT(A405,3),'Table corresp.'!$A$4:$D$63,3,FALSE)</f>
        <v>Transformation</v>
      </c>
      <c r="C405" t="str">
        <f>VLOOKUP(A405,'Table corresp.'!$M$4:$P$63,4,FALSE)</f>
        <v>Production et transformation de produits bois</v>
      </c>
      <c r="D405" t="s">
        <v>4</v>
      </c>
      <c r="E405" t="str">
        <f>VLOOKUP(LEFT(D405,3),'Table corresp.'!$A$4:$D$63,4,FALSE)</f>
        <v>Transformation</v>
      </c>
      <c r="F405" t="str">
        <f t="shared" si="48"/>
        <v xml:space="preserve">05  - 08 </v>
      </c>
      <c r="G405" s="3">
        <v>25343.341400599511</v>
      </c>
      <c r="H405" s="3">
        <v>0</v>
      </c>
      <c r="I405" s="3">
        <v>25343.341453030349</v>
      </c>
      <c r="J405" s="3">
        <v>0</v>
      </c>
      <c r="K405" s="3">
        <v>0</v>
      </c>
      <c r="L405" s="3">
        <v>0</v>
      </c>
      <c r="M405" s="3">
        <v>0</v>
      </c>
      <c r="N405" s="3">
        <v>0</v>
      </c>
      <c r="O405" s="3">
        <v>0</v>
      </c>
      <c r="P405" s="3">
        <v>0</v>
      </c>
      <c r="Q405" s="3">
        <v>0</v>
      </c>
      <c r="R405" s="3">
        <v>0</v>
      </c>
      <c r="S405" s="67"/>
      <c r="T405">
        <f>VLOOKUP(A405,'Groupe de branches'!$Z$27:$AM$86,14,FALSE)</f>
        <v>0</v>
      </c>
      <c r="U405">
        <f>VLOOKUP(D405,'Groupe de branches'!$Z$27:$AM$86,14,FALSE)</f>
        <v>0</v>
      </c>
      <c r="V405">
        <v>2017</v>
      </c>
      <c r="W405">
        <f>VLOOKUP(D405,'Table corresp.'!$M$4:$S$63,7,FALSE)</f>
        <v>0</v>
      </c>
      <c r="X405" s="167">
        <f>IFERROR(G405/SUMIFS('Comp2016-2017 (3)'!$I$5:$I$289,'Comp2016-2017 (3)'!$A$5:$A$289,A405,'Comp2016-2017 (3)'!$R$5:$R$289,V405),0)</f>
        <v>2.242830207718291E-2</v>
      </c>
      <c r="Y405" s="190">
        <f>IFERROR(IF(RIGHT(F405,3)="Exp",VLOOKUP(F405,#REF!,2,FALSE),VLOOKUP(F405,#REF!,9,FALSE)),1)</f>
        <v>1</v>
      </c>
      <c r="Z405" s="167">
        <f t="shared" si="51"/>
        <v>5.2631578947368418E-2</v>
      </c>
      <c r="AA405" s="189">
        <f t="shared" si="50"/>
        <v>1.1804369514306795E-3</v>
      </c>
      <c r="AB405" s="2">
        <f>IFERROR(SUMIFS('Comp2016-2017 (3)'!$G$5:$G$289,'Comp2016-2017 (3)'!$A$5:$A$289,A405,'Comp2016-2017 (3)'!$R$5:$R$289,V405)*AA405/SUMIFS($AA$4:$AA$1116,$A$4:$A$1116,A405,$V$4:$V$1116,V405),0)</f>
        <v>18376.575971229995</v>
      </c>
      <c r="AC405" s="2">
        <f>IF($W405=AC$3,$AB405,IF(NOT($W405=0),"",SUMIFS('Val-Vol (2)'!AC$4:AC$1116,'Val-Vol (2)'!$A$4:$A$1116,$D405,'Val-Vol (2)'!$V$4:$V$1116,$V405)/SUMIFS('Comp2016-2017 (3)'!$G$5:$G$289,'Comp2016-2017 (3)'!$A$5:$A$289,$D405,'Comp2016-2017 (3)'!$R$5:$R$289,$V405)*$AB405))</f>
        <v>5047.0617497942512</v>
      </c>
      <c r="AD405" s="2">
        <f>IF($W405=AD$3,$AB405,IF(NOT($W405=0),"",SUMIFS('Val-Vol (2)'!AD$4:AD$1116,'Val-Vol (2)'!$A$4:$A$1116,$D405,'Val-Vol (2)'!$V$4:$V$1116,$V405)/SUMIFS('Comp2016-2017 (3)'!$G$5:$G$289,'Comp2016-2017 (3)'!$A$5:$A$289,$D405,'Comp2016-2017 (3)'!$R$5:$R$289,$V405)*$AB405))</f>
        <v>5001.941483577325</v>
      </c>
      <c r="AE405" s="2">
        <f>IF($W405=AE$3,$AB405,IF(NOT($W405=0),"",SUMIFS('Val-Vol (2)'!AE$4:AE$1116,'Val-Vol (2)'!$A$4:$A$1116,$D405,'Val-Vol (2)'!$V$4:$V$1116,$V405)/SUMIFS('Comp2016-2017 (3)'!$G$5:$G$289,'Comp2016-2017 (3)'!$A$5:$A$289,$D405,'Comp2016-2017 (3)'!$R$5:$R$289,$V405)*$AB405))</f>
        <v>2422.4452072351532</v>
      </c>
      <c r="AF405" s="2">
        <f>IF($W405=AF$3,$AB405,IF(NOT($W405=0),"",SUMIFS('Val-Vol (2)'!AF$4:AF$1116,'Val-Vol (2)'!$A$4:$A$1116,$D405,'Val-Vol (2)'!$V$4:$V$1116,$V405)/SUMIFS('Comp2016-2017 (3)'!$G$5:$G$289,'Comp2016-2017 (3)'!$A$5:$A$289,$D405,'Comp2016-2017 (3)'!$R$5:$R$289,$V405)*$AB405))</f>
        <v>0</v>
      </c>
      <c r="AG405" s="2">
        <f>IF($W405=AG$3,$AB405,IF(NOT($W405=0),"",SUMIFS('Val-Vol (2)'!AG$4:AG$1116,'Val-Vol (2)'!$A$4:$A$1116,$D405,'Val-Vol (2)'!$V$4:$V$1116,$V405)/SUMIFS('Comp2016-2017 (3)'!$G$5:$G$289,'Comp2016-2017 (3)'!$A$5:$A$289,$D405,'Comp2016-2017 (3)'!$R$5:$R$289,$V405)*$AB405))</f>
        <v>0</v>
      </c>
      <c r="AH405" s="2">
        <f>IF($W405=AH$3,$AB405,IF(NOT($W405=0),"",SUMIFS('Val-Vol (2)'!AH$4:AH$1116,'Val-Vol (2)'!$A$4:$A$1116,$D405,'Val-Vol (2)'!$V$4:$V$1116,$V405)/SUMIFS('Comp2016-2017 (3)'!$G$5:$G$289,'Comp2016-2017 (3)'!$A$5:$A$289,$D405,'Comp2016-2017 (3)'!$R$5:$R$289,$V405)*$AB405))</f>
        <v>0</v>
      </c>
      <c r="AI405" s="2">
        <f>IF($W405=AI$3,$AB405,IF(NOT($W405=0),"",SUMIFS('Val-Vol (2)'!AI$4:AI$1116,'Val-Vol (2)'!$A$4:$A$1116,$D405,'Val-Vol (2)'!$V$4:$V$1116,$V405)/SUMIFS('Comp2016-2017 (3)'!$G$5:$G$289,'Comp2016-2017 (3)'!$A$5:$A$289,$D405,'Comp2016-2017 (3)'!$R$5:$R$289,$V405)*$AB405))</f>
        <v>2020.9338462017524</v>
      </c>
      <c r="AJ405" s="2">
        <f>IF($W405=AJ$3,$AB405,IF(NOT($W405=0),"",SUMIFS('Val-Vol (2)'!AJ$4:AJ$1116,'Val-Vol (2)'!$A$4:$A$1116,$D405,'Val-Vol (2)'!$V$4:$V$1116,$V405)/SUMIFS('Comp2016-2017 (3)'!$G$5:$G$289,'Comp2016-2017 (3)'!$A$5:$A$289,$D405,'Comp2016-2017 (3)'!$R$5:$R$289,$V405)*$AB405))</f>
        <v>3884.1936844215143</v>
      </c>
      <c r="AK405" s="2">
        <f t="shared" si="47"/>
        <v>0</v>
      </c>
      <c r="AL405" t="str">
        <f t="shared" si="49"/>
        <v/>
      </c>
      <c r="AM405" t="str">
        <f>VLOOKUP(A405,'Table corresp.'!$M$4:$U$63,8,FALSE)</f>
        <v>Production intermédiaire</v>
      </c>
      <c r="AN405" t="str">
        <f>VLOOKUP(D405,'Table corresp.'!$M$4:$U$63,9,FALSE)</f>
        <v>Production intermédiaire</v>
      </c>
    </row>
    <row r="406" spans="1:40" x14ac:dyDescent="0.25">
      <c r="A406" t="s">
        <v>81</v>
      </c>
      <c r="B406" t="str">
        <f>VLOOKUP(LEFT(A406,3),'Table corresp.'!$A$4:$D$63,3,FALSE)</f>
        <v>Transformation</v>
      </c>
      <c r="C406" t="str">
        <f>VLOOKUP(A406,'Table corresp.'!$M$4:$P$63,4,FALSE)</f>
        <v>Production et transformation de produits bois</v>
      </c>
      <c r="D406" t="s">
        <v>5</v>
      </c>
      <c r="E406" t="str">
        <f>VLOOKUP(LEFT(D406,3),'Table corresp.'!$A$4:$D$63,4,FALSE)</f>
        <v>Transformation</v>
      </c>
      <c r="F406" t="str">
        <f t="shared" si="48"/>
        <v xml:space="preserve">05  - 09 </v>
      </c>
      <c r="G406" s="3">
        <v>11179.917254857095</v>
      </c>
      <c r="H406" s="3">
        <v>0</v>
      </c>
      <c r="I406" s="3">
        <v>11179.917277986344</v>
      </c>
      <c r="J406" s="3">
        <v>0</v>
      </c>
      <c r="K406" s="3">
        <v>0</v>
      </c>
      <c r="L406" s="3">
        <v>0</v>
      </c>
      <c r="M406" s="3">
        <v>0</v>
      </c>
      <c r="N406" s="3">
        <v>0</v>
      </c>
      <c r="O406" s="3">
        <v>0</v>
      </c>
      <c r="P406" s="3">
        <v>0</v>
      </c>
      <c r="Q406" s="3">
        <v>0</v>
      </c>
      <c r="R406" s="3">
        <v>0</v>
      </c>
      <c r="S406" s="67"/>
      <c r="T406">
        <f>VLOOKUP(A406,'Groupe de branches'!$Z$27:$AM$86,14,FALSE)</f>
        <v>0</v>
      </c>
      <c r="U406">
        <f>VLOOKUP(D406,'Groupe de branches'!$Z$27:$AM$86,14,FALSE)</f>
        <v>0</v>
      </c>
      <c r="V406">
        <v>2017</v>
      </c>
      <c r="W406">
        <f>VLOOKUP(D406,'Table corresp.'!$M$4:$S$63,7,FALSE)</f>
        <v>0</v>
      </c>
      <c r="X406" s="167">
        <f>IFERROR(G406/SUMIFS('Comp2016-2017 (3)'!$I$5:$I$289,'Comp2016-2017 (3)'!$A$5:$A$289,A406,'Comp2016-2017 (3)'!$R$5:$R$289,V406),0)</f>
        <v>9.8939819113162755E-3</v>
      </c>
      <c r="Y406" s="190">
        <f>IFERROR(IF(RIGHT(F406,3)="Exp",VLOOKUP(F406,#REF!,2,FALSE),VLOOKUP(F406,#REF!,9,FALSE)),1)</f>
        <v>1</v>
      </c>
      <c r="Z406" s="167">
        <f t="shared" si="51"/>
        <v>5.2631578947368418E-2</v>
      </c>
      <c r="AA406" s="189">
        <f t="shared" si="50"/>
        <v>5.2073589006927765E-4</v>
      </c>
      <c r="AB406" s="2">
        <f>IFERROR(SUMIFS('Comp2016-2017 (3)'!$G$5:$G$289,'Comp2016-2017 (3)'!$A$5:$A$289,A406,'Comp2016-2017 (3)'!$R$5:$R$289,V406)*AA406/SUMIFS($AA$4:$AA$1116,$A$4:$A$1116,A406,$V$4:$V$1116,V406),0)</f>
        <v>8106.6105506153381</v>
      </c>
      <c r="AC406" s="2">
        <f>IF($W406=AC$3,$AB406,IF(NOT($W406=0),"",SUMIFS('Val-Vol (2)'!AC$4:AC$1116,'Val-Vol (2)'!$A$4:$A$1116,$D406,'Val-Vol (2)'!$V$4:$V$1116,$V406)/SUMIFS('Comp2016-2017 (3)'!$G$5:$G$289,'Comp2016-2017 (3)'!$A$5:$A$289,$D406,'Comp2016-2017 (3)'!$R$5:$R$289,$V406)*$AB406))</f>
        <v>2988.670798275135</v>
      </c>
      <c r="AD406" s="2">
        <f>IF($W406=AD$3,$AB406,IF(NOT($W406=0),"",SUMIFS('Val-Vol (2)'!AD$4:AD$1116,'Val-Vol (2)'!$A$4:$A$1116,$D406,'Val-Vol (2)'!$V$4:$V$1116,$V406)/SUMIFS('Comp2016-2017 (3)'!$G$5:$G$289,'Comp2016-2017 (3)'!$A$5:$A$289,$D406,'Comp2016-2017 (3)'!$R$5:$R$289,$V406)*$AB406))</f>
        <v>2508.4586290045731</v>
      </c>
      <c r="AE406" s="2">
        <f>IF($W406=AE$3,$AB406,IF(NOT($W406=0),"",SUMIFS('Val-Vol (2)'!AE$4:AE$1116,'Val-Vol (2)'!$A$4:$A$1116,$D406,'Val-Vol (2)'!$V$4:$V$1116,$V406)/SUMIFS('Comp2016-2017 (3)'!$G$5:$G$289,'Comp2016-2017 (3)'!$A$5:$A$289,$D406,'Comp2016-2017 (3)'!$R$5:$R$289,$V406)*$AB406))</f>
        <v>22.434741179435736</v>
      </c>
      <c r="AF406" s="2">
        <f>IF($W406=AF$3,$AB406,IF(NOT($W406=0),"",SUMIFS('Val-Vol (2)'!AF$4:AF$1116,'Val-Vol (2)'!$A$4:$A$1116,$D406,'Val-Vol (2)'!$V$4:$V$1116,$V406)/SUMIFS('Comp2016-2017 (3)'!$G$5:$G$289,'Comp2016-2017 (3)'!$A$5:$A$289,$D406,'Comp2016-2017 (3)'!$R$5:$R$289,$V406)*$AB406))</f>
        <v>0</v>
      </c>
      <c r="AG406" s="2">
        <f>IF($W406=AG$3,$AB406,IF(NOT($W406=0),"",SUMIFS('Val-Vol (2)'!AG$4:AG$1116,'Val-Vol (2)'!$A$4:$A$1116,$D406,'Val-Vol (2)'!$V$4:$V$1116,$V406)/SUMIFS('Comp2016-2017 (3)'!$G$5:$G$289,'Comp2016-2017 (3)'!$A$5:$A$289,$D406,'Comp2016-2017 (3)'!$R$5:$R$289,$V406)*$AB406))</f>
        <v>1053.4442488237498</v>
      </c>
      <c r="AH406" s="2">
        <f>IF($W406=AH$3,$AB406,IF(NOT($W406=0),"",SUMIFS('Val-Vol (2)'!AH$4:AH$1116,'Val-Vol (2)'!$A$4:$A$1116,$D406,'Val-Vol (2)'!$V$4:$V$1116,$V406)/SUMIFS('Comp2016-2017 (3)'!$G$5:$G$289,'Comp2016-2017 (3)'!$A$5:$A$289,$D406,'Comp2016-2017 (3)'!$R$5:$R$289,$V406)*$AB406))</f>
        <v>0</v>
      </c>
      <c r="AI406" s="2">
        <f>IF($W406=AI$3,$AB406,IF(NOT($W406=0),"",SUMIFS('Val-Vol (2)'!AI$4:AI$1116,'Val-Vol (2)'!$A$4:$A$1116,$D406,'Val-Vol (2)'!$V$4:$V$1116,$V406)/SUMIFS('Comp2016-2017 (3)'!$G$5:$G$289,'Comp2016-2017 (3)'!$A$5:$A$289,$D406,'Comp2016-2017 (3)'!$R$5:$R$289,$V406)*$AB406))</f>
        <v>1458.112915362866</v>
      </c>
      <c r="AJ406" s="2">
        <f>IF($W406=AJ$3,$AB406,IF(NOT($W406=0),"",SUMIFS('Val-Vol (2)'!AJ$4:AJ$1116,'Val-Vol (2)'!$A$4:$A$1116,$D406,'Val-Vol (2)'!$V$4:$V$1116,$V406)/SUMIFS('Comp2016-2017 (3)'!$G$5:$G$289,'Comp2016-2017 (3)'!$A$5:$A$289,$D406,'Comp2016-2017 (3)'!$R$5:$R$289,$V406)*$AB406))</f>
        <v>75.489217969578291</v>
      </c>
      <c r="AK406" s="2">
        <f t="shared" si="47"/>
        <v>0</v>
      </c>
      <c r="AL406" t="str">
        <f t="shared" si="49"/>
        <v/>
      </c>
      <c r="AM406" t="str">
        <f>VLOOKUP(A406,'Table corresp.'!$M$4:$U$63,8,FALSE)</f>
        <v>Production intermédiaire</v>
      </c>
      <c r="AN406" t="str">
        <f>VLOOKUP(D406,'Table corresp.'!$M$4:$U$63,9,FALSE)</f>
        <v>Production intermédiaire</v>
      </c>
    </row>
    <row r="407" spans="1:40" x14ac:dyDescent="0.25">
      <c r="A407" t="s">
        <v>81</v>
      </c>
      <c r="B407" t="str">
        <f>VLOOKUP(LEFT(A407,3),'Table corresp.'!$A$4:$D$63,3,FALSE)</f>
        <v>Transformation</v>
      </c>
      <c r="C407" t="str">
        <f>VLOOKUP(A407,'Table corresp.'!$M$4:$P$63,4,FALSE)</f>
        <v>Production et transformation de produits bois</v>
      </c>
      <c r="D407" t="s">
        <v>82</v>
      </c>
      <c r="E407" t="str">
        <f>VLOOKUP(LEFT(D407,3),'Table corresp.'!$A$4:$D$63,4,FALSE)</f>
        <v>Transformation</v>
      </c>
      <c r="F407" t="str">
        <f t="shared" si="48"/>
        <v xml:space="preserve">05  - 10 </v>
      </c>
      <c r="G407" s="3">
        <v>9021.4010024300005</v>
      </c>
      <c r="H407" s="3">
        <v>0</v>
      </c>
      <c r="I407" s="3">
        <v>9021.4010210936667</v>
      </c>
      <c r="J407" s="3">
        <v>0</v>
      </c>
      <c r="K407" s="3">
        <v>0</v>
      </c>
      <c r="L407" s="3">
        <v>0</v>
      </c>
      <c r="M407" s="3">
        <v>0</v>
      </c>
      <c r="N407" s="3">
        <v>0</v>
      </c>
      <c r="O407" s="3">
        <v>0</v>
      </c>
      <c r="P407" s="3">
        <v>0</v>
      </c>
      <c r="Q407" s="3">
        <v>0</v>
      </c>
      <c r="R407" s="3">
        <v>0</v>
      </c>
      <c r="S407" s="67"/>
      <c r="T407">
        <f>VLOOKUP(A407,'Groupe de branches'!$Z$27:$AM$86,14,FALSE)</f>
        <v>0</v>
      </c>
      <c r="U407">
        <f>VLOOKUP(D407,'Groupe de branches'!$Z$27:$AM$86,14,FALSE)</f>
        <v>0</v>
      </c>
      <c r="V407">
        <v>2017</v>
      </c>
      <c r="W407">
        <f>VLOOKUP(D407,'Table corresp.'!$M$4:$S$63,7,FALSE)</f>
        <v>0</v>
      </c>
      <c r="X407" s="167">
        <f>IFERROR(G407/SUMIFS('Comp2016-2017 (3)'!$I$5:$I$289,'Comp2016-2017 (3)'!$A$5:$A$289,A407,'Comp2016-2017 (3)'!$R$5:$R$289,V407),0)</f>
        <v>7.9837423031011382E-3</v>
      </c>
      <c r="Y407" s="190">
        <f>IFERROR(IF(RIGHT(F407,3)="Exp",VLOOKUP(F407,#REF!,2,FALSE),VLOOKUP(F407,#REF!,9,FALSE)),1)</f>
        <v>1</v>
      </c>
      <c r="Z407" s="167">
        <f t="shared" si="51"/>
        <v>5.2631578947368418E-2</v>
      </c>
      <c r="AA407" s="189">
        <f t="shared" si="50"/>
        <v>4.2019696332111251E-4</v>
      </c>
      <c r="AB407" s="2">
        <f>IFERROR(SUMIFS('Comp2016-2017 (3)'!$G$5:$G$289,'Comp2016-2017 (3)'!$A$5:$A$289,A407,'Comp2016-2017 (3)'!$R$5:$R$289,V407)*AA407/SUMIFS($AA$4:$AA$1116,$A$4:$A$1116,A407,$V$4:$V$1116,V407),0)</f>
        <v>6541.4602702768962</v>
      </c>
      <c r="AC407" s="2">
        <f>IF($W407=AC$3,$AB407,IF(NOT($W407=0),"",SUMIFS('Val-Vol (2)'!AC$4:AC$1116,'Val-Vol (2)'!$A$4:$A$1116,$D407,'Val-Vol (2)'!$V$4:$V$1116,$V407)/SUMIFS('Comp2016-2017 (3)'!$G$5:$G$289,'Comp2016-2017 (3)'!$A$5:$A$289,$D407,'Comp2016-2017 (3)'!$R$5:$R$289,$V407)*$AB407))</f>
        <v>1214.9975767260571</v>
      </c>
      <c r="AD407" s="2">
        <f>IF($W407=AD$3,$AB407,IF(NOT($W407=0),"",SUMIFS('Val-Vol (2)'!AD$4:AD$1116,'Val-Vol (2)'!$A$4:$A$1116,$D407,'Val-Vol (2)'!$V$4:$V$1116,$V407)/SUMIFS('Comp2016-2017 (3)'!$G$5:$G$289,'Comp2016-2017 (3)'!$A$5:$A$289,$D407,'Comp2016-2017 (3)'!$R$5:$R$289,$V407)*$AB407))</f>
        <v>1826.353242593116</v>
      </c>
      <c r="AE407" s="2">
        <f>IF($W407=AE$3,$AB407,IF(NOT($W407=0),"",SUMIFS('Val-Vol (2)'!AE$4:AE$1116,'Val-Vol (2)'!$A$4:$A$1116,$D407,'Val-Vol (2)'!$V$4:$V$1116,$V407)/SUMIFS('Comp2016-2017 (3)'!$G$5:$G$289,'Comp2016-2017 (3)'!$A$5:$A$289,$D407,'Comp2016-2017 (3)'!$R$5:$R$289,$V407)*$AB407))</f>
        <v>369.38251922764744</v>
      </c>
      <c r="AF407" s="2">
        <f>IF($W407=AF$3,$AB407,IF(NOT($W407=0),"",SUMIFS('Val-Vol (2)'!AF$4:AF$1116,'Val-Vol (2)'!$A$4:$A$1116,$D407,'Val-Vol (2)'!$V$4:$V$1116,$V407)/SUMIFS('Comp2016-2017 (3)'!$G$5:$G$289,'Comp2016-2017 (3)'!$A$5:$A$289,$D407,'Comp2016-2017 (3)'!$R$5:$R$289,$V407)*$AB407))</f>
        <v>0</v>
      </c>
      <c r="AG407" s="2">
        <f>IF($W407=AG$3,$AB407,IF(NOT($W407=0),"",SUMIFS('Val-Vol (2)'!AG$4:AG$1116,'Val-Vol (2)'!$A$4:$A$1116,$D407,'Val-Vol (2)'!$V$4:$V$1116,$V407)/SUMIFS('Comp2016-2017 (3)'!$G$5:$G$289,'Comp2016-2017 (3)'!$A$5:$A$289,$D407,'Comp2016-2017 (3)'!$R$5:$R$289,$V407)*$AB407))</f>
        <v>1399.594884320547</v>
      </c>
      <c r="AH407" s="2">
        <f>IF($W407=AH$3,$AB407,IF(NOT($W407=0),"",SUMIFS('Val-Vol (2)'!AH$4:AH$1116,'Val-Vol (2)'!$A$4:$A$1116,$D407,'Val-Vol (2)'!$V$4:$V$1116,$V407)/SUMIFS('Comp2016-2017 (3)'!$G$5:$G$289,'Comp2016-2017 (3)'!$A$5:$A$289,$D407,'Comp2016-2017 (3)'!$R$5:$R$289,$V407)*$AB407))</f>
        <v>0</v>
      </c>
      <c r="AI407" s="2">
        <f>IF($W407=AI$3,$AB407,IF(NOT($W407=0),"",SUMIFS('Val-Vol (2)'!AI$4:AI$1116,'Val-Vol (2)'!$A$4:$A$1116,$D407,'Val-Vol (2)'!$V$4:$V$1116,$V407)/SUMIFS('Comp2016-2017 (3)'!$G$5:$G$289,'Comp2016-2017 (3)'!$A$5:$A$289,$D407,'Comp2016-2017 (3)'!$R$5:$R$289,$V407)*$AB407))</f>
        <v>1567.8657319213921</v>
      </c>
      <c r="AJ407" s="2">
        <f>IF($W407=AJ$3,$AB407,IF(NOT($W407=0),"",SUMIFS('Val-Vol (2)'!AJ$4:AJ$1116,'Val-Vol (2)'!$A$4:$A$1116,$D407,'Val-Vol (2)'!$V$4:$V$1116,$V407)/SUMIFS('Comp2016-2017 (3)'!$G$5:$G$289,'Comp2016-2017 (3)'!$A$5:$A$289,$D407,'Comp2016-2017 (3)'!$R$5:$R$289,$V407)*$AB407))</f>
        <v>163.26631548813614</v>
      </c>
      <c r="AK407" s="2">
        <f t="shared" si="47"/>
        <v>0</v>
      </c>
      <c r="AL407" t="str">
        <f t="shared" si="49"/>
        <v/>
      </c>
      <c r="AM407" t="str">
        <f>VLOOKUP(A407,'Table corresp.'!$M$4:$U$63,8,FALSE)</f>
        <v>Production intermédiaire</v>
      </c>
      <c r="AN407" t="str">
        <f>VLOOKUP(D407,'Table corresp.'!$M$4:$U$63,9,FALSE)</f>
        <v>Production intermédiaire</v>
      </c>
    </row>
    <row r="408" spans="1:40" x14ac:dyDescent="0.25">
      <c r="A408" t="s">
        <v>81</v>
      </c>
      <c r="B408" t="str">
        <f>VLOOKUP(LEFT(A408,3),'Table corresp.'!$A$4:$D$63,3,FALSE)</f>
        <v>Transformation</v>
      </c>
      <c r="C408" t="str">
        <f>VLOOKUP(A408,'Table corresp.'!$M$4:$P$63,4,FALSE)</f>
        <v>Production et transformation de produits bois</v>
      </c>
      <c r="D408" t="s">
        <v>7</v>
      </c>
      <c r="E408" t="str">
        <f>VLOOKUP(LEFT(D408,3),'Table corresp.'!$A$4:$D$63,4,FALSE)</f>
        <v>Transformation</v>
      </c>
      <c r="F408" t="str">
        <f t="shared" si="48"/>
        <v xml:space="preserve">05  - 12 </v>
      </c>
      <c r="G408" s="3">
        <v>102196.00886305845</v>
      </c>
      <c r="H408" s="3">
        <v>0</v>
      </c>
      <c r="I408" s="3">
        <v>102196.00907448371</v>
      </c>
      <c r="J408" s="3">
        <v>0</v>
      </c>
      <c r="K408" s="3">
        <v>0</v>
      </c>
      <c r="L408" s="3">
        <v>0</v>
      </c>
      <c r="M408" s="3">
        <v>0</v>
      </c>
      <c r="N408" s="3">
        <v>0</v>
      </c>
      <c r="O408" s="3">
        <v>0</v>
      </c>
      <c r="P408" s="3">
        <v>0</v>
      </c>
      <c r="Q408" s="3">
        <v>0</v>
      </c>
      <c r="R408" s="3">
        <v>0</v>
      </c>
      <c r="S408" s="67"/>
      <c r="T408">
        <f>VLOOKUP(A408,'Groupe de branches'!$Z$27:$AM$86,14,FALSE)</f>
        <v>0</v>
      </c>
      <c r="U408">
        <f>VLOOKUP(D408,'Groupe de branches'!$Z$27:$AM$86,14,FALSE)</f>
        <v>0</v>
      </c>
      <c r="V408">
        <v>2017</v>
      </c>
      <c r="W408">
        <f>VLOOKUP(D408,'Table corresp.'!$M$4:$S$63,7,FALSE)</f>
        <v>0</v>
      </c>
      <c r="X408" s="167">
        <f>IFERROR(G408/SUMIFS('Comp2016-2017 (3)'!$I$5:$I$289,'Comp2016-2017 (3)'!$A$5:$A$289,A408,'Comp2016-2017 (3)'!$R$5:$R$289,V408),0)</f>
        <v>9.0441229577127372E-2</v>
      </c>
      <c r="Y408" s="190">
        <f>IFERROR(IF(RIGHT(F408,3)="Exp",VLOOKUP(F408,#REF!,2,FALSE),VLOOKUP(F408,#REF!,9,FALSE)),1)</f>
        <v>1</v>
      </c>
      <c r="Z408" s="167">
        <f t="shared" si="51"/>
        <v>5.2631578947368418E-2</v>
      </c>
      <c r="AA408" s="189">
        <f t="shared" si="50"/>
        <v>4.7600647145856507E-3</v>
      </c>
      <c r="AB408" s="2">
        <f>IFERROR(SUMIFS('Comp2016-2017 (3)'!$G$5:$G$289,'Comp2016-2017 (3)'!$A$5:$A$289,A408,'Comp2016-2017 (3)'!$R$5:$R$289,V408)*AA408/SUMIFS($AA$4:$AA$1116,$A$4:$A$1116,A408,$V$4:$V$1116,V408),0)</f>
        <v>74102.806379906251</v>
      </c>
      <c r="AC408" s="2">
        <f>IF($W408=AC$3,$AB408,IF(NOT($W408=0),"",SUMIFS('Val-Vol (2)'!AC$4:AC$1116,'Val-Vol (2)'!$A$4:$A$1116,$D408,'Val-Vol (2)'!$V$4:$V$1116,$V408)/SUMIFS('Comp2016-2017 (3)'!$G$5:$G$289,'Comp2016-2017 (3)'!$A$5:$A$289,$D408,'Comp2016-2017 (3)'!$R$5:$R$289,$V408)*$AB408))</f>
        <v>4594.9224521651458</v>
      </c>
      <c r="AD408" s="2">
        <f>IF($W408=AD$3,$AB408,IF(NOT($W408=0),"",SUMIFS('Val-Vol (2)'!AD$4:AD$1116,'Val-Vol (2)'!$A$4:$A$1116,$D408,'Val-Vol (2)'!$V$4:$V$1116,$V408)/SUMIFS('Comp2016-2017 (3)'!$G$5:$G$289,'Comp2016-2017 (3)'!$A$5:$A$289,$D408,'Comp2016-2017 (3)'!$R$5:$R$289,$V408)*$AB408))</f>
        <v>47151.4272256162</v>
      </c>
      <c r="AE408" s="2">
        <f>IF($W408=AE$3,$AB408,IF(NOT($W408=0),"",SUMIFS('Val-Vol (2)'!AE$4:AE$1116,'Val-Vol (2)'!$A$4:$A$1116,$D408,'Val-Vol (2)'!$V$4:$V$1116,$V408)/SUMIFS('Comp2016-2017 (3)'!$G$5:$G$289,'Comp2016-2017 (3)'!$A$5:$A$289,$D408,'Comp2016-2017 (3)'!$R$5:$R$289,$V408)*$AB408))</f>
        <v>1435.5907380958606</v>
      </c>
      <c r="AF408" s="2">
        <f>IF($W408=AF$3,$AB408,IF(NOT($W408=0),"",SUMIFS('Val-Vol (2)'!AF$4:AF$1116,'Val-Vol (2)'!$A$4:$A$1116,$D408,'Val-Vol (2)'!$V$4:$V$1116,$V408)/SUMIFS('Comp2016-2017 (3)'!$G$5:$G$289,'Comp2016-2017 (3)'!$A$5:$A$289,$D408,'Comp2016-2017 (3)'!$R$5:$R$289,$V408)*$AB408))</f>
        <v>0</v>
      </c>
      <c r="AG408" s="2">
        <f>IF($W408=AG$3,$AB408,IF(NOT($W408=0),"",SUMIFS('Val-Vol (2)'!AG$4:AG$1116,'Val-Vol (2)'!$A$4:$A$1116,$D408,'Val-Vol (2)'!$V$4:$V$1116,$V408)/SUMIFS('Comp2016-2017 (3)'!$G$5:$G$289,'Comp2016-2017 (3)'!$A$5:$A$289,$D408,'Comp2016-2017 (3)'!$R$5:$R$289,$V408)*$AB408))</f>
        <v>9239.5824354631077</v>
      </c>
      <c r="AH408" s="2">
        <f>IF($W408=AH$3,$AB408,IF(NOT($W408=0),"",SUMIFS('Val-Vol (2)'!AH$4:AH$1116,'Val-Vol (2)'!$A$4:$A$1116,$D408,'Val-Vol (2)'!$V$4:$V$1116,$V408)/SUMIFS('Comp2016-2017 (3)'!$G$5:$G$289,'Comp2016-2017 (3)'!$A$5:$A$289,$D408,'Comp2016-2017 (3)'!$R$5:$R$289,$V408)*$AB408))</f>
        <v>0</v>
      </c>
      <c r="AI408" s="2">
        <f>IF($W408=AI$3,$AB408,IF(NOT($W408=0),"",SUMIFS('Val-Vol (2)'!AI$4:AI$1116,'Val-Vol (2)'!$A$4:$A$1116,$D408,'Val-Vol (2)'!$V$4:$V$1116,$V408)/SUMIFS('Comp2016-2017 (3)'!$G$5:$G$289,'Comp2016-2017 (3)'!$A$5:$A$289,$D408,'Comp2016-2017 (3)'!$R$5:$R$289,$V408)*$AB408))</f>
        <v>2312.2818747326892</v>
      </c>
      <c r="AJ408" s="2">
        <f>IF($W408=AJ$3,$AB408,IF(NOT($W408=0),"",SUMIFS('Val-Vol (2)'!AJ$4:AJ$1116,'Val-Vol (2)'!$A$4:$A$1116,$D408,'Val-Vol (2)'!$V$4:$V$1116,$V408)/SUMIFS('Comp2016-2017 (3)'!$G$5:$G$289,'Comp2016-2017 (3)'!$A$5:$A$289,$D408,'Comp2016-2017 (3)'!$R$5:$R$289,$V408)*$AB408))</f>
        <v>9369.0016538332638</v>
      </c>
      <c r="AK408" s="2">
        <f t="shared" si="47"/>
        <v>0</v>
      </c>
      <c r="AL408" t="str">
        <f t="shared" si="49"/>
        <v/>
      </c>
      <c r="AM408" t="str">
        <f>VLOOKUP(A408,'Table corresp.'!$M$4:$U$63,8,FALSE)</f>
        <v>Production intermédiaire</v>
      </c>
      <c r="AN408" t="str">
        <f>VLOOKUP(D408,'Table corresp.'!$M$4:$U$63,9,FALSE)</f>
        <v>Production intermédiaire</v>
      </c>
    </row>
    <row r="409" spans="1:40" x14ac:dyDescent="0.25">
      <c r="A409" t="s">
        <v>81</v>
      </c>
      <c r="B409" t="str">
        <f>VLOOKUP(LEFT(A409,3),'Table corresp.'!$A$4:$D$63,3,FALSE)</f>
        <v>Transformation</v>
      </c>
      <c r="C409" t="str">
        <f>VLOOKUP(A409,'Table corresp.'!$M$4:$P$63,4,FALSE)</f>
        <v>Production et transformation de produits bois</v>
      </c>
      <c r="D409" t="s">
        <v>8</v>
      </c>
      <c r="E409" t="str">
        <f>VLOOKUP(LEFT(D409,3),'Table corresp.'!$A$4:$D$63,4,FALSE)</f>
        <v>Transformation</v>
      </c>
      <c r="F409" t="str">
        <f t="shared" si="48"/>
        <v xml:space="preserve">05  - 13 </v>
      </c>
      <c r="G409" s="3">
        <v>29771.505301890244</v>
      </c>
      <c r="H409" s="3">
        <v>0</v>
      </c>
      <c r="I409" s="3">
        <v>29771.505363482163</v>
      </c>
      <c r="J409" s="3">
        <v>0</v>
      </c>
      <c r="K409" s="3">
        <v>0</v>
      </c>
      <c r="L409" s="3">
        <v>0</v>
      </c>
      <c r="M409" s="3">
        <v>0</v>
      </c>
      <c r="N409" s="3">
        <v>0</v>
      </c>
      <c r="O409" s="3">
        <v>0</v>
      </c>
      <c r="P409" s="3">
        <v>0</v>
      </c>
      <c r="Q409" s="3">
        <v>0</v>
      </c>
      <c r="R409" s="3">
        <v>0</v>
      </c>
      <c r="S409" s="67"/>
      <c r="T409">
        <f>VLOOKUP(A409,'Groupe de branches'!$Z$27:$AM$86,14,FALSE)</f>
        <v>0</v>
      </c>
      <c r="U409">
        <f>VLOOKUP(D409,'Groupe de branches'!$Z$27:$AM$86,14,FALSE)</f>
        <v>0</v>
      </c>
      <c r="V409">
        <v>2017</v>
      </c>
      <c r="W409">
        <f>VLOOKUP(D409,'Table corresp.'!$M$4:$S$63,7,FALSE)</f>
        <v>0</v>
      </c>
      <c r="X409" s="167">
        <f>IFERROR(G409/SUMIFS('Comp2016-2017 (3)'!$I$5:$I$289,'Comp2016-2017 (3)'!$A$5:$A$289,A409,'Comp2016-2017 (3)'!$R$5:$R$289,V409),0)</f>
        <v>2.6347130145492639E-2</v>
      </c>
      <c r="Y409" s="190">
        <f>IFERROR(IF(RIGHT(F409,3)="Exp",VLOOKUP(F409,#REF!,2,FALSE),VLOOKUP(F409,#REF!,9,FALSE)),1)</f>
        <v>1</v>
      </c>
      <c r="Z409" s="167">
        <f t="shared" si="51"/>
        <v>5.2631578947368418E-2</v>
      </c>
      <c r="AA409" s="189">
        <f t="shared" si="50"/>
        <v>1.3866910602890862E-3</v>
      </c>
      <c r="AB409" s="2">
        <f>IFERROR(SUMIFS('Comp2016-2017 (3)'!$G$5:$G$289,'Comp2016-2017 (3)'!$A$5:$A$289,A409,'Comp2016-2017 (3)'!$R$5:$R$289,V409)*AA409/SUMIFS($AA$4:$AA$1116,$A$4:$A$1116,A409,$V$4:$V$1116,V409),0)</f>
        <v>21587.458429815444</v>
      </c>
      <c r="AC409" s="2">
        <f>IF($W409=AC$3,$AB409,IF(NOT($W409=0),"",SUMIFS('Val-Vol (2)'!AC$4:AC$1116,'Val-Vol (2)'!$A$4:$A$1116,$D409,'Val-Vol (2)'!$V$4:$V$1116,$V409)/SUMIFS('Comp2016-2017 (3)'!$G$5:$G$289,'Comp2016-2017 (3)'!$A$5:$A$289,$D409,'Comp2016-2017 (3)'!$R$5:$R$289,$V409)*$AB409))</f>
        <v>2999.1973536939095</v>
      </c>
      <c r="AD409" s="2">
        <f>IF($W409=AD$3,$AB409,IF(NOT($W409=0),"",SUMIFS('Val-Vol (2)'!AD$4:AD$1116,'Val-Vol (2)'!$A$4:$A$1116,$D409,'Val-Vol (2)'!$V$4:$V$1116,$V409)/SUMIFS('Comp2016-2017 (3)'!$G$5:$G$289,'Comp2016-2017 (3)'!$A$5:$A$289,$D409,'Comp2016-2017 (3)'!$R$5:$R$289,$V409)*$AB409))</f>
        <v>5892.5024870485377</v>
      </c>
      <c r="AE409" s="2">
        <f>IF($W409=AE$3,$AB409,IF(NOT($W409=0),"",SUMIFS('Val-Vol (2)'!AE$4:AE$1116,'Val-Vol (2)'!$A$4:$A$1116,$D409,'Val-Vol (2)'!$V$4:$V$1116,$V409)/SUMIFS('Comp2016-2017 (3)'!$G$5:$G$289,'Comp2016-2017 (3)'!$A$5:$A$289,$D409,'Comp2016-2017 (3)'!$R$5:$R$289,$V409)*$AB409))</f>
        <v>1.1179956068162933</v>
      </c>
      <c r="AF409" s="2">
        <f>IF($W409=AF$3,$AB409,IF(NOT($W409=0),"",SUMIFS('Val-Vol (2)'!AF$4:AF$1116,'Val-Vol (2)'!$A$4:$A$1116,$D409,'Val-Vol (2)'!$V$4:$V$1116,$V409)/SUMIFS('Comp2016-2017 (3)'!$G$5:$G$289,'Comp2016-2017 (3)'!$A$5:$A$289,$D409,'Comp2016-2017 (3)'!$R$5:$R$289,$V409)*$AB409))</f>
        <v>0</v>
      </c>
      <c r="AG409" s="2">
        <f>IF($W409=AG$3,$AB409,IF(NOT($W409=0),"",SUMIFS('Val-Vol (2)'!AG$4:AG$1116,'Val-Vol (2)'!$A$4:$A$1116,$D409,'Val-Vol (2)'!$V$4:$V$1116,$V409)/SUMIFS('Comp2016-2017 (3)'!$G$5:$G$289,'Comp2016-2017 (3)'!$A$5:$A$289,$D409,'Comp2016-2017 (3)'!$R$5:$R$289,$V409)*$AB409))</f>
        <v>4584.7041811315194</v>
      </c>
      <c r="AH409" s="2">
        <f>IF($W409=AH$3,$AB409,IF(NOT($W409=0),"",SUMIFS('Val-Vol (2)'!AH$4:AH$1116,'Val-Vol (2)'!$A$4:$A$1116,$D409,'Val-Vol (2)'!$V$4:$V$1116,$V409)/SUMIFS('Comp2016-2017 (3)'!$G$5:$G$289,'Comp2016-2017 (3)'!$A$5:$A$289,$D409,'Comp2016-2017 (3)'!$R$5:$R$289,$V409)*$AB409))</f>
        <v>0</v>
      </c>
      <c r="AI409" s="2">
        <f>IF($W409=AI$3,$AB409,IF(NOT($W409=0),"",SUMIFS('Val-Vol (2)'!AI$4:AI$1116,'Val-Vol (2)'!$A$4:$A$1116,$D409,'Val-Vol (2)'!$V$4:$V$1116,$V409)/SUMIFS('Comp2016-2017 (3)'!$G$5:$G$289,'Comp2016-2017 (3)'!$A$5:$A$289,$D409,'Comp2016-2017 (3)'!$R$5:$R$289,$V409)*$AB409))</f>
        <v>0</v>
      </c>
      <c r="AJ409" s="2">
        <f>IF($W409=AJ$3,$AB409,IF(NOT($W409=0),"",SUMIFS('Val-Vol (2)'!AJ$4:AJ$1116,'Val-Vol (2)'!$A$4:$A$1116,$D409,'Val-Vol (2)'!$V$4:$V$1116,$V409)/SUMIFS('Comp2016-2017 (3)'!$G$5:$G$289,'Comp2016-2017 (3)'!$A$5:$A$289,$D409,'Comp2016-2017 (3)'!$R$5:$R$289,$V409)*$AB409))</f>
        <v>8109.9364123346568</v>
      </c>
      <c r="AK409" s="2">
        <f t="shared" si="47"/>
        <v>0</v>
      </c>
      <c r="AL409" t="str">
        <f t="shared" si="49"/>
        <v/>
      </c>
      <c r="AM409" t="str">
        <f>VLOOKUP(A409,'Table corresp.'!$M$4:$U$63,8,FALSE)</f>
        <v>Production intermédiaire</v>
      </c>
      <c r="AN409" t="str">
        <f>VLOOKUP(D409,'Table corresp.'!$M$4:$U$63,9,FALSE)</f>
        <v>Production intermédiaire</v>
      </c>
    </row>
    <row r="410" spans="1:40" x14ac:dyDescent="0.25">
      <c r="A410" t="s">
        <v>81</v>
      </c>
      <c r="B410" t="str">
        <f>VLOOKUP(LEFT(A410,3),'Table corresp.'!$A$4:$D$63,3,FALSE)</f>
        <v>Transformation</v>
      </c>
      <c r="C410" t="str">
        <f>VLOOKUP(A410,'Table corresp.'!$M$4:$P$63,4,FALSE)</f>
        <v>Production et transformation de produits bois</v>
      </c>
      <c r="D410" t="s">
        <v>83</v>
      </c>
      <c r="E410" t="str">
        <f>VLOOKUP(LEFT(D410,3),'Table corresp.'!$A$4:$D$63,4,FALSE)</f>
        <v>Transformation</v>
      </c>
      <c r="F410" t="str">
        <f t="shared" si="48"/>
        <v xml:space="preserve">05  - 14 </v>
      </c>
      <c r="G410" s="3">
        <v>17751.987886352552</v>
      </c>
      <c r="H410" s="3">
        <v>0</v>
      </c>
      <c r="I410" s="3">
        <v>17751.987923078243</v>
      </c>
      <c r="J410" s="3">
        <v>0</v>
      </c>
      <c r="K410" s="3">
        <v>0</v>
      </c>
      <c r="L410" s="3">
        <v>0</v>
      </c>
      <c r="M410" s="3">
        <v>0</v>
      </c>
      <c r="N410" s="3">
        <v>0</v>
      </c>
      <c r="O410" s="3">
        <v>0</v>
      </c>
      <c r="P410" s="3">
        <v>0</v>
      </c>
      <c r="Q410" s="3">
        <v>0</v>
      </c>
      <c r="R410" s="3">
        <v>0</v>
      </c>
      <c r="S410" s="67"/>
      <c r="T410">
        <f>VLOOKUP(A410,'Groupe de branches'!$Z$27:$AM$86,14,FALSE)</f>
        <v>0</v>
      </c>
      <c r="U410">
        <f>VLOOKUP(D410,'Groupe de branches'!$Z$27:$AM$86,14,FALSE)</f>
        <v>0</v>
      </c>
      <c r="V410">
        <v>2017</v>
      </c>
      <c r="W410">
        <f>VLOOKUP(D410,'Table corresp.'!$M$4:$S$63,7,FALSE)</f>
        <v>0</v>
      </c>
      <c r="X410" s="167">
        <f>IFERROR(G410/SUMIFS('Comp2016-2017 (3)'!$I$5:$I$289,'Comp2016-2017 (3)'!$A$5:$A$289,A410,'Comp2016-2017 (3)'!$R$5:$R$289,V410),0)</f>
        <v>1.5710120480647766E-2</v>
      </c>
      <c r="Y410" s="190">
        <f>IFERROR(IF(RIGHT(F410,3)="Exp",VLOOKUP(F410,#REF!,2,FALSE),VLOOKUP(F410,#REF!,9,FALSE)),1)</f>
        <v>1</v>
      </c>
      <c r="Z410" s="167">
        <f t="shared" si="51"/>
        <v>5.2631578947368418E-2</v>
      </c>
      <c r="AA410" s="189">
        <f t="shared" si="50"/>
        <v>8.2684844634988233E-4</v>
      </c>
      <c r="AB410" s="2">
        <f>IFERROR(SUMIFS('Comp2016-2017 (3)'!$G$5:$G$289,'Comp2016-2017 (3)'!$A$5:$A$289,A410,'Comp2016-2017 (3)'!$R$5:$R$289,V410)*AA410/SUMIFS($AA$4:$AA$1116,$A$4:$A$1116,A410,$V$4:$V$1116,V410),0)</f>
        <v>12872.049856306448</v>
      </c>
      <c r="AC410" s="2">
        <f>IF($W410=AC$3,$AB410,IF(NOT($W410=0),"",SUMIFS('Val-Vol (2)'!AC$4:AC$1116,'Val-Vol (2)'!$A$4:$A$1116,$D410,'Val-Vol (2)'!$V$4:$V$1116,$V410)/SUMIFS('Comp2016-2017 (3)'!$G$5:$G$289,'Comp2016-2017 (3)'!$A$5:$A$289,$D410,'Comp2016-2017 (3)'!$R$5:$R$289,$V410)*$AB410))</f>
        <v>6887.4546346787984</v>
      </c>
      <c r="AD410" s="2">
        <f>IF($W410=AD$3,$AB410,IF(NOT($W410=0),"",SUMIFS('Val-Vol (2)'!AD$4:AD$1116,'Val-Vol (2)'!$A$4:$A$1116,$D410,'Val-Vol (2)'!$V$4:$V$1116,$V410)/SUMIFS('Comp2016-2017 (3)'!$G$5:$G$289,'Comp2016-2017 (3)'!$A$5:$A$289,$D410,'Comp2016-2017 (3)'!$R$5:$R$289,$V410)*$AB410))</f>
        <v>2652.3640405951437</v>
      </c>
      <c r="AE410" s="2">
        <f>IF($W410=AE$3,$AB410,IF(NOT($W410=0),"",SUMIFS('Val-Vol (2)'!AE$4:AE$1116,'Val-Vol (2)'!$A$4:$A$1116,$D410,'Val-Vol (2)'!$V$4:$V$1116,$V410)/SUMIFS('Comp2016-2017 (3)'!$G$5:$G$289,'Comp2016-2017 (3)'!$A$5:$A$289,$D410,'Comp2016-2017 (3)'!$R$5:$R$289,$V410)*$AB410))</f>
        <v>93.603219761144189</v>
      </c>
      <c r="AF410" s="2">
        <f>IF($W410=AF$3,$AB410,IF(NOT($W410=0),"",SUMIFS('Val-Vol (2)'!AF$4:AF$1116,'Val-Vol (2)'!$A$4:$A$1116,$D410,'Val-Vol (2)'!$V$4:$V$1116,$V410)/SUMIFS('Comp2016-2017 (3)'!$G$5:$G$289,'Comp2016-2017 (3)'!$A$5:$A$289,$D410,'Comp2016-2017 (3)'!$R$5:$R$289,$V410)*$AB410))</f>
        <v>0</v>
      </c>
      <c r="AG410" s="2">
        <f>IF($W410=AG$3,$AB410,IF(NOT($W410=0),"",SUMIFS('Val-Vol (2)'!AG$4:AG$1116,'Val-Vol (2)'!$A$4:$A$1116,$D410,'Val-Vol (2)'!$V$4:$V$1116,$V410)/SUMIFS('Comp2016-2017 (3)'!$G$5:$G$289,'Comp2016-2017 (3)'!$A$5:$A$289,$D410,'Comp2016-2017 (3)'!$R$5:$R$289,$V410)*$AB410))</f>
        <v>2924.1012871459516</v>
      </c>
      <c r="AH410" s="2">
        <f>IF($W410=AH$3,$AB410,IF(NOT($W410=0),"",SUMIFS('Val-Vol (2)'!AH$4:AH$1116,'Val-Vol (2)'!$A$4:$A$1116,$D410,'Val-Vol (2)'!$V$4:$V$1116,$V410)/SUMIFS('Comp2016-2017 (3)'!$G$5:$G$289,'Comp2016-2017 (3)'!$A$5:$A$289,$D410,'Comp2016-2017 (3)'!$R$5:$R$289,$V410)*$AB410))</f>
        <v>0</v>
      </c>
      <c r="AI410" s="2">
        <f>IF($W410=AI$3,$AB410,IF(NOT($W410=0),"",SUMIFS('Val-Vol (2)'!AI$4:AI$1116,'Val-Vol (2)'!$A$4:$A$1116,$D410,'Val-Vol (2)'!$V$4:$V$1116,$V410)/SUMIFS('Comp2016-2017 (3)'!$G$5:$G$289,'Comp2016-2017 (3)'!$A$5:$A$289,$D410,'Comp2016-2017 (3)'!$R$5:$R$289,$V410)*$AB410))</f>
        <v>0</v>
      </c>
      <c r="AJ410" s="2">
        <f>IF($W410=AJ$3,$AB410,IF(NOT($W410=0),"",SUMIFS('Val-Vol (2)'!AJ$4:AJ$1116,'Val-Vol (2)'!$A$4:$A$1116,$D410,'Val-Vol (2)'!$V$4:$V$1116,$V410)/SUMIFS('Comp2016-2017 (3)'!$G$5:$G$289,'Comp2016-2017 (3)'!$A$5:$A$289,$D410,'Comp2016-2017 (3)'!$R$5:$R$289,$V410)*$AB410))</f>
        <v>314.5266741254103</v>
      </c>
      <c r="AK410" s="2">
        <f t="shared" si="47"/>
        <v>0</v>
      </c>
      <c r="AL410" t="str">
        <f t="shared" si="49"/>
        <v/>
      </c>
      <c r="AM410" t="str">
        <f>VLOOKUP(A410,'Table corresp.'!$M$4:$U$63,8,FALSE)</f>
        <v>Production intermédiaire</v>
      </c>
      <c r="AN410" t="str">
        <f>VLOOKUP(D410,'Table corresp.'!$M$4:$U$63,9,FALSE)</f>
        <v>Production intermédiaire</v>
      </c>
    </row>
    <row r="411" spans="1:40" x14ac:dyDescent="0.25">
      <c r="A411" t="s">
        <v>81</v>
      </c>
      <c r="B411" t="str">
        <f>VLOOKUP(LEFT(A411,3),'Table corresp.'!$A$4:$D$63,3,FALSE)</f>
        <v>Transformation</v>
      </c>
      <c r="C411" t="str">
        <f>VLOOKUP(A411,'Table corresp.'!$M$4:$P$63,4,FALSE)</f>
        <v>Production et transformation de produits bois</v>
      </c>
      <c r="D411" t="s">
        <v>9</v>
      </c>
      <c r="E411" t="str">
        <f>VLOOKUP(LEFT(D411,3),'Table corresp.'!$A$4:$D$63,4,FALSE)</f>
        <v>Transformation</v>
      </c>
      <c r="F411" t="str">
        <f t="shared" si="48"/>
        <v xml:space="preserve">05  - 15 </v>
      </c>
      <c r="G411" s="3">
        <v>35629.655903282808</v>
      </c>
      <c r="H411" s="3">
        <v>0</v>
      </c>
      <c r="I411" s="3">
        <v>35629.655976994196</v>
      </c>
      <c r="J411" s="3">
        <v>0</v>
      </c>
      <c r="K411" s="3">
        <v>0</v>
      </c>
      <c r="L411" s="3">
        <v>0</v>
      </c>
      <c r="M411" s="3">
        <v>0</v>
      </c>
      <c r="N411" s="3">
        <v>0</v>
      </c>
      <c r="O411" s="3">
        <v>0</v>
      </c>
      <c r="P411" s="3">
        <v>0</v>
      </c>
      <c r="Q411" s="3">
        <v>0</v>
      </c>
      <c r="R411" s="3">
        <v>0</v>
      </c>
      <c r="S411" s="67"/>
      <c r="T411">
        <f>VLOOKUP(A411,'Groupe de branches'!$Z$27:$AM$86,14,FALSE)</f>
        <v>0</v>
      </c>
      <c r="U411">
        <f>VLOOKUP(D411,'Groupe de branches'!$Z$27:$AM$86,14,FALSE)</f>
        <v>0</v>
      </c>
      <c r="V411">
        <v>2017</v>
      </c>
      <c r="W411">
        <f>VLOOKUP(D411,'Table corresp.'!$M$4:$S$63,7,FALSE)</f>
        <v>0</v>
      </c>
      <c r="X411" s="167">
        <f>IFERROR(G411/SUMIFS('Comp2016-2017 (3)'!$I$5:$I$289,'Comp2016-2017 (3)'!$A$5:$A$289,A411,'Comp2016-2017 (3)'!$R$5:$R$289,V411),0)</f>
        <v>3.153146512424785E-2</v>
      </c>
      <c r="Y411" s="190">
        <f>IFERROR(IF(RIGHT(F411,3)="Exp",VLOOKUP(F411,#REF!,2,FALSE),VLOOKUP(F411,#REF!,9,FALSE)),1)</f>
        <v>1</v>
      </c>
      <c r="Z411" s="167">
        <f t="shared" si="51"/>
        <v>5.2631578947368418E-2</v>
      </c>
      <c r="AA411" s="189">
        <f t="shared" si="50"/>
        <v>1.6595507960130446E-3</v>
      </c>
      <c r="AB411" s="2">
        <f>IFERROR(SUMIFS('Comp2016-2017 (3)'!$G$5:$G$289,'Comp2016-2017 (3)'!$A$5:$A$289,A411,'Comp2016-2017 (3)'!$R$5:$R$289,V411)*AA411/SUMIFS($AA$4:$AA$1116,$A$4:$A$1116,A411,$V$4:$V$1116,V411),0)</f>
        <v>25835.230966030835</v>
      </c>
      <c r="AC411" s="2">
        <f>IF($W411=AC$3,$AB411,IF(NOT($W411=0),"",SUMIFS('Val-Vol (2)'!AC$4:AC$1116,'Val-Vol (2)'!$A$4:$A$1116,$D411,'Val-Vol (2)'!$V$4:$V$1116,$V411)/SUMIFS('Comp2016-2017 (3)'!$G$5:$G$289,'Comp2016-2017 (3)'!$A$5:$A$289,$D411,'Comp2016-2017 (3)'!$R$5:$R$289,$V411)*$AB411))</f>
        <v>858.07411846024354</v>
      </c>
      <c r="AD411" s="2">
        <f>IF($W411=AD$3,$AB411,IF(NOT($W411=0),"",SUMIFS('Val-Vol (2)'!AD$4:AD$1116,'Val-Vol (2)'!$A$4:$A$1116,$D411,'Val-Vol (2)'!$V$4:$V$1116,$V411)/SUMIFS('Comp2016-2017 (3)'!$G$5:$G$289,'Comp2016-2017 (3)'!$A$5:$A$289,$D411,'Comp2016-2017 (3)'!$R$5:$R$289,$V411)*$AB411))</f>
        <v>4950.8458923439457</v>
      </c>
      <c r="AE411" s="2">
        <f>IF($W411=AE$3,$AB411,IF(NOT($W411=0),"",SUMIFS('Val-Vol (2)'!AE$4:AE$1116,'Val-Vol (2)'!$A$4:$A$1116,$D411,'Val-Vol (2)'!$V$4:$V$1116,$V411)/SUMIFS('Comp2016-2017 (3)'!$G$5:$G$289,'Comp2016-2017 (3)'!$A$5:$A$289,$D411,'Comp2016-2017 (3)'!$R$5:$R$289,$V411)*$AB411))</f>
        <v>0.55083240720464466</v>
      </c>
      <c r="AF411" s="2">
        <f>IF($W411=AF$3,$AB411,IF(NOT($W411=0),"",SUMIFS('Val-Vol (2)'!AF$4:AF$1116,'Val-Vol (2)'!$A$4:$A$1116,$D411,'Val-Vol (2)'!$V$4:$V$1116,$V411)/SUMIFS('Comp2016-2017 (3)'!$G$5:$G$289,'Comp2016-2017 (3)'!$A$5:$A$289,$D411,'Comp2016-2017 (3)'!$R$5:$R$289,$V411)*$AB411))</f>
        <v>0</v>
      </c>
      <c r="AG411" s="2">
        <f>IF($W411=AG$3,$AB411,IF(NOT($W411=0),"",SUMIFS('Val-Vol (2)'!AG$4:AG$1116,'Val-Vol (2)'!$A$4:$A$1116,$D411,'Val-Vol (2)'!$V$4:$V$1116,$V411)/SUMIFS('Comp2016-2017 (3)'!$G$5:$G$289,'Comp2016-2017 (3)'!$A$5:$A$289,$D411,'Comp2016-2017 (3)'!$R$5:$R$289,$V411)*$AB411))</f>
        <v>12478.751385886862</v>
      </c>
      <c r="AH411" s="2">
        <f>IF($W411=AH$3,$AB411,IF(NOT($W411=0),"",SUMIFS('Val-Vol (2)'!AH$4:AH$1116,'Val-Vol (2)'!$A$4:$A$1116,$D411,'Val-Vol (2)'!$V$4:$V$1116,$V411)/SUMIFS('Comp2016-2017 (3)'!$G$5:$G$289,'Comp2016-2017 (3)'!$A$5:$A$289,$D411,'Comp2016-2017 (3)'!$R$5:$R$289,$V411)*$AB411))</f>
        <v>0</v>
      </c>
      <c r="AI411" s="2">
        <f>IF($W411=AI$3,$AB411,IF(NOT($W411=0),"",SUMIFS('Val-Vol (2)'!AI$4:AI$1116,'Val-Vol (2)'!$A$4:$A$1116,$D411,'Val-Vol (2)'!$V$4:$V$1116,$V411)/SUMIFS('Comp2016-2017 (3)'!$G$5:$G$289,'Comp2016-2017 (3)'!$A$5:$A$289,$D411,'Comp2016-2017 (3)'!$R$5:$R$289,$V411)*$AB411))</f>
        <v>0</v>
      </c>
      <c r="AJ411" s="2">
        <f>IF($W411=AJ$3,$AB411,IF(NOT($W411=0),"",SUMIFS('Val-Vol (2)'!AJ$4:AJ$1116,'Val-Vol (2)'!$A$4:$A$1116,$D411,'Val-Vol (2)'!$V$4:$V$1116,$V411)/SUMIFS('Comp2016-2017 (3)'!$G$5:$G$289,'Comp2016-2017 (3)'!$A$5:$A$289,$D411,'Comp2016-2017 (3)'!$R$5:$R$289,$V411)*$AB411))</f>
        <v>7547.0087369325802</v>
      </c>
      <c r="AK411" s="2">
        <f t="shared" si="47"/>
        <v>0</v>
      </c>
      <c r="AL411" t="str">
        <f t="shared" si="49"/>
        <v/>
      </c>
      <c r="AM411" t="str">
        <f>VLOOKUP(A411,'Table corresp.'!$M$4:$U$63,8,FALSE)</f>
        <v>Production intermédiaire</v>
      </c>
      <c r="AN411" t="str">
        <f>VLOOKUP(D411,'Table corresp.'!$M$4:$U$63,9,FALSE)</f>
        <v>Production intermédiaire</v>
      </c>
    </row>
    <row r="412" spans="1:40" x14ac:dyDescent="0.25">
      <c r="A412" t="s">
        <v>81</v>
      </c>
      <c r="B412" t="str">
        <f>VLOOKUP(LEFT(A412,3),'Table corresp.'!$A$4:$D$63,3,FALSE)</f>
        <v>Transformation</v>
      </c>
      <c r="C412" t="str">
        <f>VLOOKUP(A412,'Table corresp.'!$M$4:$P$63,4,FALSE)</f>
        <v>Production et transformation de produits bois</v>
      </c>
      <c r="D412" t="s">
        <v>10</v>
      </c>
      <c r="E412" t="str">
        <f>VLOOKUP(LEFT(D412,3),'Table corresp.'!$A$4:$D$63,4,FALSE)</f>
        <v>Transformation</v>
      </c>
      <c r="F412" t="str">
        <f t="shared" si="48"/>
        <v xml:space="preserve">05  - 16 </v>
      </c>
      <c r="G412" s="3">
        <v>3988.3571245276826</v>
      </c>
      <c r="H412" s="3">
        <v>0</v>
      </c>
      <c r="I412" s="3">
        <v>3988.35713277888</v>
      </c>
      <c r="J412" s="3">
        <v>0</v>
      </c>
      <c r="K412" s="3">
        <v>0</v>
      </c>
      <c r="L412" s="3">
        <v>0</v>
      </c>
      <c r="M412" s="3">
        <v>0</v>
      </c>
      <c r="N412" s="3">
        <v>0</v>
      </c>
      <c r="O412" s="3">
        <v>0</v>
      </c>
      <c r="P412" s="3">
        <v>0</v>
      </c>
      <c r="Q412" s="3">
        <v>0</v>
      </c>
      <c r="R412" s="3">
        <v>0</v>
      </c>
      <c r="S412" s="67"/>
      <c r="T412">
        <f>VLOOKUP(A412,'Groupe de branches'!$Z$27:$AM$86,14,FALSE)</f>
        <v>0</v>
      </c>
      <c r="U412">
        <f>VLOOKUP(D412,'Groupe de branches'!$Z$27:$AM$86,14,FALSE)</f>
        <v>0</v>
      </c>
      <c r="V412">
        <v>2017</v>
      </c>
      <c r="W412" t="str">
        <f>VLOOKUP(D412,'Table corresp.'!$M$4:$S$63,7,FALSE)</f>
        <v>Emballage bois et carton</v>
      </c>
      <c r="X412" s="167">
        <f>IFERROR(G412/SUMIFS('Comp2016-2017 (3)'!$I$5:$I$289,'Comp2016-2017 (3)'!$A$5:$A$289,A412,'Comp2016-2017 (3)'!$R$5:$R$289,V412),0)</f>
        <v>3.5296087033920257E-3</v>
      </c>
      <c r="Y412" s="190">
        <f>IFERROR(IF(RIGHT(F412,3)="Exp",VLOOKUP(F412,#REF!,2,FALSE),VLOOKUP(F412,#REF!,9,FALSE)),1)</f>
        <v>1</v>
      </c>
      <c r="Z412" s="167">
        <f t="shared" si="51"/>
        <v>5.2631578947368418E-2</v>
      </c>
      <c r="AA412" s="189">
        <f t="shared" si="50"/>
        <v>1.8576887912589608E-4</v>
      </c>
      <c r="AB412" s="2">
        <f>IFERROR(SUMIFS('Comp2016-2017 (3)'!$G$5:$G$289,'Comp2016-2017 (3)'!$A$5:$A$289,A412,'Comp2016-2017 (3)'!$R$5:$R$289,V412)*AA412/SUMIFS($AA$4:$AA$1116,$A$4:$A$1116,A412,$V$4:$V$1116,V412),0)</f>
        <v>2891.9764975247344</v>
      </c>
      <c r="AC412" s="2" t="str">
        <f>IF($W412=AC$3,$AB412,IF(NOT($W412=0),"",SUMIFS('Val-Vol (2)'!AC$4:AC$1116,'Val-Vol (2)'!$A$4:$A$1116,$D412,'Val-Vol (2)'!$V$4:$V$1116,$V412)/SUMIFS('Comp2016-2017 (3)'!$G$5:$G$289,'Comp2016-2017 (3)'!$A$5:$A$289,$D412,'Comp2016-2017 (3)'!$R$5:$R$289,$V412)*$AB412))</f>
        <v/>
      </c>
      <c r="AD412" s="2" t="str">
        <f>IF($W412=AD$3,$AB412,IF(NOT($W412=0),"",SUMIFS('Val-Vol (2)'!AD$4:AD$1116,'Val-Vol (2)'!$A$4:$A$1116,$D412,'Val-Vol (2)'!$V$4:$V$1116,$V412)/SUMIFS('Comp2016-2017 (3)'!$G$5:$G$289,'Comp2016-2017 (3)'!$A$5:$A$289,$D412,'Comp2016-2017 (3)'!$R$5:$R$289,$V412)*$AB412))</f>
        <v/>
      </c>
      <c r="AE412" s="2" t="str">
        <f>IF($W412=AE$3,$AB412,IF(NOT($W412=0),"",SUMIFS('Val-Vol (2)'!AE$4:AE$1116,'Val-Vol (2)'!$A$4:$A$1116,$D412,'Val-Vol (2)'!$V$4:$V$1116,$V412)/SUMIFS('Comp2016-2017 (3)'!$G$5:$G$289,'Comp2016-2017 (3)'!$A$5:$A$289,$D412,'Comp2016-2017 (3)'!$R$5:$R$289,$V412)*$AB412))</f>
        <v/>
      </c>
      <c r="AF412" s="2" t="str">
        <f>IF($W412=AF$3,$AB412,IF(NOT($W412=0),"",SUMIFS('Val-Vol (2)'!AF$4:AF$1116,'Val-Vol (2)'!$A$4:$A$1116,$D412,'Val-Vol (2)'!$V$4:$V$1116,$V412)/SUMIFS('Comp2016-2017 (3)'!$G$5:$G$289,'Comp2016-2017 (3)'!$A$5:$A$289,$D412,'Comp2016-2017 (3)'!$R$5:$R$289,$V412)*$AB412))</f>
        <v/>
      </c>
      <c r="AG412" s="2">
        <f>IF($W412=AG$3,$AB412,IF(NOT($W412=0),"",SUMIFS('Val-Vol (2)'!AG$4:AG$1116,'Val-Vol (2)'!$A$4:$A$1116,$D412,'Val-Vol (2)'!$V$4:$V$1116,$V412)/SUMIFS('Comp2016-2017 (3)'!$G$5:$G$289,'Comp2016-2017 (3)'!$A$5:$A$289,$D412,'Comp2016-2017 (3)'!$R$5:$R$289,$V412)*$AB412))</f>
        <v>2891.9764975247344</v>
      </c>
      <c r="AH412" s="2" t="str">
        <f>IF($W412=AH$3,$AB412,IF(NOT($W412=0),"",SUMIFS('Val-Vol (2)'!AH$4:AH$1116,'Val-Vol (2)'!$A$4:$A$1116,$D412,'Val-Vol (2)'!$V$4:$V$1116,$V412)/SUMIFS('Comp2016-2017 (3)'!$G$5:$G$289,'Comp2016-2017 (3)'!$A$5:$A$289,$D412,'Comp2016-2017 (3)'!$R$5:$R$289,$V412)*$AB412))</f>
        <v/>
      </c>
      <c r="AI412" s="2" t="str">
        <f>IF($W412=AI$3,$AB412,IF(NOT($W412=0),"",SUMIFS('Val-Vol (2)'!AI$4:AI$1116,'Val-Vol (2)'!$A$4:$A$1116,$D412,'Val-Vol (2)'!$V$4:$V$1116,$V412)/SUMIFS('Comp2016-2017 (3)'!$G$5:$G$289,'Comp2016-2017 (3)'!$A$5:$A$289,$D412,'Comp2016-2017 (3)'!$R$5:$R$289,$V412)*$AB412))</f>
        <v/>
      </c>
      <c r="AJ412" s="2" t="str">
        <f>IF($W412=AJ$3,$AB412,IF(NOT($W412=0),"",SUMIFS('Val-Vol (2)'!AJ$4:AJ$1116,'Val-Vol (2)'!$A$4:$A$1116,$D412,'Val-Vol (2)'!$V$4:$V$1116,$V412)/SUMIFS('Comp2016-2017 (3)'!$G$5:$G$289,'Comp2016-2017 (3)'!$A$5:$A$289,$D412,'Comp2016-2017 (3)'!$R$5:$R$289,$V412)*$AB412))</f>
        <v/>
      </c>
      <c r="AK412" s="2">
        <f t="shared" si="47"/>
        <v>0</v>
      </c>
      <c r="AL412" t="str">
        <f t="shared" si="49"/>
        <v/>
      </c>
      <c r="AM412" t="str">
        <f>VLOOKUP(A412,'Table corresp.'!$M$4:$U$63,8,FALSE)</f>
        <v>Production intermédiaire</v>
      </c>
      <c r="AN412" t="str">
        <f>VLOOKUP(D412,'Table corresp.'!$M$4:$U$63,9,FALSE)</f>
        <v>Production intermédiaire</v>
      </c>
    </row>
    <row r="413" spans="1:40" x14ac:dyDescent="0.25">
      <c r="A413" t="s">
        <v>81</v>
      </c>
      <c r="B413" t="str">
        <f>VLOOKUP(LEFT(A413,3),'Table corresp.'!$A$4:$D$63,3,FALSE)</f>
        <v>Transformation</v>
      </c>
      <c r="C413" t="str">
        <f>VLOOKUP(A413,'Table corresp.'!$M$4:$P$63,4,FALSE)</f>
        <v>Production et transformation de produits bois</v>
      </c>
      <c r="D413" t="s">
        <v>84</v>
      </c>
      <c r="E413" t="str">
        <f>VLOOKUP(LEFT(D413,3),'Table corresp.'!$A$4:$D$63,4,FALSE)</f>
        <v>Transformation</v>
      </c>
      <c r="F413" t="str">
        <f t="shared" si="48"/>
        <v xml:space="preserve">05  - 17 </v>
      </c>
      <c r="G413" s="3">
        <v>4568.5765875311336</v>
      </c>
      <c r="H413" s="3">
        <v>0</v>
      </c>
      <c r="I413" s="3">
        <v>4568.5765969827016</v>
      </c>
      <c r="J413" s="3">
        <v>0</v>
      </c>
      <c r="K413" s="3">
        <v>0</v>
      </c>
      <c r="L413" s="3">
        <v>0</v>
      </c>
      <c r="M413" s="3">
        <v>0</v>
      </c>
      <c r="N413" s="3">
        <v>0</v>
      </c>
      <c r="O413" s="3">
        <v>0</v>
      </c>
      <c r="P413" s="3">
        <v>0</v>
      </c>
      <c r="Q413" s="3">
        <v>0</v>
      </c>
      <c r="R413" s="3">
        <v>0</v>
      </c>
      <c r="S413" s="67"/>
      <c r="T413">
        <f>VLOOKUP(A413,'Groupe de branches'!$Z$27:$AM$86,14,FALSE)</f>
        <v>0</v>
      </c>
      <c r="U413">
        <f>VLOOKUP(D413,'Groupe de branches'!$Z$27:$AM$86,14,FALSE)</f>
        <v>0</v>
      </c>
      <c r="V413">
        <v>2017</v>
      </c>
      <c r="W413" t="str">
        <f>VLOOKUP(D413,'Table corresp.'!$M$4:$S$63,7,FALSE)</f>
        <v>Construction</v>
      </c>
      <c r="X413" s="167">
        <f>IFERROR(G413/SUMIFS('Comp2016-2017 (3)'!$I$5:$I$289,'Comp2016-2017 (3)'!$A$5:$A$289,A413,'Comp2016-2017 (3)'!$R$5:$R$289,V413),0)</f>
        <v>4.0430902203554683E-3</v>
      </c>
      <c r="Y413" s="190">
        <f>IFERROR(IF(RIGHT(F413,3)="Exp",VLOOKUP(F413,#REF!,2,FALSE),VLOOKUP(F413,#REF!,9,FALSE)),1)</f>
        <v>1</v>
      </c>
      <c r="Z413" s="167">
        <f t="shared" si="51"/>
        <v>5.2631578947368418E-2</v>
      </c>
      <c r="AA413" s="189">
        <f t="shared" si="50"/>
        <v>2.12794222123972E-4</v>
      </c>
      <c r="AB413" s="2">
        <f>IFERROR(SUMIFS('Comp2016-2017 (3)'!$G$5:$G$289,'Comp2016-2017 (3)'!$A$5:$A$289,A413,'Comp2016-2017 (3)'!$R$5:$R$289,V413)*AA413/SUMIFS($AA$4:$AA$1116,$A$4:$A$1116,A413,$V$4:$V$1116,V413),0)</f>
        <v>3312.6963573620392</v>
      </c>
      <c r="AC413" s="2" t="str">
        <f>IF($W413=AC$3,$AB413,IF(NOT($W413=0),"",SUMIFS('Val-Vol (2)'!AC$4:AC$1116,'Val-Vol (2)'!$A$4:$A$1116,$D413,'Val-Vol (2)'!$V$4:$V$1116,$V413)/SUMIFS('Comp2016-2017 (3)'!$G$5:$G$289,'Comp2016-2017 (3)'!$A$5:$A$289,$D413,'Comp2016-2017 (3)'!$R$5:$R$289,$V413)*$AB413))</f>
        <v/>
      </c>
      <c r="AD413" s="2">
        <f>IF($W413=AD$3,$AB413,IF(NOT($W413=0),"",SUMIFS('Val-Vol (2)'!AD$4:AD$1116,'Val-Vol (2)'!$A$4:$A$1116,$D413,'Val-Vol (2)'!$V$4:$V$1116,$V413)/SUMIFS('Comp2016-2017 (3)'!$G$5:$G$289,'Comp2016-2017 (3)'!$A$5:$A$289,$D413,'Comp2016-2017 (3)'!$R$5:$R$289,$V413)*$AB413))</f>
        <v>3312.6963573620392</v>
      </c>
      <c r="AE413" s="2" t="str">
        <f>IF($W413=AE$3,$AB413,IF(NOT($W413=0),"",SUMIFS('Val-Vol (2)'!AE$4:AE$1116,'Val-Vol (2)'!$A$4:$A$1116,$D413,'Val-Vol (2)'!$V$4:$V$1116,$V413)/SUMIFS('Comp2016-2017 (3)'!$G$5:$G$289,'Comp2016-2017 (3)'!$A$5:$A$289,$D413,'Comp2016-2017 (3)'!$R$5:$R$289,$V413)*$AB413))</f>
        <v/>
      </c>
      <c r="AF413" s="2" t="str">
        <f>IF($W413=AF$3,$AB413,IF(NOT($W413=0),"",SUMIFS('Val-Vol (2)'!AF$4:AF$1116,'Val-Vol (2)'!$A$4:$A$1116,$D413,'Val-Vol (2)'!$V$4:$V$1116,$V413)/SUMIFS('Comp2016-2017 (3)'!$G$5:$G$289,'Comp2016-2017 (3)'!$A$5:$A$289,$D413,'Comp2016-2017 (3)'!$R$5:$R$289,$V413)*$AB413))</f>
        <v/>
      </c>
      <c r="AG413" s="2" t="str">
        <f>IF($W413=AG$3,$AB413,IF(NOT($W413=0),"",SUMIFS('Val-Vol (2)'!AG$4:AG$1116,'Val-Vol (2)'!$A$4:$A$1116,$D413,'Val-Vol (2)'!$V$4:$V$1116,$V413)/SUMIFS('Comp2016-2017 (3)'!$G$5:$G$289,'Comp2016-2017 (3)'!$A$5:$A$289,$D413,'Comp2016-2017 (3)'!$R$5:$R$289,$V413)*$AB413))</f>
        <v/>
      </c>
      <c r="AH413" s="2" t="str">
        <f>IF($W413=AH$3,$AB413,IF(NOT($W413=0),"",SUMIFS('Val-Vol (2)'!AH$4:AH$1116,'Val-Vol (2)'!$A$4:$A$1116,$D413,'Val-Vol (2)'!$V$4:$V$1116,$V413)/SUMIFS('Comp2016-2017 (3)'!$G$5:$G$289,'Comp2016-2017 (3)'!$A$5:$A$289,$D413,'Comp2016-2017 (3)'!$R$5:$R$289,$V413)*$AB413))</f>
        <v/>
      </c>
      <c r="AI413" s="2" t="str">
        <f>IF($W413=AI$3,$AB413,IF(NOT($W413=0),"",SUMIFS('Val-Vol (2)'!AI$4:AI$1116,'Val-Vol (2)'!$A$4:$A$1116,$D413,'Val-Vol (2)'!$V$4:$V$1116,$V413)/SUMIFS('Comp2016-2017 (3)'!$G$5:$G$289,'Comp2016-2017 (3)'!$A$5:$A$289,$D413,'Comp2016-2017 (3)'!$R$5:$R$289,$V413)*$AB413))</f>
        <v/>
      </c>
      <c r="AJ413" s="2" t="str">
        <f>IF($W413=AJ$3,$AB413,IF(NOT($W413=0),"",SUMIFS('Val-Vol (2)'!AJ$4:AJ$1116,'Val-Vol (2)'!$A$4:$A$1116,$D413,'Val-Vol (2)'!$V$4:$V$1116,$V413)/SUMIFS('Comp2016-2017 (3)'!$G$5:$G$289,'Comp2016-2017 (3)'!$A$5:$A$289,$D413,'Comp2016-2017 (3)'!$R$5:$R$289,$V413)*$AB413))</f>
        <v/>
      </c>
      <c r="AK413" s="2">
        <f t="shared" si="47"/>
        <v>0</v>
      </c>
      <c r="AL413" t="str">
        <f t="shared" si="49"/>
        <v/>
      </c>
      <c r="AM413" t="str">
        <f>VLOOKUP(A413,'Table corresp.'!$M$4:$U$63,8,FALSE)</f>
        <v>Production intermédiaire</v>
      </c>
      <c r="AN413" t="str">
        <f>VLOOKUP(D413,'Table corresp.'!$M$4:$U$63,9,FALSE)</f>
        <v>Production intermédiaire</v>
      </c>
    </row>
    <row r="414" spans="1:40" x14ac:dyDescent="0.25">
      <c r="A414" t="s">
        <v>81</v>
      </c>
      <c r="B414" t="str">
        <f>VLOOKUP(LEFT(A414,3),'Table corresp.'!$A$4:$D$63,3,FALSE)</f>
        <v>Transformation</v>
      </c>
      <c r="C414" t="str">
        <f>VLOOKUP(A414,'Table corresp.'!$M$4:$P$63,4,FALSE)</f>
        <v>Production et transformation de produits bois</v>
      </c>
      <c r="D414" t="s">
        <v>86</v>
      </c>
      <c r="E414" t="str">
        <f>VLOOKUP(LEFT(D414,3),'Table corresp.'!$A$4:$D$63,4,FALSE)</f>
        <v>Transformation</v>
      </c>
      <c r="F414" t="str">
        <f t="shared" si="48"/>
        <v xml:space="preserve">05  - 30 </v>
      </c>
      <c r="G414" s="3">
        <v>70179.238440053887</v>
      </c>
      <c r="H414" s="3">
        <v>0</v>
      </c>
      <c r="I414" s="3">
        <v>70179.238585242172</v>
      </c>
      <c r="J414" s="3">
        <v>0</v>
      </c>
      <c r="K414" s="3">
        <v>0</v>
      </c>
      <c r="L414" s="3">
        <v>0</v>
      </c>
      <c r="M414" s="3">
        <v>0</v>
      </c>
      <c r="N414" s="3">
        <v>0</v>
      </c>
      <c r="O414" s="3">
        <v>0</v>
      </c>
      <c r="P414" s="3">
        <v>0</v>
      </c>
      <c r="Q414" s="3">
        <v>0</v>
      </c>
      <c r="R414" s="3">
        <v>0</v>
      </c>
      <c r="S414" s="67"/>
      <c r="T414">
        <f>VLOOKUP(A414,'Groupe de branches'!$Z$27:$AM$86,14,FALSE)</f>
        <v>0</v>
      </c>
      <c r="U414">
        <f>VLOOKUP(D414,'Groupe de branches'!$Z$27:$AM$86,14,FALSE)</f>
        <v>1</v>
      </c>
      <c r="V414">
        <v>2017</v>
      </c>
      <c r="W414" t="str">
        <f>VLOOKUP(D414,'Table corresp.'!$M$4:$S$63,7,FALSE)</f>
        <v>Energie</v>
      </c>
      <c r="X414" s="167">
        <f>IFERROR(G414/SUMIFS('Comp2016-2017 (3)'!$I$5:$I$289,'Comp2016-2017 (3)'!$A$5:$A$289,A414,'Comp2016-2017 (3)'!$R$5:$R$289,V414),0)</f>
        <v>6.2107088974579394E-2</v>
      </c>
      <c r="Y414" s="190">
        <f>IFERROR(IF(RIGHT(F414,3)="Exp",VLOOKUP(F414,#REF!,2,FALSE),VLOOKUP(F414,#REF!,9,FALSE)),1)</f>
        <v>1</v>
      </c>
      <c r="Z414" s="167">
        <f t="shared" si="51"/>
        <v>5.2631578947368418E-2</v>
      </c>
      <c r="AA414" s="189">
        <f t="shared" si="50"/>
        <v>3.2687941565568098E-3</v>
      </c>
      <c r="AB414" s="2">
        <f>IFERROR(SUMIFS('Comp2016-2017 (3)'!$G$5:$G$289,'Comp2016-2017 (3)'!$A$5:$A$289,A414,'Comp2016-2017 (3)'!$R$5:$R$289,V414)*AA414/SUMIFS($AA$4:$AA$1116,$A$4:$A$1116,A414,$V$4:$V$1116,V414),0)</f>
        <v>50887.295657320348</v>
      </c>
      <c r="AC414" s="2" t="str">
        <f>IF($W414=AC$3,$AB414,IF(NOT($W414=0),"",SUMIFS('Val-Vol (2)'!AC$4:AC$1116,'Val-Vol (2)'!$A$4:$A$1116,$D414,'Val-Vol (2)'!$V$4:$V$1116,$V414)/SUMIFS('Comp2016-2017 (3)'!$G$5:$G$289,'Comp2016-2017 (3)'!$A$5:$A$289,$D414,'Comp2016-2017 (3)'!$R$5:$R$289,$V414)*$AB414))</f>
        <v/>
      </c>
      <c r="AD414" s="2" t="str">
        <f>IF($W414=AD$3,$AB414,IF(NOT($W414=0),"",SUMIFS('Val-Vol (2)'!AD$4:AD$1116,'Val-Vol (2)'!$A$4:$A$1116,$D414,'Val-Vol (2)'!$V$4:$V$1116,$V414)/SUMIFS('Comp2016-2017 (3)'!$G$5:$G$289,'Comp2016-2017 (3)'!$A$5:$A$289,$D414,'Comp2016-2017 (3)'!$R$5:$R$289,$V414)*$AB414))</f>
        <v/>
      </c>
      <c r="AE414" s="2" t="str">
        <f>IF($W414=AE$3,$AB414,IF(NOT($W414=0),"",SUMIFS('Val-Vol (2)'!AE$4:AE$1116,'Val-Vol (2)'!$A$4:$A$1116,$D414,'Val-Vol (2)'!$V$4:$V$1116,$V414)/SUMIFS('Comp2016-2017 (3)'!$G$5:$G$289,'Comp2016-2017 (3)'!$A$5:$A$289,$D414,'Comp2016-2017 (3)'!$R$5:$R$289,$V414)*$AB414))</f>
        <v/>
      </c>
      <c r="AF414" s="2" t="str">
        <f>IF($W414=AF$3,$AB414,IF(NOT($W414=0),"",SUMIFS('Val-Vol (2)'!AF$4:AF$1116,'Val-Vol (2)'!$A$4:$A$1116,$D414,'Val-Vol (2)'!$V$4:$V$1116,$V414)/SUMIFS('Comp2016-2017 (3)'!$G$5:$G$289,'Comp2016-2017 (3)'!$A$5:$A$289,$D414,'Comp2016-2017 (3)'!$R$5:$R$289,$V414)*$AB414))</f>
        <v/>
      </c>
      <c r="AG414" s="2" t="str">
        <f>IF($W414=AG$3,$AB414,IF(NOT($W414=0),"",SUMIFS('Val-Vol (2)'!AG$4:AG$1116,'Val-Vol (2)'!$A$4:$A$1116,$D414,'Val-Vol (2)'!$V$4:$V$1116,$V414)/SUMIFS('Comp2016-2017 (3)'!$G$5:$G$289,'Comp2016-2017 (3)'!$A$5:$A$289,$D414,'Comp2016-2017 (3)'!$R$5:$R$289,$V414)*$AB414))</f>
        <v/>
      </c>
      <c r="AH414" s="2">
        <f>IF($W414=AH$3,$AB414,IF(NOT($W414=0),"",SUMIFS('Val-Vol (2)'!AH$4:AH$1116,'Val-Vol (2)'!$A$4:$A$1116,$D414,'Val-Vol (2)'!$V$4:$V$1116,$V414)/SUMIFS('Comp2016-2017 (3)'!$G$5:$G$289,'Comp2016-2017 (3)'!$A$5:$A$289,$D414,'Comp2016-2017 (3)'!$R$5:$R$289,$V414)*$AB414))</f>
        <v>50887.295657320348</v>
      </c>
      <c r="AI414" s="2" t="str">
        <f>IF($W414=AI$3,$AB414,IF(NOT($W414=0),"",SUMIFS('Val-Vol (2)'!AI$4:AI$1116,'Val-Vol (2)'!$A$4:$A$1116,$D414,'Val-Vol (2)'!$V$4:$V$1116,$V414)/SUMIFS('Comp2016-2017 (3)'!$G$5:$G$289,'Comp2016-2017 (3)'!$A$5:$A$289,$D414,'Comp2016-2017 (3)'!$R$5:$R$289,$V414)*$AB414))</f>
        <v/>
      </c>
      <c r="AJ414" s="2" t="str">
        <f>IF($W414=AJ$3,$AB414,IF(NOT($W414=0),"",SUMIFS('Val-Vol (2)'!AJ$4:AJ$1116,'Val-Vol (2)'!$A$4:$A$1116,$D414,'Val-Vol (2)'!$V$4:$V$1116,$V414)/SUMIFS('Comp2016-2017 (3)'!$G$5:$G$289,'Comp2016-2017 (3)'!$A$5:$A$289,$D414,'Comp2016-2017 (3)'!$R$5:$R$289,$V414)*$AB414))</f>
        <v/>
      </c>
      <c r="AK414" s="2">
        <f t="shared" si="47"/>
        <v>0</v>
      </c>
      <c r="AL414" t="str">
        <f t="shared" si="49"/>
        <v/>
      </c>
      <c r="AM414" t="str">
        <f>VLOOKUP(A414,'Table corresp.'!$M$4:$U$63,8,FALSE)</f>
        <v>Production intermédiaire</v>
      </c>
      <c r="AN414" t="str">
        <f>VLOOKUP(D414,'Table corresp.'!$M$4:$U$63,9,FALSE)</f>
        <v>Production intermédiaire</v>
      </c>
    </row>
    <row r="415" spans="1:40" x14ac:dyDescent="0.25">
      <c r="A415" t="s">
        <v>81</v>
      </c>
      <c r="B415" t="str">
        <f>VLOOKUP(LEFT(A415,3),'Table corresp.'!$A$4:$D$63,3,FALSE)</f>
        <v>Transformation</v>
      </c>
      <c r="C415" t="str">
        <f>VLOOKUP(A415,'Table corresp.'!$M$4:$P$63,4,FALSE)</f>
        <v>Production et transformation de produits bois</v>
      </c>
      <c r="D415" t="s">
        <v>87</v>
      </c>
      <c r="E415" t="str">
        <f>VLOOKUP(LEFT(D415,3),'Table corresp.'!$A$4:$D$63,4,FALSE)</f>
        <v>Transformation</v>
      </c>
      <c r="F415" t="str">
        <f t="shared" si="48"/>
        <v xml:space="preserve">05  - 31 </v>
      </c>
      <c r="G415" s="3">
        <v>62713.319213448478</v>
      </c>
      <c r="H415" s="3">
        <v>0</v>
      </c>
      <c r="I415" s="3">
        <v>62713.319343191113</v>
      </c>
      <c r="J415" s="3">
        <v>0</v>
      </c>
      <c r="K415" s="3">
        <v>0</v>
      </c>
      <c r="L415" s="3">
        <v>0</v>
      </c>
      <c r="M415" s="3">
        <v>0</v>
      </c>
      <c r="N415" s="3">
        <v>0</v>
      </c>
      <c r="O415" s="3">
        <v>0</v>
      </c>
      <c r="P415" s="3">
        <v>0</v>
      </c>
      <c r="Q415" s="3">
        <v>0</v>
      </c>
      <c r="R415" s="3">
        <v>0</v>
      </c>
      <c r="S415" s="67"/>
      <c r="T415">
        <f>VLOOKUP(A415,'Groupe de branches'!$Z$27:$AM$86,14,FALSE)</f>
        <v>0</v>
      </c>
      <c r="U415">
        <f>VLOOKUP(D415,'Groupe de branches'!$Z$27:$AM$86,14,FALSE)</f>
        <v>0</v>
      </c>
      <c r="V415">
        <v>2017</v>
      </c>
      <c r="W415">
        <f>VLOOKUP(D415,'Table corresp.'!$M$4:$S$63,7,FALSE)</f>
        <v>0</v>
      </c>
      <c r="X415" s="167">
        <f>IFERROR(G415/SUMIFS('Comp2016-2017 (3)'!$I$5:$I$289,'Comp2016-2017 (3)'!$A$5:$A$289,A415,'Comp2016-2017 (3)'!$R$5:$R$289,V415),0)</f>
        <v>5.5499913975382453E-2</v>
      </c>
      <c r="Y415" s="190">
        <f>IFERROR(IF(RIGHT(F415,3)="Exp",VLOOKUP(F415,#REF!,2,FALSE),VLOOKUP(F415,#REF!,9,FALSE)),1)</f>
        <v>1</v>
      </c>
      <c r="Z415" s="167">
        <f t="shared" si="51"/>
        <v>5.2631578947368418E-2</v>
      </c>
      <c r="AA415" s="189">
        <f t="shared" si="50"/>
        <v>2.9210481039674972E-3</v>
      </c>
      <c r="AB415" s="2">
        <f>IFERROR(SUMIFS('Comp2016-2017 (3)'!$G$5:$G$289,'Comp2016-2017 (3)'!$A$5:$A$289,A415,'Comp2016-2017 (3)'!$R$5:$R$289,V415)*AA415/SUMIFS($AA$4:$AA$1116,$A$4:$A$1116,A415,$V$4:$V$1116,V415),0)</f>
        <v>45473.722533946202</v>
      </c>
      <c r="AC415" s="2">
        <f>IF($W415=AC$3,$AB415,IF(NOT($W415=0),"",SUMIFS('Val-Vol (2)'!AC$4:AC$1116,'Val-Vol (2)'!$A$4:$A$1116,$D415,'Val-Vol (2)'!$V$4:$V$1116,$V415)/SUMIFS('Comp2016-2017 (3)'!$G$5:$G$289,'Comp2016-2017 (3)'!$A$5:$A$289,$D415,'Comp2016-2017 (3)'!$R$5:$R$289,$V415)*$AB415))</f>
        <v>24140.668900906476</v>
      </c>
      <c r="AD415" s="2">
        <f>IF($W415=AD$3,$AB415,IF(NOT($W415=0),"",SUMIFS('Val-Vol (2)'!AD$4:AD$1116,'Val-Vol (2)'!$A$4:$A$1116,$D415,'Val-Vol (2)'!$V$4:$V$1116,$V415)/SUMIFS('Comp2016-2017 (3)'!$G$5:$G$289,'Comp2016-2017 (3)'!$A$5:$A$289,$D415,'Comp2016-2017 (3)'!$R$5:$R$289,$V415)*$AB415))</f>
        <v>6965.7768554231052</v>
      </c>
      <c r="AE415" s="2">
        <f>IF($W415=AE$3,$AB415,IF(NOT($W415=0),"",SUMIFS('Val-Vol (2)'!AE$4:AE$1116,'Val-Vol (2)'!$A$4:$A$1116,$D415,'Val-Vol (2)'!$V$4:$V$1116,$V415)/SUMIFS('Comp2016-2017 (3)'!$G$5:$G$289,'Comp2016-2017 (3)'!$A$5:$A$289,$D415,'Comp2016-2017 (3)'!$R$5:$R$289,$V415)*$AB415))</f>
        <v>8912.263809923521</v>
      </c>
      <c r="AF415" s="2">
        <f>IF($W415=AF$3,$AB415,IF(NOT($W415=0),"",SUMIFS('Val-Vol (2)'!AF$4:AF$1116,'Val-Vol (2)'!$A$4:$A$1116,$D415,'Val-Vol (2)'!$V$4:$V$1116,$V415)/SUMIFS('Comp2016-2017 (3)'!$G$5:$G$289,'Comp2016-2017 (3)'!$A$5:$A$289,$D415,'Comp2016-2017 (3)'!$R$5:$R$289,$V415)*$AB415))</f>
        <v>0</v>
      </c>
      <c r="AG415" s="2">
        <f>IF($W415=AG$3,$AB415,IF(NOT($W415=0),"",SUMIFS('Val-Vol (2)'!AG$4:AG$1116,'Val-Vol (2)'!$A$4:$A$1116,$D415,'Val-Vol (2)'!$V$4:$V$1116,$V415)/SUMIFS('Comp2016-2017 (3)'!$G$5:$G$289,'Comp2016-2017 (3)'!$A$5:$A$289,$D415,'Comp2016-2017 (3)'!$R$5:$R$289,$V415)*$AB415))</f>
        <v>4124.7205717917677</v>
      </c>
      <c r="AH415" s="2">
        <f>IF($W415=AH$3,$AB415,IF(NOT($W415=0),"",SUMIFS('Val-Vol (2)'!AH$4:AH$1116,'Val-Vol (2)'!$A$4:$A$1116,$D415,'Val-Vol (2)'!$V$4:$V$1116,$V415)/SUMIFS('Comp2016-2017 (3)'!$G$5:$G$289,'Comp2016-2017 (3)'!$A$5:$A$289,$D415,'Comp2016-2017 (3)'!$R$5:$R$289,$V415)*$AB415))</f>
        <v>0</v>
      </c>
      <c r="AI415" s="2">
        <f>IF($W415=AI$3,$AB415,IF(NOT($W415=0),"",SUMIFS('Val-Vol (2)'!AI$4:AI$1116,'Val-Vol (2)'!$A$4:$A$1116,$D415,'Val-Vol (2)'!$V$4:$V$1116,$V415)/SUMIFS('Comp2016-2017 (3)'!$G$5:$G$289,'Comp2016-2017 (3)'!$A$5:$A$289,$D415,'Comp2016-2017 (3)'!$R$5:$R$289,$V415)*$AB415))</f>
        <v>0</v>
      </c>
      <c r="AJ415" s="2">
        <f>IF($W415=AJ$3,$AB415,IF(NOT($W415=0),"",SUMIFS('Val-Vol (2)'!AJ$4:AJ$1116,'Val-Vol (2)'!$A$4:$A$1116,$D415,'Val-Vol (2)'!$V$4:$V$1116,$V415)/SUMIFS('Comp2016-2017 (3)'!$G$5:$G$289,'Comp2016-2017 (3)'!$A$5:$A$289,$D415,'Comp2016-2017 (3)'!$R$5:$R$289,$V415)*$AB415))</f>
        <v>1330.2923959013347</v>
      </c>
      <c r="AK415" s="2">
        <f t="shared" si="47"/>
        <v>0</v>
      </c>
      <c r="AL415" t="str">
        <f t="shared" si="49"/>
        <v/>
      </c>
      <c r="AM415" t="str">
        <f>VLOOKUP(A415,'Table corresp.'!$M$4:$U$63,8,FALSE)</f>
        <v>Production intermédiaire</v>
      </c>
      <c r="AN415" t="str">
        <f>VLOOKUP(D415,'Table corresp.'!$M$4:$U$63,9,FALSE)</f>
        <v>Production intermédiaire</v>
      </c>
    </row>
    <row r="416" spans="1:40" x14ac:dyDescent="0.25">
      <c r="A416" t="s">
        <v>81</v>
      </c>
      <c r="B416" t="str">
        <f>VLOOKUP(LEFT(A416,3),'Table corresp.'!$A$4:$D$63,3,FALSE)</f>
        <v>Transformation</v>
      </c>
      <c r="C416" t="str">
        <f>VLOOKUP(A416,'Table corresp.'!$M$4:$P$63,4,FALSE)</f>
        <v>Production et transformation de produits bois</v>
      </c>
      <c r="D416" t="s">
        <v>91</v>
      </c>
      <c r="E416" t="str">
        <f>VLOOKUP(LEFT(D416,3),'Table corresp.'!$A$4:$D$63,4,FALSE)</f>
        <v>Transformation</v>
      </c>
      <c r="F416" t="str">
        <f t="shared" si="48"/>
        <v xml:space="preserve">05  - 37 </v>
      </c>
      <c r="G416" s="3">
        <v>18850.690675683876</v>
      </c>
      <c r="H416" s="3">
        <v>0</v>
      </c>
      <c r="I416" s="3">
        <v>18850.690714682583</v>
      </c>
      <c r="J416" s="3">
        <v>0</v>
      </c>
      <c r="K416" s="3">
        <v>0</v>
      </c>
      <c r="L416" s="3">
        <v>0</v>
      </c>
      <c r="M416" s="3">
        <v>0</v>
      </c>
      <c r="N416" s="3">
        <v>0</v>
      </c>
      <c r="O416" s="3">
        <v>0</v>
      </c>
      <c r="P416" s="3">
        <v>0</v>
      </c>
      <c r="Q416" s="3">
        <v>0</v>
      </c>
      <c r="R416" s="3">
        <v>0</v>
      </c>
      <c r="S416" s="67"/>
      <c r="T416">
        <f>VLOOKUP(A416,'Groupe de branches'!$Z$27:$AM$86,14,FALSE)</f>
        <v>0</v>
      </c>
      <c r="U416">
        <f>VLOOKUP(D416,'Groupe de branches'!$Z$27:$AM$86,14,FALSE)</f>
        <v>0</v>
      </c>
      <c r="V416">
        <v>2017</v>
      </c>
      <c r="W416" t="str">
        <f>VLOOKUP(D416,'Table corresp.'!$M$4:$S$63,7,FALSE)</f>
        <v>Emballage bois et carton</v>
      </c>
      <c r="X416" s="167">
        <f>IFERROR(G416/SUMIFS('Comp2016-2017 (3)'!$I$5:$I$289,'Comp2016-2017 (3)'!$A$5:$A$289,A416,'Comp2016-2017 (3)'!$R$5:$R$289,V416),0)</f>
        <v>1.6682448385743322E-2</v>
      </c>
      <c r="Y416" s="190">
        <f>IFERROR(IF(RIGHT(F416,3)="Exp",VLOOKUP(F416,#REF!,2,FALSE),VLOOKUP(F416,#REF!,9,FALSE)),1)</f>
        <v>1</v>
      </c>
      <c r="Z416" s="167">
        <f t="shared" si="51"/>
        <v>5.2631578947368418E-2</v>
      </c>
      <c r="AA416" s="189">
        <f t="shared" si="50"/>
        <v>8.7802359924964851E-4</v>
      </c>
      <c r="AB416" s="2">
        <f>IFERROR(SUMIFS('Comp2016-2017 (3)'!$G$5:$G$289,'Comp2016-2017 (3)'!$A$5:$A$289,A416,'Comp2016-2017 (3)'!$R$5:$R$289,V416)*AA416/SUMIFS($AA$4:$AA$1116,$A$4:$A$1116,A416,$V$4:$V$1116,V416),0)</f>
        <v>13668.724413098387</v>
      </c>
      <c r="AC416" s="2" t="str">
        <f>IF($W416=AC$3,$AB416,IF(NOT($W416=0),"",SUMIFS('Val-Vol (2)'!AC$4:AC$1116,'Val-Vol (2)'!$A$4:$A$1116,$D416,'Val-Vol (2)'!$V$4:$V$1116,$V416)/SUMIFS('Comp2016-2017 (3)'!$G$5:$G$289,'Comp2016-2017 (3)'!$A$5:$A$289,$D416,'Comp2016-2017 (3)'!$R$5:$R$289,$V416)*$AB416))</f>
        <v/>
      </c>
      <c r="AD416" s="2" t="str">
        <f>IF($W416=AD$3,$AB416,IF(NOT($W416=0),"",SUMIFS('Val-Vol (2)'!AD$4:AD$1116,'Val-Vol (2)'!$A$4:$A$1116,$D416,'Val-Vol (2)'!$V$4:$V$1116,$V416)/SUMIFS('Comp2016-2017 (3)'!$G$5:$G$289,'Comp2016-2017 (3)'!$A$5:$A$289,$D416,'Comp2016-2017 (3)'!$R$5:$R$289,$V416)*$AB416))</f>
        <v/>
      </c>
      <c r="AE416" s="2" t="str">
        <f>IF($W416=AE$3,$AB416,IF(NOT($W416=0),"",SUMIFS('Val-Vol (2)'!AE$4:AE$1116,'Val-Vol (2)'!$A$4:$A$1116,$D416,'Val-Vol (2)'!$V$4:$V$1116,$V416)/SUMIFS('Comp2016-2017 (3)'!$G$5:$G$289,'Comp2016-2017 (3)'!$A$5:$A$289,$D416,'Comp2016-2017 (3)'!$R$5:$R$289,$V416)*$AB416))</f>
        <v/>
      </c>
      <c r="AF416" s="2" t="str">
        <f>IF($W416=AF$3,$AB416,IF(NOT($W416=0),"",SUMIFS('Val-Vol (2)'!AF$4:AF$1116,'Val-Vol (2)'!$A$4:$A$1116,$D416,'Val-Vol (2)'!$V$4:$V$1116,$V416)/SUMIFS('Comp2016-2017 (3)'!$G$5:$G$289,'Comp2016-2017 (3)'!$A$5:$A$289,$D416,'Comp2016-2017 (3)'!$R$5:$R$289,$V416)*$AB416))</f>
        <v/>
      </c>
      <c r="AG416" s="2">
        <f>IF($W416=AG$3,$AB416,IF(NOT($W416=0),"",SUMIFS('Val-Vol (2)'!AG$4:AG$1116,'Val-Vol (2)'!$A$4:$A$1116,$D416,'Val-Vol (2)'!$V$4:$V$1116,$V416)/SUMIFS('Comp2016-2017 (3)'!$G$5:$G$289,'Comp2016-2017 (3)'!$A$5:$A$289,$D416,'Comp2016-2017 (3)'!$R$5:$R$289,$V416)*$AB416))</f>
        <v>13668.724413098387</v>
      </c>
      <c r="AH416" s="2" t="str">
        <f>IF($W416=AH$3,$AB416,IF(NOT($W416=0),"",SUMIFS('Val-Vol (2)'!AH$4:AH$1116,'Val-Vol (2)'!$A$4:$A$1116,$D416,'Val-Vol (2)'!$V$4:$V$1116,$V416)/SUMIFS('Comp2016-2017 (3)'!$G$5:$G$289,'Comp2016-2017 (3)'!$A$5:$A$289,$D416,'Comp2016-2017 (3)'!$R$5:$R$289,$V416)*$AB416))</f>
        <v/>
      </c>
      <c r="AI416" s="2" t="str">
        <f>IF($W416=AI$3,$AB416,IF(NOT($W416=0),"",SUMIFS('Val-Vol (2)'!AI$4:AI$1116,'Val-Vol (2)'!$A$4:$A$1116,$D416,'Val-Vol (2)'!$V$4:$V$1116,$V416)/SUMIFS('Comp2016-2017 (3)'!$G$5:$G$289,'Comp2016-2017 (3)'!$A$5:$A$289,$D416,'Comp2016-2017 (3)'!$R$5:$R$289,$V416)*$AB416))</f>
        <v/>
      </c>
      <c r="AJ416" s="2" t="str">
        <f>IF($W416=AJ$3,$AB416,IF(NOT($W416=0),"",SUMIFS('Val-Vol (2)'!AJ$4:AJ$1116,'Val-Vol (2)'!$A$4:$A$1116,$D416,'Val-Vol (2)'!$V$4:$V$1116,$V416)/SUMIFS('Comp2016-2017 (3)'!$G$5:$G$289,'Comp2016-2017 (3)'!$A$5:$A$289,$D416,'Comp2016-2017 (3)'!$R$5:$R$289,$V416)*$AB416))</f>
        <v/>
      </c>
      <c r="AK416" s="2">
        <f t="shared" si="47"/>
        <v>0</v>
      </c>
      <c r="AL416" t="str">
        <f t="shared" si="49"/>
        <v/>
      </c>
      <c r="AM416" t="str">
        <f>VLOOKUP(A416,'Table corresp.'!$M$4:$U$63,8,FALSE)</f>
        <v>Production intermédiaire</v>
      </c>
      <c r="AN416" t="str">
        <f>VLOOKUP(D416,'Table corresp.'!$M$4:$U$63,9,FALSE)</f>
        <v>Production finale</v>
      </c>
    </row>
    <row r="417" spans="1:40" x14ac:dyDescent="0.25">
      <c r="A417" t="s">
        <v>81</v>
      </c>
      <c r="B417" t="str">
        <f>VLOOKUP(LEFT(A417,3),'Table corresp.'!$A$4:$D$63,3,FALSE)</f>
        <v>Transformation</v>
      </c>
      <c r="C417" t="str">
        <f>VLOOKUP(A417,'Table corresp.'!$M$4:$P$63,4,FALSE)</f>
        <v>Production et transformation de produits bois</v>
      </c>
      <c r="D417" t="s">
        <v>95</v>
      </c>
      <c r="E417" t="str">
        <f>VLOOKUP(LEFT(D417,3),'Table corresp.'!$A$4:$D$63,4,FALSE)</f>
        <v>Transformation</v>
      </c>
      <c r="F417" t="str">
        <f t="shared" si="48"/>
        <v xml:space="preserve">05  - 43 </v>
      </c>
      <c r="G417" s="3">
        <v>73834.838628872167</v>
      </c>
      <c r="H417" s="3">
        <v>0</v>
      </c>
      <c r="I417" s="3">
        <v>73834.838781623243</v>
      </c>
      <c r="J417" s="3">
        <v>0</v>
      </c>
      <c r="K417" s="3">
        <v>0</v>
      </c>
      <c r="L417" s="3">
        <v>0</v>
      </c>
      <c r="M417" s="3">
        <v>0</v>
      </c>
      <c r="N417" s="3">
        <v>0</v>
      </c>
      <c r="O417" s="3">
        <v>0</v>
      </c>
      <c r="P417" s="3">
        <v>0</v>
      </c>
      <c r="Q417" s="3">
        <v>0</v>
      </c>
      <c r="R417" s="3">
        <v>0</v>
      </c>
      <c r="S417" s="67"/>
      <c r="T417">
        <f>VLOOKUP(A417,'Groupe de branches'!$Z$27:$AM$86,14,FALSE)</f>
        <v>0</v>
      </c>
      <c r="U417">
        <f>VLOOKUP(D417,'Groupe de branches'!$Z$27:$AM$86,14,FALSE)</f>
        <v>0</v>
      </c>
      <c r="V417">
        <v>2017</v>
      </c>
      <c r="W417" t="str">
        <f>VLOOKUP(D417,'Table corresp.'!$M$4:$S$63,7,FALSE)</f>
        <v>Pate &amp; papier &amp; carton</v>
      </c>
      <c r="X417" s="167">
        <f>IFERROR(G417/SUMIFS('Comp2016-2017 (3)'!$I$5:$I$289,'Comp2016-2017 (3)'!$A$5:$A$289,A417,'Comp2016-2017 (3)'!$R$5:$R$289,V417),0)</f>
        <v>6.5342215077812321E-2</v>
      </c>
      <c r="Y417" s="190">
        <f>IFERROR(IF(RIGHT(F417,3)="Exp",VLOOKUP(F417,#REF!,2,FALSE),VLOOKUP(F417,#REF!,9,FALSE)),1)</f>
        <v>1</v>
      </c>
      <c r="Z417" s="167">
        <f t="shared" si="51"/>
        <v>5.2631578947368418E-2</v>
      </c>
      <c r="AA417" s="189">
        <f t="shared" si="50"/>
        <v>3.4390639514638062E-3</v>
      </c>
      <c r="AB417" s="2">
        <f>IFERROR(SUMIFS('Comp2016-2017 (3)'!$G$5:$G$289,'Comp2016-2017 (3)'!$A$5:$A$289,A417,'Comp2016-2017 (3)'!$R$5:$R$289,V417)*AA417/SUMIFS($AA$4:$AA$1116,$A$4:$A$1116,A417,$V$4:$V$1116,V417),0)</f>
        <v>53537.988536700213</v>
      </c>
      <c r="AC417" s="2" t="str">
        <f>IF($W417=AC$3,$AB417,IF(NOT($W417=0),"",SUMIFS('Val-Vol (2)'!AC$4:AC$1116,'Val-Vol (2)'!$A$4:$A$1116,$D417,'Val-Vol (2)'!$V$4:$V$1116,$V417)/SUMIFS('Comp2016-2017 (3)'!$G$5:$G$289,'Comp2016-2017 (3)'!$A$5:$A$289,$D417,'Comp2016-2017 (3)'!$R$5:$R$289,$V417)*$AB417))</f>
        <v/>
      </c>
      <c r="AD417" s="2" t="str">
        <f>IF($W417=AD$3,$AB417,IF(NOT($W417=0),"",SUMIFS('Val-Vol (2)'!AD$4:AD$1116,'Val-Vol (2)'!$A$4:$A$1116,$D417,'Val-Vol (2)'!$V$4:$V$1116,$V417)/SUMIFS('Comp2016-2017 (3)'!$G$5:$G$289,'Comp2016-2017 (3)'!$A$5:$A$289,$D417,'Comp2016-2017 (3)'!$R$5:$R$289,$V417)*$AB417))</f>
        <v/>
      </c>
      <c r="AE417" s="2" t="str">
        <f>IF($W417=AE$3,$AB417,IF(NOT($W417=0),"",SUMIFS('Val-Vol (2)'!AE$4:AE$1116,'Val-Vol (2)'!$A$4:$A$1116,$D417,'Val-Vol (2)'!$V$4:$V$1116,$V417)/SUMIFS('Comp2016-2017 (3)'!$G$5:$G$289,'Comp2016-2017 (3)'!$A$5:$A$289,$D417,'Comp2016-2017 (3)'!$R$5:$R$289,$V417)*$AB417))</f>
        <v/>
      </c>
      <c r="AF417" s="2">
        <f>IF($W417=AF$3,$AB417,IF(NOT($W417=0),"",SUMIFS('Val-Vol (2)'!AF$4:AF$1116,'Val-Vol (2)'!$A$4:$A$1116,$D417,'Val-Vol (2)'!$V$4:$V$1116,$V417)/SUMIFS('Comp2016-2017 (3)'!$G$5:$G$289,'Comp2016-2017 (3)'!$A$5:$A$289,$D417,'Comp2016-2017 (3)'!$R$5:$R$289,$V417)*$AB417))</f>
        <v>53537.988536700213</v>
      </c>
      <c r="AG417" s="2" t="str">
        <f>IF($W417=AG$3,$AB417,IF(NOT($W417=0),"",SUMIFS('Val-Vol (2)'!AG$4:AG$1116,'Val-Vol (2)'!$A$4:$A$1116,$D417,'Val-Vol (2)'!$V$4:$V$1116,$V417)/SUMIFS('Comp2016-2017 (3)'!$G$5:$G$289,'Comp2016-2017 (3)'!$A$5:$A$289,$D417,'Comp2016-2017 (3)'!$R$5:$R$289,$V417)*$AB417))</f>
        <v/>
      </c>
      <c r="AH417" s="2" t="str">
        <f>IF($W417=AH$3,$AB417,IF(NOT($W417=0),"",SUMIFS('Val-Vol (2)'!AH$4:AH$1116,'Val-Vol (2)'!$A$4:$A$1116,$D417,'Val-Vol (2)'!$V$4:$V$1116,$V417)/SUMIFS('Comp2016-2017 (3)'!$G$5:$G$289,'Comp2016-2017 (3)'!$A$5:$A$289,$D417,'Comp2016-2017 (3)'!$R$5:$R$289,$V417)*$AB417))</f>
        <v/>
      </c>
      <c r="AI417" s="2" t="str">
        <f>IF($W417=AI$3,$AB417,IF(NOT($W417=0),"",SUMIFS('Val-Vol (2)'!AI$4:AI$1116,'Val-Vol (2)'!$A$4:$A$1116,$D417,'Val-Vol (2)'!$V$4:$V$1116,$V417)/SUMIFS('Comp2016-2017 (3)'!$G$5:$G$289,'Comp2016-2017 (3)'!$A$5:$A$289,$D417,'Comp2016-2017 (3)'!$R$5:$R$289,$V417)*$AB417))</f>
        <v/>
      </c>
      <c r="AJ417" s="2" t="str">
        <f>IF($W417=AJ$3,$AB417,IF(NOT($W417=0),"",SUMIFS('Val-Vol (2)'!AJ$4:AJ$1116,'Val-Vol (2)'!$A$4:$A$1116,$D417,'Val-Vol (2)'!$V$4:$V$1116,$V417)/SUMIFS('Comp2016-2017 (3)'!$G$5:$G$289,'Comp2016-2017 (3)'!$A$5:$A$289,$D417,'Comp2016-2017 (3)'!$R$5:$R$289,$V417)*$AB417))</f>
        <v/>
      </c>
      <c r="AK417" s="2">
        <f t="shared" si="47"/>
        <v>0</v>
      </c>
      <c r="AL417" t="str">
        <f t="shared" si="49"/>
        <v/>
      </c>
      <c r="AM417" t="str">
        <f>VLOOKUP(A417,'Table corresp.'!$M$4:$U$63,8,FALSE)</f>
        <v>Production intermédiaire</v>
      </c>
      <c r="AN417" t="str">
        <f>VLOOKUP(D417,'Table corresp.'!$M$4:$U$63,9,FALSE)</f>
        <v>Production intermédiaire</v>
      </c>
    </row>
    <row r="418" spans="1:40" x14ac:dyDescent="0.25">
      <c r="A418" t="s">
        <v>81</v>
      </c>
      <c r="B418" t="str">
        <f>VLOOKUP(LEFT(A418,3),'Table corresp.'!$A$4:$D$63,3,FALSE)</f>
        <v>Transformation</v>
      </c>
      <c r="C418" t="str">
        <f>VLOOKUP(A418,'Table corresp.'!$M$4:$P$63,4,FALSE)</f>
        <v>Production et transformation de produits bois</v>
      </c>
      <c r="D418" t="s">
        <v>98</v>
      </c>
      <c r="E418" t="str">
        <f>VLOOKUP(LEFT(D418,3),'Table corresp.'!$A$4:$D$63,4,FALSE)</f>
        <v>Transformation</v>
      </c>
      <c r="F418" t="str">
        <f t="shared" si="48"/>
        <v xml:space="preserve">05  - 46 </v>
      </c>
      <c r="G418" s="3">
        <v>13170.858019854028</v>
      </c>
      <c r="H418" s="3">
        <v>0</v>
      </c>
      <c r="I418" s="3">
        <v>13170.858047102176</v>
      </c>
      <c r="J418" s="3">
        <v>0</v>
      </c>
      <c r="K418" s="3">
        <v>0</v>
      </c>
      <c r="L418" s="3">
        <v>0</v>
      </c>
      <c r="M418" s="3">
        <v>0</v>
      </c>
      <c r="N418" s="3">
        <v>0</v>
      </c>
      <c r="O418" s="3">
        <v>0</v>
      </c>
      <c r="P418" s="3">
        <v>0</v>
      </c>
      <c r="Q418" s="3">
        <v>0</v>
      </c>
      <c r="R418" s="3">
        <v>0</v>
      </c>
      <c r="S418" s="67"/>
      <c r="T418">
        <f>VLOOKUP(A418,'Groupe de branches'!$Z$27:$AM$86,14,FALSE)</f>
        <v>0</v>
      </c>
      <c r="U418">
        <f>VLOOKUP(D418,'Groupe de branches'!$Z$27:$AM$86,14,FALSE)</f>
        <v>0</v>
      </c>
      <c r="V418">
        <v>2017</v>
      </c>
      <c r="W418" t="str">
        <f>VLOOKUP(D418,'Table corresp.'!$M$4:$S$63,7,FALSE)</f>
        <v>Produits de consommation courante</v>
      </c>
      <c r="X418" s="167">
        <f>IFERROR(G418/SUMIFS('Comp2016-2017 (3)'!$I$5:$I$289,'Comp2016-2017 (3)'!$A$5:$A$289,A418,'Comp2016-2017 (3)'!$R$5:$R$289,V418),0)</f>
        <v>1.1655920883344349E-2</v>
      </c>
      <c r="Y418" s="190">
        <f>IFERROR(IF(RIGHT(F418,3)="Exp",VLOOKUP(F418,#REF!,2,FALSE),VLOOKUP(F418,#REF!,9,FALSE)),1)</f>
        <v>1</v>
      </c>
      <c r="Z418" s="167">
        <f t="shared" si="51"/>
        <v>5.2631578947368418E-2</v>
      </c>
      <c r="AA418" s="189">
        <f t="shared" si="50"/>
        <v>6.1346952017601831E-4</v>
      </c>
      <c r="AB418" s="2">
        <f>IFERROR(SUMIFS('Comp2016-2017 (3)'!$G$5:$G$289,'Comp2016-2017 (3)'!$A$5:$A$289,A418,'Comp2016-2017 (3)'!$R$5:$R$289,V418)*AA418/SUMIFS($AA$4:$AA$1116,$A$4:$A$1116,A418,$V$4:$V$1116,V418),0)</f>
        <v>9550.251057360807</v>
      </c>
      <c r="AC418" s="2" t="str">
        <f>IF($W418=AC$3,$AB418,IF(NOT($W418=0),"",SUMIFS('Val-Vol (2)'!AC$4:AC$1116,'Val-Vol (2)'!$A$4:$A$1116,$D418,'Val-Vol (2)'!$V$4:$V$1116,$V418)/SUMIFS('Comp2016-2017 (3)'!$G$5:$G$289,'Comp2016-2017 (3)'!$A$5:$A$289,$D418,'Comp2016-2017 (3)'!$R$5:$R$289,$V418)*$AB418))</f>
        <v/>
      </c>
      <c r="AD418" s="2" t="str">
        <f>IF($W418=AD$3,$AB418,IF(NOT($W418=0),"",SUMIFS('Val-Vol (2)'!AD$4:AD$1116,'Val-Vol (2)'!$A$4:$A$1116,$D418,'Val-Vol (2)'!$V$4:$V$1116,$V418)/SUMIFS('Comp2016-2017 (3)'!$G$5:$G$289,'Comp2016-2017 (3)'!$A$5:$A$289,$D418,'Comp2016-2017 (3)'!$R$5:$R$289,$V418)*$AB418))</f>
        <v/>
      </c>
      <c r="AE418" s="2" t="str">
        <f>IF($W418=AE$3,$AB418,IF(NOT($W418=0),"",SUMIFS('Val-Vol (2)'!AE$4:AE$1116,'Val-Vol (2)'!$A$4:$A$1116,$D418,'Val-Vol (2)'!$V$4:$V$1116,$V418)/SUMIFS('Comp2016-2017 (3)'!$G$5:$G$289,'Comp2016-2017 (3)'!$A$5:$A$289,$D418,'Comp2016-2017 (3)'!$R$5:$R$289,$V418)*$AB418))</f>
        <v/>
      </c>
      <c r="AF418" s="2" t="str">
        <f>IF($W418=AF$3,$AB418,IF(NOT($W418=0),"",SUMIFS('Val-Vol (2)'!AF$4:AF$1116,'Val-Vol (2)'!$A$4:$A$1116,$D418,'Val-Vol (2)'!$V$4:$V$1116,$V418)/SUMIFS('Comp2016-2017 (3)'!$G$5:$G$289,'Comp2016-2017 (3)'!$A$5:$A$289,$D418,'Comp2016-2017 (3)'!$R$5:$R$289,$V418)*$AB418))</f>
        <v/>
      </c>
      <c r="AG418" s="2" t="str">
        <f>IF($W418=AG$3,$AB418,IF(NOT($W418=0),"",SUMIFS('Val-Vol (2)'!AG$4:AG$1116,'Val-Vol (2)'!$A$4:$A$1116,$D418,'Val-Vol (2)'!$V$4:$V$1116,$V418)/SUMIFS('Comp2016-2017 (3)'!$G$5:$G$289,'Comp2016-2017 (3)'!$A$5:$A$289,$D418,'Comp2016-2017 (3)'!$R$5:$R$289,$V418)*$AB418))</f>
        <v/>
      </c>
      <c r="AH418" s="2" t="str">
        <f>IF($W418=AH$3,$AB418,IF(NOT($W418=0),"",SUMIFS('Val-Vol (2)'!AH$4:AH$1116,'Val-Vol (2)'!$A$4:$A$1116,$D418,'Val-Vol (2)'!$V$4:$V$1116,$V418)/SUMIFS('Comp2016-2017 (3)'!$G$5:$G$289,'Comp2016-2017 (3)'!$A$5:$A$289,$D418,'Comp2016-2017 (3)'!$R$5:$R$289,$V418)*$AB418))</f>
        <v/>
      </c>
      <c r="AI418" s="2">
        <f>IF($W418=AI$3,$AB418,IF(NOT($W418=0),"",SUMIFS('Val-Vol (2)'!AI$4:AI$1116,'Val-Vol (2)'!$A$4:$A$1116,$D418,'Val-Vol (2)'!$V$4:$V$1116,$V418)/SUMIFS('Comp2016-2017 (3)'!$G$5:$G$289,'Comp2016-2017 (3)'!$A$5:$A$289,$D418,'Comp2016-2017 (3)'!$R$5:$R$289,$V418)*$AB418))</f>
        <v>9550.251057360807</v>
      </c>
      <c r="AJ418" s="2" t="str">
        <f>IF($W418=AJ$3,$AB418,IF(NOT($W418=0),"",SUMIFS('Val-Vol (2)'!AJ$4:AJ$1116,'Val-Vol (2)'!$A$4:$A$1116,$D418,'Val-Vol (2)'!$V$4:$V$1116,$V418)/SUMIFS('Comp2016-2017 (3)'!$G$5:$G$289,'Comp2016-2017 (3)'!$A$5:$A$289,$D418,'Comp2016-2017 (3)'!$R$5:$R$289,$V418)*$AB418))</f>
        <v/>
      </c>
      <c r="AK418" s="2">
        <f t="shared" si="47"/>
        <v>0</v>
      </c>
      <c r="AL418" t="str">
        <f t="shared" si="49"/>
        <v/>
      </c>
      <c r="AM418" t="str">
        <f>VLOOKUP(A418,'Table corresp.'!$M$4:$U$63,8,FALSE)</f>
        <v>Production intermédiaire</v>
      </c>
      <c r="AN418" t="str">
        <f>VLOOKUP(D418,'Table corresp.'!$M$4:$U$63,9,FALSE)</f>
        <v>Production intermédiaire</v>
      </c>
    </row>
    <row r="419" spans="1:40" x14ac:dyDescent="0.25">
      <c r="A419" t="s">
        <v>81</v>
      </c>
      <c r="B419" t="str">
        <f>VLOOKUP(LEFT(A419,3),'Table corresp.'!$A$4:$D$63,3,FALSE)</f>
        <v>Transformation</v>
      </c>
      <c r="C419" t="str">
        <f>VLOOKUP(A419,'Table corresp.'!$M$4:$P$63,4,FALSE)</f>
        <v>Production et transformation de produits bois</v>
      </c>
      <c r="D419" t="s">
        <v>54</v>
      </c>
      <c r="E419" t="str">
        <f>VLOOKUP(LEFT(D419,3),'Table corresp.'!$A$4:$D$63,4,FALSE)</f>
        <v>Consommation finale</v>
      </c>
      <c r="F419" t="str">
        <f t="shared" si="48"/>
        <v>05  - Con</v>
      </c>
      <c r="G419" s="3">
        <v>23.845814079857714</v>
      </c>
      <c r="H419" s="3">
        <v>0</v>
      </c>
      <c r="I419" s="3">
        <v>23.84581412919044</v>
      </c>
      <c r="J419" s="3">
        <v>0</v>
      </c>
      <c r="K419" s="3">
        <v>0</v>
      </c>
      <c r="L419" s="3">
        <v>0</v>
      </c>
      <c r="M419" s="3">
        <v>0</v>
      </c>
      <c r="N419" s="3">
        <v>0</v>
      </c>
      <c r="O419" s="3">
        <v>0</v>
      </c>
      <c r="P419" s="3">
        <v>0</v>
      </c>
      <c r="Q419" s="3">
        <v>0</v>
      </c>
      <c r="R419" s="3">
        <v>0</v>
      </c>
      <c r="S419" s="67"/>
      <c r="T419">
        <f>VLOOKUP(A419,'Groupe de branches'!$Z$27:$AM$86,14,FALSE)</f>
        <v>0</v>
      </c>
      <c r="U419">
        <f>VLOOKUP(D419,'Groupe de branches'!$Z$27:$AM$86,14,FALSE)</f>
        <v>0</v>
      </c>
      <c r="V419">
        <v>2017</v>
      </c>
      <c r="W419" t="str">
        <f>VLOOKUP(D419,'Table corresp.'!$M$4:$S$63,7,FALSE)</f>
        <v>Consommation finale</v>
      </c>
      <c r="X419" s="167">
        <f>IFERROR(G419/SUMIFS('Comp2016-2017 (3)'!$I$5:$I$289,'Comp2016-2017 (3)'!$A$5:$A$289,A419,'Comp2016-2017 (3)'!$R$5:$R$289,V419),0)</f>
        <v>2.11030231967257E-5</v>
      </c>
      <c r="Y419" s="190">
        <f>IFERROR(IF(RIGHT(F419,3)="Exp",VLOOKUP(F419,#REF!,2,FALSE),VLOOKUP(F419,#REF!,9,FALSE)),1)</f>
        <v>1</v>
      </c>
      <c r="Z419" s="167">
        <f t="shared" si="51"/>
        <v>5.2631578947368418E-2</v>
      </c>
      <c r="AA419" s="189">
        <f t="shared" si="50"/>
        <v>1.1106854314066156E-6</v>
      </c>
      <c r="AB419" s="2">
        <f>IFERROR(SUMIFS('Comp2016-2017 (3)'!$G$5:$G$289,'Comp2016-2017 (3)'!$A$5:$A$289,A419,'Comp2016-2017 (3)'!$R$5:$R$289,V419)*AA419/SUMIFS($AA$4:$AA$1116,$A$4:$A$1116,A419,$V$4:$V$1116,V419),0)</f>
        <v>17.290711872111903</v>
      </c>
      <c r="AC419" s="2" t="str">
        <f>IF($W419=AC$3,$AB419,IF(NOT($W419=0),"",SUMIFS('Val-Vol (2)'!AC$4:AC$1116,'Val-Vol (2)'!$A$4:$A$1116,$D419,'Val-Vol (2)'!$V$4:$V$1116,$V419)/SUMIFS('Comp2016-2017 (3)'!$G$5:$G$289,'Comp2016-2017 (3)'!$A$5:$A$289,$D419,'Comp2016-2017 (3)'!$R$5:$R$289,$V419)*$AB419))</f>
        <v/>
      </c>
      <c r="AD419" s="2" t="str">
        <f>IF($W419=AD$3,$AB419,IF(NOT($W419=0),"",SUMIFS('Val-Vol (2)'!AD$4:AD$1116,'Val-Vol (2)'!$A$4:$A$1116,$D419,'Val-Vol (2)'!$V$4:$V$1116,$V419)/SUMIFS('Comp2016-2017 (3)'!$G$5:$G$289,'Comp2016-2017 (3)'!$A$5:$A$289,$D419,'Comp2016-2017 (3)'!$R$5:$R$289,$V419)*$AB419))</f>
        <v/>
      </c>
      <c r="AE419" s="2" t="str">
        <f>IF($W419=AE$3,$AB419,IF(NOT($W419=0),"",SUMIFS('Val-Vol (2)'!AE$4:AE$1116,'Val-Vol (2)'!$A$4:$A$1116,$D419,'Val-Vol (2)'!$V$4:$V$1116,$V419)/SUMIFS('Comp2016-2017 (3)'!$G$5:$G$289,'Comp2016-2017 (3)'!$A$5:$A$289,$D419,'Comp2016-2017 (3)'!$R$5:$R$289,$V419)*$AB419))</f>
        <v/>
      </c>
      <c r="AF419" s="2" t="str">
        <f>IF($W419=AF$3,$AB419,IF(NOT($W419=0),"",SUMIFS('Val-Vol (2)'!AF$4:AF$1116,'Val-Vol (2)'!$A$4:$A$1116,$D419,'Val-Vol (2)'!$V$4:$V$1116,$V419)/SUMIFS('Comp2016-2017 (3)'!$G$5:$G$289,'Comp2016-2017 (3)'!$A$5:$A$289,$D419,'Comp2016-2017 (3)'!$R$5:$R$289,$V419)*$AB419))</f>
        <v/>
      </c>
      <c r="AG419" s="2" t="str">
        <f>IF($W419=AG$3,$AB419,IF(NOT($W419=0),"",SUMIFS('Val-Vol (2)'!AG$4:AG$1116,'Val-Vol (2)'!$A$4:$A$1116,$D419,'Val-Vol (2)'!$V$4:$V$1116,$V419)/SUMIFS('Comp2016-2017 (3)'!$G$5:$G$289,'Comp2016-2017 (3)'!$A$5:$A$289,$D419,'Comp2016-2017 (3)'!$R$5:$R$289,$V419)*$AB419))</f>
        <v/>
      </c>
      <c r="AH419" s="2" t="str">
        <f>IF($W419=AH$3,$AB419,IF(NOT($W419=0),"",SUMIFS('Val-Vol (2)'!AH$4:AH$1116,'Val-Vol (2)'!$A$4:$A$1116,$D419,'Val-Vol (2)'!$V$4:$V$1116,$V419)/SUMIFS('Comp2016-2017 (3)'!$G$5:$G$289,'Comp2016-2017 (3)'!$A$5:$A$289,$D419,'Comp2016-2017 (3)'!$R$5:$R$289,$V419)*$AB419))</f>
        <v/>
      </c>
      <c r="AI419" s="2" t="str">
        <f>IF($W419=AI$3,$AB419,IF(NOT($W419=0),"",SUMIFS('Val-Vol (2)'!AI$4:AI$1116,'Val-Vol (2)'!$A$4:$A$1116,$D419,'Val-Vol (2)'!$V$4:$V$1116,$V419)/SUMIFS('Comp2016-2017 (3)'!$G$5:$G$289,'Comp2016-2017 (3)'!$A$5:$A$289,$D419,'Comp2016-2017 (3)'!$R$5:$R$289,$V419)*$AB419))</f>
        <v/>
      </c>
      <c r="AJ419" s="2">
        <f>IF($W419=AJ$3,$AB419,IF(NOT($W419=0),"",SUMIFS('Val-Vol (2)'!AJ$4:AJ$1116,'Val-Vol (2)'!$A$4:$A$1116,$D419,'Val-Vol (2)'!$V$4:$V$1116,$V419)/SUMIFS('Comp2016-2017 (3)'!$G$5:$G$289,'Comp2016-2017 (3)'!$A$5:$A$289,$D419,'Comp2016-2017 (3)'!$R$5:$R$289,$V419)*$AB419))</f>
        <v>17.290711872111903</v>
      </c>
      <c r="AK419" s="2">
        <f t="shared" si="47"/>
        <v>0</v>
      </c>
      <c r="AL419" t="str">
        <f t="shared" si="49"/>
        <v/>
      </c>
      <c r="AM419" t="str">
        <f>VLOOKUP(A419,'Table corresp.'!$M$4:$U$63,8,FALSE)</f>
        <v>Production intermédiaire</v>
      </c>
      <c r="AN419" t="str">
        <f>VLOOKUP(D419,'Table corresp.'!$M$4:$U$63,9,FALSE)</f>
        <v>Consommation finale française</v>
      </c>
    </row>
    <row r="420" spans="1:40" x14ac:dyDescent="0.25">
      <c r="A420" t="s">
        <v>81</v>
      </c>
      <c r="B420" t="str">
        <f>VLOOKUP(LEFT(A420,3),'Table corresp.'!$A$4:$D$63,3,FALSE)</f>
        <v>Transformation</v>
      </c>
      <c r="C420" t="str">
        <f>VLOOKUP(A420,'Table corresp.'!$M$4:$P$63,4,FALSE)</f>
        <v>Production et transformation de produits bois</v>
      </c>
      <c r="D420" t="s">
        <v>53</v>
      </c>
      <c r="E420" t="str">
        <f>VLOOKUP(LEFT(D420,3),'Table corresp.'!$A$4:$D$63,4,FALSE)</f>
        <v>Exportation</v>
      </c>
      <c r="F420" t="str">
        <f t="shared" si="48"/>
        <v>05  - Exp</v>
      </c>
      <c r="G420" s="3">
        <v>73003.324598804073</v>
      </c>
      <c r="H420" s="3">
        <v>0</v>
      </c>
      <c r="I420" s="3">
        <v>73003.324749834894</v>
      </c>
      <c r="J420" s="3">
        <v>0</v>
      </c>
      <c r="K420" s="3">
        <v>0</v>
      </c>
      <c r="L420" s="3">
        <v>0</v>
      </c>
      <c r="M420" s="3">
        <v>0</v>
      </c>
      <c r="N420" s="3">
        <v>0</v>
      </c>
      <c r="O420" s="3">
        <v>0</v>
      </c>
      <c r="P420" s="3">
        <v>0</v>
      </c>
      <c r="Q420" s="3">
        <v>0</v>
      </c>
      <c r="R420" s="3">
        <v>0</v>
      </c>
      <c r="S420" s="67"/>
      <c r="T420">
        <f>VLOOKUP(A420,'Groupe de branches'!$Z$27:$AM$86,14,FALSE)</f>
        <v>0</v>
      </c>
      <c r="U420">
        <f>VLOOKUP(D420,'Groupe de branches'!$Z$27:$AM$86,14,FALSE)</f>
        <v>0</v>
      </c>
      <c r="V420">
        <v>2017</v>
      </c>
      <c r="W420" t="str">
        <f>VLOOKUP(D420,'Table corresp.'!$M$4:$S$63,7,FALSE)</f>
        <v>Exportation</v>
      </c>
      <c r="X420" s="167">
        <f>IFERROR(G420/SUMIFS('Comp2016-2017 (3)'!$I$5:$I$289,'Comp2016-2017 (3)'!$A$5:$A$289,A420,'Comp2016-2017 (3)'!$R$5:$R$289,V420),0)</f>
        <v>6.4606343372775751E-2</v>
      </c>
      <c r="Y420" s="190">
        <f>IFERROR(IF(RIGHT(F420,3)="Exp",VLOOKUP(F420,#REF!,2,FALSE),VLOOKUP(F420,#REF!,9,FALSE)),1)</f>
        <v>1</v>
      </c>
      <c r="Z420" s="167">
        <f t="shared" si="51"/>
        <v>5.2631578947368418E-2</v>
      </c>
      <c r="AA420" s="189">
        <f t="shared" si="50"/>
        <v>3.4003338617250392E-3</v>
      </c>
      <c r="AB420" s="2">
        <f>IFERROR(SUMIFS('Comp2016-2017 (3)'!$G$5:$G$289,'Comp2016-2017 (3)'!$A$5:$A$289,A420,'Comp2016-2017 (3)'!$R$5:$R$289,V420)*AA420/SUMIFS($AA$4:$AA$1116,$A$4:$A$1116,A420,$V$4:$V$1116,V420),0)</f>
        <v>52935.053805121024</v>
      </c>
      <c r="AC420" s="2">
        <f>IF($W420=AC$3,$AB420,IF(NOT($W420=0),"",SUMIFS('Val-Vol (2)'!AC$4:AC$1116,'Val-Vol (2)'!$A$4:$A$1116,$D420,'Val-Vol (2)'!$V$4:$V$1116,$V420)/SUMIFS('Comp2016-2017 (3)'!$G$5:$G$289,'Comp2016-2017 (3)'!$A$5:$A$289,$D420,'Comp2016-2017 (3)'!$R$5:$R$289,$V420)*$AB420))</f>
        <v>52935.053805121024</v>
      </c>
      <c r="AD420" s="2" t="str">
        <f>IF($W420=AD$3,$AB420,IF(NOT($W420=0),"",SUMIFS('Val-Vol (2)'!AD$4:AD$1116,'Val-Vol (2)'!$A$4:$A$1116,$D420,'Val-Vol (2)'!$V$4:$V$1116,$V420)/SUMIFS('Comp2016-2017 (3)'!$G$5:$G$289,'Comp2016-2017 (3)'!$A$5:$A$289,$D420,'Comp2016-2017 (3)'!$R$5:$R$289,$V420)*$AB420))</f>
        <v/>
      </c>
      <c r="AE420" s="2" t="str">
        <f>IF($W420=AE$3,$AB420,IF(NOT($W420=0),"",SUMIFS('Val-Vol (2)'!AE$4:AE$1116,'Val-Vol (2)'!$A$4:$A$1116,$D420,'Val-Vol (2)'!$V$4:$V$1116,$V420)/SUMIFS('Comp2016-2017 (3)'!$G$5:$G$289,'Comp2016-2017 (3)'!$A$5:$A$289,$D420,'Comp2016-2017 (3)'!$R$5:$R$289,$V420)*$AB420))</f>
        <v/>
      </c>
      <c r="AF420" s="2" t="str">
        <f>IF($W420=AF$3,$AB420,IF(NOT($W420=0),"",SUMIFS('Val-Vol (2)'!AF$4:AF$1116,'Val-Vol (2)'!$A$4:$A$1116,$D420,'Val-Vol (2)'!$V$4:$V$1116,$V420)/SUMIFS('Comp2016-2017 (3)'!$G$5:$G$289,'Comp2016-2017 (3)'!$A$5:$A$289,$D420,'Comp2016-2017 (3)'!$R$5:$R$289,$V420)*$AB420))</f>
        <v/>
      </c>
      <c r="AG420" s="2" t="str">
        <f>IF($W420=AG$3,$AB420,IF(NOT($W420=0),"",SUMIFS('Val-Vol (2)'!AG$4:AG$1116,'Val-Vol (2)'!$A$4:$A$1116,$D420,'Val-Vol (2)'!$V$4:$V$1116,$V420)/SUMIFS('Comp2016-2017 (3)'!$G$5:$G$289,'Comp2016-2017 (3)'!$A$5:$A$289,$D420,'Comp2016-2017 (3)'!$R$5:$R$289,$V420)*$AB420))</f>
        <v/>
      </c>
      <c r="AH420" s="2" t="str">
        <f>IF($W420=AH$3,$AB420,IF(NOT($W420=0),"",SUMIFS('Val-Vol (2)'!AH$4:AH$1116,'Val-Vol (2)'!$A$4:$A$1116,$D420,'Val-Vol (2)'!$V$4:$V$1116,$V420)/SUMIFS('Comp2016-2017 (3)'!$G$5:$G$289,'Comp2016-2017 (3)'!$A$5:$A$289,$D420,'Comp2016-2017 (3)'!$R$5:$R$289,$V420)*$AB420))</f>
        <v/>
      </c>
      <c r="AI420" s="2" t="str">
        <f>IF($W420=AI$3,$AB420,IF(NOT($W420=0),"",SUMIFS('Val-Vol (2)'!AI$4:AI$1116,'Val-Vol (2)'!$A$4:$A$1116,$D420,'Val-Vol (2)'!$V$4:$V$1116,$V420)/SUMIFS('Comp2016-2017 (3)'!$G$5:$G$289,'Comp2016-2017 (3)'!$A$5:$A$289,$D420,'Comp2016-2017 (3)'!$R$5:$R$289,$V420)*$AB420))</f>
        <v/>
      </c>
      <c r="AJ420" s="2" t="str">
        <f>IF($W420=AJ$3,$AB420,IF(NOT($W420=0),"",SUMIFS('Val-Vol (2)'!AJ$4:AJ$1116,'Val-Vol (2)'!$A$4:$A$1116,$D420,'Val-Vol (2)'!$V$4:$V$1116,$V420)/SUMIFS('Comp2016-2017 (3)'!$G$5:$G$289,'Comp2016-2017 (3)'!$A$5:$A$289,$D420,'Comp2016-2017 (3)'!$R$5:$R$289,$V420)*$AB420))</f>
        <v/>
      </c>
      <c r="AK420" s="2">
        <f t="shared" si="47"/>
        <v>0</v>
      </c>
      <c r="AL420" t="str">
        <f t="shared" si="49"/>
        <v/>
      </c>
      <c r="AM420" t="str">
        <f>VLOOKUP(A420,'Table corresp.'!$M$4:$U$63,8,FALSE)</f>
        <v>Production intermédiaire</v>
      </c>
      <c r="AN420" t="str">
        <f>VLOOKUP(D420,'Table corresp.'!$M$4:$U$63,9,FALSE)</f>
        <v>Exportation</v>
      </c>
    </row>
    <row r="421" spans="1:40" x14ac:dyDescent="0.25">
      <c r="A421" t="s">
        <v>3</v>
      </c>
      <c r="B421" t="str">
        <f>VLOOKUP(LEFT(A421,3),'Table corresp.'!$A$4:$D$63,3,FALSE)</f>
        <v>Transformation</v>
      </c>
      <c r="C421" t="str">
        <f>VLOOKUP(A421,'Table corresp.'!$M$4:$P$63,4,FALSE)</f>
        <v>Production et transformation de produits bois</v>
      </c>
      <c r="D421" t="s">
        <v>0</v>
      </c>
      <c r="E421" t="str">
        <f>VLOOKUP(LEFT(D421,3),'Table corresp.'!$A$4:$D$63,4,FALSE)</f>
        <v>Transformation</v>
      </c>
      <c r="F421" t="str">
        <f t="shared" si="48"/>
        <v xml:space="preserve">06  - 02 </v>
      </c>
      <c r="G421" s="3">
        <v>81191.734446209986</v>
      </c>
      <c r="H421" s="3">
        <v>0</v>
      </c>
      <c r="I421" s="3">
        <v>81191.735817272071</v>
      </c>
      <c r="J421" s="3">
        <v>0</v>
      </c>
      <c r="K421" s="3">
        <v>0</v>
      </c>
      <c r="L421" s="3">
        <v>0</v>
      </c>
      <c r="M421" s="3">
        <v>0</v>
      </c>
      <c r="N421" s="3">
        <v>0</v>
      </c>
      <c r="O421" s="3">
        <v>0</v>
      </c>
      <c r="P421" s="3">
        <v>0</v>
      </c>
      <c r="Q421" s="3">
        <v>0</v>
      </c>
      <c r="R421" s="3">
        <v>0</v>
      </c>
      <c r="S421" s="67"/>
      <c r="T421">
        <f>VLOOKUP(A421,'Groupe de branches'!$Z$27:$AM$86,14,FALSE)</f>
        <v>0</v>
      </c>
      <c r="U421">
        <f>VLOOKUP(D421,'Groupe de branches'!$Z$27:$AM$86,14,FALSE)</f>
        <v>0</v>
      </c>
      <c r="V421">
        <v>2017</v>
      </c>
      <c r="W421">
        <f>VLOOKUP(D421,'Table corresp.'!$M$4:$S$63,7,FALSE)</f>
        <v>0</v>
      </c>
      <c r="X421" s="167">
        <f>IFERROR(G421/SUMIFS('Comp2016-2017 (3)'!$I$5:$I$289,'Comp2016-2017 (3)'!$A$5:$A$289,A421,'Comp2016-2017 (3)'!$R$5:$R$289,V421),0)</f>
        <v>0.33169178325520793</v>
      </c>
      <c r="Y421" s="190">
        <v>11</v>
      </c>
      <c r="Z421" s="167">
        <f t="shared" si="51"/>
        <v>0.40740740740740738</v>
      </c>
      <c r="AA421" s="189">
        <f t="shared" si="50"/>
        <v>0.13513368947434395</v>
      </c>
      <c r="AB421" s="2">
        <f>IFERROR(SUMIFS('Comp2016-2017 (3)'!$G$5:$G$289,'Comp2016-2017 (3)'!$A$5:$A$289,A421,'Comp2016-2017 (3)'!$R$5:$R$289,V421)*AA421/SUMIFS($AA$4:$AA$1116,$A$4:$A$1116,A421,$V$4:$V$1116,V421),0)</f>
        <v>41613.725602007209</v>
      </c>
      <c r="AC421" s="2">
        <f>IF($W421=AC$3,$AB421,IF(NOT($W421=0),"",SUMIFS('Val-Vol (2)'!AC$4:AC$1116,'Val-Vol (2)'!$A$4:$A$1116,$D421,'Val-Vol (2)'!$V$4:$V$1116,$V421)/SUMIFS('Comp2016-2017 (3)'!$G$5:$G$289,'Comp2016-2017 (3)'!$A$5:$A$289,$D421,'Comp2016-2017 (3)'!$R$5:$R$289,$V421)*$AB421))</f>
        <v>10548.922618631084</v>
      </c>
      <c r="AD421" s="2">
        <f>IF($W421=AD$3,$AB421,IF(NOT($W421=0),"",SUMIFS('Val-Vol (2)'!AD$4:AD$1116,'Val-Vol (2)'!$A$4:$A$1116,$D421,'Val-Vol (2)'!$V$4:$V$1116,$V421)/SUMIFS('Comp2016-2017 (3)'!$G$5:$G$289,'Comp2016-2017 (3)'!$A$5:$A$289,$D421,'Comp2016-2017 (3)'!$R$5:$R$289,$V421)*$AB421))</f>
        <v>12007.370470218755</v>
      </c>
      <c r="AE421" s="2">
        <f>IF($W421=AE$3,$AB421,IF(NOT($W421=0),"",SUMIFS('Val-Vol (2)'!AE$4:AE$1116,'Val-Vol (2)'!$A$4:$A$1116,$D421,'Val-Vol (2)'!$V$4:$V$1116,$V421)/SUMIFS('Comp2016-2017 (3)'!$G$5:$G$289,'Comp2016-2017 (3)'!$A$5:$A$289,$D421,'Comp2016-2017 (3)'!$R$5:$R$289,$V421)*$AB421))</f>
        <v>1378.5296147157103</v>
      </c>
      <c r="AF421" s="2">
        <f>IF($W421=AF$3,$AB421,IF(NOT($W421=0),"",SUMIFS('Val-Vol (2)'!AF$4:AF$1116,'Val-Vol (2)'!$A$4:$A$1116,$D421,'Val-Vol (2)'!$V$4:$V$1116,$V421)/SUMIFS('Comp2016-2017 (3)'!$G$5:$G$289,'Comp2016-2017 (3)'!$A$5:$A$289,$D421,'Comp2016-2017 (3)'!$R$5:$R$289,$V421)*$AB421))</f>
        <v>0</v>
      </c>
      <c r="AG421" s="2">
        <f>IF($W421=AG$3,$AB421,IF(NOT($W421=0),"",SUMIFS('Val-Vol (2)'!AG$4:AG$1116,'Val-Vol (2)'!$A$4:$A$1116,$D421,'Val-Vol (2)'!$V$4:$V$1116,$V421)/SUMIFS('Comp2016-2017 (3)'!$G$5:$G$289,'Comp2016-2017 (3)'!$A$5:$A$289,$D421,'Comp2016-2017 (3)'!$R$5:$R$289,$V421)*$AB421))</f>
        <v>9896.216176832444</v>
      </c>
      <c r="AH421" s="2">
        <f>IF($W421=AH$3,$AB421,IF(NOT($W421=0),"",SUMIFS('Val-Vol (2)'!AH$4:AH$1116,'Val-Vol (2)'!$A$4:$A$1116,$D421,'Val-Vol (2)'!$V$4:$V$1116,$V421)/SUMIFS('Comp2016-2017 (3)'!$G$5:$G$289,'Comp2016-2017 (3)'!$A$5:$A$289,$D421,'Comp2016-2017 (3)'!$R$5:$R$289,$V421)*$AB421))</f>
        <v>0</v>
      </c>
      <c r="AI421" s="2">
        <f>IF($W421=AI$3,$AB421,IF(NOT($W421=0),"",SUMIFS('Val-Vol (2)'!AI$4:AI$1116,'Val-Vol (2)'!$A$4:$A$1116,$D421,'Val-Vol (2)'!$V$4:$V$1116,$V421)/SUMIFS('Comp2016-2017 (3)'!$G$5:$G$289,'Comp2016-2017 (3)'!$A$5:$A$289,$D421,'Comp2016-2017 (3)'!$R$5:$R$289,$V421)*$AB421))</f>
        <v>2406.1254789028471</v>
      </c>
      <c r="AJ421" s="2">
        <f>IF($W421=AJ$3,$AB421,IF(NOT($W421=0),"",SUMIFS('Val-Vol (2)'!AJ$4:AJ$1116,'Val-Vol (2)'!$A$4:$A$1116,$D421,'Val-Vol (2)'!$V$4:$V$1116,$V421)/SUMIFS('Comp2016-2017 (3)'!$G$5:$G$289,'Comp2016-2017 (3)'!$A$5:$A$289,$D421,'Comp2016-2017 (3)'!$R$5:$R$289,$V421)*$AB421))</f>
        <v>5376.5612427063807</v>
      </c>
      <c r="AK421" s="2">
        <f t="shared" si="47"/>
        <v>0</v>
      </c>
      <c r="AL421" t="str">
        <f t="shared" si="49"/>
        <v/>
      </c>
      <c r="AM421" t="str">
        <f>VLOOKUP(A421,'Table corresp.'!$M$4:$U$63,8,FALSE)</f>
        <v>Production intermédiaire</v>
      </c>
      <c r="AN421" t="str">
        <f>VLOOKUP(D421,'Table corresp.'!$M$4:$U$63,9,FALSE)</f>
        <v>Production intermédiaire</v>
      </c>
    </row>
    <row r="422" spans="1:40" x14ac:dyDescent="0.25">
      <c r="A422" t="s">
        <v>3</v>
      </c>
      <c r="B422" t="str">
        <f>VLOOKUP(LEFT(A422,3),'Table corresp.'!$A$4:$D$63,3,FALSE)</f>
        <v>Transformation</v>
      </c>
      <c r="C422" t="str">
        <f>VLOOKUP(A422,'Table corresp.'!$M$4:$P$63,4,FALSE)</f>
        <v>Production et transformation de produits bois</v>
      </c>
      <c r="D422" t="s">
        <v>2</v>
      </c>
      <c r="E422" t="str">
        <f>VLOOKUP(LEFT(D422,3),'Table corresp.'!$A$4:$D$63,4,FALSE)</f>
        <v>Transformation</v>
      </c>
      <c r="F422" t="str">
        <f t="shared" si="48"/>
        <v xml:space="preserve">06  - 04 </v>
      </c>
      <c r="G422" s="3">
        <v>22744.712464765114</v>
      </c>
      <c r="H422" s="3">
        <v>0</v>
      </c>
      <c r="I422" s="3">
        <v>22744.712848848707</v>
      </c>
      <c r="J422" s="3">
        <v>0</v>
      </c>
      <c r="K422" s="3">
        <v>0</v>
      </c>
      <c r="L422" s="3">
        <v>0</v>
      </c>
      <c r="M422" s="3">
        <v>0</v>
      </c>
      <c r="N422" s="3">
        <v>0</v>
      </c>
      <c r="O422" s="3">
        <v>0</v>
      </c>
      <c r="P422" s="3">
        <v>0</v>
      </c>
      <c r="Q422" s="3">
        <v>0</v>
      </c>
      <c r="R422" s="3">
        <v>0</v>
      </c>
      <c r="S422" s="67"/>
      <c r="T422">
        <f>VLOOKUP(A422,'Groupe de branches'!$Z$27:$AM$86,14,FALSE)</f>
        <v>0</v>
      </c>
      <c r="U422">
        <f>VLOOKUP(D422,'Groupe de branches'!$Z$27:$AM$86,14,FALSE)</f>
        <v>0</v>
      </c>
      <c r="V422">
        <v>2017</v>
      </c>
      <c r="W422" t="str">
        <f>VLOOKUP(D422,'Table corresp.'!$M$4:$S$63,7,FALSE)</f>
        <v>Energie</v>
      </c>
      <c r="X422" s="167">
        <f>IFERROR(G422/SUMIFS('Comp2016-2017 (3)'!$I$5:$I$289,'Comp2016-2017 (3)'!$A$5:$A$289,A422,'Comp2016-2017 (3)'!$R$5:$R$289,V422),0)</f>
        <v>9.291874706855778E-2</v>
      </c>
      <c r="Y422" s="190">
        <f>IFERROR(IF(RIGHT(F422,3)="Exp",VLOOKUP(F422,#REF!,2,FALSE),VLOOKUP(F422,#REF!,9,FALSE)),1)</f>
        <v>1</v>
      </c>
      <c r="Z422" s="167">
        <f t="shared" si="51"/>
        <v>3.7037037037037035E-2</v>
      </c>
      <c r="AA422" s="189">
        <f t="shared" si="50"/>
        <v>3.441435076613251E-3</v>
      </c>
      <c r="AB422" s="2">
        <f>IFERROR(SUMIFS('Comp2016-2017 (3)'!$G$5:$G$289,'Comp2016-2017 (3)'!$A$5:$A$289,A422,'Comp2016-2017 (3)'!$R$5:$R$289,V422)*AA422/SUMIFS($AA$4:$AA$1116,$A$4:$A$1116,A422,$V$4:$V$1116,V422),0)</f>
        <v>1059.7722559961337</v>
      </c>
      <c r="AC422" s="2" t="str">
        <f>IF($W422=AC$3,$AB422,IF(NOT($W422=0),"",SUMIFS('Val-Vol (2)'!AC$4:AC$1116,'Val-Vol (2)'!$A$4:$A$1116,$D422,'Val-Vol (2)'!$V$4:$V$1116,$V422)/SUMIFS('Comp2016-2017 (3)'!$G$5:$G$289,'Comp2016-2017 (3)'!$A$5:$A$289,$D422,'Comp2016-2017 (3)'!$R$5:$R$289,$V422)*$AB422))</f>
        <v/>
      </c>
      <c r="AD422" s="2" t="str">
        <f>IF($W422=AD$3,$AB422,IF(NOT($W422=0),"",SUMIFS('Val-Vol (2)'!AD$4:AD$1116,'Val-Vol (2)'!$A$4:$A$1116,$D422,'Val-Vol (2)'!$V$4:$V$1116,$V422)/SUMIFS('Comp2016-2017 (3)'!$G$5:$G$289,'Comp2016-2017 (3)'!$A$5:$A$289,$D422,'Comp2016-2017 (3)'!$R$5:$R$289,$V422)*$AB422))</f>
        <v/>
      </c>
      <c r="AE422" s="2" t="str">
        <f>IF($W422=AE$3,$AB422,IF(NOT($W422=0),"",SUMIFS('Val-Vol (2)'!AE$4:AE$1116,'Val-Vol (2)'!$A$4:$A$1116,$D422,'Val-Vol (2)'!$V$4:$V$1116,$V422)/SUMIFS('Comp2016-2017 (3)'!$G$5:$G$289,'Comp2016-2017 (3)'!$A$5:$A$289,$D422,'Comp2016-2017 (3)'!$R$5:$R$289,$V422)*$AB422))</f>
        <v/>
      </c>
      <c r="AF422" s="2" t="str">
        <f>IF($W422=AF$3,$AB422,IF(NOT($W422=0),"",SUMIFS('Val-Vol (2)'!AF$4:AF$1116,'Val-Vol (2)'!$A$4:$A$1116,$D422,'Val-Vol (2)'!$V$4:$V$1116,$V422)/SUMIFS('Comp2016-2017 (3)'!$G$5:$G$289,'Comp2016-2017 (3)'!$A$5:$A$289,$D422,'Comp2016-2017 (3)'!$R$5:$R$289,$V422)*$AB422))</f>
        <v/>
      </c>
      <c r="AG422" s="2" t="str">
        <f>IF($W422=AG$3,$AB422,IF(NOT($W422=0),"",SUMIFS('Val-Vol (2)'!AG$4:AG$1116,'Val-Vol (2)'!$A$4:$A$1116,$D422,'Val-Vol (2)'!$V$4:$V$1116,$V422)/SUMIFS('Comp2016-2017 (3)'!$G$5:$G$289,'Comp2016-2017 (3)'!$A$5:$A$289,$D422,'Comp2016-2017 (3)'!$R$5:$R$289,$V422)*$AB422))</f>
        <v/>
      </c>
      <c r="AH422" s="2">
        <f>IF($W422=AH$3,$AB422,IF(NOT($W422=0),"",SUMIFS('Val-Vol (2)'!AH$4:AH$1116,'Val-Vol (2)'!$A$4:$A$1116,$D422,'Val-Vol (2)'!$V$4:$V$1116,$V422)/SUMIFS('Comp2016-2017 (3)'!$G$5:$G$289,'Comp2016-2017 (3)'!$A$5:$A$289,$D422,'Comp2016-2017 (3)'!$R$5:$R$289,$V422)*$AB422))</f>
        <v>1059.7722559961337</v>
      </c>
      <c r="AI422" s="2" t="str">
        <f>IF($W422=AI$3,$AB422,IF(NOT($W422=0),"",SUMIFS('Val-Vol (2)'!AI$4:AI$1116,'Val-Vol (2)'!$A$4:$A$1116,$D422,'Val-Vol (2)'!$V$4:$V$1116,$V422)/SUMIFS('Comp2016-2017 (3)'!$G$5:$G$289,'Comp2016-2017 (3)'!$A$5:$A$289,$D422,'Comp2016-2017 (3)'!$R$5:$R$289,$V422)*$AB422))</f>
        <v/>
      </c>
      <c r="AJ422" s="2" t="str">
        <f>IF($W422=AJ$3,$AB422,IF(NOT($W422=0),"",SUMIFS('Val-Vol (2)'!AJ$4:AJ$1116,'Val-Vol (2)'!$A$4:$A$1116,$D422,'Val-Vol (2)'!$V$4:$V$1116,$V422)/SUMIFS('Comp2016-2017 (3)'!$G$5:$G$289,'Comp2016-2017 (3)'!$A$5:$A$289,$D422,'Comp2016-2017 (3)'!$R$5:$R$289,$V422)*$AB422))</f>
        <v/>
      </c>
      <c r="AK422" s="2">
        <f t="shared" si="47"/>
        <v>0</v>
      </c>
      <c r="AL422" t="str">
        <f t="shared" si="49"/>
        <v/>
      </c>
      <c r="AM422" t="str">
        <f>VLOOKUP(A422,'Table corresp.'!$M$4:$U$63,8,FALSE)</f>
        <v>Production intermédiaire</v>
      </c>
      <c r="AN422" t="str">
        <f>VLOOKUP(D422,'Table corresp.'!$M$4:$U$63,9,FALSE)</f>
        <v>Production intermédiaire</v>
      </c>
    </row>
    <row r="423" spans="1:40" x14ac:dyDescent="0.25">
      <c r="A423" t="s">
        <v>3</v>
      </c>
      <c r="B423" t="str">
        <f>VLOOKUP(LEFT(A423,3),'Table corresp.'!$A$4:$D$63,3,FALSE)</f>
        <v>Transformation</v>
      </c>
      <c r="C423" t="str">
        <f>VLOOKUP(A423,'Table corresp.'!$M$4:$P$63,4,FALSE)</f>
        <v>Production et transformation de produits bois</v>
      </c>
      <c r="D423" t="s">
        <v>4</v>
      </c>
      <c r="E423" t="str">
        <f>VLOOKUP(LEFT(D423,3),'Table corresp.'!$A$4:$D$63,4,FALSE)</f>
        <v>Transformation</v>
      </c>
      <c r="F423" t="str">
        <f t="shared" si="48"/>
        <v xml:space="preserve">06  - 08 </v>
      </c>
      <c r="G423" s="3">
        <v>6239.0010082854251</v>
      </c>
      <c r="H423" s="3">
        <v>0</v>
      </c>
      <c r="I423" s="3">
        <v>6239.0011136416879</v>
      </c>
      <c r="J423" s="3">
        <v>0</v>
      </c>
      <c r="K423" s="3">
        <v>0</v>
      </c>
      <c r="L423" s="3">
        <v>0</v>
      </c>
      <c r="M423" s="3">
        <v>0</v>
      </c>
      <c r="N423" s="3">
        <v>0</v>
      </c>
      <c r="O423" s="3">
        <v>0</v>
      </c>
      <c r="P423" s="3">
        <v>0</v>
      </c>
      <c r="Q423" s="3">
        <v>0</v>
      </c>
      <c r="R423" s="3">
        <v>0</v>
      </c>
      <c r="S423" s="67"/>
      <c r="T423">
        <f>VLOOKUP(A423,'Groupe de branches'!$Z$27:$AM$86,14,FALSE)</f>
        <v>0</v>
      </c>
      <c r="U423">
        <f>VLOOKUP(D423,'Groupe de branches'!$Z$27:$AM$86,14,FALSE)</f>
        <v>0</v>
      </c>
      <c r="V423">
        <v>2017</v>
      </c>
      <c r="W423">
        <f>VLOOKUP(D423,'Table corresp.'!$M$4:$S$63,7,FALSE)</f>
        <v>0</v>
      </c>
      <c r="X423" s="167">
        <f>IFERROR(G423/SUMIFS('Comp2016-2017 (3)'!$I$5:$I$289,'Comp2016-2017 (3)'!$A$5:$A$289,A423,'Comp2016-2017 (3)'!$R$5:$R$289,V423),0)</f>
        <v>2.5488128616592613E-2</v>
      </c>
      <c r="Y423" s="190">
        <f>IFERROR(IF(RIGHT(F423,3)="Exp",VLOOKUP(F423,#REF!,2,FALSE),VLOOKUP(F423,#REF!,9,FALSE)),1)</f>
        <v>1</v>
      </c>
      <c r="Z423" s="167">
        <f t="shared" si="51"/>
        <v>3.7037037037037035E-2</v>
      </c>
      <c r="AA423" s="189">
        <f t="shared" si="50"/>
        <v>9.4400476357750409E-4</v>
      </c>
      <c r="AB423" s="2">
        <f>IFERROR(SUMIFS('Comp2016-2017 (3)'!$G$5:$G$289,'Comp2016-2017 (3)'!$A$5:$A$289,A423,'Comp2016-2017 (3)'!$R$5:$R$289,V423)*AA423/SUMIFS($AA$4:$AA$1116,$A$4:$A$1116,A423,$V$4:$V$1116,V423),0)</f>
        <v>290.70141836066864</v>
      </c>
      <c r="AC423" s="2">
        <f>IF($W423=AC$3,$AB423,IF(NOT($W423=0),"",SUMIFS('Val-Vol (2)'!AC$4:AC$1116,'Val-Vol (2)'!$A$4:$A$1116,$D423,'Val-Vol (2)'!$V$4:$V$1116,$V423)/SUMIFS('Comp2016-2017 (3)'!$G$5:$G$289,'Comp2016-2017 (3)'!$A$5:$A$289,$D423,'Comp2016-2017 (3)'!$R$5:$R$289,$V423)*$AB423))</f>
        <v>79.840118829322037</v>
      </c>
      <c r="AD423" s="2">
        <f>IF($W423=AD$3,$AB423,IF(NOT($W423=0),"",SUMIFS('Val-Vol (2)'!AD$4:AD$1116,'Val-Vol (2)'!$A$4:$A$1116,$D423,'Val-Vol (2)'!$V$4:$V$1116,$V423)/SUMIFS('Comp2016-2017 (3)'!$G$5:$G$289,'Comp2016-2017 (3)'!$A$5:$A$289,$D423,'Comp2016-2017 (3)'!$R$5:$R$289,$V423)*$AB423))</f>
        <v>79.126355535952996</v>
      </c>
      <c r="AE423" s="2">
        <f>IF($W423=AE$3,$AB423,IF(NOT($W423=0),"",SUMIFS('Val-Vol (2)'!AE$4:AE$1116,'Val-Vol (2)'!$A$4:$A$1116,$D423,'Val-Vol (2)'!$V$4:$V$1116,$V423)/SUMIFS('Comp2016-2017 (3)'!$G$5:$G$289,'Comp2016-2017 (3)'!$A$5:$A$289,$D423,'Comp2016-2017 (3)'!$R$5:$R$289,$V423)*$AB423))</f>
        <v>38.32097223915693</v>
      </c>
      <c r="AF423" s="2">
        <f>IF($W423=AF$3,$AB423,IF(NOT($W423=0),"",SUMIFS('Val-Vol (2)'!AF$4:AF$1116,'Val-Vol (2)'!$A$4:$A$1116,$D423,'Val-Vol (2)'!$V$4:$V$1116,$V423)/SUMIFS('Comp2016-2017 (3)'!$G$5:$G$289,'Comp2016-2017 (3)'!$A$5:$A$289,$D423,'Comp2016-2017 (3)'!$R$5:$R$289,$V423)*$AB423))</f>
        <v>0</v>
      </c>
      <c r="AG423" s="2">
        <f>IF($W423=AG$3,$AB423,IF(NOT($W423=0),"",SUMIFS('Val-Vol (2)'!AG$4:AG$1116,'Val-Vol (2)'!$A$4:$A$1116,$D423,'Val-Vol (2)'!$V$4:$V$1116,$V423)/SUMIFS('Comp2016-2017 (3)'!$G$5:$G$289,'Comp2016-2017 (3)'!$A$5:$A$289,$D423,'Comp2016-2017 (3)'!$R$5:$R$289,$V423)*$AB423))</f>
        <v>0</v>
      </c>
      <c r="AH423" s="2">
        <f>IF($W423=AH$3,$AB423,IF(NOT($W423=0),"",SUMIFS('Val-Vol (2)'!AH$4:AH$1116,'Val-Vol (2)'!$A$4:$A$1116,$D423,'Val-Vol (2)'!$V$4:$V$1116,$V423)/SUMIFS('Comp2016-2017 (3)'!$G$5:$G$289,'Comp2016-2017 (3)'!$A$5:$A$289,$D423,'Comp2016-2017 (3)'!$R$5:$R$289,$V423)*$AB423))</f>
        <v>0</v>
      </c>
      <c r="AI423" s="2">
        <f>IF($W423=AI$3,$AB423,IF(NOT($W423=0),"",SUMIFS('Val-Vol (2)'!AI$4:AI$1116,'Val-Vol (2)'!$A$4:$A$1116,$D423,'Val-Vol (2)'!$V$4:$V$1116,$V423)/SUMIFS('Comp2016-2017 (3)'!$G$5:$G$289,'Comp2016-2017 (3)'!$A$5:$A$289,$D423,'Comp2016-2017 (3)'!$R$5:$R$289,$V423)*$AB423))</f>
        <v>31.969412388014558</v>
      </c>
      <c r="AJ423" s="2">
        <f>IF($W423=AJ$3,$AB423,IF(NOT($W423=0),"",SUMIFS('Val-Vol (2)'!AJ$4:AJ$1116,'Val-Vol (2)'!$A$4:$A$1116,$D423,'Val-Vol (2)'!$V$4:$V$1116,$V423)/SUMIFS('Comp2016-2017 (3)'!$G$5:$G$289,'Comp2016-2017 (3)'!$A$5:$A$289,$D423,'Comp2016-2017 (3)'!$R$5:$R$289,$V423)*$AB423))</f>
        <v>61.444559368222123</v>
      </c>
      <c r="AK423" s="2">
        <f t="shared" si="47"/>
        <v>0</v>
      </c>
      <c r="AL423" t="str">
        <f t="shared" si="49"/>
        <v/>
      </c>
      <c r="AM423" t="str">
        <f>VLOOKUP(A423,'Table corresp.'!$M$4:$U$63,8,FALSE)</f>
        <v>Production intermédiaire</v>
      </c>
      <c r="AN423" t="str">
        <f>VLOOKUP(D423,'Table corresp.'!$M$4:$U$63,9,FALSE)</f>
        <v>Production intermédiaire</v>
      </c>
    </row>
    <row r="424" spans="1:40" x14ac:dyDescent="0.25">
      <c r="A424" t="s">
        <v>3</v>
      </c>
      <c r="B424" t="str">
        <f>VLOOKUP(LEFT(A424,3),'Table corresp.'!$A$4:$D$63,3,FALSE)</f>
        <v>Transformation</v>
      </c>
      <c r="C424" t="str">
        <f>VLOOKUP(A424,'Table corresp.'!$M$4:$P$63,4,FALSE)</f>
        <v>Production et transformation de produits bois</v>
      </c>
      <c r="D424" t="s">
        <v>5</v>
      </c>
      <c r="E424" t="str">
        <f>VLOOKUP(LEFT(D424,3),'Table corresp.'!$A$4:$D$63,4,FALSE)</f>
        <v>Transformation</v>
      </c>
      <c r="F424" t="str">
        <f t="shared" si="48"/>
        <v xml:space="preserve">06  - 09 </v>
      </c>
      <c r="G424" s="3">
        <v>2559.0970816897193</v>
      </c>
      <c r="H424" s="3">
        <v>0</v>
      </c>
      <c r="I424" s="3">
        <v>2559.0971249044751</v>
      </c>
      <c r="J424" s="3">
        <v>0</v>
      </c>
      <c r="K424" s="3">
        <v>0</v>
      </c>
      <c r="L424" s="3">
        <v>0</v>
      </c>
      <c r="M424" s="3">
        <v>0</v>
      </c>
      <c r="N424" s="3">
        <v>0</v>
      </c>
      <c r="O424" s="3">
        <v>0</v>
      </c>
      <c r="P424" s="3">
        <v>0</v>
      </c>
      <c r="Q424" s="3">
        <v>0</v>
      </c>
      <c r="R424" s="3">
        <v>0</v>
      </c>
      <c r="S424" s="67"/>
      <c r="T424">
        <f>VLOOKUP(A424,'Groupe de branches'!$Z$27:$AM$86,14,FALSE)</f>
        <v>0</v>
      </c>
      <c r="U424">
        <f>VLOOKUP(D424,'Groupe de branches'!$Z$27:$AM$86,14,FALSE)</f>
        <v>0</v>
      </c>
      <c r="V424">
        <v>2017</v>
      </c>
      <c r="W424">
        <f>VLOOKUP(D424,'Table corresp.'!$M$4:$S$63,7,FALSE)</f>
        <v>0</v>
      </c>
      <c r="X424" s="167">
        <f>IFERROR(G424/SUMIFS('Comp2016-2017 (3)'!$I$5:$I$289,'Comp2016-2017 (3)'!$A$5:$A$289,A424,'Comp2016-2017 (3)'!$R$5:$R$289,V424),0)</f>
        <v>1.0454653793745685E-2</v>
      </c>
      <c r="Y424" s="190">
        <f>IFERROR(IF(RIGHT(F424,3)="Exp",VLOOKUP(F424,#REF!,2,FALSE),VLOOKUP(F424,#REF!,9,FALSE)),1)</f>
        <v>1</v>
      </c>
      <c r="Z424" s="167">
        <f t="shared" si="51"/>
        <v>3.7037037037037035E-2</v>
      </c>
      <c r="AA424" s="189">
        <f t="shared" si="50"/>
        <v>3.8720939976835867E-4</v>
      </c>
      <c r="AB424" s="2">
        <f>IFERROR(SUMIFS('Comp2016-2017 (3)'!$G$5:$G$289,'Comp2016-2017 (3)'!$A$5:$A$289,A424,'Comp2016-2017 (3)'!$R$5:$R$289,V424)*AA424/SUMIFS($AA$4:$AA$1116,$A$4:$A$1116,A424,$V$4:$V$1116,V424),0)</f>
        <v>119.23914587958909</v>
      </c>
      <c r="AC424" s="2">
        <f>IF($W424=AC$3,$AB424,IF(NOT($W424=0),"",SUMIFS('Val-Vol (2)'!AC$4:AC$1116,'Val-Vol (2)'!$A$4:$A$1116,$D424,'Val-Vol (2)'!$V$4:$V$1116,$V424)/SUMIFS('Comp2016-2017 (3)'!$G$5:$G$289,'Comp2016-2017 (3)'!$A$5:$A$289,$D424,'Comp2016-2017 (3)'!$R$5:$R$289,$V424)*$AB424))</f>
        <v>43.959994263514552</v>
      </c>
      <c r="AD424" s="2">
        <f>IF($W424=AD$3,$AB424,IF(NOT($W424=0),"",SUMIFS('Val-Vol (2)'!AD$4:AD$1116,'Val-Vol (2)'!$A$4:$A$1116,$D424,'Val-Vol (2)'!$V$4:$V$1116,$V424)/SUMIFS('Comp2016-2017 (3)'!$G$5:$G$289,'Comp2016-2017 (3)'!$A$5:$A$289,$D424,'Comp2016-2017 (3)'!$R$5:$R$289,$V424)*$AB424))</f>
        <v>36.896612034000626</v>
      </c>
      <c r="AE424" s="2">
        <f>IF($W424=AE$3,$AB424,IF(NOT($W424=0),"",SUMIFS('Val-Vol (2)'!AE$4:AE$1116,'Val-Vol (2)'!$A$4:$A$1116,$D424,'Val-Vol (2)'!$V$4:$V$1116,$V424)/SUMIFS('Comp2016-2017 (3)'!$G$5:$G$289,'Comp2016-2017 (3)'!$A$5:$A$289,$D424,'Comp2016-2017 (3)'!$R$5:$R$289,$V424)*$AB424))</f>
        <v>0.32998987179204098</v>
      </c>
      <c r="AF424" s="2">
        <f>IF($W424=AF$3,$AB424,IF(NOT($W424=0),"",SUMIFS('Val-Vol (2)'!AF$4:AF$1116,'Val-Vol (2)'!$A$4:$A$1116,$D424,'Val-Vol (2)'!$V$4:$V$1116,$V424)/SUMIFS('Comp2016-2017 (3)'!$G$5:$G$289,'Comp2016-2017 (3)'!$A$5:$A$289,$D424,'Comp2016-2017 (3)'!$R$5:$R$289,$V424)*$AB424))</f>
        <v>0</v>
      </c>
      <c r="AG424" s="2">
        <f>IF($W424=AG$3,$AB424,IF(NOT($W424=0),"",SUMIFS('Val-Vol (2)'!AG$4:AG$1116,'Val-Vol (2)'!$A$4:$A$1116,$D424,'Val-Vol (2)'!$V$4:$V$1116,$V424)/SUMIFS('Comp2016-2017 (3)'!$G$5:$G$289,'Comp2016-2017 (3)'!$A$5:$A$289,$D424,'Comp2016-2017 (3)'!$R$5:$R$289,$V424)*$AB424))</f>
        <v>15.494982974354752</v>
      </c>
      <c r="AH424" s="2">
        <f>IF($W424=AH$3,$AB424,IF(NOT($W424=0),"",SUMIFS('Val-Vol (2)'!AH$4:AH$1116,'Val-Vol (2)'!$A$4:$A$1116,$D424,'Val-Vol (2)'!$V$4:$V$1116,$V424)/SUMIFS('Comp2016-2017 (3)'!$G$5:$G$289,'Comp2016-2017 (3)'!$A$5:$A$289,$D424,'Comp2016-2017 (3)'!$R$5:$R$289,$V424)*$AB424))</f>
        <v>0</v>
      </c>
      <c r="AI424" s="2">
        <f>IF($W424=AI$3,$AB424,IF(NOT($W424=0),"",SUMIFS('Val-Vol (2)'!AI$4:AI$1116,'Val-Vol (2)'!$A$4:$A$1116,$D424,'Val-Vol (2)'!$V$4:$V$1116,$V424)/SUMIFS('Comp2016-2017 (3)'!$G$5:$G$289,'Comp2016-2017 (3)'!$A$5:$A$289,$D424,'Comp2016-2017 (3)'!$R$5:$R$289,$V424)*$AB424))</f>
        <v>21.447205035730804</v>
      </c>
      <c r="AJ424" s="2">
        <f>IF($W424=AJ$3,$AB424,IF(NOT($W424=0),"",SUMIFS('Val-Vol (2)'!AJ$4:AJ$1116,'Val-Vol (2)'!$A$4:$A$1116,$D424,'Val-Vol (2)'!$V$4:$V$1116,$V424)/SUMIFS('Comp2016-2017 (3)'!$G$5:$G$289,'Comp2016-2017 (3)'!$A$5:$A$289,$D424,'Comp2016-2017 (3)'!$R$5:$R$289,$V424)*$AB424))</f>
        <v>1.1103617001963164</v>
      </c>
      <c r="AK424" s="2">
        <f t="shared" si="47"/>
        <v>0</v>
      </c>
      <c r="AL424" t="str">
        <f t="shared" si="49"/>
        <v/>
      </c>
      <c r="AM424" t="str">
        <f>VLOOKUP(A424,'Table corresp.'!$M$4:$U$63,8,FALSE)</f>
        <v>Production intermédiaire</v>
      </c>
      <c r="AN424" t="str">
        <f>VLOOKUP(D424,'Table corresp.'!$M$4:$U$63,9,FALSE)</f>
        <v>Production intermédiaire</v>
      </c>
    </row>
    <row r="425" spans="1:40" x14ac:dyDescent="0.25">
      <c r="A425" t="s">
        <v>3</v>
      </c>
      <c r="B425" t="str">
        <f>VLOOKUP(LEFT(A425,3),'Table corresp.'!$A$4:$D$63,3,FALSE)</f>
        <v>Transformation</v>
      </c>
      <c r="C425" t="str">
        <f>VLOOKUP(A425,'Table corresp.'!$M$4:$P$63,4,FALSE)</f>
        <v>Production et transformation de produits bois</v>
      </c>
      <c r="D425" t="s">
        <v>82</v>
      </c>
      <c r="E425" t="str">
        <f>VLOOKUP(LEFT(D425,3),'Table corresp.'!$A$4:$D$63,4,FALSE)</f>
        <v>Transformation</v>
      </c>
      <c r="F425" t="str">
        <f t="shared" si="48"/>
        <v xml:space="preserve">06  - 10 </v>
      </c>
      <c r="G425" s="3">
        <v>2052.4738601725753</v>
      </c>
      <c r="H425" s="3">
        <v>0</v>
      </c>
      <c r="I425" s="3">
        <v>2052.4738948321265</v>
      </c>
      <c r="J425" s="3">
        <v>0</v>
      </c>
      <c r="K425" s="3">
        <v>0</v>
      </c>
      <c r="L425" s="3">
        <v>0</v>
      </c>
      <c r="M425" s="3">
        <v>0</v>
      </c>
      <c r="N425" s="3">
        <v>0</v>
      </c>
      <c r="O425" s="3">
        <v>0</v>
      </c>
      <c r="P425" s="3">
        <v>0</v>
      </c>
      <c r="Q425" s="3">
        <v>0</v>
      </c>
      <c r="R425" s="3">
        <v>0</v>
      </c>
      <c r="S425" s="67"/>
      <c r="T425">
        <f>VLOOKUP(A425,'Groupe de branches'!$Z$27:$AM$86,14,FALSE)</f>
        <v>0</v>
      </c>
      <c r="U425">
        <f>VLOOKUP(D425,'Groupe de branches'!$Z$27:$AM$86,14,FALSE)</f>
        <v>0</v>
      </c>
      <c r="V425">
        <v>2017</v>
      </c>
      <c r="W425">
        <f>VLOOKUP(D425,'Table corresp.'!$M$4:$S$63,7,FALSE)</f>
        <v>0</v>
      </c>
      <c r="X425" s="167">
        <f>IFERROR(G425/SUMIFS('Comp2016-2017 (3)'!$I$5:$I$289,'Comp2016-2017 (3)'!$A$5:$A$289,A425,'Comp2016-2017 (3)'!$R$5:$R$289,V425),0)</f>
        <v>8.3849509978921374E-3</v>
      </c>
      <c r="Y425" s="190">
        <f>IFERROR(IF(RIGHT(F425,3)="Exp",VLOOKUP(F425,#REF!,2,FALSE),VLOOKUP(F425,#REF!,9,FALSE)),1)</f>
        <v>1</v>
      </c>
      <c r="Z425" s="167">
        <f t="shared" si="51"/>
        <v>3.7037037037037035E-2</v>
      </c>
      <c r="AA425" s="189">
        <f t="shared" si="50"/>
        <v>3.1055374066267174E-4</v>
      </c>
      <c r="AB425" s="2">
        <f>IFERROR(SUMIFS('Comp2016-2017 (3)'!$G$5:$G$289,'Comp2016-2017 (3)'!$A$5:$A$289,A425,'Comp2016-2017 (3)'!$R$5:$R$289,V425)*AA425/SUMIFS($AA$4:$AA$1116,$A$4:$A$1116,A425,$V$4:$V$1116,V425),0)</f>
        <v>95.633429375632531</v>
      </c>
      <c r="AC425" s="2">
        <f>IF($W425=AC$3,$AB425,IF(NOT($W425=0),"",SUMIFS('Val-Vol (2)'!AC$4:AC$1116,'Val-Vol (2)'!$A$4:$A$1116,$D425,'Val-Vol (2)'!$V$4:$V$1116,$V425)/SUMIFS('Comp2016-2017 (3)'!$G$5:$G$289,'Comp2016-2017 (3)'!$A$5:$A$289,$D425,'Comp2016-2017 (3)'!$R$5:$R$289,$V425)*$AB425))</f>
        <v>17.762759406085578</v>
      </c>
      <c r="AD425" s="2">
        <f>IF($W425=AD$3,$AB425,IF(NOT($W425=0),"",SUMIFS('Val-Vol (2)'!AD$4:AD$1116,'Val-Vol (2)'!$A$4:$A$1116,$D425,'Val-Vol (2)'!$V$4:$V$1116,$V425)/SUMIFS('Comp2016-2017 (3)'!$G$5:$G$289,'Comp2016-2017 (3)'!$A$5:$A$289,$D425,'Comp2016-2017 (3)'!$R$5:$R$289,$V425)*$AB425))</f>
        <v>26.700525054643947</v>
      </c>
      <c r="AE425" s="2">
        <f>IF($W425=AE$3,$AB425,IF(NOT($W425=0),"",SUMIFS('Val-Vol (2)'!AE$4:AE$1116,'Val-Vol (2)'!$A$4:$A$1116,$D425,'Val-Vol (2)'!$V$4:$V$1116,$V425)/SUMIFS('Comp2016-2017 (3)'!$G$5:$G$289,'Comp2016-2017 (3)'!$A$5:$A$289,$D425,'Comp2016-2017 (3)'!$R$5:$R$289,$V425)*$AB425))</f>
        <v>5.4002188510815712</v>
      </c>
      <c r="AF425" s="2">
        <f>IF($W425=AF$3,$AB425,IF(NOT($W425=0),"",SUMIFS('Val-Vol (2)'!AF$4:AF$1116,'Val-Vol (2)'!$A$4:$A$1116,$D425,'Val-Vol (2)'!$V$4:$V$1116,$V425)/SUMIFS('Comp2016-2017 (3)'!$G$5:$G$289,'Comp2016-2017 (3)'!$A$5:$A$289,$D425,'Comp2016-2017 (3)'!$R$5:$R$289,$V425)*$AB425))</f>
        <v>0</v>
      </c>
      <c r="AG425" s="2">
        <f>IF($W425=AG$3,$AB425,IF(NOT($W425=0),"",SUMIFS('Val-Vol (2)'!AG$4:AG$1116,'Val-Vol (2)'!$A$4:$A$1116,$D425,'Val-Vol (2)'!$V$4:$V$1116,$V425)/SUMIFS('Comp2016-2017 (3)'!$G$5:$G$289,'Comp2016-2017 (3)'!$A$5:$A$289,$D425,'Comp2016-2017 (3)'!$R$5:$R$289,$V425)*$AB425))</f>
        <v>20.461495292166607</v>
      </c>
      <c r="AH425" s="2">
        <f>IF($W425=AH$3,$AB425,IF(NOT($W425=0),"",SUMIFS('Val-Vol (2)'!AH$4:AH$1116,'Val-Vol (2)'!$A$4:$A$1116,$D425,'Val-Vol (2)'!$V$4:$V$1116,$V425)/SUMIFS('Comp2016-2017 (3)'!$G$5:$G$289,'Comp2016-2017 (3)'!$A$5:$A$289,$D425,'Comp2016-2017 (3)'!$R$5:$R$289,$V425)*$AB425))</f>
        <v>0</v>
      </c>
      <c r="AI425" s="2">
        <f>IF($W425=AI$3,$AB425,IF(NOT($W425=0),"",SUMIFS('Val-Vol (2)'!AI$4:AI$1116,'Val-Vol (2)'!$A$4:$A$1116,$D425,'Val-Vol (2)'!$V$4:$V$1116,$V425)/SUMIFS('Comp2016-2017 (3)'!$G$5:$G$289,'Comp2016-2017 (3)'!$A$5:$A$289,$D425,'Comp2016-2017 (3)'!$R$5:$R$289,$V425)*$AB425))</f>
        <v>22.921545121274882</v>
      </c>
      <c r="AJ425" s="2">
        <f>IF($W425=AJ$3,$AB425,IF(NOT($W425=0),"",SUMIFS('Val-Vol (2)'!AJ$4:AJ$1116,'Val-Vol (2)'!$A$4:$A$1116,$D425,'Val-Vol (2)'!$V$4:$V$1116,$V425)/SUMIFS('Comp2016-2017 (3)'!$G$5:$G$289,'Comp2016-2017 (3)'!$A$5:$A$289,$D425,'Comp2016-2017 (3)'!$R$5:$R$289,$V425)*$AB425))</f>
        <v>2.38688565037994</v>
      </c>
      <c r="AK425" s="2">
        <f t="shared" si="47"/>
        <v>0</v>
      </c>
      <c r="AL425" t="str">
        <f t="shared" si="49"/>
        <v/>
      </c>
      <c r="AM425" t="str">
        <f>VLOOKUP(A425,'Table corresp.'!$M$4:$U$63,8,FALSE)</f>
        <v>Production intermédiaire</v>
      </c>
      <c r="AN425" t="str">
        <f>VLOOKUP(D425,'Table corresp.'!$M$4:$U$63,9,FALSE)</f>
        <v>Production intermédiaire</v>
      </c>
    </row>
    <row r="426" spans="1:40" x14ac:dyDescent="0.25">
      <c r="A426" t="s">
        <v>3</v>
      </c>
      <c r="B426" t="str">
        <f>VLOOKUP(LEFT(A426,3),'Table corresp.'!$A$4:$D$63,3,FALSE)</f>
        <v>Transformation</v>
      </c>
      <c r="C426" t="str">
        <f>VLOOKUP(A426,'Table corresp.'!$M$4:$P$63,4,FALSE)</f>
        <v>Production et transformation de produits bois</v>
      </c>
      <c r="D426" t="s">
        <v>7</v>
      </c>
      <c r="E426" t="str">
        <f>VLOOKUP(LEFT(D426,3),'Table corresp.'!$A$4:$D$63,4,FALSE)</f>
        <v>Transformation</v>
      </c>
      <c r="F426" t="str">
        <f t="shared" si="48"/>
        <v xml:space="preserve">06  - 12 </v>
      </c>
      <c r="G426" s="3">
        <v>25453.471086692818</v>
      </c>
      <c r="H426" s="3">
        <v>0</v>
      </c>
      <c r="I426" s="3">
        <v>25453.471516518457</v>
      </c>
      <c r="J426" s="3">
        <v>0</v>
      </c>
      <c r="K426" s="3">
        <v>0</v>
      </c>
      <c r="L426" s="3">
        <v>0</v>
      </c>
      <c r="M426" s="3">
        <v>0</v>
      </c>
      <c r="N426" s="3">
        <v>0</v>
      </c>
      <c r="O426" s="3">
        <v>0</v>
      </c>
      <c r="P426" s="3">
        <v>0</v>
      </c>
      <c r="Q426" s="3">
        <v>0</v>
      </c>
      <c r="R426" s="3">
        <v>0</v>
      </c>
      <c r="S426" s="67"/>
      <c r="T426">
        <f>VLOOKUP(A426,'Groupe de branches'!$Z$27:$AM$86,14,FALSE)</f>
        <v>0</v>
      </c>
      <c r="U426">
        <f>VLOOKUP(D426,'Groupe de branches'!$Z$27:$AM$86,14,FALSE)</f>
        <v>0</v>
      </c>
      <c r="V426">
        <v>2017</v>
      </c>
      <c r="W426">
        <f>VLOOKUP(D426,'Table corresp.'!$M$4:$S$63,7,FALSE)</f>
        <v>0</v>
      </c>
      <c r="X426" s="167">
        <f>IFERROR(G426/SUMIFS('Comp2016-2017 (3)'!$I$5:$I$289,'Comp2016-2017 (3)'!$A$5:$A$289,A426,'Comp2016-2017 (3)'!$R$5:$R$289,V426),0)</f>
        <v>0.10398481166051897</v>
      </c>
      <c r="Y426" s="190">
        <f>IFERROR(IF(RIGHT(F426,3)="Exp",VLOOKUP(F426,#REF!,2,FALSE),VLOOKUP(F426,#REF!,9,FALSE)),1)</f>
        <v>1</v>
      </c>
      <c r="Z426" s="167">
        <f t="shared" si="51"/>
        <v>3.7037037037037035E-2</v>
      </c>
      <c r="AA426" s="189">
        <f t="shared" si="50"/>
        <v>3.8512893207599615E-3</v>
      </c>
      <c r="AB426" s="2">
        <f>IFERROR(SUMIFS('Comp2016-2017 (3)'!$G$5:$G$289,'Comp2016-2017 (3)'!$A$5:$A$289,A426,'Comp2016-2017 (3)'!$R$5:$R$289,V426)*AA426/SUMIFS($AA$4:$AA$1116,$A$4:$A$1116,A426,$V$4:$V$1116,V426),0)</f>
        <v>1185.9847653939282</v>
      </c>
      <c r="AC426" s="2">
        <f>IF($W426=AC$3,$AB426,IF(NOT($W426=0),"",SUMIFS('Val-Vol (2)'!AC$4:AC$1116,'Val-Vol (2)'!$A$4:$A$1116,$D426,'Val-Vol (2)'!$V$4:$V$1116,$V426)/SUMIFS('Comp2016-2017 (3)'!$G$5:$G$289,'Comp2016-2017 (3)'!$A$5:$A$289,$D426,'Comp2016-2017 (3)'!$R$5:$R$289,$V426)*$AB426))</f>
        <v>73.539833275626989</v>
      </c>
      <c r="AD426" s="2">
        <f>IF($W426=AD$3,$AB426,IF(NOT($W426=0),"",SUMIFS('Val-Vol (2)'!AD$4:AD$1116,'Val-Vol (2)'!$A$4:$A$1116,$D426,'Val-Vol (2)'!$V$4:$V$1116,$V426)/SUMIFS('Comp2016-2017 (3)'!$G$5:$G$289,'Comp2016-2017 (3)'!$A$5:$A$289,$D426,'Comp2016-2017 (3)'!$R$5:$R$289,$V426)*$AB426))</f>
        <v>754.63908977305402</v>
      </c>
      <c r="AE426" s="2">
        <f>IF($W426=AE$3,$AB426,IF(NOT($W426=0),"",SUMIFS('Val-Vol (2)'!AE$4:AE$1116,'Val-Vol (2)'!$A$4:$A$1116,$D426,'Val-Vol (2)'!$V$4:$V$1116,$V426)/SUMIFS('Comp2016-2017 (3)'!$G$5:$G$289,'Comp2016-2017 (3)'!$A$5:$A$289,$D426,'Comp2016-2017 (3)'!$R$5:$R$289,$V426)*$AB426))</f>
        <v>22.976035968105929</v>
      </c>
      <c r="AF426" s="2">
        <f>IF($W426=AF$3,$AB426,IF(NOT($W426=0),"",SUMIFS('Val-Vol (2)'!AF$4:AF$1116,'Val-Vol (2)'!$A$4:$A$1116,$D426,'Val-Vol (2)'!$V$4:$V$1116,$V426)/SUMIFS('Comp2016-2017 (3)'!$G$5:$G$289,'Comp2016-2017 (3)'!$A$5:$A$289,$D426,'Comp2016-2017 (3)'!$R$5:$R$289,$V426)*$AB426))</f>
        <v>0</v>
      </c>
      <c r="AG426" s="2">
        <f>IF($W426=AG$3,$AB426,IF(NOT($W426=0),"",SUMIFS('Val-Vol (2)'!AG$4:AG$1116,'Val-Vol (2)'!$A$4:$A$1116,$D426,'Val-Vol (2)'!$V$4:$V$1116,$V426)/SUMIFS('Comp2016-2017 (3)'!$G$5:$G$289,'Comp2016-2017 (3)'!$A$5:$A$289,$D426,'Comp2016-2017 (3)'!$R$5:$R$289,$V426)*$AB426))</f>
        <v>147.87569516438651</v>
      </c>
      <c r="AH426" s="2">
        <f>IF($W426=AH$3,$AB426,IF(NOT($W426=0),"",SUMIFS('Val-Vol (2)'!AH$4:AH$1116,'Val-Vol (2)'!$A$4:$A$1116,$D426,'Val-Vol (2)'!$V$4:$V$1116,$V426)/SUMIFS('Comp2016-2017 (3)'!$G$5:$G$289,'Comp2016-2017 (3)'!$A$5:$A$289,$D426,'Comp2016-2017 (3)'!$R$5:$R$289,$V426)*$AB426))</f>
        <v>0</v>
      </c>
      <c r="AI426" s="2">
        <f>IF($W426=AI$3,$AB426,IF(NOT($W426=0),"",SUMIFS('Val-Vol (2)'!AI$4:AI$1116,'Val-Vol (2)'!$A$4:$A$1116,$D426,'Val-Vol (2)'!$V$4:$V$1116,$V426)/SUMIFS('Comp2016-2017 (3)'!$G$5:$G$289,'Comp2016-2017 (3)'!$A$5:$A$289,$D426,'Comp2016-2017 (3)'!$R$5:$R$289,$V426)*$AB426))</f>
        <v>37.007114989279167</v>
      </c>
      <c r="AJ426" s="2">
        <f>IF($W426=AJ$3,$AB426,IF(NOT($W426=0),"",SUMIFS('Val-Vol (2)'!AJ$4:AJ$1116,'Val-Vol (2)'!$A$4:$A$1116,$D426,'Val-Vol (2)'!$V$4:$V$1116,$V426)/SUMIFS('Comp2016-2017 (3)'!$G$5:$G$289,'Comp2016-2017 (3)'!$A$5:$A$289,$D426,'Comp2016-2017 (3)'!$R$5:$R$289,$V426)*$AB426))</f>
        <v>149.94699622347591</v>
      </c>
      <c r="AK426" s="2">
        <f t="shared" si="47"/>
        <v>0</v>
      </c>
      <c r="AL426" t="str">
        <f t="shared" si="49"/>
        <v/>
      </c>
      <c r="AM426" t="str">
        <f>VLOOKUP(A426,'Table corresp.'!$M$4:$U$63,8,FALSE)</f>
        <v>Production intermédiaire</v>
      </c>
      <c r="AN426" t="str">
        <f>VLOOKUP(D426,'Table corresp.'!$M$4:$U$63,9,FALSE)</f>
        <v>Production intermédiaire</v>
      </c>
    </row>
    <row r="427" spans="1:40" x14ac:dyDescent="0.25">
      <c r="A427" t="s">
        <v>3</v>
      </c>
      <c r="B427" t="str">
        <f>VLOOKUP(LEFT(A427,3),'Table corresp.'!$A$4:$D$63,3,FALSE)</f>
        <v>Transformation</v>
      </c>
      <c r="C427" t="str">
        <f>VLOOKUP(A427,'Table corresp.'!$M$4:$P$63,4,FALSE)</f>
        <v>Production et transformation de produits bois</v>
      </c>
      <c r="D427" t="s">
        <v>8</v>
      </c>
      <c r="E427" t="str">
        <f>VLOOKUP(LEFT(D427,3),'Table corresp.'!$A$4:$D$63,4,FALSE)</f>
        <v>Transformation</v>
      </c>
      <c r="F427" t="str">
        <f t="shared" si="48"/>
        <v xml:space="preserve">06  - 13 </v>
      </c>
      <c r="G427" s="3">
        <v>7156.267607792166</v>
      </c>
      <c r="H427" s="3">
        <v>0</v>
      </c>
      <c r="I427" s="3">
        <v>7156.2677286380531</v>
      </c>
      <c r="J427" s="3">
        <v>0</v>
      </c>
      <c r="K427" s="3">
        <v>0</v>
      </c>
      <c r="L427" s="3">
        <v>0</v>
      </c>
      <c r="M427" s="3">
        <v>0</v>
      </c>
      <c r="N427" s="3">
        <v>0</v>
      </c>
      <c r="O427" s="3">
        <v>0</v>
      </c>
      <c r="P427" s="3">
        <v>0</v>
      </c>
      <c r="Q427" s="3">
        <v>0</v>
      </c>
      <c r="R427" s="3">
        <v>0</v>
      </c>
      <c r="S427" s="67"/>
      <c r="T427">
        <f>VLOOKUP(A427,'Groupe de branches'!$Z$27:$AM$86,14,FALSE)</f>
        <v>0</v>
      </c>
      <c r="U427">
        <f>VLOOKUP(D427,'Groupe de branches'!$Z$27:$AM$86,14,FALSE)</f>
        <v>0</v>
      </c>
      <c r="V427">
        <v>2017</v>
      </c>
      <c r="W427">
        <f>VLOOKUP(D427,'Table corresp.'!$M$4:$S$63,7,FALSE)</f>
        <v>0</v>
      </c>
      <c r="X427" s="167">
        <f>IFERROR(G427/SUMIFS('Comp2016-2017 (3)'!$I$5:$I$289,'Comp2016-2017 (3)'!$A$5:$A$289,A427,'Comp2016-2017 (3)'!$R$5:$R$289,V427),0)</f>
        <v>2.9235428710451289E-2</v>
      </c>
      <c r="Y427" s="190">
        <f>IFERROR(IF(RIGHT(F427,3)="Exp",VLOOKUP(F427,#REF!,2,FALSE),VLOOKUP(F427,#REF!,9,FALSE)),1)</f>
        <v>1</v>
      </c>
      <c r="Z427" s="167">
        <f t="shared" si="51"/>
        <v>3.7037037037037035E-2</v>
      </c>
      <c r="AA427" s="189">
        <f t="shared" si="50"/>
        <v>1.0827936559426403E-3</v>
      </c>
      <c r="AB427" s="2">
        <f>IFERROR(SUMIFS('Comp2016-2017 (3)'!$G$5:$G$289,'Comp2016-2017 (3)'!$A$5:$A$289,A427,'Comp2016-2017 (3)'!$R$5:$R$289,V427)*AA427/SUMIFS($AA$4:$AA$1116,$A$4:$A$1116,A427,$V$4:$V$1116,V427),0)</f>
        <v>333.44074491909743</v>
      </c>
      <c r="AC427" s="2">
        <f>IF($W427=AC$3,$AB427,IF(NOT($W427=0),"",SUMIFS('Val-Vol (2)'!AC$4:AC$1116,'Val-Vol (2)'!$A$4:$A$1116,$D427,'Val-Vol (2)'!$V$4:$V$1116,$V427)/SUMIFS('Comp2016-2017 (3)'!$G$5:$G$289,'Comp2016-2017 (3)'!$A$5:$A$289,$D427,'Comp2016-2017 (3)'!$R$5:$R$289,$V427)*$AB427))</f>
        <v>46.325722086573236</v>
      </c>
      <c r="AD427" s="2">
        <f>IF($W427=AD$3,$AB427,IF(NOT($W427=0),"",SUMIFS('Val-Vol (2)'!AD$4:AD$1116,'Val-Vol (2)'!$A$4:$A$1116,$D427,'Val-Vol (2)'!$V$4:$V$1116,$V427)/SUMIFS('Comp2016-2017 (3)'!$G$5:$G$289,'Comp2016-2017 (3)'!$A$5:$A$289,$D427,'Comp2016-2017 (3)'!$R$5:$R$289,$V427)*$AB427))</f>
        <v>91.015828709387179</v>
      </c>
      <c r="AE427" s="2">
        <f>IF($W427=AE$3,$AB427,IF(NOT($W427=0),"",SUMIFS('Val-Vol (2)'!AE$4:AE$1116,'Val-Vol (2)'!$A$4:$A$1116,$D427,'Val-Vol (2)'!$V$4:$V$1116,$V427)/SUMIFS('Comp2016-2017 (3)'!$G$5:$G$289,'Comp2016-2017 (3)'!$A$5:$A$289,$D427,'Comp2016-2017 (3)'!$R$5:$R$289,$V427)*$AB427))</f>
        <v>1.726860478574134E-2</v>
      </c>
      <c r="AF427" s="2">
        <f>IF($W427=AF$3,$AB427,IF(NOT($W427=0),"",SUMIFS('Val-Vol (2)'!AF$4:AF$1116,'Val-Vol (2)'!$A$4:$A$1116,$D427,'Val-Vol (2)'!$V$4:$V$1116,$V427)/SUMIFS('Comp2016-2017 (3)'!$G$5:$G$289,'Comp2016-2017 (3)'!$A$5:$A$289,$D427,'Comp2016-2017 (3)'!$R$5:$R$289,$V427)*$AB427))</f>
        <v>0</v>
      </c>
      <c r="AG427" s="2">
        <f>IF($W427=AG$3,$AB427,IF(NOT($W427=0),"",SUMIFS('Val-Vol (2)'!AG$4:AG$1116,'Val-Vol (2)'!$A$4:$A$1116,$D427,'Val-Vol (2)'!$V$4:$V$1116,$V427)/SUMIFS('Comp2016-2017 (3)'!$G$5:$G$289,'Comp2016-2017 (3)'!$A$5:$A$289,$D427,'Comp2016-2017 (3)'!$R$5:$R$289,$V427)*$AB427))</f>
        <v>70.815523854294867</v>
      </c>
      <c r="AH427" s="2">
        <f>IF($W427=AH$3,$AB427,IF(NOT($W427=0),"",SUMIFS('Val-Vol (2)'!AH$4:AH$1116,'Val-Vol (2)'!$A$4:$A$1116,$D427,'Val-Vol (2)'!$V$4:$V$1116,$V427)/SUMIFS('Comp2016-2017 (3)'!$G$5:$G$289,'Comp2016-2017 (3)'!$A$5:$A$289,$D427,'Comp2016-2017 (3)'!$R$5:$R$289,$V427)*$AB427))</f>
        <v>0</v>
      </c>
      <c r="AI427" s="2">
        <f>IF($W427=AI$3,$AB427,IF(NOT($W427=0),"",SUMIFS('Val-Vol (2)'!AI$4:AI$1116,'Val-Vol (2)'!$A$4:$A$1116,$D427,'Val-Vol (2)'!$V$4:$V$1116,$V427)/SUMIFS('Comp2016-2017 (3)'!$G$5:$G$289,'Comp2016-2017 (3)'!$A$5:$A$289,$D427,'Comp2016-2017 (3)'!$R$5:$R$289,$V427)*$AB427))</f>
        <v>0</v>
      </c>
      <c r="AJ427" s="2">
        <f>IF($W427=AJ$3,$AB427,IF(NOT($W427=0),"",SUMIFS('Val-Vol (2)'!AJ$4:AJ$1116,'Val-Vol (2)'!$A$4:$A$1116,$D427,'Val-Vol (2)'!$V$4:$V$1116,$V427)/SUMIFS('Comp2016-2017 (3)'!$G$5:$G$289,'Comp2016-2017 (3)'!$A$5:$A$289,$D427,'Comp2016-2017 (3)'!$R$5:$R$289,$V427)*$AB427))</f>
        <v>125.26640166405633</v>
      </c>
      <c r="AK427" s="2">
        <f t="shared" si="47"/>
        <v>0</v>
      </c>
      <c r="AL427" t="str">
        <f t="shared" si="49"/>
        <v/>
      </c>
      <c r="AM427" t="str">
        <f>VLOOKUP(A427,'Table corresp.'!$M$4:$U$63,8,FALSE)</f>
        <v>Production intermédiaire</v>
      </c>
      <c r="AN427" t="str">
        <f>VLOOKUP(D427,'Table corresp.'!$M$4:$U$63,9,FALSE)</f>
        <v>Production intermédiaire</v>
      </c>
    </row>
    <row r="428" spans="1:40" x14ac:dyDescent="0.25">
      <c r="A428" t="s">
        <v>3</v>
      </c>
      <c r="B428" t="str">
        <f>VLOOKUP(LEFT(A428,3),'Table corresp.'!$A$4:$D$63,3,FALSE)</f>
        <v>Transformation</v>
      </c>
      <c r="C428" t="str">
        <f>VLOOKUP(A428,'Table corresp.'!$M$4:$P$63,4,FALSE)</f>
        <v>Production et transformation de produits bois</v>
      </c>
      <c r="D428" t="s">
        <v>83</v>
      </c>
      <c r="E428" t="str">
        <f>VLOOKUP(LEFT(D428,3),'Table corresp.'!$A$4:$D$63,4,FALSE)</f>
        <v>Transformation</v>
      </c>
      <c r="F428" t="str">
        <f t="shared" si="48"/>
        <v xml:space="preserve">06  - 14 </v>
      </c>
      <c r="G428" s="3">
        <v>4131.6910200762768</v>
      </c>
      <c r="H428" s="3">
        <v>0</v>
      </c>
      <c r="I428" s="3">
        <v>4131.691089846986</v>
      </c>
      <c r="J428" s="3">
        <v>0</v>
      </c>
      <c r="K428" s="3">
        <v>0</v>
      </c>
      <c r="L428" s="3">
        <v>0</v>
      </c>
      <c r="M428" s="3">
        <v>0</v>
      </c>
      <c r="N428" s="3">
        <v>0</v>
      </c>
      <c r="O428" s="3">
        <v>0</v>
      </c>
      <c r="P428" s="3">
        <v>0</v>
      </c>
      <c r="Q428" s="3">
        <v>0</v>
      </c>
      <c r="R428" s="3">
        <v>0</v>
      </c>
      <c r="S428" s="67"/>
      <c r="T428">
        <f>VLOOKUP(A428,'Groupe de branches'!$Z$27:$AM$86,14,FALSE)</f>
        <v>0</v>
      </c>
      <c r="U428">
        <f>VLOOKUP(D428,'Groupe de branches'!$Z$27:$AM$86,14,FALSE)</f>
        <v>0</v>
      </c>
      <c r="V428">
        <v>2017</v>
      </c>
      <c r="W428">
        <f>VLOOKUP(D428,'Table corresp.'!$M$4:$S$63,7,FALSE)</f>
        <v>0</v>
      </c>
      <c r="X428" s="167">
        <f>IFERROR(G428/SUMIFS('Comp2016-2017 (3)'!$I$5:$I$289,'Comp2016-2017 (3)'!$A$5:$A$289,A428,'Comp2016-2017 (3)'!$R$5:$R$289,V428),0)</f>
        <v>1.6879156131546363E-2</v>
      </c>
      <c r="Y428" s="190">
        <f>IFERROR(IF(RIGHT(F428,3)="Exp",VLOOKUP(F428,#REF!,2,FALSE),VLOOKUP(F428,#REF!,9,FALSE)),1)</f>
        <v>1</v>
      </c>
      <c r="Z428" s="167">
        <f t="shared" si="51"/>
        <v>3.7037037037037035E-2</v>
      </c>
      <c r="AA428" s="189">
        <f t="shared" si="50"/>
        <v>6.2515393079801346E-4</v>
      </c>
      <c r="AB428" s="2">
        <f>IFERROR(SUMIFS('Comp2016-2017 (3)'!$G$5:$G$289,'Comp2016-2017 (3)'!$A$5:$A$289,A428,'Comp2016-2017 (3)'!$R$5:$R$289,V428)*AA428/SUMIFS($AA$4:$AA$1116,$A$4:$A$1116,A428,$V$4:$V$1116,V428),0)</f>
        <v>192.51294208306106</v>
      </c>
      <c r="AC428" s="2">
        <f>IF($W428=AC$3,$AB428,IF(NOT($W428=0),"",SUMIFS('Val-Vol (2)'!AC$4:AC$1116,'Val-Vol (2)'!$A$4:$A$1116,$D428,'Val-Vol (2)'!$V$4:$V$1116,$V428)/SUMIFS('Comp2016-2017 (3)'!$G$5:$G$289,'Comp2016-2017 (3)'!$A$5:$A$289,$D428,'Comp2016-2017 (3)'!$R$5:$R$289,$V428)*$AB428))</f>
        <v>103.00800338619069</v>
      </c>
      <c r="AD428" s="2">
        <f>IF($W428=AD$3,$AB428,IF(NOT($W428=0),"",SUMIFS('Val-Vol (2)'!AD$4:AD$1116,'Val-Vol (2)'!$A$4:$A$1116,$D428,'Val-Vol (2)'!$V$4:$V$1116,$V428)/SUMIFS('Comp2016-2017 (3)'!$G$5:$G$289,'Comp2016-2017 (3)'!$A$5:$A$289,$D428,'Comp2016-2017 (3)'!$R$5:$R$289,$V428)*$AB428))</f>
        <v>39.668460783666063</v>
      </c>
      <c r="AE428" s="2">
        <f>IF($W428=AE$3,$AB428,IF(NOT($W428=0),"",SUMIFS('Val-Vol (2)'!AE$4:AE$1116,'Val-Vol (2)'!$A$4:$A$1116,$D428,'Val-Vol (2)'!$V$4:$V$1116,$V428)/SUMIFS('Comp2016-2017 (3)'!$G$5:$G$289,'Comp2016-2017 (3)'!$A$5:$A$289,$D428,'Comp2016-2017 (3)'!$R$5:$R$289,$V428)*$AB428))</f>
        <v>1.3999193155577057</v>
      </c>
      <c r="AF428" s="2">
        <f>IF($W428=AF$3,$AB428,IF(NOT($W428=0),"",SUMIFS('Val-Vol (2)'!AF$4:AF$1116,'Val-Vol (2)'!$A$4:$A$1116,$D428,'Val-Vol (2)'!$V$4:$V$1116,$V428)/SUMIFS('Comp2016-2017 (3)'!$G$5:$G$289,'Comp2016-2017 (3)'!$A$5:$A$289,$D428,'Comp2016-2017 (3)'!$R$5:$R$289,$V428)*$AB428))</f>
        <v>0</v>
      </c>
      <c r="AG428" s="2">
        <f>IF($W428=AG$3,$AB428,IF(NOT($W428=0),"",SUMIFS('Val-Vol (2)'!AG$4:AG$1116,'Val-Vol (2)'!$A$4:$A$1116,$D428,'Val-Vol (2)'!$V$4:$V$1116,$V428)/SUMIFS('Comp2016-2017 (3)'!$G$5:$G$289,'Comp2016-2017 (3)'!$A$5:$A$289,$D428,'Comp2016-2017 (3)'!$R$5:$R$289,$V428)*$AB428))</f>
        <v>43.73253273731968</v>
      </c>
      <c r="AH428" s="2">
        <f>IF($W428=AH$3,$AB428,IF(NOT($W428=0),"",SUMIFS('Val-Vol (2)'!AH$4:AH$1116,'Val-Vol (2)'!$A$4:$A$1116,$D428,'Val-Vol (2)'!$V$4:$V$1116,$V428)/SUMIFS('Comp2016-2017 (3)'!$G$5:$G$289,'Comp2016-2017 (3)'!$A$5:$A$289,$D428,'Comp2016-2017 (3)'!$R$5:$R$289,$V428)*$AB428))</f>
        <v>0</v>
      </c>
      <c r="AI428" s="2">
        <f>IF($W428=AI$3,$AB428,IF(NOT($W428=0),"",SUMIFS('Val-Vol (2)'!AI$4:AI$1116,'Val-Vol (2)'!$A$4:$A$1116,$D428,'Val-Vol (2)'!$V$4:$V$1116,$V428)/SUMIFS('Comp2016-2017 (3)'!$G$5:$G$289,'Comp2016-2017 (3)'!$A$5:$A$289,$D428,'Comp2016-2017 (3)'!$R$5:$R$289,$V428)*$AB428))</f>
        <v>0</v>
      </c>
      <c r="AJ428" s="2">
        <f>IF($W428=AJ$3,$AB428,IF(NOT($W428=0),"",SUMIFS('Val-Vol (2)'!AJ$4:AJ$1116,'Val-Vol (2)'!$A$4:$A$1116,$D428,'Val-Vol (2)'!$V$4:$V$1116,$V428)/SUMIFS('Comp2016-2017 (3)'!$G$5:$G$289,'Comp2016-2017 (3)'!$A$5:$A$289,$D428,'Comp2016-2017 (3)'!$R$5:$R$289,$V428)*$AB428))</f>
        <v>4.7040258603269187</v>
      </c>
      <c r="AK428" s="2">
        <f t="shared" si="47"/>
        <v>0</v>
      </c>
      <c r="AL428" t="str">
        <f t="shared" si="49"/>
        <v/>
      </c>
      <c r="AM428" t="str">
        <f>VLOOKUP(A428,'Table corresp.'!$M$4:$U$63,8,FALSE)</f>
        <v>Production intermédiaire</v>
      </c>
      <c r="AN428" t="str">
        <f>VLOOKUP(D428,'Table corresp.'!$M$4:$U$63,9,FALSE)</f>
        <v>Production intermédiaire</v>
      </c>
    </row>
    <row r="429" spans="1:40" x14ac:dyDescent="0.25">
      <c r="A429" t="s">
        <v>3</v>
      </c>
      <c r="B429" t="str">
        <f>VLOOKUP(LEFT(A429,3),'Table corresp.'!$A$4:$D$63,3,FALSE)</f>
        <v>Transformation</v>
      </c>
      <c r="C429" t="str">
        <f>VLOOKUP(A429,'Table corresp.'!$M$4:$P$63,4,FALSE)</f>
        <v>Production et transformation de produits bois</v>
      </c>
      <c r="D429" t="s">
        <v>9</v>
      </c>
      <c r="E429" t="str">
        <f>VLOOKUP(LEFT(D429,3),'Table corresp.'!$A$4:$D$63,4,FALSE)</f>
        <v>Transformation</v>
      </c>
      <c r="F429" t="str">
        <f t="shared" si="48"/>
        <v xml:space="preserve">06  - 15 </v>
      </c>
      <c r="G429" s="3">
        <v>13850.009189469856</v>
      </c>
      <c r="H429" s="3">
        <v>0</v>
      </c>
      <c r="I429" s="3">
        <v>13850.009423351084</v>
      </c>
      <c r="J429" s="3">
        <v>0</v>
      </c>
      <c r="K429" s="3">
        <v>0</v>
      </c>
      <c r="L429" s="3">
        <v>0</v>
      </c>
      <c r="M429" s="3">
        <v>0</v>
      </c>
      <c r="N429" s="3">
        <v>0</v>
      </c>
      <c r="O429" s="3">
        <v>0</v>
      </c>
      <c r="P429" s="3">
        <v>0</v>
      </c>
      <c r="Q429" s="3">
        <v>0</v>
      </c>
      <c r="R429" s="3">
        <v>0</v>
      </c>
      <c r="S429" s="67"/>
      <c r="T429">
        <f>VLOOKUP(A429,'Groupe de branches'!$Z$27:$AM$86,14,FALSE)</f>
        <v>0</v>
      </c>
      <c r="U429">
        <f>VLOOKUP(D429,'Groupe de branches'!$Z$27:$AM$86,14,FALSE)</f>
        <v>0</v>
      </c>
      <c r="V429">
        <v>2017</v>
      </c>
      <c r="W429">
        <f>VLOOKUP(D429,'Table corresp.'!$M$4:$S$63,7,FALSE)</f>
        <v>0</v>
      </c>
      <c r="X429" s="167">
        <f>IFERROR(G429/SUMIFS('Comp2016-2017 (3)'!$I$5:$I$289,'Comp2016-2017 (3)'!$A$5:$A$289,A429,'Comp2016-2017 (3)'!$R$5:$R$289,V429),0)</f>
        <v>5.6581304457780521E-2</v>
      </c>
      <c r="Y429" s="190">
        <f>IFERROR(IF(RIGHT(F429,3)="Exp",VLOOKUP(F429,#REF!,2,FALSE),VLOOKUP(F429,#REF!,9,FALSE)),1)</f>
        <v>1</v>
      </c>
      <c r="Z429" s="167">
        <f t="shared" si="51"/>
        <v>3.7037037037037035E-2</v>
      </c>
      <c r="AA429" s="189">
        <f t="shared" si="50"/>
        <v>2.095603868806686E-3</v>
      </c>
      <c r="AB429" s="2">
        <f>IFERROR(SUMIFS('Comp2016-2017 (3)'!$G$5:$G$289,'Comp2016-2017 (3)'!$A$5:$A$289,A429,'Comp2016-2017 (3)'!$R$5:$R$289,V429)*AA429/SUMIFS($AA$4:$AA$1116,$A$4:$A$1116,A429,$V$4:$V$1116,V429),0)</f>
        <v>645.33044799004597</v>
      </c>
      <c r="AC429" s="2">
        <f>IF($W429=AC$3,$AB429,IF(NOT($W429=0),"",SUMIFS('Val-Vol (2)'!AC$4:AC$1116,'Val-Vol (2)'!$A$4:$A$1116,$D429,'Val-Vol (2)'!$V$4:$V$1116,$V429)/SUMIFS('Comp2016-2017 (3)'!$G$5:$G$289,'Comp2016-2017 (3)'!$A$5:$A$289,$D429,'Comp2016-2017 (3)'!$R$5:$R$289,$V429)*$AB429))</f>
        <v>21.433574795700235</v>
      </c>
      <c r="AD429" s="2">
        <f>IF($W429=AD$3,$AB429,IF(NOT($W429=0),"",SUMIFS('Val-Vol (2)'!AD$4:AD$1116,'Val-Vol (2)'!$A$4:$A$1116,$D429,'Val-Vol (2)'!$V$4:$V$1116,$V429)/SUMIFS('Comp2016-2017 (3)'!$G$5:$G$289,'Comp2016-2017 (3)'!$A$5:$A$289,$D429,'Comp2016-2017 (3)'!$R$5:$R$289,$V429)*$AB429))</f>
        <v>123.66568744195929</v>
      </c>
      <c r="AE429" s="2">
        <f>IF($W429=AE$3,$AB429,IF(NOT($W429=0),"",SUMIFS('Val-Vol (2)'!AE$4:AE$1116,'Val-Vol (2)'!$A$4:$A$1116,$D429,'Val-Vol (2)'!$V$4:$V$1116,$V429)/SUMIFS('Comp2016-2017 (3)'!$G$5:$G$289,'Comp2016-2017 (3)'!$A$5:$A$289,$D429,'Comp2016-2017 (3)'!$R$5:$R$289,$V429)*$AB429))</f>
        <v>1.3759076687806397E-2</v>
      </c>
      <c r="AF429" s="2">
        <f>IF($W429=AF$3,$AB429,IF(NOT($W429=0),"",SUMIFS('Val-Vol (2)'!AF$4:AF$1116,'Val-Vol (2)'!$A$4:$A$1116,$D429,'Val-Vol (2)'!$V$4:$V$1116,$V429)/SUMIFS('Comp2016-2017 (3)'!$G$5:$G$289,'Comp2016-2017 (3)'!$A$5:$A$289,$D429,'Comp2016-2017 (3)'!$R$5:$R$289,$V429)*$AB429))</f>
        <v>0</v>
      </c>
      <c r="AG429" s="2">
        <f>IF($W429=AG$3,$AB429,IF(NOT($W429=0),"",SUMIFS('Val-Vol (2)'!AG$4:AG$1116,'Val-Vol (2)'!$A$4:$A$1116,$D429,'Val-Vol (2)'!$V$4:$V$1116,$V429)/SUMIFS('Comp2016-2017 (3)'!$G$5:$G$289,'Comp2016-2017 (3)'!$A$5:$A$289,$D429,'Comp2016-2017 (3)'!$R$5:$R$289,$V429)*$AB429))</f>
        <v>311.70296997921423</v>
      </c>
      <c r="AH429" s="2">
        <f>IF($W429=AH$3,$AB429,IF(NOT($W429=0),"",SUMIFS('Val-Vol (2)'!AH$4:AH$1116,'Val-Vol (2)'!$A$4:$A$1116,$D429,'Val-Vol (2)'!$V$4:$V$1116,$V429)/SUMIFS('Comp2016-2017 (3)'!$G$5:$G$289,'Comp2016-2017 (3)'!$A$5:$A$289,$D429,'Comp2016-2017 (3)'!$R$5:$R$289,$V429)*$AB429))</f>
        <v>0</v>
      </c>
      <c r="AI429" s="2">
        <f>IF($W429=AI$3,$AB429,IF(NOT($W429=0),"",SUMIFS('Val-Vol (2)'!AI$4:AI$1116,'Val-Vol (2)'!$A$4:$A$1116,$D429,'Val-Vol (2)'!$V$4:$V$1116,$V429)/SUMIFS('Comp2016-2017 (3)'!$G$5:$G$289,'Comp2016-2017 (3)'!$A$5:$A$289,$D429,'Comp2016-2017 (3)'!$R$5:$R$289,$V429)*$AB429))</f>
        <v>0</v>
      </c>
      <c r="AJ429" s="2">
        <f>IF($W429=AJ$3,$AB429,IF(NOT($W429=0),"",SUMIFS('Val-Vol (2)'!AJ$4:AJ$1116,'Val-Vol (2)'!$A$4:$A$1116,$D429,'Val-Vol (2)'!$V$4:$V$1116,$V429)/SUMIFS('Comp2016-2017 (3)'!$G$5:$G$289,'Comp2016-2017 (3)'!$A$5:$A$289,$D429,'Comp2016-2017 (3)'!$R$5:$R$289,$V429)*$AB429))</f>
        <v>188.51445669648442</v>
      </c>
      <c r="AK429" s="2">
        <f t="shared" si="47"/>
        <v>0</v>
      </c>
      <c r="AL429" t="str">
        <f t="shared" si="49"/>
        <v/>
      </c>
      <c r="AM429" t="str">
        <f>VLOOKUP(A429,'Table corresp.'!$M$4:$U$63,8,FALSE)</f>
        <v>Production intermédiaire</v>
      </c>
      <c r="AN429" t="str">
        <f>VLOOKUP(D429,'Table corresp.'!$M$4:$U$63,9,FALSE)</f>
        <v>Production intermédiaire</v>
      </c>
    </row>
    <row r="430" spans="1:40" x14ac:dyDescent="0.25">
      <c r="A430" t="s">
        <v>3</v>
      </c>
      <c r="B430" t="str">
        <f>VLOOKUP(LEFT(A430,3),'Table corresp.'!$A$4:$D$63,3,FALSE)</f>
        <v>Transformation</v>
      </c>
      <c r="C430" t="str">
        <f>VLOOKUP(A430,'Table corresp.'!$M$4:$P$63,4,FALSE)</f>
        <v>Production et transformation de produits bois</v>
      </c>
      <c r="D430" t="s">
        <v>10</v>
      </c>
      <c r="E430" t="str">
        <f>VLOOKUP(LEFT(D430,3),'Table corresp.'!$A$4:$D$63,4,FALSE)</f>
        <v>Transformation</v>
      </c>
      <c r="F430" t="str">
        <f t="shared" si="48"/>
        <v xml:space="preserve">06  - 16 </v>
      </c>
      <c r="G430" s="3">
        <v>949.09042037090478</v>
      </c>
      <c r="H430" s="3">
        <v>0</v>
      </c>
      <c r="I430" s="3">
        <v>949.0904363979289</v>
      </c>
      <c r="J430" s="3">
        <v>0</v>
      </c>
      <c r="K430" s="3">
        <v>0</v>
      </c>
      <c r="L430" s="3">
        <v>0</v>
      </c>
      <c r="M430" s="3">
        <v>0</v>
      </c>
      <c r="N430" s="3">
        <v>0</v>
      </c>
      <c r="O430" s="3">
        <v>0</v>
      </c>
      <c r="P430" s="3">
        <v>0</v>
      </c>
      <c r="Q430" s="3">
        <v>0</v>
      </c>
      <c r="R430" s="3">
        <v>0</v>
      </c>
      <c r="S430" s="67"/>
      <c r="T430">
        <f>VLOOKUP(A430,'Groupe de branches'!$Z$27:$AM$86,14,FALSE)</f>
        <v>0</v>
      </c>
      <c r="U430">
        <f>VLOOKUP(D430,'Groupe de branches'!$Z$27:$AM$86,14,FALSE)</f>
        <v>0</v>
      </c>
      <c r="V430">
        <v>2017</v>
      </c>
      <c r="W430" t="str">
        <f>VLOOKUP(D430,'Table corresp.'!$M$4:$S$63,7,FALSE)</f>
        <v>Emballage bois et carton</v>
      </c>
      <c r="X430" s="167">
        <f>IFERROR(G430/SUMIFS('Comp2016-2017 (3)'!$I$5:$I$289,'Comp2016-2017 (3)'!$A$5:$A$289,A430,'Comp2016-2017 (3)'!$R$5:$R$289,V430),0)</f>
        <v>3.8773096319530019E-3</v>
      </c>
      <c r="Y430" s="190">
        <f>IFERROR(IF(RIGHT(F430,3)="Exp",VLOOKUP(F430,#REF!,2,FALSE),VLOOKUP(F430,#REF!,9,FALSE)),1)</f>
        <v>1</v>
      </c>
      <c r="Z430" s="167">
        <f t="shared" si="51"/>
        <v>3.7037037037037035E-2</v>
      </c>
      <c r="AA430" s="189">
        <f t="shared" si="50"/>
        <v>1.4360406044270377E-4</v>
      </c>
      <c r="AB430" s="2">
        <f>IFERROR(SUMIFS('Comp2016-2017 (3)'!$G$5:$G$289,'Comp2016-2017 (3)'!$A$5:$A$289,A430,'Comp2016-2017 (3)'!$R$5:$R$289,V430)*AA430/SUMIFS($AA$4:$AA$1116,$A$4:$A$1116,A430,$V$4:$V$1116,V430),0)</f>
        <v>44.222132836322047</v>
      </c>
      <c r="AC430" s="2" t="str">
        <f>IF($W430=AC$3,$AB430,IF(NOT($W430=0),"",SUMIFS('Val-Vol (2)'!AC$4:AC$1116,'Val-Vol (2)'!$A$4:$A$1116,$D430,'Val-Vol (2)'!$V$4:$V$1116,$V430)/SUMIFS('Comp2016-2017 (3)'!$G$5:$G$289,'Comp2016-2017 (3)'!$A$5:$A$289,$D430,'Comp2016-2017 (3)'!$R$5:$R$289,$V430)*$AB430))</f>
        <v/>
      </c>
      <c r="AD430" s="2" t="str">
        <f>IF($W430=AD$3,$AB430,IF(NOT($W430=0),"",SUMIFS('Val-Vol (2)'!AD$4:AD$1116,'Val-Vol (2)'!$A$4:$A$1116,$D430,'Val-Vol (2)'!$V$4:$V$1116,$V430)/SUMIFS('Comp2016-2017 (3)'!$G$5:$G$289,'Comp2016-2017 (3)'!$A$5:$A$289,$D430,'Comp2016-2017 (3)'!$R$5:$R$289,$V430)*$AB430))</f>
        <v/>
      </c>
      <c r="AE430" s="2" t="str">
        <f>IF($W430=AE$3,$AB430,IF(NOT($W430=0),"",SUMIFS('Val-Vol (2)'!AE$4:AE$1116,'Val-Vol (2)'!$A$4:$A$1116,$D430,'Val-Vol (2)'!$V$4:$V$1116,$V430)/SUMIFS('Comp2016-2017 (3)'!$G$5:$G$289,'Comp2016-2017 (3)'!$A$5:$A$289,$D430,'Comp2016-2017 (3)'!$R$5:$R$289,$V430)*$AB430))</f>
        <v/>
      </c>
      <c r="AF430" s="2" t="str">
        <f>IF($W430=AF$3,$AB430,IF(NOT($W430=0),"",SUMIFS('Val-Vol (2)'!AF$4:AF$1116,'Val-Vol (2)'!$A$4:$A$1116,$D430,'Val-Vol (2)'!$V$4:$V$1116,$V430)/SUMIFS('Comp2016-2017 (3)'!$G$5:$G$289,'Comp2016-2017 (3)'!$A$5:$A$289,$D430,'Comp2016-2017 (3)'!$R$5:$R$289,$V430)*$AB430))</f>
        <v/>
      </c>
      <c r="AG430" s="2">
        <f>IF($W430=AG$3,$AB430,IF(NOT($W430=0),"",SUMIFS('Val-Vol (2)'!AG$4:AG$1116,'Val-Vol (2)'!$A$4:$A$1116,$D430,'Val-Vol (2)'!$V$4:$V$1116,$V430)/SUMIFS('Comp2016-2017 (3)'!$G$5:$G$289,'Comp2016-2017 (3)'!$A$5:$A$289,$D430,'Comp2016-2017 (3)'!$R$5:$R$289,$V430)*$AB430))</f>
        <v>44.222132836322047</v>
      </c>
      <c r="AH430" s="2" t="str">
        <f>IF($W430=AH$3,$AB430,IF(NOT($W430=0),"",SUMIFS('Val-Vol (2)'!AH$4:AH$1116,'Val-Vol (2)'!$A$4:$A$1116,$D430,'Val-Vol (2)'!$V$4:$V$1116,$V430)/SUMIFS('Comp2016-2017 (3)'!$G$5:$G$289,'Comp2016-2017 (3)'!$A$5:$A$289,$D430,'Comp2016-2017 (3)'!$R$5:$R$289,$V430)*$AB430))</f>
        <v/>
      </c>
      <c r="AI430" s="2" t="str">
        <f>IF($W430=AI$3,$AB430,IF(NOT($W430=0),"",SUMIFS('Val-Vol (2)'!AI$4:AI$1116,'Val-Vol (2)'!$A$4:$A$1116,$D430,'Val-Vol (2)'!$V$4:$V$1116,$V430)/SUMIFS('Comp2016-2017 (3)'!$G$5:$G$289,'Comp2016-2017 (3)'!$A$5:$A$289,$D430,'Comp2016-2017 (3)'!$R$5:$R$289,$V430)*$AB430))</f>
        <v/>
      </c>
      <c r="AJ430" s="2" t="str">
        <f>IF($W430=AJ$3,$AB430,IF(NOT($W430=0),"",SUMIFS('Val-Vol (2)'!AJ$4:AJ$1116,'Val-Vol (2)'!$A$4:$A$1116,$D430,'Val-Vol (2)'!$V$4:$V$1116,$V430)/SUMIFS('Comp2016-2017 (3)'!$G$5:$G$289,'Comp2016-2017 (3)'!$A$5:$A$289,$D430,'Comp2016-2017 (3)'!$R$5:$R$289,$V430)*$AB430))</f>
        <v/>
      </c>
      <c r="AK430" s="2">
        <f t="shared" si="47"/>
        <v>0</v>
      </c>
      <c r="AL430" t="str">
        <f t="shared" si="49"/>
        <v/>
      </c>
      <c r="AM430" t="str">
        <f>VLOOKUP(A430,'Table corresp.'!$M$4:$U$63,8,FALSE)</f>
        <v>Production intermédiaire</v>
      </c>
      <c r="AN430" t="str">
        <f>VLOOKUP(D430,'Table corresp.'!$M$4:$U$63,9,FALSE)</f>
        <v>Production intermédiaire</v>
      </c>
    </row>
    <row r="431" spans="1:40" x14ac:dyDescent="0.25">
      <c r="A431" t="s">
        <v>3</v>
      </c>
      <c r="B431" t="str">
        <f>VLOOKUP(LEFT(A431,3),'Table corresp.'!$A$4:$D$63,3,FALSE)</f>
        <v>Transformation</v>
      </c>
      <c r="C431" t="str">
        <f>VLOOKUP(A431,'Table corresp.'!$M$4:$P$63,4,FALSE)</f>
        <v>Production et transformation de produits bois</v>
      </c>
      <c r="D431" t="s">
        <v>84</v>
      </c>
      <c r="E431" t="str">
        <f>VLOOKUP(LEFT(D431,3),'Table corresp.'!$A$4:$D$63,4,FALSE)</f>
        <v>Transformation</v>
      </c>
      <c r="F431" t="str">
        <f t="shared" si="48"/>
        <v xml:space="preserve">06  - 17 </v>
      </c>
      <c r="G431" s="3">
        <v>1013.1871224918766</v>
      </c>
      <c r="H431" s="3">
        <v>0</v>
      </c>
      <c r="I431" s="3">
        <v>1013.1871396012839</v>
      </c>
      <c r="J431" s="3">
        <v>0</v>
      </c>
      <c r="K431" s="3">
        <v>0</v>
      </c>
      <c r="L431" s="3">
        <v>0</v>
      </c>
      <c r="M431" s="3">
        <v>0</v>
      </c>
      <c r="N431" s="3">
        <v>0</v>
      </c>
      <c r="O431" s="3">
        <v>0</v>
      </c>
      <c r="P431" s="3">
        <v>0</v>
      </c>
      <c r="Q431" s="3">
        <v>0</v>
      </c>
      <c r="R431" s="3">
        <v>0</v>
      </c>
      <c r="S431" s="67"/>
      <c r="T431">
        <f>VLOOKUP(A431,'Groupe de branches'!$Z$27:$AM$86,14,FALSE)</f>
        <v>0</v>
      </c>
      <c r="U431">
        <f>VLOOKUP(D431,'Groupe de branches'!$Z$27:$AM$86,14,FALSE)</f>
        <v>0</v>
      </c>
      <c r="V431">
        <v>2017</v>
      </c>
      <c r="W431" t="str">
        <f>VLOOKUP(D431,'Table corresp.'!$M$4:$S$63,7,FALSE)</f>
        <v>Construction</v>
      </c>
      <c r="X431" s="167">
        <f>IFERROR(G431/SUMIFS('Comp2016-2017 (3)'!$I$5:$I$289,'Comp2016-2017 (3)'!$A$5:$A$289,A431,'Comp2016-2017 (3)'!$R$5:$R$289,V431),0)</f>
        <v>4.1391632500866081E-3</v>
      </c>
      <c r="Y431" s="190">
        <f>IFERROR(IF(RIGHT(F431,3)="Exp",VLOOKUP(F431,#REF!,2,FALSE),VLOOKUP(F431,#REF!,9,FALSE)),1)</f>
        <v>1</v>
      </c>
      <c r="Z431" s="167">
        <f t="shared" si="51"/>
        <v>3.7037037037037035E-2</v>
      </c>
      <c r="AA431" s="189">
        <f t="shared" si="50"/>
        <v>1.533023425958003E-4</v>
      </c>
      <c r="AB431" s="2">
        <f>IFERROR(SUMIFS('Comp2016-2017 (3)'!$G$5:$G$289,'Comp2016-2017 (3)'!$A$5:$A$289,A431,'Comp2016-2017 (3)'!$R$5:$R$289,V431)*AA431/SUMIFS($AA$4:$AA$1116,$A$4:$A$1116,A431,$V$4:$V$1116,V431),0)</f>
        <v>47.20866901319765</v>
      </c>
      <c r="AC431" s="2" t="str">
        <f>IF($W431=AC$3,$AB431,IF(NOT($W431=0),"",SUMIFS('Val-Vol (2)'!AC$4:AC$1116,'Val-Vol (2)'!$A$4:$A$1116,$D431,'Val-Vol (2)'!$V$4:$V$1116,$V431)/SUMIFS('Comp2016-2017 (3)'!$G$5:$G$289,'Comp2016-2017 (3)'!$A$5:$A$289,$D431,'Comp2016-2017 (3)'!$R$5:$R$289,$V431)*$AB431))</f>
        <v/>
      </c>
      <c r="AD431" s="2">
        <f>IF($W431=AD$3,$AB431,IF(NOT($W431=0),"",SUMIFS('Val-Vol (2)'!AD$4:AD$1116,'Val-Vol (2)'!$A$4:$A$1116,$D431,'Val-Vol (2)'!$V$4:$V$1116,$V431)/SUMIFS('Comp2016-2017 (3)'!$G$5:$G$289,'Comp2016-2017 (3)'!$A$5:$A$289,$D431,'Comp2016-2017 (3)'!$R$5:$R$289,$V431)*$AB431))</f>
        <v>47.20866901319765</v>
      </c>
      <c r="AE431" s="2" t="str">
        <f>IF($W431=AE$3,$AB431,IF(NOT($W431=0),"",SUMIFS('Val-Vol (2)'!AE$4:AE$1116,'Val-Vol (2)'!$A$4:$A$1116,$D431,'Val-Vol (2)'!$V$4:$V$1116,$V431)/SUMIFS('Comp2016-2017 (3)'!$G$5:$G$289,'Comp2016-2017 (3)'!$A$5:$A$289,$D431,'Comp2016-2017 (3)'!$R$5:$R$289,$V431)*$AB431))</f>
        <v/>
      </c>
      <c r="AF431" s="2" t="str">
        <f>IF($W431=AF$3,$AB431,IF(NOT($W431=0),"",SUMIFS('Val-Vol (2)'!AF$4:AF$1116,'Val-Vol (2)'!$A$4:$A$1116,$D431,'Val-Vol (2)'!$V$4:$V$1116,$V431)/SUMIFS('Comp2016-2017 (3)'!$G$5:$G$289,'Comp2016-2017 (3)'!$A$5:$A$289,$D431,'Comp2016-2017 (3)'!$R$5:$R$289,$V431)*$AB431))</f>
        <v/>
      </c>
      <c r="AG431" s="2" t="str">
        <f>IF($W431=AG$3,$AB431,IF(NOT($W431=0),"",SUMIFS('Val-Vol (2)'!AG$4:AG$1116,'Val-Vol (2)'!$A$4:$A$1116,$D431,'Val-Vol (2)'!$V$4:$V$1116,$V431)/SUMIFS('Comp2016-2017 (3)'!$G$5:$G$289,'Comp2016-2017 (3)'!$A$5:$A$289,$D431,'Comp2016-2017 (3)'!$R$5:$R$289,$V431)*$AB431))</f>
        <v/>
      </c>
      <c r="AH431" s="2" t="str">
        <f>IF($W431=AH$3,$AB431,IF(NOT($W431=0),"",SUMIFS('Val-Vol (2)'!AH$4:AH$1116,'Val-Vol (2)'!$A$4:$A$1116,$D431,'Val-Vol (2)'!$V$4:$V$1116,$V431)/SUMIFS('Comp2016-2017 (3)'!$G$5:$G$289,'Comp2016-2017 (3)'!$A$5:$A$289,$D431,'Comp2016-2017 (3)'!$R$5:$R$289,$V431)*$AB431))</f>
        <v/>
      </c>
      <c r="AI431" s="2" t="str">
        <f>IF($W431=AI$3,$AB431,IF(NOT($W431=0),"",SUMIFS('Val-Vol (2)'!AI$4:AI$1116,'Val-Vol (2)'!$A$4:$A$1116,$D431,'Val-Vol (2)'!$V$4:$V$1116,$V431)/SUMIFS('Comp2016-2017 (3)'!$G$5:$G$289,'Comp2016-2017 (3)'!$A$5:$A$289,$D431,'Comp2016-2017 (3)'!$R$5:$R$289,$V431)*$AB431))</f>
        <v/>
      </c>
      <c r="AJ431" s="2" t="str">
        <f>IF($W431=AJ$3,$AB431,IF(NOT($W431=0),"",SUMIFS('Val-Vol (2)'!AJ$4:AJ$1116,'Val-Vol (2)'!$A$4:$A$1116,$D431,'Val-Vol (2)'!$V$4:$V$1116,$V431)/SUMIFS('Comp2016-2017 (3)'!$G$5:$G$289,'Comp2016-2017 (3)'!$A$5:$A$289,$D431,'Comp2016-2017 (3)'!$R$5:$R$289,$V431)*$AB431))</f>
        <v/>
      </c>
      <c r="AK431" s="2">
        <f t="shared" si="47"/>
        <v>0</v>
      </c>
      <c r="AL431" t="str">
        <f t="shared" si="49"/>
        <v/>
      </c>
      <c r="AM431" t="str">
        <f>VLOOKUP(A431,'Table corresp.'!$M$4:$U$63,8,FALSE)</f>
        <v>Production intermédiaire</v>
      </c>
      <c r="AN431" t="str">
        <f>VLOOKUP(D431,'Table corresp.'!$M$4:$U$63,9,FALSE)</f>
        <v>Production intermédiaire</v>
      </c>
    </row>
    <row r="432" spans="1:40" x14ac:dyDescent="0.25">
      <c r="A432" t="s">
        <v>3</v>
      </c>
      <c r="B432" t="str">
        <f>VLOOKUP(LEFT(A432,3),'Table corresp.'!$A$4:$D$63,3,FALSE)</f>
        <v>Transformation</v>
      </c>
      <c r="C432" t="str">
        <f>VLOOKUP(A432,'Table corresp.'!$M$4:$P$63,4,FALSE)</f>
        <v>Production et transformation de produits bois</v>
      </c>
      <c r="D432" t="s">
        <v>86</v>
      </c>
      <c r="E432" t="str">
        <f>VLOOKUP(LEFT(D432,3),'Table corresp.'!$A$4:$D$63,4,FALSE)</f>
        <v>Transformation</v>
      </c>
      <c r="F432" t="str">
        <f t="shared" si="48"/>
        <v xml:space="preserve">06  - 30 </v>
      </c>
      <c r="G432" s="3">
        <v>17185.93347009334</v>
      </c>
      <c r="H432" s="3">
        <v>0</v>
      </c>
      <c r="I432" s="3">
        <v>17185.933760307384</v>
      </c>
      <c r="J432" s="3">
        <v>0</v>
      </c>
      <c r="K432" s="3">
        <v>0</v>
      </c>
      <c r="L432" s="3">
        <v>0</v>
      </c>
      <c r="M432" s="3">
        <v>0</v>
      </c>
      <c r="N432" s="3">
        <v>0</v>
      </c>
      <c r="O432" s="3">
        <v>0</v>
      </c>
      <c r="P432" s="3">
        <v>0</v>
      </c>
      <c r="Q432" s="3">
        <v>0</v>
      </c>
      <c r="R432" s="3">
        <v>0</v>
      </c>
      <c r="S432" s="67"/>
      <c r="T432">
        <f>VLOOKUP(A432,'Groupe de branches'!$Z$27:$AM$86,14,FALSE)</f>
        <v>0</v>
      </c>
      <c r="U432">
        <f>VLOOKUP(D432,'Groupe de branches'!$Z$27:$AM$86,14,FALSE)</f>
        <v>1</v>
      </c>
      <c r="V432">
        <v>2017</v>
      </c>
      <c r="W432" t="str">
        <f>VLOOKUP(D432,'Table corresp.'!$M$4:$S$63,7,FALSE)</f>
        <v>Energie</v>
      </c>
      <c r="X432" s="167">
        <f>IFERROR(G432/SUMIFS('Comp2016-2017 (3)'!$I$5:$I$289,'Comp2016-2017 (3)'!$A$5:$A$289,A432,'Comp2016-2017 (3)'!$R$5:$R$289,V432),0)</f>
        <v>7.0209522662398535E-2</v>
      </c>
      <c r="Y432" s="190">
        <f>IFERROR(IF(RIGHT(F432,3)="Exp",VLOOKUP(F432,#REF!,2,FALSE),VLOOKUP(F432,#REF!,9,FALSE)),1)</f>
        <v>1</v>
      </c>
      <c r="Z432" s="167">
        <f t="shared" ref="Z432:Z437" si="52">Y432/SUMIFS($Y$4:$Y$1116,$V$4:$V$1116,V432,$A$4:$A$1116,A432)</f>
        <v>3.7037037037037035E-2</v>
      </c>
      <c r="AA432" s="189">
        <f t="shared" si="50"/>
        <v>2.6003526911999456E-3</v>
      </c>
      <c r="AB432" s="2">
        <f>IFERROR(SUMIFS('Comp2016-2017 (3)'!$G$5:$G$289,'Comp2016-2017 (3)'!$A$5:$A$289,A432,'Comp2016-2017 (3)'!$R$5:$R$289,V432)*AA432/SUMIFS($AA$4:$AA$1116,$A$4:$A$1116,A432,$V$4:$V$1116,V432),0)</f>
        <v>800.76525536276426</v>
      </c>
      <c r="AC432" s="2" t="str">
        <f>IF($W432=AC$3,$AB432,IF(NOT($W432=0),"",SUMIFS('Val-Vol (2)'!AC$4:AC$1116,'Val-Vol (2)'!$A$4:$A$1116,$D432,'Val-Vol (2)'!$V$4:$V$1116,$V432)/SUMIFS('Comp2016-2017 (3)'!$G$5:$G$289,'Comp2016-2017 (3)'!$A$5:$A$289,$D432,'Comp2016-2017 (3)'!$R$5:$R$289,$V432)*$AB432))</f>
        <v/>
      </c>
      <c r="AD432" s="2" t="str">
        <f>IF($W432=AD$3,$AB432,IF(NOT($W432=0),"",SUMIFS('Val-Vol (2)'!AD$4:AD$1116,'Val-Vol (2)'!$A$4:$A$1116,$D432,'Val-Vol (2)'!$V$4:$V$1116,$V432)/SUMIFS('Comp2016-2017 (3)'!$G$5:$G$289,'Comp2016-2017 (3)'!$A$5:$A$289,$D432,'Comp2016-2017 (3)'!$R$5:$R$289,$V432)*$AB432))</f>
        <v/>
      </c>
      <c r="AE432" s="2" t="str">
        <f>IF($W432=AE$3,$AB432,IF(NOT($W432=0),"",SUMIFS('Val-Vol (2)'!AE$4:AE$1116,'Val-Vol (2)'!$A$4:$A$1116,$D432,'Val-Vol (2)'!$V$4:$V$1116,$V432)/SUMIFS('Comp2016-2017 (3)'!$G$5:$G$289,'Comp2016-2017 (3)'!$A$5:$A$289,$D432,'Comp2016-2017 (3)'!$R$5:$R$289,$V432)*$AB432))</f>
        <v/>
      </c>
      <c r="AF432" s="2" t="str">
        <f>IF($W432=AF$3,$AB432,IF(NOT($W432=0),"",SUMIFS('Val-Vol (2)'!AF$4:AF$1116,'Val-Vol (2)'!$A$4:$A$1116,$D432,'Val-Vol (2)'!$V$4:$V$1116,$V432)/SUMIFS('Comp2016-2017 (3)'!$G$5:$G$289,'Comp2016-2017 (3)'!$A$5:$A$289,$D432,'Comp2016-2017 (3)'!$R$5:$R$289,$V432)*$AB432))</f>
        <v/>
      </c>
      <c r="AG432" s="2" t="str">
        <f>IF($W432=AG$3,$AB432,IF(NOT($W432=0),"",SUMIFS('Val-Vol (2)'!AG$4:AG$1116,'Val-Vol (2)'!$A$4:$A$1116,$D432,'Val-Vol (2)'!$V$4:$V$1116,$V432)/SUMIFS('Comp2016-2017 (3)'!$G$5:$G$289,'Comp2016-2017 (3)'!$A$5:$A$289,$D432,'Comp2016-2017 (3)'!$R$5:$R$289,$V432)*$AB432))</f>
        <v/>
      </c>
      <c r="AH432" s="2">
        <f>IF($W432=AH$3,$AB432,IF(NOT($W432=0),"",SUMIFS('Val-Vol (2)'!AH$4:AH$1116,'Val-Vol (2)'!$A$4:$A$1116,$D432,'Val-Vol (2)'!$V$4:$V$1116,$V432)/SUMIFS('Comp2016-2017 (3)'!$G$5:$G$289,'Comp2016-2017 (3)'!$A$5:$A$289,$D432,'Comp2016-2017 (3)'!$R$5:$R$289,$V432)*$AB432))</f>
        <v>800.76525536276426</v>
      </c>
      <c r="AI432" s="2" t="str">
        <f>IF($W432=AI$3,$AB432,IF(NOT($W432=0),"",SUMIFS('Val-Vol (2)'!AI$4:AI$1116,'Val-Vol (2)'!$A$4:$A$1116,$D432,'Val-Vol (2)'!$V$4:$V$1116,$V432)/SUMIFS('Comp2016-2017 (3)'!$G$5:$G$289,'Comp2016-2017 (3)'!$A$5:$A$289,$D432,'Comp2016-2017 (3)'!$R$5:$R$289,$V432)*$AB432))</f>
        <v/>
      </c>
      <c r="AJ432" s="2" t="str">
        <f>IF($W432=AJ$3,$AB432,IF(NOT($W432=0),"",SUMIFS('Val-Vol (2)'!AJ$4:AJ$1116,'Val-Vol (2)'!$A$4:$A$1116,$D432,'Val-Vol (2)'!$V$4:$V$1116,$V432)/SUMIFS('Comp2016-2017 (3)'!$G$5:$G$289,'Comp2016-2017 (3)'!$A$5:$A$289,$D432,'Comp2016-2017 (3)'!$R$5:$R$289,$V432)*$AB432))</f>
        <v/>
      </c>
      <c r="AK432" s="2">
        <f t="shared" si="47"/>
        <v>0</v>
      </c>
      <c r="AL432" t="str">
        <f t="shared" si="49"/>
        <v/>
      </c>
      <c r="AM432" t="str">
        <f>VLOOKUP(A432,'Table corresp.'!$M$4:$U$63,8,FALSE)</f>
        <v>Production intermédiaire</v>
      </c>
      <c r="AN432" t="str">
        <f>VLOOKUP(D432,'Table corresp.'!$M$4:$U$63,9,FALSE)</f>
        <v>Production intermédiaire</v>
      </c>
    </row>
    <row r="433" spans="1:40" x14ac:dyDescent="0.25">
      <c r="A433" t="s">
        <v>3</v>
      </c>
      <c r="B433" t="str">
        <f>VLOOKUP(LEFT(A433,3),'Table corresp.'!$A$4:$D$63,3,FALSE)</f>
        <v>Transformation</v>
      </c>
      <c r="C433" t="str">
        <f>VLOOKUP(A433,'Table corresp.'!$M$4:$P$63,4,FALSE)</f>
        <v>Production et transformation de produits bois</v>
      </c>
      <c r="D433" t="s">
        <v>87</v>
      </c>
      <c r="E433" t="str">
        <f>VLOOKUP(LEFT(D433,3),'Table corresp.'!$A$4:$D$63,4,FALSE)</f>
        <v>Transformation</v>
      </c>
      <c r="F433" t="str">
        <f t="shared" si="48"/>
        <v xml:space="preserve">06  - 31 </v>
      </c>
      <c r="G433" s="3">
        <v>15746.394832319456</v>
      </c>
      <c r="H433" s="3">
        <v>0</v>
      </c>
      <c r="I433" s="3">
        <v>15746.395098224417</v>
      </c>
      <c r="J433" s="3">
        <v>0</v>
      </c>
      <c r="K433" s="3">
        <v>0</v>
      </c>
      <c r="L433" s="3">
        <v>0</v>
      </c>
      <c r="M433" s="3">
        <v>0</v>
      </c>
      <c r="N433" s="3">
        <v>0</v>
      </c>
      <c r="O433" s="3">
        <v>0</v>
      </c>
      <c r="P433" s="3">
        <v>0</v>
      </c>
      <c r="Q433" s="3">
        <v>0</v>
      </c>
      <c r="R433" s="3">
        <v>0</v>
      </c>
      <c r="S433" s="67"/>
      <c r="T433">
        <f>VLOOKUP(A433,'Groupe de branches'!$Z$27:$AM$86,14,FALSE)</f>
        <v>0</v>
      </c>
      <c r="U433">
        <f>VLOOKUP(D433,'Groupe de branches'!$Z$27:$AM$86,14,FALSE)</f>
        <v>0</v>
      </c>
      <c r="V433">
        <v>2017</v>
      </c>
      <c r="W433">
        <f>VLOOKUP(D433,'Table corresp.'!$M$4:$S$63,7,FALSE)</f>
        <v>0</v>
      </c>
      <c r="X433" s="167">
        <f>IFERROR(G433/SUMIFS('Comp2016-2017 (3)'!$I$5:$I$289,'Comp2016-2017 (3)'!$A$5:$A$289,A433,'Comp2016-2017 (3)'!$R$5:$R$289,V433),0)</f>
        <v>6.432858981763552E-2</v>
      </c>
      <c r="Y433" s="190">
        <f>IFERROR(IF(RIGHT(F433,3)="Exp",VLOOKUP(F433,#REF!,2,FALSE),VLOOKUP(F433,#REF!,9,FALSE)),1)</f>
        <v>1</v>
      </c>
      <c r="Z433" s="167">
        <f t="shared" si="52"/>
        <v>3.7037037037037035E-2</v>
      </c>
      <c r="AA433" s="189">
        <f t="shared" si="50"/>
        <v>2.3825403636161301E-3</v>
      </c>
      <c r="AB433" s="2">
        <f>IFERROR(SUMIFS('Comp2016-2017 (3)'!$G$5:$G$289,'Comp2016-2017 (3)'!$A$5:$A$289,A433,'Comp2016-2017 (3)'!$R$5:$R$289,V433)*AA433/SUMIFS($AA$4:$AA$1116,$A$4:$A$1116,A433,$V$4:$V$1116,V433),0)</f>
        <v>733.69106780771892</v>
      </c>
      <c r="AC433" s="2">
        <f>IF($W433=AC$3,$AB433,IF(NOT($W433=0),"",SUMIFS('Val-Vol (2)'!AC$4:AC$1116,'Val-Vol (2)'!$A$4:$A$1116,$D433,'Val-Vol (2)'!$V$4:$V$1116,$V433)/SUMIFS('Comp2016-2017 (3)'!$G$5:$G$289,'Comp2016-2017 (3)'!$A$5:$A$289,$D433,'Comp2016-2017 (3)'!$R$5:$R$289,$V433)*$AB433))</f>
        <v>389.49512282124658</v>
      </c>
      <c r="AD433" s="2">
        <f>IF($W433=AD$3,$AB433,IF(NOT($W433=0),"",SUMIFS('Val-Vol (2)'!AD$4:AD$1116,'Val-Vol (2)'!$A$4:$A$1116,$D433,'Val-Vol (2)'!$V$4:$V$1116,$V433)/SUMIFS('Comp2016-2017 (3)'!$G$5:$G$289,'Comp2016-2017 (3)'!$A$5:$A$289,$D433,'Comp2016-2017 (3)'!$R$5:$R$289,$V433)*$AB433))</f>
        <v>112.3886054270245</v>
      </c>
      <c r="AE433" s="2">
        <f>IF($W433=AE$3,$AB433,IF(NOT($W433=0),"",SUMIFS('Val-Vol (2)'!AE$4:AE$1116,'Val-Vol (2)'!$A$4:$A$1116,$D433,'Val-Vol (2)'!$V$4:$V$1116,$V433)/SUMIFS('Comp2016-2017 (3)'!$G$5:$G$289,'Comp2016-2017 (3)'!$A$5:$A$289,$D433,'Comp2016-2017 (3)'!$R$5:$R$289,$V433)*$AB433))</f>
        <v>143.79399765228408</v>
      </c>
      <c r="AF433" s="2">
        <f>IF($W433=AF$3,$AB433,IF(NOT($W433=0),"",SUMIFS('Val-Vol (2)'!AF$4:AF$1116,'Val-Vol (2)'!$A$4:$A$1116,$D433,'Val-Vol (2)'!$V$4:$V$1116,$V433)/SUMIFS('Comp2016-2017 (3)'!$G$5:$G$289,'Comp2016-2017 (3)'!$A$5:$A$289,$D433,'Comp2016-2017 (3)'!$R$5:$R$289,$V433)*$AB433))</f>
        <v>0</v>
      </c>
      <c r="AG433" s="2">
        <f>IF($W433=AG$3,$AB433,IF(NOT($W433=0),"",SUMIFS('Val-Vol (2)'!AG$4:AG$1116,'Val-Vol (2)'!$A$4:$A$1116,$D433,'Val-Vol (2)'!$V$4:$V$1116,$V433)/SUMIFS('Comp2016-2017 (3)'!$G$5:$G$289,'Comp2016-2017 (3)'!$A$5:$A$289,$D433,'Comp2016-2017 (3)'!$R$5:$R$289,$V433)*$AB433))</f>
        <v>66.549876985928549</v>
      </c>
      <c r="AH433" s="2">
        <f>IF($W433=AH$3,$AB433,IF(NOT($W433=0),"",SUMIFS('Val-Vol (2)'!AH$4:AH$1116,'Val-Vol (2)'!$A$4:$A$1116,$D433,'Val-Vol (2)'!$V$4:$V$1116,$V433)/SUMIFS('Comp2016-2017 (3)'!$G$5:$G$289,'Comp2016-2017 (3)'!$A$5:$A$289,$D433,'Comp2016-2017 (3)'!$R$5:$R$289,$V433)*$AB433))</f>
        <v>0</v>
      </c>
      <c r="AI433" s="2">
        <f>IF($W433=AI$3,$AB433,IF(NOT($W433=0),"",SUMIFS('Val-Vol (2)'!AI$4:AI$1116,'Val-Vol (2)'!$A$4:$A$1116,$D433,'Val-Vol (2)'!$V$4:$V$1116,$V433)/SUMIFS('Comp2016-2017 (3)'!$G$5:$G$289,'Comp2016-2017 (3)'!$A$5:$A$289,$D433,'Comp2016-2017 (3)'!$R$5:$R$289,$V433)*$AB433))</f>
        <v>0</v>
      </c>
      <c r="AJ433" s="2">
        <f>IF($W433=AJ$3,$AB433,IF(NOT($W433=0),"",SUMIFS('Val-Vol (2)'!AJ$4:AJ$1116,'Val-Vol (2)'!$A$4:$A$1116,$D433,'Val-Vol (2)'!$V$4:$V$1116,$V433)/SUMIFS('Comp2016-2017 (3)'!$G$5:$G$289,'Comp2016-2017 (3)'!$A$5:$A$289,$D433,'Comp2016-2017 (3)'!$R$5:$R$289,$V433)*$AB433))</f>
        <v>21.463464921235243</v>
      </c>
      <c r="AK433" s="2">
        <f t="shared" si="47"/>
        <v>0</v>
      </c>
      <c r="AL433" t="str">
        <f t="shared" si="49"/>
        <v/>
      </c>
      <c r="AM433" t="str">
        <f>VLOOKUP(A433,'Table corresp.'!$M$4:$U$63,8,FALSE)</f>
        <v>Production intermédiaire</v>
      </c>
      <c r="AN433" t="str">
        <f>VLOOKUP(D433,'Table corresp.'!$M$4:$U$63,9,FALSE)</f>
        <v>Production intermédiaire</v>
      </c>
    </row>
    <row r="434" spans="1:40" x14ac:dyDescent="0.25">
      <c r="A434" t="s">
        <v>3</v>
      </c>
      <c r="B434" t="str">
        <f>VLOOKUP(LEFT(A434,3),'Table corresp.'!$A$4:$D$63,3,FALSE)</f>
        <v>Transformation</v>
      </c>
      <c r="C434" t="str">
        <f>VLOOKUP(A434,'Table corresp.'!$M$4:$P$63,4,FALSE)</f>
        <v>Production et transformation de produits bois</v>
      </c>
      <c r="D434" t="s">
        <v>91</v>
      </c>
      <c r="E434" t="str">
        <f>VLOOKUP(LEFT(D434,3),'Table corresp.'!$A$4:$D$63,4,FALSE)</f>
        <v>Transformation</v>
      </c>
      <c r="F434" t="str">
        <f t="shared" si="48"/>
        <v xml:space="preserve">06  - 37 </v>
      </c>
      <c r="G434" s="3">
        <v>4712.4268485661887</v>
      </c>
      <c r="H434" s="3">
        <v>0</v>
      </c>
      <c r="I434" s="3">
        <v>4712.4269281436209</v>
      </c>
      <c r="J434" s="3">
        <v>0</v>
      </c>
      <c r="K434" s="3">
        <v>0</v>
      </c>
      <c r="L434" s="3">
        <v>0</v>
      </c>
      <c r="M434" s="3">
        <v>0</v>
      </c>
      <c r="N434" s="3">
        <v>0</v>
      </c>
      <c r="O434" s="3">
        <v>0</v>
      </c>
      <c r="P434" s="3">
        <v>0</v>
      </c>
      <c r="Q434" s="3">
        <v>0</v>
      </c>
      <c r="R434" s="3">
        <v>0</v>
      </c>
      <c r="S434" s="67"/>
      <c r="T434">
        <f>VLOOKUP(A434,'Groupe de branches'!$Z$27:$AM$86,14,FALSE)</f>
        <v>0</v>
      </c>
      <c r="U434">
        <f>VLOOKUP(D434,'Groupe de branches'!$Z$27:$AM$86,14,FALSE)</f>
        <v>0</v>
      </c>
      <c r="V434">
        <v>2017</v>
      </c>
      <c r="W434" t="str">
        <f>VLOOKUP(D434,'Table corresp.'!$M$4:$S$63,7,FALSE)</f>
        <v>Emballage bois et carton</v>
      </c>
      <c r="X434" s="167">
        <f>IFERROR(G434/SUMIFS('Comp2016-2017 (3)'!$I$5:$I$289,'Comp2016-2017 (3)'!$A$5:$A$289,A434,'Comp2016-2017 (3)'!$R$5:$R$289,V434),0)</f>
        <v>1.9251630421766447E-2</v>
      </c>
      <c r="Y434" s="190">
        <f>IFERROR(IF(RIGHT(F434,3)="Exp",VLOOKUP(F434,#REF!,2,FALSE),VLOOKUP(F434,#REF!,9,FALSE)),1)</f>
        <v>1</v>
      </c>
      <c r="Z434" s="167">
        <f t="shared" si="52"/>
        <v>3.7037037037037035E-2</v>
      </c>
      <c r="AA434" s="189">
        <f t="shared" si="50"/>
        <v>7.1302334895431284E-4</v>
      </c>
      <c r="AB434" s="2">
        <f>IFERROR(SUMIFS('Comp2016-2017 (3)'!$G$5:$G$289,'Comp2016-2017 (3)'!$A$5:$A$289,A434,'Comp2016-2017 (3)'!$R$5:$R$289,V434)*AA434/SUMIFS($AA$4:$AA$1116,$A$4:$A$1116,A434,$V$4:$V$1116,V434),0)</f>
        <v>219.57187809071365</v>
      </c>
      <c r="AC434" s="2" t="str">
        <f>IF($W434=AC$3,$AB434,IF(NOT($W434=0),"",SUMIFS('Val-Vol (2)'!AC$4:AC$1116,'Val-Vol (2)'!$A$4:$A$1116,$D434,'Val-Vol (2)'!$V$4:$V$1116,$V434)/SUMIFS('Comp2016-2017 (3)'!$G$5:$G$289,'Comp2016-2017 (3)'!$A$5:$A$289,$D434,'Comp2016-2017 (3)'!$R$5:$R$289,$V434)*$AB434))</f>
        <v/>
      </c>
      <c r="AD434" s="2" t="str">
        <f>IF($W434=AD$3,$AB434,IF(NOT($W434=0),"",SUMIFS('Val-Vol (2)'!AD$4:AD$1116,'Val-Vol (2)'!$A$4:$A$1116,$D434,'Val-Vol (2)'!$V$4:$V$1116,$V434)/SUMIFS('Comp2016-2017 (3)'!$G$5:$G$289,'Comp2016-2017 (3)'!$A$5:$A$289,$D434,'Comp2016-2017 (3)'!$R$5:$R$289,$V434)*$AB434))</f>
        <v/>
      </c>
      <c r="AE434" s="2" t="str">
        <f>IF($W434=AE$3,$AB434,IF(NOT($W434=0),"",SUMIFS('Val-Vol (2)'!AE$4:AE$1116,'Val-Vol (2)'!$A$4:$A$1116,$D434,'Val-Vol (2)'!$V$4:$V$1116,$V434)/SUMIFS('Comp2016-2017 (3)'!$G$5:$G$289,'Comp2016-2017 (3)'!$A$5:$A$289,$D434,'Comp2016-2017 (3)'!$R$5:$R$289,$V434)*$AB434))</f>
        <v/>
      </c>
      <c r="AF434" s="2" t="str">
        <f>IF($W434=AF$3,$AB434,IF(NOT($W434=0),"",SUMIFS('Val-Vol (2)'!AF$4:AF$1116,'Val-Vol (2)'!$A$4:$A$1116,$D434,'Val-Vol (2)'!$V$4:$V$1116,$V434)/SUMIFS('Comp2016-2017 (3)'!$G$5:$G$289,'Comp2016-2017 (3)'!$A$5:$A$289,$D434,'Comp2016-2017 (3)'!$R$5:$R$289,$V434)*$AB434))</f>
        <v/>
      </c>
      <c r="AG434" s="2">
        <f>IF($W434=AG$3,$AB434,IF(NOT($W434=0),"",SUMIFS('Val-Vol (2)'!AG$4:AG$1116,'Val-Vol (2)'!$A$4:$A$1116,$D434,'Val-Vol (2)'!$V$4:$V$1116,$V434)/SUMIFS('Comp2016-2017 (3)'!$G$5:$G$289,'Comp2016-2017 (3)'!$A$5:$A$289,$D434,'Comp2016-2017 (3)'!$R$5:$R$289,$V434)*$AB434))</f>
        <v>219.57187809071365</v>
      </c>
      <c r="AH434" s="2" t="str">
        <f>IF($W434=AH$3,$AB434,IF(NOT($W434=0),"",SUMIFS('Val-Vol (2)'!AH$4:AH$1116,'Val-Vol (2)'!$A$4:$A$1116,$D434,'Val-Vol (2)'!$V$4:$V$1116,$V434)/SUMIFS('Comp2016-2017 (3)'!$G$5:$G$289,'Comp2016-2017 (3)'!$A$5:$A$289,$D434,'Comp2016-2017 (3)'!$R$5:$R$289,$V434)*$AB434))</f>
        <v/>
      </c>
      <c r="AI434" s="2" t="str">
        <f>IF($W434=AI$3,$AB434,IF(NOT($W434=0),"",SUMIFS('Val-Vol (2)'!AI$4:AI$1116,'Val-Vol (2)'!$A$4:$A$1116,$D434,'Val-Vol (2)'!$V$4:$V$1116,$V434)/SUMIFS('Comp2016-2017 (3)'!$G$5:$G$289,'Comp2016-2017 (3)'!$A$5:$A$289,$D434,'Comp2016-2017 (3)'!$R$5:$R$289,$V434)*$AB434))</f>
        <v/>
      </c>
      <c r="AJ434" s="2" t="str">
        <f>IF($W434=AJ$3,$AB434,IF(NOT($W434=0),"",SUMIFS('Val-Vol (2)'!AJ$4:AJ$1116,'Val-Vol (2)'!$A$4:$A$1116,$D434,'Val-Vol (2)'!$V$4:$V$1116,$V434)/SUMIFS('Comp2016-2017 (3)'!$G$5:$G$289,'Comp2016-2017 (3)'!$A$5:$A$289,$D434,'Comp2016-2017 (3)'!$R$5:$R$289,$V434)*$AB434))</f>
        <v/>
      </c>
      <c r="AK434" s="2">
        <f t="shared" si="47"/>
        <v>0</v>
      </c>
      <c r="AL434" t="str">
        <f t="shared" si="49"/>
        <v/>
      </c>
      <c r="AM434" t="str">
        <f>VLOOKUP(A434,'Table corresp.'!$M$4:$U$63,8,FALSE)</f>
        <v>Production intermédiaire</v>
      </c>
      <c r="AN434" t="str">
        <f>VLOOKUP(D434,'Table corresp.'!$M$4:$U$63,9,FALSE)</f>
        <v>Production finale</v>
      </c>
    </row>
    <row r="435" spans="1:40" x14ac:dyDescent="0.25">
      <c r="A435" t="s">
        <v>3</v>
      </c>
      <c r="B435" t="str">
        <f>VLOOKUP(LEFT(A435,3),'Table corresp.'!$A$4:$D$63,3,FALSE)</f>
        <v>Transformation</v>
      </c>
      <c r="C435" t="str">
        <f>VLOOKUP(A435,'Table corresp.'!$M$4:$P$63,4,FALSE)</f>
        <v>Production et transformation de produits bois</v>
      </c>
      <c r="D435" t="s">
        <v>95</v>
      </c>
      <c r="E435" t="str">
        <f>VLOOKUP(LEFT(D435,3),'Table corresp.'!$A$4:$D$63,4,FALSE)</f>
        <v>Transformation</v>
      </c>
      <c r="F435" t="str">
        <f t="shared" si="48"/>
        <v xml:space="preserve">06  - 43 </v>
      </c>
      <c r="G435" s="3">
        <v>18416.372900617454</v>
      </c>
      <c r="H435" s="3">
        <v>0</v>
      </c>
      <c r="I435" s="3">
        <v>18416.373211609589</v>
      </c>
      <c r="J435" s="3">
        <v>0</v>
      </c>
      <c r="K435" s="3">
        <v>0</v>
      </c>
      <c r="L435" s="3">
        <v>0</v>
      </c>
      <c r="M435" s="3">
        <v>0</v>
      </c>
      <c r="N435" s="3">
        <v>0</v>
      </c>
      <c r="O435" s="3">
        <v>0</v>
      </c>
      <c r="P435" s="3">
        <v>0</v>
      </c>
      <c r="Q435" s="3">
        <v>0</v>
      </c>
      <c r="R435" s="3">
        <v>0</v>
      </c>
      <c r="S435" s="67"/>
      <c r="T435">
        <f>VLOOKUP(A435,'Groupe de branches'!$Z$27:$AM$86,14,FALSE)</f>
        <v>0</v>
      </c>
      <c r="U435">
        <f>VLOOKUP(D435,'Groupe de branches'!$Z$27:$AM$86,14,FALSE)</f>
        <v>0</v>
      </c>
      <c r="V435">
        <v>2017</v>
      </c>
      <c r="W435" t="str">
        <f>VLOOKUP(D435,'Table corresp.'!$M$4:$S$63,7,FALSE)</f>
        <v>Pate &amp; papier &amp; carton</v>
      </c>
      <c r="X435" s="167">
        <f>IFERROR(G435/SUMIFS('Comp2016-2017 (3)'!$I$5:$I$289,'Comp2016-2017 (3)'!$A$5:$A$289,A435,'Comp2016-2017 (3)'!$R$5:$R$289,V435),0)</f>
        <v>7.5236224600493631E-2</v>
      </c>
      <c r="Y435" s="190">
        <f>IFERROR(IF(RIGHT(F435,3)="Exp",VLOOKUP(F435,#REF!,2,FALSE),VLOOKUP(F435,#REF!,9,FALSE)),1)</f>
        <v>1</v>
      </c>
      <c r="Z435" s="167">
        <f t="shared" si="52"/>
        <v>3.7037037037037035E-2</v>
      </c>
      <c r="AA435" s="189">
        <f t="shared" si="50"/>
        <v>2.7865268370553197E-3</v>
      </c>
      <c r="AB435" s="2">
        <f>IFERROR(SUMIFS('Comp2016-2017 (3)'!$G$5:$G$289,'Comp2016-2017 (3)'!$A$5:$A$289,A435,'Comp2016-2017 (3)'!$R$5:$R$289,V435)*AA435/SUMIFS($AA$4:$AA$1116,$A$4:$A$1116,A435,$V$4:$V$1116,V435),0)</f>
        <v>858.09662735408767</v>
      </c>
      <c r="AC435" s="2" t="str">
        <f>IF($W435=AC$3,$AB435,IF(NOT($W435=0),"",SUMIFS('Val-Vol (2)'!AC$4:AC$1116,'Val-Vol (2)'!$A$4:$A$1116,$D435,'Val-Vol (2)'!$V$4:$V$1116,$V435)/SUMIFS('Comp2016-2017 (3)'!$G$5:$G$289,'Comp2016-2017 (3)'!$A$5:$A$289,$D435,'Comp2016-2017 (3)'!$R$5:$R$289,$V435)*$AB435))</f>
        <v/>
      </c>
      <c r="AD435" s="2" t="str">
        <f>IF($W435=AD$3,$AB435,IF(NOT($W435=0),"",SUMIFS('Val-Vol (2)'!AD$4:AD$1116,'Val-Vol (2)'!$A$4:$A$1116,$D435,'Val-Vol (2)'!$V$4:$V$1116,$V435)/SUMIFS('Comp2016-2017 (3)'!$G$5:$G$289,'Comp2016-2017 (3)'!$A$5:$A$289,$D435,'Comp2016-2017 (3)'!$R$5:$R$289,$V435)*$AB435))</f>
        <v/>
      </c>
      <c r="AE435" s="2" t="str">
        <f>IF($W435=AE$3,$AB435,IF(NOT($W435=0),"",SUMIFS('Val-Vol (2)'!AE$4:AE$1116,'Val-Vol (2)'!$A$4:$A$1116,$D435,'Val-Vol (2)'!$V$4:$V$1116,$V435)/SUMIFS('Comp2016-2017 (3)'!$G$5:$G$289,'Comp2016-2017 (3)'!$A$5:$A$289,$D435,'Comp2016-2017 (3)'!$R$5:$R$289,$V435)*$AB435))</f>
        <v/>
      </c>
      <c r="AF435" s="2">
        <f>IF($W435=AF$3,$AB435,IF(NOT($W435=0),"",SUMIFS('Val-Vol (2)'!AF$4:AF$1116,'Val-Vol (2)'!$A$4:$A$1116,$D435,'Val-Vol (2)'!$V$4:$V$1116,$V435)/SUMIFS('Comp2016-2017 (3)'!$G$5:$G$289,'Comp2016-2017 (3)'!$A$5:$A$289,$D435,'Comp2016-2017 (3)'!$R$5:$R$289,$V435)*$AB435))</f>
        <v>858.09662735408767</v>
      </c>
      <c r="AG435" s="2" t="str">
        <f>IF($W435=AG$3,$AB435,IF(NOT($W435=0),"",SUMIFS('Val-Vol (2)'!AG$4:AG$1116,'Val-Vol (2)'!$A$4:$A$1116,$D435,'Val-Vol (2)'!$V$4:$V$1116,$V435)/SUMIFS('Comp2016-2017 (3)'!$G$5:$G$289,'Comp2016-2017 (3)'!$A$5:$A$289,$D435,'Comp2016-2017 (3)'!$R$5:$R$289,$V435)*$AB435))</f>
        <v/>
      </c>
      <c r="AH435" s="2" t="str">
        <f>IF($W435=AH$3,$AB435,IF(NOT($W435=0),"",SUMIFS('Val-Vol (2)'!AH$4:AH$1116,'Val-Vol (2)'!$A$4:$A$1116,$D435,'Val-Vol (2)'!$V$4:$V$1116,$V435)/SUMIFS('Comp2016-2017 (3)'!$G$5:$G$289,'Comp2016-2017 (3)'!$A$5:$A$289,$D435,'Comp2016-2017 (3)'!$R$5:$R$289,$V435)*$AB435))</f>
        <v/>
      </c>
      <c r="AI435" s="2" t="str">
        <f>IF($W435=AI$3,$AB435,IF(NOT($W435=0),"",SUMIFS('Val-Vol (2)'!AI$4:AI$1116,'Val-Vol (2)'!$A$4:$A$1116,$D435,'Val-Vol (2)'!$V$4:$V$1116,$V435)/SUMIFS('Comp2016-2017 (3)'!$G$5:$G$289,'Comp2016-2017 (3)'!$A$5:$A$289,$D435,'Comp2016-2017 (3)'!$R$5:$R$289,$V435)*$AB435))</f>
        <v/>
      </c>
      <c r="AJ435" s="2" t="str">
        <f>IF($W435=AJ$3,$AB435,IF(NOT($W435=0),"",SUMIFS('Val-Vol (2)'!AJ$4:AJ$1116,'Val-Vol (2)'!$A$4:$A$1116,$D435,'Val-Vol (2)'!$V$4:$V$1116,$V435)/SUMIFS('Comp2016-2017 (3)'!$G$5:$G$289,'Comp2016-2017 (3)'!$A$5:$A$289,$D435,'Comp2016-2017 (3)'!$R$5:$R$289,$V435)*$AB435))</f>
        <v/>
      </c>
      <c r="AK435" s="2">
        <f t="shared" si="47"/>
        <v>0</v>
      </c>
      <c r="AL435" t="str">
        <f t="shared" si="49"/>
        <v/>
      </c>
      <c r="AM435" t="str">
        <f>VLOOKUP(A435,'Table corresp.'!$M$4:$U$63,8,FALSE)</f>
        <v>Production intermédiaire</v>
      </c>
      <c r="AN435" t="str">
        <f>VLOOKUP(D435,'Table corresp.'!$M$4:$U$63,9,FALSE)</f>
        <v>Production intermédiaire</v>
      </c>
    </row>
    <row r="436" spans="1:40" x14ac:dyDescent="0.25">
      <c r="A436" t="s">
        <v>3</v>
      </c>
      <c r="B436" t="str">
        <f>VLOOKUP(LEFT(A436,3),'Table corresp.'!$A$4:$D$63,3,FALSE)</f>
        <v>Transformation</v>
      </c>
      <c r="C436" t="str">
        <f>VLOOKUP(A436,'Table corresp.'!$M$4:$P$63,4,FALSE)</f>
        <v>Production et transformation de produits bois</v>
      </c>
      <c r="D436" t="s">
        <v>98</v>
      </c>
      <c r="E436" t="str">
        <f>VLOOKUP(LEFT(D436,3),'Table corresp.'!$A$4:$D$63,4,FALSE)</f>
        <v>Transformation</v>
      </c>
      <c r="F436" t="str">
        <f t="shared" si="48"/>
        <v xml:space="preserve">06  - 46 </v>
      </c>
      <c r="G436" s="3">
        <v>3127.9682466346044</v>
      </c>
      <c r="H436" s="3">
        <v>0</v>
      </c>
      <c r="I436" s="3">
        <v>3127.9682994557284</v>
      </c>
      <c r="J436" s="3">
        <v>0</v>
      </c>
      <c r="K436" s="3">
        <v>0</v>
      </c>
      <c r="L436" s="3">
        <v>0</v>
      </c>
      <c r="M436" s="3">
        <v>0</v>
      </c>
      <c r="N436" s="3">
        <v>0</v>
      </c>
      <c r="O436" s="3">
        <v>0</v>
      </c>
      <c r="P436" s="3">
        <v>0</v>
      </c>
      <c r="Q436" s="3">
        <v>0</v>
      </c>
      <c r="R436" s="3">
        <v>0</v>
      </c>
      <c r="S436" s="67"/>
      <c r="T436">
        <f>VLOOKUP(A436,'Groupe de branches'!$Z$27:$AM$86,14,FALSE)</f>
        <v>0</v>
      </c>
      <c r="U436">
        <f>VLOOKUP(D436,'Groupe de branches'!$Z$27:$AM$86,14,FALSE)</f>
        <v>0</v>
      </c>
      <c r="V436">
        <v>2017</v>
      </c>
      <c r="W436" t="str">
        <f>VLOOKUP(D436,'Table corresp.'!$M$4:$S$63,7,FALSE)</f>
        <v>Produits de consommation courante</v>
      </c>
      <c r="X436" s="167">
        <f>IFERROR(G436/SUMIFS('Comp2016-2017 (3)'!$I$5:$I$289,'Comp2016-2017 (3)'!$A$5:$A$289,A436,'Comp2016-2017 (3)'!$R$5:$R$289,V436),0)</f>
        <v>1.2778657492275426E-2</v>
      </c>
      <c r="Y436" s="190">
        <f>IFERROR(IF(RIGHT(F436,3)="Exp",VLOOKUP(F436,#REF!,2,FALSE),VLOOKUP(F436,#REF!,9,FALSE)),1)</f>
        <v>1</v>
      </c>
      <c r="Z436" s="167">
        <f t="shared" si="52"/>
        <v>3.7037037037037035E-2</v>
      </c>
      <c r="AA436" s="189">
        <f t="shared" si="50"/>
        <v>4.7328361082501575E-4</v>
      </c>
      <c r="AB436" s="2">
        <f>IFERROR(SUMIFS('Comp2016-2017 (3)'!$G$5:$G$289,'Comp2016-2017 (3)'!$A$5:$A$289,A436,'Comp2016-2017 (3)'!$R$5:$R$289,V436)*AA436/SUMIFS($AA$4:$AA$1116,$A$4:$A$1116,A436,$V$4:$V$1116,V436),0)</f>
        <v>145.74525708142247</v>
      </c>
      <c r="AC436" s="2" t="str">
        <f>IF($W436=AC$3,$AB436,IF(NOT($W436=0),"",SUMIFS('Val-Vol (2)'!AC$4:AC$1116,'Val-Vol (2)'!$A$4:$A$1116,$D436,'Val-Vol (2)'!$V$4:$V$1116,$V436)/SUMIFS('Comp2016-2017 (3)'!$G$5:$G$289,'Comp2016-2017 (3)'!$A$5:$A$289,$D436,'Comp2016-2017 (3)'!$R$5:$R$289,$V436)*$AB436))</f>
        <v/>
      </c>
      <c r="AD436" s="2" t="str">
        <f>IF($W436=AD$3,$AB436,IF(NOT($W436=0),"",SUMIFS('Val-Vol (2)'!AD$4:AD$1116,'Val-Vol (2)'!$A$4:$A$1116,$D436,'Val-Vol (2)'!$V$4:$V$1116,$V436)/SUMIFS('Comp2016-2017 (3)'!$G$5:$G$289,'Comp2016-2017 (3)'!$A$5:$A$289,$D436,'Comp2016-2017 (3)'!$R$5:$R$289,$V436)*$AB436))</f>
        <v/>
      </c>
      <c r="AE436" s="2" t="str">
        <f>IF($W436=AE$3,$AB436,IF(NOT($W436=0),"",SUMIFS('Val-Vol (2)'!AE$4:AE$1116,'Val-Vol (2)'!$A$4:$A$1116,$D436,'Val-Vol (2)'!$V$4:$V$1116,$V436)/SUMIFS('Comp2016-2017 (3)'!$G$5:$G$289,'Comp2016-2017 (3)'!$A$5:$A$289,$D436,'Comp2016-2017 (3)'!$R$5:$R$289,$V436)*$AB436))</f>
        <v/>
      </c>
      <c r="AF436" s="2" t="str">
        <f>IF($W436=AF$3,$AB436,IF(NOT($W436=0),"",SUMIFS('Val-Vol (2)'!AF$4:AF$1116,'Val-Vol (2)'!$A$4:$A$1116,$D436,'Val-Vol (2)'!$V$4:$V$1116,$V436)/SUMIFS('Comp2016-2017 (3)'!$G$5:$G$289,'Comp2016-2017 (3)'!$A$5:$A$289,$D436,'Comp2016-2017 (3)'!$R$5:$R$289,$V436)*$AB436))</f>
        <v/>
      </c>
      <c r="AG436" s="2" t="str">
        <f>IF($W436=AG$3,$AB436,IF(NOT($W436=0),"",SUMIFS('Val-Vol (2)'!AG$4:AG$1116,'Val-Vol (2)'!$A$4:$A$1116,$D436,'Val-Vol (2)'!$V$4:$V$1116,$V436)/SUMIFS('Comp2016-2017 (3)'!$G$5:$G$289,'Comp2016-2017 (3)'!$A$5:$A$289,$D436,'Comp2016-2017 (3)'!$R$5:$R$289,$V436)*$AB436))</f>
        <v/>
      </c>
      <c r="AH436" s="2" t="str">
        <f>IF($W436=AH$3,$AB436,IF(NOT($W436=0),"",SUMIFS('Val-Vol (2)'!AH$4:AH$1116,'Val-Vol (2)'!$A$4:$A$1116,$D436,'Val-Vol (2)'!$V$4:$V$1116,$V436)/SUMIFS('Comp2016-2017 (3)'!$G$5:$G$289,'Comp2016-2017 (3)'!$A$5:$A$289,$D436,'Comp2016-2017 (3)'!$R$5:$R$289,$V436)*$AB436))</f>
        <v/>
      </c>
      <c r="AI436" s="2">
        <f>IF($W436=AI$3,$AB436,IF(NOT($W436=0),"",SUMIFS('Val-Vol (2)'!AI$4:AI$1116,'Val-Vol (2)'!$A$4:$A$1116,$D436,'Val-Vol (2)'!$V$4:$V$1116,$V436)/SUMIFS('Comp2016-2017 (3)'!$G$5:$G$289,'Comp2016-2017 (3)'!$A$5:$A$289,$D436,'Comp2016-2017 (3)'!$R$5:$R$289,$V436)*$AB436))</f>
        <v>145.74525708142247</v>
      </c>
      <c r="AJ436" s="2" t="str">
        <f>IF($W436=AJ$3,$AB436,IF(NOT($W436=0),"",SUMIFS('Val-Vol (2)'!AJ$4:AJ$1116,'Val-Vol (2)'!$A$4:$A$1116,$D436,'Val-Vol (2)'!$V$4:$V$1116,$V436)/SUMIFS('Comp2016-2017 (3)'!$G$5:$G$289,'Comp2016-2017 (3)'!$A$5:$A$289,$D436,'Comp2016-2017 (3)'!$R$5:$R$289,$V436)*$AB436))</f>
        <v/>
      </c>
      <c r="AK436" s="2">
        <f t="shared" si="47"/>
        <v>0</v>
      </c>
      <c r="AL436" t="str">
        <f t="shared" si="49"/>
        <v/>
      </c>
      <c r="AM436" t="str">
        <f>VLOOKUP(A436,'Table corresp.'!$M$4:$U$63,8,FALSE)</f>
        <v>Production intermédiaire</v>
      </c>
      <c r="AN436" t="str">
        <f>VLOOKUP(D436,'Table corresp.'!$M$4:$U$63,9,FALSE)</f>
        <v>Production intermédiaire</v>
      </c>
    </row>
    <row r="437" spans="1:40" x14ac:dyDescent="0.25">
      <c r="A437" t="s">
        <v>3</v>
      </c>
      <c r="B437" t="str">
        <f>VLOOKUP(LEFT(A437,3),'Table corresp.'!$A$4:$D$63,3,FALSE)</f>
        <v>Transformation</v>
      </c>
      <c r="C437" t="str">
        <f>VLOOKUP(A437,'Table corresp.'!$M$4:$P$63,4,FALSE)</f>
        <v>Production et transformation de produits bois</v>
      </c>
      <c r="D437" t="s">
        <v>53</v>
      </c>
      <c r="E437" t="str">
        <f>VLOOKUP(LEFT(D437,3),'Table corresp.'!$A$4:$D$63,4,FALSE)</f>
        <v>Exportation</v>
      </c>
      <c r="F437" t="str">
        <f t="shared" si="48"/>
        <v>06  - Exp</v>
      </c>
      <c r="G437" s="3">
        <v>18250.830879262056</v>
      </c>
      <c r="H437" s="3">
        <v>0</v>
      </c>
      <c r="I437" s="3">
        <v>18250.831187458727</v>
      </c>
      <c r="J437" s="3">
        <v>0</v>
      </c>
      <c r="K437" s="3">
        <v>0</v>
      </c>
      <c r="L437" s="3">
        <v>0</v>
      </c>
      <c r="M437" s="3">
        <v>0</v>
      </c>
      <c r="N437" s="3">
        <v>0</v>
      </c>
      <c r="O437" s="3">
        <v>0</v>
      </c>
      <c r="P437" s="3">
        <v>0</v>
      </c>
      <c r="Q437" s="3">
        <v>0</v>
      </c>
      <c r="R437" s="3">
        <v>0</v>
      </c>
      <c r="S437" s="67"/>
      <c r="T437">
        <f>VLOOKUP(A437,'Groupe de branches'!$Z$27:$AM$86,14,FALSE)</f>
        <v>0</v>
      </c>
      <c r="U437">
        <f>VLOOKUP(D437,'Groupe de branches'!$Z$27:$AM$86,14,FALSE)</f>
        <v>0</v>
      </c>
      <c r="V437">
        <v>2017</v>
      </c>
      <c r="W437" t="str">
        <f>VLOOKUP(D437,'Table corresp.'!$M$4:$S$63,7,FALSE)</f>
        <v>Exportation</v>
      </c>
      <c r="X437" s="167">
        <f>IFERROR(G437/SUMIFS('Comp2016-2017 (3)'!$I$5:$I$289,'Comp2016-2017 (3)'!$A$5:$A$289,A437,'Comp2016-2017 (3)'!$R$5:$R$289,V437),0)</f>
        <v>7.4559937431096832E-2</v>
      </c>
      <c r="Y437" s="190">
        <f>IFERROR(IF(RIGHT(F437,3)="Exp",VLOOKUP(F437,#REF!,2,FALSE),VLOOKUP(F437,#REF!,9,FALSE)),1)</f>
        <v>1</v>
      </c>
      <c r="Z437" s="167">
        <f t="shared" si="52"/>
        <v>3.7037037037037035E-2</v>
      </c>
      <c r="AA437" s="189">
        <f t="shared" si="50"/>
        <v>2.7614791641146974E-3</v>
      </c>
      <c r="AB437" s="2">
        <f>IFERROR(SUMIFS('Comp2016-2017 (3)'!$G$5:$G$289,'Comp2016-2017 (3)'!$A$5:$A$289,A437,'Comp2016-2017 (3)'!$R$5:$R$289,V437)*AA437/SUMIFS($AA$4:$AA$1116,$A$4:$A$1116,A437,$V$4:$V$1116,V437),0)</f>
        <v>850.38332512150282</v>
      </c>
      <c r="AC437" s="2">
        <f>IF($W437=AC$3,$AB437,IF(NOT($W437=0),"",SUMIFS('Val-Vol (2)'!AC$4:AC$1116,'Val-Vol (2)'!$A$4:$A$1116,$D437,'Val-Vol (2)'!$V$4:$V$1116,$V437)/SUMIFS('Comp2016-2017 (3)'!$G$5:$G$289,'Comp2016-2017 (3)'!$A$5:$A$289,$D437,'Comp2016-2017 (3)'!$R$5:$R$289,$V437)*$AB437))</f>
        <v>850.38332512150282</v>
      </c>
      <c r="AD437" s="2" t="str">
        <f>IF($W437=AD$3,$AB437,IF(NOT($W437=0),"",SUMIFS('Val-Vol (2)'!AD$4:AD$1116,'Val-Vol (2)'!$A$4:$A$1116,$D437,'Val-Vol (2)'!$V$4:$V$1116,$V437)/SUMIFS('Comp2016-2017 (3)'!$G$5:$G$289,'Comp2016-2017 (3)'!$A$5:$A$289,$D437,'Comp2016-2017 (3)'!$R$5:$R$289,$V437)*$AB437))</f>
        <v/>
      </c>
      <c r="AE437" s="2" t="str">
        <f>IF($W437=AE$3,$AB437,IF(NOT($W437=0),"",SUMIFS('Val-Vol (2)'!AE$4:AE$1116,'Val-Vol (2)'!$A$4:$A$1116,$D437,'Val-Vol (2)'!$V$4:$V$1116,$V437)/SUMIFS('Comp2016-2017 (3)'!$G$5:$G$289,'Comp2016-2017 (3)'!$A$5:$A$289,$D437,'Comp2016-2017 (3)'!$R$5:$R$289,$V437)*$AB437))</f>
        <v/>
      </c>
      <c r="AF437" s="2" t="str">
        <f>IF($W437=AF$3,$AB437,IF(NOT($W437=0),"",SUMIFS('Val-Vol (2)'!AF$4:AF$1116,'Val-Vol (2)'!$A$4:$A$1116,$D437,'Val-Vol (2)'!$V$4:$V$1116,$V437)/SUMIFS('Comp2016-2017 (3)'!$G$5:$G$289,'Comp2016-2017 (3)'!$A$5:$A$289,$D437,'Comp2016-2017 (3)'!$R$5:$R$289,$V437)*$AB437))</f>
        <v/>
      </c>
      <c r="AG437" s="2" t="str">
        <f>IF($W437=AG$3,$AB437,IF(NOT($W437=0),"",SUMIFS('Val-Vol (2)'!AG$4:AG$1116,'Val-Vol (2)'!$A$4:$A$1116,$D437,'Val-Vol (2)'!$V$4:$V$1116,$V437)/SUMIFS('Comp2016-2017 (3)'!$G$5:$G$289,'Comp2016-2017 (3)'!$A$5:$A$289,$D437,'Comp2016-2017 (3)'!$R$5:$R$289,$V437)*$AB437))</f>
        <v/>
      </c>
      <c r="AH437" s="2" t="str">
        <f>IF($W437=AH$3,$AB437,IF(NOT($W437=0),"",SUMIFS('Val-Vol (2)'!AH$4:AH$1116,'Val-Vol (2)'!$A$4:$A$1116,$D437,'Val-Vol (2)'!$V$4:$V$1116,$V437)/SUMIFS('Comp2016-2017 (3)'!$G$5:$G$289,'Comp2016-2017 (3)'!$A$5:$A$289,$D437,'Comp2016-2017 (3)'!$R$5:$R$289,$V437)*$AB437))</f>
        <v/>
      </c>
      <c r="AI437" s="2" t="str">
        <f>IF($W437=AI$3,$AB437,IF(NOT($W437=0),"",SUMIFS('Val-Vol (2)'!AI$4:AI$1116,'Val-Vol (2)'!$A$4:$A$1116,$D437,'Val-Vol (2)'!$V$4:$V$1116,$V437)/SUMIFS('Comp2016-2017 (3)'!$G$5:$G$289,'Comp2016-2017 (3)'!$A$5:$A$289,$D437,'Comp2016-2017 (3)'!$R$5:$R$289,$V437)*$AB437))</f>
        <v/>
      </c>
      <c r="AJ437" s="2" t="str">
        <f>IF($W437=AJ$3,$AB437,IF(NOT($W437=0),"",SUMIFS('Val-Vol (2)'!AJ$4:AJ$1116,'Val-Vol (2)'!$A$4:$A$1116,$D437,'Val-Vol (2)'!$V$4:$V$1116,$V437)/SUMIFS('Comp2016-2017 (3)'!$G$5:$G$289,'Comp2016-2017 (3)'!$A$5:$A$289,$D437,'Comp2016-2017 (3)'!$R$5:$R$289,$V437)*$AB437))</f>
        <v/>
      </c>
      <c r="AK437" s="2">
        <f t="shared" si="47"/>
        <v>0</v>
      </c>
      <c r="AL437" t="str">
        <f t="shared" si="49"/>
        <v/>
      </c>
      <c r="AM437" t="str">
        <f>VLOOKUP(A437,'Table corresp.'!$M$4:$U$63,8,FALSE)</f>
        <v>Production intermédiaire</v>
      </c>
      <c r="AN437" t="str">
        <f>VLOOKUP(D437,'Table corresp.'!$M$4:$U$63,9,FALSE)</f>
        <v>Exportation</v>
      </c>
    </row>
    <row r="438" spans="1:40" x14ac:dyDescent="0.25">
      <c r="A438" t="s">
        <v>59</v>
      </c>
      <c r="B438" t="str">
        <f>VLOOKUP(LEFT(A438,3),'Table corresp.'!$A$4:$D$63,3,FALSE)</f>
        <v>Transformation</v>
      </c>
      <c r="C438" t="str">
        <f>VLOOKUP(A438,'Table corresp.'!$M$4:$P$63,4,FALSE)</f>
        <v>Production et transformation de produits bois</v>
      </c>
      <c r="D438" t="s">
        <v>54</v>
      </c>
      <c r="E438" t="str">
        <f>VLOOKUP(LEFT(D438,3),'Table corresp.'!$A$4:$D$63,4,FALSE)</f>
        <v>Consommation finale</v>
      </c>
      <c r="F438" t="str">
        <f t="shared" si="48"/>
        <v>07  - Con</v>
      </c>
      <c r="G438" s="3">
        <v>0</v>
      </c>
      <c r="H438" s="3">
        <v>53728.726999999999</v>
      </c>
      <c r="I438" s="3">
        <v>53731.726999999999</v>
      </c>
      <c r="J438" s="3">
        <v>0</v>
      </c>
      <c r="K438" s="3">
        <v>0</v>
      </c>
      <c r="L438" s="3">
        <v>0</v>
      </c>
      <c r="M438" s="3">
        <v>0</v>
      </c>
      <c r="N438" s="3">
        <v>0</v>
      </c>
      <c r="O438" s="3">
        <v>0</v>
      </c>
      <c r="P438" s="3">
        <v>0</v>
      </c>
      <c r="Q438" s="3">
        <v>0</v>
      </c>
      <c r="R438" s="3">
        <v>0</v>
      </c>
      <c r="S438" s="67"/>
      <c r="T438">
        <f>VLOOKUP(A438,'Groupe de branches'!$Z$27:$AM$86,14,FALSE)</f>
        <v>0</v>
      </c>
      <c r="U438">
        <f>VLOOKUP(D438,'Groupe de branches'!$Z$27:$AM$86,14,FALSE)</f>
        <v>0</v>
      </c>
      <c r="V438">
        <v>2017</v>
      </c>
      <c r="W438" t="str">
        <f>VLOOKUP(D438,'Table corresp.'!$M$4:$S$63,7,FALSE)</f>
        <v>Consommation finale</v>
      </c>
      <c r="X438" s="167">
        <f>IFERROR(G438/SUMIFS('Comp2016-2017 (3)'!$I$5:$I$289,'Comp2016-2017 (3)'!$A$5:$A$289,A438,'Comp2016-2017 (3)'!$R$5:$R$289,V438),0)</f>
        <v>0</v>
      </c>
      <c r="Y438" s="232"/>
      <c r="Z438" s="233"/>
      <c r="AA438" s="189">
        <f t="shared" si="50"/>
        <v>0</v>
      </c>
      <c r="AB438" s="2">
        <f>IFERROR(SUMIFS('Comp2016-2017 (3)'!$G$5:$G$289,'Comp2016-2017 (3)'!$A$5:$A$289,A438,'Comp2016-2017 (3)'!$R$5:$R$289,V438)*AA438/SUMIFS($AA$4:$AA$1116,$A$4:$A$1116,A438,$V$4:$V$1116,V438),0)</f>
        <v>0</v>
      </c>
      <c r="AC438" s="2" t="str">
        <f>IF($W438=AC$3,$AB438,IF(NOT($W438=0),"",SUMIFS('Val-Vol (2)'!AC$4:AC$1116,'Val-Vol (2)'!$A$4:$A$1116,$D438,'Val-Vol (2)'!$V$4:$V$1116,$V438)/SUMIFS('Comp2016-2017 (3)'!$G$5:$G$289,'Comp2016-2017 (3)'!$A$5:$A$289,$D438,'Comp2016-2017 (3)'!$R$5:$R$289,$V438)*$AB438))</f>
        <v/>
      </c>
      <c r="AD438" s="2" t="str">
        <f>IF($W438=AD$3,$AB438,IF(NOT($W438=0),"",SUMIFS('Val-Vol (2)'!AD$4:AD$1116,'Val-Vol (2)'!$A$4:$A$1116,$D438,'Val-Vol (2)'!$V$4:$V$1116,$V438)/SUMIFS('Comp2016-2017 (3)'!$G$5:$G$289,'Comp2016-2017 (3)'!$A$5:$A$289,$D438,'Comp2016-2017 (3)'!$R$5:$R$289,$V438)*$AB438))</f>
        <v/>
      </c>
      <c r="AE438" s="2" t="str">
        <f>IF($W438=AE$3,$AB438,IF(NOT($W438=0),"",SUMIFS('Val-Vol (2)'!AE$4:AE$1116,'Val-Vol (2)'!$A$4:$A$1116,$D438,'Val-Vol (2)'!$V$4:$V$1116,$V438)/SUMIFS('Comp2016-2017 (3)'!$G$5:$G$289,'Comp2016-2017 (3)'!$A$5:$A$289,$D438,'Comp2016-2017 (3)'!$R$5:$R$289,$V438)*$AB438))</f>
        <v/>
      </c>
      <c r="AF438" s="2" t="str">
        <f>IF($W438=AF$3,$AB438,IF(NOT($W438=0),"",SUMIFS('Val-Vol (2)'!AF$4:AF$1116,'Val-Vol (2)'!$A$4:$A$1116,$D438,'Val-Vol (2)'!$V$4:$V$1116,$V438)/SUMIFS('Comp2016-2017 (3)'!$G$5:$G$289,'Comp2016-2017 (3)'!$A$5:$A$289,$D438,'Comp2016-2017 (3)'!$R$5:$R$289,$V438)*$AB438))</f>
        <v/>
      </c>
      <c r="AG438" s="2" t="str">
        <f>IF($W438=AG$3,$AB438,IF(NOT($W438=0),"",SUMIFS('Val-Vol (2)'!AG$4:AG$1116,'Val-Vol (2)'!$A$4:$A$1116,$D438,'Val-Vol (2)'!$V$4:$V$1116,$V438)/SUMIFS('Comp2016-2017 (3)'!$G$5:$G$289,'Comp2016-2017 (3)'!$A$5:$A$289,$D438,'Comp2016-2017 (3)'!$R$5:$R$289,$V438)*$AB438))</f>
        <v/>
      </c>
      <c r="AH438" s="2" t="str">
        <f>IF($W438=AH$3,$AB438,IF(NOT($W438=0),"",SUMIFS('Val-Vol (2)'!AH$4:AH$1116,'Val-Vol (2)'!$A$4:$A$1116,$D438,'Val-Vol (2)'!$V$4:$V$1116,$V438)/SUMIFS('Comp2016-2017 (3)'!$G$5:$G$289,'Comp2016-2017 (3)'!$A$5:$A$289,$D438,'Comp2016-2017 (3)'!$R$5:$R$289,$V438)*$AB438))</f>
        <v/>
      </c>
      <c r="AI438" s="2" t="str">
        <f>IF($W438=AI$3,$AB438,IF(NOT($W438=0),"",SUMIFS('Val-Vol (2)'!AI$4:AI$1116,'Val-Vol (2)'!$A$4:$A$1116,$D438,'Val-Vol (2)'!$V$4:$V$1116,$V438)/SUMIFS('Comp2016-2017 (3)'!$G$5:$G$289,'Comp2016-2017 (3)'!$A$5:$A$289,$D438,'Comp2016-2017 (3)'!$R$5:$R$289,$V438)*$AB438))</f>
        <v/>
      </c>
      <c r="AJ438" s="2">
        <f>IF($W438=AJ$3,$AB438,IF(NOT($W438=0),"",SUMIFS('Val-Vol (2)'!AJ$4:AJ$1116,'Val-Vol (2)'!$A$4:$A$1116,$D438,'Val-Vol (2)'!$V$4:$V$1116,$V438)/SUMIFS('Comp2016-2017 (3)'!$G$5:$G$289,'Comp2016-2017 (3)'!$A$5:$A$289,$D438,'Comp2016-2017 (3)'!$R$5:$R$289,$V438)*$AB438))</f>
        <v>0</v>
      </c>
      <c r="AK438" s="2">
        <f t="shared" si="47"/>
        <v>0</v>
      </c>
      <c r="AL438" t="str">
        <f t="shared" si="49"/>
        <v/>
      </c>
      <c r="AM438" t="str">
        <f>VLOOKUP(A438,'Table corresp.'!$M$4:$U$63,8,FALSE)</f>
        <v>Production intermédiaire</v>
      </c>
      <c r="AN438" t="str">
        <f>VLOOKUP(D438,'Table corresp.'!$M$4:$U$63,9,FALSE)</f>
        <v>Consommation finale française</v>
      </c>
    </row>
    <row r="439" spans="1:40" x14ac:dyDescent="0.25">
      <c r="A439" t="s">
        <v>59</v>
      </c>
      <c r="B439" t="str">
        <f>VLOOKUP(LEFT(A439,3),'Table corresp.'!$A$4:$D$63,3,FALSE)</f>
        <v>Transformation</v>
      </c>
      <c r="C439" t="str">
        <f>VLOOKUP(A439,'Table corresp.'!$M$4:$P$63,4,FALSE)</f>
        <v>Production et transformation de produits bois</v>
      </c>
      <c r="D439" t="s">
        <v>53</v>
      </c>
      <c r="E439" t="str">
        <f>VLOOKUP(LEFT(D439,3),'Table corresp.'!$A$4:$D$63,4,FALSE)</f>
        <v>Exportation</v>
      </c>
      <c r="F439" t="str">
        <f t="shared" si="48"/>
        <v>07  - Exp</v>
      </c>
      <c r="G439" s="3">
        <v>0</v>
      </c>
      <c r="H439" s="203">
        <v>1460.3220000000001</v>
      </c>
      <c r="I439" s="3">
        <v>1460.3220000000001</v>
      </c>
      <c r="J439" s="3">
        <v>0</v>
      </c>
      <c r="K439" s="3">
        <v>0</v>
      </c>
      <c r="L439" s="3">
        <v>0</v>
      </c>
      <c r="M439" s="3">
        <v>0</v>
      </c>
      <c r="N439" s="3">
        <v>0</v>
      </c>
      <c r="O439" s="3">
        <v>0</v>
      </c>
      <c r="P439" s="3">
        <v>0</v>
      </c>
      <c r="Q439" s="3">
        <v>0</v>
      </c>
      <c r="R439" s="3">
        <v>0</v>
      </c>
      <c r="S439" s="67"/>
      <c r="T439">
        <f>VLOOKUP(A439,'Groupe de branches'!$Z$27:$AM$86,14,FALSE)</f>
        <v>0</v>
      </c>
      <c r="U439">
        <f>VLOOKUP(D439,'Groupe de branches'!$Z$27:$AM$86,14,FALSE)</f>
        <v>0</v>
      </c>
      <c r="V439">
        <v>2017</v>
      </c>
      <c r="W439" t="str">
        <f>VLOOKUP(D439,'Table corresp.'!$M$4:$S$63,7,FALSE)</f>
        <v>Exportation</v>
      </c>
      <c r="X439" s="167">
        <f>IFERROR(G439/SUMIFS('Comp2016-2017 (3)'!$I$5:$I$289,'Comp2016-2017 (3)'!$A$5:$A$289,A439,'Comp2016-2017 (3)'!$R$5:$R$289,V439),0)</f>
        <v>0</v>
      </c>
      <c r="Y439" s="232"/>
      <c r="Z439" s="233"/>
      <c r="AA439" s="189">
        <f t="shared" si="50"/>
        <v>0</v>
      </c>
      <c r="AB439" s="2">
        <f>IFERROR(SUMIFS('Comp2016-2017 (3)'!$G$5:$G$289,'Comp2016-2017 (3)'!$A$5:$A$289,A439,'Comp2016-2017 (3)'!$R$5:$R$289,V439)*AA439/SUMIFS($AA$4:$AA$1116,$A$4:$A$1116,A439,$V$4:$V$1116,V439),0)</f>
        <v>0</v>
      </c>
      <c r="AC439" s="2">
        <f>IF($W439=AC$3,$AB439,IF(NOT($W439=0),"",SUMIFS('Val-Vol (2)'!AC$4:AC$1116,'Val-Vol (2)'!$A$4:$A$1116,$D439,'Val-Vol (2)'!$V$4:$V$1116,$V439)/SUMIFS('Comp2016-2017 (3)'!$G$5:$G$289,'Comp2016-2017 (3)'!$A$5:$A$289,$D439,'Comp2016-2017 (3)'!$R$5:$R$289,$V439)*$AB439))</f>
        <v>0</v>
      </c>
      <c r="AD439" s="2" t="str">
        <f>IF($W439=AD$3,$AB439,IF(NOT($W439=0),"",SUMIFS('Val-Vol (2)'!AD$4:AD$1116,'Val-Vol (2)'!$A$4:$A$1116,$D439,'Val-Vol (2)'!$V$4:$V$1116,$V439)/SUMIFS('Comp2016-2017 (3)'!$G$5:$G$289,'Comp2016-2017 (3)'!$A$5:$A$289,$D439,'Comp2016-2017 (3)'!$R$5:$R$289,$V439)*$AB439))</f>
        <v/>
      </c>
      <c r="AE439" s="2" t="str">
        <f>IF($W439=AE$3,$AB439,IF(NOT($W439=0),"",SUMIFS('Val-Vol (2)'!AE$4:AE$1116,'Val-Vol (2)'!$A$4:$A$1116,$D439,'Val-Vol (2)'!$V$4:$V$1116,$V439)/SUMIFS('Comp2016-2017 (3)'!$G$5:$G$289,'Comp2016-2017 (3)'!$A$5:$A$289,$D439,'Comp2016-2017 (3)'!$R$5:$R$289,$V439)*$AB439))</f>
        <v/>
      </c>
      <c r="AF439" s="2" t="str">
        <f>IF($W439=AF$3,$AB439,IF(NOT($W439=0),"",SUMIFS('Val-Vol (2)'!AF$4:AF$1116,'Val-Vol (2)'!$A$4:$A$1116,$D439,'Val-Vol (2)'!$V$4:$V$1116,$V439)/SUMIFS('Comp2016-2017 (3)'!$G$5:$G$289,'Comp2016-2017 (3)'!$A$5:$A$289,$D439,'Comp2016-2017 (3)'!$R$5:$R$289,$V439)*$AB439))</f>
        <v/>
      </c>
      <c r="AG439" s="2" t="str">
        <f>IF($W439=AG$3,$AB439,IF(NOT($W439=0),"",SUMIFS('Val-Vol (2)'!AG$4:AG$1116,'Val-Vol (2)'!$A$4:$A$1116,$D439,'Val-Vol (2)'!$V$4:$V$1116,$V439)/SUMIFS('Comp2016-2017 (3)'!$G$5:$G$289,'Comp2016-2017 (3)'!$A$5:$A$289,$D439,'Comp2016-2017 (3)'!$R$5:$R$289,$V439)*$AB439))</f>
        <v/>
      </c>
      <c r="AH439" s="2" t="str">
        <f>IF($W439=AH$3,$AB439,IF(NOT($W439=0),"",SUMIFS('Val-Vol (2)'!AH$4:AH$1116,'Val-Vol (2)'!$A$4:$A$1116,$D439,'Val-Vol (2)'!$V$4:$V$1116,$V439)/SUMIFS('Comp2016-2017 (3)'!$G$5:$G$289,'Comp2016-2017 (3)'!$A$5:$A$289,$D439,'Comp2016-2017 (3)'!$R$5:$R$289,$V439)*$AB439))</f>
        <v/>
      </c>
      <c r="AI439" s="2" t="str">
        <f>IF($W439=AI$3,$AB439,IF(NOT($W439=0),"",SUMIFS('Val-Vol (2)'!AI$4:AI$1116,'Val-Vol (2)'!$A$4:$A$1116,$D439,'Val-Vol (2)'!$V$4:$V$1116,$V439)/SUMIFS('Comp2016-2017 (3)'!$G$5:$G$289,'Comp2016-2017 (3)'!$A$5:$A$289,$D439,'Comp2016-2017 (3)'!$R$5:$R$289,$V439)*$AB439))</f>
        <v/>
      </c>
      <c r="AJ439" s="2" t="str">
        <f>IF($W439=AJ$3,$AB439,IF(NOT($W439=0),"",SUMIFS('Val-Vol (2)'!AJ$4:AJ$1116,'Val-Vol (2)'!$A$4:$A$1116,$D439,'Val-Vol (2)'!$V$4:$V$1116,$V439)/SUMIFS('Comp2016-2017 (3)'!$G$5:$G$289,'Comp2016-2017 (3)'!$A$5:$A$289,$D439,'Comp2016-2017 (3)'!$R$5:$R$289,$V439)*$AB439))</f>
        <v/>
      </c>
      <c r="AK439" s="2">
        <f t="shared" si="47"/>
        <v>0</v>
      </c>
      <c r="AL439" t="str">
        <f t="shared" si="49"/>
        <v/>
      </c>
      <c r="AM439" t="str">
        <f>VLOOKUP(A439,'Table corresp.'!$M$4:$U$63,8,FALSE)</f>
        <v>Production intermédiaire</v>
      </c>
      <c r="AN439" t="str">
        <f>VLOOKUP(D439,'Table corresp.'!$M$4:$U$63,9,FALSE)</f>
        <v>Exportation</v>
      </c>
    </row>
    <row r="440" spans="1:40" x14ac:dyDescent="0.25">
      <c r="A440" t="s">
        <v>4</v>
      </c>
      <c r="B440" t="str">
        <f>VLOOKUP(LEFT(A440,3),'Table corresp.'!$A$4:$D$63,3,FALSE)</f>
        <v>Transformation</v>
      </c>
      <c r="C440" t="str">
        <f>VLOOKUP(A440,'Table corresp.'!$M$4:$P$63,4,FALSE)</f>
        <v>Production et transformation de produits bois</v>
      </c>
      <c r="D440" t="s">
        <v>13</v>
      </c>
      <c r="E440" t="str">
        <f>VLOOKUP(LEFT(D440,3),'Table corresp.'!$A$4:$D$63,4,FALSE)</f>
        <v>Transformation</v>
      </c>
      <c r="F440" t="str">
        <f t="shared" si="48"/>
        <v xml:space="preserve">08  - 20 </v>
      </c>
      <c r="G440" s="3">
        <v>50035.781516608193</v>
      </c>
      <c r="H440" s="3">
        <v>1201.1733515339445</v>
      </c>
      <c r="I440" s="3">
        <v>51236.955723511608</v>
      </c>
      <c r="J440" s="3">
        <v>191.49942048332508</v>
      </c>
      <c r="K440" s="3">
        <v>3.582905199973875</v>
      </c>
      <c r="L440" s="3">
        <v>195.08232568329896</v>
      </c>
      <c r="M440" s="3">
        <v>0</v>
      </c>
      <c r="N440" s="3">
        <v>0</v>
      </c>
      <c r="O440" s="3">
        <v>0</v>
      </c>
      <c r="P440" s="3">
        <v>0</v>
      </c>
      <c r="Q440" s="3">
        <v>0</v>
      </c>
      <c r="R440" s="3">
        <v>0</v>
      </c>
      <c r="S440" s="67"/>
      <c r="T440">
        <f>VLOOKUP(A440,'Groupe de branches'!$Z$27:$AM$86,14,FALSE)</f>
        <v>0</v>
      </c>
      <c r="U440">
        <f>VLOOKUP(D440,'Groupe de branches'!$Z$27:$AM$86,14,FALSE)</f>
        <v>0</v>
      </c>
      <c r="V440">
        <v>2017</v>
      </c>
      <c r="W440">
        <f>VLOOKUP(D440,'Table corresp.'!$M$4:$S$63,7,FALSE)</f>
        <v>0</v>
      </c>
      <c r="X440" s="167">
        <f>IFERROR(G440/SUMIFS('Comp2016-2017 (3)'!$I$5:$I$289,'Comp2016-2017 (3)'!$A$5:$A$289,A440,'Comp2016-2017 (3)'!$R$5:$R$289,V440),0)</f>
        <v>0.10340604675766367</v>
      </c>
      <c r="Y440" s="190">
        <f>IFERROR(IF(RIGHT(F440,3)="Exp",VLOOKUP(F440,#REF!,2,FALSE),VLOOKUP(F440,#REF!,9,FALSE)),1)</f>
        <v>1</v>
      </c>
      <c r="Z440" s="167">
        <f t="shared" ref="Z440:Z471" si="53">Y440/SUMIFS($Y$4:$Y$1116,$V$4:$V$1116,V440,$A$4:$A$1116,A440)</f>
        <v>7.1428571428571425E-2</v>
      </c>
      <c r="AA440" s="189">
        <f t="shared" si="50"/>
        <v>7.386146196975976E-3</v>
      </c>
      <c r="AB440" s="2">
        <f>IFERROR(SUMIFS('Comp2016-2017 (3)'!$G$5:$G$289,'Comp2016-2017 (3)'!$A$5:$A$289,A440,'Comp2016-2017 (3)'!$R$5:$R$289,V440)*AA440/SUMIFS($AA$4:$AA$1116,$A$4:$A$1116,A440,$V$4:$V$1116,V440),0)</f>
        <v>13207.691099805392</v>
      </c>
      <c r="AC440" s="2">
        <f>IF($W440=AC$3,$AB440,IF(NOT($W440=0),"",SUMIFS('Val-Vol (2)'!AC$4:AC$1116,'Val-Vol (2)'!$A$4:$A$1116,$D440,'Val-Vol (2)'!$V$4:$V$1116,$V440)/SUMIFS('Comp2016-2017 (3)'!$G$5:$G$289,'Comp2016-2017 (3)'!$A$5:$A$289,$D440,'Comp2016-2017 (3)'!$R$5:$R$289,$V440)*$AB440))</f>
        <v>1478.5132000190476</v>
      </c>
      <c r="AD440" s="2">
        <f>IF($W440=AD$3,$AB440,IF(NOT($W440=0),"",SUMIFS('Val-Vol (2)'!AD$4:AD$1116,'Val-Vol (2)'!$A$4:$A$1116,$D440,'Val-Vol (2)'!$V$4:$V$1116,$V440)/SUMIFS('Comp2016-2017 (3)'!$G$5:$G$289,'Comp2016-2017 (3)'!$A$5:$A$289,$D440,'Comp2016-2017 (3)'!$R$5:$R$289,$V440)*$AB440))</f>
        <v>7248.5994459220228</v>
      </c>
      <c r="AE440" s="2">
        <f>IF($W440=AE$3,$AB440,IF(NOT($W440=0),"",SUMIFS('Val-Vol (2)'!AE$4:AE$1116,'Val-Vol (2)'!$A$4:$A$1116,$D440,'Val-Vol (2)'!$V$4:$V$1116,$V440)/SUMIFS('Comp2016-2017 (3)'!$G$5:$G$289,'Comp2016-2017 (3)'!$A$5:$A$289,$D440,'Comp2016-2017 (3)'!$R$5:$R$289,$V440)*$AB440))</f>
        <v>0</v>
      </c>
      <c r="AF440" s="2">
        <f>IF($W440=AF$3,$AB440,IF(NOT($W440=0),"",SUMIFS('Val-Vol (2)'!AF$4:AF$1116,'Val-Vol (2)'!$A$4:$A$1116,$D440,'Val-Vol (2)'!$V$4:$V$1116,$V440)/SUMIFS('Comp2016-2017 (3)'!$G$5:$G$289,'Comp2016-2017 (3)'!$A$5:$A$289,$D440,'Comp2016-2017 (3)'!$R$5:$R$289,$V440)*$AB440))</f>
        <v>0</v>
      </c>
      <c r="AG440" s="2">
        <f>IF($W440=AG$3,$AB440,IF(NOT($W440=0),"",SUMIFS('Val-Vol (2)'!AG$4:AG$1116,'Val-Vol (2)'!$A$4:$A$1116,$D440,'Val-Vol (2)'!$V$4:$V$1116,$V440)/SUMIFS('Comp2016-2017 (3)'!$G$5:$G$289,'Comp2016-2017 (3)'!$A$5:$A$289,$D440,'Comp2016-2017 (3)'!$R$5:$R$289,$V440)*$AB440))</f>
        <v>0</v>
      </c>
      <c r="AH440" s="2">
        <f>IF($W440=AH$3,$AB440,IF(NOT($W440=0),"",SUMIFS('Val-Vol (2)'!AH$4:AH$1116,'Val-Vol (2)'!$A$4:$A$1116,$D440,'Val-Vol (2)'!$V$4:$V$1116,$V440)/SUMIFS('Comp2016-2017 (3)'!$G$5:$G$289,'Comp2016-2017 (3)'!$A$5:$A$289,$D440,'Comp2016-2017 (3)'!$R$5:$R$289,$V440)*$AB440))</f>
        <v>0</v>
      </c>
      <c r="AI440" s="2">
        <f>IF($W440=AI$3,$AB440,IF(NOT($W440=0),"",SUMIFS('Val-Vol (2)'!AI$4:AI$1116,'Val-Vol (2)'!$A$4:$A$1116,$D440,'Val-Vol (2)'!$V$4:$V$1116,$V440)/SUMIFS('Comp2016-2017 (3)'!$G$5:$G$289,'Comp2016-2017 (3)'!$A$5:$A$289,$D440,'Comp2016-2017 (3)'!$R$5:$R$289,$V440)*$AB440))</f>
        <v>0</v>
      </c>
      <c r="AJ440" s="2">
        <f>IF($W440=AJ$3,$AB440,IF(NOT($W440=0),"",SUMIFS('Val-Vol (2)'!AJ$4:AJ$1116,'Val-Vol (2)'!$A$4:$A$1116,$D440,'Val-Vol (2)'!$V$4:$V$1116,$V440)/SUMIFS('Comp2016-2017 (3)'!$G$5:$G$289,'Comp2016-2017 (3)'!$A$5:$A$289,$D440,'Comp2016-2017 (3)'!$R$5:$R$289,$V440)*$AB440))</f>
        <v>4480.5784538643202</v>
      </c>
      <c r="AK440" s="2">
        <f t="shared" ref="AK440:AK503" si="54">SUM(AC440:AJ440)-AB440</f>
        <v>0</v>
      </c>
      <c r="AL440" t="str">
        <f t="shared" si="49"/>
        <v/>
      </c>
      <c r="AM440" t="str">
        <f>VLOOKUP(A440,'Table corresp.'!$M$4:$U$63,8,FALSE)</f>
        <v>Production intermédiaire</v>
      </c>
      <c r="AN440" t="str">
        <f>VLOOKUP(D440,'Table corresp.'!$M$4:$U$63,9,FALSE)</f>
        <v>Production intermédiaire</v>
      </c>
    </row>
    <row r="441" spans="1:40" x14ac:dyDescent="0.25">
      <c r="A441" t="s">
        <v>4</v>
      </c>
      <c r="B441" t="str">
        <f>VLOOKUP(LEFT(A441,3),'Table corresp.'!$A$4:$D$63,3,FALSE)</f>
        <v>Transformation</v>
      </c>
      <c r="C441" t="str">
        <f>VLOOKUP(A441,'Table corresp.'!$M$4:$P$63,4,FALSE)</f>
        <v>Production et transformation de produits bois</v>
      </c>
      <c r="D441" t="s">
        <v>14</v>
      </c>
      <c r="E441" t="str">
        <f>VLOOKUP(LEFT(D441,3),'Table corresp.'!$A$4:$D$63,4,FALSE)</f>
        <v>Transformation</v>
      </c>
      <c r="F441" t="str">
        <f t="shared" si="48"/>
        <v>08  - 20b</v>
      </c>
      <c r="G441" s="3">
        <v>2263.78080018131</v>
      </c>
      <c r="H441" s="3">
        <v>1521.2253140155228</v>
      </c>
      <c r="I441" s="3">
        <v>3785.0061773851849</v>
      </c>
      <c r="J441" s="3">
        <v>12.996080950352638</v>
      </c>
      <c r="K441" s="3">
        <v>6.8063524065336569</v>
      </c>
      <c r="L441" s="3">
        <v>19.802433356886297</v>
      </c>
      <c r="M441" s="3">
        <v>0</v>
      </c>
      <c r="N441" s="3">
        <v>0</v>
      </c>
      <c r="O441" s="3">
        <v>0</v>
      </c>
      <c r="P441" s="3">
        <v>0</v>
      </c>
      <c r="Q441" s="3">
        <v>0</v>
      </c>
      <c r="R441" s="3">
        <v>0</v>
      </c>
      <c r="S441" s="67"/>
      <c r="T441">
        <f>VLOOKUP(A441,'Groupe de branches'!$Z$27:$AM$86,14,FALSE)</f>
        <v>0</v>
      </c>
      <c r="U441">
        <f>VLOOKUP(D441,'Groupe de branches'!$Z$27:$AM$86,14,FALSE)</f>
        <v>0</v>
      </c>
      <c r="V441">
        <v>2017</v>
      </c>
      <c r="W441">
        <f>VLOOKUP(D441,'Table corresp.'!$M$4:$S$63,7,FALSE)</f>
        <v>0</v>
      </c>
      <c r="X441" s="167">
        <f>IFERROR(G441/SUMIFS('Comp2016-2017 (3)'!$I$5:$I$289,'Comp2016-2017 (3)'!$A$5:$A$289,A441,'Comp2016-2017 (3)'!$R$5:$R$289,V441),0)</f>
        <v>4.6784244430148388E-3</v>
      </c>
      <c r="Y441" s="190">
        <f>IFERROR(IF(RIGHT(F441,3)="Exp",VLOOKUP(F441,#REF!,2,FALSE),VLOOKUP(F441,#REF!,9,FALSE)),1)</f>
        <v>1</v>
      </c>
      <c r="Z441" s="167">
        <f t="shared" si="53"/>
        <v>7.1428571428571425E-2</v>
      </c>
      <c r="AA441" s="189">
        <f t="shared" si="50"/>
        <v>3.3417317450105992E-4</v>
      </c>
      <c r="AB441" s="2">
        <f>IFERROR(SUMIFS('Comp2016-2017 (3)'!$G$5:$G$289,'Comp2016-2017 (3)'!$A$5:$A$289,A441,'Comp2016-2017 (3)'!$R$5:$R$289,V441)*AA441/SUMIFS($AA$4:$AA$1116,$A$4:$A$1116,A441,$V$4:$V$1116,V441),0)</f>
        <v>597.55871938446001</v>
      </c>
      <c r="AC441" s="2">
        <f>IF($W441=AC$3,$AB441,IF(NOT($W441=0),"",SUMIFS('Val-Vol (2)'!AC$4:AC$1116,'Val-Vol (2)'!$A$4:$A$1116,$D441,'Val-Vol (2)'!$V$4:$V$1116,$V441)/SUMIFS('Comp2016-2017 (3)'!$G$5:$G$289,'Comp2016-2017 (3)'!$A$5:$A$289,$D441,'Comp2016-2017 (3)'!$R$5:$R$289,$V441)*$AB441))</f>
        <v>180.07086960831893</v>
      </c>
      <c r="AD441" s="2">
        <f>IF($W441=AD$3,$AB441,IF(NOT($W441=0),"",SUMIFS('Val-Vol (2)'!AD$4:AD$1116,'Val-Vol (2)'!$A$4:$A$1116,$D441,'Val-Vol (2)'!$V$4:$V$1116,$V441)/SUMIFS('Comp2016-2017 (3)'!$G$5:$G$289,'Comp2016-2017 (3)'!$A$5:$A$289,$D441,'Comp2016-2017 (3)'!$R$5:$R$289,$V441)*$AB441))</f>
        <v>416.32285962429222</v>
      </c>
      <c r="AE441" s="2">
        <f>IF($W441=AE$3,$AB441,IF(NOT($W441=0),"",SUMIFS('Val-Vol (2)'!AE$4:AE$1116,'Val-Vol (2)'!$A$4:$A$1116,$D441,'Val-Vol (2)'!$V$4:$V$1116,$V441)/SUMIFS('Comp2016-2017 (3)'!$G$5:$G$289,'Comp2016-2017 (3)'!$A$5:$A$289,$D441,'Comp2016-2017 (3)'!$R$5:$R$289,$V441)*$AB441))</f>
        <v>1.1649901518489023</v>
      </c>
      <c r="AF441" s="2">
        <f>IF($W441=AF$3,$AB441,IF(NOT($W441=0),"",SUMIFS('Val-Vol (2)'!AF$4:AF$1116,'Val-Vol (2)'!$A$4:$A$1116,$D441,'Val-Vol (2)'!$V$4:$V$1116,$V441)/SUMIFS('Comp2016-2017 (3)'!$G$5:$G$289,'Comp2016-2017 (3)'!$A$5:$A$289,$D441,'Comp2016-2017 (3)'!$R$5:$R$289,$V441)*$AB441))</f>
        <v>0</v>
      </c>
      <c r="AG441" s="2">
        <f>IF($W441=AG$3,$AB441,IF(NOT($W441=0),"",SUMIFS('Val-Vol (2)'!AG$4:AG$1116,'Val-Vol (2)'!$A$4:$A$1116,$D441,'Val-Vol (2)'!$V$4:$V$1116,$V441)/SUMIFS('Comp2016-2017 (3)'!$G$5:$G$289,'Comp2016-2017 (3)'!$A$5:$A$289,$D441,'Comp2016-2017 (3)'!$R$5:$R$289,$V441)*$AB441))</f>
        <v>0</v>
      </c>
      <c r="AH441" s="2">
        <f>IF($W441=AH$3,$AB441,IF(NOT($W441=0),"",SUMIFS('Val-Vol (2)'!AH$4:AH$1116,'Val-Vol (2)'!$A$4:$A$1116,$D441,'Val-Vol (2)'!$V$4:$V$1116,$V441)/SUMIFS('Comp2016-2017 (3)'!$G$5:$G$289,'Comp2016-2017 (3)'!$A$5:$A$289,$D441,'Comp2016-2017 (3)'!$R$5:$R$289,$V441)*$AB441))</f>
        <v>0</v>
      </c>
      <c r="AI441" s="2">
        <f>IF($W441=AI$3,$AB441,IF(NOT($W441=0),"",SUMIFS('Val-Vol (2)'!AI$4:AI$1116,'Val-Vol (2)'!$A$4:$A$1116,$D441,'Val-Vol (2)'!$V$4:$V$1116,$V441)/SUMIFS('Comp2016-2017 (3)'!$G$5:$G$289,'Comp2016-2017 (3)'!$A$5:$A$289,$D441,'Comp2016-2017 (3)'!$R$5:$R$289,$V441)*$AB441))</f>
        <v>0</v>
      </c>
      <c r="AJ441" s="2">
        <f>IF($W441=AJ$3,$AB441,IF(NOT($W441=0),"",SUMIFS('Val-Vol (2)'!AJ$4:AJ$1116,'Val-Vol (2)'!$A$4:$A$1116,$D441,'Val-Vol (2)'!$V$4:$V$1116,$V441)/SUMIFS('Comp2016-2017 (3)'!$G$5:$G$289,'Comp2016-2017 (3)'!$A$5:$A$289,$D441,'Comp2016-2017 (3)'!$R$5:$R$289,$V441)*$AB441))</f>
        <v>0</v>
      </c>
      <c r="AK441" s="2">
        <f t="shared" si="54"/>
        <v>0</v>
      </c>
      <c r="AL441" t="str">
        <f t="shared" si="49"/>
        <v/>
      </c>
      <c r="AM441" t="str">
        <f>VLOOKUP(A441,'Table corresp.'!$M$4:$U$63,8,FALSE)</f>
        <v>Production intermédiaire</v>
      </c>
      <c r="AN441" t="str">
        <f>VLOOKUP(D441,'Table corresp.'!$M$4:$U$63,9,FALSE)</f>
        <v>Production intermédiaire</v>
      </c>
    </row>
    <row r="442" spans="1:40" x14ac:dyDescent="0.25">
      <c r="A442" t="s">
        <v>4</v>
      </c>
      <c r="B442" t="str">
        <f>VLOOKUP(LEFT(A442,3),'Table corresp.'!$A$4:$D$63,3,FALSE)</f>
        <v>Transformation</v>
      </c>
      <c r="C442" t="str">
        <f>VLOOKUP(A442,'Table corresp.'!$M$4:$P$63,4,FALSE)</f>
        <v>Production et transformation de produits bois</v>
      </c>
      <c r="D442" t="s">
        <v>89</v>
      </c>
      <c r="E442" t="str">
        <f>VLOOKUP(LEFT(D442,3),'Table corresp.'!$A$4:$D$63,4,FALSE)</f>
        <v>Transformation</v>
      </c>
      <c r="F442" t="str">
        <f t="shared" si="48"/>
        <v xml:space="preserve">08  - 33 </v>
      </c>
      <c r="G442" s="3">
        <v>880.02513179932112</v>
      </c>
      <c r="H442" s="3">
        <v>1394.2708824229485</v>
      </c>
      <c r="I442" s="3">
        <v>2274.2960521902442</v>
      </c>
      <c r="J442" s="3">
        <v>3.3680757578333038</v>
      </c>
      <c r="K442" s="3">
        <v>4.1588838017642074</v>
      </c>
      <c r="L442" s="3">
        <v>7.5269595595975112</v>
      </c>
      <c r="M442" s="3">
        <v>0</v>
      </c>
      <c r="N442" s="3">
        <v>0</v>
      </c>
      <c r="O442" s="3">
        <v>0</v>
      </c>
      <c r="P442" s="3">
        <v>0</v>
      </c>
      <c r="Q442" s="3">
        <v>0</v>
      </c>
      <c r="R442" s="3">
        <v>0</v>
      </c>
      <c r="S442" s="67"/>
      <c r="T442">
        <f>VLOOKUP(A442,'Groupe de branches'!$Z$27:$AM$86,14,FALSE)</f>
        <v>0</v>
      </c>
      <c r="U442">
        <f>VLOOKUP(D442,'Groupe de branches'!$Z$27:$AM$86,14,FALSE)</f>
        <v>0</v>
      </c>
      <c r="V442">
        <v>2017</v>
      </c>
      <c r="W442" t="str">
        <f>VLOOKUP(D442,'Table corresp.'!$M$4:$S$63,7,FALSE)</f>
        <v>Construction</v>
      </c>
      <c r="X442" s="167">
        <f>IFERROR(G442/SUMIFS('Comp2016-2017 (3)'!$I$5:$I$289,'Comp2016-2017 (3)'!$A$5:$A$289,A442,'Comp2016-2017 (3)'!$R$5:$R$289,V442),0)</f>
        <v>1.8186968838800784E-3</v>
      </c>
      <c r="Y442" s="190">
        <f>IFERROR(IF(RIGHT(F442,3)="Exp",VLOOKUP(F442,#REF!,2,FALSE),VLOOKUP(F442,#REF!,9,FALSE)),1)</f>
        <v>1</v>
      </c>
      <c r="Z442" s="167">
        <f t="shared" si="53"/>
        <v>7.1428571428571425E-2</v>
      </c>
      <c r="AA442" s="189">
        <f t="shared" si="50"/>
        <v>1.2990692027714846E-4</v>
      </c>
      <c r="AB442" s="2">
        <f>IFERROR(SUMIFS('Comp2016-2017 (3)'!$G$5:$G$289,'Comp2016-2017 (3)'!$A$5:$A$289,A442,'Comp2016-2017 (3)'!$R$5:$R$289,V442)*AA442/SUMIFS($AA$4:$AA$1116,$A$4:$A$1116,A442,$V$4:$V$1116,V442),0)</f>
        <v>232.29576412257998</v>
      </c>
      <c r="AC442" s="2" t="str">
        <f>IF($W442=AC$3,$AB442,IF(NOT($W442=0),"",SUMIFS('Val-Vol (2)'!AC$4:AC$1116,'Val-Vol (2)'!$A$4:$A$1116,$D442,'Val-Vol (2)'!$V$4:$V$1116,$V442)/SUMIFS('Comp2016-2017 (3)'!$G$5:$G$289,'Comp2016-2017 (3)'!$A$5:$A$289,$D442,'Comp2016-2017 (3)'!$R$5:$R$289,$V442)*$AB442))</f>
        <v/>
      </c>
      <c r="AD442" s="2">
        <f>IF($W442=AD$3,$AB442,IF(NOT($W442=0),"",SUMIFS('Val-Vol (2)'!AD$4:AD$1116,'Val-Vol (2)'!$A$4:$A$1116,$D442,'Val-Vol (2)'!$V$4:$V$1116,$V442)/SUMIFS('Comp2016-2017 (3)'!$G$5:$G$289,'Comp2016-2017 (3)'!$A$5:$A$289,$D442,'Comp2016-2017 (3)'!$R$5:$R$289,$V442)*$AB442))</f>
        <v>232.29576412257998</v>
      </c>
      <c r="AE442" s="2" t="str">
        <f>IF($W442=AE$3,$AB442,IF(NOT($W442=0),"",SUMIFS('Val-Vol (2)'!AE$4:AE$1116,'Val-Vol (2)'!$A$4:$A$1116,$D442,'Val-Vol (2)'!$V$4:$V$1116,$V442)/SUMIFS('Comp2016-2017 (3)'!$G$5:$G$289,'Comp2016-2017 (3)'!$A$5:$A$289,$D442,'Comp2016-2017 (3)'!$R$5:$R$289,$V442)*$AB442))</f>
        <v/>
      </c>
      <c r="AF442" s="2" t="str">
        <f>IF($W442=AF$3,$AB442,IF(NOT($W442=0),"",SUMIFS('Val-Vol (2)'!AF$4:AF$1116,'Val-Vol (2)'!$A$4:$A$1116,$D442,'Val-Vol (2)'!$V$4:$V$1116,$V442)/SUMIFS('Comp2016-2017 (3)'!$G$5:$G$289,'Comp2016-2017 (3)'!$A$5:$A$289,$D442,'Comp2016-2017 (3)'!$R$5:$R$289,$V442)*$AB442))</f>
        <v/>
      </c>
      <c r="AG442" s="2" t="str">
        <f>IF($W442=AG$3,$AB442,IF(NOT($W442=0),"",SUMIFS('Val-Vol (2)'!AG$4:AG$1116,'Val-Vol (2)'!$A$4:$A$1116,$D442,'Val-Vol (2)'!$V$4:$V$1116,$V442)/SUMIFS('Comp2016-2017 (3)'!$G$5:$G$289,'Comp2016-2017 (3)'!$A$5:$A$289,$D442,'Comp2016-2017 (3)'!$R$5:$R$289,$V442)*$AB442))</f>
        <v/>
      </c>
      <c r="AH442" s="2" t="str">
        <f>IF($W442=AH$3,$AB442,IF(NOT($W442=0),"",SUMIFS('Val-Vol (2)'!AH$4:AH$1116,'Val-Vol (2)'!$A$4:$A$1116,$D442,'Val-Vol (2)'!$V$4:$V$1116,$V442)/SUMIFS('Comp2016-2017 (3)'!$G$5:$G$289,'Comp2016-2017 (3)'!$A$5:$A$289,$D442,'Comp2016-2017 (3)'!$R$5:$R$289,$V442)*$AB442))</f>
        <v/>
      </c>
      <c r="AI442" s="2" t="str">
        <f>IF($W442=AI$3,$AB442,IF(NOT($W442=0),"",SUMIFS('Val-Vol (2)'!AI$4:AI$1116,'Val-Vol (2)'!$A$4:$A$1116,$D442,'Val-Vol (2)'!$V$4:$V$1116,$V442)/SUMIFS('Comp2016-2017 (3)'!$G$5:$G$289,'Comp2016-2017 (3)'!$A$5:$A$289,$D442,'Comp2016-2017 (3)'!$R$5:$R$289,$V442)*$AB442))</f>
        <v/>
      </c>
      <c r="AJ442" s="2" t="str">
        <f>IF($W442=AJ$3,$AB442,IF(NOT($W442=0),"",SUMIFS('Val-Vol (2)'!AJ$4:AJ$1116,'Val-Vol (2)'!$A$4:$A$1116,$D442,'Val-Vol (2)'!$V$4:$V$1116,$V442)/SUMIFS('Comp2016-2017 (3)'!$G$5:$G$289,'Comp2016-2017 (3)'!$A$5:$A$289,$D442,'Comp2016-2017 (3)'!$R$5:$R$289,$V442)*$AB442))</f>
        <v/>
      </c>
      <c r="AK442" s="2">
        <f t="shared" si="54"/>
        <v>0</v>
      </c>
      <c r="AL442" t="str">
        <f t="shared" si="49"/>
        <v/>
      </c>
      <c r="AM442" t="str">
        <f>VLOOKUP(A442,'Table corresp.'!$M$4:$U$63,8,FALSE)</f>
        <v>Production intermédiaire</v>
      </c>
      <c r="AN442" t="str">
        <f>VLOOKUP(D442,'Table corresp.'!$M$4:$U$63,9,FALSE)</f>
        <v>Production finale</v>
      </c>
    </row>
    <row r="443" spans="1:40" x14ac:dyDescent="0.25">
      <c r="A443" t="s">
        <v>4</v>
      </c>
      <c r="B443" t="str">
        <f>VLOOKUP(LEFT(A443,3),'Table corresp.'!$A$4:$D$63,3,FALSE)</f>
        <v>Transformation</v>
      </c>
      <c r="C443" t="str">
        <f>VLOOKUP(A443,'Table corresp.'!$M$4:$P$63,4,FALSE)</f>
        <v>Production et transformation de produits bois</v>
      </c>
      <c r="D443" t="s">
        <v>15</v>
      </c>
      <c r="E443" t="str">
        <f>VLOOKUP(LEFT(D443,3),'Table corresp.'!$A$4:$D$63,4,FALSE)</f>
        <v>Transformation</v>
      </c>
      <c r="F443" t="str">
        <f t="shared" si="48"/>
        <v xml:space="preserve">08  - 35 </v>
      </c>
      <c r="G443" s="3">
        <v>12911.513982585358</v>
      </c>
      <c r="H443" s="3">
        <v>1219.3904710825702</v>
      </c>
      <c r="I443" s="3">
        <v>14130.904689574694</v>
      </c>
      <c r="J443" s="3">
        <v>32.943723741735255</v>
      </c>
      <c r="K443" s="3">
        <v>2.4248292743985171</v>
      </c>
      <c r="L443" s="3">
        <v>35.368553016133774</v>
      </c>
      <c r="M443" s="3">
        <v>0</v>
      </c>
      <c r="N443" s="3">
        <v>0</v>
      </c>
      <c r="O443" s="3">
        <v>0</v>
      </c>
      <c r="P443" s="3">
        <v>0</v>
      </c>
      <c r="Q443" s="3">
        <v>0</v>
      </c>
      <c r="R443" s="3">
        <v>0</v>
      </c>
      <c r="S443" s="67"/>
      <c r="T443">
        <f>VLOOKUP(A443,'Groupe de branches'!$Z$27:$AM$86,14,FALSE)</f>
        <v>0</v>
      </c>
      <c r="U443">
        <f>VLOOKUP(D443,'Groupe de branches'!$Z$27:$AM$86,14,FALSE)</f>
        <v>0</v>
      </c>
      <c r="V443">
        <v>2017</v>
      </c>
      <c r="W443" t="str">
        <f>VLOOKUP(D443,'Table corresp.'!$M$4:$S$63,7,FALSE)</f>
        <v>Construction</v>
      </c>
      <c r="X443" s="167">
        <f>IFERROR(G443/SUMIFS('Comp2016-2017 (3)'!$I$5:$I$289,'Comp2016-2017 (3)'!$A$5:$A$289,A443,'Comp2016-2017 (3)'!$R$5:$R$289,V443),0)</f>
        <v>2.6683476866495741E-2</v>
      </c>
      <c r="Y443" s="190">
        <f>IFERROR(IF(RIGHT(F443,3)="Exp",VLOOKUP(F443,#REF!,2,FALSE),VLOOKUP(F443,#REF!,9,FALSE)),1)</f>
        <v>1</v>
      </c>
      <c r="Z443" s="167">
        <f t="shared" si="53"/>
        <v>7.1428571428571425E-2</v>
      </c>
      <c r="AA443" s="189">
        <f t="shared" si="50"/>
        <v>1.9059626333211243E-3</v>
      </c>
      <c r="AB443" s="2">
        <f>IFERROR(SUMIFS('Comp2016-2017 (3)'!$G$5:$G$289,'Comp2016-2017 (3)'!$A$5:$A$289,A443,'Comp2016-2017 (3)'!$R$5:$R$289,V443)*AA443/SUMIFS($AA$4:$AA$1116,$A$4:$A$1116,A443,$V$4:$V$1116,V443),0)</f>
        <v>3408.1867644298054</v>
      </c>
      <c r="AC443" s="2" t="str">
        <f>IF($W443=AC$3,$AB443,IF(NOT($W443=0),"",SUMIFS('Val-Vol (2)'!AC$4:AC$1116,'Val-Vol (2)'!$A$4:$A$1116,$D443,'Val-Vol (2)'!$V$4:$V$1116,$V443)/SUMIFS('Comp2016-2017 (3)'!$G$5:$G$289,'Comp2016-2017 (3)'!$A$5:$A$289,$D443,'Comp2016-2017 (3)'!$R$5:$R$289,$V443)*$AB443))</f>
        <v/>
      </c>
      <c r="AD443" s="2">
        <f>IF($W443=AD$3,$AB443,IF(NOT($W443=0),"",SUMIFS('Val-Vol (2)'!AD$4:AD$1116,'Val-Vol (2)'!$A$4:$A$1116,$D443,'Val-Vol (2)'!$V$4:$V$1116,$V443)/SUMIFS('Comp2016-2017 (3)'!$G$5:$G$289,'Comp2016-2017 (3)'!$A$5:$A$289,$D443,'Comp2016-2017 (3)'!$R$5:$R$289,$V443)*$AB443))</f>
        <v>3408.1867644298054</v>
      </c>
      <c r="AE443" s="2" t="str">
        <f>IF($W443=AE$3,$AB443,IF(NOT($W443=0),"",SUMIFS('Val-Vol (2)'!AE$4:AE$1116,'Val-Vol (2)'!$A$4:$A$1116,$D443,'Val-Vol (2)'!$V$4:$V$1116,$V443)/SUMIFS('Comp2016-2017 (3)'!$G$5:$G$289,'Comp2016-2017 (3)'!$A$5:$A$289,$D443,'Comp2016-2017 (3)'!$R$5:$R$289,$V443)*$AB443))</f>
        <v/>
      </c>
      <c r="AF443" s="2" t="str">
        <f>IF($W443=AF$3,$AB443,IF(NOT($W443=0),"",SUMIFS('Val-Vol (2)'!AF$4:AF$1116,'Val-Vol (2)'!$A$4:$A$1116,$D443,'Val-Vol (2)'!$V$4:$V$1116,$V443)/SUMIFS('Comp2016-2017 (3)'!$G$5:$G$289,'Comp2016-2017 (3)'!$A$5:$A$289,$D443,'Comp2016-2017 (3)'!$R$5:$R$289,$V443)*$AB443))</f>
        <v/>
      </c>
      <c r="AG443" s="2" t="str">
        <f>IF($W443=AG$3,$AB443,IF(NOT($W443=0),"",SUMIFS('Val-Vol (2)'!AG$4:AG$1116,'Val-Vol (2)'!$A$4:$A$1116,$D443,'Val-Vol (2)'!$V$4:$V$1116,$V443)/SUMIFS('Comp2016-2017 (3)'!$G$5:$G$289,'Comp2016-2017 (3)'!$A$5:$A$289,$D443,'Comp2016-2017 (3)'!$R$5:$R$289,$V443)*$AB443))</f>
        <v/>
      </c>
      <c r="AH443" s="2" t="str">
        <f>IF($W443=AH$3,$AB443,IF(NOT($W443=0),"",SUMIFS('Val-Vol (2)'!AH$4:AH$1116,'Val-Vol (2)'!$A$4:$A$1116,$D443,'Val-Vol (2)'!$V$4:$V$1116,$V443)/SUMIFS('Comp2016-2017 (3)'!$G$5:$G$289,'Comp2016-2017 (3)'!$A$5:$A$289,$D443,'Comp2016-2017 (3)'!$R$5:$R$289,$V443)*$AB443))</f>
        <v/>
      </c>
      <c r="AI443" s="2" t="str">
        <f>IF($W443=AI$3,$AB443,IF(NOT($W443=0),"",SUMIFS('Val-Vol (2)'!AI$4:AI$1116,'Val-Vol (2)'!$A$4:$A$1116,$D443,'Val-Vol (2)'!$V$4:$V$1116,$V443)/SUMIFS('Comp2016-2017 (3)'!$G$5:$G$289,'Comp2016-2017 (3)'!$A$5:$A$289,$D443,'Comp2016-2017 (3)'!$R$5:$R$289,$V443)*$AB443))</f>
        <v/>
      </c>
      <c r="AJ443" s="2" t="str">
        <f>IF($W443=AJ$3,$AB443,IF(NOT($W443=0),"",SUMIFS('Val-Vol (2)'!AJ$4:AJ$1116,'Val-Vol (2)'!$A$4:$A$1116,$D443,'Val-Vol (2)'!$V$4:$V$1116,$V443)/SUMIFS('Comp2016-2017 (3)'!$G$5:$G$289,'Comp2016-2017 (3)'!$A$5:$A$289,$D443,'Comp2016-2017 (3)'!$R$5:$R$289,$V443)*$AB443))</f>
        <v/>
      </c>
      <c r="AK443" s="2">
        <f t="shared" si="54"/>
        <v>0</v>
      </c>
      <c r="AL443" t="str">
        <f t="shared" si="49"/>
        <v/>
      </c>
      <c r="AM443" t="str">
        <f>VLOOKUP(A443,'Table corresp.'!$M$4:$U$63,8,FALSE)</f>
        <v>Production intermédiaire</v>
      </c>
      <c r="AN443" t="str">
        <f>VLOOKUP(D443,'Table corresp.'!$M$4:$U$63,9,FALSE)</f>
        <v>Production finale</v>
      </c>
    </row>
    <row r="444" spans="1:40" x14ac:dyDescent="0.25">
      <c r="A444" t="s">
        <v>4</v>
      </c>
      <c r="B444" t="str">
        <f>VLOOKUP(LEFT(A444,3),'Table corresp.'!$A$4:$D$63,3,FALSE)</f>
        <v>Transformation</v>
      </c>
      <c r="C444" t="str">
        <f>VLOOKUP(A444,'Table corresp.'!$M$4:$P$63,4,FALSE)</f>
        <v>Production et transformation de produits bois</v>
      </c>
      <c r="D444" t="s">
        <v>16</v>
      </c>
      <c r="E444" t="str">
        <f>VLOOKUP(LEFT(D444,3),'Table corresp.'!$A$4:$D$63,4,FALSE)</f>
        <v>Transformation</v>
      </c>
      <c r="F444" t="str">
        <f t="shared" si="48"/>
        <v xml:space="preserve">08  - 36 </v>
      </c>
      <c r="G444" s="3">
        <v>5031.1657693883399</v>
      </c>
      <c r="H444" s="3">
        <v>1322.7270428048639</v>
      </c>
      <c r="I444" s="3">
        <v>6353.8929182675411</v>
      </c>
      <c r="J444" s="3">
        <v>16.50473720988666</v>
      </c>
      <c r="K444" s="3">
        <v>3.3818401176003441</v>
      </c>
      <c r="L444" s="3">
        <v>19.886577327487004</v>
      </c>
      <c r="M444" s="3">
        <v>0</v>
      </c>
      <c r="N444" s="3">
        <v>0</v>
      </c>
      <c r="O444" s="3">
        <v>0</v>
      </c>
      <c r="P444" s="3">
        <v>0</v>
      </c>
      <c r="Q444" s="3">
        <v>0</v>
      </c>
      <c r="R444" s="3">
        <v>0</v>
      </c>
      <c r="S444" s="67"/>
      <c r="T444">
        <f>VLOOKUP(A444,'Groupe de branches'!$Z$27:$AM$86,14,FALSE)</f>
        <v>0</v>
      </c>
      <c r="U444">
        <f>VLOOKUP(D444,'Groupe de branches'!$Z$27:$AM$86,14,FALSE)</f>
        <v>0</v>
      </c>
      <c r="V444">
        <v>2017</v>
      </c>
      <c r="W444" t="str">
        <f>VLOOKUP(D444,'Table corresp.'!$M$4:$S$63,7,FALSE)</f>
        <v>Construction</v>
      </c>
      <c r="X444" s="167">
        <f>IFERROR(G444/SUMIFS('Comp2016-2017 (3)'!$I$5:$I$289,'Comp2016-2017 (3)'!$A$5:$A$289,A444,'Comp2016-2017 (3)'!$R$5:$R$289,V444),0)</f>
        <v>1.0397618404785822E-2</v>
      </c>
      <c r="Y444" s="190">
        <f>IFERROR(IF(RIGHT(F444,3)="Exp",VLOOKUP(F444,#REF!,2,FALSE),VLOOKUP(F444,#REF!,9,FALSE)),1)</f>
        <v>1</v>
      </c>
      <c r="Z444" s="167">
        <f t="shared" si="53"/>
        <v>7.1428571428571425E-2</v>
      </c>
      <c r="AA444" s="189">
        <f t="shared" si="50"/>
        <v>7.4268702891327294E-4</v>
      </c>
      <c r="AB444" s="2">
        <f>IFERROR(SUMIFS('Comp2016-2017 (3)'!$G$5:$G$289,'Comp2016-2017 (3)'!$A$5:$A$289,A444,'Comp2016-2017 (3)'!$R$5:$R$289,V444)*AA444/SUMIFS($AA$4:$AA$1116,$A$4:$A$1116,A444,$V$4:$V$1116,V444),0)</f>
        <v>1328.0512733060718</v>
      </c>
      <c r="AC444" s="2" t="str">
        <f>IF($W444=AC$3,$AB444,IF(NOT($W444=0),"",SUMIFS('Val-Vol (2)'!AC$4:AC$1116,'Val-Vol (2)'!$A$4:$A$1116,$D444,'Val-Vol (2)'!$V$4:$V$1116,$V444)/SUMIFS('Comp2016-2017 (3)'!$G$5:$G$289,'Comp2016-2017 (3)'!$A$5:$A$289,$D444,'Comp2016-2017 (3)'!$R$5:$R$289,$V444)*$AB444))</f>
        <v/>
      </c>
      <c r="AD444" s="2">
        <f>IF($W444=AD$3,$AB444,IF(NOT($W444=0),"",SUMIFS('Val-Vol (2)'!AD$4:AD$1116,'Val-Vol (2)'!$A$4:$A$1116,$D444,'Val-Vol (2)'!$V$4:$V$1116,$V444)/SUMIFS('Comp2016-2017 (3)'!$G$5:$G$289,'Comp2016-2017 (3)'!$A$5:$A$289,$D444,'Comp2016-2017 (3)'!$R$5:$R$289,$V444)*$AB444))</f>
        <v>1328.0512733060718</v>
      </c>
      <c r="AE444" s="2" t="str">
        <f>IF($W444=AE$3,$AB444,IF(NOT($W444=0),"",SUMIFS('Val-Vol (2)'!AE$4:AE$1116,'Val-Vol (2)'!$A$4:$A$1116,$D444,'Val-Vol (2)'!$V$4:$V$1116,$V444)/SUMIFS('Comp2016-2017 (3)'!$G$5:$G$289,'Comp2016-2017 (3)'!$A$5:$A$289,$D444,'Comp2016-2017 (3)'!$R$5:$R$289,$V444)*$AB444))</f>
        <v/>
      </c>
      <c r="AF444" s="2" t="str">
        <f>IF($W444=AF$3,$AB444,IF(NOT($W444=0),"",SUMIFS('Val-Vol (2)'!AF$4:AF$1116,'Val-Vol (2)'!$A$4:$A$1116,$D444,'Val-Vol (2)'!$V$4:$V$1116,$V444)/SUMIFS('Comp2016-2017 (3)'!$G$5:$G$289,'Comp2016-2017 (3)'!$A$5:$A$289,$D444,'Comp2016-2017 (3)'!$R$5:$R$289,$V444)*$AB444))</f>
        <v/>
      </c>
      <c r="AG444" s="2" t="str">
        <f>IF($W444=AG$3,$AB444,IF(NOT($W444=0),"",SUMIFS('Val-Vol (2)'!AG$4:AG$1116,'Val-Vol (2)'!$A$4:$A$1116,$D444,'Val-Vol (2)'!$V$4:$V$1116,$V444)/SUMIFS('Comp2016-2017 (3)'!$G$5:$G$289,'Comp2016-2017 (3)'!$A$5:$A$289,$D444,'Comp2016-2017 (3)'!$R$5:$R$289,$V444)*$AB444))</f>
        <v/>
      </c>
      <c r="AH444" s="2" t="str">
        <f>IF($W444=AH$3,$AB444,IF(NOT($W444=0),"",SUMIFS('Val-Vol (2)'!AH$4:AH$1116,'Val-Vol (2)'!$A$4:$A$1116,$D444,'Val-Vol (2)'!$V$4:$V$1116,$V444)/SUMIFS('Comp2016-2017 (3)'!$G$5:$G$289,'Comp2016-2017 (3)'!$A$5:$A$289,$D444,'Comp2016-2017 (3)'!$R$5:$R$289,$V444)*$AB444))</f>
        <v/>
      </c>
      <c r="AI444" s="2" t="str">
        <f>IF($W444=AI$3,$AB444,IF(NOT($W444=0),"",SUMIFS('Val-Vol (2)'!AI$4:AI$1116,'Val-Vol (2)'!$A$4:$A$1116,$D444,'Val-Vol (2)'!$V$4:$V$1116,$V444)/SUMIFS('Comp2016-2017 (3)'!$G$5:$G$289,'Comp2016-2017 (3)'!$A$5:$A$289,$D444,'Comp2016-2017 (3)'!$R$5:$R$289,$V444)*$AB444))</f>
        <v/>
      </c>
      <c r="AJ444" s="2" t="str">
        <f>IF($W444=AJ$3,$AB444,IF(NOT($W444=0),"",SUMIFS('Val-Vol (2)'!AJ$4:AJ$1116,'Val-Vol (2)'!$A$4:$A$1116,$D444,'Val-Vol (2)'!$V$4:$V$1116,$V444)/SUMIFS('Comp2016-2017 (3)'!$G$5:$G$289,'Comp2016-2017 (3)'!$A$5:$A$289,$D444,'Comp2016-2017 (3)'!$R$5:$R$289,$V444)*$AB444))</f>
        <v/>
      </c>
      <c r="AK444" s="2">
        <f t="shared" si="54"/>
        <v>0</v>
      </c>
      <c r="AL444" t="str">
        <f t="shared" si="49"/>
        <v/>
      </c>
      <c r="AM444" t="str">
        <f>VLOOKUP(A444,'Table corresp.'!$M$4:$U$63,8,FALSE)</f>
        <v>Production intermédiaire</v>
      </c>
      <c r="AN444" t="str">
        <f>VLOOKUP(D444,'Table corresp.'!$M$4:$U$63,9,FALSE)</f>
        <v>Production finale</v>
      </c>
    </row>
    <row r="445" spans="1:40" x14ac:dyDescent="0.25">
      <c r="A445" t="s">
        <v>4</v>
      </c>
      <c r="B445" t="str">
        <f>VLOOKUP(LEFT(A445,3),'Table corresp.'!$A$4:$D$63,3,FALSE)</f>
        <v>Transformation</v>
      </c>
      <c r="C445" t="str">
        <f>VLOOKUP(A445,'Table corresp.'!$M$4:$P$63,4,FALSE)</f>
        <v>Production et transformation de produits bois</v>
      </c>
      <c r="D445" t="s">
        <v>92</v>
      </c>
      <c r="E445" t="str">
        <f>VLOOKUP(LEFT(D445,3),'Table corresp.'!$A$4:$D$63,4,FALSE)</f>
        <v>Transformation</v>
      </c>
      <c r="F445" t="str">
        <f t="shared" si="48"/>
        <v xml:space="preserve">08  - 40 </v>
      </c>
      <c r="G445" s="3">
        <v>1572.8367707267512</v>
      </c>
      <c r="H445" s="3">
        <v>0</v>
      </c>
      <c r="I445" s="3">
        <v>1572.8367969842948</v>
      </c>
      <c r="J445" s="3">
        <v>6.5668786539175228</v>
      </c>
      <c r="K445" s="3">
        <v>0</v>
      </c>
      <c r="L445" s="3">
        <v>6.5668786539175228</v>
      </c>
      <c r="M445" s="3">
        <v>0</v>
      </c>
      <c r="N445" s="3">
        <v>0</v>
      </c>
      <c r="O445" s="3">
        <v>0</v>
      </c>
      <c r="P445" s="3">
        <v>0</v>
      </c>
      <c r="Q445" s="3">
        <v>0</v>
      </c>
      <c r="R445" s="3">
        <v>0</v>
      </c>
      <c r="S445" s="67"/>
      <c r="T445">
        <f>VLOOKUP(A445,'Groupe de branches'!$Z$27:$AM$86,14,FALSE)</f>
        <v>0</v>
      </c>
      <c r="U445">
        <f>VLOOKUP(D445,'Groupe de branches'!$Z$27:$AM$86,14,FALSE)</f>
        <v>0</v>
      </c>
      <c r="V445">
        <v>2017</v>
      </c>
      <c r="W445" t="str">
        <f>VLOOKUP(D445,'Table corresp.'!$M$4:$S$63,7,FALSE)</f>
        <v>Construction</v>
      </c>
      <c r="X445" s="167">
        <f>IFERROR(G445/SUMIFS('Comp2016-2017 (3)'!$I$5:$I$289,'Comp2016-2017 (3)'!$A$5:$A$289,A445,'Comp2016-2017 (3)'!$R$5:$R$289,V445),0)</f>
        <v>3.250490503520134E-3</v>
      </c>
      <c r="Y445" s="190">
        <f>IFERROR(IF(RIGHT(F445,3)="Exp",VLOOKUP(F445,#REF!,2,FALSE),VLOOKUP(F445,#REF!,9,FALSE)),1)</f>
        <v>1</v>
      </c>
      <c r="Z445" s="167">
        <f t="shared" si="53"/>
        <v>7.1428571428571425E-2</v>
      </c>
      <c r="AA445" s="189">
        <f t="shared" si="50"/>
        <v>2.3217789310858098E-4</v>
      </c>
      <c r="AB445" s="2">
        <f>IFERROR(SUMIFS('Comp2016-2017 (3)'!$G$5:$G$289,'Comp2016-2017 (3)'!$A$5:$A$289,A445,'Comp2016-2017 (3)'!$R$5:$R$289,V445)*AA445/SUMIFS($AA$4:$AA$1116,$A$4:$A$1116,A445,$V$4:$V$1116,V445),0)</f>
        <v>415.17373344671518</v>
      </c>
      <c r="AC445" s="2" t="str">
        <f>IF($W445=AC$3,$AB445,IF(NOT($W445=0),"",SUMIFS('Val-Vol (2)'!AC$4:AC$1116,'Val-Vol (2)'!$A$4:$A$1116,$D445,'Val-Vol (2)'!$V$4:$V$1116,$V445)/SUMIFS('Comp2016-2017 (3)'!$G$5:$G$289,'Comp2016-2017 (3)'!$A$5:$A$289,$D445,'Comp2016-2017 (3)'!$R$5:$R$289,$V445)*$AB445))</f>
        <v/>
      </c>
      <c r="AD445" s="2">
        <f>IF($W445=AD$3,$AB445,IF(NOT($W445=0),"",SUMIFS('Val-Vol (2)'!AD$4:AD$1116,'Val-Vol (2)'!$A$4:$A$1116,$D445,'Val-Vol (2)'!$V$4:$V$1116,$V445)/SUMIFS('Comp2016-2017 (3)'!$G$5:$G$289,'Comp2016-2017 (3)'!$A$5:$A$289,$D445,'Comp2016-2017 (3)'!$R$5:$R$289,$V445)*$AB445))</f>
        <v>415.17373344671518</v>
      </c>
      <c r="AE445" s="2" t="str">
        <f>IF($W445=AE$3,$AB445,IF(NOT($W445=0),"",SUMIFS('Val-Vol (2)'!AE$4:AE$1116,'Val-Vol (2)'!$A$4:$A$1116,$D445,'Val-Vol (2)'!$V$4:$V$1116,$V445)/SUMIFS('Comp2016-2017 (3)'!$G$5:$G$289,'Comp2016-2017 (3)'!$A$5:$A$289,$D445,'Comp2016-2017 (3)'!$R$5:$R$289,$V445)*$AB445))</f>
        <v/>
      </c>
      <c r="AF445" s="2" t="str">
        <f>IF($W445=AF$3,$AB445,IF(NOT($W445=0),"",SUMIFS('Val-Vol (2)'!AF$4:AF$1116,'Val-Vol (2)'!$A$4:$A$1116,$D445,'Val-Vol (2)'!$V$4:$V$1116,$V445)/SUMIFS('Comp2016-2017 (3)'!$G$5:$G$289,'Comp2016-2017 (3)'!$A$5:$A$289,$D445,'Comp2016-2017 (3)'!$R$5:$R$289,$V445)*$AB445))</f>
        <v/>
      </c>
      <c r="AG445" s="2" t="str">
        <f>IF($W445=AG$3,$AB445,IF(NOT($W445=0),"",SUMIFS('Val-Vol (2)'!AG$4:AG$1116,'Val-Vol (2)'!$A$4:$A$1116,$D445,'Val-Vol (2)'!$V$4:$V$1116,$V445)/SUMIFS('Comp2016-2017 (3)'!$G$5:$G$289,'Comp2016-2017 (3)'!$A$5:$A$289,$D445,'Comp2016-2017 (3)'!$R$5:$R$289,$V445)*$AB445))</f>
        <v/>
      </c>
      <c r="AH445" s="2" t="str">
        <f>IF($W445=AH$3,$AB445,IF(NOT($W445=0),"",SUMIFS('Val-Vol (2)'!AH$4:AH$1116,'Val-Vol (2)'!$A$4:$A$1116,$D445,'Val-Vol (2)'!$V$4:$V$1116,$V445)/SUMIFS('Comp2016-2017 (3)'!$G$5:$G$289,'Comp2016-2017 (3)'!$A$5:$A$289,$D445,'Comp2016-2017 (3)'!$R$5:$R$289,$V445)*$AB445))</f>
        <v/>
      </c>
      <c r="AI445" s="2" t="str">
        <f>IF($W445=AI$3,$AB445,IF(NOT($W445=0),"",SUMIFS('Val-Vol (2)'!AI$4:AI$1116,'Val-Vol (2)'!$A$4:$A$1116,$D445,'Val-Vol (2)'!$V$4:$V$1116,$V445)/SUMIFS('Comp2016-2017 (3)'!$G$5:$G$289,'Comp2016-2017 (3)'!$A$5:$A$289,$D445,'Comp2016-2017 (3)'!$R$5:$R$289,$V445)*$AB445))</f>
        <v/>
      </c>
      <c r="AJ445" s="2" t="str">
        <f>IF($W445=AJ$3,$AB445,IF(NOT($W445=0),"",SUMIFS('Val-Vol (2)'!AJ$4:AJ$1116,'Val-Vol (2)'!$A$4:$A$1116,$D445,'Val-Vol (2)'!$V$4:$V$1116,$V445)/SUMIFS('Comp2016-2017 (3)'!$G$5:$G$289,'Comp2016-2017 (3)'!$A$5:$A$289,$D445,'Comp2016-2017 (3)'!$R$5:$R$289,$V445)*$AB445))</f>
        <v/>
      </c>
      <c r="AK445" s="2">
        <f t="shared" si="54"/>
        <v>0</v>
      </c>
      <c r="AL445" t="str">
        <f t="shared" si="49"/>
        <v/>
      </c>
      <c r="AM445" t="str">
        <f>VLOOKUP(A445,'Table corresp.'!$M$4:$U$63,8,FALSE)</f>
        <v>Production intermédiaire</v>
      </c>
      <c r="AN445" t="str">
        <f>VLOOKUP(D445,'Table corresp.'!$M$4:$U$63,9,FALSE)</f>
        <v>Production finale</v>
      </c>
    </row>
    <row r="446" spans="1:40" x14ac:dyDescent="0.25">
      <c r="A446" t="s">
        <v>4</v>
      </c>
      <c r="B446" t="str">
        <f>VLOOKUP(LEFT(A446,3),'Table corresp.'!$A$4:$D$63,3,FALSE)</f>
        <v>Transformation</v>
      </c>
      <c r="C446" t="str">
        <f>VLOOKUP(A446,'Table corresp.'!$M$4:$P$63,4,FALSE)</f>
        <v>Production et transformation de produits bois</v>
      </c>
      <c r="D446" t="s">
        <v>99</v>
      </c>
      <c r="E446" t="str">
        <f>VLOOKUP(LEFT(D446,3),'Table corresp.'!$A$4:$D$63,4,FALSE)</f>
        <v>Transformation</v>
      </c>
      <c r="F446" t="str">
        <f t="shared" si="48"/>
        <v xml:space="preserve">08  - 47 </v>
      </c>
      <c r="G446" s="3">
        <v>63781.403271328156</v>
      </c>
      <c r="H446" s="3">
        <v>21847.421107721395</v>
      </c>
      <c r="I446" s="3">
        <v>85628.825808570153</v>
      </c>
      <c r="J446" s="3">
        <v>162.73822977420556</v>
      </c>
      <c r="K446" s="3">
        <v>43.444874737361843</v>
      </c>
      <c r="L446" s="3">
        <v>206.18310451156742</v>
      </c>
      <c r="M446" s="3">
        <v>0</v>
      </c>
      <c r="N446" s="3">
        <v>0</v>
      </c>
      <c r="O446" s="3">
        <v>0</v>
      </c>
      <c r="P446" s="3">
        <v>0</v>
      </c>
      <c r="Q446" s="3">
        <v>0</v>
      </c>
      <c r="R446" s="3">
        <v>0</v>
      </c>
      <c r="S446" s="67"/>
      <c r="T446">
        <f>VLOOKUP(A446,'Groupe de branches'!$Z$27:$AM$86,14,FALSE)</f>
        <v>0</v>
      </c>
      <c r="U446">
        <f>VLOOKUP(D446,'Groupe de branches'!$Z$27:$AM$86,14,FALSE)</f>
        <v>0</v>
      </c>
      <c r="V446">
        <v>2017</v>
      </c>
      <c r="W446" t="str">
        <f>VLOOKUP(D446,'Table corresp.'!$M$4:$S$63,7,FALSE)</f>
        <v>Meuble</v>
      </c>
      <c r="X446" s="167">
        <f>IFERROR(G446/SUMIFS('Comp2016-2017 (3)'!$I$5:$I$289,'Comp2016-2017 (3)'!$A$5:$A$289,A446,'Comp2016-2017 (3)'!$R$5:$R$289,V446),0)</f>
        <v>0.13181332576478658</v>
      </c>
      <c r="Y446" s="190">
        <f>IFERROR(IF(RIGHT(F446,3)="Exp",VLOOKUP(F446,#REF!,2,FALSE),VLOOKUP(F446,#REF!,9,FALSE)),1)</f>
        <v>1</v>
      </c>
      <c r="Z446" s="167">
        <f t="shared" si="53"/>
        <v>7.1428571428571425E-2</v>
      </c>
      <c r="AA446" s="189">
        <f t="shared" si="50"/>
        <v>9.4152375546276128E-3</v>
      </c>
      <c r="AB446" s="2">
        <f>IFERROR(SUMIFS('Comp2016-2017 (3)'!$G$5:$G$289,'Comp2016-2017 (3)'!$A$5:$A$289,A446,'Comp2016-2017 (3)'!$R$5:$R$289,V446)*AA446/SUMIFS($AA$4:$AA$1116,$A$4:$A$1116,A446,$V$4:$V$1116,V446),0)</f>
        <v>16836.053056155488</v>
      </c>
      <c r="AC446" s="2" t="str">
        <f>IF($W446=AC$3,$AB446,IF(NOT($W446=0),"",SUMIFS('Val-Vol (2)'!AC$4:AC$1116,'Val-Vol (2)'!$A$4:$A$1116,$D446,'Val-Vol (2)'!$V$4:$V$1116,$V446)/SUMIFS('Comp2016-2017 (3)'!$G$5:$G$289,'Comp2016-2017 (3)'!$A$5:$A$289,$D446,'Comp2016-2017 (3)'!$R$5:$R$289,$V446)*$AB446))</f>
        <v/>
      </c>
      <c r="AD446" s="2" t="str">
        <f>IF($W446=AD$3,$AB446,IF(NOT($W446=0),"",SUMIFS('Val-Vol (2)'!AD$4:AD$1116,'Val-Vol (2)'!$A$4:$A$1116,$D446,'Val-Vol (2)'!$V$4:$V$1116,$V446)/SUMIFS('Comp2016-2017 (3)'!$G$5:$G$289,'Comp2016-2017 (3)'!$A$5:$A$289,$D446,'Comp2016-2017 (3)'!$R$5:$R$289,$V446)*$AB446))</f>
        <v/>
      </c>
      <c r="AE446" s="2">
        <f>IF($W446=AE$3,$AB446,IF(NOT($W446=0),"",SUMIFS('Val-Vol (2)'!AE$4:AE$1116,'Val-Vol (2)'!$A$4:$A$1116,$D446,'Val-Vol (2)'!$V$4:$V$1116,$V446)/SUMIFS('Comp2016-2017 (3)'!$G$5:$G$289,'Comp2016-2017 (3)'!$A$5:$A$289,$D446,'Comp2016-2017 (3)'!$R$5:$R$289,$V446)*$AB446))</f>
        <v>16836.053056155488</v>
      </c>
      <c r="AF446" s="2" t="str">
        <f>IF($W446=AF$3,$AB446,IF(NOT($W446=0),"",SUMIFS('Val-Vol (2)'!AF$4:AF$1116,'Val-Vol (2)'!$A$4:$A$1116,$D446,'Val-Vol (2)'!$V$4:$V$1116,$V446)/SUMIFS('Comp2016-2017 (3)'!$G$5:$G$289,'Comp2016-2017 (3)'!$A$5:$A$289,$D446,'Comp2016-2017 (3)'!$R$5:$R$289,$V446)*$AB446))</f>
        <v/>
      </c>
      <c r="AG446" s="2" t="str">
        <f>IF($W446=AG$3,$AB446,IF(NOT($W446=0),"",SUMIFS('Val-Vol (2)'!AG$4:AG$1116,'Val-Vol (2)'!$A$4:$A$1116,$D446,'Val-Vol (2)'!$V$4:$V$1116,$V446)/SUMIFS('Comp2016-2017 (3)'!$G$5:$G$289,'Comp2016-2017 (3)'!$A$5:$A$289,$D446,'Comp2016-2017 (3)'!$R$5:$R$289,$V446)*$AB446))</f>
        <v/>
      </c>
      <c r="AH446" s="2" t="str">
        <f>IF($W446=AH$3,$AB446,IF(NOT($W446=0),"",SUMIFS('Val-Vol (2)'!AH$4:AH$1116,'Val-Vol (2)'!$A$4:$A$1116,$D446,'Val-Vol (2)'!$V$4:$V$1116,$V446)/SUMIFS('Comp2016-2017 (3)'!$G$5:$G$289,'Comp2016-2017 (3)'!$A$5:$A$289,$D446,'Comp2016-2017 (3)'!$R$5:$R$289,$V446)*$AB446))</f>
        <v/>
      </c>
      <c r="AI446" s="2" t="str">
        <f>IF($W446=AI$3,$AB446,IF(NOT($W446=0),"",SUMIFS('Val-Vol (2)'!AI$4:AI$1116,'Val-Vol (2)'!$A$4:$A$1116,$D446,'Val-Vol (2)'!$V$4:$V$1116,$V446)/SUMIFS('Comp2016-2017 (3)'!$G$5:$G$289,'Comp2016-2017 (3)'!$A$5:$A$289,$D446,'Comp2016-2017 (3)'!$R$5:$R$289,$V446)*$AB446))</f>
        <v/>
      </c>
      <c r="AJ446" s="2" t="str">
        <f>IF($W446=AJ$3,$AB446,IF(NOT($W446=0),"",SUMIFS('Val-Vol (2)'!AJ$4:AJ$1116,'Val-Vol (2)'!$A$4:$A$1116,$D446,'Val-Vol (2)'!$V$4:$V$1116,$V446)/SUMIFS('Comp2016-2017 (3)'!$G$5:$G$289,'Comp2016-2017 (3)'!$A$5:$A$289,$D446,'Comp2016-2017 (3)'!$R$5:$R$289,$V446)*$AB446))</f>
        <v/>
      </c>
      <c r="AK446" s="2">
        <f t="shared" si="54"/>
        <v>0</v>
      </c>
      <c r="AL446" t="str">
        <f t="shared" si="49"/>
        <v/>
      </c>
      <c r="AM446" t="str">
        <f>VLOOKUP(A446,'Table corresp.'!$M$4:$U$63,8,FALSE)</f>
        <v>Production intermédiaire</v>
      </c>
      <c r="AN446" t="str">
        <f>VLOOKUP(D446,'Table corresp.'!$M$4:$U$63,9,FALSE)</f>
        <v>Production finale</v>
      </c>
    </row>
    <row r="447" spans="1:40" x14ac:dyDescent="0.25">
      <c r="A447" t="s">
        <v>4</v>
      </c>
      <c r="B447" t="str">
        <f>VLOOKUP(LEFT(A447,3),'Table corresp.'!$A$4:$D$63,3,FALSE)</f>
        <v>Transformation</v>
      </c>
      <c r="C447" t="str">
        <f>VLOOKUP(A447,'Table corresp.'!$M$4:$P$63,4,FALSE)</f>
        <v>Production et transformation de produits bois</v>
      </c>
      <c r="D447" t="s">
        <v>100</v>
      </c>
      <c r="E447" t="str">
        <f>VLOOKUP(LEFT(D447,3),'Table corresp.'!$A$4:$D$63,4,FALSE)</f>
        <v>Transformation</v>
      </c>
      <c r="F447" t="str">
        <f t="shared" si="48"/>
        <v xml:space="preserve">08  - 48 </v>
      </c>
      <c r="G447" s="3">
        <v>53213.552773095042</v>
      </c>
      <c r="H447" s="3">
        <v>0</v>
      </c>
      <c r="I447" s="3">
        <v>53213.553661462603</v>
      </c>
      <c r="J447" s="3">
        <v>122.1969263878581</v>
      </c>
      <c r="K447" s="3">
        <v>0</v>
      </c>
      <c r="L447" s="3">
        <v>122.1969263878581</v>
      </c>
      <c r="M447" s="3">
        <v>0</v>
      </c>
      <c r="N447" s="3">
        <v>0</v>
      </c>
      <c r="O447" s="3">
        <v>0</v>
      </c>
      <c r="P447" s="3">
        <v>0</v>
      </c>
      <c r="Q447" s="3">
        <v>0</v>
      </c>
      <c r="R447" s="3">
        <v>0</v>
      </c>
      <c r="S447" s="67"/>
      <c r="T447">
        <f>VLOOKUP(A447,'Groupe de branches'!$Z$27:$AM$86,14,FALSE)</f>
        <v>0</v>
      </c>
      <c r="U447">
        <f>VLOOKUP(D447,'Groupe de branches'!$Z$27:$AM$86,14,FALSE)</f>
        <v>0</v>
      </c>
      <c r="V447">
        <v>2017</v>
      </c>
      <c r="W447" t="str">
        <f>VLOOKUP(D447,'Table corresp.'!$M$4:$S$63,7,FALSE)</f>
        <v>Produits de consommation courante</v>
      </c>
      <c r="X447" s="167">
        <f>IFERROR(G447/SUMIFS('Comp2016-2017 (3)'!$I$5:$I$289,'Comp2016-2017 (3)'!$A$5:$A$289,A447,'Comp2016-2017 (3)'!$R$5:$R$289,V447),0)</f>
        <v>0.10997336225016513</v>
      </c>
      <c r="Y447" s="190">
        <f>IFERROR(IF(RIGHT(F447,3)="Exp",VLOOKUP(F447,#REF!,2,FALSE),VLOOKUP(F447,#REF!,9,FALSE)),1)</f>
        <v>1</v>
      </c>
      <c r="Z447" s="167">
        <f t="shared" si="53"/>
        <v>7.1428571428571425E-2</v>
      </c>
      <c r="AA447" s="189">
        <f t="shared" si="50"/>
        <v>7.8552401607260795E-3</v>
      </c>
      <c r="AB447" s="2">
        <f>IFERROR(SUMIFS('Comp2016-2017 (3)'!$G$5:$G$289,'Comp2016-2017 (3)'!$A$5:$A$289,A447,'Comp2016-2017 (3)'!$R$5:$R$289,V447)*AA447/SUMIFS($AA$4:$AA$1116,$A$4:$A$1116,A447,$V$4:$V$1116,V447),0)</f>
        <v>14046.511237502002</v>
      </c>
      <c r="AC447" s="2" t="str">
        <f>IF($W447=AC$3,$AB447,IF(NOT($W447=0),"",SUMIFS('Val-Vol (2)'!AC$4:AC$1116,'Val-Vol (2)'!$A$4:$A$1116,$D447,'Val-Vol (2)'!$V$4:$V$1116,$V447)/SUMIFS('Comp2016-2017 (3)'!$G$5:$G$289,'Comp2016-2017 (3)'!$A$5:$A$289,$D447,'Comp2016-2017 (3)'!$R$5:$R$289,$V447)*$AB447))</f>
        <v/>
      </c>
      <c r="AD447" s="2" t="str">
        <f>IF($W447=AD$3,$AB447,IF(NOT($W447=0),"",SUMIFS('Val-Vol (2)'!AD$4:AD$1116,'Val-Vol (2)'!$A$4:$A$1116,$D447,'Val-Vol (2)'!$V$4:$V$1116,$V447)/SUMIFS('Comp2016-2017 (3)'!$G$5:$G$289,'Comp2016-2017 (3)'!$A$5:$A$289,$D447,'Comp2016-2017 (3)'!$R$5:$R$289,$V447)*$AB447))</f>
        <v/>
      </c>
      <c r="AE447" s="2" t="str">
        <f>IF($W447=AE$3,$AB447,IF(NOT($W447=0),"",SUMIFS('Val-Vol (2)'!AE$4:AE$1116,'Val-Vol (2)'!$A$4:$A$1116,$D447,'Val-Vol (2)'!$V$4:$V$1116,$V447)/SUMIFS('Comp2016-2017 (3)'!$G$5:$G$289,'Comp2016-2017 (3)'!$A$5:$A$289,$D447,'Comp2016-2017 (3)'!$R$5:$R$289,$V447)*$AB447))</f>
        <v/>
      </c>
      <c r="AF447" s="2" t="str">
        <f>IF($W447=AF$3,$AB447,IF(NOT($W447=0),"",SUMIFS('Val-Vol (2)'!AF$4:AF$1116,'Val-Vol (2)'!$A$4:$A$1116,$D447,'Val-Vol (2)'!$V$4:$V$1116,$V447)/SUMIFS('Comp2016-2017 (3)'!$G$5:$G$289,'Comp2016-2017 (3)'!$A$5:$A$289,$D447,'Comp2016-2017 (3)'!$R$5:$R$289,$V447)*$AB447))</f>
        <v/>
      </c>
      <c r="AG447" s="2" t="str">
        <f>IF($W447=AG$3,$AB447,IF(NOT($W447=0),"",SUMIFS('Val-Vol (2)'!AG$4:AG$1116,'Val-Vol (2)'!$A$4:$A$1116,$D447,'Val-Vol (2)'!$V$4:$V$1116,$V447)/SUMIFS('Comp2016-2017 (3)'!$G$5:$G$289,'Comp2016-2017 (3)'!$A$5:$A$289,$D447,'Comp2016-2017 (3)'!$R$5:$R$289,$V447)*$AB447))</f>
        <v/>
      </c>
      <c r="AH447" s="2" t="str">
        <f>IF($W447=AH$3,$AB447,IF(NOT($W447=0),"",SUMIFS('Val-Vol (2)'!AH$4:AH$1116,'Val-Vol (2)'!$A$4:$A$1116,$D447,'Val-Vol (2)'!$V$4:$V$1116,$V447)/SUMIFS('Comp2016-2017 (3)'!$G$5:$G$289,'Comp2016-2017 (3)'!$A$5:$A$289,$D447,'Comp2016-2017 (3)'!$R$5:$R$289,$V447)*$AB447))</f>
        <v/>
      </c>
      <c r="AI447" s="2">
        <f>IF($W447=AI$3,$AB447,IF(NOT($W447=0),"",SUMIFS('Val-Vol (2)'!AI$4:AI$1116,'Val-Vol (2)'!$A$4:$A$1116,$D447,'Val-Vol (2)'!$V$4:$V$1116,$V447)/SUMIFS('Comp2016-2017 (3)'!$G$5:$G$289,'Comp2016-2017 (3)'!$A$5:$A$289,$D447,'Comp2016-2017 (3)'!$R$5:$R$289,$V447)*$AB447))</f>
        <v>14046.511237502002</v>
      </c>
      <c r="AJ447" s="2" t="str">
        <f>IF($W447=AJ$3,$AB447,IF(NOT($W447=0),"",SUMIFS('Val-Vol (2)'!AJ$4:AJ$1116,'Val-Vol (2)'!$A$4:$A$1116,$D447,'Val-Vol (2)'!$V$4:$V$1116,$V447)/SUMIFS('Comp2016-2017 (3)'!$G$5:$G$289,'Comp2016-2017 (3)'!$A$5:$A$289,$D447,'Comp2016-2017 (3)'!$R$5:$R$289,$V447)*$AB447))</f>
        <v/>
      </c>
      <c r="AK447" s="2">
        <f t="shared" si="54"/>
        <v>0</v>
      </c>
      <c r="AL447" t="str">
        <f t="shared" si="49"/>
        <v/>
      </c>
      <c r="AM447" t="str">
        <f>VLOOKUP(A447,'Table corresp.'!$M$4:$U$63,8,FALSE)</f>
        <v>Production intermédiaire</v>
      </c>
      <c r="AN447" t="str">
        <f>VLOOKUP(D447,'Table corresp.'!$M$4:$U$63,9,FALSE)</f>
        <v>Production finale</v>
      </c>
    </row>
    <row r="448" spans="1:40" x14ac:dyDescent="0.25">
      <c r="A448" t="s">
        <v>4</v>
      </c>
      <c r="B448" t="str">
        <f>VLOOKUP(LEFT(A448,3),'Table corresp.'!$A$4:$D$63,3,FALSE)</f>
        <v>Transformation</v>
      </c>
      <c r="C448" t="str">
        <f>VLOOKUP(A448,'Table corresp.'!$M$4:$P$63,4,FALSE)</f>
        <v>Production et transformation de produits bois</v>
      </c>
      <c r="D448" t="s">
        <v>19</v>
      </c>
      <c r="E448" t="str">
        <f>VLOOKUP(LEFT(D448,3),'Table corresp.'!$A$4:$D$63,4,FALSE)</f>
        <v>Transformation</v>
      </c>
      <c r="F448" t="str">
        <f t="shared" si="48"/>
        <v xml:space="preserve">08  - 52 </v>
      </c>
      <c r="G448" s="3">
        <v>30496.734793446711</v>
      </c>
      <c r="H448" s="3">
        <v>0</v>
      </c>
      <c r="I448" s="3">
        <v>30496.73530257096</v>
      </c>
      <c r="J448" s="3">
        <v>175.07792011723302</v>
      </c>
      <c r="K448" s="3">
        <v>0</v>
      </c>
      <c r="L448" s="3">
        <v>175.07792011723302</v>
      </c>
      <c r="M448" s="3">
        <v>0</v>
      </c>
      <c r="N448" s="3">
        <v>0</v>
      </c>
      <c r="O448" s="3">
        <v>0</v>
      </c>
      <c r="P448" s="3">
        <v>0</v>
      </c>
      <c r="Q448" s="3">
        <v>0</v>
      </c>
      <c r="R448" s="3">
        <v>0</v>
      </c>
      <c r="S448" s="67"/>
      <c r="T448">
        <f>VLOOKUP(A448,'Groupe de branches'!$Z$27:$AM$86,14,FALSE)</f>
        <v>0</v>
      </c>
      <c r="U448">
        <f>VLOOKUP(D448,'Groupe de branches'!$Z$27:$AM$86,14,FALSE)</f>
        <v>0</v>
      </c>
      <c r="V448">
        <v>2017</v>
      </c>
      <c r="W448" t="str">
        <f>VLOOKUP(D448,'Table corresp.'!$M$4:$S$63,7,FALSE)</f>
        <v>Construction</v>
      </c>
      <c r="X448" s="167">
        <f>IFERROR(G448/SUMIFS('Comp2016-2017 (3)'!$I$5:$I$289,'Comp2016-2017 (3)'!$A$5:$A$289,A448,'Comp2016-2017 (3)'!$R$5:$R$289,V448),0)</f>
        <v>6.3025832482709876E-2</v>
      </c>
      <c r="Y448" s="190">
        <f>IFERROR(IF(RIGHT(F448,3)="Exp",VLOOKUP(F448,#REF!,2,FALSE),VLOOKUP(F448,#REF!,9,FALSE)),1)</f>
        <v>1</v>
      </c>
      <c r="Z448" s="167">
        <f t="shared" si="53"/>
        <v>7.1428571428571425E-2</v>
      </c>
      <c r="AA448" s="189">
        <f t="shared" si="50"/>
        <v>4.5018451773364198E-3</v>
      </c>
      <c r="AB448" s="2">
        <f>IFERROR(SUMIFS('Comp2016-2017 (3)'!$G$5:$G$289,'Comp2016-2017 (3)'!$A$5:$A$289,A448,'Comp2016-2017 (3)'!$R$5:$R$289,V448)*AA448/SUMIFS($AA$4:$AA$1116,$A$4:$A$1116,A448,$V$4:$V$1116,V448),0)</f>
        <v>8050.0681811242339</v>
      </c>
      <c r="AC448" s="2" t="str">
        <f>IF($W448=AC$3,$AB448,IF(NOT($W448=0),"",SUMIFS('Val-Vol (2)'!AC$4:AC$1116,'Val-Vol (2)'!$A$4:$A$1116,$D448,'Val-Vol (2)'!$V$4:$V$1116,$V448)/SUMIFS('Comp2016-2017 (3)'!$G$5:$G$289,'Comp2016-2017 (3)'!$A$5:$A$289,$D448,'Comp2016-2017 (3)'!$R$5:$R$289,$V448)*$AB448))</f>
        <v/>
      </c>
      <c r="AD448" s="2">
        <f>IF($W448=AD$3,$AB448,IF(NOT($W448=0),"",SUMIFS('Val-Vol (2)'!AD$4:AD$1116,'Val-Vol (2)'!$A$4:$A$1116,$D448,'Val-Vol (2)'!$V$4:$V$1116,$V448)/SUMIFS('Comp2016-2017 (3)'!$G$5:$G$289,'Comp2016-2017 (3)'!$A$5:$A$289,$D448,'Comp2016-2017 (3)'!$R$5:$R$289,$V448)*$AB448))</f>
        <v>8050.0681811242339</v>
      </c>
      <c r="AE448" s="2" t="str">
        <f>IF($W448=AE$3,$AB448,IF(NOT($W448=0),"",SUMIFS('Val-Vol (2)'!AE$4:AE$1116,'Val-Vol (2)'!$A$4:$A$1116,$D448,'Val-Vol (2)'!$V$4:$V$1116,$V448)/SUMIFS('Comp2016-2017 (3)'!$G$5:$G$289,'Comp2016-2017 (3)'!$A$5:$A$289,$D448,'Comp2016-2017 (3)'!$R$5:$R$289,$V448)*$AB448))</f>
        <v/>
      </c>
      <c r="AF448" s="2" t="str">
        <f>IF($W448=AF$3,$AB448,IF(NOT($W448=0),"",SUMIFS('Val-Vol (2)'!AF$4:AF$1116,'Val-Vol (2)'!$A$4:$A$1116,$D448,'Val-Vol (2)'!$V$4:$V$1116,$V448)/SUMIFS('Comp2016-2017 (3)'!$G$5:$G$289,'Comp2016-2017 (3)'!$A$5:$A$289,$D448,'Comp2016-2017 (3)'!$R$5:$R$289,$V448)*$AB448))</f>
        <v/>
      </c>
      <c r="AG448" s="2" t="str">
        <f>IF($W448=AG$3,$AB448,IF(NOT($W448=0),"",SUMIFS('Val-Vol (2)'!AG$4:AG$1116,'Val-Vol (2)'!$A$4:$A$1116,$D448,'Val-Vol (2)'!$V$4:$V$1116,$V448)/SUMIFS('Comp2016-2017 (3)'!$G$5:$G$289,'Comp2016-2017 (3)'!$A$5:$A$289,$D448,'Comp2016-2017 (3)'!$R$5:$R$289,$V448)*$AB448))</f>
        <v/>
      </c>
      <c r="AH448" s="2" t="str">
        <f>IF($W448=AH$3,$AB448,IF(NOT($W448=0),"",SUMIFS('Val-Vol (2)'!AH$4:AH$1116,'Val-Vol (2)'!$A$4:$A$1116,$D448,'Val-Vol (2)'!$V$4:$V$1116,$V448)/SUMIFS('Comp2016-2017 (3)'!$G$5:$G$289,'Comp2016-2017 (3)'!$A$5:$A$289,$D448,'Comp2016-2017 (3)'!$R$5:$R$289,$V448)*$AB448))</f>
        <v/>
      </c>
      <c r="AI448" s="2" t="str">
        <f>IF($W448=AI$3,$AB448,IF(NOT($W448=0),"",SUMIFS('Val-Vol (2)'!AI$4:AI$1116,'Val-Vol (2)'!$A$4:$A$1116,$D448,'Val-Vol (2)'!$V$4:$V$1116,$V448)/SUMIFS('Comp2016-2017 (3)'!$G$5:$G$289,'Comp2016-2017 (3)'!$A$5:$A$289,$D448,'Comp2016-2017 (3)'!$R$5:$R$289,$V448)*$AB448))</f>
        <v/>
      </c>
      <c r="AJ448" s="2" t="str">
        <f>IF($W448=AJ$3,$AB448,IF(NOT($W448=0),"",SUMIFS('Val-Vol (2)'!AJ$4:AJ$1116,'Val-Vol (2)'!$A$4:$A$1116,$D448,'Val-Vol (2)'!$V$4:$V$1116,$V448)/SUMIFS('Comp2016-2017 (3)'!$G$5:$G$289,'Comp2016-2017 (3)'!$A$5:$A$289,$D448,'Comp2016-2017 (3)'!$R$5:$R$289,$V448)*$AB448))</f>
        <v/>
      </c>
      <c r="AK448" s="2">
        <f t="shared" si="54"/>
        <v>0</v>
      </c>
      <c r="AL448" t="str">
        <f t="shared" si="49"/>
        <v/>
      </c>
      <c r="AM448" t="str">
        <f>VLOOKUP(A448,'Table corresp.'!$M$4:$U$63,8,FALSE)</f>
        <v>Production intermédiaire</v>
      </c>
      <c r="AN448" t="str">
        <f>VLOOKUP(D448,'Table corresp.'!$M$4:$U$63,9,FALSE)</f>
        <v xml:space="preserve">Mise en œuvre </v>
      </c>
    </row>
    <row r="449" spans="1:40" x14ac:dyDescent="0.25">
      <c r="A449" t="s">
        <v>4</v>
      </c>
      <c r="B449" t="str">
        <f>VLOOKUP(LEFT(A449,3),'Table corresp.'!$A$4:$D$63,3,FALSE)</f>
        <v>Transformation</v>
      </c>
      <c r="C449" t="str">
        <f>VLOOKUP(A449,'Table corresp.'!$M$4:$P$63,4,FALSE)</f>
        <v>Production et transformation de produits bois</v>
      </c>
      <c r="D449" t="s">
        <v>21</v>
      </c>
      <c r="E449" t="str">
        <f>VLOOKUP(LEFT(D449,3),'Table corresp.'!$A$4:$D$63,4,FALSE)</f>
        <v>Transformation</v>
      </c>
      <c r="F449" t="str">
        <f t="shared" si="48"/>
        <v xml:space="preserve">08  - 54 </v>
      </c>
      <c r="G449" s="3">
        <v>36425.991127919049</v>
      </c>
      <c r="H449" s="3">
        <v>0</v>
      </c>
      <c r="I449" s="3">
        <v>36425.991736028591</v>
      </c>
      <c r="J449" s="3">
        <v>88.049278001018266</v>
      </c>
      <c r="K449" s="3">
        <v>0</v>
      </c>
      <c r="L449" s="3">
        <v>88.049278001018266</v>
      </c>
      <c r="M449" s="3">
        <v>0</v>
      </c>
      <c r="N449" s="3">
        <v>0</v>
      </c>
      <c r="O449" s="3">
        <v>0</v>
      </c>
      <c r="P449" s="3">
        <v>0</v>
      </c>
      <c r="Q449" s="3">
        <v>0</v>
      </c>
      <c r="R449" s="3">
        <v>0</v>
      </c>
      <c r="S449" s="67"/>
      <c r="T449">
        <f>VLOOKUP(A449,'Groupe de branches'!$Z$27:$AM$86,14,FALSE)</f>
        <v>0</v>
      </c>
      <c r="U449">
        <f>VLOOKUP(D449,'Groupe de branches'!$Z$27:$AM$86,14,FALSE)</f>
        <v>0</v>
      </c>
      <c r="V449">
        <v>2017</v>
      </c>
      <c r="W449" t="str">
        <f>VLOOKUP(D449,'Table corresp.'!$M$4:$S$63,7,FALSE)</f>
        <v>Construction</v>
      </c>
      <c r="X449" s="167">
        <f>IFERROR(G449/SUMIFS('Comp2016-2017 (3)'!$I$5:$I$289,'Comp2016-2017 (3)'!$A$5:$A$289,A449,'Comp2016-2017 (3)'!$R$5:$R$289,V449),0)</f>
        <v>7.5279482554251362E-2</v>
      </c>
      <c r="Y449" s="190">
        <f>IFERROR(IF(RIGHT(F449,3)="Exp",VLOOKUP(F449,#REF!,2,FALSE),VLOOKUP(F449,#REF!,9,FALSE)),1)</f>
        <v>1</v>
      </c>
      <c r="Z449" s="167">
        <f t="shared" si="53"/>
        <v>7.1428571428571425E-2</v>
      </c>
      <c r="AA449" s="189">
        <f t="shared" si="50"/>
        <v>5.3771058967322398E-3</v>
      </c>
      <c r="AB449" s="2">
        <f>IFERROR(SUMIFS('Comp2016-2017 (3)'!$G$5:$G$289,'Comp2016-2017 (3)'!$A$5:$A$289,A449,'Comp2016-2017 (3)'!$R$5:$R$289,V449)*AA449/SUMIFS($AA$4:$AA$1116,$A$4:$A$1116,A449,$V$4:$V$1116,V449),0)</f>
        <v>9615.1838592171443</v>
      </c>
      <c r="AC449" s="2" t="str">
        <f>IF($W449=AC$3,$AB449,IF(NOT($W449=0),"",SUMIFS('Val-Vol (2)'!AC$4:AC$1116,'Val-Vol (2)'!$A$4:$A$1116,$D449,'Val-Vol (2)'!$V$4:$V$1116,$V449)/SUMIFS('Comp2016-2017 (3)'!$G$5:$G$289,'Comp2016-2017 (3)'!$A$5:$A$289,$D449,'Comp2016-2017 (3)'!$R$5:$R$289,$V449)*$AB449))</f>
        <v/>
      </c>
      <c r="AD449" s="2">
        <f>IF($W449=AD$3,$AB449,IF(NOT($W449=0),"",SUMIFS('Val-Vol (2)'!AD$4:AD$1116,'Val-Vol (2)'!$A$4:$A$1116,$D449,'Val-Vol (2)'!$V$4:$V$1116,$V449)/SUMIFS('Comp2016-2017 (3)'!$G$5:$G$289,'Comp2016-2017 (3)'!$A$5:$A$289,$D449,'Comp2016-2017 (3)'!$R$5:$R$289,$V449)*$AB449))</f>
        <v>9615.1838592171443</v>
      </c>
      <c r="AE449" s="2" t="str">
        <f>IF($W449=AE$3,$AB449,IF(NOT($W449=0),"",SUMIFS('Val-Vol (2)'!AE$4:AE$1116,'Val-Vol (2)'!$A$4:$A$1116,$D449,'Val-Vol (2)'!$V$4:$V$1116,$V449)/SUMIFS('Comp2016-2017 (3)'!$G$5:$G$289,'Comp2016-2017 (3)'!$A$5:$A$289,$D449,'Comp2016-2017 (3)'!$R$5:$R$289,$V449)*$AB449))</f>
        <v/>
      </c>
      <c r="AF449" s="2" t="str">
        <f>IF($W449=AF$3,$AB449,IF(NOT($W449=0),"",SUMIFS('Val-Vol (2)'!AF$4:AF$1116,'Val-Vol (2)'!$A$4:$A$1116,$D449,'Val-Vol (2)'!$V$4:$V$1116,$V449)/SUMIFS('Comp2016-2017 (3)'!$G$5:$G$289,'Comp2016-2017 (3)'!$A$5:$A$289,$D449,'Comp2016-2017 (3)'!$R$5:$R$289,$V449)*$AB449))</f>
        <v/>
      </c>
      <c r="AG449" s="2" t="str">
        <f>IF($W449=AG$3,$AB449,IF(NOT($W449=0),"",SUMIFS('Val-Vol (2)'!AG$4:AG$1116,'Val-Vol (2)'!$A$4:$A$1116,$D449,'Val-Vol (2)'!$V$4:$V$1116,$V449)/SUMIFS('Comp2016-2017 (3)'!$G$5:$G$289,'Comp2016-2017 (3)'!$A$5:$A$289,$D449,'Comp2016-2017 (3)'!$R$5:$R$289,$V449)*$AB449))</f>
        <v/>
      </c>
      <c r="AH449" s="2" t="str">
        <f>IF($W449=AH$3,$AB449,IF(NOT($W449=0),"",SUMIFS('Val-Vol (2)'!AH$4:AH$1116,'Val-Vol (2)'!$A$4:$A$1116,$D449,'Val-Vol (2)'!$V$4:$V$1116,$V449)/SUMIFS('Comp2016-2017 (3)'!$G$5:$G$289,'Comp2016-2017 (3)'!$A$5:$A$289,$D449,'Comp2016-2017 (3)'!$R$5:$R$289,$V449)*$AB449))</f>
        <v/>
      </c>
      <c r="AI449" s="2" t="str">
        <f>IF($W449=AI$3,$AB449,IF(NOT($W449=0),"",SUMIFS('Val-Vol (2)'!AI$4:AI$1116,'Val-Vol (2)'!$A$4:$A$1116,$D449,'Val-Vol (2)'!$V$4:$V$1116,$V449)/SUMIFS('Comp2016-2017 (3)'!$G$5:$G$289,'Comp2016-2017 (3)'!$A$5:$A$289,$D449,'Comp2016-2017 (3)'!$R$5:$R$289,$V449)*$AB449))</f>
        <v/>
      </c>
      <c r="AJ449" s="2" t="str">
        <f>IF($W449=AJ$3,$AB449,IF(NOT($W449=0),"",SUMIFS('Val-Vol (2)'!AJ$4:AJ$1116,'Val-Vol (2)'!$A$4:$A$1116,$D449,'Val-Vol (2)'!$V$4:$V$1116,$V449)/SUMIFS('Comp2016-2017 (3)'!$G$5:$G$289,'Comp2016-2017 (3)'!$A$5:$A$289,$D449,'Comp2016-2017 (3)'!$R$5:$R$289,$V449)*$AB449))</f>
        <v/>
      </c>
      <c r="AK449" s="2">
        <f t="shared" si="54"/>
        <v>0</v>
      </c>
      <c r="AL449" t="str">
        <f t="shared" si="49"/>
        <v/>
      </c>
      <c r="AM449" t="str">
        <f>VLOOKUP(A449,'Table corresp.'!$M$4:$U$63,8,FALSE)</f>
        <v>Production intermédiaire</v>
      </c>
      <c r="AN449" t="str">
        <f>VLOOKUP(D449,'Table corresp.'!$M$4:$U$63,9,FALSE)</f>
        <v xml:space="preserve">Mise en œuvre </v>
      </c>
    </row>
    <row r="450" spans="1:40" x14ac:dyDescent="0.25">
      <c r="A450" t="s">
        <v>4</v>
      </c>
      <c r="B450" t="str">
        <f>VLOOKUP(LEFT(A450,3),'Table corresp.'!$A$4:$D$63,3,FALSE)</f>
        <v>Transformation</v>
      </c>
      <c r="C450" t="str">
        <f>VLOOKUP(A450,'Table corresp.'!$M$4:$P$63,4,FALSE)</f>
        <v>Production et transformation de produits bois</v>
      </c>
      <c r="D450" t="s">
        <v>22</v>
      </c>
      <c r="E450" t="str">
        <f>VLOOKUP(LEFT(D450,3),'Table corresp.'!$A$4:$D$63,4,FALSE)</f>
        <v>Transformation</v>
      </c>
      <c r="F450" t="str">
        <f t="shared" si="48"/>
        <v xml:space="preserve">08  - 55 </v>
      </c>
      <c r="G450" s="3">
        <v>3625.1413119724725</v>
      </c>
      <c r="H450" s="3">
        <v>0</v>
      </c>
      <c r="I450" s="3">
        <v>3625.1413724919789</v>
      </c>
      <c r="J450" s="3">
        <v>8.7627286255553187</v>
      </c>
      <c r="K450" s="3">
        <v>0</v>
      </c>
      <c r="L450" s="3">
        <v>8.7627286255553187</v>
      </c>
      <c r="M450" s="3">
        <v>0</v>
      </c>
      <c r="N450" s="3">
        <v>0</v>
      </c>
      <c r="O450" s="3">
        <v>0</v>
      </c>
      <c r="P450" s="3">
        <v>0</v>
      </c>
      <c r="Q450" s="3">
        <v>0</v>
      </c>
      <c r="R450" s="3">
        <v>0</v>
      </c>
      <c r="S450" s="67"/>
      <c r="T450">
        <f>VLOOKUP(A450,'Groupe de branches'!$Z$27:$AM$86,14,FALSE)</f>
        <v>0</v>
      </c>
      <c r="U450">
        <f>VLOOKUP(D450,'Groupe de branches'!$Z$27:$AM$86,14,FALSE)</f>
        <v>0</v>
      </c>
      <c r="V450">
        <v>2017</v>
      </c>
      <c r="W450" t="str">
        <f>VLOOKUP(D450,'Table corresp.'!$M$4:$S$63,7,FALSE)</f>
        <v>Construction</v>
      </c>
      <c r="X450" s="167">
        <f>IFERROR(G450/SUMIFS('Comp2016-2017 (3)'!$I$5:$I$289,'Comp2016-2017 (3)'!$A$5:$A$289,A450,'Comp2016-2017 (3)'!$R$5:$R$289,V450),0)</f>
        <v>7.4918692313127424E-3</v>
      </c>
      <c r="Y450" s="190">
        <f>IFERROR(IF(RIGHT(F450,3)="Exp",VLOOKUP(F450,#REF!,2,FALSE),VLOOKUP(F450,#REF!,9,FALSE)),1)</f>
        <v>1</v>
      </c>
      <c r="Z450" s="167">
        <f t="shared" si="53"/>
        <v>7.1428571428571425E-2</v>
      </c>
      <c r="AA450" s="189">
        <f t="shared" si="50"/>
        <v>5.3513351652233871E-4</v>
      </c>
      <c r="AB450" s="2">
        <f>IFERROR(SUMIFS('Comp2016-2017 (3)'!$G$5:$G$289,'Comp2016-2017 (3)'!$A$5:$A$289,A450,'Comp2016-2017 (3)'!$R$5:$R$289,V450)*AA450/SUMIFS($AA$4:$AA$1116,$A$4:$A$1116,A450,$V$4:$V$1116,V450),0)</f>
        <v>956.91013891295222</v>
      </c>
      <c r="AC450" s="2" t="str">
        <f>IF($W450=AC$3,$AB450,IF(NOT($W450=0),"",SUMIFS('Val-Vol (2)'!AC$4:AC$1116,'Val-Vol (2)'!$A$4:$A$1116,$D450,'Val-Vol (2)'!$V$4:$V$1116,$V450)/SUMIFS('Comp2016-2017 (3)'!$G$5:$G$289,'Comp2016-2017 (3)'!$A$5:$A$289,$D450,'Comp2016-2017 (3)'!$R$5:$R$289,$V450)*$AB450))</f>
        <v/>
      </c>
      <c r="AD450" s="2">
        <f>IF($W450=AD$3,$AB450,IF(NOT($W450=0),"",SUMIFS('Val-Vol (2)'!AD$4:AD$1116,'Val-Vol (2)'!$A$4:$A$1116,$D450,'Val-Vol (2)'!$V$4:$V$1116,$V450)/SUMIFS('Comp2016-2017 (3)'!$G$5:$G$289,'Comp2016-2017 (3)'!$A$5:$A$289,$D450,'Comp2016-2017 (3)'!$R$5:$R$289,$V450)*$AB450))</f>
        <v>956.91013891295222</v>
      </c>
      <c r="AE450" s="2" t="str">
        <f>IF($W450=AE$3,$AB450,IF(NOT($W450=0),"",SUMIFS('Val-Vol (2)'!AE$4:AE$1116,'Val-Vol (2)'!$A$4:$A$1116,$D450,'Val-Vol (2)'!$V$4:$V$1116,$V450)/SUMIFS('Comp2016-2017 (3)'!$G$5:$G$289,'Comp2016-2017 (3)'!$A$5:$A$289,$D450,'Comp2016-2017 (3)'!$R$5:$R$289,$V450)*$AB450))</f>
        <v/>
      </c>
      <c r="AF450" s="2" t="str">
        <f>IF($W450=AF$3,$AB450,IF(NOT($W450=0),"",SUMIFS('Val-Vol (2)'!AF$4:AF$1116,'Val-Vol (2)'!$A$4:$A$1116,$D450,'Val-Vol (2)'!$V$4:$V$1116,$V450)/SUMIFS('Comp2016-2017 (3)'!$G$5:$G$289,'Comp2016-2017 (3)'!$A$5:$A$289,$D450,'Comp2016-2017 (3)'!$R$5:$R$289,$V450)*$AB450))</f>
        <v/>
      </c>
      <c r="AG450" s="2" t="str">
        <f>IF($W450=AG$3,$AB450,IF(NOT($W450=0),"",SUMIFS('Val-Vol (2)'!AG$4:AG$1116,'Val-Vol (2)'!$A$4:$A$1116,$D450,'Val-Vol (2)'!$V$4:$V$1116,$V450)/SUMIFS('Comp2016-2017 (3)'!$G$5:$G$289,'Comp2016-2017 (3)'!$A$5:$A$289,$D450,'Comp2016-2017 (3)'!$R$5:$R$289,$V450)*$AB450))</f>
        <v/>
      </c>
      <c r="AH450" s="2" t="str">
        <f>IF($W450=AH$3,$AB450,IF(NOT($W450=0),"",SUMIFS('Val-Vol (2)'!AH$4:AH$1116,'Val-Vol (2)'!$A$4:$A$1116,$D450,'Val-Vol (2)'!$V$4:$V$1116,$V450)/SUMIFS('Comp2016-2017 (3)'!$G$5:$G$289,'Comp2016-2017 (3)'!$A$5:$A$289,$D450,'Comp2016-2017 (3)'!$R$5:$R$289,$V450)*$AB450))</f>
        <v/>
      </c>
      <c r="AI450" s="2" t="str">
        <f>IF($W450=AI$3,$AB450,IF(NOT($W450=0),"",SUMIFS('Val-Vol (2)'!AI$4:AI$1116,'Val-Vol (2)'!$A$4:$A$1116,$D450,'Val-Vol (2)'!$V$4:$V$1116,$V450)/SUMIFS('Comp2016-2017 (3)'!$G$5:$G$289,'Comp2016-2017 (3)'!$A$5:$A$289,$D450,'Comp2016-2017 (3)'!$R$5:$R$289,$V450)*$AB450))</f>
        <v/>
      </c>
      <c r="AJ450" s="2" t="str">
        <f>IF($W450=AJ$3,$AB450,IF(NOT($W450=0),"",SUMIFS('Val-Vol (2)'!AJ$4:AJ$1116,'Val-Vol (2)'!$A$4:$A$1116,$D450,'Val-Vol (2)'!$V$4:$V$1116,$V450)/SUMIFS('Comp2016-2017 (3)'!$G$5:$G$289,'Comp2016-2017 (3)'!$A$5:$A$289,$D450,'Comp2016-2017 (3)'!$R$5:$R$289,$V450)*$AB450))</f>
        <v/>
      </c>
      <c r="AK450" s="2">
        <f t="shared" si="54"/>
        <v>0</v>
      </c>
      <c r="AL450" t="str">
        <f t="shared" si="49"/>
        <v/>
      </c>
      <c r="AM450" t="str">
        <f>VLOOKUP(A450,'Table corresp.'!$M$4:$U$63,8,FALSE)</f>
        <v>Production intermédiaire</v>
      </c>
      <c r="AN450" t="str">
        <f>VLOOKUP(D450,'Table corresp.'!$M$4:$U$63,9,FALSE)</f>
        <v xml:space="preserve">Mise en œuvre </v>
      </c>
    </row>
    <row r="451" spans="1:40" x14ac:dyDescent="0.25">
      <c r="A451" t="s">
        <v>4</v>
      </c>
      <c r="B451" t="str">
        <f>VLOOKUP(LEFT(A451,3),'Table corresp.'!$A$4:$D$63,3,FALSE)</f>
        <v>Transformation</v>
      </c>
      <c r="C451" t="str">
        <f>VLOOKUP(A451,'Table corresp.'!$M$4:$P$63,4,FALSE)</f>
        <v>Production et transformation de produits bois</v>
      </c>
      <c r="D451" t="s">
        <v>24</v>
      </c>
      <c r="E451" t="str">
        <f>VLOOKUP(LEFT(D451,3),'Table corresp.'!$A$4:$D$63,4,FALSE)</f>
        <v>Transformation</v>
      </c>
      <c r="F451" t="str">
        <f t="shared" si="48"/>
        <v xml:space="preserve">08  - 57 </v>
      </c>
      <c r="G451" s="3">
        <v>11725.90789437202</v>
      </c>
      <c r="H451" s="3">
        <v>0</v>
      </c>
      <c r="I451" s="3">
        <v>11725.908090128847</v>
      </c>
      <c r="J451" s="3">
        <v>76.933671922113689</v>
      </c>
      <c r="K451" s="3">
        <v>0</v>
      </c>
      <c r="L451" s="3">
        <v>76.933671922113689</v>
      </c>
      <c r="M451" s="3">
        <v>0</v>
      </c>
      <c r="N451" s="3">
        <v>0</v>
      </c>
      <c r="O451" s="3">
        <v>0</v>
      </c>
      <c r="P451" s="3">
        <v>0</v>
      </c>
      <c r="Q451" s="3">
        <v>0</v>
      </c>
      <c r="R451" s="3">
        <v>0</v>
      </c>
      <c r="S451" s="67"/>
      <c r="T451">
        <f>VLOOKUP(A451,'Groupe de branches'!$Z$27:$AM$86,14,FALSE)</f>
        <v>0</v>
      </c>
      <c r="U451">
        <f>VLOOKUP(D451,'Groupe de branches'!$Z$27:$AM$86,14,FALSE)</f>
        <v>0</v>
      </c>
      <c r="V451">
        <v>2017</v>
      </c>
      <c r="W451" t="str">
        <f>VLOOKUP(D451,'Table corresp.'!$M$4:$S$63,7,FALSE)</f>
        <v>Construction</v>
      </c>
      <c r="X451" s="167">
        <f>IFERROR(G451/SUMIFS('Comp2016-2017 (3)'!$I$5:$I$289,'Comp2016-2017 (3)'!$A$5:$A$289,A451,'Comp2016-2017 (3)'!$R$5:$R$289,V451),0)</f>
        <v>2.4233253548743314E-2</v>
      </c>
      <c r="Y451" s="190">
        <f>IFERROR(IF(RIGHT(F451,3)="Exp",VLOOKUP(F451,#REF!,2,FALSE),VLOOKUP(F451,#REF!,9,FALSE)),1)</f>
        <v>1</v>
      </c>
      <c r="Z451" s="167">
        <f t="shared" si="53"/>
        <v>7.1428571428571425E-2</v>
      </c>
      <c r="AA451" s="189">
        <f t="shared" si="50"/>
        <v>1.7309466820530938E-3</v>
      </c>
      <c r="AB451" s="2">
        <f>IFERROR(SUMIFS('Comp2016-2017 (3)'!$G$5:$G$289,'Comp2016-2017 (3)'!$A$5:$A$289,A451,'Comp2016-2017 (3)'!$R$5:$R$289,V451)*AA451/SUMIFS($AA$4:$AA$1116,$A$4:$A$1116,A451,$V$4:$V$1116,V451),0)</f>
        <v>3095.2283473823422</v>
      </c>
      <c r="AC451" s="2" t="str">
        <f>IF($W451=AC$3,$AB451,IF(NOT($W451=0),"",SUMIFS('Val-Vol (2)'!AC$4:AC$1116,'Val-Vol (2)'!$A$4:$A$1116,$D451,'Val-Vol (2)'!$V$4:$V$1116,$V451)/SUMIFS('Comp2016-2017 (3)'!$G$5:$G$289,'Comp2016-2017 (3)'!$A$5:$A$289,$D451,'Comp2016-2017 (3)'!$R$5:$R$289,$V451)*$AB451))</f>
        <v/>
      </c>
      <c r="AD451" s="2">
        <f>IF($W451=AD$3,$AB451,IF(NOT($W451=0),"",SUMIFS('Val-Vol (2)'!AD$4:AD$1116,'Val-Vol (2)'!$A$4:$A$1116,$D451,'Val-Vol (2)'!$V$4:$V$1116,$V451)/SUMIFS('Comp2016-2017 (3)'!$G$5:$G$289,'Comp2016-2017 (3)'!$A$5:$A$289,$D451,'Comp2016-2017 (3)'!$R$5:$R$289,$V451)*$AB451))</f>
        <v>3095.2283473823422</v>
      </c>
      <c r="AE451" s="2" t="str">
        <f>IF($W451=AE$3,$AB451,IF(NOT($W451=0),"",SUMIFS('Val-Vol (2)'!AE$4:AE$1116,'Val-Vol (2)'!$A$4:$A$1116,$D451,'Val-Vol (2)'!$V$4:$V$1116,$V451)/SUMIFS('Comp2016-2017 (3)'!$G$5:$G$289,'Comp2016-2017 (3)'!$A$5:$A$289,$D451,'Comp2016-2017 (3)'!$R$5:$R$289,$V451)*$AB451))</f>
        <v/>
      </c>
      <c r="AF451" s="2" t="str">
        <f>IF($W451=AF$3,$AB451,IF(NOT($W451=0),"",SUMIFS('Val-Vol (2)'!AF$4:AF$1116,'Val-Vol (2)'!$A$4:$A$1116,$D451,'Val-Vol (2)'!$V$4:$V$1116,$V451)/SUMIFS('Comp2016-2017 (3)'!$G$5:$G$289,'Comp2016-2017 (3)'!$A$5:$A$289,$D451,'Comp2016-2017 (3)'!$R$5:$R$289,$V451)*$AB451))</f>
        <v/>
      </c>
      <c r="AG451" s="2" t="str">
        <f>IF($W451=AG$3,$AB451,IF(NOT($W451=0),"",SUMIFS('Val-Vol (2)'!AG$4:AG$1116,'Val-Vol (2)'!$A$4:$A$1116,$D451,'Val-Vol (2)'!$V$4:$V$1116,$V451)/SUMIFS('Comp2016-2017 (3)'!$G$5:$G$289,'Comp2016-2017 (3)'!$A$5:$A$289,$D451,'Comp2016-2017 (3)'!$R$5:$R$289,$V451)*$AB451))</f>
        <v/>
      </c>
      <c r="AH451" s="2" t="str">
        <f>IF($W451=AH$3,$AB451,IF(NOT($W451=0),"",SUMIFS('Val-Vol (2)'!AH$4:AH$1116,'Val-Vol (2)'!$A$4:$A$1116,$D451,'Val-Vol (2)'!$V$4:$V$1116,$V451)/SUMIFS('Comp2016-2017 (3)'!$G$5:$G$289,'Comp2016-2017 (3)'!$A$5:$A$289,$D451,'Comp2016-2017 (3)'!$R$5:$R$289,$V451)*$AB451))</f>
        <v/>
      </c>
      <c r="AI451" s="2" t="str">
        <f>IF($W451=AI$3,$AB451,IF(NOT($W451=0),"",SUMIFS('Val-Vol (2)'!AI$4:AI$1116,'Val-Vol (2)'!$A$4:$A$1116,$D451,'Val-Vol (2)'!$V$4:$V$1116,$V451)/SUMIFS('Comp2016-2017 (3)'!$G$5:$G$289,'Comp2016-2017 (3)'!$A$5:$A$289,$D451,'Comp2016-2017 (3)'!$R$5:$R$289,$V451)*$AB451))</f>
        <v/>
      </c>
      <c r="AJ451" s="2" t="str">
        <f>IF($W451=AJ$3,$AB451,IF(NOT($W451=0),"",SUMIFS('Val-Vol (2)'!AJ$4:AJ$1116,'Val-Vol (2)'!$A$4:$A$1116,$D451,'Val-Vol (2)'!$V$4:$V$1116,$V451)/SUMIFS('Comp2016-2017 (3)'!$G$5:$G$289,'Comp2016-2017 (3)'!$A$5:$A$289,$D451,'Comp2016-2017 (3)'!$R$5:$R$289,$V451)*$AB451))</f>
        <v/>
      </c>
      <c r="AK451" s="2">
        <f t="shared" si="54"/>
        <v>0</v>
      </c>
      <c r="AL451" t="str">
        <f t="shared" si="49"/>
        <v/>
      </c>
      <c r="AM451" t="str">
        <f>VLOOKUP(A451,'Table corresp.'!$M$4:$U$63,8,FALSE)</f>
        <v>Production intermédiaire</v>
      </c>
      <c r="AN451" t="str">
        <f>VLOOKUP(D451,'Table corresp.'!$M$4:$U$63,9,FALSE)</f>
        <v xml:space="preserve">Mise en œuvre </v>
      </c>
    </row>
    <row r="452" spans="1:40" x14ac:dyDescent="0.25">
      <c r="A452" t="s">
        <v>4</v>
      </c>
      <c r="B452" t="str">
        <f>VLOOKUP(LEFT(A452,3),'Table corresp.'!$A$4:$D$63,3,FALSE)</f>
        <v>Transformation</v>
      </c>
      <c r="C452" t="str">
        <f>VLOOKUP(A452,'Table corresp.'!$M$4:$P$63,4,FALSE)</f>
        <v>Production et transformation de produits bois</v>
      </c>
      <c r="D452" t="s">
        <v>54</v>
      </c>
      <c r="E452" t="str">
        <f>VLOOKUP(LEFT(D452,3),'Table corresp.'!$A$4:$D$63,4,FALSE)</f>
        <v>Consommation finale</v>
      </c>
      <c r="F452" t="str">
        <f t="shared" ref="F452:F515" si="55">LEFT(A452,3)&amp;" - "&amp;LEFT(D452,3)</f>
        <v>08  - Con</v>
      </c>
      <c r="G452" s="3">
        <v>85301.220886921757</v>
      </c>
      <c r="H452" s="3">
        <v>1419.1748304187736</v>
      </c>
      <c r="I452" s="3">
        <v>86720.397165084243</v>
      </c>
      <c r="J452" s="3">
        <v>242.63299068285264</v>
      </c>
      <c r="K452" s="3">
        <v>3.7753272482630802</v>
      </c>
      <c r="L452" s="3">
        <v>246.4083179311157</v>
      </c>
      <c r="M452" s="3">
        <v>0</v>
      </c>
      <c r="N452" s="3">
        <v>0</v>
      </c>
      <c r="O452" s="3">
        <v>0</v>
      </c>
      <c r="P452" s="3">
        <v>0</v>
      </c>
      <c r="Q452" s="3">
        <v>0</v>
      </c>
      <c r="R452" s="3">
        <v>0</v>
      </c>
      <c r="S452" s="67"/>
      <c r="T452">
        <f>VLOOKUP(A452,'Groupe de branches'!$Z$27:$AM$86,14,FALSE)</f>
        <v>0</v>
      </c>
      <c r="U452">
        <f>VLOOKUP(D452,'Groupe de branches'!$Z$27:$AM$86,14,FALSE)</f>
        <v>0</v>
      </c>
      <c r="V452">
        <v>2017</v>
      </c>
      <c r="W452" t="str">
        <f>VLOOKUP(D452,'Table corresp.'!$M$4:$S$63,7,FALSE)</f>
        <v>Consommation finale</v>
      </c>
      <c r="X452" s="167">
        <f>IFERROR(G452/SUMIFS('Comp2016-2017 (3)'!$I$5:$I$289,'Comp2016-2017 (3)'!$A$5:$A$289,A452,'Comp2016-2017 (3)'!$R$5:$R$289,V452),0)</f>
        <v>0.17628708432566439</v>
      </c>
      <c r="Y452" s="190">
        <f>IFERROR(IF(RIGHT(F452,3)="Exp",VLOOKUP(F452,#REF!,2,FALSE),VLOOKUP(F452,#REF!,9,FALSE)),1)</f>
        <v>1</v>
      </c>
      <c r="Z452" s="167">
        <f t="shared" si="53"/>
        <v>7.1428571428571425E-2</v>
      </c>
      <c r="AA452" s="189">
        <f t="shared" si="50"/>
        <v>1.2591934594690313E-2</v>
      </c>
      <c r="AB452" s="2">
        <f>IFERROR(SUMIFS('Comp2016-2017 (3)'!$G$5:$G$289,'Comp2016-2017 (3)'!$A$5:$A$289,A452,'Comp2016-2017 (3)'!$R$5:$R$289,V452)*AA452/SUMIFS($AA$4:$AA$1116,$A$4:$A$1116,A452,$V$4:$V$1116,V452),0)</f>
        <v>22516.530006366975</v>
      </c>
      <c r="AC452" s="2" t="str">
        <f>IF($W452=AC$3,$AB452,IF(NOT($W452=0),"",SUMIFS('Val-Vol (2)'!AC$4:AC$1116,'Val-Vol (2)'!$A$4:$A$1116,$D452,'Val-Vol (2)'!$V$4:$V$1116,$V452)/SUMIFS('Comp2016-2017 (3)'!$G$5:$G$289,'Comp2016-2017 (3)'!$A$5:$A$289,$D452,'Comp2016-2017 (3)'!$R$5:$R$289,$V452)*$AB452))</f>
        <v/>
      </c>
      <c r="AD452" s="2" t="str">
        <f>IF($W452=AD$3,$AB452,IF(NOT($W452=0),"",SUMIFS('Val-Vol (2)'!AD$4:AD$1116,'Val-Vol (2)'!$A$4:$A$1116,$D452,'Val-Vol (2)'!$V$4:$V$1116,$V452)/SUMIFS('Comp2016-2017 (3)'!$G$5:$G$289,'Comp2016-2017 (3)'!$A$5:$A$289,$D452,'Comp2016-2017 (3)'!$R$5:$R$289,$V452)*$AB452))</f>
        <v/>
      </c>
      <c r="AE452" s="2" t="str">
        <f>IF($W452=AE$3,$AB452,IF(NOT($W452=0),"",SUMIFS('Val-Vol (2)'!AE$4:AE$1116,'Val-Vol (2)'!$A$4:$A$1116,$D452,'Val-Vol (2)'!$V$4:$V$1116,$V452)/SUMIFS('Comp2016-2017 (3)'!$G$5:$G$289,'Comp2016-2017 (3)'!$A$5:$A$289,$D452,'Comp2016-2017 (3)'!$R$5:$R$289,$V452)*$AB452))</f>
        <v/>
      </c>
      <c r="AF452" s="2" t="str">
        <f>IF($W452=AF$3,$AB452,IF(NOT($W452=0),"",SUMIFS('Val-Vol (2)'!AF$4:AF$1116,'Val-Vol (2)'!$A$4:$A$1116,$D452,'Val-Vol (2)'!$V$4:$V$1116,$V452)/SUMIFS('Comp2016-2017 (3)'!$G$5:$G$289,'Comp2016-2017 (3)'!$A$5:$A$289,$D452,'Comp2016-2017 (3)'!$R$5:$R$289,$V452)*$AB452))</f>
        <v/>
      </c>
      <c r="AG452" s="2" t="str">
        <f>IF($W452=AG$3,$AB452,IF(NOT($W452=0),"",SUMIFS('Val-Vol (2)'!AG$4:AG$1116,'Val-Vol (2)'!$A$4:$A$1116,$D452,'Val-Vol (2)'!$V$4:$V$1116,$V452)/SUMIFS('Comp2016-2017 (3)'!$G$5:$G$289,'Comp2016-2017 (3)'!$A$5:$A$289,$D452,'Comp2016-2017 (3)'!$R$5:$R$289,$V452)*$AB452))</f>
        <v/>
      </c>
      <c r="AH452" s="2" t="str">
        <f>IF($W452=AH$3,$AB452,IF(NOT($W452=0),"",SUMIFS('Val-Vol (2)'!AH$4:AH$1116,'Val-Vol (2)'!$A$4:$A$1116,$D452,'Val-Vol (2)'!$V$4:$V$1116,$V452)/SUMIFS('Comp2016-2017 (3)'!$G$5:$G$289,'Comp2016-2017 (3)'!$A$5:$A$289,$D452,'Comp2016-2017 (3)'!$R$5:$R$289,$V452)*$AB452))</f>
        <v/>
      </c>
      <c r="AI452" s="2" t="str">
        <f>IF($W452=AI$3,$AB452,IF(NOT($W452=0),"",SUMIFS('Val-Vol (2)'!AI$4:AI$1116,'Val-Vol (2)'!$A$4:$A$1116,$D452,'Val-Vol (2)'!$V$4:$V$1116,$V452)/SUMIFS('Comp2016-2017 (3)'!$G$5:$G$289,'Comp2016-2017 (3)'!$A$5:$A$289,$D452,'Comp2016-2017 (3)'!$R$5:$R$289,$V452)*$AB452))</f>
        <v/>
      </c>
      <c r="AJ452" s="2">
        <f>IF($W452=AJ$3,$AB452,IF(NOT($W452=0),"",SUMIFS('Val-Vol (2)'!AJ$4:AJ$1116,'Val-Vol (2)'!$A$4:$A$1116,$D452,'Val-Vol (2)'!$V$4:$V$1116,$V452)/SUMIFS('Comp2016-2017 (3)'!$G$5:$G$289,'Comp2016-2017 (3)'!$A$5:$A$289,$D452,'Comp2016-2017 (3)'!$R$5:$R$289,$V452)*$AB452))</f>
        <v>22516.530006366975</v>
      </c>
      <c r="AK452" s="2">
        <f t="shared" si="54"/>
        <v>0</v>
      </c>
      <c r="AL452" t="str">
        <f t="shared" ref="AL452:AL515" si="56">IF(A452=D452,"remplir à la main","")</f>
        <v/>
      </c>
      <c r="AM452" t="str">
        <f>VLOOKUP(A452,'Table corresp.'!$M$4:$U$63,8,FALSE)</f>
        <v>Production intermédiaire</v>
      </c>
      <c r="AN452" t="str">
        <f>VLOOKUP(D452,'Table corresp.'!$M$4:$U$63,9,FALSE)</f>
        <v>Consommation finale française</v>
      </c>
    </row>
    <row r="453" spans="1:40" x14ac:dyDescent="0.25">
      <c r="A453" t="s">
        <v>4</v>
      </c>
      <c r="B453" t="str">
        <f>VLOOKUP(LEFT(A453,3),'Table corresp.'!$A$4:$D$63,3,FALSE)</f>
        <v>Transformation</v>
      </c>
      <c r="C453" t="str">
        <f>VLOOKUP(A453,'Table corresp.'!$M$4:$P$63,4,FALSE)</f>
        <v>Production et transformation de produits bois</v>
      </c>
      <c r="D453" t="s">
        <v>53</v>
      </c>
      <c r="E453" t="str">
        <f>VLOOKUP(LEFT(D453,3),'Table corresp.'!$A$4:$D$63,4,FALSE)</f>
        <v>Exportation</v>
      </c>
      <c r="F453" t="str">
        <f t="shared" si="55"/>
        <v>08  - Exp</v>
      </c>
      <c r="G453" s="3">
        <v>126611.69088629563</v>
      </c>
      <c r="H453" s="3">
        <v>0</v>
      </c>
      <c r="I453" s="3">
        <v>126611.693</v>
      </c>
      <c r="J453" s="3">
        <v>487.64507231071514</v>
      </c>
      <c r="K453" s="3">
        <v>0</v>
      </c>
      <c r="L453" s="3">
        <v>487.64507231071514</v>
      </c>
      <c r="M453" s="3">
        <v>0</v>
      </c>
      <c r="N453" s="3">
        <v>0</v>
      </c>
      <c r="O453" s="3">
        <v>0</v>
      </c>
      <c r="P453" s="3">
        <v>0</v>
      </c>
      <c r="Q453" s="3">
        <v>0</v>
      </c>
      <c r="R453" s="3">
        <v>0</v>
      </c>
      <c r="S453" s="67"/>
      <c r="T453">
        <f>VLOOKUP(A453,'Groupe de branches'!$Z$27:$AM$86,14,FALSE)</f>
        <v>0</v>
      </c>
      <c r="U453">
        <f>VLOOKUP(D453,'Groupe de branches'!$Z$27:$AM$86,14,FALSE)</f>
        <v>0</v>
      </c>
      <c r="V453">
        <v>2017</v>
      </c>
      <c r="W453" t="str">
        <f>VLOOKUP(D453,'Table corresp.'!$M$4:$S$63,7,FALSE)</f>
        <v>Exportation</v>
      </c>
      <c r="X453" s="167">
        <f>IFERROR(G453/SUMIFS('Comp2016-2017 (3)'!$I$5:$I$289,'Comp2016-2017 (3)'!$A$5:$A$289,A453,'Comp2016-2017 (3)'!$R$5:$R$289,V453),0)</f>
        <v>0.26166103598300805</v>
      </c>
      <c r="Y453" s="190">
        <f>IFERROR(IF(RIGHT(F453,3)="Exp",VLOOKUP(F453,#REF!,2,FALSE),VLOOKUP(F453,#REF!,9,FALSE)),1)</f>
        <v>1</v>
      </c>
      <c r="Z453" s="167">
        <f t="shared" si="53"/>
        <v>7.1428571428571425E-2</v>
      </c>
      <c r="AA453" s="189">
        <f t="shared" ref="AA453:AA516" si="57">X453*Z453</f>
        <v>1.8690073998786288E-2</v>
      </c>
      <c r="AB453" s="2">
        <f>IFERROR(SUMIFS('Comp2016-2017 (3)'!$G$5:$G$289,'Comp2016-2017 (3)'!$A$5:$A$289,A453,'Comp2016-2017 (3)'!$R$5:$R$289,V453)*AA453/SUMIFS($AA$4:$AA$1116,$A$4:$A$1116,A453,$V$4:$V$1116,V453),0)</f>
        <v>33421.044943510584</v>
      </c>
      <c r="AC453" s="2">
        <f>IF($W453=AC$3,$AB453,IF(NOT($W453=0),"",SUMIFS('Val-Vol (2)'!AC$4:AC$1116,'Val-Vol (2)'!$A$4:$A$1116,$D453,'Val-Vol (2)'!$V$4:$V$1116,$V453)/SUMIFS('Comp2016-2017 (3)'!$G$5:$G$289,'Comp2016-2017 (3)'!$A$5:$A$289,$D453,'Comp2016-2017 (3)'!$R$5:$R$289,$V453)*$AB453))</f>
        <v>33421.044943510584</v>
      </c>
      <c r="AD453" s="2" t="str">
        <f>IF($W453=AD$3,$AB453,IF(NOT($W453=0),"",SUMIFS('Val-Vol (2)'!AD$4:AD$1116,'Val-Vol (2)'!$A$4:$A$1116,$D453,'Val-Vol (2)'!$V$4:$V$1116,$V453)/SUMIFS('Comp2016-2017 (3)'!$G$5:$G$289,'Comp2016-2017 (3)'!$A$5:$A$289,$D453,'Comp2016-2017 (3)'!$R$5:$R$289,$V453)*$AB453))</f>
        <v/>
      </c>
      <c r="AE453" s="2" t="str">
        <f>IF($W453=AE$3,$AB453,IF(NOT($W453=0),"",SUMIFS('Val-Vol (2)'!AE$4:AE$1116,'Val-Vol (2)'!$A$4:$A$1116,$D453,'Val-Vol (2)'!$V$4:$V$1116,$V453)/SUMIFS('Comp2016-2017 (3)'!$G$5:$G$289,'Comp2016-2017 (3)'!$A$5:$A$289,$D453,'Comp2016-2017 (3)'!$R$5:$R$289,$V453)*$AB453))</f>
        <v/>
      </c>
      <c r="AF453" s="2" t="str">
        <f>IF($W453=AF$3,$AB453,IF(NOT($W453=0),"",SUMIFS('Val-Vol (2)'!AF$4:AF$1116,'Val-Vol (2)'!$A$4:$A$1116,$D453,'Val-Vol (2)'!$V$4:$V$1116,$V453)/SUMIFS('Comp2016-2017 (3)'!$G$5:$G$289,'Comp2016-2017 (3)'!$A$5:$A$289,$D453,'Comp2016-2017 (3)'!$R$5:$R$289,$V453)*$AB453))</f>
        <v/>
      </c>
      <c r="AG453" s="2" t="str">
        <f>IF($W453=AG$3,$AB453,IF(NOT($W453=0),"",SUMIFS('Val-Vol (2)'!AG$4:AG$1116,'Val-Vol (2)'!$A$4:$A$1116,$D453,'Val-Vol (2)'!$V$4:$V$1116,$V453)/SUMIFS('Comp2016-2017 (3)'!$G$5:$G$289,'Comp2016-2017 (3)'!$A$5:$A$289,$D453,'Comp2016-2017 (3)'!$R$5:$R$289,$V453)*$AB453))</f>
        <v/>
      </c>
      <c r="AH453" s="2" t="str">
        <f>IF($W453=AH$3,$AB453,IF(NOT($W453=0),"",SUMIFS('Val-Vol (2)'!AH$4:AH$1116,'Val-Vol (2)'!$A$4:$A$1116,$D453,'Val-Vol (2)'!$V$4:$V$1116,$V453)/SUMIFS('Comp2016-2017 (3)'!$G$5:$G$289,'Comp2016-2017 (3)'!$A$5:$A$289,$D453,'Comp2016-2017 (3)'!$R$5:$R$289,$V453)*$AB453))</f>
        <v/>
      </c>
      <c r="AI453" s="2" t="str">
        <f>IF($W453=AI$3,$AB453,IF(NOT($W453=0),"",SUMIFS('Val-Vol (2)'!AI$4:AI$1116,'Val-Vol (2)'!$A$4:$A$1116,$D453,'Val-Vol (2)'!$V$4:$V$1116,$V453)/SUMIFS('Comp2016-2017 (3)'!$G$5:$G$289,'Comp2016-2017 (3)'!$A$5:$A$289,$D453,'Comp2016-2017 (3)'!$R$5:$R$289,$V453)*$AB453))</f>
        <v/>
      </c>
      <c r="AJ453" s="2" t="str">
        <f>IF($W453=AJ$3,$AB453,IF(NOT($W453=0),"",SUMIFS('Val-Vol (2)'!AJ$4:AJ$1116,'Val-Vol (2)'!$A$4:$A$1116,$D453,'Val-Vol (2)'!$V$4:$V$1116,$V453)/SUMIFS('Comp2016-2017 (3)'!$G$5:$G$289,'Comp2016-2017 (3)'!$A$5:$A$289,$D453,'Comp2016-2017 (3)'!$R$5:$R$289,$V453)*$AB453))</f>
        <v/>
      </c>
      <c r="AK453" s="2">
        <f t="shared" si="54"/>
        <v>0</v>
      </c>
      <c r="AL453" t="str">
        <f t="shared" si="56"/>
        <v/>
      </c>
      <c r="AM453" t="str">
        <f>VLOOKUP(A453,'Table corresp.'!$M$4:$U$63,8,FALSE)</f>
        <v>Production intermédiaire</v>
      </c>
      <c r="AN453" t="str">
        <f>VLOOKUP(D453,'Table corresp.'!$M$4:$U$63,9,FALSE)</f>
        <v>Exportation</v>
      </c>
    </row>
    <row r="454" spans="1:40" x14ac:dyDescent="0.25">
      <c r="A454" t="s">
        <v>5</v>
      </c>
      <c r="B454" t="str">
        <f>VLOOKUP(LEFT(A454,3),'Table corresp.'!$A$4:$D$63,3,FALSE)</f>
        <v>Transformation</v>
      </c>
      <c r="C454" t="str">
        <f>VLOOKUP(A454,'Table corresp.'!$M$4:$P$63,4,FALSE)</f>
        <v>Production et transformation de produits bois</v>
      </c>
      <c r="D454" t="s">
        <v>14</v>
      </c>
      <c r="E454" t="str">
        <f>VLOOKUP(LEFT(D454,3),'Table corresp.'!$A$4:$D$63,4,FALSE)</f>
        <v>Transformation</v>
      </c>
      <c r="F454" t="str">
        <f t="shared" si="55"/>
        <v>09  - 20b</v>
      </c>
      <c r="G454" s="3">
        <v>644.70134384946073</v>
      </c>
      <c r="H454" s="3">
        <v>1191.2769011057237</v>
      </c>
      <c r="I454" s="3">
        <v>1835.9810864507645</v>
      </c>
      <c r="J454" s="3">
        <v>5.8334832009984687</v>
      </c>
      <c r="K454" s="3">
        <v>4.2412068365095106</v>
      </c>
      <c r="L454" s="3">
        <v>10.074690037507979</v>
      </c>
      <c r="M454" s="3">
        <v>0</v>
      </c>
      <c r="N454" s="3">
        <v>0</v>
      </c>
      <c r="O454" s="3">
        <v>0</v>
      </c>
      <c r="P454" s="3">
        <v>0</v>
      </c>
      <c r="Q454" s="3">
        <v>0</v>
      </c>
      <c r="R454" s="3">
        <v>0</v>
      </c>
      <c r="S454" s="67"/>
      <c r="T454">
        <f>VLOOKUP(A454,'Groupe de branches'!$Z$27:$AM$86,14,FALSE)</f>
        <v>0</v>
      </c>
      <c r="U454">
        <f>VLOOKUP(D454,'Groupe de branches'!$Z$27:$AM$86,14,FALSE)</f>
        <v>0</v>
      </c>
      <c r="V454">
        <v>2017</v>
      </c>
      <c r="W454">
        <f>VLOOKUP(D454,'Table corresp.'!$M$4:$S$63,7,FALSE)</f>
        <v>0</v>
      </c>
      <c r="X454" s="167">
        <f>IFERROR(G454/SUMIFS('Comp2016-2017 (3)'!$I$5:$I$289,'Comp2016-2017 (3)'!$A$5:$A$289,A454,'Comp2016-2017 (3)'!$R$5:$R$289,V454),0)</f>
        <v>6.6719151192773324E-3</v>
      </c>
      <c r="Y454" s="190">
        <f>IFERROR(IF(RIGHT(F454,3)="Exp",VLOOKUP(F454,#REF!,2,FALSE),VLOOKUP(F454,#REF!,9,FALSE)),1)</f>
        <v>1</v>
      </c>
      <c r="Z454" s="167">
        <f t="shared" si="53"/>
        <v>8.3333333333333329E-2</v>
      </c>
      <c r="AA454" s="189">
        <f t="shared" si="57"/>
        <v>5.559929266064443E-4</v>
      </c>
      <c r="AB454" s="2">
        <f>IFERROR(SUMIFS('Comp2016-2017 (3)'!$G$5:$G$289,'Comp2016-2017 (3)'!$A$5:$A$289,A454,'Comp2016-2017 (3)'!$R$5:$R$289,V454)*AA454/SUMIFS($AA$4:$AA$1116,$A$4:$A$1116,A454,$V$4:$V$1116,V454),0)</f>
        <v>172.39179156416813</v>
      </c>
      <c r="AC454" s="2">
        <f>IF($W454=AC$3,$AB454,IF(NOT($W454=0),"",SUMIFS('Val-Vol (2)'!AC$4:AC$1116,'Val-Vol (2)'!$A$4:$A$1116,$D454,'Val-Vol (2)'!$V$4:$V$1116,$V454)/SUMIFS('Comp2016-2017 (3)'!$G$5:$G$289,'Comp2016-2017 (3)'!$A$5:$A$289,$D454,'Comp2016-2017 (3)'!$R$5:$R$289,$V454)*$AB454))</f>
        <v>51.94927094741864</v>
      </c>
      <c r="AD454" s="2">
        <f>IF($W454=AD$3,$AB454,IF(NOT($W454=0),"",SUMIFS('Val-Vol (2)'!AD$4:AD$1116,'Val-Vol (2)'!$A$4:$A$1116,$D454,'Val-Vol (2)'!$V$4:$V$1116,$V454)/SUMIFS('Comp2016-2017 (3)'!$G$5:$G$289,'Comp2016-2017 (3)'!$A$5:$A$289,$D454,'Comp2016-2017 (3)'!$R$5:$R$289,$V454)*$AB454))</f>
        <v>120.1064285593217</v>
      </c>
      <c r="AE454" s="2">
        <f>IF($W454=AE$3,$AB454,IF(NOT($W454=0),"",SUMIFS('Val-Vol (2)'!AE$4:AE$1116,'Val-Vol (2)'!$A$4:$A$1116,$D454,'Val-Vol (2)'!$V$4:$V$1116,$V454)/SUMIFS('Comp2016-2017 (3)'!$G$5:$G$289,'Comp2016-2017 (3)'!$A$5:$A$289,$D454,'Comp2016-2017 (3)'!$R$5:$R$289,$V454)*$AB454))</f>
        <v>0.33609205742779996</v>
      </c>
      <c r="AF454" s="2">
        <f>IF($W454=AF$3,$AB454,IF(NOT($W454=0),"",SUMIFS('Val-Vol (2)'!AF$4:AF$1116,'Val-Vol (2)'!$A$4:$A$1116,$D454,'Val-Vol (2)'!$V$4:$V$1116,$V454)/SUMIFS('Comp2016-2017 (3)'!$G$5:$G$289,'Comp2016-2017 (3)'!$A$5:$A$289,$D454,'Comp2016-2017 (3)'!$R$5:$R$289,$V454)*$AB454))</f>
        <v>0</v>
      </c>
      <c r="AG454" s="2">
        <f>IF($W454=AG$3,$AB454,IF(NOT($W454=0),"",SUMIFS('Val-Vol (2)'!AG$4:AG$1116,'Val-Vol (2)'!$A$4:$A$1116,$D454,'Val-Vol (2)'!$V$4:$V$1116,$V454)/SUMIFS('Comp2016-2017 (3)'!$G$5:$G$289,'Comp2016-2017 (3)'!$A$5:$A$289,$D454,'Comp2016-2017 (3)'!$R$5:$R$289,$V454)*$AB454))</f>
        <v>0</v>
      </c>
      <c r="AH454" s="2">
        <f>IF($W454=AH$3,$AB454,IF(NOT($W454=0),"",SUMIFS('Val-Vol (2)'!AH$4:AH$1116,'Val-Vol (2)'!$A$4:$A$1116,$D454,'Val-Vol (2)'!$V$4:$V$1116,$V454)/SUMIFS('Comp2016-2017 (3)'!$G$5:$G$289,'Comp2016-2017 (3)'!$A$5:$A$289,$D454,'Comp2016-2017 (3)'!$R$5:$R$289,$V454)*$AB454))</f>
        <v>0</v>
      </c>
      <c r="AI454" s="2">
        <f>IF($W454=AI$3,$AB454,IF(NOT($W454=0),"",SUMIFS('Val-Vol (2)'!AI$4:AI$1116,'Val-Vol (2)'!$A$4:$A$1116,$D454,'Val-Vol (2)'!$V$4:$V$1116,$V454)/SUMIFS('Comp2016-2017 (3)'!$G$5:$G$289,'Comp2016-2017 (3)'!$A$5:$A$289,$D454,'Comp2016-2017 (3)'!$R$5:$R$289,$V454)*$AB454))</f>
        <v>0</v>
      </c>
      <c r="AJ454" s="2">
        <f>IF($W454=AJ$3,$AB454,IF(NOT($W454=0),"",SUMIFS('Val-Vol (2)'!AJ$4:AJ$1116,'Val-Vol (2)'!$A$4:$A$1116,$D454,'Val-Vol (2)'!$V$4:$V$1116,$V454)/SUMIFS('Comp2016-2017 (3)'!$G$5:$G$289,'Comp2016-2017 (3)'!$A$5:$A$289,$D454,'Comp2016-2017 (3)'!$R$5:$R$289,$V454)*$AB454))</f>
        <v>0</v>
      </c>
      <c r="AK454" s="2">
        <f t="shared" si="54"/>
        <v>0</v>
      </c>
      <c r="AL454" t="str">
        <f t="shared" si="56"/>
        <v/>
      </c>
      <c r="AM454" t="str">
        <f>VLOOKUP(A454,'Table corresp.'!$M$4:$U$63,8,FALSE)</f>
        <v>Production intermédiaire</v>
      </c>
      <c r="AN454" t="str">
        <f>VLOOKUP(D454,'Table corresp.'!$M$4:$U$63,9,FALSE)</f>
        <v>Production intermédiaire</v>
      </c>
    </row>
    <row r="455" spans="1:40" x14ac:dyDescent="0.25">
      <c r="A455" t="s">
        <v>5</v>
      </c>
      <c r="B455" t="str">
        <f>VLOOKUP(LEFT(A455,3),'Table corresp.'!$A$4:$D$63,3,FALSE)</f>
        <v>Transformation</v>
      </c>
      <c r="C455" t="str">
        <f>VLOOKUP(A455,'Table corresp.'!$M$4:$P$63,4,FALSE)</f>
        <v>Production et transformation de produits bois</v>
      </c>
      <c r="D455" t="s">
        <v>89</v>
      </c>
      <c r="E455" t="str">
        <f>VLOOKUP(LEFT(D455,3),'Table corresp.'!$A$4:$D$63,4,FALSE)</f>
        <v>Transformation</v>
      </c>
      <c r="F455" t="str">
        <f t="shared" si="55"/>
        <v xml:space="preserve">09  - 33 </v>
      </c>
      <c r="G455" s="3">
        <v>0.11711170626768919</v>
      </c>
      <c r="H455" s="3">
        <v>442.38260282137492</v>
      </c>
      <c r="I455" s="3">
        <v>442.50086768271706</v>
      </c>
      <c r="J455" s="3">
        <v>1.0596676704188062E-3</v>
      </c>
      <c r="K455" s="3">
        <v>1.5749790142807227</v>
      </c>
      <c r="L455" s="3">
        <v>1.5760386819511416</v>
      </c>
      <c r="M455" s="3">
        <v>0</v>
      </c>
      <c r="N455" s="3">
        <v>0</v>
      </c>
      <c r="O455" s="3">
        <v>0</v>
      </c>
      <c r="P455" s="3">
        <v>0</v>
      </c>
      <c r="Q455" s="3">
        <v>0</v>
      </c>
      <c r="R455" s="3">
        <v>0</v>
      </c>
      <c r="S455" s="67"/>
      <c r="T455">
        <f>VLOOKUP(A455,'Groupe de branches'!$Z$27:$AM$86,14,FALSE)</f>
        <v>0</v>
      </c>
      <c r="U455">
        <f>VLOOKUP(D455,'Groupe de branches'!$Z$27:$AM$86,14,FALSE)</f>
        <v>0</v>
      </c>
      <c r="V455">
        <v>2017</v>
      </c>
      <c r="W455" t="str">
        <f>VLOOKUP(D455,'Table corresp.'!$M$4:$S$63,7,FALSE)</f>
        <v>Construction</v>
      </c>
      <c r="X455" s="167">
        <f>IFERROR(G455/SUMIFS('Comp2016-2017 (3)'!$I$5:$I$289,'Comp2016-2017 (3)'!$A$5:$A$289,A455,'Comp2016-2017 (3)'!$R$5:$R$289,V455),0)</f>
        <v>1.2119710485266347E-6</v>
      </c>
      <c r="Y455" s="190">
        <f>IFERROR(IF(RIGHT(F455,3)="Exp",VLOOKUP(F455,#REF!,2,FALSE),VLOOKUP(F455,#REF!,9,FALSE)),1)</f>
        <v>1</v>
      </c>
      <c r="Z455" s="167">
        <f t="shared" si="53"/>
        <v>8.3333333333333329E-2</v>
      </c>
      <c r="AA455" s="189">
        <f t="shared" si="57"/>
        <v>1.0099758737721956E-7</v>
      </c>
      <c r="AB455" s="2">
        <f>IFERROR(SUMIFS('Comp2016-2017 (3)'!$G$5:$G$289,'Comp2016-2017 (3)'!$A$5:$A$289,A455,'Comp2016-2017 (3)'!$R$5:$R$289,V455)*AA455/SUMIFS($AA$4:$AA$1116,$A$4:$A$1116,A455,$V$4:$V$1116,V455),0)</f>
        <v>3.1315425427960265E-2</v>
      </c>
      <c r="AC455" s="2" t="str">
        <f>IF($W455=AC$3,$AB455,IF(NOT($W455=0),"",SUMIFS('Val-Vol (2)'!AC$4:AC$1116,'Val-Vol (2)'!$A$4:$A$1116,$D455,'Val-Vol (2)'!$V$4:$V$1116,$V455)/SUMIFS('Comp2016-2017 (3)'!$G$5:$G$289,'Comp2016-2017 (3)'!$A$5:$A$289,$D455,'Comp2016-2017 (3)'!$R$5:$R$289,$V455)*$AB455))</f>
        <v/>
      </c>
      <c r="AD455" s="2">
        <f>IF($W455=AD$3,$AB455,IF(NOT($W455=0),"",SUMIFS('Val-Vol (2)'!AD$4:AD$1116,'Val-Vol (2)'!$A$4:$A$1116,$D455,'Val-Vol (2)'!$V$4:$V$1116,$V455)/SUMIFS('Comp2016-2017 (3)'!$G$5:$G$289,'Comp2016-2017 (3)'!$A$5:$A$289,$D455,'Comp2016-2017 (3)'!$R$5:$R$289,$V455)*$AB455))</f>
        <v>3.1315425427960265E-2</v>
      </c>
      <c r="AE455" s="2" t="str">
        <f>IF($W455=AE$3,$AB455,IF(NOT($W455=0),"",SUMIFS('Val-Vol (2)'!AE$4:AE$1116,'Val-Vol (2)'!$A$4:$A$1116,$D455,'Val-Vol (2)'!$V$4:$V$1116,$V455)/SUMIFS('Comp2016-2017 (3)'!$G$5:$G$289,'Comp2016-2017 (3)'!$A$5:$A$289,$D455,'Comp2016-2017 (3)'!$R$5:$R$289,$V455)*$AB455))</f>
        <v/>
      </c>
      <c r="AF455" s="2" t="str">
        <f>IF($W455=AF$3,$AB455,IF(NOT($W455=0),"",SUMIFS('Val-Vol (2)'!AF$4:AF$1116,'Val-Vol (2)'!$A$4:$A$1116,$D455,'Val-Vol (2)'!$V$4:$V$1116,$V455)/SUMIFS('Comp2016-2017 (3)'!$G$5:$G$289,'Comp2016-2017 (3)'!$A$5:$A$289,$D455,'Comp2016-2017 (3)'!$R$5:$R$289,$V455)*$AB455))</f>
        <v/>
      </c>
      <c r="AG455" s="2" t="str">
        <f>IF($W455=AG$3,$AB455,IF(NOT($W455=0),"",SUMIFS('Val-Vol (2)'!AG$4:AG$1116,'Val-Vol (2)'!$A$4:$A$1116,$D455,'Val-Vol (2)'!$V$4:$V$1116,$V455)/SUMIFS('Comp2016-2017 (3)'!$G$5:$G$289,'Comp2016-2017 (3)'!$A$5:$A$289,$D455,'Comp2016-2017 (3)'!$R$5:$R$289,$V455)*$AB455))</f>
        <v/>
      </c>
      <c r="AH455" s="2" t="str">
        <f>IF($W455=AH$3,$AB455,IF(NOT($W455=0),"",SUMIFS('Val-Vol (2)'!AH$4:AH$1116,'Val-Vol (2)'!$A$4:$A$1116,$D455,'Val-Vol (2)'!$V$4:$V$1116,$V455)/SUMIFS('Comp2016-2017 (3)'!$G$5:$G$289,'Comp2016-2017 (3)'!$A$5:$A$289,$D455,'Comp2016-2017 (3)'!$R$5:$R$289,$V455)*$AB455))</f>
        <v/>
      </c>
      <c r="AI455" s="2" t="str">
        <f>IF($W455=AI$3,$AB455,IF(NOT($W455=0),"",SUMIFS('Val-Vol (2)'!AI$4:AI$1116,'Val-Vol (2)'!$A$4:$A$1116,$D455,'Val-Vol (2)'!$V$4:$V$1116,$V455)/SUMIFS('Comp2016-2017 (3)'!$G$5:$G$289,'Comp2016-2017 (3)'!$A$5:$A$289,$D455,'Comp2016-2017 (3)'!$R$5:$R$289,$V455)*$AB455))</f>
        <v/>
      </c>
      <c r="AJ455" s="2" t="str">
        <f>IF($W455=AJ$3,$AB455,IF(NOT($W455=0),"",SUMIFS('Val-Vol (2)'!AJ$4:AJ$1116,'Val-Vol (2)'!$A$4:$A$1116,$D455,'Val-Vol (2)'!$V$4:$V$1116,$V455)/SUMIFS('Comp2016-2017 (3)'!$G$5:$G$289,'Comp2016-2017 (3)'!$A$5:$A$289,$D455,'Comp2016-2017 (3)'!$R$5:$R$289,$V455)*$AB455))</f>
        <v/>
      </c>
      <c r="AK455" s="2">
        <f t="shared" si="54"/>
        <v>0</v>
      </c>
      <c r="AL455" t="str">
        <f t="shared" si="56"/>
        <v/>
      </c>
      <c r="AM455" t="str">
        <f>VLOOKUP(A455,'Table corresp.'!$M$4:$U$63,8,FALSE)</f>
        <v>Production intermédiaire</v>
      </c>
      <c r="AN455" t="str">
        <f>VLOOKUP(D455,'Table corresp.'!$M$4:$U$63,9,FALSE)</f>
        <v>Production finale</v>
      </c>
    </row>
    <row r="456" spans="1:40" x14ac:dyDescent="0.25">
      <c r="A456" t="s">
        <v>5</v>
      </c>
      <c r="B456" t="str">
        <f>VLOOKUP(LEFT(A456,3),'Table corresp.'!$A$4:$D$63,3,FALSE)</f>
        <v>Transformation</v>
      </c>
      <c r="C456" t="str">
        <f>VLOOKUP(A456,'Table corresp.'!$M$4:$P$63,4,FALSE)</f>
        <v>Production et transformation de produits bois</v>
      </c>
      <c r="D456" t="s">
        <v>16</v>
      </c>
      <c r="E456" t="str">
        <f>VLOOKUP(LEFT(D456,3),'Table corresp.'!$A$4:$D$63,4,FALSE)</f>
        <v>Transformation</v>
      </c>
      <c r="F456" t="str">
        <f t="shared" si="55"/>
        <v xml:space="preserve">09  - 36 </v>
      </c>
      <c r="G456" s="3">
        <v>1977.312833306946</v>
      </c>
      <c r="H456" s="3">
        <v>2848.2583343050474</v>
      </c>
      <c r="I456" s="3">
        <v>4825.5777829879626</v>
      </c>
      <c r="J456" s="3">
        <v>17.891417950740482</v>
      </c>
      <c r="K456" s="3">
        <v>10.140423866514368</v>
      </c>
      <c r="L456" s="3">
        <v>28.03184181725485</v>
      </c>
      <c r="M456" s="3">
        <v>0</v>
      </c>
      <c r="N456" s="3">
        <v>0</v>
      </c>
      <c r="O456" s="3">
        <v>0</v>
      </c>
      <c r="P456" s="3">
        <v>0</v>
      </c>
      <c r="Q456" s="3">
        <v>0</v>
      </c>
      <c r="R456" s="3">
        <v>0</v>
      </c>
      <c r="S456" s="67"/>
      <c r="T456">
        <f>VLOOKUP(A456,'Groupe de branches'!$Z$27:$AM$86,14,FALSE)</f>
        <v>0</v>
      </c>
      <c r="U456">
        <f>VLOOKUP(D456,'Groupe de branches'!$Z$27:$AM$86,14,FALSE)</f>
        <v>0</v>
      </c>
      <c r="V456">
        <v>2017</v>
      </c>
      <c r="W456" t="str">
        <f>VLOOKUP(D456,'Table corresp.'!$M$4:$S$63,7,FALSE)</f>
        <v>Construction</v>
      </c>
      <c r="X456" s="167">
        <f>IFERROR(G456/SUMIFS('Comp2016-2017 (3)'!$I$5:$I$289,'Comp2016-2017 (3)'!$A$5:$A$289,A456,'Comp2016-2017 (3)'!$R$5:$R$289,V456),0)</f>
        <v>2.0462906606197772E-2</v>
      </c>
      <c r="Y456" s="190">
        <f>IFERROR(IF(RIGHT(F456,3)="Exp",VLOOKUP(F456,#REF!,2,FALSE),VLOOKUP(F456,#REF!,9,FALSE)),1)</f>
        <v>1</v>
      </c>
      <c r="Z456" s="167">
        <f t="shared" si="53"/>
        <v>8.3333333333333329E-2</v>
      </c>
      <c r="AA456" s="189">
        <f t="shared" si="57"/>
        <v>1.7052422171831476E-3</v>
      </c>
      <c r="AB456" s="2">
        <f>IFERROR(SUMIFS('Comp2016-2017 (3)'!$G$5:$G$289,'Comp2016-2017 (3)'!$A$5:$A$289,A456,'Comp2016-2017 (3)'!$R$5:$R$289,V456)*AA456/SUMIFS($AA$4:$AA$1116,$A$4:$A$1116,A456,$V$4:$V$1116,V456),0)</f>
        <v>528.72931795253135</v>
      </c>
      <c r="AC456" s="2" t="str">
        <f>IF($W456=AC$3,$AB456,IF(NOT($W456=0),"",SUMIFS('Val-Vol (2)'!AC$4:AC$1116,'Val-Vol (2)'!$A$4:$A$1116,$D456,'Val-Vol (2)'!$V$4:$V$1116,$V456)/SUMIFS('Comp2016-2017 (3)'!$G$5:$G$289,'Comp2016-2017 (3)'!$A$5:$A$289,$D456,'Comp2016-2017 (3)'!$R$5:$R$289,$V456)*$AB456))</f>
        <v/>
      </c>
      <c r="AD456" s="2">
        <f>IF($W456=AD$3,$AB456,IF(NOT($W456=0),"",SUMIFS('Val-Vol (2)'!AD$4:AD$1116,'Val-Vol (2)'!$A$4:$A$1116,$D456,'Val-Vol (2)'!$V$4:$V$1116,$V456)/SUMIFS('Comp2016-2017 (3)'!$G$5:$G$289,'Comp2016-2017 (3)'!$A$5:$A$289,$D456,'Comp2016-2017 (3)'!$R$5:$R$289,$V456)*$AB456))</f>
        <v>528.72931795253135</v>
      </c>
      <c r="AE456" s="2" t="str">
        <f>IF($W456=AE$3,$AB456,IF(NOT($W456=0),"",SUMIFS('Val-Vol (2)'!AE$4:AE$1116,'Val-Vol (2)'!$A$4:$A$1116,$D456,'Val-Vol (2)'!$V$4:$V$1116,$V456)/SUMIFS('Comp2016-2017 (3)'!$G$5:$G$289,'Comp2016-2017 (3)'!$A$5:$A$289,$D456,'Comp2016-2017 (3)'!$R$5:$R$289,$V456)*$AB456))</f>
        <v/>
      </c>
      <c r="AF456" s="2" t="str">
        <f>IF($W456=AF$3,$AB456,IF(NOT($W456=0),"",SUMIFS('Val-Vol (2)'!AF$4:AF$1116,'Val-Vol (2)'!$A$4:$A$1116,$D456,'Val-Vol (2)'!$V$4:$V$1116,$V456)/SUMIFS('Comp2016-2017 (3)'!$G$5:$G$289,'Comp2016-2017 (3)'!$A$5:$A$289,$D456,'Comp2016-2017 (3)'!$R$5:$R$289,$V456)*$AB456))</f>
        <v/>
      </c>
      <c r="AG456" s="2" t="str">
        <f>IF($W456=AG$3,$AB456,IF(NOT($W456=0),"",SUMIFS('Val-Vol (2)'!AG$4:AG$1116,'Val-Vol (2)'!$A$4:$A$1116,$D456,'Val-Vol (2)'!$V$4:$V$1116,$V456)/SUMIFS('Comp2016-2017 (3)'!$G$5:$G$289,'Comp2016-2017 (3)'!$A$5:$A$289,$D456,'Comp2016-2017 (3)'!$R$5:$R$289,$V456)*$AB456))</f>
        <v/>
      </c>
      <c r="AH456" s="2" t="str">
        <f>IF($W456=AH$3,$AB456,IF(NOT($W456=0),"",SUMIFS('Val-Vol (2)'!AH$4:AH$1116,'Val-Vol (2)'!$A$4:$A$1116,$D456,'Val-Vol (2)'!$V$4:$V$1116,$V456)/SUMIFS('Comp2016-2017 (3)'!$G$5:$G$289,'Comp2016-2017 (3)'!$A$5:$A$289,$D456,'Comp2016-2017 (3)'!$R$5:$R$289,$V456)*$AB456))</f>
        <v/>
      </c>
      <c r="AI456" s="2" t="str">
        <f>IF($W456=AI$3,$AB456,IF(NOT($W456=0),"",SUMIFS('Val-Vol (2)'!AI$4:AI$1116,'Val-Vol (2)'!$A$4:$A$1116,$D456,'Val-Vol (2)'!$V$4:$V$1116,$V456)/SUMIFS('Comp2016-2017 (3)'!$G$5:$G$289,'Comp2016-2017 (3)'!$A$5:$A$289,$D456,'Comp2016-2017 (3)'!$R$5:$R$289,$V456)*$AB456))</f>
        <v/>
      </c>
      <c r="AJ456" s="2" t="str">
        <f>IF($W456=AJ$3,$AB456,IF(NOT($W456=0),"",SUMIFS('Val-Vol (2)'!AJ$4:AJ$1116,'Val-Vol (2)'!$A$4:$A$1116,$D456,'Val-Vol (2)'!$V$4:$V$1116,$V456)/SUMIFS('Comp2016-2017 (3)'!$G$5:$G$289,'Comp2016-2017 (3)'!$A$5:$A$289,$D456,'Comp2016-2017 (3)'!$R$5:$R$289,$V456)*$AB456))</f>
        <v/>
      </c>
      <c r="AK456" s="2">
        <f t="shared" si="54"/>
        <v>0</v>
      </c>
      <c r="AL456" t="str">
        <f t="shared" si="56"/>
        <v/>
      </c>
      <c r="AM456" t="str">
        <f>VLOOKUP(A456,'Table corresp.'!$M$4:$U$63,8,FALSE)</f>
        <v>Production intermédiaire</v>
      </c>
      <c r="AN456" t="str">
        <f>VLOOKUP(D456,'Table corresp.'!$M$4:$U$63,9,FALSE)</f>
        <v>Production finale</v>
      </c>
    </row>
    <row r="457" spans="1:40" x14ac:dyDescent="0.25">
      <c r="A457" t="s">
        <v>5</v>
      </c>
      <c r="B457" t="str">
        <f>VLOOKUP(LEFT(A457,3),'Table corresp.'!$A$4:$D$63,3,FALSE)</f>
        <v>Transformation</v>
      </c>
      <c r="C457" t="str">
        <f>VLOOKUP(A457,'Table corresp.'!$M$4:$P$63,4,FALSE)</f>
        <v>Production et transformation de produits bois</v>
      </c>
      <c r="D457" t="s">
        <v>91</v>
      </c>
      <c r="E457" t="str">
        <f>VLOOKUP(LEFT(D457,3),'Table corresp.'!$A$4:$D$63,4,FALSE)</f>
        <v>Transformation</v>
      </c>
      <c r="F457" t="str">
        <f t="shared" si="55"/>
        <v xml:space="preserve">09  - 37 </v>
      </c>
      <c r="G457" s="3">
        <v>12556.838535945308</v>
      </c>
      <c r="H457" s="3">
        <v>0</v>
      </c>
      <c r="I457" s="3">
        <v>12556.833395478578</v>
      </c>
      <c r="J457" s="3">
        <v>196.18156329468349</v>
      </c>
      <c r="K457" s="3">
        <v>0</v>
      </c>
      <c r="L457" s="3">
        <v>196.18156329468349</v>
      </c>
      <c r="M457" s="3">
        <v>0</v>
      </c>
      <c r="N457" s="3">
        <v>0</v>
      </c>
      <c r="O457" s="3">
        <v>0</v>
      </c>
      <c r="P457" s="3">
        <v>0</v>
      </c>
      <c r="Q457" s="3">
        <v>0</v>
      </c>
      <c r="R457" s="3">
        <v>0</v>
      </c>
      <c r="S457" s="67"/>
      <c r="T457">
        <f>VLOOKUP(A457,'Groupe de branches'!$Z$27:$AM$86,14,FALSE)</f>
        <v>0</v>
      </c>
      <c r="U457">
        <f>VLOOKUP(D457,'Groupe de branches'!$Z$27:$AM$86,14,FALSE)</f>
        <v>0</v>
      </c>
      <c r="V457">
        <v>2017</v>
      </c>
      <c r="W457" t="str">
        <f>VLOOKUP(D457,'Table corresp.'!$M$4:$S$63,7,FALSE)</f>
        <v>Emballage bois et carton</v>
      </c>
      <c r="X457" s="167">
        <f>IFERROR(G457/SUMIFS('Comp2016-2017 (3)'!$I$5:$I$289,'Comp2016-2017 (3)'!$A$5:$A$289,A457,'Comp2016-2017 (3)'!$R$5:$R$289,V457),0)</f>
        <v>0.12994879206868867</v>
      </c>
      <c r="Y457" s="190">
        <f>IFERROR(IF(RIGHT(F457,3)="Exp",VLOOKUP(F457,#REF!,2,FALSE),VLOOKUP(F457,#REF!,9,FALSE)),1)</f>
        <v>1</v>
      </c>
      <c r="Z457" s="167">
        <f t="shared" si="53"/>
        <v>8.3333333333333329E-2</v>
      </c>
      <c r="AA457" s="189">
        <f t="shared" si="57"/>
        <v>1.0829066005724055E-2</v>
      </c>
      <c r="AB457" s="2">
        <f>IFERROR(SUMIFS('Comp2016-2017 (3)'!$G$5:$G$289,'Comp2016-2017 (3)'!$A$5:$A$289,A457,'Comp2016-2017 (3)'!$R$5:$R$289,V457)*AA457/SUMIFS($AA$4:$AA$1116,$A$4:$A$1116,A457,$V$4:$V$1116,V457),0)</f>
        <v>3357.6723737977177</v>
      </c>
      <c r="AC457" s="2" t="str">
        <f>IF($W457=AC$3,$AB457,IF(NOT($W457=0),"",SUMIFS('Val-Vol (2)'!AC$4:AC$1116,'Val-Vol (2)'!$A$4:$A$1116,$D457,'Val-Vol (2)'!$V$4:$V$1116,$V457)/SUMIFS('Comp2016-2017 (3)'!$G$5:$G$289,'Comp2016-2017 (3)'!$A$5:$A$289,$D457,'Comp2016-2017 (3)'!$R$5:$R$289,$V457)*$AB457))</f>
        <v/>
      </c>
      <c r="AD457" s="2" t="str">
        <f>IF($W457=AD$3,$AB457,IF(NOT($W457=0),"",SUMIFS('Val-Vol (2)'!AD$4:AD$1116,'Val-Vol (2)'!$A$4:$A$1116,$D457,'Val-Vol (2)'!$V$4:$V$1116,$V457)/SUMIFS('Comp2016-2017 (3)'!$G$5:$G$289,'Comp2016-2017 (3)'!$A$5:$A$289,$D457,'Comp2016-2017 (3)'!$R$5:$R$289,$V457)*$AB457))</f>
        <v/>
      </c>
      <c r="AE457" s="2" t="str">
        <f>IF($W457=AE$3,$AB457,IF(NOT($W457=0),"",SUMIFS('Val-Vol (2)'!AE$4:AE$1116,'Val-Vol (2)'!$A$4:$A$1116,$D457,'Val-Vol (2)'!$V$4:$V$1116,$V457)/SUMIFS('Comp2016-2017 (3)'!$G$5:$G$289,'Comp2016-2017 (3)'!$A$5:$A$289,$D457,'Comp2016-2017 (3)'!$R$5:$R$289,$V457)*$AB457))</f>
        <v/>
      </c>
      <c r="AF457" s="2" t="str">
        <f>IF($W457=AF$3,$AB457,IF(NOT($W457=0),"",SUMIFS('Val-Vol (2)'!AF$4:AF$1116,'Val-Vol (2)'!$A$4:$A$1116,$D457,'Val-Vol (2)'!$V$4:$V$1116,$V457)/SUMIFS('Comp2016-2017 (3)'!$G$5:$G$289,'Comp2016-2017 (3)'!$A$5:$A$289,$D457,'Comp2016-2017 (3)'!$R$5:$R$289,$V457)*$AB457))</f>
        <v/>
      </c>
      <c r="AG457" s="2">
        <f>IF($W457=AG$3,$AB457,IF(NOT($W457=0),"",SUMIFS('Val-Vol (2)'!AG$4:AG$1116,'Val-Vol (2)'!$A$4:$A$1116,$D457,'Val-Vol (2)'!$V$4:$V$1116,$V457)/SUMIFS('Comp2016-2017 (3)'!$G$5:$G$289,'Comp2016-2017 (3)'!$A$5:$A$289,$D457,'Comp2016-2017 (3)'!$R$5:$R$289,$V457)*$AB457))</f>
        <v>3357.6723737977177</v>
      </c>
      <c r="AH457" s="2" t="str">
        <f>IF($W457=AH$3,$AB457,IF(NOT($W457=0),"",SUMIFS('Val-Vol (2)'!AH$4:AH$1116,'Val-Vol (2)'!$A$4:$A$1116,$D457,'Val-Vol (2)'!$V$4:$V$1116,$V457)/SUMIFS('Comp2016-2017 (3)'!$G$5:$G$289,'Comp2016-2017 (3)'!$A$5:$A$289,$D457,'Comp2016-2017 (3)'!$R$5:$R$289,$V457)*$AB457))</f>
        <v/>
      </c>
      <c r="AI457" s="2" t="str">
        <f>IF($W457=AI$3,$AB457,IF(NOT($W457=0),"",SUMIFS('Val-Vol (2)'!AI$4:AI$1116,'Val-Vol (2)'!$A$4:$A$1116,$D457,'Val-Vol (2)'!$V$4:$V$1116,$V457)/SUMIFS('Comp2016-2017 (3)'!$G$5:$G$289,'Comp2016-2017 (3)'!$A$5:$A$289,$D457,'Comp2016-2017 (3)'!$R$5:$R$289,$V457)*$AB457))</f>
        <v/>
      </c>
      <c r="AJ457" s="2" t="str">
        <f>IF($W457=AJ$3,$AB457,IF(NOT($W457=0),"",SUMIFS('Val-Vol (2)'!AJ$4:AJ$1116,'Val-Vol (2)'!$A$4:$A$1116,$D457,'Val-Vol (2)'!$V$4:$V$1116,$V457)/SUMIFS('Comp2016-2017 (3)'!$G$5:$G$289,'Comp2016-2017 (3)'!$A$5:$A$289,$D457,'Comp2016-2017 (3)'!$R$5:$R$289,$V457)*$AB457))</f>
        <v/>
      </c>
      <c r="AK457" s="2">
        <f t="shared" si="54"/>
        <v>0</v>
      </c>
      <c r="AL457" t="str">
        <f t="shared" si="56"/>
        <v/>
      </c>
      <c r="AM457" t="str">
        <f>VLOOKUP(A457,'Table corresp.'!$M$4:$U$63,8,FALSE)</f>
        <v>Production intermédiaire</v>
      </c>
      <c r="AN457" t="str">
        <f>VLOOKUP(D457,'Table corresp.'!$M$4:$U$63,9,FALSE)</f>
        <v>Production finale</v>
      </c>
    </row>
    <row r="458" spans="1:40" x14ac:dyDescent="0.25">
      <c r="A458" t="s">
        <v>5</v>
      </c>
      <c r="B458" t="str">
        <f>VLOOKUP(LEFT(A458,3),'Table corresp.'!$A$4:$D$63,3,FALSE)</f>
        <v>Transformation</v>
      </c>
      <c r="C458" t="str">
        <f>VLOOKUP(A458,'Table corresp.'!$M$4:$P$63,4,FALSE)</f>
        <v>Production et transformation de produits bois</v>
      </c>
      <c r="D458" t="s">
        <v>93</v>
      </c>
      <c r="E458" t="str">
        <f>VLOOKUP(LEFT(D458,3),'Table corresp.'!$A$4:$D$63,4,FALSE)</f>
        <v>Transformation</v>
      </c>
      <c r="F458" t="str">
        <f t="shared" si="55"/>
        <v xml:space="preserve">09  - 41 </v>
      </c>
      <c r="G458" s="3">
        <v>1217.4214885634349</v>
      </c>
      <c r="H458" s="3">
        <v>11103.299529221342</v>
      </c>
      <c r="I458" s="3">
        <v>12320.74946348421</v>
      </c>
      <c r="J458" s="3">
        <v>12.40458579764026</v>
      </c>
      <c r="K458" s="3">
        <v>44.514419652691345</v>
      </c>
      <c r="L458" s="3">
        <v>56.919005450331603</v>
      </c>
      <c r="M458" s="3">
        <v>0</v>
      </c>
      <c r="N458" s="3">
        <v>0</v>
      </c>
      <c r="O458" s="3">
        <v>0</v>
      </c>
      <c r="P458" s="3">
        <v>0</v>
      </c>
      <c r="Q458" s="3">
        <v>0</v>
      </c>
      <c r="R458" s="3">
        <v>0</v>
      </c>
      <c r="S458" s="67"/>
      <c r="T458">
        <f>VLOOKUP(A458,'Groupe de branches'!$Z$27:$AM$86,14,FALSE)</f>
        <v>0</v>
      </c>
      <c r="U458">
        <f>VLOOKUP(D458,'Groupe de branches'!$Z$27:$AM$86,14,FALSE)</f>
        <v>0</v>
      </c>
      <c r="V458">
        <v>2017</v>
      </c>
      <c r="W458" t="str">
        <f>VLOOKUP(D458,'Table corresp.'!$M$4:$S$63,7,FALSE)</f>
        <v>Produits de consommation courante</v>
      </c>
      <c r="X458" s="167">
        <f>IFERROR(G458/SUMIFS('Comp2016-2017 (3)'!$I$5:$I$289,'Comp2016-2017 (3)'!$A$5:$A$289,A458,'Comp2016-2017 (3)'!$R$5:$R$289,V458),0)</f>
        <v>1.259890787194656E-2</v>
      </c>
      <c r="Y458" s="190">
        <f>IFERROR(IF(RIGHT(F458,3)="Exp",VLOOKUP(F458,#REF!,2,FALSE),VLOOKUP(F458,#REF!,9,FALSE)),1)</f>
        <v>1</v>
      </c>
      <c r="Z458" s="167">
        <f t="shared" si="53"/>
        <v>8.3333333333333329E-2</v>
      </c>
      <c r="AA458" s="189">
        <f t="shared" si="57"/>
        <v>1.0499089893288799E-3</v>
      </c>
      <c r="AB458" s="2">
        <f>IFERROR(SUMIFS('Comp2016-2017 (3)'!$G$5:$G$289,'Comp2016-2017 (3)'!$A$5:$A$289,A458,'Comp2016-2017 (3)'!$R$5:$R$289,V458)*AA458/SUMIFS($AA$4:$AA$1116,$A$4:$A$1116,A458,$V$4:$V$1116,V458),0)</f>
        <v>325.53596095989042</v>
      </c>
      <c r="AC458" s="2" t="str">
        <f>IF($W458=AC$3,$AB458,IF(NOT($W458=0),"",SUMIFS('Val-Vol (2)'!AC$4:AC$1116,'Val-Vol (2)'!$A$4:$A$1116,$D458,'Val-Vol (2)'!$V$4:$V$1116,$V458)/SUMIFS('Comp2016-2017 (3)'!$G$5:$G$289,'Comp2016-2017 (3)'!$A$5:$A$289,$D458,'Comp2016-2017 (3)'!$R$5:$R$289,$V458)*$AB458))</f>
        <v/>
      </c>
      <c r="AD458" s="2" t="str">
        <f>IF($W458=AD$3,$AB458,IF(NOT($W458=0),"",SUMIFS('Val-Vol (2)'!AD$4:AD$1116,'Val-Vol (2)'!$A$4:$A$1116,$D458,'Val-Vol (2)'!$V$4:$V$1116,$V458)/SUMIFS('Comp2016-2017 (3)'!$G$5:$G$289,'Comp2016-2017 (3)'!$A$5:$A$289,$D458,'Comp2016-2017 (3)'!$R$5:$R$289,$V458)*$AB458))</f>
        <v/>
      </c>
      <c r="AE458" s="2" t="str">
        <f>IF($W458=AE$3,$AB458,IF(NOT($W458=0),"",SUMIFS('Val-Vol (2)'!AE$4:AE$1116,'Val-Vol (2)'!$A$4:$A$1116,$D458,'Val-Vol (2)'!$V$4:$V$1116,$V458)/SUMIFS('Comp2016-2017 (3)'!$G$5:$G$289,'Comp2016-2017 (3)'!$A$5:$A$289,$D458,'Comp2016-2017 (3)'!$R$5:$R$289,$V458)*$AB458))</f>
        <v/>
      </c>
      <c r="AF458" s="2" t="str">
        <f>IF($W458=AF$3,$AB458,IF(NOT($W458=0),"",SUMIFS('Val-Vol (2)'!AF$4:AF$1116,'Val-Vol (2)'!$A$4:$A$1116,$D458,'Val-Vol (2)'!$V$4:$V$1116,$V458)/SUMIFS('Comp2016-2017 (3)'!$G$5:$G$289,'Comp2016-2017 (3)'!$A$5:$A$289,$D458,'Comp2016-2017 (3)'!$R$5:$R$289,$V458)*$AB458))</f>
        <v/>
      </c>
      <c r="AG458" s="2" t="str">
        <f>IF($W458=AG$3,$AB458,IF(NOT($W458=0),"",SUMIFS('Val-Vol (2)'!AG$4:AG$1116,'Val-Vol (2)'!$A$4:$A$1116,$D458,'Val-Vol (2)'!$V$4:$V$1116,$V458)/SUMIFS('Comp2016-2017 (3)'!$G$5:$G$289,'Comp2016-2017 (3)'!$A$5:$A$289,$D458,'Comp2016-2017 (3)'!$R$5:$R$289,$V458)*$AB458))</f>
        <v/>
      </c>
      <c r="AH458" s="2" t="str">
        <f>IF($W458=AH$3,$AB458,IF(NOT($W458=0),"",SUMIFS('Val-Vol (2)'!AH$4:AH$1116,'Val-Vol (2)'!$A$4:$A$1116,$D458,'Val-Vol (2)'!$V$4:$V$1116,$V458)/SUMIFS('Comp2016-2017 (3)'!$G$5:$G$289,'Comp2016-2017 (3)'!$A$5:$A$289,$D458,'Comp2016-2017 (3)'!$R$5:$R$289,$V458)*$AB458))</f>
        <v/>
      </c>
      <c r="AI458" s="2">
        <f>IF($W458=AI$3,$AB458,IF(NOT($W458=0),"",SUMIFS('Val-Vol (2)'!AI$4:AI$1116,'Val-Vol (2)'!$A$4:$A$1116,$D458,'Val-Vol (2)'!$V$4:$V$1116,$V458)/SUMIFS('Comp2016-2017 (3)'!$G$5:$G$289,'Comp2016-2017 (3)'!$A$5:$A$289,$D458,'Comp2016-2017 (3)'!$R$5:$R$289,$V458)*$AB458))</f>
        <v>325.53596095989042</v>
      </c>
      <c r="AJ458" s="2" t="str">
        <f>IF($W458=AJ$3,$AB458,IF(NOT($W458=0),"",SUMIFS('Val-Vol (2)'!AJ$4:AJ$1116,'Val-Vol (2)'!$A$4:$A$1116,$D458,'Val-Vol (2)'!$V$4:$V$1116,$V458)/SUMIFS('Comp2016-2017 (3)'!$G$5:$G$289,'Comp2016-2017 (3)'!$A$5:$A$289,$D458,'Comp2016-2017 (3)'!$R$5:$R$289,$V458)*$AB458))</f>
        <v/>
      </c>
      <c r="AK458" s="2">
        <f t="shared" si="54"/>
        <v>0</v>
      </c>
      <c r="AL458" t="str">
        <f t="shared" si="56"/>
        <v/>
      </c>
      <c r="AM458" t="str">
        <f>VLOOKUP(A458,'Table corresp.'!$M$4:$U$63,8,FALSE)</f>
        <v>Production intermédiaire</v>
      </c>
      <c r="AN458" t="str">
        <f>VLOOKUP(D458,'Table corresp.'!$M$4:$U$63,9,FALSE)</f>
        <v>Production finale</v>
      </c>
    </row>
    <row r="459" spans="1:40" x14ac:dyDescent="0.25">
      <c r="A459" t="s">
        <v>5</v>
      </c>
      <c r="B459" t="str">
        <f>VLOOKUP(LEFT(A459,3),'Table corresp.'!$A$4:$D$63,3,FALSE)</f>
        <v>Transformation</v>
      </c>
      <c r="C459" t="str">
        <f>VLOOKUP(A459,'Table corresp.'!$M$4:$P$63,4,FALSE)</f>
        <v>Production et transformation de produits bois</v>
      </c>
      <c r="D459" t="s">
        <v>99</v>
      </c>
      <c r="E459" t="str">
        <f>VLOOKUP(LEFT(D459,3),'Table corresp.'!$A$4:$D$63,4,FALSE)</f>
        <v>Transformation</v>
      </c>
      <c r="F459" t="str">
        <f t="shared" si="55"/>
        <v xml:space="preserve">09  - 47 </v>
      </c>
      <c r="G459" s="3">
        <v>266.16059682305291</v>
      </c>
      <c r="H459" s="3">
        <v>6522.872710545078</v>
      </c>
      <c r="I459" s="3">
        <v>6789.0502022336941</v>
      </c>
      <c r="J459" s="3">
        <v>2.0791778847326543</v>
      </c>
      <c r="K459" s="3">
        <v>20.049065972161088</v>
      </c>
      <c r="L459" s="3">
        <v>22.128243856893743</v>
      </c>
      <c r="M459" s="3">
        <v>0</v>
      </c>
      <c r="N459" s="3">
        <v>0</v>
      </c>
      <c r="O459" s="3">
        <v>0</v>
      </c>
      <c r="P459" s="3">
        <v>0</v>
      </c>
      <c r="Q459" s="3">
        <v>0</v>
      </c>
      <c r="R459" s="3">
        <v>0</v>
      </c>
      <c r="S459" s="67"/>
      <c r="T459">
        <f>VLOOKUP(A459,'Groupe de branches'!$Z$27:$AM$86,14,FALSE)</f>
        <v>0</v>
      </c>
      <c r="U459">
        <f>VLOOKUP(D459,'Groupe de branches'!$Z$27:$AM$86,14,FALSE)</f>
        <v>0</v>
      </c>
      <c r="V459">
        <v>2017</v>
      </c>
      <c r="W459" t="str">
        <f>VLOOKUP(D459,'Table corresp.'!$M$4:$S$63,7,FALSE)</f>
        <v>Meuble</v>
      </c>
      <c r="X459" s="167">
        <f>IFERROR(G459/SUMIFS('Comp2016-2017 (3)'!$I$5:$I$289,'Comp2016-2017 (3)'!$A$5:$A$289,A459,'Comp2016-2017 (3)'!$R$5:$R$289,V459),0)</f>
        <v>2.7544551086188811E-3</v>
      </c>
      <c r="Y459" s="190">
        <f>IFERROR(IF(RIGHT(F459,3)="Exp",VLOOKUP(F459,#REF!,2,FALSE),VLOOKUP(F459,#REF!,9,FALSE)),1)</f>
        <v>1</v>
      </c>
      <c r="Z459" s="167">
        <f t="shared" si="53"/>
        <v>8.3333333333333329E-2</v>
      </c>
      <c r="AA459" s="189">
        <f t="shared" si="57"/>
        <v>2.2953792571824008E-4</v>
      </c>
      <c r="AB459" s="2">
        <f>IFERROR(SUMIFS('Comp2016-2017 (3)'!$G$5:$G$289,'Comp2016-2017 (3)'!$A$5:$A$289,A459,'Comp2016-2017 (3)'!$R$5:$R$289,V459)*AA459/SUMIFS($AA$4:$AA$1116,$A$4:$A$1116,A459,$V$4:$V$1116,V459),0)</f>
        <v>71.170787168125287</v>
      </c>
      <c r="AC459" s="2" t="str">
        <f>IF($W459=AC$3,$AB459,IF(NOT($W459=0),"",SUMIFS('Val-Vol (2)'!AC$4:AC$1116,'Val-Vol (2)'!$A$4:$A$1116,$D459,'Val-Vol (2)'!$V$4:$V$1116,$V459)/SUMIFS('Comp2016-2017 (3)'!$G$5:$G$289,'Comp2016-2017 (3)'!$A$5:$A$289,$D459,'Comp2016-2017 (3)'!$R$5:$R$289,$V459)*$AB459))</f>
        <v/>
      </c>
      <c r="AD459" s="2" t="str">
        <f>IF($W459=AD$3,$AB459,IF(NOT($W459=0),"",SUMIFS('Val-Vol (2)'!AD$4:AD$1116,'Val-Vol (2)'!$A$4:$A$1116,$D459,'Val-Vol (2)'!$V$4:$V$1116,$V459)/SUMIFS('Comp2016-2017 (3)'!$G$5:$G$289,'Comp2016-2017 (3)'!$A$5:$A$289,$D459,'Comp2016-2017 (3)'!$R$5:$R$289,$V459)*$AB459))</f>
        <v/>
      </c>
      <c r="AE459" s="2">
        <f>IF($W459=AE$3,$AB459,IF(NOT($W459=0),"",SUMIFS('Val-Vol (2)'!AE$4:AE$1116,'Val-Vol (2)'!$A$4:$A$1116,$D459,'Val-Vol (2)'!$V$4:$V$1116,$V459)/SUMIFS('Comp2016-2017 (3)'!$G$5:$G$289,'Comp2016-2017 (3)'!$A$5:$A$289,$D459,'Comp2016-2017 (3)'!$R$5:$R$289,$V459)*$AB459))</f>
        <v>71.170787168125287</v>
      </c>
      <c r="AF459" s="2" t="str">
        <f>IF($W459=AF$3,$AB459,IF(NOT($W459=0),"",SUMIFS('Val-Vol (2)'!AF$4:AF$1116,'Val-Vol (2)'!$A$4:$A$1116,$D459,'Val-Vol (2)'!$V$4:$V$1116,$V459)/SUMIFS('Comp2016-2017 (3)'!$G$5:$G$289,'Comp2016-2017 (3)'!$A$5:$A$289,$D459,'Comp2016-2017 (3)'!$R$5:$R$289,$V459)*$AB459))</f>
        <v/>
      </c>
      <c r="AG459" s="2" t="str">
        <f>IF($W459=AG$3,$AB459,IF(NOT($W459=0),"",SUMIFS('Val-Vol (2)'!AG$4:AG$1116,'Val-Vol (2)'!$A$4:$A$1116,$D459,'Val-Vol (2)'!$V$4:$V$1116,$V459)/SUMIFS('Comp2016-2017 (3)'!$G$5:$G$289,'Comp2016-2017 (3)'!$A$5:$A$289,$D459,'Comp2016-2017 (3)'!$R$5:$R$289,$V459)*$AB459))</f>
        <v/>
      </c>
      <c r="AH459" s="2" t="str">
        <f>IF($W459=AH$3,$AB459,IF(NOT($W459=0),"",SUMIFS('Val-Vol (2)'!AH$4:AH$1116,'Val-Vol (2)'!$A$4:$A$1116,$D459,'Val-Vol (2)'!$V$4:$V$1116,$V459)/SUMIFS('Comp2016-2017 (3)'!$G$5:$G$289,'Comp2016-2017 (3)'!$A$5:$A$289,$D459,'Comp2016-2017 (3)'!$R$5:$R$289,$V459)*$AB459))</f>
        <v/>
      </c>
      <c r="AI459" s="2" t="str">
        <f>IF($W459=AI$3,$AB459,IF(NOT($W459=0),"",SUMIFS('Val-Vol (2)'!AI$4:AI$1116,'Val-Vol (2)'!$A$4:$A$1116,$D459,'Val-Vol (2)'!$V$4:$V$1116,$V459)/SUMIFS('Comp2016-2017 (3)'!$G$5:$G$289,'Comp2016-2017 (3)'!$A$5:$A$289,$D459,'Comp2016-2017 (3)'!$R$5:$R$289,$V459)*$AB459))</f>
        <v/>
      </c>
      <c r="AJ459" s="2" t="str">
        <f>IF($W459=AJ$3,$AB459,IF(NOT($W459=0),"",SUMIFS('Val-Vol (2)'!AJ$4:AJ$1116,'Val-Vol (2)'!$A$4:$A$1116,$D459,'Val-Vol (2)'!$V$4:$V$1116,$V459)/SUMIFS('Comp2016-2017 (3)'!$G$5:$G$289,'Comp2016-2017 (3)'!$A$5:$A$289,$D459,'Comp2016-2017 (3)'!$R$5:$R$289,$V459)*$AB459))</f>
        <v/>
      </c>
      <c r="AK459" s="2">
        <f t="shared" si="54"/>
        <v>0</v>
      </c>
      <c r="AL459" t="str">
        <f t="shared" si="56"/>
        <v/>
      </c>
      <c r="AM459" t="str">
        <f>VLOOKUP(A459,'Table corresp.'!$M$4:$U$63,8,FALSE)</f>
        <v>Production intermédiaire</v>
      </c>
      <c r="AN459" t="str">
        <f>VLOOKUP(D459,'Table corresp.'!$M$4:$U$63,9,FALSE)</f>
        <v>Production finale</v>
      </c>
    </row>
    <row r="460" spans="1:40" x14ac:dyDescent="0.25">
      <c r="A460" t="s">
        <v>5</v>
      </c>
      <c r="B460" t="str">
        <f>VLOOKUP(LEFT(A460,3),'Table corresp.'!$A$4:$D$63,3,FALSE)</f>
        <v>Transformation</v>
      </c>
      <c r="C460" t="str">
        <f>VLOOKUP(A460,'Table corresp.'!$M$4:$P$63,4,FALSE)</f>
        <v>Production et transformation de produits bois</v>
      </c>
      <c r="D460" t="s">
        <v>100</v>
      </c>
      <c r="E460" t="str">
        <f>VLOOKUP(LEFT(D460,3),'Table corresp.'!$A$4:$D$63,4,FALSE)</f>
        <v>Transformation</v>
      </c>
      <c r="F460" t="str">
        <f t="shared" si="55"/>
        <v xml:space="preserve">09  - 48 </v>
      </c>
      <c r="G460" s="3">
        <v>16162.9842289975</v>
      </c>
      <c r="H460" s="3">
        <v>0</v>
      </c>
      <c r="I460" s="3">
        <v>16162.977612261731</v>
      </c>
      <c r="J460" s="3">
        <v>68.869669654689645</v>
      </c>
      <c r="K460" s="3">
        <v>0</v>
      </c>
      <c r="L460" s="3">
        <v>68.869669654689645</v>
      </c>
      <c r="M460" s="3">
        <v>0</v>
      </c>
      <c r="N460" s="3">
        <v>0</v>
      </c>
      <c r="O460" s="3">
        <v>0</v>
      </c>
      <c r="P460" s="3">
        <v>0</v>
      </c>
      <c r="Q460" s="3">
        <v>0</v>
      </c>
      <c r="R460" s="3">
        <v>0</v>
      </c>
      <c r="S460" s="67"/>
      <c r="T460">
        <f>VLOOKUP(A460,'Groupe de branches'!$Z$27:$AM$86,14,FALSE)</f>
        <v>0</v>
      </c>
      <c r="U460">
        <f>VLOOKUP(D460,'Groupe de branches'!$Z$27:$AM$86,14,FALSE)</f>
        <v>0</v>
      </c>
      <c r="V460">
        <v>2017</v>
      </c>
      <c r="W460" t="str">
        <f>VLOOKUP(D460,'Table corresp.'!$M$4:$S$63,7,FALSE)</f>
        <v>Produits de consommation courante</v>
      </c>
      <c r="X460" s="167">
        <f>IFERROR(G460/SUMIFS('Comp2016-2017 (3)'!$I$5:$I$289,'Comp2016-2017 (3)'!$A$5:$A$289,A460,'Comp2016-2017 (3)'!$R$5:$R$289,V460),0)</f>
        <v>0.16726823959478196</v>
      </c>
      <c r="Y460" s="190">
        <f>IFERROR(IF(RIGHT(F460,3)="Exp",VLOOKUP(F460,#REF!,2,FALSE),VLOOKUP(F460,#REF!,9,FALSE)),1)</f>
        <v>1</v>
      </c>
      <c r="Z460" s="167">
        <f t="shared" si="53"/>
        <v>8.3333333333333329E-2</v>
      </c>
      <c r="AA460" s="189">
        <f t="shared" si="57"/>
        <v>1.3939019966231829E-2</v>
      </c>
      <c r="AB460" s="2">
        <f>IFERROR(SUMIFS('Comp2016-2017 (3)'!$G$5:$G$289,'Comp2016-2017 (3)'!$A$5:$A$289,A460,'Comp2016-2017 (3)'!$R$5:$R$289,V460)*AA460/SUMIFS($AA$4:$AA$1116,$A$4:$A$1116,A460,$V$4:$V$1116,V460),0)</f>
        <v>4321.9481932876151</v>
      </c>
      <c r="AC460" s="2" t="str">
        <f>IF($W460=AC$3,$AB460,IF(NOT($W460=0),"",SUMIFS('Val-Vol (2)'!AC$4:AC$1116,'Val-Vol (2)'!$A$4:$A$1116,$D460,'Val-Vol (2)'!$V$4:$V$1116,$V460)/SUMIFS('Comp2016-2017 (3)'!$G$5:$G$289,'Comp2016-2017 (3)'!$A$5:$A$289,$D460,'Comp2016-2017 (3)'!$R$5:$R$289,$V460)*$AB460))</f>
        <v/>
      </c>
      <c r="AD460" s="2" t="str">
        <f>IF($W460=AD$3,$AB460,IF(NOT($W460=0),"",SUMIFS('Val-Vol (2)'!AD$4:AD$1116,'Val-Vol (2)'!$A$4:$A$1116,$D460,'Val-Vol (2)'!$V$4:$V$1116,$V460)/SUMIFS('Comp2016-2017 (3)'!$G$5:$G$289,'Comp2016-2017 (3)'!$A$5:$A$289,$D460,'Comp2016-2017 (3)'!$R$5:$R$289,$V460)*$AB460))</f>
        <v/>
      </c>
      <c r="AE460" s="2" t="str">
        <f>IF($W460=AE$3,$AB460,IF(NOT($W460=0),"",SUMIFS('Val-Vol (2)'!AE$4:AE$1116,'Val-Vol (2)'!$A$4:$A$1116,$D460,'Val-Vol (2)'!$V$4:$V$1116,$V460)/SUMIFS('Comp2016-2017 (3)'!$G$5:$G$289,'Comp2016-2017 (3)'!$A$5:$A$289,$D460,'Comp2016-2017 (3)'!$R$5:$R$289,$V460)*$AB460))</f>
        <v/>
      </c>
      <c r="AF460" s="2" t="str">
        <f>IF($W460=AF$3,$AB460,IF(NOT($W460=0),"",SUMIFS('Val-Vol (2)'!AF$4:AF$1116,'Val-Vol (2)'!$A$4:$A$1116,$D460,'Val-Vol (2)'!$V$4:$V$1116,$V460)/SUMIFS('Comp2016-2017 (3)'!$G$5:$G$289,'Comp2016-2017 (3)'!$A$5:$A$289,$D460,'Comp2016-2017 (3)'!$R$5:$R$289,$V460)*$AB460))</f>
        <v/>
      </c>
      <c r="AG460" s="2" t="str">
        <f>IF($W460=AG$3,$AB460,IF(NOT($W460=0),"",SUMIFS('Val-Vol (2)'!AG$4:AG$1116,'Val-Vol (2)'!$A$4:$A$1116,$D460,'Val-Vol (2)'!$V$4:$V$1116,$V460)/SUMIFS('Comp2016-2017 (3)'!$G$5:$G$289,'Comp2016-2017 (3)'!$A$5:$A$289,$D460,'Comp2016-2017 (3)'!$R$5:$R$289,$V460)*$AB460))</f>
        <v/>
      </c>
      <c r="AH460" s="2" t="str">
        <f>IF($W460=AH$3,$AB460,IF(NOT($W460=0),"",SUMIFS('Val-Vol (2)'!AH$4:AH$1116,'Val-Vol (2)'!$A$4:$A$1116,$D460,'Val-Vol (2)'!$V$4:$V$1116,$V460)/SUMIFS('Comp2016-2017 (3)'!$G$5:$G$289,'Comp2016-2017 (3)'!$A$5:$A$289,$D460,'Comp2016-2017 (3)'!$R$5:$R$289,$V460)*$AB460))</f>
        <v/>
      </c>
      <c r="AI460" s="2">
        <f>IF($W460=AI$3,$AB460,IF(NOT($W460=0),"",SUMIFS('Val-Vol (2)'!AI$4:AI$1116,'Val-Vol (2)'!$A$4:$A$1116,$D460,'Val-Vol (2)'!$V$4:$V$1116,$V460)/SUMIFS('Comp2016-2017 (3)'!$G$5:$G$289,'Comp2016-2017 (3)'!$A$5:$A$289,$D460,'Comp2016-2017 (3)'!$R$5:$R$289,$V460)*$AB460))</f>
        <v>4321.9481932876151</v>
      </c>
      <c r="AJ460" s="2" t="str">
        <f>IF($W460=AJ$3,$AB460,IF(NOT($W460=0),"",SUMIFS('Val-Vol (2)'!AJ$4:AJ$1116,'Val-Vol (2)'!$A$4:$A$1116,$D460,'Val-Vol (2)'!$V$4:$V$1116,$V460)/SUMIFS('Comp2016-2017 (3)'!$G$5:$G$289,'Comp2016-2017 (3)'!$A$5:$A$289,$D460,'Comp2016-2017 (3)'!$R$5:$R$289,$V460)*$AB460))</f>
        <v/>
      </c>
      <c r="AK460" s="2">
        <f t="shared" si="54"/>
        <v>0</v>
      </c>
      <c r="AL460" t="str">
        <f t="shared" si="56"/>
        <v/>
      </c>
      <c r="AM460" t="str">
        <f>VLOOKUP(A460,'Table corresp.'!$M$4:$U$63,8,FALSE)</f>
        <v>Production intermédiaire</v>
      </c>
      <c r="AN460" t="str">
        <f>VLOOKUP(D460,'Table corresp.'!$M$4:$U$63,9,FALSE)</f>
        <v>Production finale</v>
      </c>
    </row>
    <row r="461" spans="1:40" x14ac:dyDescent="0.25">
      <c r="A461" t="s">
        <v>5</v>
      </c>
      <c r="B461" t="str">
        <f>VLOOKUP(LEFT(A461,3),'Table corresp.'!$A$4:$D$63,3,FALSE)</f>
        <v>Transformation</v>
      </c>
      <c r="C461" t="str">
        <f>VLOOKUP(A461,'Table corresp.'!$M$4:$P$63,4,FALSE)</f>
        <v>Production et transformation de produits bois</v>
      </c>
      <c r="D461" t="s">
        <v>19</v>
      </c>
      <c r="E461" t="str">
        <f>VLOOKUP(LEFT(D461,3),'Table corresp.'!$A$4:$D$63,4,FALSE)</f>
        <v>Transformation</v>
      </c>
      <c r="F461" t="str">
        <f t="shared" si="55"/>
        <v xml:space="preserve">09  - 52 </v>
      </c>
      <c r="G461" s="3">
        <v>8975.8704998248013</v>
      </c>
      <c r="H461" s="3">
        <v>938.72285100395186</v>
      </c>
      <c r="I461" s="3">
        <v>9914.5921233867666</v>
      </c>
      <c r="J461" s="3">
        <v>60.100443101598515</v>
      </c>
      <c r="K461" s="3">
        <v>2.4731237124483787</v>
      </c>
      <c r="L461" s="3">
        <v>62.573566814046892</v>
      </c>
      <c r="M461" s="3">
        <v>0</v>
      </c>
      <c r="N461" s="3">
        <v>0</v>
      </c>
      <c r="O461" s="3">
        <v>0</v>
      </c>
      <c r="P461" s="3">
        <v>0</v>
      </c>
      <c r="Q461" s="3">
        <v>0</v>
      </c>
      <c r="R461" s="3">
        <v>0</v>
      </c>
      <c r="S461" s="67"/>
      <c r="T461">
        <f>VLOOKUP(A461,'Groupe de branches'!$Z$27:$AM$86,14,FALSE)</f>
        <v>0</v>
      </c>
      <c r="U461">
        <f>VLOOKUP(D461,'Groupe de branches'!$Z$27:$AM$86,14,FALSE)</f>
        <v>0</v>
      </c>
      <c r="V461">
        <v>2017</v>
      </c>
      <c r="W461" t="str">
        <f>VLOOKUP(D461,'Table corresp.'!$M$4:$S$63,7,FALSE)</f>
        <v>Construction</v>
      </c>
      <c r="X461" s="167">
        <f>IFERROR(G461/SUMIFS('Comp2016-2017 (3)'!$I$5:$I$289,'Comp2016-2017 (3)'!$A$5:$A$289,A461,'Comp2016-2017 (3)'!$R$5:$R$289,V461),0)</f>
        <v>9.2889904244468358E-2</v>
      </c>
      <c r="Y461" s="190">
        <f>IFERROR(IF(RIGHT(F461,3)="Exp",VLOOKUP(F461,#REF!,2,FALSE),VLOOKUP(F461,#REF!,9,FALSE)),1)</f>
        <v>1</v>
      </c>
      <c r="Z461" s="167">
        <f t="shared" si="53"/>
        <v>8.3333333333333329E-2</v>
      </c>
      <c r="AA461" s="189">
        <f t="shared" si="57"/>
        <v>7.7408253537056965E-3</v>
      </c>
      <c r="AB461" s="2">
        <f>IFERROR(SUMIFS('Comp2016-2017 (3)'!$G$5:$G$289,'Comp2016-2017 (3)'!$A$5:$A$289,A461,'Comp2016-2017 (3)'!$R$5:$R$289,V461)*AA461/SUMIFS($AA$4:$AA$1116,$A$4:$A$1116,A461,$V$4:$V$1116,V461),0)</f>
        <v>2400.1290071361732</v>
      </c>
      <c r="AC461" s="2" t="str">
        <f>IF($W461=AC$3,$AB461,IF(NOT($W461=0),"",SUMIFS('Val-Vol (2)'!AC$4:AC$1116,'Val-Vol (2)'!$A$4:$A$1116,$D461,'Val-Vol (2)'!$V$4:$V$1116,$V461)/SUMIFS('Comp2016-2017 (3)'!$G$5:$G$289,'Comp2016-2017 (3)'!$A$5:$A$289,$D461,'Comp2016-2017 (3)'!$R$5:$R$289,$V461)*$AB461))</f>
        <v/>
      </c>
      <c r="AD461" s="2">
        <f>IF($W461=AD$3,$AB461,IF(NOT($W461=0),"",SUMIFS('Val-Vol (2)'!AD$4:AD$1116,'Val-Vol (2)'!$A$4:$A$1116,$D461,'Val-Vol (2)'!$V$4:$V$1116,$V461)/SUMIFS('Comp2016-2017 (3)'!$G$5:$G$289,'Comp2016-2017 (3)'!$A$5:$A$289,$D461,'Comp2016-2017 (3)'!$R$5:$R$289,$V461)*$AB461))</f>
        <v>2400.1290071361732</v>
      </c>
      <c r="AE461" s="2" t="str">
        <f>IF($W461=AE$3,$AB461,IF(NOT($W461=0),"",SUMIFS('Val-Vol (2)'!AE$4:AE$1116,'Val-Vol (2)'!$A$4:$A$1116,$D461,'Val-Vol (2)'!$V$4:$V$1116,$V461)/SUMIFS('Comp2016-2017 (3)'!$G$5:$G$289,'Comp2016-2017 (3)'!$A$5:$A$289,$D461,'Comp2016-2017 (3)'!$R$5:$R$289,$V461)*$AB461))</f>
        <v/>
      </c>
      <c r="AF461" s="2" t="str">
        <f>IF($W461=AF$3,$AB461,IF(NOT($W461=0),"",SUMIFS('Val-Vol (2)'!AF$4:AF$1116,'Val-Vol (2)'!$A$4:$A$1116,$D461,'Val-Vol (2)'!$V$4:$V$1116,$V461)/SUMIFS('Comp2016-2017 (3)'!$G$5:$G$289,'Comp2016-2017 (3)'!$A$5:$A$289,$D461,'Comp2016-2017 (3)'!$R$5:$R$289,$V461)*$AB461))</f>
        <v/>
      </c>
      <c r="AG461" s="2" t="str">
        <f>IF($W461=AG$3,$AB461,IF(NOT($W461=0),"",SUMIFS('Val-Vol (2)'!AG$4:AG$1116,'Val-Vol (2)'!$A$4:$A$1116,$D461,'Val-Vol (2)'!$V$4:$V$1116,$V461)/SUMIFS('Comp2016-2017 (3)'!$G$5:$G$289,'Comp2016-2017 (3)'!$A$5:$A$289,$D461,'Comp2016-2017 (3)'!$R$5:$R$289,$V461)*$AB461))</f>
        <v/>
      </c>
      <c r="AH461" s="2" t="str">
        <f>IF($W461=AH$3,$AB461,IF(NOT($W461=0),"",SUMIFS('Val-Vol (2)'!AH$4:AH$1116,'Val-Vol (2)'!$A$4:$A$1116,$D461,'Val-Vol (2)'!$V$4:$V$1116,$V461)/SUMIFS('Comp2016-2017 (3)'!$G$5:$G$289,'Comp2016-2017 (3)'!$A$5:$A$289,$D461,'Comp2016-2017 (3)'!$R$5:$R$289,$V461)*$AB461))</f>
        <v/>
      </c>
      <c r="AI461" s="2" t="str">
        <f>IF($W461=AI$3,$AB461,IF(NOT($W461=0),"",SUMIFS('Val-Vol (2)'!AI$4:AI$1116,'Val-Vol (2)'!$A$4:$A$1116,$D461,'Val-Vol (2)'!$V$4:$V$1116,$V461)/SUMIFS('Comp2016-2017 (3)'!$G$5:$G$289,'Comp2016-2017 (3)'!$A$5:$A$289,$D461,'Comp2016-2017 (3)'!$R$5:$R$289,$V461)*$AB461))</f>
        <v/>
      </c>
      <c r="AJ461" s="2" t="str">
        <f>IF($W461=AJ$3,$AB461,IF(NOT($W461=0),"",SUMIFS('Val-Vol (2)'!AJ$4:AJ$1116,'Val-Vol (2)'!$A$4:$A$1116,$D461,'Val-Vol (2)'!$V$4:$V$1116,$V461)/SUMIFS('Comp2016-2017 (3)'!$G$5:$G$289,'Comp2016-2017 (3)'!$A$5:$A$289,$D461,'Comp2016-2017 (3)'!$R$5:$R$289,$V461)*$AB461))</f>
        <v/>
      </c>
      <c r="AK461" s="2">
        <f t="shared" si="54"/>
        <v>0</v>
      </c>
      <c r="AL461" t="str">
        <f t="shared" si="56"/>
        <v/>
      </c>
      <c r="AM461" t="str">
        <f>VLOOKUP(A461,'Table corresp.'!$M$4:$U$63,8,FALSE)</f>
        <v>Production intermédiaire</v>
      </c>
      <c r="AN461" t="str">
        <f>VLOOKUP(D461,'Table corresp.'!$M$4:$U$63,9,FALSE)</f>
        <v xml:space="preserve">Mise en œuvre </v>
      </c>
    </row>
    <row r="462" spans="1:40" x14ac:dyDescent="0.25">
      <c r="A462" t="s">
        <v>5</v>
      </c>
      <c r="B462" t="str">
        <f>VLOOKUP(LEFT(A462,3),'Table corresp.'!$A$4:$D$63,3,FALSE)</f>
        <v>Transformation</v>
      </c>
      <c r="C462" t="str">
        <f>VLOOKUP(A462,'Table corresp.'!$M$4:$P$63,4,FALSE)</f>
        <v>Production et transformation de produits bois</v>
      </c>
      <c r="D462" t="s">
        <v>21</v>
      </c>
      <c r="E462" t="str">
        <f>VLOOKUP(LEFT(D462,3),'Table corresp.'!$A$4:$D$63,4,FALSE)</f>
        <v>Transformation</v>
      </c>
      <c r="F462" t="str">
        <f t="shared" si="55"/>
        <v xml:space="preserve">09  - 54 </v>
      </c>
      <c r="G462" s="3">
        <v>16926.007763231846</v>
      </c>
      <c r="H462" s="3">
        <v>892.23809246987105</v>
      </c>
      <c r="I462" s="3">
        <v>17818.241252488879</v>
      </c>
      <c r="J462" s="3">
        <v>66.110801971039123</v>
      </c>
      <c r="K462" s="3">
        <v>1.3712164235463651</v>
      </c>
      <c r="L462" s="3">
        <v>67.482018394585495</v>
      </c>
      <c r="M462" s="3">
        <v>0</v>
      </c>
      <c r="N462" s="3">
        <v>0</v>
      </c>
      <c r="O462" s="3">
        <v>0</v>
      </c>
      <c r="P462" s="3">
        <v>0</v>
      </c>
      <c r="Q462" s="3">
        <v>0</v>
      </c>
      <c r="R462" s="3">
        <v>0</v>
      </c>
      <c r="S462" s="67"/>
      <c r="T462">
        <f>VLOOKUP(A462,'Groupe de branches'!$Z$27:$AM$86,14,FALSE)</f>
        <v>0</v>
      </c>
      <c r="U462">
        <f>VLOOKUP(D462,'Groupe de branches'!$Z$27:$AM$86,14,FALSE)</f>
        <v>0</v>
      </c>
      <c r="V462">
        <v>2017</v>
      </c>
      <c r="W462" t="str">
        <f>VLOOKUP(D462,'Table corresp.'!$M$4:$S$63,7,FALSE)</f>
        <v>Construction</v>
      </c>
      <c r="X462" s="167">
        <f>IFERROR(G462/SUMIFS('Comp2016-2017 (3)'!$I$5:$I$289,'Comp2016-2017 (3)'!$A$5:$A$289,A462,'Comp2016-2017 (3)'!$R$5:$R$289,V462),0)</f>
        <v>0.17516465287666783</v>
      </c>
      <c r="Y462" s="190">
        <f>IFERROR(IF(RIGHT(F462,3)="Exp",VLOOKUP(F462,#REF!,2,FALSE),VLOOKUP(F462,#REF!,9,FALSE)),1)</f>
        <v>1</v>
      </c>
      <c r="Z462" s="167">
        <f t="shared" si="53"/>
        <v>8.3333333333333329E-2</v>
      </c>
      <c r="AA462" s="189">
        <f t="shared" si="57"/>
        <v>1.4597054406388985E-2</v>
      </c>
      <c r="AB462" s="2">
        <f>IFERROR(SUMIFS('Comp2016-2017 (3)'!$G$5:$G$289,'Comp2016-2017 (3)'!$A$5:$A$289,A462,'Comp2016-2017 (3)'!$R$5:$R$289,V462)*AA462/SUMIFS($AA$4:$AA$1116,$A$4:$A$1116,A462,$V$4:$V$1116,V462),0)</f>
        <v>4525.9790912021017</v>
      </c>
      <c r="AC462" s="2" t="str">
        <f>IF($W462=AC$3,$AB462,IF(NOT($W462=0),"",SUMIFS('Val-Vol (2)'!AC$4:AC$1116,'Val-Vol (2)'!$A$4:$A$1116,$D462,'Val-Vol (2)'!$V$4:$V$1116,$V462)/SUMIFS('Comp2016-2017 (3)'!$G$5:$G$289,'Comp2016-2017 (3)'!$A$5:$A$289,$D462,'Comp2016-2017 (3)'!$R$5:$R$289,$V462)*$AB462))</f>
        <v/>
      </c>
      <c r="AD462" s="2">
        <f>IF($W462=AD$3,$AB462,IF(NOT($W462=0),"",SUMIFS('Val-Vol (2)'!AD$4:AD$1116,'Val-Vol (2)'!$A$4:$A$1116,$D462,'Val-Vol (2)'!$V$4:$V$1116,$V462)/SUMIFS('Comp2016-2017 (3)'!$G$5:$G$289,'Comp2016-2017 (3)'!$A$5:$A$289,$D462,'Comp2016-2017 (3)'!$R$5:$R$289,$V462)*$AB462))</f>
        <v>4525.9790912021017</v>
      </c>
      <c r="AE462" s="2" t="str">
        <f>IF($W462=AE$3,$AB462,IF(NOT($W462=0),"",SUMIFS('Val-Vol (2)'!AE$4:AE$1116,'Val-Vol (2)'!$A$4:$A$1116,$D462,'Val-Vol (2)'!$V$4:$V$1116,$V462)/SUMIFS('Comp2016-2017 (3)'!$G$5:$G$289,'Comp2016-2017 (3)'!$A$5:$A$289,$D462,'Comp2016-2017 (3)'!$R$5:$R$289,$V462)*$AB462))</f>
        <v/>
      </c>
      <c r="AF462" s="2" t="str">
        <f>IF($W462=AF$3,$AB462,IF(NOT($W462=0),"",SUMIFS('Val-Vol (2)'!AF$4:AF$1116,'Val-Vol (2)'!$A$4:$A$1116,$D462,'Val-Vol (2)'!$V$4:$V$1116,$V462)/SUMIFS('Comp2016-2017 (3)'!$G$5:$G$289,'Comp2016-2017 (3)'!$A$5:$A$289,$D462,'Comp2016-2017 (3)'!$R$5:$R$289,$V462)*$AB462))</f>
        <v/>
      </c>
      <c r="AG462" s="2" t="str">
        <f>IF($W462=AG$3,$AB462,IF(NOT($W462=0),"",SUMIFS('Val-Vol (2)'!AG$4:AG$1116,'Val-Vol (2)'!$A$4:$A$1116,$D462,'Val-Vol (2)'!$V$4:$V$1116,$V462)/SUMIFS('Comp2016-2017 (3)'!$G$5:$G$289,'Comp2016-2017 (3)'!$A$5:$A$289,$D462,'Comp2016-2017 (3)'!$R$5:$R$289,$V462)*$AB462))</f>
        <v/>
      </c>
      <c r="AH462" s="2" t="str">
        <f>IF($W462=AH$3,$AB462,IF(NOT($W462=0),"",SUMIFS('Val-Vol (2)'!AH$4:AH$1116,'Val-Vol (2)'!$A$4:$A$1116,$D462,'Val-Vol (2)'!$V$4:$V$1116,$V462)/SUMIFS('Comp2016-2017 (3)'!$G$5:$G$289,'Comp2016-2017 (3)'!$A$5:$A$289,$D462,'Comp2016-2017 (3)'!$R$5:$R$289,$V462)*$AB462))</f>
        <v/>
      </c>
      <c r="AI462" s="2" t="str">
        <f>IF($W462=AI$3,$AB462,IF(NOT($W462=0),"",SUMIFS('Val-Vol (2)'!AI$4:AI$1116,'Val-Vol (2)'!$A$4:$A$1116,$D462,'Val-Vol (2)'!$V$4:$V$1116,$V462)/SUMIFS('Comp2016-2017 (3)'!$G$5:$G$289,'Comp2016-2017 (3)'!$A$5:$A$289,$D462,'Comp2016-2017 (3)'!$R$5:$R$289,$V462)*$AB462))</f>
        <v/>
      </c>
      <c r="AJ462" s="2" t="str">
        <f>IF($W462=AJ$3,$AB462,IF(NOT($W462=0),"",SUMIFS('Val-Vol (2)'!AJ$4:AJ$1116,'Val-Vol (2)'!$A$4:$A$1116,$D462,'Val-Vol (2)'!$V$4:$V$1116,$V462)/SUMIFS('Comp2016-2017 (3)'!$G$5:$G$289,'Comp2016-2017 (3)'!$A$5:$A$289,$D462,'Comp2016-2017 (3)'!$R$5:$R$289,$V462)*$AB462))</f>
        <v/>
      </c>
      <c r="AK462" s="2">
        <f t="shared" si="54"/>
        <v>0</v>
      </c>
      <c r="AL462" t="str">
        <f t="shared" si="56"/>
        <v/>
      </c>
      <c r="AM462" t="str">
        <f>VLOOKUP(A462,'Table corresp.'!$M$4:$U$63,8,FALSE)</f>
        <v>Production intermédiaire</v>
      </c>
      <c r="AN462" t="str">
        <f>VLOOKUP(D462,'Table corresp.'!$M$4:$U$63,9,FALSE)</f>
        <v xml:space="preserve">Mise en œuvre </v>
      </c>
    </row>
    <row r="463" spans="1:40" x14ac:dyDescent="0.25">
      <c r="A463" t="s">
        <v>5</v>
      </c>
      <c r="B463" t="str">
        <f>VLOOKUP(LEFT(A463,3),'Table corresp.'!$A$4:$D$63,3,FALSE)</f>
        <v>Transformation</v>
      </c>
      <c r="C463" t="str">
        <f>VLOOKUP(A463,'Table corresp.'!$M$4:$P$63,4,FALSE)</f>
        <v>Production et transformation de produits bois</v>
      </c>
      <c r="D463" t="s">
        <v>22</v>
      </c>
      <c r="E463" t="str">
        <f>VLOOKUP(LEFT(D463,3),'Table corresp.'!$A$4:$D$63,4,FALSE)</f>
        <v>Transformation</v>
      </c>
      <c r="F463" t="str">
        <f t="shared" si="55"/>
        <v xml:space="preserve">09  - 55 </v>
      </c>
      <c r="G463" s="3">
        <v>1571.8347260959599</v>
      </c>
      <c r="H463" s="3">
        <v>0</v>
      </c>
      <c r="I463" s="3">
        <v>1571.8340826247479</v>
      </c>
      <c r="J463" s="3">
        <v>6.1393835901379141</v>
      </c>
      <c r="K463" s="3">
        <v>0</v>
      </c>
      <c r="L463" s="3">
        <v>6.1393835901379141</v>
      </c>
      <c r="M463" s="3">
        <v>0</v>
      </c>
      <c r="N463" s="3">
        <v>0</v>
      </c>
      <c r="O463" s="3">
        <v>0</v>
      </c>
      <c r="P463" s="3">
        <v>0</v>
      </c>
      <c r="Q463" s="3">
        <v>0</v>
      </c>
      <c r="R463" s="3">
        <v>0</v>
      </c>
      <c r="S463" s="67"/>
      <c r="T463">
        <f>VLOOKUP(A463,'Groupe de branches'!$Z$27:$AM$86,14,FALSE)</f>
        <v>0</v>
      </c>
      <c r="U463">
        <f>VLOOKUP(D463,'Groupe de branches'!$Z$27:$AM$86,14,FALSE)</f>
        <v>0</v>
      </c>
      <c r="V463">
        <v>2017</v>
      </c>
      <c r="W463" t="str">
        <f>VLOOKUP(D463,'Table corresp.'!$M$4:$S$63,7,FALSE)</f>
        <v>Construction</v>
      </c>
      <c r="X463" s="167">
        <f>IFERROR(G463/SUMIFS('Comp2016-2017 (3)'!$I$5:$I$289,'Comp2016-2017 (3)'!$A$5:$A$289,A463,'Comp2016-2017 (3)'!$R$5:$R$289,V463),0)</f>
        <v>1.6266675995162114E-2</v>
      </c>
      <c r="Y463" s="190">
        <f>IFERROR(IF(RIGHT(F463,3)="Exp",VLOOKUP(F463,#REF!,2,FALSE),VLOOKUP(F463,#REF!,9,FALSE)),1)</f>
        <v>1</v>
      </c>
      <c r="Z463" s="167">
        <f t="shared" si="53"/>
        <v>8.3333333333333329E-2</v>
      </c>
      <c r="AA463" s="189">
        <f t="shared" si="57"/>
        <v>1.355556332930176E-3</v>
      </c>
      <c r="AB463" s="2">
        <f>IFERROR(SUMIFS('Comp2016-2017 (3)'!$G$5:$G$289,'Comp2016-2017 (3)'!$A$5:$A$289,A463,'Comp2016-2017 (3)'!$R$5:$R$289,V463)*AA463/SUMIFS($AA$4:$AA$1116,$A$4:$A$1116,A463,$V$4:$V$1116,V463),0)</f>
        <v>420.30531975706327</v>
      </c>
      <c r="AC463" s="2" t="str">
        <f>IF($W463=AC$3,$AB463,IF(NOT($W463=0),"",SUMIFS('Val-Vol (2)'!AC$4:AC$1116,'Val-Vol (2)'!$A$4:$A$1116,$D463,'Val-Vol (2)'!$V$4:$V$1116,$V463)/SUMIFS('Comp2016-2017 (3)'!$G$5:$G$289,'Comp2016-2017 (3)'!$A$5:$A$289,$D463,'Comp2016-2017 (3)'!$R$5:$R$289,$V463)*$AB463))</f>
        <v/>
      </c>
      <c r="AD463" s="2">
        <f>IF($W463=AD$3,$AB463,IF(NOT($W463=0),"",SUMIFS('Val-Vol (2)'!AD$4:AD$1116,'Val-Vol (2)'!$A$4:$A$1116,$D463,'Val-Vol (2)'!$V$4:$V$1116,$V463)/SUMIFS('Comp2016-2017 (3)'!$G$5:$G$289,'Comp2016-2017 (3)'!$A$5:$A$289,$D463,'Comp2016-2017 (3)'!$R$5:$R$289,$V463)*$AB463))</f>
        <v>420.30531975706327</v>
      </c>
      <c r="AE463" s="2" t="str">
        <f>IF($W463=AE$3,$AB463,IF(NOT($W463=0),"",SUMIFS('Val-Vol (2)'!AE$4:AE$1116,'Val-Vol (2)'!$A$4:$A$1116,$D463,'Val-Vol (2)'!$V$4:$V$1116,$V463)/SUMIFS('Comp2016-2017 (3)'!$G$5:$G$289,'Comp2016-2017 (3)'!$A$5:$A$289,$D463,'Comp2016-2017 (3)'!$R$5:$R$289,$V463)*$AB463))</f>
        <v/>
      </c>
      <c r="AF463" s="2" t="str">
        <f>IF($W463=AF$3,$AB463,IF(NOT($W463=0),"",SUMIFS('Val-Vol (2)'!AF$4:AF$1116,'Val-Vol (2)'!$A$4:$A$1116,$D463,'Val-Vol (2)'!$V$4:$V$1116,$V463)/SUMIFS('Comp2016-2017 (3)'!$G$5:$G$289,'Comp2016-2017 (3)'!$A$5:$A$289,$D463,'Comp2016-2017 (3)'!$R$5:$R$289,$V463)*$AB463))</f>
        <v/>
      </c>
      <c r="AG463" s="2" t="str">
        <f>IF($W463=AG$3,$AB463,IF(NOT($W463=0),"",SUMIFS('Val-Vol (2)'!AG$4:AG$1116,'Val-Vol (2)'!$A$4:$A$1116,$D463,'Val-Vol (2)'!$V$4:$V$1116,$V463)/SUMIFS('Comp2016-2017 (3)'!$G$5:$G$289,'Comp2016-2017 (3)'!$A$5:$A$289,$D463,'Comp2016-2017 (3)'!$R$5:$R$289,$V463)*$AB463))</f>
        <v/>
      </c>
      <c r="AH463" s="2" t="str">
        <f>IF($W463=AH$3,$AB463,IF(NOT($W463=0),"",SUMIFS('Val-Vol (2)'!AH$4:AH$1116,'Val-Vol (2)'!$A$4:$A$1116,$D463,'Val-Vol (2)'!$V$4:$V$1116,$V463)/SUMIFS('Comp2016-2017 (3)'!$G$5:$G$289,'Comp2016-2017 (3)'!$A$5:$A$289,$D463,'Comp2016-2017 (3)'!$R$5:$R$289,$V463)*$AB463))</f>
        <v/>
      </c>
      <c r="AI463" s="2" t="str">
        <f>IF($W463=AI$3,$AB463,IF(NOT($W463=0),"",SUMIFS('Val-Vol (2)'!AI$4:AI$1116,'Val-Vol (2)'!$A$4:$A$1116,$D463,'Val-Vol (2)'!$V$4:$V$1116,$V463)/SUMIFS('Comp2016-2017 (3)'!$G$5:$G$289,'Comp2016-2017 (3)'!$A$5:$A$289,$D463,'Comp2016-2017 (3)'!$R$5:$R$289,$V463)*$AB463))</f>
        <v/>
      </c>
      <c r="AJ463" s="2" t="str">
        <f>IF($W463=AJ$3,$AB463,IF(NOT($W463=0),"",SUMIFS('Val-Vol (2)'!AJ$4:AJ$1116,'Val-Vol (2)'!$A$4:$A$1116,$D463,'Val-Vol (2)'!$V$4:$V$1116,$V463)/SUMIFS('Comp2016-2017 (3)'!$G$5:$G$289,'Comp2016-2017 (3)'!$A$5:$A$289,$D463,'Comp2016-2017 (3)'!$R$5:$R$289,$V463)*$AB463))</f>
        <v/>
      </c>
      <c r="AK463" s="2">
        <f t="shared" si="54"/>
        <v>0</v>
      </c>
      <c r="AL463" t="str">
        <f t="shared" si="56"/>
        <v/>
      </c>
      <c r="AM463" t="str">
        <f>VLOOKUP(A463,'Table corresp.'!$M$4:$U$63,8,FALSE)</f>
        <v>Production intermédiaire</v>
      </c>
      <c r="AN463" t="str">
        <f>VLOOKUP(D463,'Table corresp.'!$M$4:$U$63,9,FALSE)</f>
        <v xml:space="preserve">Mise en œuvre </v>
      </c>
    </row>
    <row r="464" spans="1:40" x14ac:dyDescent="0.25">
      <c r="A464" t="s">
        <v>5</v>
      </c>
      <c r="B464" t="str">
        <f>VLOOKUP(LEFT(A464,3),'Table corresp.'!$A$4:$D$63,3,FALSE)</f>
        <v>Transformation</v>
      </c>
      <c r="C464" t="str">
        <f>VLOOKUP(A464,'Table corresp.'!$M$4:$P$63,4,FALSE)</f>
        <v>Production et transformation de produits bois</v>
      </c>
      <c r="D464" t="s">
        <v>54</v>
      </c>
      <c r="E464" t="str">
        <f>VLOOKUP(LEFT(D464,3),'Table corresp.'!$A$4:$D$63,4,FALSE)</f>
        <v>Consommation finale</v>
      </c>
      <c r="F464" t="str">
        <f t="shared" si="55"/>
        <v>09  - Con</v>
      </c>
      <c r="G464" s="3">
        <v>899.8159345472568</v>
      </c>
      <c r="H464" s="3">
        <v>736.26297852760524</v>
      </c>
      <c r="I464" s="3">
        <v>1636.0804640023414</v>
      </c>
      <c r="J464" s="3">
        <v>7.5983125157853468</v>
      </c>
      <c r="K464" s="3">
        <v>3.9566720553992512</v>
      </c>
      <c r="L464" s="3">
        <v>11.554984571184598</v>
      </c>
      <c r="M464" s="3">
        <v>0</v>
      </c>
      <c r="N464" s="3">
        <v>0</v>
      </c>
      <c r="O464" s="3">
        <v>0</v>
      </c>
      <c r="P464" s="3">
        <v>0</v>
      </c>
      <c r="Q464" s="3">
        <v>0</v>
      </c>
      <c r="R464" s="3">
        <v>0</v>
      </c>
      <c r="S464" s="67"/>
      <c r="T464">
        <f>VLOOKUP(A464,'Groupe de branches'!$Z$27:$AM$86,14,FALSE)</f>
        <v>0</v>
      </c>
      <c r="U464">
        <f>VLOOKUP(D464,'Groupe de branches'!$Z$27:$AM$86,14,FALSE)</f>
        <v>0</v>
      </c>
      <c r="V464">
        <v>2017</v>
      </c>
      <c r="W464" t="str">
        <f>VLOOKUP(D464,'Table corresp.'!$M$4:$S$63,7,FALSE)</f>
        <v>Consommation finale</v>
      </c>
      <c r="X464" s="167">
        <f>IFERROR(G464/SUMIFS('Comp2016-2017 (3)'!$I$5:$I$289,'Comp2016-2017 (3)'!$A$5:$A$289,A464,'Comp2016-2017 (3)'!$R$5:$R$289,V464),0)</f>
        <v>9.3120568082363658E-3</v>
      </c>
      <c r="Y464" s="190">
        <f>IFERROR(IF(RIGHT(F464,3)="Exp",VLOOKUP(F464,#REF!,2,FALSE),VLOOKUP(F464,#REF!,9,FALSE)),1)</f>
        <v>1</v>
      </c>
      <c r="Z464" s="167">
        <f t="shared" si="53"/>
        <v>8.3333333333333329E-2</v>
      </c>
      <c r="AA464" s="189">
        <f t="shared" si="57"/>
        <v>7.7600473401969708E-4</v>
      </c>
      <c r="AB464" s="2">
        <f>IFERROR(SUMIFS('Comp2016-2017 (3)'!$G$5:$G$289,'Comp2016-2017 (3)'!$A$5:$A$289,A464,'Comp2016-2017 (3)'!$R$5:$R$289,V464)*AA464/SUMIFS($AA$4:$AA$1116,$A$4:$A$1116,A464,$V$4:$V$1116,V464),0)</f>
        <v>240.60889978664127</v>
      </c>
      <c r="AC464" s="2" t="str">
        <f>IF($W464=AC$3,$AB464,IF(NOT($W464=0),"",SUMIFS('Val-Vol (2)'!AC$4:AC$1116,'Val-Vol (2)'!$A$4:$A$1116,$D464,'Val-Vol (2)'!$V$4:$V$1116,$V464)/SUMIFS('Comp2016-2017 (3)'!$G$5:$G$289,'Comp2016-2017 (3)'!$A$5:$A$289,$D464,'Comp2016-2017 (3)'!$R$5:$R$289,$V464)*$AB464))</f>
        <v/>
      </c>
      <c r="AD464" s="2" t="str">
        <f>IF($W464=AD$3,$AB464,IF(NOT($W464=0),"",SUMIFS('Val-Vol (2)'!AD$4:AD$1116,'Val-Vol (2)'!$A$4:$A$1116,$D464,'Val-Vol (2)'!$V$4:$V$1116,$V464)/SUMIFS('Comp2016-2017 (3)'!$G$5:$G$289,'Comp2016-2017 (3)'!$A$5:$A$289,$D464,'Comp2016-2017 (3)'!$R$5:$R$289,$V464)*$AB464))</f>
        <v/>
      </c>
      <c r="AE464" s="2" t="str">
        <f>IF($W464=AE$3,$AB464,IF(NOT($W464=0),"",SUMIFS('Val-Vol (2)'!AE$4:AE$1116,'Val-Vol (2)'!$A$4:$A$1116,$D464,'Val-Vol (2)'!$V$4:$V$1116,$V464)/SUMIFS('Comp2016-2017 (3)'!$G$5:$G$289,'Comp2016-2017 (3)'!$A$5:$A$289,$D464,'Comp2016-2017 (3)'!$R$5:$R$289,$V464)*$AB464))</f>
        <v/>
      </c>
      <c r="AF464" s="2" t="str">
        <f>IF($W464=AF$3,$AB464,IF(NOT($W464=0),"",SUMIFS('Val-Vol (2)'!AF$4:AF$1116,'Val-Vol (2)'!$A$4:$A$1116,$D464,'Val-Vol (2)'!$V$4:$V$1116,$V464)/SUMIFS('Comp2016-2017 (3)'!$G$5:$G$289,'Comp2016-2017 (3)'!$A$5:$A$289,$D464,'Comp2016-2017 (3)'!$R$5:$R$289,$V464)*$AB464))</f>
        <v/>
      </c>
      <c r="AG464" s="2" t="str">
        <f>IF($W464=AG$3,$AB464,IF(NOT($W464=0),"",SUMIFS('Val-Vol (2)'!AG$4:AG$1116,'Val-Vol (2)'!$A$4:$A$1116,$D464,'Val-Vol (2)'!$V$4:$V$1116,$V464)/SUMIFS('Comp2016-2017 (3)'!$G$5:$G$289,'Comp2016-2017 (3)'!$A$5:$A$289,$D464,'Comp2016-2017 (3)'!$R$5:$R$289,$V464)*$AB464))</f>
        <v/>
      </c>
      <c r="AH464" s="2" t="str">
        <f>IF($W464=AH$3,$AB464,IF(NOT($W464=0),"",SUMIFS('Val-Vol (2)'!AH$4:AH$1116,'Val-Vol (2)'!$A$4:$A$1116,$D464,'Val-Vol (2)'!$V$4:$V$1116,$V464)/SUMIFS('Comp2016-2017 (3)'!$G$5:$G$289,'Comp2016-2017 (3)'!$A$5:$A$289,$D464,'Comp2016-2017 (3)'!$R$5:$R$289,$V464)*$AB464))</f>
        <v/>
      </c>
      <c r="AI464" s="2" t="str">
        <f>IF($W464=AI$3,$AB464,IF(NOT($W464=0),"",SUMIFS('Val-Vol (2)'!AI$4:AI$1116,'Val-Vol (2)'!$A$4:$A$1116,$D464,'Val-Vol (2)'!$V$4:$V$1116,$V464)/SUMIFS('Comp2016-2017 (3)'!$G$5:$G$289,'Comp2016-2017 (3)'!$A$5:$A$289,$D464,'Comp2016-2017 (3)'!$R$5:$R$289,$V464)*$AB464))</f>
        <v/>
      </c>
      <c r="AJ464" s="2">
        <f>IF($W464=AJ$3,$AB464,IF(NOT($W464=0),"",SUMIFS('Val-Vol (2)'!AJ$4:AJ$1116,'Val-Vol (2)'!$A$4:$A$1116,$D464,'Val-Vol (2)'!$V$4:$V$1116,$V464)/SUMIFS('Comp2016-2017 (3)'!$G$5:$G$289,'Comp2016-2017 (3)'!$A$5:$A$289,$D464,'Comp2016-2017 (3)'!$R$5:$R$289,$V464)*$AB464))</f>
        <v>240.60889978664127</v>
      </c>
      <c r="AK464" s="2">
        <f t="shared" si="54"/>
        <v>0</v>
      </c>
      <c r="AL464" t="str">
        <f t="shared" si="56"/>
        <v/>
      </c>
      <c r="AM464" t="str">
        <f>VLOOKUP(A464,'Table corresp.'!$M$4:$U$63,8,FALSE)</f>
        <v>Production intermédiaire</v>
      </c>
      <c r="AN464" t="str">
        <f>VLOOKUP(D464,'Table corresp.'!$M$4:$U$63,9,FALSE)</f>
        <v>Consommation finale française</v>
      </c>
    </row>
    <row r="465" spans="1:40" x14ac:dyDescent="0.25">
      <c r="A465" t="s">
        <v>5</v>
      </c>
      <c r="B465" t="str">
        <f>VLOOKUP(LEFT(A465,3),'Table corresp.'!$A$4:$D$63,3,FALSE)</f>
        <v>Transformation</v>
      </c>
      <c r="C465" t="str">
        <f>VLOOKUP(A465,'Table corresp.'!$M$4:$P$63,4,FALSE)</f>
        <v>Production et transformation de produits bois</v>
      </c>
      <c r="D465" t="s">
        <v>53</v>
      </c>
      <c r="E465" t="str">
        <f>VLOOKUP(LEFT(D465,3),'Table corresp.'!$A$4:$D$63,4,FALSE)</f>
        <v>Exportation</v>
      </c>
      <c r="F465" t="str">
        <f t="shared" si="55"/>
        <v>09  - Exp</v>
      </c>
      <c r="G465" s="3">
        <v>35430.063504213154</v>
      </c>
      <c r="H465" s="3">
        <v>0</v>
      </c>
      <c r="I465" s="3">
        <v>35430.048999999999</v>
      </c>
      <c r="J465" s="3">
        <v>286.24062749229603</v>
      </c>
      <c r="K465" s="3">
        <v>0</v>
      </c>
      <c r="L465" s="3">
        <v>286.24062749229603</v>
      </c>
      <c r="M465" s="3">
        <v>0</v>
      </c>
      <c r="N465" s="3">
        <v>0</v>
      </c>
      <c r="O465" s="3">
        <v>0</v>
      </c>
      <c r="P465" s="3">
        <v>0</v>
      </c>
      <c r="Q465" s="3">
        <v>0</v>
      </c>
      <c r="R465" s="3">
        <v>0</v>
      </c>
      <c r="S465" s="67"/>
      <c r="T465">
        <f>VLOOKUP(A465,'Groupe de branches'!$Z$27:$AM$86,14,FALSE)</f>
        <v>0</v>
      </c>
      <c r="U465">
        <f>VLOOKUP(D465,'Groupe de branches'!$Z$27:$AM$86,14,FALSE)</f>
        <v>0</v>
      </c>
      <c r="V465">
        <v>2017</v>
      </c>
      <c r="W465" t="str">
        <f>VLOOKUP(D465,'Table corresp.'!$M$4:$S$63,7,FALSE)</f>
        <v>Exportation</v>
      </c>
      <c r="X465" s="167">
        <f>IFERROR(G465/SUMIFS('Comp2016-2017 (3)'!$I$5:$I$289,'Comp2016-2017 (3)'!$A$5:$A$289,A465,'Comp2016-2017 (3)'!$R$5:$R$289,V465),0)</f>
        <v>0.366660281734906</v>
      </c>
      <c r="Y465" s="190">
        <f>IFERROR(IF(RIGHT(F465,3)="Exp",VLOOKUP(F465,#REF!,2,FALSE),VLOOKUP(F465,#REF!,9,FALSE)),1)</f>
        <v>1</v>
      </c>
      <c r="Z465" s="167">
        <f t="shared" si="53"/>
        <v>8.3333333333333329E-2</v>
      </c>
      <c r="AA465" s="189">
        <f t="shared" si="57"/>
        <v>3.0555023477908831E-2</v>
      </c>
      <c r="AB465" s="2">
        <f>IFERROR(SUMIFS('Comp2016-2017 (3)'!$G$5:$G$289,'Comp2016-2017 (3)'!$A$5:$A$289,A465,'Comp2016-2017 (3)'!$R$5:$R$289,V465)*AA465/SUMIFS($AA$4:$AA$1116,$A$4:$A$1116,A465,$V$4:$V$1116,V465),0)</f>
        <v>9473.9249126642935</v>
      </c>
      <c r="AC465" s="2">
        <f>IF($W465=AC$3,$AB465,IF(NOT($W465=0),"",SUMIFS('Val-Vol (2)'!AC$4:AC$1116,'Val-Vol (2)'!$A$4:$A$1116,$D465,'Val-Vol (2)'!$V$4:$V$1116,$V465)/SUMIFS('Comp2016-2017 (3)'!$G$5:$G$289,'Comp2016-2017 (3)'!$A$5:$A$289,$D465,'Comp2016-2017 (3)'!$R$5:$R$289,$V465)*$AB465))</f>
        <v>9473.9249126642935</v>
      </c>
      <c r="AD465" s="2" t="str">
        <f>IF($W465=AD$3,$AB465,IF(NOT($W465=0),"",SUMIFS('Val-Vol (2)'!AD$4:AD$1116,'Val-Vol (2)'!$A$4:$A$1116,$D465,'Val-Vol (2)'!$V$4:$V$1116,$V465)/SUMIFS('Comp2016-2017 (3)'!$G$5:$G$289,'Comp2016-2017 (3)'!$A$5:$A$289,$D465,'Comp2016-2017 (3)'!$R$5:$R$289,$V465)*$AB465))</f>
        <v/>
      </c>
      <c r="AE465" s="2" t="str">
        <f>IF($W465=AE$3,$AB465,IF(NOT($W465=0),"",SUMIFS('Val-Vol (2)'!AE$4:AE$1116,'Val-Vol (2)'!$A$4:$A$1116,$D465,'Val-Vol (2)'!$V$4:$V$1116,$V465)/SUMIFS('Comp2016-2017 (3)'!$G$5:$G$289,'Comp2016-2017 (3)'!$A$5:$A$289,$D465,'Comp2016-2017 (3)'!$R$5:$R$289,$V465)*$AB465))</f>
        <v/>
      </c>
      <c r="AF465" s="2" t="str">
        <f>IF($W465=AF$3,$AB465,IF(NOT($W465=0),"",SUMIFS('Val-Vol (2)'!AF$4:AF$1116,'Val-Vol (2)'!$A$4:$A$1116,$D465,'Val-Vol (2)'!$V$4:$V$1116,$V465)/SUMIFS('Comp2016-2017 (3)'!$G$5:$G$289,'Comp2016-2017 (3)'!$A$5:$A$289,$D465,'Comp2016-2017 (3)'!$R$5:$R$289,$V465)*$AB465))</f>
        <v/>
      </c>
      <c r="AG465" s="2" t="str">
        <f>IF($W465=AG$3,$AB465,IF(NOT($W465=0),"",SUMIFS('Val-Vol (2)'!AG$4:AG$1116,'Val-Vol (2)'!$A$4:$A$1116,$D465,'Val-Vol (2)'!$V$4:$V$1116,$V465)/SUMIFS('Comp2016-2017 (3)'!$G$5:$G$289,'Comp2016-2017 (3)'!$A$5:$A$289,$D465,'Comp2016-2017 (3)'!$R$5:$R$289,$V465)*$AB465))</f>
        <v/>
      </c>
      <c r="AH465" s="2" t="str">
        <f>IF($W465=AH$3,$AB465,IF(NOT($W465=0),"",SUMIFS('Val-Vol (2)'!AH$4:AH$1116,'Val-Vol (2)'!$A$4:$A$1116,$D465,'Val-Vol (2)'!$V$4:$V$1116,$V465)/SUMIFS('Comp2016-2017 (3)'!$G$5:$G$289,'Comp2016-2017 (3)'!$A$5:$A$289,$D465,'Comp2016-2017 (3)'!$R$5:$R$289,$V465)*$AB465))</f>
        <v/>
      </c>
      <c r="AI465" s="2" t="str">
        <f>IF($W465=AI$3,$AB465,IF(NOT($W465=0),"",SUMIFS('Val-Vol (2)'!AI$4:AI$1116,'Val-Vol (2)'!$A$4:$A$1116,$D465,'Val-Vol (2)'!$V$4:$V$1116,$V465)/SUMIFS('Comp2016-2017 (3)'!$G$5:$G$289,'Comp2016-2017 (3)'!$A$5:$A$289,$D465,'Comp2016-2017 (3)'!$R$5:$R$289,$V465)*$AB465))</f>
        <v/>
      </c>
      <c r="AJ465" s="2" t="str">
        <f>IF($W465=AJ$3,$AB465,IF(NOT($W465=0),"",SUMIFS('Val-Vol (2)'!AJ$4:AJ$1116,'Val-Vol (2)'!$A$4:$A$1116,$D465,'Val-Vol (2)'!$V$4:$V$1116,$V465)/SUMIFS('Comp2016-2017 (3)'!$G$5:$G$289,'Comp2016-2017 (3)'!$A$5:$A$289,$D465,'Comp2016-2017 (3)'!$R$5:$R$289,$V465)*$AB465))</f>
        <v/>
      </c>
      <c r="AK465" s="2">
        <f t="shared" si="54"/>
        <v>0</v>
      </c>
      <c r="AL465" t="str">
        <f t="shared" si="56"/>
        <v/>
      </c>
      <c r="AM465" t="str">
        <f>VLOOKUP(A465,'Table corresp.'!$M$4:$U$63,8,FALSE)</f>
        <v>Production intermédiaire</v>
      </c>
      <c r="AN465" t="str">
        <f>VLOOKUP(D465,'Table corresp.'!$M$4:$U$63,9,FALSE)</f>
        <v>Exportation</v>
      </c>
    </row>
    <row r="466" spans="1:40" x14ac:dyDescent="0.25">
      <c r="A466" t="s">
        <v>82</v>
      </c>
      <c r="B466" t="str">
        <f>VLOOKUP(LEFT(A466,3),'Table corresp.'!$A$4:$D$63,3,FALSE)</f>
        <v>Transformation</v>
      </c>
      <c r="C466" t="str">
        <f>VLOOKUP(A466,'Table corresp.'!$M$4:$P$63,4,FALSE)</f>
        <v>Production et transformation de produits bois</v>
      </c>
      <c r="D466" t="s">
        <v>13</v>
      </c>
      <c r="E466" t="str">
        <f>VLOOKUP(LEFT(D466,3),'Table corresp.'!$A$4:$D$63,4,FALSE)</f>
        <v>Transformation</v>
      </c>
      <c r="F466" t="str">
        <f t="shared" si="55"/>
        <v xml:space="preserve">10  - 20 </v>
      </c>
      <c r="G466" s="3">
        <v>1615.222716963189</v>
      </c>
      <c r="H466" s="3">
        <v>864.34364181521789</v>
      </c>
      <c r="I466" s="3">
        <v>2479.5669344065795</v>
      </c>
      <c r="J466" s="3">
        <v>8.8208307586832504</v>
      </c>
      <c r="K466" s="3">
        <v>2.823652080657534</v>
      </c>
      <c r="L466" s="3">
        <v>11.644482839340785</v>
      </c>
      <c r="M466" s="3">
        <v>0</v>
      </c>
      <c r="N466" s="3">
        <v>0</v>
      </c>
      <c r="O466" s="3">
        <v>0</v>
      </c>
      <c r="P466" s="3">
        <v>0</v>
      </c>
      <c r="Q466" s="3">
        <v>0</v>
      </c>
      <c r="R466" s="3">
        <v>0</v>
      </c>
      <c r="S466" s="67"/>
      <c r="T466">
        <f>VLOOKUP(A466,'Groupe de branches'!$Z$27:$AM$86,14,FALSE)</f>
        <v>0</v>
      </c>
      <c r="U466">
        <f>VLOOKUP(D466,'Groupe de branches'!$Z$27:$AM$86,14,FALSE)</f>
        <v>0</v>
      </c>
      <c r="V466">
        <v>2017</v>
      </c>
      <c r="W466">
        <f>VLOOKUP(D466,'Table corresp.'!$M$4:$S$63,7,FALSE)</f>
        <v>0</v>
      </c>
      <c r="X466" s="167">
        <f>IFERROR(G466/SUMIFS('Comp2016-2017 (3)'!$I$5:$I$289,'Comp2016-2017 (3)'!$A$5:$A$289,A466,'Comp2016-2017 (3)'!$R$5:$R$289,V466),0)</f>
        <v>1.9017741340913753E-2</v>
      </c>
      <c r="Y466" s="190">
        <f>IFERROR(IF(RIGHT(F466,3)="Exp",VLOOKUP(F466,#REF!,2,FALSE),VLOOKUP(F466,#REF!,9,FALSE)),1)</f>
        <v>1</v>
      </c>
      <c r="Z466" s="167">
        <f t="shared" si="53"/>
        <v>7.6923076923076927E-2</v>
      </c>
      <c r="AA466" s="189">
        <f t="shared" si="57"/>
        <v>1.4629031800702887E-3</v>
      </c>
      <c r="AB466" s="2">
        <f>IFERROR(SUMIFS('Comp2016-2017 (3)'!$G$5:$G$289,'Comp2016-2017 (3)'!$A$5:$A$289,A466,'Comp2016-2017 (3)'!$R$5:$R$289,V466)*AA466/SUMIFS($AA$4:$AA$1116,$A$4:$A$1116,A466,$V$4:$V$1116,V466),0)</f>
        <v>573.01342259791727</v>
      </c>
      <c r="AC466" s="2">
        <f>IF($W466=AC$3,$AB466,IF(NOT($W466=0),"",SUMIFS('Val-Vol (2)'!AC$4:AC$1116,'Val-Vol (2)'!$A$4:$A$1116,$D466,'Val-Vol (2)'!$V$4:$V$1116,$V466)/SUMIFS('Comp2016-2017 (3)'!$G$5:$G$289,'Comp2016-2017 (3)'!$A$5:$A$289,$D466,'Comp2016-2017 (3)'!$R$5:$R$289,$V466)*$AB466))</f>
        <v>64.145042664693804</v>
      </c>
      <c r="AD466" s="2">
        <f>IF($W466=AD$3,$AB466,IF(NOT($W466=0),"",SUMIFS('Val-Vol (2)'!AD$4:AD$1116,'Val-Vol (2)'!$A$4:$A$1116,$D466,'Val-Vol (2)'!$V$4:$V$1116,$V466)/SUMIFS('Comp2016-2017 (3)'!$G$5:$G$289,'Comp2016-2017 (3)'!$A$5:$A$289,$D466,'Comp2016-2017 (3)'!$R$5:$R$289,$V466)*$AB466))</f>
        <v>314.47924895899069</v>
      </c>
      <c r="AE466" s="2">
        <f>IF($W466=AE$3,$AB466,IF(NOT($W466=0),"",SUMIFS('Val-Vol (2)'!AE$4:AE$1116,'Val-Vol (2)'!$A$4:$A$1116,$D466,'Val-Vol (2)'!$V$4:$V$1116,$V466)/SUMIFS('Comp2016-2017 (3)'!$G$5:$G$289,'Comp2016-2017 (3)'!$A$5:$A$289,$D466,'Comp2016-2017 (3)'!$R$5:$R$289,$V466)*$AB466))</f>
        <v>0</v>
      </c>
      <c r="AF466" s="2">
        <f>IF($W466=AF$3,$AB466,IF(NOT($W466=0),"",SUMIFS('Val-Vol (2)'!AF$4:AF$1116,'Val-Vol (2)'!$A$4:$A$1116,$D466,'Val-Vol (2)'!$V$4:$V$1116,$V466)/SUMIFS('Comp2016-2017 (3)'!$G$5:$G$289,'Comp2016-2017 (3)'!$A$5:$A$289,$D466,'Comp2016-2017 (3)'!$R$5:$R$289,$V466)*$AB466))</f>
        <v>0</v>
      </c>
      <c r="AG466" s="2">
        <f>IF($W466=AG$3,$AB466,IF(NOT($W466=0),"",SUMIFS('Val-Vol (2)'!AG$4:AG$1116,'Val-Vol (2)'!$A$4:$A$1116,$D466,'Val-Vol (2)'!$V$4:$V$1116,$V466)/SUMIFS('Comp2016-2017 (3)'!$G$5:$G$289,'Comp2016-2017 (3)'!$A$5:$A$289,$D466,'Comp2016-2017 (3)'!$R$5:$R$289,$V466)*$AB466))</f>
        <v>0</v>
      </c>
      <c r="AH466" s="2">
        <f>IF($W466=AH$3,$AB466,IF(NOT($W466=0),"",SUMIFS('Val-Vol (2)'!AH$4:AH$1116,'Val-Vol (2)'!$A$4:$A$1116,$D466,'Val-Vol (2)'!$V$4:$V$1116,$V466)/SUMIFS('Comp2016-2017 (3)'!$G$5:$G$289,'Comp2016-2017 (3)'!$A$5:$A$289,$D466,'Comp2016-2017 (3)'!$R$5:$R$289,$V466)*$AB466))</f>
        <v>0</v>
      </c>
      <c r="AI466" s="2">
        <f>IF($W466=AI$3,$AB466,IF(NOT($W466=0),"",SUMIFS('Val-Vol (2)'!AI$4:AI$1116,'Val-Vol (2)'!$A$4:$A$1116,$D466,'Val-Vol (2)'!$V$4:$V$1116,$V466)/SUMIFS('Comp2016-2017 (3)'!$G$5:$G$289,'Comp2016-2017 (3)'!$A$5:$A$289,$D466,'Comp2016-2017 (3)'!$R$5:$R$289,$V466)*$AB466))</f>
        <v>0</v>
      </c>
      <c r="AJ466" s="2">
        <f>IF($W466=AJ$3,$AB466,IF(NOT($W466=0),"",SUMIFS('Val-Vol (2)'!AJ$4:AJ$1116,'Val-Vol (2)'!$A$4:$A$1116,$D466,'Val-Vol (2)'!$V$4:$V$1116,$V466)/SUMIFS('Comp2016-2017 (3)'!$G$5:$G$289,'Comp2016-2017 (3)'!$A$5:$A$289,$D466,'Comp2016-2017 (3)'!$R$5:$R$289,$V466)*$AB466))</f>
        <v>194.38913097423276</v>
      </c>
      <c r="AK466" s="2">
        <f t="shared" si="54"/>
        <v>0</v>
      </c>
      <c r="AL466" t="str">
        <f t="shared" si="56"/>
        <v/>
      </c>
      <c r="AM466" t="str">
        <f>VLOOKUP(A466,'Table corresp.'!$M$4:$U$63,8,FALSE)</f>
        <v>Production intermédiaire</v>
      </c>
      <c r="AN466" t="str">
        <f>VLOOKUP(D466,'Table corresp.'!$M$4:$U$63,9,FALSE)</f>
        <v>Production intermédiaire</v>
      </c>
    </row>
    <row r="467" spans="1:40" x14ac:dyDescent="0.25">
      <c r="A467" t="s">
        <v>82</v>
      </c>
      <c r="B467" t="str">
        <f>VLOOKUP(LEFT(A467,3),'Table corresp.'!$A$4:$D$63,3,FALSE)</f>
        <v>Transformation</v>
      </c>
      <c r="C467" t="str">
        <f>VLOOKUP(A467,'Table corresp.'!$M$4:$P$63,4,FALSE)</f>
        <v>Production et transformation de produits bois</v>
      </c>
      <c r="D467" t="s">
        <v>89</v>
      </c>
      <c r="E467" t="str">
        <f>VLOOKUP(LEFT(D467,3),'Table corresp.'!$A$4:$D$63,4,FALSE)</f>
        <v>Transformation</v>
      </c>
      <c r="F467" t="str">
        <f t="shared" si="55"/>
        <v xml:space="preserve">10  - 33 </v>
      </c>
      <c r="G467" s="3">
        <v>0.46055713086640154</v>
      </c>
      <c r="H467" s="3">
        <v>836.71787320770295</v>
      </c>
      <c r="I467" s="3">
        <v>837.1786267687296</v>
      </c>
      <c r="J467" s="3">
        <v>2.5309492961158499E-3</v>
      </c>
      <c r="K467" s="3">
        <v>2.7505949822679008</v>
      </c>
      <c r="L467" s="3">
        <v>2.7531259315640164</v>
      </c>
      <c r="M467" s="3">
        <v>0</v>
      </c>
      <c r="N467" s="3">
        <v>0</v>
      </c>
      <c r="O467" s="3">
        <v>0</v>
      </c>
      <c r="P467" s="3">
        <v>0</v>
      </c>
      <c r="Q467" s="3">
        <v>0</v>
      </c>
      <c r="R467" s="3">
        <v>0</v>
      </c>
      <c r="S467" s="67"/>
      <c r="T467">
        <f>VLOOKUP(A467,'Groupe de branches'!$Z$27:$AM$86,14,FALSE)</f>
        <v>0</v>
      </c>
      <c r="U467">
        <f>VLOOKUP(D467,'Groupe de branches'!$Z$27:$AM$86,14,FALSE)</f>
        <v>0</v>
      </c>
      <c r="V467">
        <v>2017</v>
      </c>
      <c r="W467" t="str">
        <f>VLOOKUP(D467,'Table corresp.'!$M$4:$S$63,7,FALSE)</f>
        <v>Construction</v>
      </c>
      <c r="X467" s="167">
        <f>IFERROR(G467/SUMIFS('Comp2016-2017 (3)'!$I$5:$I$289,'Comp2016-2017 (3)'!$A$5:$A$289,A467,'Comp2016-2017 (3)'!$R$5:$R$289,V467),0)</f>
        <v>5.4226307589321762E-6</v>
      </c>
      <c r="Y467" s="190">
        <f>IFERROR(IF(RIGHT(F467,3)="Exp",VLOOKUP(F467,#REF!,2,FALSE),VLOOKUP(F467,#REF!,9,FALSE)),1)</f>
        <v>1</v>
      </c>
      <c r="Z467" s="167">
        <f t="shared" si="53"/>
        <v>7.6923076923076927E-2</v>
      </c>
      <c r="AA467" s="189">
        <f t="shared" si="57"/>
        <v>4.1712544299478282E-7</v>
      </c>
      <c r="AB467" s="2">
        <f>IFERROR(SUMIFS('Comp2016-2017 (3)'!$G$5:$G$289,'Comp2016-2017 (3)'!$A$5:$A$289,A467,'Comp2016-2017 (3)'!$R$5:$R$289,V467)*AA467/SUMIFS($AA$4:$AA$1116,$A$4:$A$1116,A467,$V$4:$V$1116,V467),0)</f>
        <v>0.16338639562710414</v>
      </c>
      <c r="AC467" s="2" t="str">
        <f>IF($W467=AC$3,$AB467,IF(NOT($W467=0),"",SUMIFS('Val-Vol (2)'!AC$4:AC$1116,'Val-Vol (2)'!$A$4:$A$1116,$D467,'Val-Vol (2)'!$V$4:$V$1116,$V467)/SUMIFS('Comp2016-2017 (3)'!$G$5:$G$289,'Comp2016-2017 (3)'!$A$5:$A$289,$D467,'Comp2016-2017 (3)'!$R$5:$R$289,$V467)*$AB467))</f>
        <v/>
      </c>
      <c r="AD467" s="2">
        <f>IF($W467=AD$3,$AB467,IF(NOT($W467=0),"",SUMIFS('Val-Vol (2)'!AD$4:AD$1116,'Val-Vol (2)'!$A$4:$A$1116,$D467,'Val-Vol (2)'!$V$4:$V$1116,$V467)/SUMIFS('Comp2016-2017 (3)'!$G$5:$G$289,'Comp2016-2017 (3)'!$A$5:$A$289,$D467,'Comp2016-2017 (3)'!$R$5:$R$289,$V467)*$AB467))</f>
        <v>0.16338639562710414</v>
      </c>
      <c r="AE467" s="2" t="str">
        <f>IF($W467=AE$3,$AB467,IF(NOT($W467=0),"",SUMIFS('Val-Vol (2)'!AE$4:AE$1116,'Val-Vol (2)'!$A$4:$A$1116,$D467,'Val-Vol (2)'!$V$4:$V$1116,$V467)/SUMIFS('Comp2016-2017 (3)'!$G$5:$G$289,'Comp2016-2017 (3)'!$A$5:$A$289,$D467,'Comp2016-2017 (3)'!$R$5:$R$289,$V467)*$AB467))</f>
        <v/>
      </c>
      <c r="AF467" s="2" t="str">
        <f>IF($W467=AF$3,$AB467,IF(NOT($W467=0),"",SUMIFS('Val-Vol (2)'!AF$4:AF$1116,'Val-Vol (2)'!$A$4:$A$1116,$D467,'Val-Vol (2)'!$V$4:$V$1116,$V467)/SUMIFS('Comp2016-2017 (3)'!$G$5:$G$289,'Comp2016-2017 (3)'!$A$5:$A$289,$D467,'Comp2016-2017 (3)'!$R$5:$R$289,$V467)*$AB467))</f>
        <v/>
      </c>
      <c r="AG467" s="2" t="str">
        <f>IF($W467=AG$3,$AB467,IF(NOT($W467=0),"",SUMIFS('Val-Vol (2)'!AG$4:AG$1116,'Val-Vol (2)'!$A$4:$A$1116,$D467,'Val-Vol (2)'!$V$4:$V$1116,$V467)/SUMIFS('Comp2016-2017 (3)'!$G$5:$G$289,'Comp2016-2017 (3)'!$A$5:$A$289,$D467,'Comp2016-2017 (3)'!$R$5:$R$289,$V467)*$AB467))</f>
        <v/>
      </c>
      <c r="AH467" s="2" t="str">
        <f>IF($W467=AH$3,$AB467,IF(NOT($W467=0),"",SUMIFS('Val-Vol (2)'!AH$4:AH$1116,'Val-Vol (2)'!$A$4:$A$1116,$D467,'Val-Vol (2)'!$V$4:$V$1116,$V467)/SUMIFS('Comp2016-2017 (3)'!$G$5:$G$289,'Comp2016-2017 (3)'!$A$5:$A$289,$D467,'Comp2016-2017 (3)'!$R$5:$R$289,$V467)*$AB467))</f>
        <v/>
      </c>
      <c r="AI467" s="2" t="str">
        <f>IF($W467=AI$3,$AB467,IF(NOT($W467=0),"",SUMIFS('Val-Vol (2)'!AI$4:AI$1116,'Val-Vol (2)'!$A$4:$A$1116,$D467,'Val-Vol (2)'!$V$4:$V$1116,$V467)/SUMIFS('Comp2016-2017 (3)'!$G$5:$G$289,'Comp2016-2017 (3)'!$A$5:$A$289,$D467,'Comp2016-2017 (3)'!$R$5:$R$289,$V467)*$AB467))</f>
        <v/>
      </c>
      <c r="AJ467" s="2" t="str">
        <f>IF($W467=AJ$3,$AB467,IF(NOT($W467=0),"",SUMIFS('Val-Vol (2)'!AJ$4:AJ$1116,'Val-Vol (2)'!$A$4:$A$1116,$D467,'Val-Vol (2)'!$V$4:$V$1116,$V467)/SUMIFS('Comp2016-2017 (3)'!$G$5:$G$289,'Comp2016-2017 (3)'!$A$5:$A$289,$D467,'Comp2016-2017 (3)'!$R$5:$R$289,$V467)*$AB467))</f>
        <v/>
      </c>
      <c r="AK467" s="2">
        <f t="shared" si="54"/>
        <v>0</v>
      </c>
      <c r="AL467" t="str">
        <f t="shared" si="56"/>
        <v/>
      </c>
      <c r="AM467" t="str">
        <f>VLOOKUP(A467,'Table corresp.'!$M$4:$U$63,8,FALSE)</f>
        <v>Production intermédiaire</v>
      </c>
      <c r="AN467" t="str">
        <f>VLOOKUP(D467,'Table corresp.'!$M$4:$U$63,9,FALSE)</f>
        <v>Production finale</v>
      </c>
    </row>
    <row r="468" spans="1:40" x14ac:dyDescent="0.25">
      <c r="A468" t="s">
        <v>82</v>
      </c>
      <c r="B468" t="str">
        <f>VLOOKUP(LEFT(A468,3),'Table corresp.'!$A$4:$D$63,3,FALSE)</f>
        <v>Transformation</v>
      </c>
      <c r="C468" t="str">
        <f>VLOOKUP(A468,'Table corresp.'!$M$4:$P$63,4,FALSE)</f>
        <v>Production et transformation de produits bois</v>
      </c>
      <c r="D468" t="s">
        <v>91</v>
      </c>
      <c r="E468" t="str">
        <f>VLOOKUP(LEFT(D468,3),'Table corresp.'!$A$4:$D$63,4,FALSE)</f>
        <v>Transformation</v>
      </c>
      <c r="F468" t="str">
        <f t="shared" si="55"/>
        <v xml:space="preserve">10  - 37 </v>
      </c>
      <c r="G468" s="3">
        <v>18171.932548565965</v>
      </c>
      <c r="H468" s="3">
        <v>0</v>
      </c>
      <c r="I468" s="3">
        <v>18171.936742973397</v>
      </c>
      <c r="J468" s="3">
        <v>244.27825988819509</v>
      </c>
      <c r="K468" s="3">
        <v>0</v>
      </c>
      <c r="L468" s="3">
        <v>244.27825988819509</v>
      </c>
      <c r="M468" s="3">
        <v>0</v>
      </c>
      <c r="N468" s="3">
        <v>0</v>
      </c>
      <c r="O468" s="3">
        <v>0</v>
      </c>
      <c r="P468" s="3">
        <v>0</v>
      </c>
      <c r="Q468" s="3">
        <v>0</v>
      </c>
      <c r="R468" s="3">
        <v>0</v>
      </c>
      <c r="S468" s="67"/>
      <c r="T468">
        <f>VLOOKUP(A468,'Groupe de branches'!$Z$27:$AM$86,14,FALSE)</f>
        <v>0</v>
      </c>
      <c r="U468">
        <f>VLOOKUP(D468,'Groupe de branches'!$Z$27:$AM$86,14,FALSE)</f>
        <v>0</v>
      </c>
      <c r="V468">
        <v>2017</v>
      </c>
      <c r="W468" t="str">
        <f>VLOOKUP(D468,'Table corresp.'!$M$4:$S$63,7,FALSE)</f>
        <v>Emballage bois et carton</v>
      </c>
      <c r="X468" s="167">
        <f>IFERROR(G468/SUMIFS('Comp2016-2017 (3)'!$I$5:$I$289,'Comp2016-2017 (3)'!$A$5:$A$289,A468,'Comp2016-2017 (3)'!$R$5:$R$289,V468),0)</f>
        <v>0.21395756092565849</v>
      </c>
      <c r="Y468" s="190">
        <f>IFERROR(IF(RIGHT(F468,3)="Exp",VLOOKUP(F468,#REF!,2,FALSE),VLOOKUP(F468,#REF!,9,FALSE)),1)</f>
        <v>1</v>
      </c>
      <c r="Z468" s="167">
        <f t="shared" si="53"/>
        <v>7.6923076923076927E-2</v>
      </c>
      <c r="AA468" s="189">
        <f t="shared" si="57"/>
        <v>1.6458273917358344E-2</v>
      </c>
      <c r="AB468" s="2">
        <f>IFERROR(SUMIFS('Comp2016-2017 (3)'!$G$5:$G$289,'Comp2016-2017 (3)'!$A$5:$A$289,A468,'Comp2016-2017 (3)'!$R$5:$R$289,V468)*AA468/SUMIFS($AA$4:$AA$1116,$A$4:$A$1116,A468,$V$4:$V$1116,V468),0)</f>
        <v>6446.6411693673472</v>
      </c>
      <c r="AC468" s="2" t="str">
        <f>IF($W468=AC$3,$AB468,IF(NOT($W468=0),"",SUMIFS('Val-Vol (2)'!AC$4:AC$1116,'Val-Vol (2)'!$A$4:$A$1116,$D468,'Val-Vol (2)'!$V$4:$V$1116,$V468)/SUMIFS('Comp2016-2017 (3)'!$G$5:$G$289,'Comp2016-2017 (3)'!$A$5:$A$289,$D468,'Comp2016-2017 (3)'!$R$5:$R$289,$V468)*$AB468))</f>
        <v/>
      </c>
      <c r="AD468" s="2" t="str">
        <f>IF($W468=AD$3,$AB468,IF(NOT($W468=0),"",SUMIFS('Val-Vol (2)'!AD$4:AD$1116,'Val-Vol (2)'!$A$4:$A$1116,$D468,'Val-Vol (2)'!$V$4:$V$1116,$V468)/SUMIFS('Comp2016-2017 (3)'!$G$5:$G$289,'Comp2016-2017 (3)'!$A$5:$A$289,$D468,'Comp2016-2017 (3)'!$R$5:$R$289,$V468)*$AB468))</f>
        <v/>
      </c>
      <c r="AE468" s="2" t="str">
        <f>IF($W468=AE$3,$AB468,IF(NOT($W468=0),"",SUMIFS('Val-Vol (2)'!AE$4:AE$1116,'Val-Vol (2)'!$A$4:$A$1116,$D468,'Val-Vol (2)'!$V$4:$V$1116,$V468)/SUMIFS('Comp2016-2017 (3)'!$G$5:$G$289,'Comp2016-2017 (3)'!$A$5:$A$289,$D468,'Comp2016-2017 (3)'!$R$5:$R$289,$V468)*$AB468))</f>
        <v/>
      </c>
      <c r="AF468" s="2" t="str">
        <f>IF($W468=AF$3,$AB468,IF(NOT($W468=0),"",SUMIFS('Val-Vol (2)'!AF$4:AF$1116,'Val-Vol (2)'!$A$4:$A$1116,$D468,'Val-Vol (2)'!$V$4:$V$1116,$V468)/SUMIFS('Comp2016-2017 (3)'!$G$5:$G$289,'Comp2016-2017 (3)'!$A$5:$A$289,$D468,'Comp2016-2017 (3)'!$R$5:$R$289,$V468)*$AB468))</f>
        <v/>
      </c>
      <c r="AG468" s="2">
        <f>IF($W468=AG$3,$AB468,IF(NOT($W468=0),"",SUMIFS('Val-Vol (2)'!AG$4:AG$1116,'Val-Vol (2)'!$A$4:$A$1116,$D468,'Val-Vol (2)'!$V$4:$V$1116,$V468)/SUMIFS('Comp2016-2017 (3)'!$G$5:$G$289,'Comp2016-2017 (3)'!$A$5:$A$289,$D468,'Comp2016-2017 (3)'!$R$5:$R$289,$V468)*$AB468))</f>
        <v>6446.6411693673472</v>
      </c>
      <c r="AH468" s="2" t="str">
        <f>IF($W468=AH$3,$AB468,IF(NOT($W468=0),"",SUMIFS('Val-Vol (2)'!AH$4:AH$1116,'Val-Vol (2)'!$A$4:$A$1116,$D468,'Val-Vol (2)'!$V$4:$V$1116,$V468)/SUMIFS('Comp2016-2017 (3)'!$G$5:$G$289,'Comp2016-2017 (3)'!$A$5:$A$289,$D468,'Comp2016-2017 (3)'!$R$5:$R$289,$V468)*$AB468))</f>
        <v/>
      </c>
      <c r="AI468" s="2" t="str">
        <f>IF($W468=AI$3,$AB468,IF(NOT($W468=0),"",SUMIFS('Val-Vol (2)'!AI$4:AI$1116,'Val-Vol (2)'!$A$4:$A$1116,$D468,'Val-Vol (2)'!$V$4:$V$1116,$V468)/SUMIFS('Comp2016-2017 (3)'!$G$5:$G$289,'Comp2016-2017 (3)'!$A$5:$A$289,$D468,'Comp2016-2017 (3)'!$R$5:$R$289,$V468)*$AB468))</f>
        <v/>
      </c>
      <c r="AJ468" s="2" t="str">
        <f>IF($W468=AJ$3,$AB468,IF(NOT($W468=0),"",SUMIFS('Val-Vol (2)'!AJ$4:AJ$1116,'Val-Vol (2)'!$A$4:$A$1116,$D468,'Val-Vol (2)'!$V$4:$V$1116,$V468)/SUMIFS('Comp2016-2017 (3)'!$G$5:$G$289,'Comp2016-2017 (3)'!$A$5:$A$289,$D468,'Comp2016-2017 (3)'!$R$5:$R$289,$V468)*$AB468))</f>
        <v/>
      </c>
      <c r="AK468" s="2">
        <f t="shared" si="54"/>
        <v>0</v>
      </c>
      <c r="AL468" t="str">
        <f t="shared" si="56"/>
        <v/>
      </c>
      <c r="AM468" t="str">
        <f>VLOOKUP(A468,'Table corresp.'!$M$4:$U$63,8,FALSE)</f>
        <v>Production intermédiaire</v>
      </c>
      <c r="AN468" t="str">
        <f>VLOOKUP(D468,'Table corresp.'!$M$4:$U$63,9,FALSE)</f>
        <v>Production finale</v>
      </c>
    </row>
    <row r="469" spans="1:40" x14ac:dyDescent="0.25">
      <c r="A469" t="s">
        <v>82</v>
      </c>
      <c r="B469" t="str">
        <f>VLOOKUP(LEFT(A469,3),'Table corresp.'!$A$4:$D$63,3,FALSE)</f>
        <v>Transformation</v>
      </c>
      <c r="C469" t="str">
        <f>VLOOKUP(A469,'Table corresp.'!$M$4:$P$63,4,FALSE)</f>
        <v>Production et transformation de produits bois</v>
      </c>
      <c r="D469" t="s">
        <v>92</v>
      </c>
      <c r="E469" t="str">
        <f>VLOOKUP(LEFT(D469,3),'Table corresp.'!$A$4:$D$63,4,FALSE)</f>
        <v>Transformation</v>
      </c>
      <c r="F469" t="str">
        <f t="shared" si="55"/>
        <v xml:space="preserve">10  - 40 </v>
      </c>
      <c r="G469" s="3">
        <v>4652.5709706066164</v>
      </c>
      <c r="H469" s="3">
        <v>0</v>
      </c>
      <c r="I469" s="3">
        <v>4652.5720445033085</v>
      </c>
      <c r="J469" s="3">
        <v>36.957056988079337</v>
      </c>
      <c r="K469" s="3">
        <v>0</v>
      </c>
      <c r="L469" s="3">
        <v>36.957056988079337</v>
      </c>
      <c r="M469" s="3">
        <v>0</v>
      </c>
      <c r="N469" s="3">
        <v>0</v>
      </c>
      <c r="O469" s="3">
        <v>0</v>
      </c>
      <c r="P469" s="3">
        <v>0</v>
      </c>
      <c r="Q469" s="3">
        <v>0</v>
      </c>
      <c r="R469" s="3">
        <v>0</v>
      </c>
      <c r="S469" s="67"/>
      <c r="T469">
        <f>VLOOKUP(A469,'Groupe de branches'!$Z$27:$AM$86,14,FALSE)</f>
        <v>0</v>
      </c>
      <c r="U469">
        <f>VLOOKUP(D469,'Groupe de branches'!$Z$27:$AM$86,14,FALSE)</f>
        <v>0</v>
      </c>
      <c r="V469">
        <v>2017</v>
      </c>
      <c r="W469" t="str">
        <f>VLOOKUP(D469,'Table corresp.'!$M$4:$S$63,7,FALSE)</f>
        <v>Construction</v>
      </c>
      <c r="X469" s="167">
        <f>IFERROR(G469/SUMIFS('Comp2016-2017 (3)'!$I$5:$I$289,'Comp2016-2017 (3)'!$A$5:$A$289,A469,'Comp2016-2017 (3)'!$R$5:$R$289,V469),0)</f>
        <v>5.477968478278724E-2</v>
      </c>
      <c r="Y469" s="190">
        <f>IFERROR(IF(RIGHT(F469,3)="Exp",VLOOKUP(F469,#REF!,2,FALSE),VLOOKUP(F469,#REF!,9,FALSE)),1)</f>
        <v>1</v>
      </c>
      <c r="Z469" s="167">
        <f t="shared" si="53"/>
        <v>7.6923076923076927E-2</v>
      </c>
      <c r="AA469" s="189">
        <f t="shared" si="57"/>
        <v>4.2138219063682491E-3</v>
      </c>
      <c r="AB469" s="2">
        <f>IFERROR(SUMIFS('Comp2016-2017 (3)'!$G$5:$G$289,'Comp2016-2017 (3)'!$A$5:$A$289,A469,'Comp2016-2017 (3)'!$R$5:$R$289,V469)*AA469/SUMIFS($AA$4:$AA$1116,$A$4:$A$1116,A469,$V$4:$V$1116,V469),0)</f>
        <v>1650.5374693834058</v>
      </c>
      <c r="AC469" s="2" t="str">
        <f>IF($W469=AC$3,$AB469,IF(NOT($W469=0),"",SUMIFS('Val-Vol (2)'!AC$4:AC$1116,'Val-Vol (2)'!$A$4:$A$1116,$D469,'Val-Vol (2)'!$V$4:$V$1116,$V469)/SUMIFS('Comp2016-2017 (3)'!$G$5:$G$289,'Comp2016-2017 (3)'!$A$5:$A$289,$D469,'Comp2016-2017 (3)'!$R$5:$R$289,$V469)*$AB469))</f>
        <v/>
      </c>
      <c r="AD469" s="2">
        <f>IF($W469=AD$3,$AB469,IF(NOT($W469=0),"",SUMIFS('Val-Vol (2)'!AD$4:AD$1116,'Val-Vol (2)'!$A$4:$A$1116,$D469,'Val-Vol (2)'!$V$4:$V$1116,$V469)/SUMIFS('Comp2016-2017 (3)'!$G$5:$G$289,'Comp2016-2017 (3)'!$A$5:$A$289,$D469,'Comp2016-2017 (3)'!$R$5:$R$289,$V469)*$AB469))</f>
        <v>1650.5374693834058</v>
      </c>
      <c r="AE469" s="2" t="str">
        <f>IF($W469=AE$3,$AB469,IF(NOT($W469=0),"",SUMIFS('Val-Vol (2)'!AE$4:AE$1116,'Val-Vol (2)'!$A$4:$A$1116,$D469,'Val-Vol (2)'!$V$4:$V$1116,$V469)/SUMIFS('Comp2016-2017 (3)'!$G$5:$G$289,'Comp2016-2017 (3)'!$A$5:$A$289,$D469,'Comp2016-2017 (3)'!$R$5:$R$289,$V469)*$AB469))</f>
        <v/>
      </c>
      <c r="AF469" s="2" t="str">
        <f>IF($W469=AF$3,$AB469,IF(NOT($W469=0),"",SUMIFS('Val-Vol (2)'!AF$4:AF$1116,'Val-Vol (2)'!$A$4:$A$1116,$D469,'Val-Vol (2)'!$V$4:$V$1116,$V469)/SUMIFS('Comp2016-2017 (3)'!$G$5:$G$289,'Comp2016-2017 (3)'!$A$5:$A$289,$D469,'Comp2016-2017 (3)'!$R$5:$R$289,$V469)*$AB469))</f>
        <v/>
      </c>
      <c r="AG469" s="2" t="str">
        <f>IF($W469=AG$3,$AB469,IF(NOT($W469=0),"",SUMIFS('Val-Vol (2)'!AG$4:AG$1116,'Val-Vol (2)'!$A$4:$A$1116,$D469,'Val-Vol (2)'!$V$4:$V$1116,$V469)/SUMIFS('Comp2016-2017 (3)'!$G$5:$G$289,'Comp2016-2017 (3)'!$A$5:$A$289,$D469,'Comp2016-2017 (3)'!$R$5:$R$289,$V469)*$AB469))</f>
        <v/>
      </c>
      <c r="AH469" s="2" t="str">
        <f>IF($W469=AH$3,$AB469,IF(NOT($W469=0),"",SUMIFS('Val-Vol (2)'!AH$4:AH$1116,'Val-Vol (2)'!$A$4:$A$1116,$D469,'Val-Vol (2)'!$V$4:$V$1116,$V469)/SUMIFS('Comp2016-2017 (3)'!$G$5:$G$289,'Comp2016-2017 (3)'!$A$5:$A$289,$D469,'Comp2016-2017 (3)'!$R$5:$R$289,$V469)*$AB469))</f>
        <v/>
      </c>
      <c r="AI469" s="2" t="str">
        <f>IF($W469=AI$3,$AB469,IF(NOT($W469=0),"",SUMIFS('Val-Vol (2)'!AI$4:AI$1116,'Val-Vol (2)'!$A$4:$A$1116,$D469,'Val-Vol (2)'!$V$4:$V$1116,$V469)/SUMIFS('Comp2016-2017 (3)'!$G$5:$G$289,'Comp2016-2017 (3)'!$A$5:$A$289,$D469,'Comp2016-2017 (3)'!$R$5:$R$289,$V469)*$AB469))</f>
        <v/>
      </c>
      <c r="AJ469" s="2" t="str">
        <f>IF($W469=AJ$3,$AB469,IF(NOT($W469=0),"",SUMIFS('Val-Vol (2)'!AJ$4:AJ$1116,'Val-Vol (2)'!$A$4:$A$1116,$D469,'Val-Vol (2)'!$V$4:$V$1116,$V469)/SUMIFS('Comp2016-2017 (3)'!$G$5:$G$289,'Comp2016-2017 (3)'!$A$5:$A$289,$D469,'Comp2016-2017 (3)'!$R$5:$R$289,$V469)*$AB469))</f>
        <v/>
      </c>
      <c r="AK469" s="2">
        <f t="shared" si="54"/>
        <v>0</v>
      </c>
      <c r="AL469" t="str">
        <f t="shared" si="56"/>
        <v/>
      </c>
      <c r="AM469" t="str">
        <f>VLOOKUP(A469,'Table corresp.'!$M$4:$U$63,8,FALSE)</f>
        <v>Production intermédiaire</v>
      </c>
      <c r="AN469" t="str">
        <f>VLOOKUP(D469,'Table corresp.'!$M$4:$U$63,9,FALSE)</f>
        <v>Production finale</v>
      </c>
    </row>
    <row r="470" spans="1:40" x14ac:dyDescent="0.25">
      <c r="A470" t="s">
        <v>82</v>
      </c>
      <c r="B470" t="str">
        <f>VLOOKUP(LEFT(A470,3),'Table corresp.'!$A$4:$D$63,3,FALSE)</f>
        <v>Transformation</v>
      </c>
      <c r="C470" t="str">
        <f>VLOOKUP(A470,'Table corresp.'!$M$4:$P$63,4,FALSE)</f>
        <v>Production et transformation de produits bois</v>
      </c>
      <c r="D470" t="s">
        <v>93</v>
      </c>
      <c r="E470" t="str">
        <f>VLOOKUP(LEFT(D470,3),'Table corresp.'!$A$4:$D$63,4,FALSE)</f>
        <v>Transformation</v>
      </c>
      <c r="F470" t="str">
        <f t="shared" si="55"/>
        <v xml:space="preserve">10  - 41 </v>
      </c>
      <c r="G470" s="3">
        <v>11378.858287555398</v>
      </c>
      <c r="H470" s="3">
        <v>985.89566415392801</v>
      </c>
      <c r="I470" s="3">
        <v>12364.756809479864</v>
      </c>
      <c r="J470" s="3">
        <v>79.540026971607446</v>
      </c>
      <c r="K470" s="3">
        <v>4.1225474998208043</v>
      </c>
      <c r="L470" s="3">
        <v>83.662574471428258</v>
      </c>
      <c r="M470" s="3">
        <v>0</v>
      </c>
      <c r="N470" s="3">
        <v>0</v>
      </c>
      <c r="O470" s="3">
        <v>0</v>
      </c>
      <c r="P470" s="3">
        <v>0</v>
      </c>
      <c r="Q470" s="3">
        <v>0</v>
      </c>
      <c r="R470" s="3">
        <v>0</v>
      </c>
      <c r="S470" s="67"/>
      <c r="T470">
        <f>VLOOKUP(A470,'Groupe de branches'!$Z$27:$AM$86,14,FALSE)</f>
        <v>0</v>
      </c>
      <c r="U470">
        <f>VLOOKUP(D470,'Groupe de branches'!$Z$27:$AM$86,14,FALSE)</f>
        <v>0</v>
      </c>
      <c r="V470">
        <v>2017</v>
      </c>
      <c r="W470" t="str">
        <f>VLOOKUP(D470,'Table corresp.'!$M$4:$S$63,7,FALSE)</f>
        <v>Produits de consommation courante</v>
      </c>
      <c r="X470" s="167">
        <f>IFERROR(G470/SUMIFS('Comp2016-2017 (3)'!$I$5:$I$289,'Comp2016-2017 (3)'!$A$5:$A$289,A470,'Comp2016-2017 (3)'!$R$5:$R$289,V470),0)</f>
        <v>0.13397544585956508</v>
      </c>
      <c r="Y470" s="190">
        <f>IFERROR(IF(RIGHT(F470,3)="Exp",VLOOKUP(F470,#REF!,2,FALSE),VLOOKUP(F470,#REF!,9,FALSE)),1)</f>
        <v>1</v>
      </c>
      <c r="Z470" s="167">
        <f t="shared" si="53"/>
        <v>7.6923076923076927E-2</v>
      </c>
      <c r="AA470" s="189">
        <f t="shared" si="57"/>
        <v>1.0305803527658853E-2</v>
      </c>
      <c r="AB470" s="2">
        <f>IFERROR(SUMIFS('Comp2016-2017 (3)'!$G$5:$G$289,'Comp2016-2017 (3)'!$A$5:$A$289,A470,'Comp2016-2017 (3)'!$R$5:$R$289,V470)*AA470/SUMIFS($AA$4:$AA$1116,$A$4:$A$1116,A470,$V$4:$V$1116,V470),0)</f>
        <v>4036.7427130220276</v>
      </c>
      <c r="AC470" s="2" t="str">
        <f>IF($W470=AC$3,$AB470,IF(NOT($W470=0),"",SUMIFS('Val-Vol (2)'!AC$4:AC$1116,'Val-Vol (2)'!$A$4:$A$1116,$D470,'Val-Vol (2)'!$V$4:$V$1116,$V470)/SUMIFS('Comp2016-2017 (3)'!$G$5:$G$289,'Comp2016-2017 (3)'!$A$5:$A$289,$D470,'Comp2016-2017 (3)'!$R$5:$R$289,$V470)*$AB470))</f>
        <v/>
      </c>
      <c r="AD470" s="2" t="str">
        <f>IF($W470=AD$3,$AB470,IF(NOT($W470=0),"",SUMIFS('Val-Vol (2)'!AD$4:AD$1116,'Val-Vol (2)'!$A$4:$A$1116,$D470,'Val-Vol (2)'!$V$4:$V$1116,$V470)/SUMIFS('Comp2016-2017 (3)'!$G$5:$G$289,'Comp2016-2017 (3)'!$A$5:$A$289,$D470,'Comp2016-2017 (3)'!$R$5:$R$289,$V470)*$AB470))</f>
        <v/>
      </c>
      <c r="AE470" s="2" t="str">
        <f>IF($W470=AE$3,$AB470,IF(NOT($W470=0),"",SUMIFS('Val-Vol (2)'!AE$4:AE$1116,'Val-Vol (2)'!$A$4:$A$1116,$D470,'Val-Vol (2)'!$V$4:$V$1116,$V470)/SUMIFS('Comp2016-2017 (3)'!$G$5:$G$289,'Comp2016-2017 (3)'!$A$5:$A$289,$D470,'Comp2016-2017 (3)'!$R$5:$R$289,$V470)*$AB470))</f>
        <v/>
      </c>
      <c r="AF470" s="2" t="str">
        <f>IF($W470=AF$3,$AB470,IF(NOT($W470=0),"",SUMIFS('Val-Vol (2)'!AF$4:AF$1116,'Val-Vol (2)'!$A$4:$A$1116,$D470,'Val-Vol (2)'!$V$4:$V$1116,$V470)/SUMIFS('Comp2016-2017 (3)'!$G$5:$G$289,'Comp2016-2017 (3)'!$A$5:$A$289,$D470,'Comp2016-2017 (3)'!$R$5:$R$289,$V470)*$AB470))</f>
        <v/>
      </c>
      <c r="AG470" s="2" t="str">
        <f>IF($W470=AG$3,$AB470,IF(NOT($W470=0),"",SUMIFS('Val-Vol (2)'!AG$4:AG$1116,'Val-Vol (2)'!$A$4:$A$1116,$D470,'Val-Vol (2)'!$V$4:$V$1116,$V470)/SUMIFS('Comp2016-2017 (3)'!$G$5:$G$289,'Comp2016-2017 (3)'!$A$5:$A$289,$D470,'Comp2016-2017 (3)'!$R$5:$R$289,$V470)*$AB470))</f>
        <v/>
      </c>
      <c r="AH470" s="2" t="str">
        <f>IF($W470=AH$3,$AB470,IF(NOT($W470=0),"",SUMIFS('Val-Vol (2)'!AH$4:AH$1116,'Val-Vol (2)'!$A$4:$A$1116,$D470,'Val-Vol (2)'!$V$4:$V$1116,$V470)/SUMIFS('Comp2016-2017 (3)'!$G$5:$G$289,'Comp2016-2017 (3)'!$A$5:$A$289,$D470,'Comp2016-2017 (3)'!$R$5:$R$289,$V470)*$AB470))</f>
        <v/>
      </c>
      <c r="AI470" s="2">
        <f>IF($W470=AI$3,$AB470,IF(NOT($W470=0),"",SUMIFS('Val-Vol (2)'!AI$4:AI$1116,'Val-Vol (2)'!$A$4:$A$1116,$D470,'Val-Vol (2)'!$V$4:$V$1116,$V470)/SUMIFS('Comp2016-2017 (3)'!$G$5:$G$289,'Comp2016-2017 (3)'!$A$5:$A$289,$D470,'Comp2016-2017 (3)'!$R$5:$R$289,$V470)*$AB470))</f>
        <v>4036.7427130220276</v>
      </c>
      <c r="AJ470" s="2" t="str">
        <f>IF($W470=AJ$3,$AB470,IF(NOT($W470=0),"",SUMIFS('Val-Vol (2)'!AJ$4:AJ$1116,'Val-Vol (2)'!$A$4:$A$1116,$D470,'Val-Vol (2)'!$V$4:$V$1116,$V470)/SUMIFS('Comp2016-2017 (3)'!$G$5:$G$289,'Comp2016-2017 (3)'!$A$5:$A$289,$D470,'Comp2016-2017 (3)'!$R$5:$R$289,$V470)*$AB470))</f>
        <v/>
      </c>
      <c r="AK470" s="2">
        <f t="shared" si="54"/>
        <v>0</v>
      </c>
      <c r="AL470" t="str">
        <f t="shared" si="56"/>
        <v/>
      </c>
      <c r="AM470" t="str">
        <f>VLOOKUP(A470,'Table corresp.'!$M$4:$U$63,8,FALSE)</f>
        <v>Production intermédiaire</v>
      </c>
      <c r="AN470" t="str">
        <f>VLOOKUP(D470,'Table corresp.'!$M$4:$U$63,9,FALSE)</f>
        <v>Production finale</v>
      </c>
    </row>
    <row r="471" spans="1:40" x14ac:dyDescent="0.25">
      <c r="A471" t="s">
        <v>82</v>
      </c>
      <c r="B471" t="str">
        <f>VLOOKUP(LEFT(A471,3),'Table corresp.'!$A$4:$D$63,3,FALSE)</f>
        <v>Transformation</v>
      </c>
      <c r="C471" t="str">
        <f>VLOOKUP(A471,'Table corresp.'!$M$4:$P$63,4,FALSE)</f>
        <v>Production et transformation de produits bois</v>
      </c>
      <c r="D471" t="s">
        <v>99</v>
      </c>
      <c r="E471" t="str">
        <f>VLOOKUP(LEFT(D471,3),'Table corresp.'!$A$4:$D$63,4,FALSE)</f>
        <v>Transformation</v>
      </c>
      <c r="F471" t="str">
        <f t="shared" si="55"/>
        <v xml:space="preserve">10  - 47 </v>
      </c>
      <c r="G471" s="3">
        <v>4795.9551004523746</v>
      </c>
      <c r="H471" s="3">
        <v>12133.497820823157</v>
      </c>
      <c r="I471" s="3">
        <v>16929.456875219192</v>
      </c>
      <c r="J471" s="3">
        <v>28.900420684332889</v>
      </c>
      <c r="K471" s="3">
        <v>43.738384576916495</v>
      </c>
      <c r="L471" s="3">
        <v>72.638805261249388</v>
      </c>
      <c r="M471" s="3">
        <v>0</v>
      </c>
      <c r="N471" s="3">
        <v>0</v>
      </c>
      <c r="O471" s="3">
        <v>0</v>
      </c>
      <c r="P471" s="3">
        <v>0</v>
      </c>
      <c r="Q471" s="3">
        <v>0</v>
      </c>
      <c r="R471" s="3">
        <v>0</v>
      </c>
      <c r="S471" s="67"/>
      <c r="T471">
        <f>VLOOKUP(A471,'Groupe de branches'!$Z$27:$AM$86,14,FALSE)</f>
        <v>0</v>
      </c>
      <c r="U471">
        <f>VLOOKUP(D471,'Groupe de branches'!$Z$27:$AM$86,14,FALSE)</f>
        <v>0</v>
      </c>
      <c r="V471">
        <v>2017</v>
      </c>
      <c r="W471" t="str">
        <f>VLOOKUP(D471,'Table corresp.'!$M$4:$S$63,7,FALSE)</f>
        <v>Meuble</v>
      </c>
      <c r="X471" s="167">
        <f>IFERROR(G471/SUMIFS('Comp2016-2017 (3)'!$I$5:$I$289,'Comp2016-2017 (3)'!$A$5:$A$289,A471,'Comp2016-2017 (3)'!$R$5:$R$289,V471),0)</f>
        <v>5.6467899209913061E-2</v>
      </c>
      <c r="Y471" s="190">
        <f>IFERROR(IF(RIGHT(F471,3)="Exp",VLOOKUP(F471,#REF!,2,FALSE),VLOOKUP(F471,#REF!,9,FALSE)),1)</f>
        <v>1</v>
      </c>
      <c r="Z471" s="167">
        <f t="shared" si="53"/>
        <v>7.6923076923076927E-2</v>
      </c>
      <c r="AA471" s="189">
        <f t="shared" si="57"/>
        <v>4.3436845546086971E-3</v>
      </c>
      <c r="AB471" s="2">
        <f>IFERROR(SUMIFS('Comp2016-2017 (3)'!$G$5:$G$289,'Comp2016-2017 (3)'!$A$5:$A$289,A471,'Comp2016-2017 (3)'!$R$5:$R$289,V471)*AA471/SUMIFS($AA$4:$AA$1116,$A$4:$A$1116,A471,$V$4:$V$1116,V471),0)</f>
        <v>1701.4041579993354</v>
      </c>
      <c r="AC471" s="2" t="str">
        <f>IF($W471=AC$3,$AB471,IF(NOT($W471=0),"",SUMIFS('Val-Vol (2)'!AC$4:AC$1116,'Val-Vol (2)'!$A$4:$A$1116,$D471,'Val-Vol (2)'!$V$4:$V$1116,$V471)/SUMIFS('Comp2016-2017 (3)'!$G$5:$G$289,'Comp2016-2017 (3)'!$A$5:$A$289,$D471,'Comp2016-2017 (3)'!$R$5:$R$289,$V471)*$AB471))</f>
        <v/>
      </c>
      <c r="AD471" s="2" t="str">
        <f>IF($W471=AD$3,$AB471,IF(NOT($W471=0),"",SUMIFS('Val-Vol (2)'!AD$4:AD$1116,'Val-Vol (2)'!$A$4:$A$1116,$D471,'Val-Vol (2)'!$V$4:$V$1116,$V471)/SUMIFS('Comp2016-2017 (3)'!$G$5:$G$289,'Comp2016-2017 (3)'!$A$5:$A$289,$D471,'Comp2016-2017 (3)'!$R$5:$R$289,$V471)*$AB471))</f>
        <v/>
      </c>
      <c r="AE471" s="2">
        <f>IF($W471=AE$3,$AB471,IF(NOT($W471=0),"",SUMIFS('Val-Vol (2)'!AE$4:AE$1116,'Val-Vol (2)'!$A$4:$A$1116,$D471,'Val-Vol (2)'!$V$4:$V$1116,$V471)/SUMIFS('Comp2016-2017 (3)'!$G$5:$G$289,'Comp2016-2017 (3)'!$A$5:$A$289,$D471,'Comp2016-2017 (3)'!$R$5:$R$289,$V471)*$AB471))</f>
        <v>1701.4041579993354</v>
      </c>
      <c r="AF471" s="2" t="str">
        <f>IF($W471=AF$3,$AB471,IF(NOT($W471=0),"",SUMIFS('Val-Vol (2)'!AF$4:AF$1116,'Val-Vol (2)'!$A$4:$A$1116,$D471,'Val-Vol (2)'!$V$4:$V$1116,$V471)/SUMIFS('Comp2016-2017 (3)'!$G$5:$G$289,'Comp2016-2017 (3)'!$A$5:$A$289,$D471,'Comp2016-2017 (3)'!$R$5:$R$289,$V471)*$AB471))</f>
        <v/>
      </c>
      <c r="AG471" s="2" t="str">
        <f>IF($W471=AG$3,$AB471,IF(NOT($W471=0),"",SUMIFS('Val-Vol (2)'!AG$4:AG$1116,'Val-Vol (2)'!$A$4:$A$1116,$D471,'Val-Vol (2)'!$V$4:$V$1116,$V471)/SUMIFS('Comp2016-2017 (3)'!$G$5:$G$289,'Comp2016-2017 (3)'!$A$5:$A$289,$D471,'Comp2016-2017 (3)'!$R$5:$R$289,$V471)*$AB471))</f>
        <v/>
      </c>
      <c r="AH471" s="2" t="str">
        <f>IF($W471=AH$3,$AB471,IF(NOT($W471=0),"",SUMIFS('Val-Vol (2)'!AH$4:AH$1116,'Val-Vol (2)'!$A$4:$A$1116,$D471,'Val-Vol (2)'!$V$4:$V$1116,$V471)/SUMIFS('Comp2016-2017 (3)'!$G$5:$G$289,'Comp2016-2017 (3)'!$A$5:$A$289,$D471,'Comp2016-2017 (3)'!$R$5:$R$289,$V471)*$AB471))</f>
        <v/>
      </c>
      <c r="AI471" s="2" t="str">
        <f>IF($W471=AI$3,$AB471,IF(NOT($W471=0),"",SUMIFS('Val-Vol (2)'!AI$4:AI$1116,'Val-Vol (2)'!$A$4:$A$1116,$D471,'Val-Vol (2)'!$V$4:$V$1116,$V471)/SUMIFS('Comp2016-2017 (3)'!$G$5:$G$289,'Comp2016-2017 (3)'!$A$5:$A$289,$D471,'Comp2016-2017 (3)'!$R$5:$R$289,$V471)*$AB471))</f>
        <v/>
      </c>
      <c r="AJ471" s="2" t="str">
        <f>IF($W471=AJ$3,$AB471,IF(NOT($W471=0),"",SUMIFS('Val-Vol (2)'!AJ$4:AJ$1116,'Val-Vol (2)'!$A$4:$A$1116,$D471,'Val-Vol (2)'!$V$4:$V$1116,$V471)/SUMIFS('Comp2016-2017 (3)'!$G$5:$G$289,'Comp2016-2017 (3)'!$A$5:$A$289,$D471,'Comp2016-2017 (3)'!$R$5:$R$289,$V471)*$AB471))</f>
        <v/>
      </c>
      <c r="AK471" s="2">
        <f t="shared" si="54"/>
        <v>0</v>
      </c>
      <c r="AL471" t="str">
        <f t="shared" si="56"/>
        <v/>
      </c>
      <c r="AM471" t="str">
        <f>VLOOKUP(A471,'Table corresp.'!$M$4:$U$63,8,FALSE)</f>
        <v>Production intermédiaire</v>
      </c>
      <c r="AN471" t="str">
        <f>VLOOKUP(D471,'Table corresp.'!$M$4:$U$63,9,FALSE)</f>
        <v>Production finale</v>
      </c>
    </row>
    <row r="472" spans="1:40" x14ac:dyDescent="0.25">
      <c r="A472" t="s">
        <v>82</v>
      </c>
      <c r="B472" t="str">
        <f>VLOOKUP(LEFT(A472,3),'Table corresp.'!$A$4:$D$63,3,FALSE)</f>
        <v>Transformation</v>
      </c>
      <c r="C472" t="str">
        <f>VLOOKUP(A472,'Table corresp.'!$M$4:$P$63,4,FALSE)</f>
        <v>Production et transformation de produits bois</v>
      </c>
      <c r="D472" t="s">
        <v>100</v>
      </c>
      <c r="E472" t="str">
        <f>VLOOKUP(LEFT(D472,3),'Table corresp.'!$A$4:$D$63,4,FALSE)</f>
        <v>Transformation</v>
      </c>
      <c r="F472" t="str">
        <f t="shared" si="55"/>
        <v xml:space="preserve">10  - 48 </v>
      </c>
      <c r="G472" s="3">
        <v>8977.8539617287734</v>
      </c>
      <c r="H472" s="3">
        <v>0</v>
      </c>
      <c r="I472" s="3">
        <v>8977.8560339782325</v>
      </c>
      <c r="J472" s="3">
        <v>39.222890832775853</v>
      </c>
      <c r="K472" s="3">
        <v>0</v>
      </c>
      <c r="L472" s="3">
        <v>39.222890832775853</v>
      </c>
      <c r="M472" s="3">
        <v>0</v>
      </c>
      <c r="N472" s="3">
        <v>0</v>
      </c>
      <c r="O472" s="3">
        <v>0</v>
      </c>
      <c r="P472" s="3">
        <v>0</v>
      </c>
      <c r="Q472" s="3">
        <v>0</v>
      </c>
      <c r="R472" s="3">
        <v>0</v>
      </c>
      <c r="S472" s="67"/>
      <c r="T472">
        <f>VLOOKUP(A472,'Groupe de branches'!$Z$27:$AM$86,14,FALSE)</f>
        <v>0</v>
      </c>
      <c r="U472">
        <f>VLOOKUP(D472,'Groupe de branches'!$Z$27:$AM$86,14,FALSE)</f>
        <v>0</v>
      </c>
      <c r="V472">
        <v>2017</v>
      </c>
      <c r="W472" t="str">
        <f>VLOOKUP(D472,'Table corresp.'!$M$4:$S$63,7,FALSE)</f>
        <v>Produits de consommation courante</v>
      </c>
      <c r="X472" s="167">
        <f>IFERROR(G472/SUMIFS('Comp2016-2017 (3)'!$I$5:$I$289,'Comp2016-2017 (3)'!$A$5:$A$289,A472,'Comp2016-2017 (3)'!$R$5:$R$289,V472),0)</f>
        <v>0.10570585879429947</v>
      </c>
      <c r="Y472" s="190">
        <f>IFERROR(IF(RIGHT(F472,3)="Exp",VLOOKUP(F472,#REF!,2,FALSE),VLOOKUP(F472,#REF!,9,FALSE)),1)</f>
        <v>1</v>
      </c>
      <c r="Z472" s="167">
        <f t="shared" ref="Z472:Z503" si="58">Y472/SUMIFS($Y$4:$Y$1116,$V$4:$V$1116,V472,$A$4:$A$1116,A472)</f>
        <v>7.6923076923076927E-2</v>
      </c>
      <c r="AA472" s="189">
        <f t="shared" si="57"/>
        <v>8.1312199072538054E-3</v>
      </c>
      <c r="AB472" s="2">
        <f>IFERROR(SUMIFS('Comp2016-2017 (3)'!$G$5:$G$289,'Comp2016-2017 (3)'!$A$5:$A$289,A472,'Comp2016-2017 (3)'!$R$5:$R$289,V472)*AA472/SUMIFS($AA$4:$AA$1116,$A$4:$A$1116,A472,$V$4:$V$1116,V472),0)</f>
        <v>3184.9668607104645</v>
      </c>
      <c r="AC472" s="2" t="str">
        <f>IF($W472=AC$3,$AB472,IF(NOT($W472=0),"",SUMIFS('Val-Vol (2)'!AC$4:AC$1116,'Val-Vol (2)'!$A$4:$A$1116,$D472,'Val-Vol (2)'!$V$4:$V$1116,$V472)/SUMIFS('Comp2016-2017 (3)'!$G$5:$G$289,'Comp2016-2017 (3)'!$A$5:$A$289,$D472,'Comp2016-2017 (3)'!$R$5:$R$289,$V472)*$AB472))</f>
        <v/>
      </c>
      <c r="AD472" s="2" t="str">
        <f>IF($W472=AD$3,$AB472,IF(NOT($W472=0),"",SUMIFS('Val-Vol (2)'!AD$4:AD$1116,'Val-Vol (2)'!$A$4:$A$1116,$D472,'Val-Vol (2)'!$V$4:$V$1116,$V472)/SUMIFS('Comp2016-2017 (3)'!$G$5:$G$289,'Comp2016-2017 (3)'!$A$5:$A$289,$D472,'Comp2016-2017 (3)'!$R$5:$R$289,$V472)*$AB472))</f>
        <v/>
      </c>
      <c r="AE472" s="2" t="str">
        <f>IF($W472=AE$3,$AB472,IF(NOT($W472=0),"",SUMIFS('Val-Vol (2)'!AE$4:AE$1116,'Val-Vol (2)'!$A$4:$A$1116,$D472,'Val-Vol (2)'!$V$4:$V$1116,$V472)/SUMIFS('Comp2016-2017 (3)'!$G$5:$G$289,'Comp2016-2017 (3)'!$A$5:$A$289,$D472,'Comp2016-2017 (3)'!$R$5:$R$289,$V472)*$AB472))</f>
        <v/>
      </c>
      <c r="AF472" s="2" t="str">
        <f>IF($W472=AF$3,$AB472,IF(NOT($W472=0),"",SUMIFS('Val-Vol (2)'!AF$4:AF$1116,'Val-Vol (2)'!$A$4:$A$1116,$D472,'Val-Vol (2)'!$V$4:$V$1116,$V472)/SUMIFS('Comp2016-2017 (3)'!$G$5:$G$289,'Comp2016-2017 (3)'!$A$5:$A$289,$D472,'Comp2016-2017 (3)'!$R$5:$R$289,$V472)*$AB472))</f>
        <v/>
      </c>
      <c r="AG472" s="2" t="str">
        <f>IF($W472=AG$3,$AB472,IF(NOT($W472=0),"",SUMIFS('Val-Vol (2)'!AG$4:AG$1116,'Val-Vol (2)'!$A$4:$A$1116,$D472,'Val-Vol (2)'!$V$4:$V$1116,$V472)/SUMIFS('Comp2016-2017 (3)'!$G$5:$G$289,'Comp2016-2017 (3)'!$A$5:$A$289,$D472,'Comp2016-2017 (3)'!$R$5:$R$289,$V472)*$AB472))</f>
        <v/>
      </c>
      <c r="AH472" s="2" t="str">
        <f>IF($W472=AH$3,$AB472,IF(NOT($W472=0),"",SUMIFS('Val-Vol (2)'!AH$4:AH$1116,'Val-Vol (2)'!$A$4:$A$1116,$D472,'Val-Vol (2)'!$V$4:$V$1116,$V472)/SUMIFS('Comp2016-2017 (3)'!$G$5:$G$289,'Comp2016-2017 (3)'!$A$5:$A$289,$D472,'Comp2016-2017 (3)'!$R$5:$R$289,$V472)*$AB472))</f>
        <v/>
      </c>
      <c r="AI472" s="2">
        <f>IF($W472=AI$3,$AB472,IF(NOT($W472=0),"",SUMIFS('Val-Vol (2)'!AI$4:AI$1116,'Val-Vol (2)'!$A$4:$A$1116,$D472,'Val-Vol (2)'!$V$4:$V$1116,$V472)/SUMIFS('Comp2016-2017 (3)'!$G$5:$G$289,'Comp2016-2017 (3)'!$A$5:$A$289,$D472,'Comp2016-2017 (3)'!$R$5:$R$289,$V472)*$AB472))</f>
        <v>3184.9668607104645</v>
      </c>
      <c r="AJ472" s="2" t="str">
        <f>IF($W472=AJ$3,$AB472,IF(NOT($W472=0),"",SUMIFS('Val-Vol (2)'!AJ$4:AJ$1116,'Val-Vol (2)'!$A$4:$A$1116,$D472,'Val-Vol (2)'!$V$4:$V$1116,$V472)/SUMIFS('Comp2016-2017 (3)'!$G$5:$G$289,'Comp2016-2017 (3)'!$A$5:$A$289,$D472,'Comp2016-2017 (3)'!$R$5:$R$289,$V472)*$AB472))</f>
        <v/>
      </c>
      <c r="AK472" s="2">
        <f t="shared" si="54"/>
        <v>0</v>
      </c>
      <c r="AL472" t="str">
        <f t="shared" si="56"/>
        <v/>
      </c>
      <c r="AM472" t="str">
        <f>VLOOKUP(A472,'Table corresp.'!$M$4:$U$63,8,FALSE)</f>
        <v>Production intermédiaire</v>
      </c>
      <c r="AN472" t="str">
        <f>VLOOKUP(D472,'Table corresp.'!$M$4:$U$63,9,FALSE)</f>
        <v>Production finale</v>
      </c>
    </row>
    <row r="473" spans="1:40" x14ac:dyDescent="0.25">
      <c r="A473" t="s">
        <v>82</v>
      </c>
      <c r="B473" t="str">
        <f>VLOOKUP(LEFT(A473,3),'Table corresp.'!$A$4:$D$63,3,FALSE)</f>
        <v>Transformation</v>
      </c>
      <c r="C473" t="str">
        <f>VLOOKUP(A473,'Table corresp.'!$M$4:$P$63,4,FALSE)</f>
        <v>Production et transformation de produits bois</v>
      </c>
      <c r="D473" t="s">
        <v>21</v>
      </c>
      <c r="E473" t="str">
        <f>VLOOKUP(LEFT(D473,3),'Table corresp.'!$A$4:$D$63,4,FALSE)</f>
        <v>Transformation</v>
      </c>
      <c r="F473" t="str">
        <f t="shared" si="55"/>
        <v xml:space="preserve">10  - 54 </v>
      </c>
      <c r="G473" s="3">
        <v>11269.910507176313</v>
      </c>
      <c r="H473" s="3">
        <v>0</v>
      </c>
      <c r="I473" s="3">
        <v>11269.913108473467</v>
      </c>
      <c r="J473" s="3">
        <v>56.270331914505292</v>
      </c>
      <c r="K473" s="3">
        <v>0</v>
      </c>
      <c r="L473" s="3">
        <v>56.270331914505292</v>
      </c>
      <c r="M473" s="3">
        <v>0</v>
      </c>
      <c r="N473" s="3">
        <v>0</v>
      </c>
      <c r="O473" s="3">
        <v>0</v>
      </c>
      <c r="P473" s="3">
        <v>0</v>
      </c>
      <c r="Q473" s="3">
        <v>0</v>
      </c>
      <c r="R473" s="3">
        <v>0</v>
      </c>
      <c r="S473" s="67"/>
      <c r="T473">
        <f>VLOOKUP(A473,'Groupe de branches'!$Z$27:$AM$86,14,FALSE)</f>
        <v>0</v>
      </c>
      <c r="U473">
        <f>VLOOKUP(D473,'Groupe de branches'!$Z$27:$AM$86,14,FALSE)</f>
        <v>0</v>
      </c>
      <c r="V473">
        <v>2017</v>
      </c>
      <c r="W473" t="str">
        <f>VLOOKUP(D473,'Table corresp.'!$M$4:$S$63,7,FALSE)</f>
        <v>Construction</v>
      </c>
      <c r="X473" s="167">
        <f>IFERROR(G473/SUMIFS('Comp2016-2017 (3)'!$I$5:$I$289,'Comp2016-2017 (3)'!$A$5:$A$289,A473,'Comp2016-2017 (3)'!$R$5:$R$289,V473),0)</f>
        <v>0.13269268733644848</v>
      </c>
      <c r="Y473" s="190">
        <f>IFERROR(IF(RIGHT(F473,3)="Exp",VLOOKUP(F473,#REF!,2,FALSE),VLOOKUP(F473,#REF!,9,FALSE)),1)</f>
        <v>1</v>
      </c>
      <c r="Z473" s="167">
        <f t="shared" si="58"/>
        <v>7.6923076923076927E-2</v>
      </c>
      <c r="AA473" s="189">
        <f t="shared" si="57"/>
        <v>1.0207129795111422E-2</v>
      </c>
      <c r="AB473" s="2">
        <f>IFERROR(SUMIFS('Comp2016-2017 (3)'!$G$5:$G$289,'Comp2016-2017 (3)'!$A$5:$A$289,A473,'Comp2016-2017 (3)'!$R$5:$R$289,V473)*AA473/SUMIFS($AA$4:$AA$1116,$A$4:$A$1116,A473,$V$4:$V$1116,V473),0)</f>
        <v>3998.0926000290419</v>
      </c>
      <c r="AC473" s="2" t="str">
        <f>IF($W473=AC$3,$AB473,IF(NOT($W473=0),"",SUMIFS('Val-Vol (2)'!AC$4:AC$1116,'Val-Vol (2)'!$A$4:$A$1116,$D473,'Val-Vol (2)'!$V$4:$V$1116,$V473)/SUMIFS('Comp2016-2017 (3)'!$G$5:$G$289,'Comp2016-2017 (3)'!$A$5:$A$289,$D473,'Comp2016-2017 (3)'!$R$5:$R$289,$V473)*$AB473))</f>
        <v/>
      </c>
      <c r="AD473" s="2">
        <f>IF($W473=AD$3,$AB473,IF(NOT($W473=0),"",SUMIFS('Val-Vol (2)'!AD$4:AD$1116,'Val-Vol (2)'!$A$4:$A$1116,$D473,'Val-Vol (2)'!$V$4:$V$1116,$V473)/SUMIFS('Comp2016-2017 (3)'!$G$5:$G$289,'Comp2016-2017 (3)'!$A$5:$A$289,$D473,'Comp2016-2017 (3)'!$R$5:$R$289,$V473)*$AB473))</f>
        <v>3998.0926000290419</v>
      </c>
      <c r="AE473" s="2" t="str">
        <f>IF($W473=AE$3,$AB473,IF(NOT($W473=0),"",SUMIFS('Val-Vol (2)'!AE$4:AE$1116,'Val-Vol (2)'!$A$4:$A$1116,$D473,'Val-Vol (2)'!$V$4:$V$1116,$V473)/SUMIFS('Comp2016-2017 (3)'!$G$5:$G$289,'Comp2016-2017 (3)'!$A$5:$A$289,$D473,'Comp2016-2017 (3)'!$R$5:$R$289,$V473)*$AB473))</f>
        <v/>
      </c>
      <c r="AF473" s="2" t="str">
        <f>IF($W473=AF$3,$AB473,IF(NOT($W473=0),"",SUMIFS('Val-Vol (2)'!AF$4:AF$1116,'Val-Vol (2)'!$A$4:$A$1116,$D473,'Val-Vol (2)'!$V$4:$V$1116,$V473)/SUMIFS('Comp2016-2017 (3)'!$G$5:$G$289,'Comp2016-2017 (3)'!$A$5:$A$289,$D473,'Comp2016-2017 (3)'!$R$5:$R$289,$V473)*$AB473))</f>
        <v/>
      </c>
      <c r="AG473" s="2" t="str">
        <f>IF($W473=AG$3,$AB473,IF(NOT($W473=0),"",SUMIFS('Val-Vol (2)'!AG$4:AG$1116,'Val-Vol (2)'!$A$4:$A$1116,$D473,'Val-Vol (2)'!$V$4:$V$1116,$V473)/SUMIFS('Comp2016-2017 (3)'!$G$5:$G$289,'Comp2016-2017 (3)'!$A$5:$A$289,$D473,'Comp2016-2017 (3)'!$R$5:$R$289,$V473)*$AB473))</f>
        <v/>
      </c>
      <c r="AH473" s="2" t="str">
        <f>IF($W473=AH$3,$AB473,IF(NOT($W473=0),"",SUMIFS('Val-Vol (2)'!AH$4:AH$1116,'Val-Vol (2)'!$A$4:$A$1116,$D473,'Val-Vol (2)'!$V$4:$V$1116,$V473)/SUMIFS('Comp2016-2017 (3)'!$G$5:$G$289,'Comp2016-2017 (3)'!$A$5:$A$289,$D473,'Comp2016-2017 (3)'!$R$5:$R$289,$V473)*$AB473))</f>
        <v/>
      </c>
      <c r="AI473" s="2" t="str">
        <f>IF($W473=AI$3,$AB473,IF(NOT($W473=0),"",SUMIFS('Val-Vol (2)'!AI$4:AI$1116,'Val-Vol (2)'!$A$4:$A$1116,$D473,'Val-Vol (2)'!$V$4:$V$1116,$V473)/SUMIFS('Comp2016-2017 (3)'!$G$5:$G$289,'Comp2016-2017 (3)'!$A$5:$A$289,$D473,'Comp2016-2017 (3)'!$R$5:$R$289,$V473)*$AB473))</f>
        <v/>
      </c>
      <c r="AJ473" s="2" t="str">
        <f>IF($W473=AJ$3,$AB473,IF(NOT($W473=0),"",SUMIFS('Val-Vol (2)'!AJ$4:AJ$1116,'Val-Vol (2)'!$A$4:$A$1116,$D473,'Val-Vol (2)'!$V$4:$V$1116,$V473)/SUMIFS('Comp2016-2017 (3)'!$G$5:$G$289,'Comp2016-2017 (3)'!$A$5:$A$289,$D473,'Comp2016-2017 (3)'!$R$5:$R$289,$V473)*$AB473))</f>
        <v/>
      </c>
      <c r="AK473" s="2">
        <f t="shared" si="54"/>
        <v>0</v>
      </c>
      <c r="AL473" t="str">
        <f t="shared" si="56"/>
        <v/>
      </c>
      <c r="AM473" t="str">
        <f>VLOOKUP(A473,'Table corresp.'!$M$4:$U$63,8,FALSE)</f>
        <v>Production intermédiaire</v>
      </c>
      <c r="AN473" t="str">
        <f>VLOOKUP(D473,'Table corresp.'!$M$4:$U$63,9,FALSE)</f>
        <v xml:space="preserve">Mise en œuvre </v>
      </c>
    </row>
    <row r="474" spans="1:40" x14ac:dyDescent="0.25">
      <c r="A474" t="s">
        <v>82</v>
      </c>
      <c r="B474" t="str">
        <f>VLOOKUP(LEFT(A474,3),'Table corresp.'!$A$4:$D$63,3,FALSE)</f>
        <v>Transformation</v>
      </c>
      <c r="C474" t="str">
        <f>VLOOKUP(A474,'Table corresp.'!$M$4:$P$63,4,FALSE)</f>
        <v>Production et transformation de produits bois</v>
      </c>
      <c r="D474" t="s">
        <v>22</v>
      </c>
      <c r="E474" t="str">
        <f>VLOOKUP(LEFT(D474,3),'Table corresp.'!$A$4:$D$63,4,FALSE)</f>
        <v>Transformation</v>
      </c>
      <c r="F474" t="str">
        <f t="shared" si="55"/>
        <v xml:space="preserve">10  - 55 </v>
      </c>
      <c r="G474" s="3">
        <v>2027.1359204319872</v>
      </c>
      <c r="H474" s="3">
        <v>0</v>
      </c>
      <c r="I474" s="3">
        <v>2027.136388331257</v>
      </c>
      <c r="J474" s="3">
        <v>8.8562513100839038</v>
      </c>
      <c r="K474" s="3">
        <v>0</v>
      </c>
      <c r="L474" s="3">
        <v>8.8562513100839038</v>
      </c>
      <c r="M474" s="3">
        <v>0</v>
      </c>
      <c r="N474" s="3">
        <v>0</v>
      </c>
      <c r="O474" s="3">
        <v>0</v>
      </c>
      <c r="P474" s="3">
        <v>0</v>
      </c>
      <c r="Q474" s="3">
        <v>0</v>
      </c>
      <c r="R474" s="3">
        <v>0</v>
      </c>
      <c r="S474" s="67"/>
      <c r="T474">
        <f>VLOOKUP(A474,'Groupe de branches'!$Z$27:$AM$86,14,FALSE)</f>
        <v>0</v>
      </c>
      <c r="U474">
        <f>VLOOKUP(D474,'Groupe de branches'!$Z$27:$AM$86,14,FALSE)</f>
        <v>0</v>
      </c>
      <c r="V474">
        <v>2017</v>
      </c>
      <c r="W474" t="str">
        <f>VLOOKUP(D474,'Table corresp.'!$M$4:$S$63,7,FALSE)</f>
        <v>Construction</v>
      </c>
      <c r="X474" s="167">
        <f>IFERROR(G474/SUMIFS('Comp2016-2017 (3)'!$I$5:$I$289,'Comp2016-2017 (3)'!$A$5:$A$289,A474,'Comp2016-2017 (3)'!$R$5:$R$289,V474),0)</f>
        <v>2.3867635213880689E-2</v>
      </c>
      <c r="Y474" s="190">
        <f>IFERROR(IF(RIGHT(F474,3)="Exp",VLOOKUP(F474,#REF!,2,FALSE),VLOOKUP(F474,#REF!,9,FALSE)),1)</f>
        <v>1</v>
      </c>
      <c r="Z474" s="167">
        <f t="shared" si="58"/>
        <v>7.6923076923076927E-2</v>
      </c>
      <c r="AA474" s="189">
        <f t="shared" si="57"/>
        <v>1.8359719395292838E-3</v>
      </c>
      <c r="AB474" s="2">
        <f>IFERROR(SUMIFS('Comp2016-2017 (3)'!$G$5:$G$289,'Comp2016-2017 (3)'!$A$5:$A$289,A474,'Comp2016-2017 (3)'!$R$5:$R$289,V474)*AA474/SUMIFS($AA$4:$AA$1116,$A$4:$A$1116,A474,$V$4:$V$1116,V474),0)</f>
        <v>719.14298854204685</v>
      </c>
      <c r="AC474" s="2" t="str">
        <f>IF($W474=AC$3,$AB474,IF(NOT($W474=0),"",SUMIFS('Val-Vol (2)'!AC$4:AC$1116,'Val-Vol (2)'!$A$4:$A$1116,$D474,'Val-Vol (2)'!$V$4:$V$1116,$V474)/SUMIFS('Comp2016-2017 (3)'!$G$5:$G$289,'Comp2016-2017 (3)'!$A$5:$A$289,$D474,'Comp2016-2017 (3)'!$R$5:$R$289,$V474)*$AB474))</f>
        <v/>
      </c>
      <c r="AD474" s="2">
        <f>IF($W474=AD$3,$AB474,IF(NOT($W474=0),"",SUMIFS('Val-Vol (2)'!AD$4:AD$1116,'Val-Vol (2)'!$A$4:$A$1116,$D474,'Val-Vol (2)'!$V$4:$V$1116,$V474)/SUMIFS('Comp2016-2017 (3)'!$G$5:$G$289,'Comp2016-2017 (3)'!$A$5:$A$289,$D474,'Comp2016-2017 (3)'!$R$5:$R$289,$V474)*$AB474))</f>
        <v>719.14298854204685</v>
      </c>
      <c r="AE474" s="2" t="str">
        <f>IF($W474=AE$3,$AB474,IF(NOT($W474=0),"",SUMIFS('Val-Vol (2)'!AE$4:AE$1116,'Val-Vol (2)'!$A$4:$A$1116,$D474,'Val-Vol (2)'!$V$4:$V$1116,$V474)/SUMIFS('Comp2016-2017 (3)'!$G$5:$G$289,'Comp2016-2017 (3)'!$A$5:$A$289,$D474,'Comp2016-2017 (3)'!$R$5:$R$289,$V474)*$AB474))</f>
        <v/>
      </c>
      <c r="AF474" s="2" t="str">
        <f>IF($W474=AF$3,$AB474,IF(NOT($W474=0),"",SUMIFS('Val-Vol (2)'!AF$4:AF$1116,'Val-Vol (2)'!$A$4:$A$1116,$D474,'Val-Vol (2)'!$V$4:$V$1116,$V474)/SUMIFS('Comp2016-2017 (3)'!$G$5:$G$289,'Comp2016-2017 (3)'!$A$5:$A$289,$D474,'Comp2016-2017 (3)'!$R$5:$R$289,$V474)*$AB474))</f>
        <v/>
      </c>
      <c r="AG474" s="2" t="str">
        <f>IF($W474=AG$3,$AB474,IF(NOT($W474=0),"",SUMIFS('Val-Vol (2)'!AG$4:AG$1116,'Val-Vol (2)'!$A$4:$A$1116,$D474,'Val-Vol (2)'!$V$4:$V$1116,$V474)/SUMIFS('Comp2016-2017 (3)'!$G$5:$G$289,'Comp2016-2017 (3)'!$A$5:$A$289,$D474,'Comp2016-2017 (3)'!$R$5:$R$289,$V474)*$AB474))</f>
        <v/>
      </c>
      <c r="AH474" s="2" t="str">
        <f>IF($W474=AH$3,$AB474,IF(NOT($W474=0),"",SUMIFS('Val-Vol (2)'!AH$4:AH$1116,'Val-Vol (2)'!$A$4:$A$1116,$D474,'Val-Vol (2)'!$V$4:$V$1116,$V474)/SUMIFS('Comp2016-2017 (3)'!$G$5:$G$289,'Comp2016-2017 (3)'!$A$5:$A$289,$D474,'Comp2016-2017 (3)'!$R$5:$R$289,$V474)*$AB474))</f>
        <v/>
      </c>
      <c r="AI474" s="2" t="str">
        <f>IF($W474=AI$3,$AB474,IF(NOT($W474=0),"",SUMIFS('Val-Vol (2)'!AI$4:AI$1116,'Val-Vol (2)'!$A$4:$A$1116,$D474,'Val-Vol (2)'!$V$4:$V$1116,$V474)/SUMIFS('Comp2016-2017 (3)'!$G$5:$G$289,'Comp2016-2017 (3)'!$A$5:$A$289,$D474,'Comp2016-2017 (3)'!$R$5:$R$289,$V474)*$AB474))</f>
        <v/>
      </c>
      <c r="AJ474" s="2" t="str">
        <f>IF($W474=AJ$3,$AB474,IF(NOT($W474=0),"",SUMIFS('Val-Vol (2)'!AJ$4:AJ$1116,'Val-Vol (2)'!$A$4:$A$1116,$D474,'Val-Vol (2)'!$V$4:$V$1116,$V474)/SUMIFS('Comp2016-2017 (3)'!$G$5:$G$289,'Comp2016-2017 (3)'!$A$5:$A$289,$D474,'Comp2016-2017 (3)'!$R$5:$R$289,$V474)*$AB474))</f>
        <v/>
      </c>
      <c r="AK474" s="2">
        <f t="shared" si="54"/>
        <v>0</v>
      </c>
      <c r="AL474" t="str">
        <f t="shared" si="56"/>
        <v/>
      </c>
      <c r="AM474" t="str">
        <f>VLOOKUP(A474,'Table corresp.'!$M$4:$U$63,8,FALSE)</f>
        <v>Production intermédiaire</v>
      </c>
      <c r="AN474" t="str">
        <f>VLOOKUP(D474,'Table corresp.'!$M$4:$U$63,9,FALSE)</f>
        <v xml:space="preserve">Mise en œuvre </v>
      </c>
    </row>
    <row r="475" spans="1:40" x14ac:dyDescent="0.25">
      <c r="A475" t="s">
        <v>82</v>
      </c>
      <c r="B475" t="str">
        <f>VLOOKUP(LEFT(A475,3),'Table corresp.'!$A$4:$D$63,3,FALSE)</f>
        <v>Transformation</v>
      </c>
      <c r="C475" t="str">
        <f>VLOOKUP(A475,'Table corresp.'!$M$4:$P$63,4,FALSE)</f>
        <v>Production et transformation de produits bois</v>
      </c>
      <c r="D475" t="s">
        <v>24</v>
      </c>
      <c r="E475" t="str">
        <f>VLOOKUP(LEFT(D475,3),'Table corresp.'!$A$4:$D$63,4,FALSE)</f>
        <v>Transformation</v>
      </c>
      <c r="F475" t="str">
        <f t="shared" si="55"/>
        <v xml:space="preserve">10  - 57 </v>
      </c>
      <c r="G475" s="3">
        <v>4034.2394070894657</v>
      </c>
      <c r="H475" s="3">
        <v>0</v>
      </c>
      <c r="I475" s="3">
        <v>4034.240338264161</v>
      </c>
      <c r="J475" s="3">
        <v>20.142838784296458</v>
      </c>
      <c r="K475" s="3">
        <v>0</v>
      </c>
      <c r="L475" s="3">
        <v>20.142838784296458</v>
      </c>
      <c r="M475" s="3">
        <v>0</v>
      </c>
      <c r="N475" s="3">
        <v>0</v>
      </c>
      <c r="O475" s="3">
        <v>0</v>
      </c>
      <c r="P475" s="3">
        <v>0</v>
      </c>
      <c r="Q475" s="3">
        <v>0</v>
      </c>
      <c r="R475" s="3">
        <v>0</v>
      </c>
      <c r="S475" s="67"/>
      <c r="T475">
        <f>VLOOKUP(A475,'Groupe de branches'!$Z$27:$AM$86,14,FALSE)</f>
        <v>0</v>
      </c>
      <c r="U475">
        <f>VLOOKUP(D475,'Groupe de branches'!$Z$27:$AM$86,14,FALSE)</f>
        <v>0</v>
      </c>
      <c r="V475">
        <v>2017</v>
      </c>
      <c r="W475" t="str">
        <f>VLOOKUP(D475,'Table corresp.'!$M$4:$S$63,7,FALSE)</f>
        <v>Construction</v>
      </c>
      <c r="X475" s="167">
        <f>IFERROR(G475/SUMIFS('Comp2016-2017 (3)'!$I$5:$I$289,'Comp2016-2017 (3)'!$A$5:$A$289,A475,'Comp2016-2017 (3)'!$R$5:$R$289,V475),0)</f>
        <v>4.7499407199767127E-2</v>
      </c>
      <c r="Y475" s="190">
        <f>IFERROR(IF(RIGHT(F475,3)="Exp",VLOOKUP(F475,#REF!,2,FALSE),VLOOKUP(F475,#REF!,9,FALSE)),1)</f>
        <v>1</v>
      </c>
      <c r="Z475" s="167">
        <f t="shared" si="58"/>
        <v>7.6923076923076927E-2</v>
      </c>
      <c r="AA475" s="189">
        <f t="shared" si="57"/>
        <v>3.6538005538282407E-3</v>
      </c>
      <c r="AB475" s="2">
        <f>IFERROR(SUMIFS('Comp2016-2017 (3)'!$G$5:$G$289,'Comp2016-2017 (3)'!$A$5:$A$289,A475,'Comp2016-2017 (3)'!$R$5:$R$289,V475)*AA475/SUMIFS($AA$4:$AA$1116,$A$4:$A$1116,A475,$V$4:$V$1116,V475),0)</f>
        <v>1431.1793079420952</v>
      </c>
      <c r="AC475" s="2" t="str">
        <f>IF($W475=AC$3,$AB475,IF(NOT($W475=0),"",SUMIFS('Val-Vol (2)'!AC$4:AC$1116,'Val-Vol (2)'!$A$4:$A$1116,$D475,'Val-Vol (2)'!$V$4:$V$1116,$V475)/SUMIFS('Comp2016-2017 (3)'!$G$5:$G$289,'Comp2016-2017 (3)'!$A$5:$A$289,$D475,'Comp2016-2017 (3)'!$R$5:$R$289,$V475)*$AB475))</f>
        <v/>
      </c>
      <c r="AD475" s="2">
        <f>IF($W475=AD$3,$AB475,IF(NOT($W475=0),"",SUMIFS('Val-Vol (2)'!AD$4:AD$1116,'Val-Vol (2)'!$A$4:$A$1116,$D475,'Val-Vol (2)'!$V$4:$V$1116,$V475)/SUMIFS('Comp2016-2017 (3)'!$G$5:$G$289,'Comp2016-2017 (3)'!$A$5:$A$289,$D475,'Comp2016-2017 (3)'!$R$5:$R$289,$V475)*$AB475))</f>
        <v>1431.1793079420952</v>
      </c>
      <c r="AE475" s="2" t="str">
        <f>IF($W475=AE$3,$AB475,IF(NOT($W475=0),"",SUMIFS('Val-Vol (2)'!AE$4:AE$1116,'Val-Vol (2)'!$A$4:$A$1116,$D475,'Val-Vol (2)'!$V$4:$V$1116,$V475)/SUMIFS('Comp2016-2017 (3)'!$G$5:$G$289,'Comp2016-2017 (3)'!$A$5:$A$289,$D475,'Comp2016-2017 (3)'!$R$5:$R$289,$V475)*$AB475))</f>
        <v/>
      </c>
      <c r="AF475" s="2" t="str">
        <f>IF($W475=AF$3,$AB475,IF(NOT($W475=0),"",SUMIFS('Val-Vol (2)'!AF$4:AF$1116,'Val-Vol (2)'!$A$4:$A$1116,$D475,'Val-Vol (2)'!$V$4:$V$1116,$V475)/SUMIFS('Comp2016-2017 (3)'!$G$5:$G$289,'Comp2016-2017 (3)'!$A$5:$A$289,$D475,'Comp2016-2017 (3)'!$R$5:$R$289,$V475)*$AB475))</f>
        <v/>
      </c>
      <c r="AG475" s="2" t="str">
        <f>IF($W475=AG$3,$AB475,IF(NOT($W475=0),"",SUMIFS('Val-Vol (2)'!AG$4:AG$1116,'Val-Vol (2)'!$A$4:$A$1116,$D475,'Val-Vol (2)'!$V$4:$V$1116,$V475)/SUMIFS('Comp2016-2017 (3)'!$G$5:$G$289,'Comp2016-2017 (3)'!$A$5:$A$289,$D475,'Comp2016-2017 (3)'!$R$5:$R$289,$V475)*$AB475))</f>
        <v/>
      </c>
      <c r="AH475" s="2" t="str">
        <f>IF($W475=AH$3,$AB475,IF(NOT($W475=0),"",SUMIFS('Val-Vol (2)'!AH$4:AH$1116,'Val-Vol (2)'!$A$4:$A$1116,$D475,'Val-Vol (2)'!$V$4:$V$1116,$V475)/SUMIFS('Comp2016-2017 (3)'!$G$5:$G$289,'Comp2016-2017 (3)'!$A$5:$A$289,$D475,'Comp2016-2017 (3)'!$R$5:$R$289,$V475)*$AB475))</f>
        <v/>
      </c>
      <c r="AI475" s="2" t="str">
        <f>IF($W475=AI$3,$AB475,IF(NOT($W475=0),"",SUMIFS('Val-Vol (2)'!AI$4:AI$1116,'Val-Vol (2)'!$A$4:$A$1116,$D475,'Val-Vol (2)'!$V$4:$V$1116,$V475)/SUMIFS('Comp2016-2017 (3)'!$G$5:$G$289,'Comp2016-2017 (3)'!$A$5:$A$289,$D475,'Comp2016-2017 (3)'!$R$5:$R$289,$V475)*$AB475))</f>
        <v/>
      </c>
      <c r="AJ475" s="2" t="str">
        <f>IF($W475=AJ$3,$AB475,IF(NOT($W475=0),"",SUMIFS('Val-Vol (2)'!AJ$4:AJ$1116,'Val-Vol (2)'!$A$4:$A$1116,$D475,'Val-Vol (2)'!$V$4:$V$1116,$V475)/SUMIFS('Comp2016-2017 (3)'!$G$5:$G$289,'Comp2016-2017 (3)'!$A$5:$A$289,$D475,'Comp2016-2017 (3)'!$R$5:$R$289,$V475)*$AB475))</f>
        <v/>
      </c>
      <c r="AK475" s="2">
        <f t="shared" si="54"/>
        <v>0</v>
      </c>
      <c r="AL475" t="str">
        <f t="shared" si="56"/>
        <v/>
      </c>
      <c r="AM475" t="str">
        <f>VLOOKUP(A475,'Table corresp.'!$M$4:$U$63,8,FALSE)</f>
        <v>Production intermédiaire</v>
      </c>
      <c r="AN475" t="str">
        <f>VLOOKUP(D475,'Table corresp.'!$M$4:$U$63,9,FALSE)</f>
        <v xml:space="preserve">Mise en œuvre </v>
      </c>
    </row>
    <row r="476" spans="1:40" x14ac:dyDescent="0.25">
      <c r="A476" t="s">
        <v>82</v>
      </c>
      <c r="B476" t="str">
        <f>VLOOKUP(LEFT(A476,3),'Table corresp.'!$A$4:$D$63,3,FALSE)</f>
        <v>Transformation</v>
      </c>
      <c r="C476" t="str">
        <f>VLOOKUP(A476,'Table corresp.'!$M$4:$P$63,4,FALSE)</f>
        <v>Production et transformation de produits bois</v>
      </c>
      <c r="D476" t="s">
        <v>25</v>
      </c>
      <c r="E476" t="str">
        <f>VLOOKUP(LEFT(D476,3),'Table corresp.'!$A$4:$D$63,4,FALSE)</f>
        <v>Transformation</v>
      </c>
      <c r="F476" t="str">
        <f t="shared" si="55"/>
        <v xml:space="preserve">10  - 58 </v>
      </c>
      <c r="G476" s="3">
        <v>842.06052139917711</v>
      </c>
      <c r="H476" s="3">
        <v>0</v>
      </c>
      <c r="I476" s="3">
        <v>842.06071576182387</v>
      </c>
      <c r="J476" s="3">
        <v>7.3576710082885688</v>
      </c>
      <c r="K476" s="3">
        <v>0</v>
      </c>
      <c r="L476" s="3">
        <v>7.3576710082885688</v>
      </c>
      <c r="M476" s="3">
        <v>0</v>
      </c>
      <c r="N476" s="3">
        <v>0</v>
      </c>
      <c r="O476" s="3">
        <v>0</v>
      </c>
      <c r="P476" s="3">
        <v>0</v>
      </c>
      <c r="Q476" s="3">
        <v>0</v>
      </c>
      <c r="R476" s="3">
        <v>0</v>
      </c>
      <c r="S476" s="67"/>
      <c r="T476">
        <f>VLOOKUP(A476,'Groupe de branches'!$Z$27:$AM$86,14,FALSE)</f>
        <v>0</v>
      </c>
      <c r="U476">
        <f>VLOOKUP(D476,'Groupe de branches'!$Z$27:$AM$86,14,FALSE)</f>
        <v>0</v>
      </c>
      <c r="V476">
        <v>2017</v>
      </c>
      <c r="W476" t="str">
        <f>VLOOKUP(D476,'Table corresp.'!$M$4:$S$63,7,FALSE)</f>
        <v>Construction</v>
      </c>
      <c r="X476" s="167">
        <f>IFERROR(G476/SUMIFS('Comp2016-2017 (3)'!$I$5:$I$289,'Comp2016-2017 (3)'!$A$5:$A$289,A476,'Comp2016-2017 (3)'!$R$5:$R$289,V476),0)</f>
        <v>9.9144774409023386E-3</v>
      </c>
      <c r="Y476" s="190">
        <f>IFERROR(IF(RIGHT(F476,3)="Exp",VLOOKUP(F476,#REF!,2,FALSE),VLOOKUP(F476,#REF!,9,FALSE)),1)</f>
        <v>1</v>
      </c>
      <c r="Z476" s="167">
        <f t="shared" si="58"/>
        <v>7.6923076923076927E-2</v>
      </c>
      <c r="AA476" s="189">
        <f t="shared" si="57"/>
        <v>7.6265211083864149E-4</v>
      </c>
      <c r="AB476" s="2">
        <f>IFERROR(SUMIFS('Comp2016-2017 (3)'!$G$5:$G$289,'Comp2016-2017 (3)'!$A$5:$A$289,A476,'Comp2016-2017 (3)'!$R$5:$R$289,V476)*AA476/SUMIFS($AA$4:$AA$1116,$A$4:$A$1116,A476,$V$4:$V$1116,V476),0)</f>
        <v>298.72783259803907</v>
      </c>
      <c r="AC476" s="2" t="str">
        <f>IF($W476=AC$3,$AB476,IF(NOT($W476=0),"",SUMIFS('Val-Vol (2)'!AC$4:AC$1116,'Val-Vol (2)'!$A$4:$A$1116,$D476,'Val-Vol (2)'!$V$4:$V$1116,$V476)/SUMIFS('Comp2016-2017 (3)'!$G$5:$G$289,'Comp2016-2017 (3)'!$A$5:$A$289,$D476,'Comp2016-2017 (3)'!$R$5:$R$289,$V476)*$AB476))</f>
        <v/>
      </c>
      <c r="AD476" s="2">
        <f>IF($W476=AD$3,$AB476,IF(NOT($W476=0),"",SUMIFS('Val-Vol (2)'!AD$4:AD$1116,'Val-Vol (2)'!$A$4:$A$1116,$D476,'Val-Vol (2)'!$V$4:$V$1116,$V476)/SUMIFS('Comp2016-2017 (3)'!$G$5:$G$289,'Comp2016-2017 (3)'!$A$5:$A$289,$D476,'Comp2016-2017 (3)'!$R$5:$R$289,$V476)*$AB476))</f>
        <v>298.72783259803907</v>
      </c>
      <c r="AE476" s="2" t="str">
        <f>IF($W476=AE$3,$AB476,IF(NOT($W476=0),"",SUMIFS('Val-Vol (2)'!AE$4:AE$1116,'Val-Vol (2)'!$A$4:$A$1116,$D476,'Val-Vol (2)'!$V$4:$V$1116,$V476)/SUMIFS('Comp2016-2017 (3)'!$G$5:$G$289,'Comp2016-2017 (3)'!$A$5:$A$289,$D476,'Comp2016-2017 (3)'!$R$5:$R$289,$V476)*$AB476))</f>
        <v/>
      </c>
      <c r="AF476" s="2" t="str">
        <f>IF($W476=AF$3,$AB476,IF(NOT($W476=0),"",SUMIFS('Val-Vol (2)'!AF$4:AF$1116,'Val-Vol (2)'!$A$4:$A$1116,$D476,'Val-Vol (2)'!$V$4:$V$1116,$V476)/SUMIFS('Comp2016-2017 (3)'!$G$5:$G$289,'Comp2016-2017 (3)'!$A$5:$A$289,$D476,'Comp2016-2017 (3)'!$R$5:$R$289,$V476)*$AB476))</f>
        <v/>
      </c>
      <c r="AG476" s="2" t="str">
        <f>IF($W476=AG$3,$AB476,IF(NOT($W476=0),"",SUMIFS('Val-Vol (2)'!AG$4:AG$1116,'Val-Vol (2)'!$A$4:$A$1116,$D476,'Val-Vol (2)'!$V$4:$V$1116,$V476)/SUMIFS('Comp2016-2017 (3)'!$G$5:$G$289,'Comp2016-2017 (3)'!$A$5:$A$289,$D476,'Comp2016-2017 (3)'!$R$5:$R$289,$V476)*$AB476))</f>
        <v/>
      </c>
      <c r="AH476" s="2" t="str">
        <f>IF($W476=AH$3,$AB476,IF(NOT($W476=0),"",SUMIFS('Val-Vol (2)'!AH$4:AH$1116,'Val-Vol (2)'!$A$4:$A$1116,$D476,'Val-Vol (2)'!$V$4:$V$1116,$V476)/SUMIFS('Comp2016-2017 (3)'!$G$5:$G$289,'Comp2016-2017 (3)'!$A$5:$A$289,$D476,'Comp2016-2017 (3)'!$R$5:$R$289,$V476)*$AB476))</f>
        <v/>
      </c>
      <c r="AI476" s="2" t="str">
        <f>IF($W476=AI$3,$AB476,IF(NOT($W476=0),"",SUMIFS('Val-Vol (2)'!AI$4:AI$1116,'Val-Vol (2)'!$A$4:$A$1116,$D476,'Val-Vol (2)'!$V$4:$V$1116,$V476)/SUMIFS('Comp2016-2017 (3)'!$G$5:$G$289,'Comp2016-2017 (3)'!$A$5:$A$289,$D476,'Comp2016-2017 (3)'!$R$5:$R$289,$V476)*$AB476))</f>
        <v/>
      </c>
      <c r="AJ476" s="2" t="str">
        <f>IF($W476=AJ$3,$AB476,IF(NOT($W476=0),"",SUMIFS('Val-Vol (2)'!AJ$4:AJ$1116,'Val-Vol (2)'!$A$4:$A$1116,$D476,'Val-Vol (2)'!$V$4:$V$1116,$V476)/SUMIFS('Comp2016-2017 (3)'!$G$5:$G$289,'Comp2016-2017 (3)'!$A$5:$A$289,$D476,'Comp2016-2017 (3)'!$R$5:$R$289,$V476)*$AB476))</f>
        <v/>
      </c>
      <c r="AK476" s="2">
        <f t="shared" si="54"/>
        <v>0</v>
      </c>
      <c r="AL476" t="str">
        <f t="shared" si="56"/>
        <v/>
      </c>
      <c r="AM476" t="str">
        <f>VLOOKUP(A476,'Table corresp.'!$M$4:$U$63,8,FALSE)</f>
        <v>Production intermédiaire</v>
      </c>
      <c r="AN476" t="str">
        <f>VLOOKUP(D476,'Table corresp.'!$M$4:$U$63,9,FALSE)</f>
        <v xml:space="preserve">Mise en œuvre </v>
      </c>
    </row>
    <row r="477" spans="1:40" x14ac:dyDescent="0.25">
      <c r="A477" t="s">
        <v>82</v>
      </c>
      <c r="B477" t="str">
        <f>VLOOKUP(LEFT(A477,3),'Table corresp.'!$A$4:$D$63,3,FALSE)</f>
        <v>Transformation</v>
      </c>
      <c r="C477" t="str">
        <f>VLOOKUP(A477,'Table corresp.'!$M$4:$P$63,4,FALSE)</f>
        <v>Production et transformation de produits bois</v>
      </c>
      <c r="D477" t="s">
        <v>54</v>
      </c>
      <c r="E477" t="str">
        <f>VLOOKUP(LEFT(D477,3),'Table corresp.'!$A$4:$D$63,4,FALSE)</f>
        <v>Consommation finale</v>
      </c>
      <c r="F477" t="str">
        <f t="shared" si="55"/>
        <v>10  - Con</v>
      </c>
      <c r="G477" s="3">
        <v>1571.853996049867</v>
      </c>
      <c r="H477" s="3">
        <v>0</v>
      </c>
      <c r="I477" s="3">
        <v>1571.8543588619161</v>
      </c>
      <c r="J477" s="3">
        <v>11.138097964190123</v>
      </c>
      <c r="K477" s="3">
        <v>0</v>
      </c>
      <c r="L477" s="3">
        <v>11.138097964190123</v>
      </c>
      <c r="M477" s="3">
        <v>0</v>
      </c>
      <c r="N477" s="3">
        <v>0</v>
      </c>
      <c r="O477" s="3">
        <v>0</v>
      </c>
      <c r="P477" s="3">
        <v>0</v>
      </c>
      <c r="Q477" s="3">
        <v>0</v>
      </c>
      <c r="R477" s="3">
        <v>0</v>
      </c>
      <c r="S477" s="67"/>
      <c r="T477">
        <f>VLOOKUP(A477,'Groupe de branches'!$Z$27:$AM$86,14,FALSE)</f>
        <v>0</v>
      </c>
      <c r="U477">
        <f>VLOOKUP(D477,'Groupe de branches'!$Z$27:$AM$86,14,FALSE)</f>
        <v>0</v>
      </c>
      <c r="V477">
        <v>2017</v>
      </c>
      <c r="W477" t="str">
        <f>VLOOKUP(D477,'Table corresp.'!$M$4:$S$63,7,FALSE)</f>
        <v>Consommation finale</v>
      </c>
      <c r="X477" s="167">
        <f>IFERROR(G477/SUMIFS('Comp2016-2017 (3)'!$I$5:$I$289,'Comp2016-2017 (3)'!$A$5:$A$289,A477,'Comp2016-2017 (3)'!$R$5:$R$289,V477),0)</f>
        <v>1.8507115092314109E-2</v>
      </c>
      <c r="Y477" s="190">
        <f>IFERROR(IF(RIGHT(F477,3)="Exp",VLOOKUP(F477,#REF!,2,FALSE),VLOOKUP(F477,#REF!,9,FALSE)),1)</f>
        <v>1</v>
      </c>
      <c r="Z477" s="167">
        <f t="shared" si="58"/>
        <v>7.6923076923076927E-2</v>
      </c>
      <c r="AA477" s="189">
        <f t="shared" si="57"/>
        <v>1.4236242378703162E-3</v>
      </c>
      <c r="AB477" s="2">
        <f>IFERROR(SUMIFS('Comp2016-2017 (3)'!$G$5:$G$289,'Comp2016-2017 (3)'!$A$5:$A$289,A477,'Comp2016-2017 (3)'!$R$5:$R$289,V477)*AA477/SUMIFS($AA$4:$AA$1116,$A$4:$A$1116,A477,$V$4:$V$1116,V477),0)</f>
        <v>557.62801540716214</v>
      </c>
      <c r="AC477" s="2" t="str">
        <f>IF($W477=AC$3,$AB477,IF(NOT($W477=0),"",SUMIFS('Val-Vol (2)'!AC$4:AC$1116,'Val-Vol (2)'!$A$4:$A$1116,$D477,'Val-Vol (2)'!$V$4:$V$1116,$V477)/SUMIFS('Comp2016-2017 (3)'!$G$5:$G$289,'Comp2016-2017 (3)'!$A$5:$A$289,$D477,'Comp2016-2017 (3)'!$R$5:$R$289,$V477)*$AB477))</f>
        <v/>
      </c>
      <c r="AD477" s="2" t="str">
        <f>IF($W477=AD$3,$AB477,IF(NOT($W477=0),"",SUMIFS('Val-Vol (2)'!AD$4:AD$1116,'Val-Vol (2)'!$A$4:$A$1116,$D477,'Val-Vol (2)'!$V$4:$V$1116,$V477)/SUMIFS('Comp2016-2017 (3)'!$G$5:$G$289,'Comp2016-2017 (3)'!$A$5:$A$289,$D477,'Comp2016-2017 (3)'!$R$5:$R$289,$V477)*$AB477))</f>
        <v/>
      </c>
      <c r="AE477" s="2" t="str">
        <f>IF($W477=AE$3,$AB477,IF(NOT($W477=0),"",SUMIFS('Val-Vol (2)'!AE$4:AE$1116,'Val-Vol (2)'!$A$4:$A$1116,$D477,'Val-Vol (2)'!$V$4:$V$1116,$V477)/SUMIFS('Comp2016-2017 (3)'!$G$5:$G$289,'Comp2016-2017 (3)'!$A$5:$A$289,$D477,'Comp2016-2017 (3)'!$R$5:$R$289,$V477)*$AB477))</f>
        <v/>
      </c>
      <c r="AF477" s="2" t="str">
        <f>IF($W477=AF$3,$AB477,IF(NOT($W477=0),"",SUMIFS('Val-Vol (2)'!AF$4:AF$1116,'Val-Vol (2)'!$A$4:$A$1116,$D477,'Val-Vol (2)'!$V$4:$V$1116,$V477)/SUMIFS('Comp2016-2017 (3)'!$G$5:$G$289,'Comp2016-2017 (3)'!$A$5:$A$289,$D477,'Comp2016-2017 (3)'!$R$5:$R$289,$V477)*$AB477))</f>
        <v/>
      </c>
      <c r="AG477" s="2" t="str">
        <f>IF($W477=AG$3,$AB477,IF(NOT($W477=0),"",SUMIFS('Val-Vol (2)'!AG$4:AG$1116,'Val-Vol (2)'!$A$4:$A$1116,$D477,'Val-Vol (2)'!$V$4:$V$1116,$V477)/SUMIFS('Comp2016-2017 (3)'!$G$5:$G$289,'Comp2016-2017 (3)'!$A$5:$A$289,$D477,'Comp2016-2017 (3)'!$R$5:$R$289,$V477)*$AB477))</f>
        <v/>
      </c>
      <c r="AH477" s="2" t="str">
        <f>IF($W477=AH$3,$AB477,IF(NOT($W477=0),"",SUMIFS('Val-Vol (2)'!AH$4:AH$1116,'Val-Vol (2)'!$A$4:$A$1116,$D477,'Val-Vol (2)'!$V$4:$V$1116,$V477)/SUMIFS('Comp2016-2017 (3)'!$G$5:$G$289,'Comp2016-2017 (3)'!$A$5:$A$289,$D477,'Comp2016-2017 (3)'!$R$5:$R$289,$V477)*$AB477))</f>
        <v/>
      </c>
      <c r="AI477" s="2" t="str">
        <f>IF($W477=AI$3,$AB477,IF(NOT($W477=0),"",SUMIFS('Val-Vol (2)'!AI$4:AI$1116,'Val-Vol (2)'!$A$4:$A$1116,$D477,'Val-Vol (2)'!$V$4:$V$1116,$V477)/SUMIFS('Comp2016-2017 (3)'!$G$5:$G$289,'Comp2016-2017 (3)'!$A$5:$A$289,$D477,'Comp2016-2017 (3)'!$R$5:$R$289,$V477)*$AB477))</f>
        <v/>
      </c>
      <c r="AJ477" s="2">
        <f>IF($W477=AJ$3,$AB477,IF(NOT($W477=0),"",SUMIFS('Val-Vol (2)'!AJ$4:AJ$1116,'Val-Vol (2)'!$A$4:$A$1116,$D477,'Val-Vol (2)'!$V$4:$V$1116,$V477)/SUMIFS('Comp2016-2017 (3)'!$G$5:$G$289,'Comp2016-2017 (3)'!$A$5:$A$289,$D477,'Comp2016-2017 (3)'!$R$5:$R$289,$V477)*$AB477))</f>
        <v>557.62801540716214</v>
      </c>
      <c r="AK477" s="2">
        <f t="shared" si="54"/>
        <v>0</v>
      </c>
      <c r="AL477" t="str">
        <f t="shared" si="56"/>
        <v/>
      </c>
      <c r="AM477" t="str">
        <f>VLOOKUP(A477,'Table corresp.'!$M$4:$U$63,8,FALSE)</f>
        <v>Production intermédiaire</v>
      </c>
      <c r="AN477" t="str">
        <f>VLOOKUP(D477,'Table corresp.'!$M$4:$U$63,9,FALSE)</f>
        <v>Consommation finale française</v>
      </c>
    </row>
    <row r="478" spans="1:40" x14ac:dyDescent="0.25">
      <c r="A478" t="s">
        <v>82</v>
      </c>
      <c r="B478" t="str">
        <f>VLOOKUP(LEFT(A478,3),'Table corresp.'!$A$4:$D$63,3,FALSE)</f>
        <v>Transformation</v>
      </c>
      <c r="C478" t="str">
        <f>VLOOKUP(A478,'Table corresp.'!$M$4:$P$63,4,FALSE)</f>
        <v>Production et transformation de produits bois</v>
      </c>
      <c r="D478" t="s">
        <v>53</v>
      </c>
      <c r="E478" t="str">
        <f>VLOOKUP(LEFT(D478,3),'Table corresp.'!$A$4:$D$63,4,FALSE)</f>
        <v>Exportation</v>
      </c>
      <c r="F478" t="str">
        <f t="shared" si="55"/>
        <v>10  - Exp</v>
      </c>
      <c r="G478" s="3">
        <v>15594.361400542146</v>
      </c>
      <c r="H478" s="3">
        <v>0</v>
      </c>
      <c r="I478" s="3">
        <v>15594.365000000002</v>
      </c>
      <c r="J478" s="3">
        <v>56.182778816614196</v>
      </c>
      <c r="K478" s="3">
        <v>0</v>
      </c>
      <c r="L478" s="3">
        <v>56.182778816614196</v>
      </c>
      <c r="M478" s="3">
        <v>0</v>
      </c>
      <c r="N478" s="3">
        <v>0</v>
      </c>
      <c r="O478" s="3">
        <v>0</v>
      </c>
      <c r="P478" s="3">
        <v>0</v>
      </c>
      <c r="Q478" s="3">
        <v>0</v>
      </c>
      <c r="R478" s="3">
        <v>0</v>
      </c>
      <c r="S478" s="67"/>
      <c r="T478">
        <f>VLOOKUP(A478,'Groupe de branches'!$Z$27:$AM$86,14,FALSE)</f>
        <v>0</v>
      </c>
      <c r="U478">
        <f>VLOOKUP(D478,'Groupe de branches'!$Z$27:$AM$86,14,FALSE)</f>
        <v>0</v>
      </c>
      <c r="V478">
        <v>2017</v>
      </c>
      <c r="W478" t="str">
        <f>VLOOKUP(D478,'Table corresp.'!$M$4:$S$63,7,FALSE)</f>
        <v>Exportation</v>
      </c>
      <c r="X478" s="167">
        <f>IFERROR(G478/SUMIFS('Comp2016-2017 (3)'!$I$5:$I$289,'Comp2016-2017 (3)'!$A$5:$A$289,A478,'Comp2016-2017 (3)'!$R$5:$R$289,V478),0)</f>
        <v>0.18360906417278855</v>
      </c>
      <c r="Y478" s="190">
        <f>IFERROR(IF(RIGHT(F478,3)="Exp",VLOOKUP(F478,#REF!,2,FALSE),VLOOKUP(F478,#REF!,9,FALSE)),1)</f>
        <v>1</v>
      </c>
      <c r="Z478" s="167">
        <f t="shared" si="58"/>
        <v>7.6923076923076927E-2</v>
      </c>
      <c r="AA478" s="189">
        <f t="shared" si="57"/>
        <v>1.4123774167137582E-2</v>
      </c>
      <c r="AB478" s="2">
        <f>IFERROR(SUMIFS('Comp2016-2017 (3)'!$G$5:$G$289,'Comp2016-2017 (3)'!$A$5:$A$289,A478,'Comp2016-2017 (3)'!$R$5:$R$289,V478)*AA478/SUMIFS($AA$4:$AA$1116,$A$4:$A$1116,A478,$V$4:$V$1116,V478),0)</f>
        <v>5532.2267978956079</v>
      </c>
      <c r="AC478" s="2">
        <f>IF($W478=AC$3,$AB478,IF(NOT($W478=0),"",SUMIFS('Val-Vol (2)'!AC$4:AC$1116,'Val-Vol (2)'!$A$4:$A$1116,$D478,'Val-Vol (2)'!$V$4:$V$1116,$V478)/SUMIFS('Comp2016-2017 (3)'!$G$5:$G$289,'Comp2016-2017 (3)'!$A$5:$A$289,$D478,'Comp2016-2017 (3)'!$R$5:$R$289,$V478)*$AB478))</f>
        <v>5532.2267978956079</v>
      </c>
      <c r="AD478" s="2" t="str">
        <f>IF($W478=AD$3,$AB478,IF(NOT($W478=0),"",SUMIFS('Val-Vol (2)'!AD$4:AD$1116,'Val-Vol (2)'!$A$4:$A$1116,$D478,'Val-Vol (2)'!$V$4:$V$1116,$V478)/SUMIFS('Comp2016-2017 (3)'!$G$5:$G$289,'Comp2016-2017 (3)'!$A$5:$A$289,$D478,'Comp2016-2017 (3)'!$R$5:$R$289,$V478)*$AB478))</f>
        <v/>
      </c>
      <c r="AE478" s="2" t="str">
        <f>IF($W478=AE$3,$AB478,IF(NOT($W478=0),"",SUMIFS('Val-Vol (2)'!AE$4:AE$1116,'Val-Vol (2)'!$A$4:$A$1116,$D478,'Val-Vol (2)'!$V$4:$V$1116,$V478)/SUMIFS('Comp2016-2017 (3)'!$G$5:$G$289,'Comp2016-2017 (3)'!$A$5:$A$289,$D478,'Comp2016-2017 (3)'!$R$5:$R$289,$V478)*$AB478))</f>
        <v/>
      </c>
      <c r="AF478" s="2" t="str">
        <f>IF($W478=AF$3,$AB478,IF(NOT($W478=0),"",SUMIFS('Val-Vol (2)'!AF$4:AF$1116,'Val-Vol (2)'!$A$4:$A$1116,$D478,'Val-Vol (2)'!$V$4:$V$1116,$V478)/SUMIFS('Comp2016-2017 (3)'!$G$5:$G$289,'Comp2016-2017 (3)'!$A$5:$A$289,$D478,'Comp2016-2017 (3)'!$R$5:$R$289,$V478)*$AB478))</f>
        <v/>
      </c>
      <c r="AG478" s="2" t="str">
        <f>IF($W478=AG$3,$AB478,IF(NOT($W478=0),"",SUMIFS('Val-Vol (2)'!AG$4:AG$1116,'Val-Vol (2)'!$A$4:$A$1116,$D478,'Val-Vol (2)'!$V$4:$V$1116,$V478)/SUMIFS('Comp2016-2017 (3)'!$G$5:$G$289,'Comp2016-2017 (3)'!$A$5:$A$289,$D478,'Comp2016-2017 (3)'!$R$5:$R$289,$V478)*$AB478))</f>
        <v/>
      </c>
      <c r="AH478" s="2" t="str">
        <f>IF($W478=AH$3,$AB478,IF(NOT($W478=0),"",SUMIFS('Val-Vol (2)'!AH$4:AH$1116,'Val-Vol (2)'!$A$4:$A$1116,$D478,'Val-Vol (2)'!$V$4:$V$1116,$V478)/SUMIFS('Comp2016-2017 (3)'!$G$5:$G$289,'Comp2016-2017 (3)'!$A$5:$A$289,$D478,'Comp2016-2017 (3)'!$R$5:$R$289,$V478)*$AB478))</f>
        <v/>
      </c>
      <c r="AI478" s="2" t="str">
        <f>IF($W478=AI$3,$AB478,IF(NOT($W478=0),"",SUMIFS('Val-Vol (2)'!AI$4:AI$1116,'Val-Vol (2)'!$A$4:$A$1116,$D478,'Val-Vol (2)'!$V$4:$V$1116,$V478)/SUMIFS('Comp2016-2017 (3)'!$G$5:$G$289,'Comp2016-2017 (3)'!$A$5:$A$289,$D478,'Comp2016-2017 (3)'!$R$5:$R$289,$V478)*$AB478))</f>
        <v/>
      </c>
      <c r="AJ478" s="2" t="str">
        <f>IF($W478=AJ$3,$AB478,IF(NOT($W478=0),"",SUMIFS('Val-Vol (2)'!AJ$4:AJ$1116,'Val-Vol (2)'!$A$4:$A$1116,$D478,'Val-Vol (2)'!$V$4:$V$1116,$V478)/SUMIFS('Comp2016-2017 (3)'!$G$5:$G$289,'Comp2016-2017 (3)'!$A$5:$A$289,$D478,'Comp2016-2017 (3)'!$R$5:$R$289,$V478)*$AB478))</f>
        <v/>
      </c>
      <c r="AK478" s="2">
        <f t="shared" si="54"/>
        <v>0</v>
      </c>
      <c r="AL478" t="str">
        <f t="shared" si="56"/>
        <v/>
      </c>
      <c r="AM478" t="str">
        <f>VLOOKUP(A478,'Table corresp.'!$M$4:$U$63,8,FALSE)</f>
        <v>Production intermédiaire</v>
      </c>
      <c r="AN478" t="str">
        <f>VLOOKUP(D478,'Table corresp.'!$M$4:$U$63,9,FALSE)</f>
        <v>Exportation</v>
      </c>
    </row>
    <row r="479" spans="1:40" x14ac:dyDescent="0.25">
      <c r="A479" t="s">
        <v>6</v>
      </c>
      <c r="B479" t="str">
        <f>VLOOKUP(LEFT(A479,3),'Table corresp.'!$A$4:$D$63,3,FALSE)</f>
        <v>Transformation</v>
      </c>
      <c r="C479" t="str">
        <f>VLOOKUP(A479,'Table corresp.'!$M$4:$P$63,4,FALSE)</f>
        <v>Production et transformation de produits bois</v>
      </c>
      <c r="D479" t="s">
        <v>13</v>
      </c>
      <c r="E479" t="str">
        <f>VLOOKUP(LEFT(D479,3),'Table corresp.'!$A$4:$D$63,4,FALSE)</f>
        <v>Transformation</v>
      </c>
      <c r="F479" t="str">
        <f t="shared" si="55"/>
        <v xml:space="preserve">11  - 20 </v>
      </c>
      <c r="G479" s="3">
        <v>0</v>
      </c>
      <c r="H479" s="3">
        <v>2038.6434604038088</v>
      </c>
      <c r="I479" s="3">
        <v>2038.6530754664191</v>
      </c>
      <c r="J479" s="3">
        <v>0</v>
      </c>
      <c r="K479" s="3">
        <v>2.6250397196656237</v>
      </c>
      <c r="L479" s="3">
        <v>2.6250397196656237</v>
      </c>
      <c r="M479" s="3">
        <v>0</v>
      </c>
      <c r="N479" s="3">
        <v>0</v>
      </c>
      <c r="O479" s="3">
        <v>0</v>
      </c>
      <c r="P479" s="3">
        <v>0</v>
      </c>
      <c r="Q479" s="3">
        <v>0</v>
      </c>
      <c r="R479" s="3">
        <v>0</v>
      </c>
      <c r="S479" s="67"/>
      <c r="T479">
        <f>VLOOKUP(A479,'Groupe de branches'!$Z$27:$AM$86,14,FALSE)</f>
        <v>0</v>
      </c>
      <c r="U479">
        <f>VLOOKUP(D479,'Groupe de branches'!$Z$27:$AM$86,14,FALSE)</f>
        <v>0</v>
      </c>
      <c r="V479">
        <v>2017</v>
      </c>
      <c r="W479">
        <f>VLOOKUP(D479,'Table corresp.'!$M$4:$S$63,7,FALSE)</f>
        <v>0</v>
      </c>
      <c r="X479" s="167">
        <f>IFERROR(G479/SUMIFS('Comp2016-2017 (3)'!$I$5:$I$289,'Comp2016-2017 (3)'!$A$5:$A$289,A479,'Comp2016-2017 (3)'!$R$5:$R$289,V479),0)</f>
        <v>0</v>
      </c>
      <c r="Y479" s="190">
        <f>IFERROR(IF(RIGHT(F479,3)="Exp",VLOOKUP(F479,#REF!,2,FALSE),VLOOKUP(F479,#REF!,9,FALSE)),1)</f>
        <v>1</v>
      </c>
      <c r="Z479" s="167">
        <f t="shared" si="58"/>
        <v>9.0909090909090912E-2</v>
      </c>
      <c r="AA479" s="189">
        <f t="shared" si="57"/>
        <v>0</v>
      </c>
      <c r="AB479" s="2">
        <f>IFERROR(SUMIFS('Comp2016-2017 (3)'!$G$5:$G$289,'Comp2016-2017 (3)'!$A$5:$A$289,A479,'Comp2016-2017 (3)'!$R$5:$R$289,V479)*AA479/SUMIFS($AA$4:$AA$1116,$A$4:$A$1116,A479,$V$4:$V$1116,V479),0)</f>
        <v>0</v>
      </c>
      <c r="AC479" s="2">
        <f>IF($W479=AC$3,$AB479,IF(NOT($W479=0),"",SUMIFS('Val-Vol (2)'!AC$4:AC$1116,'Val-Vol (2)'!$A$4:$A$1116,$D479,'Val-Vol (2)'!$V$4:$V$1116,$V479)/SUMIFS('Comp2016-2017 (3)'!$G$5:$G$289,'Comp2016-2017 (3)'!$A$5:$A$289,$D479,'Comp2016-2017 (3)'!$R$5:$R$289,$V479)*$AB479))</f>
        <v>0</v>
      </c>
      <c r="AD479" s="2">
        <f>IF($W479=AD$3,$AB479,IF(NOT($W479=0),"",SUMIFS('Val-Vol (2)'!AD$4:AD$1116,'Val-Vol (2)'!$A$4:$A$1116,$D479,'Val-Vol (2)'!$V$4:$V$1116,$V479)/SUMIFS('Comp2016-2017 (3)'!$G$5:$G$289,'Comp2016-2017 (3)'!$A$5:$A$289,$D479,'Comp2016-2017 (3)'!$R$5:$R$289,$V479)*$AB479))</f>
        <v>0</v>
      </c>
      <c r="AE479" s="2">
        <f>IF($W479=AE$3,$AB479,IF(NOT($W479=0),"",SUMIFS('Val-Vol (2)'!AE$4:AE$1116,'Val-Vol (2)'!$A$4:$A$1116,$D479,'Val-Vol (2)'!$V$4:$V$1116,$V479)/SUMIFS('Comp2016-2017 (3)'!$G$5:$G$289,'Comp2016-2017 (3)'!$A$5:$A$289,$D479,'Comp2016-2017 (3)'!$R$5:$R$289,$V479)*$AB479))</f>
        <v>0</v>
      </c>
      <c r="AF479" s="2">
        <f>IF($W479=AF$3,$AB479,IF(NOT($W479=0),"",SUMIFS('Val-Vol (2)'!AF$4:AF$1116,'Val-Vol (2)'!$A$4:$A$1116,$D479,'Val-Vol (2)'!$V$4:$V$1116,$V479)/SUMIFS('Comp2016-2017 (3)'!$G$5:$G$289,'Comp2016-2017 (3)'!$A$5:$A$289,$D479,'Comp2016-2017 (3)'!$R$5:$R$289,$V479)*$AB479))</f>
        <v>0</v>
      </c>
      <c r="AG479" s="2">
        <f>IF($W479=AG$3,$AB479,IF(NOT($W479=0),"",SUMIFS('Val-Vol (2)'!AG$4:AG$1116,'Val-Vol (2)'!$A$4:$A$1116,$D479,'Val-Vol (2)'!$V$4:$V$1116,$V479)/SUMIFS('Comp2016-2017 (3)'!$G$5:$G$289,'Comp2016-2017 (3)'!$A$5:$A$289,$D479,'Comp2016-2017 (3)'!$R$5:$R$289,$V479)*$AB479))</f>
        <v>0</v>
      </c>
      <c r="AH479" s="2">
        <f>IF($W479=AH$3,$AB479,IF(NOT($W479=0),"",SUMIFS('Val-Vol (2)'!AH$4:AH$1116,'Val-Vol (2)'!$A$4:$A$1116,$D479,'Val-Vol (2)'!$V$4:$V$1116,$V479)/SUMIFS('Comp2016-2017 (3)'!$G$5:$G$289,'Comp2016-2017 (3)'!$A$5:$A$289,$D479,'Comp2016-2017 (3)'!$R$5:$R$289,$V479)*$AB479))</f>
        <v>0</v>
      </c>
      <c r="AI479" s="2">
        <f>IF($W479=AI$3,$AB479,IF(NOT($W479=0),"",SUMIFS('Val-Vol (2)'!AI$4:AI$1116,'Val-Vol (2)'!$A$4:$A$1116,$D479,'Val-Vol (2)'!$V$4:$V$1116,$V479)/SUMIFS('Comp2016-2017 (3)'!$G$5:$G$289,'Comp2016-2017 (3)'!$A$5:$A$289,$D479,'Comp2016-2017 (3)'!$R$5:$R$289,$V479)*$AB479))</f>
        <v>0</v>
      </c>
      <c r="AJ479" s="2">
        <f>IF($W479=AJ$3,$AB479,IF(NOT($W479=0),"",SUMIFS('Val-Vol (2)'!AJ$4:AJ$1116,'Val-Vol (2)'!$A$4:$A$1116,$D479,'Val-Vol (2)'!$V$4:$V$1116,$V479)/SUMIFS('Comp2016-2017 (3)'!$G$5:$G$289,'Comp2016-2017 (3)'!$A$5:$A$289,$D479,'Comp2016-2017 (3)'!$R$5:$R$289,$V479)*$AB479))</f>
        <v>0</v>
      </c>
      <c r="AK479" s="2">
        <f t="shared" si="54"/>
        <v>0</v>
      </c>
      <c r="AL479" t="str">
        <f t="shared" si="56"/>
        <v/>
      </c>
      <c r="AM479" t="str">
        <f>VLOOKUP(A479,'Table corresp.'!$M$4:$U$63,8,FALSE)</f>
        <v>Production intermédiaire</v>
      </c>
      <c r="AN479" t="str">
        <f>VLOOKUP(D479,'Table corresp.'!$M$4:$U$63,9,FALSE)</f>
        <v>Production intermédiaire</v>
      </c>
    </row>
    <row r="480" spans="1:40" x14ac:dyDescent="0.25">
      <c r="A480" t="s">
        <v>6</v>
      </c>
      <c r="B480" t="str">
        <f>VLOOKUP(LEFT(A480,3),'Table corresp.'!$A$4:$D$63,3,FALSE)</f>
        <v>Transformation</v>
      </c>
      <c r="C480" t="str">
        <f>VLOOKUP(A480,'Table corresp.'!$M$4:$P$63,4,FALSE)</f>
        <v>Production et transformation de produits bois</v>
      </c>
      <c r="D480" t="s">
        <v>89</v>
      </c>
      <c r="E480" t="str">
        <f>VLOOKUP(LEFT(D480,3),'Table corresp.'!$A$4:$D$63,4,FALSE)</f>
        <v>Transformation</v>
      </c>
      <c r="F480" t="str">
        <f t="shared" si="55"/>
        <v xml:space="preserve">11  - 33 </v>
      </c>
      <c r="G480" s="3">
        <v>0</v>
      </c>
      <c r="H480" s="3">
        <v>1589.7116078604331</v>
      </c>
      <c r="I480" s="3">
        <v>1589.7191055798426</v>
      </c>
      <c r="J480" s="3">
        <v>0</v>
      </c>
      <c r="K480" s="3">
        <v>2.0469769209278761</v>
      </c>
      <c r="L480" s="3">
        <v>2.0469769209278761</v>
      </c>
      <c r="M480" s="3">
        <v>0</v>
      </c>
      <c r="N480" s="3">
        <v>0</v>
      </c>
      <c r="O480" s="3">
        <v>0</v>
      </c>
      <c r="P480" s="3">
        <v>0</v>
      </c>
      <c r="Q480" s="3">
        <v>0</v>
      </c>
      <c r="R480" s="3">
        <v>0</v>
      </c>
      <c r="S480" s="67"/>
      <c r="T480">
        <f>VLOOKUP(A480,'Groupe de branches'!$Z$27:$AM$86,14,FALSE)</f>
        <v>0</v>
      </c>
      <c r="U480">
        <f>VLOOKUP(D480,'Groupe de branches'!$Z$27:$AM$86,14,FALSE)</f>
        <v>0</v>
      </c>
      <c r="V480">
        <v>2017</v>
      </c>
      <c r="W480" t="str">
        <f>VLOOKUP(D480,'Table corresp.'!$M$4:$S$63,7,FALSE)</f>
        <v>Construction</v>
      </c>
      <c r="X480" s="167">
        <f>IFERROR(G480/SUMIFS('Comp2016-2017 (3)'!$I$5:$I$289,'Comp2016-2017 (3)'!$A$5:$A$289,A480,'Comp2016-2017 (3)'!$R$5:$R$289,V480),0)</f>
        <v>0</v>
      </c>
      <c r="Y480" s="190">
        <f>IFERROR(IF(RIGHT(F480,3)="Exp",VLOOKUP(F480,#REF!,2,FALSE),VLOOKUP(F480,#REF!,9,FALSE)),1)</f>
        <v>1</v>
      </c>
      <c r="Z480" s="167">
        <f t="shared" si="58"/>
        <v>9.0909090909090912E-2</v>
      </c>
      <c r="AA480" s="189">
        <f t="shared" si="57"/>
        <v>0</v>
      </c>
      <c r="AB480" s="2">
        <f>IFERROR(SUMIFS('Comp2016-2017 (3)'!$G$5:$G$289,'Comp2016-2017 (3)'!$A$5:$A$289,A480,'Comp2016-2017 (3)'!$R$5:$R$289,V480)*AA480/SUMIFS($AA$4:$AA$1116,$A$4:$A$1116,A480,$V$4:$V$1116,V480),0)</f>
        <v>0</v>
      </c>
      <c r="AC480" s="2" t="str">
        <f>IF($W480=AC$3,$AB480,IF(NOT($W480=0),"",SUMIFS('Val-Vol (2)'!AC$4:AC$1116,'Val-Vol (2)'!$A$4:$A$1116,$D480,'Val-Vol (2)'!$V$4:$V$1116,$V480)/SUMIFS('Comp2016-2017 (3)'!$G$5:$G$289,'Comp2016-2017 (3)'!$A$5:$A$289,$D480,'Comp2016-2017 (3)'!$R$5:$R$289,$V480)*$AB480))</f>
        <v/>
      </c>
      <c r="AD480" s="2">
        <f>IF($W480=AD$3,$AB480,IF(NOT($W480=0),"",SUMIFS('Val-Vol (2)'!AD$4:AD$1116,'Val-Vol (2)'!$A$4:$A$1116,$D480,'Val-Vol (2)'!$V$4:$V$1116,$V480)/SUMIFS('Comp2016-2017 (3)'!$G$5:$G$289,'Comp2016-2017 (3)'!$A$5:$A$289,$D480,'Comp2016-2017 (3)'!$R$5:$R$289,$V480)*$AB480))</f>
        <v>0</v>
      </c>
      <c r="AE480" s="2" t="str">
        <f>IF($W480=AE$3,$AB480,IF(NOT($W480=0),"",SUMIFS('Val-Vol (2)'!AE$4:AE$1116,'Val-Vol (2)'!$A$4:$A$1116,$D480,'Val-Vol (2)'!$V$4:$V$1116,$V480)/SUMIFS('Comp2016-2017 (3)'!$G$5:$G$289,'Comp2016-2017 (3)'!$A$5:$A$289,$D480,'Comp2016-2017 (3)'!$R$5:$R$289,$V480)*$AB480))</f>
        <v/>
      </c>
      <c r="AF480" s="2" t="str">
        <f>IF($W480=AF$3,$AB480,IF(NOT($W480=0),"",SUMIFS('Val-Vol (2)'!AF$4:AF$1116,'Val-Vol (2)'!$A$4:$A$1116,$D480,'Val-Vol (2)'!$V$4:$V$1116,$V480)/SUMIFS('Comp2016-2017 (3)'!$G$5:$G$289,'Comp2016-2017 (3)'!$A$5:$A$289,$D480,'Comp2016-2017 (3)'!$R$5:$R$289,$V480)*$AB480))</f>
        <v/>
      </c>
      <c r="AG480" s="2" t="str">
        <f>IF($W480=AG$3,$AB480,IF(NOT($W480=0),"",SUMIFS('Val-Vol (2)'!AG$4:AG$1116,'Val-Vol (2)'!$A$4:$A$1116,$D480,'Val-Vol (2)'!$V$4:$V$1116,$V480)/SUMIFS('Comp2016-2017 (3)'!$G$5:$G$289,'Comp2016-2017 (3)'!$A$5:$A$289,$D480,'Comp2016-2017 (3)'!$R$5:$R$289,$V480)*$AB480))</f>
        <v/>
      </c>
      <c r="AH480" s="2" t="str">
        <f>IF($W480=AH$3,$AB480,IF(NOT($W480=0),"",SUMIFS('Val-Vol (2)'!AH$4:AH$1116,'Val-Vol (2)'!$A$4:$A$1116,$D480,'Val-Vol (2)'!$V$4:$V$1116,$V480)/SUMIFS('Comp2016-2017 (3)'!$G$5:$G$289,'Comp2016-2017 (3)'!$A$5:$A$289,$D480,'Comp2016-2017 (3)'!$R$5:$R$289,$V480)*$AB480))</f>
        <v/>
      </c>
      <c r="AI480" s="2" t="str">
        <f>IF($W480=AI$3,$AB480,IF(NOT($W480=0),"",SUMIFS('Val-Vol (2)'!AI$4:AI$1116,'Val-Vol (2)'!$A$4:$A$1116,$D480,'Val-Vol (2)'!$V$4:$V$1116,$V480)/SUMIFS('Comp2016-2017 (3)'!$G$5:$G$289,'Comp2016-2017 (3)'!$A$5:$A$289,$D480,'Comp2016-2017 (3)'!$R$5:$R$289,$V480)*$AB480))</f>
        <v/>
      </c>
      <c r="AJ480" s="2" t="str">
        <f>IF($W480=AJ$3,$AB480,IF(NOT($W480=0),"",SUMIFS('Val-Vol (2)'!AJ$4:AJ$1116,'Val-Vol (2)'!$A$4:$A$1116,$D480,'Val-Vol (2)'!$V$4:$V$1116,$V480)/SUMIFS('Comp2016-2017 (3)'!$G$5:$G$289,'Comp2016-2017 (3)'!$A$5:$A$289,$D480,'Comp2016-2017 (3)'!$R$5:$R$289,$V480)*$AB480))</f>
        <v/>
      </c>
      <c r="AK480" s="2">
        <f t="shared" si="54"/>
        <v>0</v>
      </c>
      <c r="AL480" t="str">
        <f t="shared" si="56"/>
        <v/>
      </c>
      <c r="AM480" t="str">
        <f>VLOOKUP(A480,'Table corresp.'!$M$4:$U$63,8,FALSE)</f>
        <v>Production intermédiaire</v>
      </c>
      <c r="AN480" t="str">
        <f>VLOOKUP(D480,'Table corresp.'!$M$4:$U$63,9,FALSE)</f>
        <v>Production finale</v>
      </c>
    </row>
    <row r="481" spans="1:40" x14ac:dyDescent="0.25">
      <c r="A481" t="s">
        <v>6</v>
      </c>
      <c r="B481" t="str">
        <f>VLOOKUP(LEFT(A481,3),'Table corresp.'!$A$4:$D$63,3,FALSE)</f>
        <v>Transformation</v>
      </c>
      <c r="C481" t="str">
        <f>VLOOKUP(A481,'Table corresp.'!$M$4:$P$63,4,FALSE)</f>
        <v>Production et transformation de produits bois</v>
      </c>
      <c r="D481" t="s">
        <v>15</v>
      </c>
      <c r="E481" t="str">
        <f>VLOOKUP(LEFT(D481,3),'Table corresp.'!$A$4:$D$63,4,FALSE)</f>
        <v>Transformation</v>
      </c>
      <c r="F481" t="str">
        <f t="shared" si="55"/>
        <v xml:space="preserve">11  - 35 </v>
      </c>
      <c r="G481" s="3">
        <v>0</v>
      </c>
      <c r="H481" s="3">
        <v>25799.573890441476</v>
      </c>
      <c r="I481" s="3">
        <v>25799.695571609907</v>
      </c>
      <c r="J481" s="3">
        <v>0</v>
      </c>
      <c r="K481" s="3">
        <v>33.220574135823767</v>
      </c>
      <c r="L481" s="3">
        <v>33.220574135823767</v>
      </c>
      <c r="M481" s="3">
        <v>0</v>
      </c>
      <c r="N481" s="3">
        <v>0</v>
      </c>
      <c r="O481" s="3">
        <v>0</v>
      </c>
      <c r="P481" s="3">
        <v>0</v>
      </c>
      <c r="Q481" s="3">
        <v>0</v>
      </c>
      <c r="R481" s="3">
        <v>0</v>
      </c>
      <c r="S481" s="67"/>
      <c r="T481">
        <f>VLOOKUP(A481,'Groupe de branches'!$Z$27:$AM$86,14,FALSE)</f>
        <v>0</v>
      </c>
      <c r="U481">
        <f>VLOOKUP(D481,'Groupe de branches'!$Z$27:$AM$86,14,FALSE)</f>
        <v>0</v>
      </c>
      <c r="V481">
        <v>2017</v>
      </c>
      <c r="W481" t="str">
        <f>VLOOKUP(D481,'Table corresp.'!$M$4:$S$63,7,FALSE)</f>
        <v>Construction</v>
      </c>
      <c r="X481" s="167">
        <f>IFERROR(G481/SUMIFS('Comp2016-2017 (3)'!$I$5:$I$289,'Comp2016-2017 (3)'!$A$5:$A$289,A481,'Comp2016-2017 (3)'!$R$5:$R$289,V481),0)</f>
        <v>0</v>
      </c>
      <c r="Y481" s="190">
        <f>IFERROR(IF(RIGHT(F481,3)="Exp",VLOOKUP(F481,#REF!,2,FALSE),VLOOKUP(F481,#REF!,9,FALSE)),1)</f>
        <v>1</v>
      </c>
      <c r="Z481" s="167">
        <f t="shared" si="58"/>
        <v>9.0909090909090912E-2</v>
      </c>
      <c r="AA481" s="189">
        <f t="shared" si="57"/>
        <v>0</v>
      </c>
      <c r="AB481" s="2">
        <f>IFERROR(SUMIFS('Comp2016-2017 (3)'!$G$5:$G$289,'Comp2016-2017 (3)'!$A$5:$A$289,A481,'Comp2016-2017 (3)'!$R$5:$R$289,V481)*AA481/SUMIFS($AA$4:$AA$1116,$A$4:$A$1116,A481,$V$4:$V$1116,V481),0)</f>
        <v>0</v>
      </c>
      <c r="AC481" s="2" t="str">
        <f>IF($W481=AC$3,$AB481,IF(NOT($W481=0),"",SUMIFS('Val-Vol (2)'!AC$4:AC$1116,'Val-Vol (2)'!$A$4:$A$1116,$D481,'Val-Vol (2)'!$V$4:$V$1116,$V481)/SUMIFS('Comp2016-2017 (3)'!$G$5:$G$289,'Comp2016-2017 (3)'!$A$5:$A$289,$D481,'Comp2016-2017 (3)'!$R$5:$R$289,$V481)*$AB481))</f>
        <v/>
      </c>
      <c r="AD481" s="2">
        <f>IF($W481=AD$3,$AB481,IF(NOT($W481=0),"",SUMIFS('Val-Vol (2)'!AD$4:AD$1116,'Val-Vol (2)'!$A$4:$A$1116,$D481,'Val-Vol (2)'!$V$4:$V$1116,$V481)/SUMIFS('Comp2016-2017 (3)'!$G$5:$G$289,'Comp2016-2017 (3)'!$A$5:$A$289,$D481,'Comp2016-2017 (3)'!$R$5:$R$289,$V481)*$AB481))</f>
        <v>0</v>
      </c>
      <c r="AE481" s="2" t="str">
        <f>IF($W481=AE$3,$AB481,IF(NOT($W481=0),"",SUMIFS('Val-Vol (2)'!AE$4:AE$1116,'Val-Vol (2)'!$A$4:$A$1116,$D481,'Val-Vol (2)'!$V$4:$V$1116,$V481)/SUMIFS('Comp2016-2017 (3)'!$G$5:$G$289,'Comp2016-2017 (3)'!$A$5:$A$289,$D481,'Comp2016-2017 (3)'!$R$5:$R$289,$V481)*$AB481))</f>
        <v/>
      </c>
      <c r="AF481" s="2" t="str">
        <f>IF($W481=AF$3,$AB481,IF(NOT($W481=0),"",SUMIFS('Val-Vol (2)'!AF$4:AF$1116,'Val-Vol (2)'!$A$4:$A$1116,$D481,'Val-Vol (2)'!$V$4:$V$1116,$V481)/SUMIFS('Comp2016-2017 (3)'!$G$5:$G$289,'Comp2016-2017 (3)'!$A$5:$A$289,$D481,'Comp2016-2017 (3)'!$R$5:$R$289,$V481)*$AB481))</f>
        <v/>
      </c>
      <c r="AG481" s="2" t="str">
        <f>IF($W481=AG$3,$AB481,IF(NOT($W481=0),"",SUMIFS('Val-Vol (2)'!AG$4:AG$1116,'Val-Vol (2)'!$A$4:$A$1116,$D481,'Val-Vol (2)'!$V$4:$V$1116,$V481)/SUMIFS('Comp2016-2017 (3)'!$G$5:$G$289,'Comp2016-2017 (3)'!$A$5:$A$289,$D481,'Comp2016-2017 (3)'!$R$5:$R$289,$V481)*$AB481))</f>
        <v/>
      </c>
      <c r="AH481" s="2" t="str">
        <f>IF($W481=AH$3,$AB481,IF(NOT($W481=0),"",SUMIFS('Val-Vol (2)'!AH$4:AH$1116,'Val-Vol (2)'!$A$4:$A$1116,$D481,'Val-Vol (2)'!$V$4:$V$1116,$V481)/SUMIFS('Comp2016-2017 (3)'!$G$5:$G$289,'Comp2016-2017 (3)'!$A$5:$A$289,$D481,'Comp2016-2017 (3)'!$R$5:$R$289,$V481)*$AB481))</f>
        <v/>
      </c>
      <c r="AI481" s="2" t="str">
        <f>IF($W481=AI$3,$AB481,IF(NOT($W481=0),"",SUMIFS('Val-Vol (2)'!AI$4:AI$1116,'Val-Vol (2)'!$A$4:$A$1116,$D481,'Val-Vol (2)'!$V$4:$V$1116,$V481)/SUMIFS('Comp2016-2017 (3)'!$G$5:$G$289,'Comp2016-2017 (3)'!$A$5:$A$289,$D481,'Comp2016-2017 (3)'!$R$5:$R$289,$V481)*$AB481))</f>
        <v/>
      </c>
      <c r="AJ481" s="2" t="str">
        <f>IF($W481=AJ$3,$AB481,IF(NOT($W481=0),"",SUMIFS('Val-Vol (2)'!AJ$4:AJ$1116,'Val-Vol (2)'!$A$4:$A$1116,$D481,'Val-Vol (2)'!$V$4:$V$1116,$V481)/SUMIFS('Comp2016-2017 (3)'!$G$5:$G$289,'Comp2016-2017 (3)'!$A$5:$A$289,$D481,'Comp2016-2017 (3)'!$R$5:$R$289,$V481)*$AB481))</f>
        <v/>
      </c>
      <c r="AK481" s="2">
        <f t="shared" si="54"/>
        <v>0</v>
      </c>
      <c r="AL481" t="str">
        <f t="shared" si="56"/>
        <v/>
      </c>
      <c r="AM481" t="str">
        <f>VLOOKUP(A481,'Table corresp.'!$M$4:$U$63,8,FALSE)</f>
        <v>Production intermédiaire</v>
      </c>
      <c r="AN481" t="str">
        <f>VLOOKUP(D481,'Table corresp.'!$M$4:$U$63,9,FALSE)</f>
        <v>Production finale</v>
      </c>
    </row>
    <row r="482" spans="1:40" x14ac:dyDescent="0.25">
      <c r="A482" t="s">
        <v>6</v>
      </c>
      <c r="B482" t="str">
        <f>VLOOKUP(LEFT(A482,3),'Table corresp.'!$A$4:$D$63,3,FALSE)</f>
        <v>Transformation</v>
      </c>
      <c r="C482" t="str">
        <f>VLOOKUP(A482,'Table corresp.'!$M$4:$P$63,4,FALSE)</f>
        <v>Production et transformation de produits bois</v>
      </c>
      <c r="D482" t="s">
        <v>16</v>
      </c>
      <c r="E482" t="str">
        <f>VLOOKUP(LEFT(D482,3),'Table corresp.'!$A$4:$D$63,4,FALSE)</f>
        <v>Transformation</v>
      </c>
      <c r="F482" t="str">
        <f t="shared" si="55"/>
        <v xml:space="preserve">11  - 36 </v>
      </c>
      <c r="G482" s="3">
        <v>0</v>
      </c>
      <c r="H482" s="3">
        <v>1202.893720858832</v>
      </c>
      <c r="I482" s="3">
        <v>1202.8993941894876</v>
      </c>
      <c r="J482" s="3">
        <v>0</v>
      </c>
      <c r="K482" s="3">
        <v>1.5488945748097362</v>
      </c>
      <c r="L482" s="3">
        <v>1.5488945748097362</v>
      </c>
      <c r="M482" s="3">
        <v>0</v>
      </c>
      <c r="N482" s="3">
        <v>0</v>
      </c>
      <c r="O482" s="3">
        <v>0</v>
      </c>
      <c r="P482" s="3">
        <v>0</v>
      </c>
      <c r="Q482" s="3">
        <v>0</v>
      </c>
      <c r="R482" s="3">
        <v>0</v>
      </c>
      <c r="S482" s="67"/>
      <c r="T482">
        <f>VLOOKUP(A482,'Groupe de branches'!$Z$27:$AM$86,14,FALSE)</f>
        <v>0</v>
      </c>
      <c r="U482">
        <f>VLOOKUP(D482,'Groupe de branches'!$Z$27:$AM$86,14,FALSE)</f>
        <v>0</v>
      </c>
      <c r="V482">
        <v>2017</v>
      </c>
      <c r="W482" t="str">
        <f>VLOOKUP(D482,'Table corresp.'!$M$4:$S$63,7,FALSE)</f>
        <v>Construction</v>
      </c>
      <c r="X482" s="167">
        <f>IFERROR(G482/SUMIFS('Comp2016-2017 (3)'!$I$5:$I$289,'Comp2016-2017 (3)'!$A$5:$A$289,A482,'Comp2016-2017 (3)'!$R$5:$R$289,V482),0)</f>
        <v>0</v>
      </c>
      <c r="Y482" s="190">
        <f>IFERROR(IF(RIGHT(F482,3)="Exp",VLOOKUP(F482,#REF!,2,FALSE),VLOOKUP(F482,#REF!,9,FALSE)),1)</f>
        <v>1</v>
      </c>
      <c r="Z482" s="167">
        <f t="shared" si="58"/>
        <v>9.0909090909090912E-2</v>
      </c>
      <c r="AA482" s="189">
        <f t="shared" si="57"/>
        <v>0</v>
      </c>
      <c r="AB482" s="2">
        <f>IFERROR(SUMIFS('Comp2016-2017 (3)'!$G$5:$G$289,'Comp2016-2017 (3)'!$A$5:$A$289,A482,'Comp2016-2017 (3)'!$R$5:$R$289,V482)*AA482/SUMIFS($AA$4:$AA$1116,$A$4:$A$1116,A482,$V$4:$V$1116,V482),0)</f>
        <v>0</v>
      </c>
      <c r="AC482" s="2" t="str">
        <f>IF($W482=AC$3,$AB482,IF(NOT($W482=0),"",SUMIFS('Val-Vol (2)'!AC$4:AC$1116,'Val-Vol (2)'!$A$4:$A$1116,$D482,'Val-Vol (2)'!$V$4:$V$1116,$V482)/SUMIFS('Comp2016-2017 (3)'!$G$5:$G$289,'Comp2016-2017 (3)'!$A$5:$A$289,$D482,'Comp2016-2017 (3)'!$R$5:$R$289,$V482)*$AB482))</f>
        <v/>
      </c>
      <c r="AD482" s="2">
        <f>IF($W482=AD$3,$AB482,IF(NOT($W482=0),"",SUMIFS('Val-Vol (2)'!AD$4:AD$1116,'Val-Vol (2)'!$A$4:$A$1116,$D482,'Val-Vol (2)'!$V$4:$V$1116,$V482)/SUMIFS('Comp2016-2017 (3)'!$G$5:$G$289,'Comp2016-2017 (3)'!$A$5:$A$289,$D482,'Comp2016-2017 (3)'!$R$5:$R$289,$V482)*$AB482))</f>
        <v>0</v>
      </c>
      <c r="AE482" s="2" t="str">
        <f>IF($W482=AE$3,$AB482,IF(NOT($W482=0),"",SUMIFS('Val-Vol (2)'!AE$4:AE$1116,'Val-Vol (2)'!$A$4:$A$1116,$D482,'Val-Vol (2)'!$V$4:$V$1116,$V482)/SUMIFS('Comp2016-2017 (3)'!$G$5:$G$289,'Comp2016-2017 (3)'!$A$5:$A$289,$D482,'Comp2016-2017 (3)'!$R$5:$R$289,$V482)*$AB482))</f>
        <v/>
      </c>
      <c r="AF482" s="2" t="str">
        <f>IF($W482=AF$3,$AB482,IF(NOT($W482=0),"",SUMIFS('Val-Vol (2)'!AF$4:AF$1116,'Val-Vol (2)'!$A$4:$A$1116,$D482,'Val-Vol (2)'!$V$4:$V$1116,$V482)/SUMIFS('Comp2016-2017 (3)'!$G$5:$G$289,'Comp2016-2017 (3)'!$A$5:$A$289,$D482,'Comp2016-2017 (3)'!$R$5:$R$289,$V482)*$AB482))</f>
        <v/>
      </c>
      <c r="AG482" s="2" t="str">
        <f>IF($W482=AG$3,$AB482,IF(NOT($W482=0),"",SUMIFS('Val-Vol (2)'!AG$4:AG$1116,'Val-Vol (2)'!$A$4:$A$1116,$D482,'Val-Vol (2)'!$V$4:$V$1116,$V482)/SUMIFS('Comp2016-2017 (3)'!$G$5:$G$289,'Comp2016-2017 (3)'!$A$5:$A$289,$D482,'Comp2016-2017 (3)'!$R$5:$R$289,$V482)*$AB482))</f>
        <v/>
      </c>
      <c r="AH482" s="2" t="str">
        <f>IF($W482=AH$3,$AB482,IF(NOT($W482=0),"",SUMIFS('Val-Vol (2)'!AH$4:AH$1116,'Val-Vol (2)'!$A$4:$A$1116,$D482,'Val-Vol (2)'!$V$4:$V$1116,$V482)/SUMIFS('Comp2016-2017 (3)'!$G$5:$G$289,'Comp2016-2017 (3)'!$A$5:$A$289,$D482,'Comp2016-2017 (3)'!$R$5:$R$289,$V482)*$AB482))</f>
        <v/>
      </c>
      <c r="AI482" s="2" t="str">
        <f>IF($W482=AI$3,$AB482,IF(NOT($W482=0),"",SUMIFS('Val-Vol (2)'!AI$4:AI$1116,'Val-Vol (2)'!$A$4:$A$1116,$D482,'Val-Vol (2)'!$V$4:$V$1116,$V482)/SUMIFS('Comp2016-2017 (3)'!$G$5:$G$289,'Comp2016-2017 (3)'!$A$5:$A$289,$D482,'Comp2016-2017 (3)'!$R$5:$R$289,$V482)*$AB482))</f>
        <v/>
      </c>
      <c r="AJ482" s="2" t="str">
        <f>IF($W482=AJ$3,$AB482,IF(NOT($W482=0),"",SUMIFS('Val-Vol (2)'!AJ$4:AJ$1116,'Val-Vol (2)'!$A$4:$A$1116,$D482,'Val-Vol (2)'!$V$4:$V$1116,$V482)/SUMIFS('Comp2016-2017 (3)'!$G$5:$G$289,'Comp2016-2017 (3)'!$A$5:$A$289,$D482,'Comp2016-2017 (3)'!$R$5:$R$289,$V482)*$AB482))</f>
        <v/>
      </c>
      <c r="AK482" s="2">
        <f t="shared" si="54"/>
        <v>0</v>
      </c>
      <c r="AL482" t="str">
        <f t="shared" si="56"/>
        <v/>
      </c>
      <c r="AM482" t="str">
        <f>VLOOKUP(A482,'Table corresp.'!$M$4:$U$63,8,FALSE)</f>
        <v>Production intermédiaire</v>
      </c>
      <c r="AN482" t="str">
        <f>VLOOKUP(D482,'Table corresp.'!$M$4:$U$63,9,FALSE)</f>
        <v>Production finale</v>
      </c>
    </row>
    <row r="483" spans="1:40" x14ac:dyDescent="0.25">
      <c r="A483" t="s">
        <v>6</v>
      </c>
      <c r="B483" t="str">
        <f>VLOOKUP(LEFT(A483,3),'Table corresp.'!$A$4:$D$63,3,FALSE)</f>
        <v>Transformation</v>
      </c>
      <c r="C483" t="str">
        <f>VLOOKUP(A483,'Table corresp.'!$M$4:$P$63,4,FALSE)</f>
        <v>Production et transformation de produits bois</v>
      </c>
      <c r="D483" t="s">
        <v>93</v>
      </c>
      <c r="E483" t="str">
        <f>VLOOKUP(LEFT(D483,3),'Table corresp.'!$A$4:$D$63,4,FALSE)</f>
        <v>Transformation</v>
      </c>
      <c r="F483" t="str">
        <f t="shared" si="55"/>
        <v xml:space="preserve">11  - 41 </v>
      </c>
      <c r="G483" s="3">
        <v>1188.8845454104639</v>
      </c>
      <c r="H483" s="3">
        <v>2926.110262314543</v>
      </c>
      <c r="I483" s="3">
        <v>4115.0225682945174</v>
      </c>
      <c r="J483" s="3">
        <v>1.6627713301271505</v>
      </c>
      <c r="K483" s="3">
        <v>3.7677778443786392</v>
      </c>
      <c r="L483" s="3">
        <v>5.4305491745057894</v>
      </c>
      <c r="M483" s="3">
        <v>0</v>
      </c>
      <c r="N483" s="3">
        <v>0</v>
      </c>
      <c r="O483" s="3">
        <v>0</v>
      </c>
      <c r="P483" s="3">
        <v>0</v>
      </c>
      <c r="Q483" s="3">
        <v>0</v>
      </c>
      <c r="R483" s="3">
        <v>0</v>
      </c>
      <c r="S483" s="67"/>
      <c r="T483">
        <f>VLOOKUP(A483,'Groupe de branches'!$Z$27:$AM$86,14,FALSE)</f>
        <v>0</v>
      </c>
      <c r="U483">
        <f>VLOOKUP(D483,'Groupe de branches'!$Z$27:$AM$86,14,FALSE)</f>
        <v>0</v>
      </c>
      <c r="V483">
        <v>2017</v>
      </c>
      <c r="W483" t="str">
        <f>VLOOKUP(D483,'Table corresp.'!$M$4:$S$63,7,FALSE)</f>
        <v>Produits de consommation courante</v>
      </c>
      <c r="X483" s="167">
        <f>IFERROR(G483/SUMIFS('Comp2016-2017 (3)'!$I$5:$I$289,'Comp2016-2017 (3)'!$A$5:$A$289,A483,'Comp2016-2017 (3)'!$R$5:$R$289,V483),0)</f>
        <v>7.8562384532701923E-2</v>
      </c>
      <c r="Y483" s="190">
        <f>IFERROR(IF(RIGHT(F483,3)="Exp",VLOOKUP(F483,#REF!,2,FALSE),VLOOKUP(F483,#REF!,9,FALSE)),1)</f>
        <v>1</v>
      </c>
      <c r="Z483" s="167">
        <f t="shared" si="58"/>
        <v>9.0909090909090912E-2</v>
      </c>
      <c r="AA483" s="189">
        <f t="shared" si="57"/>
        <v>7.1420349575183565E-3</v>
      </c>
      <c r="AB483" s="2">
        <f>IFERROR(SUMIFS('Comp2016-2017 (3)'!$G$5:$G$289,'Comp2016-2017 (3)'!$A$5:$A$289,A483,'Comp2016-2017 (3)'!$R$5:$R$289,V483)*AA483/SUMIFS($AA$4:$AA$1116,$A$4:$A$1116,A483,$V$4:$V$1116,V483),0)</f>
        <v>333.0939871904925</v>
      </c>
      <c r="AC483" s="2" t="str">
        <f>IF($W483=AC$3,$AB483,IF(NOT($W483=0),"",SUMIFS('Val-Vol (2)'!AC$4:AC$1116,'Val-Vol (2)'!$A$4:$A$1116,$D483,'Val-Vol (2)'!$V$4:$V$1116,$V483)/SUMIFS('Comp2016-2017 (3)'!$G$5:$G$289,'Comp2016-2017 (3)'!$A$5:$A$289,$D483,'Comp2016-2017 (3)'!$R$5:$R$289,$V483)*$AB483))</f>
        <v/>
      </c>
      <c r="AD483" s="2" t="str">
        <f>IF($W483=AD$3,$AB483,IF(NOT($W483=0),"",SUMIFS('Val-Vol (2)'!AD$4:AD$1116,'Val-Vol (2)'!$A$4:$A$1116,$D483,'Val-Vol (2)'!$V$4:$V$1116,$V483)/SUMIFS('Comp2016-2017 (3)'!$G$5:$G$289,'Comp2016-2017 (3)'!$A$5:$A$289,$D483,'Comp2016-2017 (3)'!$R$5:$R$289,$V483)*$AB483))</f>
        <v/>
      </c>
      <c r="AE483" s="2" t="str">
        <f>IF($W483=AE$3,$AB483,IF(NOT($W483=0),"",SUMIFS('Val-Vol (2)'!AE$4:AE$1116,'Val-Vol (2)'!$A$4:$A$1116,$D483,'Val-Vol (2)'!$V$4:$V$1116,$V483)/SUMIFS('Comp2016-2017 (3)'!$G$5:$G$289,'Comp2016-2017 (3)'!$A$5:$A$289,$D483,'Comp2016-2017 (3)'!$R$5:$R$289,$V483)*$AB483))</f>
        <v/>
      </c>
      <c r="AF483" s="2" t="str">
        <f>IF($W483=AF$3,$AB483,IF(NOT($W483=0),"",SUMIFS('Val-Vol (2)'!AF$4:AF$1116,'Val-Vol (2)'!$A$4:$A$1116,$D483,'Val-Vol (2)'!$V$4:$V$1116,$V483)/SUMIFS('Comp2016-2017 (3)'!$G$5:$G$289,'Comp2016-2017 (3)'!$A$5:$A$289,$D483,'Comp2016-2017 (3)'!$R$5:$R$289,$V483)*$AB483))</f>
        <v/>
      </c>
      <c r="AG483" s="2" t="str">
        <f>IF($W483=AG$3,$AB483,IF(NOT($W483=0),"",SUMIFS('Val-Vol (2)'!AG$4:AG$1116,'Val-Vol (2)'!$A$4:$A$1116,$D483,'Val-Vol (2)'!$V$4:$V$1116,$V483)/SUMIFS('Comp2016-2017 (3)'!$G$5:$G$289,'Comp2016-2017 (3)'!$A$5:$A$289,$D483,'Comp2016-2017 (3)'!$R$5:$R$289,$V483)*$AB483))</f>
        <v/>
      </c>
      <c r="AH483" s="2" t="str">
        <f>IF($W483=AH$3,$AB483,IF(NOT($W483=0),"",SUMIFS('Val-Vol (2)'!AH$4:AH$1116,'Val-Vol (2)'!$A$4:$A$1116,$D483,'Val-Vol (2)'!$V$4:$V$1116,$V483)/SUMIFS('Comp2016-2017 (3)'!$G$5:$G$289,'Comp2016-2017 (3)'!$A$5:$A$289,$D483,'Comp2016-2017 (3)'!$R$5:$R$289,$V483)*$AB483))</f>
        <v/>
      </c>
      <c r="AI483" s="2">
        <f>IF($W483=AI$3,$AB483,IF(NOT($W483=0),"",SUMIFS('Val-Vol (2)'!AI$4:AI$1116,'Val-Vol (2)'!$A$4:$A$1116,$D483,'Val-Vol (2)'!$V$4:$V$1116,$V483)/SUMIFS('Comp2016-2017 (3)'!$G$5:$G$289,'Comp2016-2017 (3)'!$A$5:$A$289,$D483,'Comp2016-2017 (3)'!$R$5:$R$289,$V483)*$AB483))</f>
        <v>333.0939871904925</v>
      </c>
      <c r="AJ483" s="2" t="str">
        <f>IF($W483=AJ$3,$AB483,IF(NOT($W483=0),"",SUMIFS('Val-Vol (2)'!AJ$4:AJ$1116,'Val-Vol (2)'!$A$4:$A$1116,$D483,'Val-Vol (2)'!$V$4:$V$1116,$V483)/SUMIFS('Comp2016-2017 (3)'!$G$5:$G$289,'Comp2016-2017 (3)'!$A$5:$A$289,$D483,'Comp2016-2017 (3)'!$R$5:$R$289,$V483)*$AB483))</f>
        <v/>
      </c>
      <c r="AK483" s="2">
        <f t="shared" si="54"/>
        <v>0</v>
      </c>
      <c r="AL483" t="str">
        <f t="shared" si="56"/>
        <v/>
      </c>
      <c r="AM483" t="str">
        <f>VLOOKUP(A483,'Table corresp.'!$M$4:$U$63,8,FALSE)</f>
        <v>Production intermédiaire</v>
      </c>
      <c r="AN483" t="str">
        <f>VLOOKUP(D483,'Table corresp.'!$M$4:$U$63,9,FALSE)</f>
        <v>Production finale</v>
      </c>
    </row>
    <row r="484" spans="1:40" x14ac:dyDescent="0.25">
      <c r="A484" t="s">
        <v>6</v>
      </c>
      <c r="B484" t="str">
        <f>VLOOKUP(LEFT(A484,3),'Table corresp.'!$A$4:$D$63,3,FALSE)</f>
        <v>Transformation</v>
      </c>
      <c r="C484" t="str">
        <f>VLOOKUP(A484,'Table corresp.'!$M$4:$P$63,4,FALSE)</f>
        <v>Production et transformation de produits bois</v>
      </c>
      <c r="D484" t="s">
        <v>99</v>
      </c>
      <c r="E484" t="str">
        <f>VLOOKUP(LEFT(D484,3),'Table corresp.'!$A$4:$D$63,4,FALSE)</f>
        <v>Transformation</v>
      </c>
      <c r="F484" t="str">
        <f t="shared" si="55"/>
        <v xml:space="preserve">11  - 47 </v>
      </c>
      <c r="G484" s="3">
        <v>0</v>
      </c>
      <c r="H484" s="3">
        <v>11202.160679770532</v>
      </c>
      <c r="I484" s="3">
        <v>11202.213513666404</v>
      </c>
      <c r="J484" s="3">
        <v>0</v>
      </c>
      <c r="K484" s="3">
        <v>14.424354872062533</v>
      </c>
      <c r="L484" s="3">
        <v>14.424354872062533</v>
      </c>
      <c r="M484" s="3">
        <v>0</v>
      </c>
      <c r="N484" s="3">
        <v>0</v>
      </c>
      <c r="O484" s="3">
        <v>0</v>
      </c>
      <c r="P484" s="3">
        <v>0</v>
      </c>
      <c r="Q484" s="3">
        <v>0</v>
      </c>
      <c r="R484" s="3">
        <v>0</v>
      </c>
      <c r="S484" s="67"/>
      <c r="T484">
        <f>VLOOKUP(A484,'Groupe de branches'!$Z$27:$AM$86,14,FALSE)</f>
        <v>0</v>
      </c>
      <c r="U484">
        <f>VLOOKUP(D484,'Groupe de branches'!$Z$27:$AM$86,14,FALSE)</f>
        <v>0</v>
      </c>
      <c r="V484">
        <v>2017</v>
      </c>
      <c r="W484" t="str">
        <f>VLOOKUP(D484,'Table corresp.'!$M$4:$S$63,7,FALSE)</f>
        <v>Meuble</v>
      </c>
      <c r="X484" s="167">
        <f>IFERROR(G484/SUMIFS('Comp2016-2017 (3)'!$I$5:$I$289,'Comp2016-2017 (3)'!$A$5:$A$289,A484,'Comp2016-2017 (3)'!$R$5:$R$289,V484),0)</f>
        <v>0</v>
      </c>
      <c r="Y484" s="190">
        <f>IFERROR(IF(RIGHT(F484,3)="Exp",VLOOKUP(F484,#REF!,2,FALSE),VLOOKUP(F484,#REF!,9,FALSE)),1)</f>
        <v>1</v>
      </c>
      <c r="Z484" s="167">
        <f t="shared" si="58"/>
        <v>9.0909090909090912E-2</v>
      </c>
      <c r="AA484" s="189">
        <f t="shared" si="57"/>
        <v>0</v>
      </c>
      <c r="AB484" s="2">
        <f>IFERROR(SUMIFS('Comp2016-2017 (3)'!$G$5:$G$289,'Comp2016-2017 (3)'!$A$5:$A$289,A484,'Comp2016-2017 (3)'!$R$5:$R$289,V484)*AA484/SUMIFS($AA$4:$AA$1116,$A$4:$A$1116,A484,$V$4:$V$1116,V484),0)</f>
        <v>0</v>
      </c>
      <c r="AC484" s="2" t="str">
        <f>IF($W484=AC$3,$AB484,IF(NOT($W484=0),"",SUMIFS('Val-Vol (2)'!AC$4:AC$1116,'Val-Vol (2)'!$A$4:$A$1116,$D484,'Val-Vol (2)'!$V$4:$V$1116,$V484)/SUMIFS('Comp2016-2017 (3)'!$G$5:$G$289,'Comp2016-2017 (3)'!$A$5:$A$289,$D484,'Comp2016-2017 (3)'!$R$5:$R$289,$V484)*$AB484))</f>
        <v/>
      </c>
      <c r="AD484" s="2" t="str">
        <f>IF($W484=AD$3,$AB484,IF(NOT($W484=0),"",SUMIFS('Val-Vol (2)'!AD$4:AD$1116,'Val-Vol (2)'!$A$4:$A$1116,$D484,'Val-Vol (2)'!$V$4:$V$1116,$V484)/SUMIFS('Comp2016-2017 (3)'!$G$5:$G$289,'Comp2016-2017 (3)'!$A$5:$A$289,$D484,'Comp2016-2017 (3)'!$R$5:$R$289,$V484)*$AB484))</f>
        <v/>
      </c>
      <c r="AE484" s="2">
        <f>IF($W484=AE$3,$AB484,IF(NOT($W484=0),"",SUMIFS('Val-Vol (2)'!AE$4:AE$1116,'Val-Vol (2)'!$A$4:$A$1116,$D484,'Val-Vol (2)'!$V$4:$V$1116,$V484)/SUMIFS('Comp2016-2017 (3)'!$G$5:$G$289,'Comp2016-2017 (3)'!$A$5:$A$289,$D484,'Comp2016-2017 (3)'!$R$5:$R$289,$V484)*$AB484))</f>
        <v>0</v>
      </c>
      <c r="AF484" s="2" t="str">
        <f>IF($W484=AF$3,$AB484,IF(NOT($W484=0),"",SUMIFS('Val-Vol (2)'!AF$4:AF$1116,'Val-Vol (2)'!$A$4:$A$1116,$D484,'Val-Vol (2)'!$V$4:$V$1116,$V484)/SUMIFS('Comp2016-2017 (3)'!$G$5:$G$289,'Comp2016-2017 (3)'!$A$5:$A$289,$D484,'Comp2016-2017 (3)'!$R$5:$R$289,$V484)*$AB484))</f>
        <v/>
      </c>
      <c r="AG484" s="2" t="str">
        <f>IF($W484=AG$3,$AB484,IF(NOT($W484=0),"",SUMIFS('Val-Vol (2)'!AG$4:AG$1116,'Val-Vol (2)'!$A$4:$A$1116,$D484,'Val-Vol (2)'!$V$4:$V$1116,$V484)/SUMIFS('Comp2016-2017 (3)'!$G$5:$G$289,'Comp2016-2017 (3)'!$A$5:$A$289,$D484,'Comp2016-2017 (3)'!$R$5:$R$289,$V484)*$AB484))</f>
        <v/>
      </c>
      <c r="AH484" s="2" t="str">
        <f>IF($W484=AH$3,$AB484,IF(NOT($W484=0),"",SUMIFS('Val-Vol (2)'!AH$4:AH$1116,'Val-Vol (2)'!$A$4:$A$1116,$D484,'Val-Vol (2)'!$V$4:$V$1116,$V484)/SUMIFS('Comp2016-2017 (3)'!$G$5:$G$289,'Comp2016-2017 (3)'!$A$5:$A$289,$D484,'Comp2016-2017 (3)'!$R$5:$R$289,$V484)*$AB484))</f>
        <v/>
      </c>
      <c r="AI484" s="2" t="str">
        <f>IF($W484=AI$3,$AB484,IF(NOT($W484=0),"",SUMIFS('Val-Vol (2)'!AI$4:AI$1116,'Val-Vol (2)'!$A$4:$A$1116,$D484,'Val-Vol (2)'!$V$4:$V$1116,$V484)/SUMIFS('Comp2016-2017 (3)'!$G$5:$G$289,'Comp2016-2017 (3)'!$A$5:$A$289,$D484,'Comp2016-2017 (3)'!$R$5:$R$289,$V484)*$AB484))</f>
        <v/>
      </c>
      <c r="AJ484" s="2" t="str">
        <f>IF($W484=AJ$3,$AB484,IF(NOT($W484=0),"",SUMIFS('Val-Vol (2)'!AJ$4:AJ$1116,'Val-Vol (2)'!$A$4:$A$1116,$D484,'Val-Vol (2)'!$V$4:$V$1116,$V484)/SUMIFS('Comp2016-2017 (3)'!$G$5:$G$289,'Comp2016-2017 (3)'!$A$5:$A$289,$D484,'Comp2016-2017 (3)'!$R$5:$R$289,$V484)*$AB484))</f>
        <v/>
      </c>
      <c r="AK484" s="2">
        <f t="shared" si="54"/>
        <v>0</v>
      </c>
      <c r="AL484" t="str">
        <f t="shared" si="56"/>
        <v/>
      </c>
      <c r="AM484" t="str">
        <f>VLOOKUP(A484,'Table corresp.'!$M$4:$U$63,8,FALSE)</f>
        <v>Production intermédiaire</v>
      </c>
      <c r="AN484" t="str">
        <f>VLOOKUP(D484,'Table corresp.'!$M$4:$U$63,9,FALSE)</f>
        <v>Production finale</v>
      </c>
    </row>
    <row r="485" spans="1:40" x14ac:dyDescent="0.25">
      <c r="A485" t="s">
        <v>6</v>
      </c>
      <c r="B485" t="str">
        <f>VLOOKUP(LEFT(A485,3),'Table corresp.'!$A$4:$D$63,3,FALSE)</f>
        <v>Transformation</v>
      </c>
      <c r="C485" t="str">
        <f>VLOOKUP(A485,'Table corresp.'!$M$4:$P$63,4,FALSE)</f>
        <v>Production et transformation de produits bois</v>
      </c>
      <c r="D485" t="s">
        <v>100</v>
      </c>
      <c r="E485" t="str">
        <f>VLOOKUP(LEFT(D485,3),'Table corresp.'!$A$4:$D$63,4,FALSE)</f>
        <v>Transformation</v>
      </c>
      <c r="F485" t="str">
        <f t="shared" si="55"/>
        <v xml:space="preserve">11  - 48 </v>
      </c>
      <c r="G485" s="3">
        <v>6179.3938811254457</v>
      </c>
      <c r="H485" s="3">
        <v>0</v>
      </c>
      <c r="I485" s="3">
        <v>6179.4664394340025</v>
      </c>
      <c r="J485" s="3">
        <v>8.6424867938300132</v>
      </c>
      <c r="K485" s="3">
        <v>0</v>
      </c>
      <c r="L485" s="3">
        <v>8.6424867938300132</v>
      </c>
      <c r="M485" s="3">
        <v>0</v>
      </c>
      <c r="N485" s="3">
        <v>0</v>
      </c>
      <c r="O485" s="3">
        <v>0</v>
      </c>
      <c r="P485" s="3">
        <v>0</v>
      </c>
      <c r="Q485" s="3">
        <v>0</v>
      </c>
      <c r="R485" s="3">
        <v>0</v>
      </c>
      <c r="S485" s="67"/>
      <c r="T485">
        <f>VLOOKUP(A485,'Groupe de branches'!$Z$27:$AM$86,14,FALSE)</f>
        <v>0</v>
      </c>
      <c r="U485">
        <f>VLOOKUP(D485,'Groupe de branches'!$Z$27:$AM$86,14,FALSE)</f>
        <v>0</v>
      </c>
      <c r="V485">
        <v>2017</v>
      </c>
      <c r="W485" t="str">
        <f>VLOOKUP(D485,'Table corresp.'!$M$4:$S$63,7,FALSE)</f>
        <v>Produits de consommation courante</v>
      </c>
      <c r="X485" s="167">
        <f>IFERROR(G485/SUMIFS('Comp2016-2017 (3)'!$I$5:$I$289,'Comp2016-2017 (3)'!$A$5:$A$289,A485,'Comp2016-2017 (3)'!$R$5:$R$289,V485),0)</f>
        <v>0.40833899316976502</v>
      </c>
      <c r="Y485" s="190">
        <f>IFERROR(IF(RIGHT(F485,3)="Exp",VLOOKUP(F485,#REF!,2,FALSE),VLOOKUP(F485,#REF!,9,FALSE)),1)</f>
        <v>1</v>
      </c>
      <c r="Z485" s="167">
        <f t="shared" si="58"/>
        <v>9.0909090909090912E-2</v>
      </c>
      <c r="AA485" s="189">
        <f t="shared" si="57"/>
        <v>3.7121726651796819E-2</v>
      </c>
      <c r="AB485" s="2">
        <f>IFERROR(SUMIFS('Comp2016-2017 (3)'!$G$5:$G$289,'Comp2016-2017 (3)'!$A$5:$A$289,A485,'Comp2016-2017 (3)'!$R$5:$R$289,V485)*AA485/SUMIFS($AA$4:$AA$1116,$A$4:$A$1116,A485,$V$4:$V$1116,V485),0)</f>
        <v>1731.3026350880602</v>
      </c>
      <c r="AC485" s="2" t="str">
        <f>IF($W485=AC$3,$AB485,IF(NOT($W485=0),"",SUMIFS('Val-Vol (2)'!AC$4:AC$1116,'Val-Vol (2)'!$A$4:$A$1116,$D485,'Val-Vol (2)'!$V$4:$V$1116,$V485)/SUMIFS('Comp2016-2017 (3)'!$G$5:$G$289,'Comp2016-2017 (3)'!$A$5:$A$289,$D485,'Comp2016-2017 (3)'!$R$5:$R$289,$V485)*$AB485))</f>
        <v/>
      </c>
      <c r="AD485" s="2" t="str">
        <f>IF($W485=AD$3,$AB485,IF(NOT($W485=0),"",SUMIFS('Val-Vol (2)'!AD$4:AD$1116,'Val-Vol (2)'!$A$4:$A$1116,$D485,'Val-Vol (2)'!$V$4:$V$1116,$V485)/SUMIFS('Comp2016-2017 (3)'!$G$5:$G$289,'Comp2016-2017 (3)'!$A$5:$A$289,$D485,'Comp2016-2017 (3)'!$R$5:$R$289,$V485)*$AB485))</f>
        <v/>
      </c>
      <c r="AE485" s="2" t="str">
        <f>IF($W485=AE$3,$AB485,IF(NOT($W485=0),"",SUMIFS('Val-Vol (2)'!AE$4:AE$1116,'Val-Vol (2)'!$A$4:$A$1116,$D485,'Val-Vol (2)'!$V$4:$V$1116,$V485)/SUMIFS('Comp2016-2017 (3)'!$G$5:$G$289,'Comp2016-2017 (3)'!$A$5:$A$289,$D485,'Comp2016-2017 (3)'!$R$5:$R$289,$V485)*$AB485))</f>
        <v/>
      </c>
      <c r="AF485" s="2" t="str">
        <f>IF($W485=AF$3,$AB485,IF(NOT($W485=0),"",SUMIFS('Val-Vol (2)'!AF$4:AF$1116,'Val-Vol (2)'!$A$4:$A$1116,$D485,'Val-Vol (2)'!$V$4:$V$1116,$V485)/SUMIFS('Comp2016-2017 (3)'!$G$5:$G$289,'Comp2016-2017 (3)'!$A$5:$A$289,$D485,'Comp2016-2017 (3)'!$R$5:$R$289,$V485)*$AB485))</f>
        <v/>
      </c>
      <c r="AG485" s="2" t="str">
        <f>IF($W485=AG$3,$AB485,IF(NOT($W485=0),"",SUMIFS('Val-Vol (2)'!AG$4:AG$1116,'Val-Vol (2)'!$A$4:$A$1116,$D485,'Val-Vol (2)'!$V$4:$V$1116,$V485)/SUMIFS('Comp2016-2017 (3)'!$G$5:$G$289,'Comp2016-2017 (3)'!$A$5:$A$289,$D485,'Comp2016-2017 (3)'!$R$5:$R$289,$V485)*$AB485))</f>
        <v/>
      </c>
      <c r="AH485" s="2" t="str">
        <f>IF($W485=AH$3,$AB485,IF(NOT($W485=0),"",SUMIFS('Val-Vol (2)'!AH$4:AH$1116,'Val-Vol (2)'!$A$4:$A$1116,$D485,'Val-Vol (2)'!$V$4:$V$1116,$V485)/SUMIFS('Comp2016-2017 (3)'!$G$5:$G$289,'Comp2016-2017 (3)'!$A$5:$A$289,$D485,'Comp2016-2017 (3)'!$R$5:$R$289,$V485)*$AB485))</f>
        <v/>
      </c>
      <c r="AI485" s="2">
        <f>IF($W485=AI$3,$AB485,IF(NOT($W485=0),"",SUMIFS('Val-Vol (2)'!AI$4:AI$1116,'Val-Vol (2)'!$A$4:$A$1116,$D485,'Val-Vol (2)'!$V$4:$V$1116,$V485)/SUMIFS('Comp2016-2017 (3)'!$G$5:$G$289,'Comp2016-2017 (3)'!$A$5:$A$289,$D485,'Comp2016-2017 (3)'!$R$5:$R$289,$V485)*$AB485))</f>
        <v>1731.3026350880602</v>
      </c>
      <c r="AJ485" s="2" t="str">
        <f>IF($W485=AJ$3,$AB485,IF(NOT($W485=0),"",SUMIFS('Val-Vol (2)'!AJ$4:AJ$1116,'Val-Vol (2)'!$A$4:$A$1116,$D485,'Val-Vol (2)'!$V$4:$V$1116,$V485)/SUMIFS('Comp2016-2017 (3)'!$G$5:$G$289,'Comp2016-2017 (3)'!$A$5:$A$289,$D485,'Comp2016-2017 (3)'!$R$5:$R$289,$V485)*$AB485))</f>
        <v/>
      </c>
      <c r="AK485" s="2">
        <f t="shared" si="54"/>
        <v>0</v>
      </c>
      <c r="AL485" t="str">
        <f t="shared" si="56"/>
        <v/>
      </c>
      <c r="AM485" t="str">
        <f>VLOOKUP(A485,'Table corresp.'!$M$4:$U$63,8,FALSE)</f>
        <v>Production intermédiaire</v>
      </c>
      <c r="AN485" t="str">
        <f>VLOOKUP(D485,'Table corresp.'!$M$4:$U$63,9,FALSE)</f>
        <v>Production finale</v>
      </c>
    </row>
    <row r="486" spans="1:40" x14ac:dyDescent="0.25">
      <c r="A486" t="s">
        <v>6</v>
      </c>
      <c r="B486" t="str">
        <f>VLOOKUP(LEFT(A486,3),'Table corresp.'!$A$4:$D$63,3,FALSE)</f>
        <v>Transformation</v>
      </c>
      <c r="C486" t="str">
        <f>VLOOKUP(A486,'Table corresp.'!$M$4:$P$63,4,FALSE)</f>
        <v>Production et transformation de produits bois</v>
      </c>
      <c r="D486" t="s">
        <v>21</v>
      </c>
      <c r="E486" t="str">
        <f>VLOOKUP(LEFT(D486,3),'Table corresp.'!$A$4:$D$63,4,FALSE)</f>
        <v>Transformation</v>
      </c>
      <c r="F486" t="str">
        <f t="shared" si="55"/>
        <v xml:space="preserve">11  - 54 </v>
      </c>
      <c r="G486" s="3">
        <v>3556.9560410824756</v>
      </c>
      <c r="H486" s="3">
        <v>12522.744622945263</v>
      </c>
      <c r="I486" s="3">
        <v>16079.801492029172</v>
      </c>
      <c r="J486" s="3">
        <v>4.9747509549739801</v>
      </c>
      <c r="K486" s="3">
        <v>16.124792134054228</v>
      </c>
      <c r="L486" s="3">
        <v>21.099543089028209</v>
      </c>
      <c r="M486" s="3">
        <v>0</v>
      </c>
      <c r="N486" s="3">
        <v>0</v>
      </c>
      <c r="O486" s="3">
        <v>0</v>
      </c>
      <c r="P486" s="3">
        <v>0</v>
      </c>
      <c r="Q486" s="3">
        <v>0</v>
      </c>
      <c r="R486" s="3">
        <v>0</v>
      </c>
      <c r="S486" s="67"/>
      <c r="T486">
        <f>VLOOKUP(A486,'Groupe de branches'!$Z$27:$AM$86,14,FALSE)</f>
        <v>0</v>
      </c>
      <c r="U486">
        <f>VLOOKUP(D486,'Groupe de branches'!$Z$27:$AM$86,14,FALSE)</f>
        <v>0</v>
      </c>
      <c r="V486">
        <v>2017</v>
      </c>
      <c r="W486" t="str">
        <f>VLOOKUP(D486,'Table corresp.'!$M$4:$S$63,7,FALSE)</f>
        <v>Construction</v>
      </c>
      <c r="X486" s="167">
        <f>IFERROR(G486/SUMIFS('Comp2016-2017 (3)'!$I$5:$I$289,'Comp2016-2017 (3)'!$A$5:$A$289,A486,'Comp2016-2017 (3)'!$R$5:$R$289,V486),0)</f>
        <v>0.23504632922026966</v>
      </c>
      <c r="Y486" s="190">
        <f>IFERROR(IF(RIGHT(F486,3)="Exp",VLOOKUP(F486,#REF!,2,FALSE),VLOOKUP(F486,#REF!,9,FALSE)),1)</f>
        <v>1</v>
      </c>
      <c r="Z486" s="167">
        <f t="shared" si="58"/>
        <v>9.0909090909090912E-2</v>
      </c>
      <c r="AA486" s="189">
        <f t="shared" si="57"/>
        <v>2.1367848110933608E-2</v>
      </c>
      <c r="AB486" s="2">
        <f>IFERROR(SUMIFS('Comp2016-2017 (3)'!$G$5:$G$289,'Comp2016-2017 (3)'!$A$5:$A$289,A486,'Comp2016-2017 (3)'!$R$5:$R$289,V486)*AA486/SUMIFS($AA$4:$AA$1116,$A$4:$A$1116,A486,$V$4:$V$1116,V486),0)</f>
        <v>996.56495204622013</v>
      </c>
      <c r="AC486" s="2" t="str">
        <f>IF($W486=AC$3,$AB486,IF(NOT($W486=0),"",SUMIFS('Val-Vol (2)'!AC$4:AC$1116,'Val-Vol (2)'!$A$4:$A$1116,$D486,'Val-Vol (2)'!$V$4:$V$1116,$V486)/SUMIFS('Comp2016-2017 (3)'!$G$5:$G$289,'Comp2016-2017 (3)'!$A$5:$A$289,$D486,'Comp2016-2017 (3)'!$R$5:$R$289,$V486)*$AB486))</f>
        <v/>
      </c>
      <c r="AD486" s="2">
        <f>IF($W486=AD$3,$AB486,IF(NOT($W486=0),"",SUMIFS('Val-Vol (2)'!AD$4:AD$1116,'Val-Vol (2)'!$A$4:$A$1116,$D486,'Val-Vol (2)'!$V$4:$V$1116,$V486)/SUMIFS('Comp2016-2017 (3)'!$G$5:$G$289,'Comp2016-2017 (3)'!$A$5:$A$289,$D486,'Comp2016-2017 (3)'!$R$5:$R$289,$V486)*$AB486))</f>
        <v>996.56495204622013</v>
      </c>
      <c r="AE486" s="2" t="str">
        <f>IF($W486=AE$3,$AB486,IF(NOT($W486=0),"",SUMIFS('Val-Vol (2)'!AE$4:AE$1116,'Val-Vol (2)'!$A$4:$A$1116,$D486,'Val-Vol (2)'!$V$4:$V$1116,$V486)/SUMIFS('Comp2016-2017 (3)'!$G$5:$G$289,'Comp2016-2017 (3)'!$A$5:$A$289,$D486,'Comp2016-2017 (3)'!$R$5:$R$289,$V486)*$AB486))</f>
        <v/>
      </c>
      <c r="AF486" s="2" t="str">
        <f>IF($W486=AF$3,$AB486,IF(NOT($W486=0),"",SUMIFS('Val-Vol (2)'!AF$4:AF$1116,'Val-Vol (2)'!$A$4:$A$1116,$D486,'Val-Vol (2)'!$V$4:$V$1116,$V486)/SUMIFS('Comp2016-2017 (3)'!$G$5:$G$289,'Comp2016-2017 (3)'!$A$5:$A$289,$D486,'Comp2016-2017 (3)'!$R$5:$R$289,$V486)*$AB486))</f>
        <v/>
      </c>
      <c r="AG486" s="2" t="str">
        <f>IF($W486=AG$3,$AB486,IF(NOT($W486=0),"",SUMIFS('Val-Vol (2)'!AG$4:AG$1116,'Val-Vol (2)'!$A$4:$A$1116,$D486,'Val-Vol (2)'!$V$4:$V$1116,$V486)/SUMIFS('Comp2016-2017 (3)'!$G$5:$G$289,'Comp2016-2017 (3)'!$A$5:$A$289,$D486,'Comp2016-2017 (3)'!$R$5:$R$289,$V486)*$AB486))</f>
        <v/>
      </c>
      <c r="AH486" s="2" t="str">
        <f>IF($W486=AH$3,$AB486,IF(NOT($W486=0),"",SUMIFS('Val-Vol (2)'!AH$4:AH$1116,'Val-Vol (2)'!$A$4:$A$1116,$D486,'Val-Vol (2)'!$V$4:$V$1116,$V486)/SUMIFS('Comp2016-2017 (3)'!$G$5:$G$289,'Comp2016-2017 (3)'!$A$5:$A$289,$D486,'Comp2016-2017 (3)'!$R$5:$R$289,$V486)*$AB486))</f>
        <v/>
      </c>
      <c r="AI486" s="2" t="str">
        <f>IF($W486=AI$3,$AB486,IF(NOT($W486=0),"",SUMIFS('Val-Vol (2)'!AI$4:AI$1116,'Val-Vol (2)'!$A$4:$A$1116,$D486,'Val-Vol (2)'!$V$4:$V$1116,$V486)/SUMIFS('Comp2016-2017 (3)'!$G$5:$G$289,'Comp2016-2017 (3)'!$A$5:$A$289,$D486,'Comp2016-2017 (3)'!$R$5:$R$289,$V486)*$AB486))</f>
        <v/>
      </c>
      <c r="AJ486" s="2" t="str">
        <f>IF($W486=AJ$3,$AB486,IF(NOT($W486=0),"",SUMIFS('Val-Vol (2)'!AJ$4:AJ$1116,'Val-Vol (2)'!$A$4:$A$1116,$D486,'Val-Vol (2)'!$V$4:$V$1116,$V486)/SUMIFS('Comp2016-2017 (3)'!$G$5:$G$289,'Comp2016-2017 (3)'!$A$5:$A$289,$D486,'Comp2016-2017 (3)'!$R$5:$R$289,$V486)*$AB486))</f>
        <v/>
      </c>
      <c r="AK486" s="2">
        <f t="shared" si="54"/>
        <v>0</v>
      </c>
      <c r="AL486" t="str">
        <f t="shared" si="56"/>
        <v/>
      </c>
      <c r="AM486" t="str">
        <f>VLOOKUP(A486,'Table corresp.'!$M$4:$U$63,8,FALSE)</f>
        <v>Production intermédiaire</v>
      </c>
      <c r="AN486" t="str">
        <f>VLOOKUP(D486,'Table corresp.'!$M$4:$U$63,9,FALSE)</f>
        <v xml:space="preserve">Mise en œuvre </v>
      </c>
    </row>
    <row r="487" spans="1:40" x14ac:dyDescent="0.25">
      <c r="A487" t="s">
        <v>6</v>
      </c>
      <c r="B487" t="str">
        <f>VLOOKUP(LEFT(A487,3),'Table corresp.'!$A$4:$D$63,3,FALSE)</f>
        <v>Transformation</v>
      </c>
      <c r="C487" t="str">
        <f>VLOOKUP(A487,'Table corresp.'!$M$4:$P$63,4,FALSE)</f>
        <v>Production et transformation de produits bois</v>
      </c>
      <c r="D487" t="s">
        <v>22</v>
      </c>
      <c r="E487" t="str">
        <f>VLOOKUP(LEFT(D487,3),'Table corresp.'!$A$4:$D$63,4,FALSE)</f>
        <v>Transformation</v>
      </c>
      <c r="F487" t="str">
        <f t="shared" si="55"/>
        <v xml:space="preserve">11  - 55 </v>
      </c>
      <c r="G487" s="3">
        <v>0</v>
      </c>
      <c r="H487" s="3">
        <v>151.04153310813859</v>
      </c>
      <c r="I487" s="3">
        <v>151.0422454807657</v>
      </c>
      <c r="J487" s="3">
        <v>0</v>
      </c>
      <c r="K487" s="3">
        <v>0.19448718298663095</v>
      </c>
      <c r="L487" s="3">
        <v>0.19448718298663095</v>
      </c>
      <c r="M487" s="3">
        <v>0</v>
      </c>
      <c r="N487" s="3">
        <v>0</v>
      </c>
      <c r="O487" s="3">
        <v>0</v>
      </c>
      <c r="P487" s="3">
        <v>0</v>
      </c>
      <c r="Q487" s="3">
        <v>0</v>
      </c>
      <c r="R487" s="3">
        <v>0</v>
      </c>
      <c r="S487" s="67"/>
      <c r="T487">
        <f>VLOOKUP(A487,'Groupe de branches'!$Z$27:$AM$86,14,FALSE)</f>
        <v>0</v>
      </c>
      <c r="U487">
        <f>VLOOKUP(D487,'Groupe de branches'!$Z$27:$AM$86,14,FALSE)</f>
        <v>0</v>
      </c>
      <c r="V487">
        <v>2017</v>
      </c>
      <c r="W487" t="str">
        <f>VLOOKUP(D487,'Table corresp.'!$M$4:$S$63,7,FALSE)</f>
        <v>Construction</v>
      </c>
      <c r="X487" s="167">
        <f>IFERROR(G487/SUMIFS('Comp2016-2017 (3)'!$I$5:$I$289,'Comp2016-2017 (3)'!$A$5:$A$289,A487,'Comp2016-2017 (3)'!$R$5:$R$289,V487),0)</f>
        <v>0</v>
      </c>
      <c r="Y487" s="190">
        <f>IFERROR(IF(RIGHT(F487,3)="Exp",VLOOKUP(F487,#REF!,2,FALSE),VLOOKUP(F487,#REF!,9,FALSE)),1)</f>
        <v>1</v>
      </c>
      <c r="Z487" s="167">
        <f t="shared" si="58"/>
        <v>9.0909090909090912E-2</v>
      </c>
      <c r="AA487" s="189">
        <f t="shared" si="57"/>
        <v>0</v>
      </c>
      <c r="AB487" s="2">
        <f>IFERROR(SUMIFS('Comp2016-2017 (3)'!$G$5:$G$289,'Comp2016-2017 (3)'!$A$5:$A$289,A487,'Comp2016-2017 (3)'!$R$5:$R$289,V487)*AA487/SUMIFS($AA$4:$AA$1116,$A$4:$A$1116,A487,$V$4:$V$1116,V487),0)</f>
        <v>0</v>
      </c>
      <c r="AC487" s="2" t="str">
        <f>IF($W487=AC$3,$AB487,IF(NOT($W487=0),"",SUMIFS('Val-Vol (2)'!AC$4:AC$1116,'Val-Vol (2)'!$A$4:$A$1116,$D487,'Val-Vol (2)'!$V$4:$V$1116,$V487)/SUMIFS('Comp2016-2017 (3)'!$G$5:$G$289,'Comp2016-2017 (3)'!$A$5:$A$289,$D487,'Comp2016-2017 (3)'!$R$5:$R$289,$V487)*$AB487))</f>
        <v/>
      </c>
      <c r="AD487" s="2">
        <f>IF($W487=AD$3,$AB487,IF(NOT($W487=0),"",SUMIFS('Val-Vol (2)'!AD$4:AD$1116,'Val-Vol (2)'!$A$4:$A$1116,$D487,'Val-Vol (2)'!$V$4:$V$1116,$V487)/SUMIFS('Comp2016-2017 (3)'!$G$5:$G$289,'Comp2016-2017 (3)'!$A$5:$A$289,$D487,'Comp2016-2017 (3)'!$R$5:$R$289,$V487)*$AB487))</f>
        <v>0</v>
      </c>
      <c r="AE487" s="2" t="str">
        <f>IF($W487=AE$3,$AB487,IF(NOT($W487=0),"",SUMIFS('Val-Vol (2)'!AE$4:AE$1116,'Val-Vol (2)'!$A$4:$A$1116,$D487,'Val-Vol (2)'!$V$4:$V$1116,$V487)/SUMIFS('Comp2016-2017 (3)'!$G$5:$G$289,'Comp2016-2017 (3)'!$A$5:$A$289,$D487,'Comp2016-2017 (3)'!$R$5:$R$289,$V487)*$AB487))</f>
        <v/>
      </c>
      <c r="AF487" s="2" t="str">
        <f>IF($W487=AF$3,$AB487,IF(NOT($W487=0),"",SUMIFS('Val-Vol (2)'!AF$4:AF$1116,'Val-Vol (2)'!$A$4:$A$1116,$D487,'Val-Vol (2)'!$V$4:$V$1116,$V487)/SUMIFS('Comp2016-2017 (3)'!$G$5:$G$289,'Comp2016-2017 (3)'!$A$5:$A$289,$D487,'Comp2016-2017 (3)'!$R$5:$R$289,$V487)*$AB487))</f>
        <v/>
      </c>
      <c r="AG487" s="2" t="str">
        <f>IF($W487=AG$3,$AB487,IF(NOT($W487=0),"",SUMIFS('Val-Vol (2)'!AG$4:AG$1116,'Val-Vol (2)'!$A$4:$A$1116,$D487,'Val-Vol (2)'!$V$4:$V$1116,$V487)/SUMIFS('Comp2016-2017 (3)'!$G$5:$G$289,'Comp2016-2017 (3)'!$A$5:$A$289,$D487,'Comp2016-2017 (3)'!$R$5:$R$289,$V487)*$AB487))</f>
        <v/>
      </c>
      <c r="AH487" s="2" t="str">
        <f>IF($W487=AH$3,$AB487,IF(NOT($W487=0),"",SUMIFS('Val-Vol (2)'!AH$4:AH$1116,'Val-Vol (2)'!$A$4:$A$1116,$D487,'Val-Vol (2)'!$V$4:$V$1116,$V487)/SUMIFS('Comp2016-2017 (3)'!$G$5:$G$289,'Comp2016-2017 (3)'!$A$5:$A$289,$D487,'Comp2016-2017 (3)'!$R$5:$R$289,$V487)*$AB487))</f>
        <v/>
      </c>
      <c r="AI487" s="2" t="str">
        <f>IF($W487=AI$3,$AB487,IF(NOT($W487=0),"",SUMIFS('Val-Vol (2)'!AI$4:AI$1116,'Val-Vol (2)'!$A$4:$A$1116,$D487,'Val-Vol (2)'!$V$4:$V$1116,$V487)/SUMIFS('Comp2016-2017 (3)'!$G$5:$G$289,'Comp2016-2017 (3)'!$A$5:$A$289,$D487,'Comp2016-2017 (3)'!$R$5:$R$289,$V487)*$AB487))</f>
        <v/>
      </c>
      <c r="AJ487" s="2" t="str">
        <f>IF($W487=AJ$3,$AB487,IF(NOT($W487=0),"",SUMIFS('Val-Vol (2)'!AJ$4:AJ$1116,'Val-Vol (2)'!$A$4:$A$1116,$D487,'Val-Vol (2)'!$V$4:$V$1116,$V487)/SUMIFS('Comp2016-2017 (3)'!$G$5:$G$289,'Comp2016-2017 (3)'!$A$5:$A$289,$D487,'Comp2016-2017 (3)'!$R$5:$R$289,$V487)*$AB487))</f>
        <v/>
      </c>
      <c r="AK487" s="2">
        <f t="shared" si="54"/>
        <v>0</v>
      </c>
      <c r="AL487" t="str">
        <f t="shared" si="56"/>
        <v/>
      </c>
      <c r="AM487" t="str">
        <f>VLOOKUP(A487,'Table corresp.'!$M$4:$U$63,8,FALSE)</f>
        <v>Production intermédiaire</v>
      </c>
      <c r="AN487" t="str">
        <f>VLOOKUP(D487,'Table corresp.'!$M$4:$U$63,9,FALSE)</f>
        <v xml:space="preserve">Mise en œuvre </v>
      </c>
    </row>
    <row r="488" spans="1:40" x14ac:dyDescent="0.25">
      <c r="A488" t="s">
        <v>6</v>
      </c>
      <c r="B488" t="str">
        <f>VLOOKUP(LEFT(A488,3),'Table corresp.'!$A$4:$D$63,3,FALSE)</f>
        <v>Transformation</v>
      </c>
      <c r="C488" t="str">
        <f>VLOOKUP(A488,'Table corresp.'!$M$4:$P$63,4,FALSE)</f>
        <v>Production et transformation de produits bois</v>
      </c>
      <c r="D488" t="s">
        <v>54</v>
      </c>
      <c r="E488" t="str">
        <f>VLOOKUP(LEFT(D488,3),'Table corresp.'!$A$4:$D$63,4,FALSE)</f>
        <v>Consommation finale</v>
      </c>
      <c r="F488" t="str">
        <f t="shared" si="55"/>
        <v>11  - Con</v>
      </c>
      <c r="G488" s="3">
        <v>398.58400865745904</v>
      </c>
      <c r="H488" s="3">
        <v>572.71222229706416</v>
      </c>
      <c r="I488" s="3">
        <v>971.3036122604999</v>
      </c>
      <c r="J488" s="3">
        <v>0.55745872448359413</v>
      </c>
      <c r="K488" s="3">
        <v>0.73744740591862679</v>
      </c>
      <c r="L488" s="3">
        <v>1.2949061304022209</v>
      </c>
      <c r="M488" s="3">
        <v>0</v>
      </c>
      <c r="N488" s="3">
        <v>0</v>
      </c>
      <c r="O488" s="3">
        <v>0</v>
      </c>
      <c r="P488" s="3">
        <v>0</v>
      </c>
      <c r="Q488" s="3">
        <v>0</v>
      </c>
      <c r="R488" s="3">
        <v>0</v>
      </c>
      <c r="S488" s="67"/>
      <c r="T488">
        <f>VLOOKUP(A488,'Groupe de branches'!$Z$27:$AM$86,14,FALSE)</f>
        <v>0</v>
      </c>
      <c r="U488">
        <f>VLOOKUP(D488,'Groupe de branches'!$Z$27:$AM$86,14,FALSE)</f>
        <v>0</v>
      </c>
      <c r="V488">
        <v>2017</v>
      </c>
      <c r="W488" t="str">
        <f>VLOOKUP(D488,'Table corresp.'!$M$4:$S$63,7,FALSE)</f>
        <v>Consommation finale</v>
      </c>
      <c r="X488" s="167">
        <f>IFERROR(G488/SUMIFS('Comp2016-2017 (3)'!$I$5:$I$289,'Comp2016-2017 (3)'!$A$5:$A$289,A488,'Comp2016-2017 (3)'!$R$5:$R$289,V488),0)</f>
        <v>2.6338730937007841E-2</v>
      </c>
      <c r="Y488" s="190">
        <f>IFERROR(IF(RIGHT(F488,3)="Exp",VLOOKUP(F488,#REF!,2,FALSE),VLOOKUP(F488,#REF!,9,FALSE)),1)</f>
        <v>1</v>
      </c>
      <c r="Z488" s="167">
        <f t="shared" si="58"/>
        <v>9.0909090909090912E-2</v>
      </c>
      <c r="AA488" s="189">
        <f t="shared" si="57"/>
        <v>2.3944300851825311E-3</v>
      </c>
      <c r="AB488" s="2">
        <f>IFERROR(SUMIFS('Comp2016-2017 (3)'!$G$5:$G$289,'Comp2016-2017 (3)'!$A$5:$A$289,A488,'Comp2016-2017 (3)'!$R$5:$R$289,V488)*AA488/SUMIFS($AA$4:$AA$1116,$A$4:$A$1116,A488,$V$4:$V$1116,V488),0)</f>
        <v>111.67269116804376</v>
      </c>
      <c r="AC488" s="2" t="str">
        <f>IF($W488=AC$3,$AB488,IF(NOT($W488=0),"",SUMIFS('Val-Vol (2)'!AC$4:AC$1116,'Val-Vol (2)'!$A$4:$A$1116,$D488,'Val-Vol (2)'!$V$4:$V$1116,$V488)/SUMIFS('Comp2016-2017 (3)'!$G$5:$G$289,'Comp2016-2017 (3)'!$A$5:$A$289,$D488,'Comp2016-2017 (3)'!$R$5:$R$289,$V488)*$AB488))</f>
        <v/>
      </c>
      <c r="AD488" s="2" t="str">
        <f>IF($W488=AD$3,$AB488,IF(NOT($W488=0),"",SUMIFS('Val-Vol (2)'!AD$4:AD$1116,'Val-Vol (2)'!$A$4:$A$1116,$D488,'Val-Vol (2)'!$V$4:$V$1116,$V488)/SUMIFS('Comp2016-2017 (3)'!$G$5:$G$289,'Comp2016-2017 (3)'!$A$5:$A$289,$D488,'Comp2016-2017 (3)'!$R$5:$R$289,$V488)*$AB488))</f>
        <v/>
      </c>
      <c r="AE488" s="2" t="str">
        <f>IF($W488=AE$3,$AB488,IF(NOT($W488=0),"",SUMIFS('Val-Vol (2)'!AE$4:AE$1116,'Val-Vol (2)'!$A$4:$A$1116,$D488,'Val-Vol (2)'!$V$4:$V$1116,$V488)/SUMIFS('Comp2016-2017 (3)'!$G$5:$G$289,'Comp2016-2017 (3)'!$A$5:$A$289,$D488,'Comp2016-2017 (3)'!$R$5:$R$289,$V488)*$AB488))</f>
        <v/>
      </c>
      <c r="AF488" s="2" t="str">
        <f>IF($W488=AF$3,$AB488,IF(NOT($W488=0),"",SUMIFS('Val-Vol (2)'!AF$4:AF$1116,'Val-Vol (2)'!$A$4:$A$1116,$D488,'Val-Vol (2)'!$V$4:$V$1116,$V488)/SUMIFS('Comp2016-2017 (3)'!$G$5:$G$289,'Comp2016-2017 (3)'!$A$5:$A$289,$D488,'Comp2016-2017 (3)'!$R$5:$R$289,$V488)*$AB488))</f>
        <v/>
      </c>
      <c r="AG488" s="2" t="str">
        <f>IF($W488=AG$3,$AB488,IF(NOT($W488=0),"",SUMIFS('Val-Vol (2)'!AG$4:AG$1116,'Val-Vol (2)'!$A$4:$A$1116,$D488,'Val-Vol (2)'!$V$4:$V$1116,$V488)/SUMIFS('Comp2016-2017 (3)'!$G$5:$G$289,'Comp2016-2017 (3)'!$A$5:$A$289,$D488,'Comp2016-2017 (3)'!$R$5:$R$289,$V488)*$AB488))</f>
        <v/>
      </c>
      <c r="AH488" s="2" t="str">
        <f>IF($W488=AH$3,$AB488,IF(NOT($W488=0),"",SUMIFS('Val-Vol (2)'!AH$4:AH$1116,'Val-Vol (2)'!$A$4:$A$1116,$D488,'Val-Vol (2)'!$V$4:$V$1116,$V488)/SUMIFS('Comp2016-2017 (3)'!$G$5:$G$289,'Comp2016-2017 (3)'!$A$5:$A$289,$D488,'Comp2016-2017 (3)'!$R$5:$R$289,$V488)*$AB488))</f>
        <v/>
      </c>
      <c r="AI488" s="2" t="str">
        <f>IF($W488=AI$3,$AB488,IF(NOT($W488=0),"",SUMIFS('Val-Vol (2)'!AI$4:AI$1116,'Val-Vol (2)'!$A$4:$A$1116,$D488,'Val-Vol (2)'!$V$4:$V$1116,$V488)/SUMIFS('Comp2016-2017 (3)'!$G$5:$G$289,'Comp2016-2017 (3)'!$A$5:$A$289,$D488,'Comp2016-2017 (3)'!$R$5:$R$289,$V488)*$AB488))</f>
        <v/>
      </c>
      <c r="AJ488" s="2">
        <f>IF($W488=AJ$3,$AB488,IF(NOT($W488=0),"",SUMIFS('Val-Vol (2)'!AJ$4:AJ$1116,'Val-Vol (2)'!$A$4:$A$1116,$D488,'Val-Vol (2)'!$V$4:$V$1116,$V488)/SUMIFS('Comp2016-2017 (3)'!$G$5:$G$289,'Comp2016-2017 (3)'!$A$5:$A$289,$D488,'Comp2016-2017 (3)'!$R$5:$R$289,$V488)*$AB488))</f>
        <v>111.67269116804376</v>
      </c>
      <c r="AK488" s="2">
        <f t="shared" si="54"/>
        <v>0</v>
      </c>
      <c r="AL488" t="str">
        <f t="shared" si="56"/>
        <v/>
      </c>
      <c r="AM488" t="str">
        <f>VLOOKUP(A488,'Table corresp.'!$M$4:$U$63,8,FALSE)</f>
        <v>Production intermédiaire</v>
      </c>
      <c r="AN488" t="str">
        <f>VLOOKUP(D488,'Table corresp.'!$M$4:$U$63,9,FALSE)</f>
        <v>Consommation finale française</v>
      </c>
    </row>
    <row r="489" spans="1:40" x14ac:dyDescent="0.25">
      <c r="A489" t="s">
        <v>6</v>
      </c>
      <c r="B489" t="str">
        <f>VLOOKUP(LEFT(A489,3),'Table corresp.'!$A$4:$D$63,3,FALSE)</f>
        <v>Transformation</v>
      </c>
      <c r="C489" t="str">
        <f>VLOOKUP(A489,'Table corresp.'!$M$4:$P$63,4,FALSE)</f>
        <v>Production et transformation de produits bois</v>
      </c>
      <c r="D489" t="s">
        <v>53</v>
      </c>
      <c r="E489" t="str">
        <f>VLOOKUP(LEFT(D489,3),'Table corresp.'!$A$4:$D$63,4,FALSE)</f>
        <v>Exportation</v>
      </c>
      <c r="F489" t="str">
        <f t="shared" si="55"/>
        <v>11  - Exp</v>
      </c>
      <c r="G489" s="3">
        <v>3809.1812726763424</v>
      </c>
      <c r="H489" s="3">
        <v>0</v>
      </c>
      <c r="I489" s="3">
        <v>3809.2260000000001</v>
      </c>
      <c r="J489" s="3">
        <v>4.0194739748640851</v>
      </c>
      <c r="K489" s="3">
        <v>0</v>
      </c>
      <c r="L489" s="3">
        <v>4.0194739748640851</v>
      </c>
      <c r="M489" s="3">
        <v>0</v>
      </c>
      <c r="N489" s="3">
        <v>0</v>
      </c>
      <c r="O489" s="3">
        <v>0</v>
      </c>
      <c r="P489" s="3">
        <v>0</v>
      </c>
      <c r="Q489" s="3">
        <v>0</v>
      </c>
      <c r="R489" s="3">
        <v>0</v>
      </c>
      <c r="S489" s="67"/>
      <c r="T489">
        <f>VLOOKUP(A489,'Groupe de branches'!$Z$27:$AM$86,14,FALSE)</f>
        <v>0</v>
      </c>
      <c r="U489">
        <f>VLOOKUP(D489,'Groupe de branches'!$Z$27:$AM$86,14,FALSE)</f>
        <v>0</v>
      </c>
      <c r="V489">
        <v>2017</v>
      </c>
      <c r="W489" t="str">
        <f>VLOOKUP(D489,'Table corresp.'!$M$4:$S$63,7,FALSE)</f>
        <v>Exportation</v>
      </c>
      <c r="X489" s="167">
        <f>IFERROR(G489/SUMIFS('Comp2016-2017 (3)'!$I$5:$I$289,'Comp2016-2017 (3)'!$A$5:$A$289,A489,'Comp2016-2017 (3)'!$R$5:$R$289,V489),0)</f>
        <v>0.25171356214025509</v>
      </c>
      <c r="Y489" s="190">
        <f>IFERROR(IF(RIGHT(F489,3)="Exp",VLOOKUP(F489,#REF!,2,FALSE),VLOOKUP(F489,#REF!,9,FALSE)),1)</f>
        <v>1</v>
      </c>
      <c r="Z489" s="167">
        <f t="shared" si="58"/>
        <v>9.0909090909090912E-2</v>
      </c>
      <c r="AA489" s="189">
        <f t="shared" si="57"/>
        <v>2.2883051103659555E-2</v>
      </c>
      <c r="AB489" s="2">
        <f>IFERROR(SUMIFS('Comp2016-2017 (3)'!$G$5:$G$289,'Comp2016-2017 (3)'!$A$5:$A$289,A489,'Comp2016-2017 (3)'!$R$5:$R$289,V489)*AA489/SUMIFS($AA$4:$AA$1116,$A$4:$A$1116,A489,$V$4:$V$1116,V489),0)</f>
        <v>1067.2317870942277</v>
      </c>
      <c r="AC489" s="2">
        <f>IF($W489=AC$3,$AB489,IF(NOT($W489=0),"",SUMIFS('Val-Vol (2)'!AC$4:AC$1116,'Val-Vol (2)'!$A$4:$A$1116,$D489,'Val-Vol (2)'!$V$4:$V$1116,$V489)/SUMIFS('Comp2016-2017 (3)'!$G$5:$G$289,'Comp2016-2017 (3)'!$A$5:$A$289,$D489,'Comp2016-2017 (3)'!$R$5:$R$289,$V489)*$AB489))</f>
        <v>1067.2317870942277</v>
      </c>
      <c r="AD489" s="2" t="str">
        <f>IF($W489=AD$3,$AB489,IF(NOT($W489=0),"",SUMIFS('Val-Vol (2)'!AD$4:AD$1116,'Val-Vol (2)'!$A$4:$A$1116,$D489,'Val-Vol (2)'!$V$4:$V$1116,$V489)/SUMIFS('Comp2016-2017 (3)'!$G$5:$G$289,'Comp2016-2017 (3)'!$A$5:$A$289,$D489,'Comp2016-2017 (3)'!$R$5:$R$289,$V489)*$AB489))</f>
        <v/>
      </c>
      <c r="AE489" s="2" t="str">
        <f>IF($W489=AE$3,$AB489,IF(NOT($W489=0),"",SUMIFS('Val-Vol (2)'!AE$4:AE$1116,'Val-Vol (2)'!$A$4:$A$1116,$D489,'Val-Vol (2)'!$V$4:$V$1116,$V489)/SUMIFS('Comp2016-2017 (3)'!$G$5:$G$289,'Comp2016-2017 (3)'!$A$5:$A$289,$D489,'Comp2016-2017 (3)'!$R$5:$R$289,$V489)*$AB489))</f>
        <v/>
      </c>
      <c r="AF489" s="2" t="str">
        <f>IF($W489=AF$3,$AB489,IF(NOT($W489=0),"",SUMIFS('Val-Vol (2)'!AF$4:AF$1116,'Val-Vol (2)'!$A$4:$A$1116,$D489,'Val-Vol (2)'!$V$4:$V$1116,$V489)/SUMIFS('Comp2016-2017 (3)'!$G$5:$G$289,'Comp2016-2017 (3)'!$A$5:$A$289,$D489,'Comp2016-2017 (3)'!$R$5:$R$289,$V489)*$AB489))</f>
        <v/>
      </c>
      <c r="AG489" s="2" t="str">
        <f>IF($W489=AG$3,$AB489,IF(NOT($W489=0),"",SUMIFS('Val-Vol (2)'!AG$4:AG$1116,'Val-Vol (2)'!$A$4:$A$1116,$D489,'Val-Vol (2)'!$V$4:$V$1116,$V489)/SUMIFS('Comp2016-2017 (3)'!$G$5:$G$289,'Comp2016-2017 (3)'!$A$5:$A$289,$D489,'Comp2016-2017 (3)'!$R$5:$R$289,$V489)*$AB489))</f>
        <v/>
      </c>
      <c r="AH489" s="2" t="str">
        <f>IF($W489=AH$3,$AB489,IF(NOT($W489=0),"",SUMIFS('Val-Vol (2)'!AH$4:AH$1116,'Val-Vol (2)'!$A$4:$A$1116,$D489,'Val-Vol (2)'!$V$4:$V$1116,$V489)/SUMIFS('Comp2016-2017 (3)'!$G$5:$G$289,'Comp2016-2017 (3)'!$A$5:$A$289,$D489,'Comp2016-2017 (3)'!$R$5:$R$289,$V489)*$AB489))</f>
        <v/>
      </c>
      <c r="AI489" s="2" t="str">
        <f>IF($W489=AI$3,$AB489,IF(NOT($W489=0),"",SUMIFS('Val-Vol (2)'!AI$4:AI$1116,'Val-Vol (2)'!$A$4:$A$1116,$D489,'Val-Vol (2)'!$V$4:$V$1116,$V489)/SUMIFS('Comp2016-2017 (3)'!$G$5:$G$289,'Comp2016-2017 (3)'!$A$5:$A$289,$D489,'Comp2016-2017 (3)'!$R$5:$R$289,$V489)*$AB489))</f>
        <v/>
      </c>
      <c r="AJ489" s="2" t="str">
        <f>IF($W489=AJ$3,$AB489,IF(NOT($W489=0),"",SUMIFS('Val-Vol (2)'!AJ$4:AJ$1116,'Val-Vol (2)'!$A$4:$A$1116,$D489,'Val-Vol (2)'!$V$4:$V$1116,$V489)/SUMIFS('Comp2016-2017 (3)'!$G$5:$G$289,'Comp2016-2017 (3)'!$A$5:$A$289,$D489,'Comp2016-2017 (3)'!$R$5:$R$289,$V489)*$AB489))</f>
        <v/>
      </c>
      <c r="AK489" s="2">
        <f t="shared" si="54"/>
        <v>0</v>
      </c>
      <c r="AL489" t="str">
        <f t="shared" si="56"/>
        <v/>
      </c>
      <c r="AM489" t="str">
        <f>VLOOKUP(A489,'Table corresp.'!$M$4:$U$63,8,FALSE)</f>
        <v>Production intermédiaire</v>
      </c>
      <c r="AN489" t="str">
        <f>VLOOKUP(D489,'Table corresp.'!$M$4:$U$63,9,FALSE)</f>
        <v>Exportation</v>
      </c>
    </row>
    <row r="490" spans="1:40" x14ac:dyDescent="0.25">
      <c r="A490" t="s">
        <v>7</v>
      </c>
      <c r="B490" t="str">
        <f>VLOOKUP(LEFT(A490,3),'Table corresp.'!$A$4:$D$63,3,FALSE)</f>
        <v>Transformation</v>
      </c>
      <c r="C490" t="str">
        <f>VLOOKUP(A490,'Table corresp.'!$M$4:$P$63,4,FALSE)</f>
        <v>Production et transformation de produits bois</v>
      </c>
      <c r="D490" t="s">
        <v>13</v>
      </c>
      <c r="E490" t="str">
        <f>VLOOKUP(LEFT(D490,3),'Table corresp.'!$A$4:$D$63,4,FALSE)</f>
        <v>Transformation</v>
      </c>
      <c r="F490" t="str">
        <f t="shared" si="55"/>
        <v xml:space="preserve">12  - 20 </v>
      </c>
      <c r="G490" s="3">
        <v>24152.589495822431</v>
      </c>
      <c r="H490" s="3">
        <v>117934.08718608721</v>
      </c>
      <c r="I490" s="3">
        <v>142086.67858406345</v>
      </c>
      <c r="J490" s="3">
        <v>186.94439852704886</v>
      </c>
      <c r="K490" s="3">
        <v>1009.9194487472993</v>
      </c>
      <c r="L490" s="3">
        <v>1196.8638472743482</v>
      </c>
      <c r="M490" s="3">
        <v>0</v>
      </c>
      <c r="N490" s="3">
        <v>0</v>
      </c>
      <c r="O490" s="3">
        <v>0</v>
      </c>
      <c r="P490" s="3">
        <v>0</v>
      </c>
      <c r="Q490" s="3">
        <v>0</v>
      </c>
      <c r="R490" s="3">
        <v>0</v>
      </c>
      <c r="S490" s="67"/>
      <c r="T490">
        <f>VLOOKUP(A490,'Groupe de branches'!$Z$27:$AM$86,14,FALSE)</f>
        <v>0</v>
      </c>
      <c r="U490">
        <f>VLOOKUP(D490,'Groupe de branches'!$Z$27:$AM$86,14,FALSE)</f>
        <v>0</v>
      </c>
      <c r="V490">
        <v>2017</v>
      </c>
      <c r="W490">
        <f>VLOOKUP(D490,'Table corresp.'!$M$4:$S$63,7,FALSE)</f>
        <v>0</v>
      </c>
      <c r="X490" s="167">
        <f>IFERROR(G490/SUMIFS('Comp2016-2017 (3)'!$I$5:$I$289,'Comp2016-2017 (3)'!$A$5:$A$289,A490,'Comp2016-2017 (3)'!$R$5:$R$289,V490),0)</f>
        <v>3.3691852413797636E-2</v>
      </c>
      <c r="Y490" s="190">
        <f>IFERROR(IF(RIGHT(F490,3)="Exp",VLOOKUP(F490,#REF!,2,FALSE),VLOOKUP(F490,#REF!,9,FALSE)),1)</f>
        <v>1</v>
      </c>
      <c r="Z490" s="167">
        <f t="shared" si="58"/>
        <v>4.5454545454545456E-2</v>
      </c>
      <c r="AA490" s="189">
        <f t="shared" si="57"/>
        <v>1.5314478369908018E-3</v>
      </c>
      <c r="AB490" s="2">
        <f>IFERROR(SUMIFS('Comp2016-2017 (3)'!$G$5:$G$289,'Comp2016-2017 (3)'!$A$5:$A$289,A490,'Comp2016-2017 (3)'!$R$5:$R$289,V490)*AA490/SUMIFS($AA$4:$AA$1116,$A$4:$A$1116,A490,$V$4:$V$1116,V490),0)</f>
        <v>5794.5633447337004</v>
      </c>
      <c r="AC490" s="2">
        <f>IF($W490=AC$3,$AB490,IF(NOT($W490=0),"",SUMIFS('Val-Vol (2)'!AC$4:AC$1116,'Val-Vol (2)'!$A$4:$A$1116,$D490,'Val-Vol (2)'!$V$4:$V$1116,$V490)/SUMIFS('Comp2016-2017 (3)'!$G$5:$G$289,'Comp2016-2017 (3)'!$A$5:$A$289,$D490,'Comp2016-2017 (3)'!$R$5:$R$289,$V490)*$AB490))</f>
        <v>648.6628380990478</v>
      </c>
      <c r="AD490" s="2">
        <f>IF($W490=AD$3,$AB490,IF(NOT($W490=0),"",SUMIFS('Val-Vol (2)'!AD$4:AD$1116,'Val-Vol (2)'!$A$4:$A$1116,$D490,'Val-Vol (2)'!$V$4:$V$1116,$V490)/SUMIFS('Comp2016-2017 (3)'!$G$5:$G$289,'Comp2016-2017 (3)'!$A$5:$A$289,$D490,'Comp2016-2017 (3)'!$R$5:$R$289,$V490)*$AB490))</f>
        <v>3180.1522561816769</v>
      </c>
      <c r="AE490" s="2">
        <f>IF($W490=AE$3,$AB490,IF(NOT($W490=0),"",SUMIFS('Val-Vol (2)'!AE$4:AE$1116,'Val-Vol (2)'!$A$4:$A$1116,$D490,'Val-Vol (2)'!$V$4:$V$1116,$V490)/SUMIFS('Comp2016-2017 (3)'!$G$5:$G$289,'Comp2016-2017 (3)'!$A$5:$A$289,$D490,'Comp2016-2017 (3)'!$R$5:$R$289,$V490)*$AB490))</f>
        <v>0</v>
      </c>
      <c r="AF490" s="2">
        <f>IF($W490=AF$3,$AB490,IF(NOT($W490=0),"",SUMIFS('Val-Vol (2)'!AF$4:AF$1116,'Val-Vol (2)'!$A$4:$A$1116,$D490,'Val-Vol (2)'!$V$4:$V$1116,$V490)/SUMIFS('Comp2016-2017 (3)'!$G$5:$G$289,'Comp2016-2017 (3)'!$A$5:$A$289,$D490,'Comp2016-2017 (3)'!$R$5:$R$289,$V490)*$AB490))</f>
        <v>0</v>
      </c>
      <c r="AG490" s="2">
        <f>IF($W490=AG$3,$AB490,IF(NOT($W490=0),"",SUMIFS('Val-Vol (2)'!AG$4:AG$1116,'Val-Vol (2)'!$A$4:$A$1116,$D490,'Val-Vol (2)'!$V$4:$V$1116,$V490)/SUMIFS('Comp2016-2017 (3)'!$G$5:$G$289,'Comp2016-2017 (3)'!$A$5:$A$289,$D490,'Comp2016-2017 (3)'!$R$5:$R$289,$V490)*$AB490))</f>
        <v>0</v>
      </c>
      <c r="AH490" s="2">
        <f>IF($W490=AH$3,$AB490,IF(NOT($W490=0),"",SUMIFS('Val-Vol (2)'!AH$4:AH$1116,'Val-Vol (2)'!$A$4:$A$1116,$D490,'Val-Vol (2)'!$V$4:$V$1116,$V490)/SUMIFS('Comp2016-2017 (3)'!$G$5:$G$289,'Comp2016-2017 (3)'!$A$5:$A$289,$D490,'Comp2016-2017 (3)'!$R$5:$R$289,$V490)*$AB490))</f>
        <v>0</v>
      </c>
      <c r="AI490" s="2">
        <f>IF($W490=AI$3,$AB490,IF(NOT($W490=0),"",SUMIFS('Val-Vol (2)'!AI$4:AI$1116,'Val-Vol (2)'!$A$4:$A$1116,$D490,'Val-Vol (2)'!$V$4:$V$1116,$V490)/SUMIFS('Comp2016-2017 (3)'!$G$5:$G$289,'Comp2016-2017 (3)'!$A$5:$A$289,$D490,'Comp2016-2017 (3)'!$R$5:$R$289,$V490)*$AB490))</f>
        <v>0</v>
      </c>
      <c r="AJ490" s="2">
        <f>IF($W490=AJ$3,$AB490,IF(NOT($W490=0),"",SUMIFS('Val-Vol (2)'!AJ$4:AJ$1116,'Val-Vol (2)'!$A$4:$A$1116,$D490,'Val-Vol (2)'!$V$4:$V$1116,$V490)/SUMIFS('Comp2016-2017 (3)'!$G$5:$G$289,'Comp2016-2017 (3)'!$A$5:$A$289,$D490,'Comp2016-2017 (3)'!$R$5:$R$289,$V490)*$AB490))</f>
        <v>1965.7482504529758</v>
      </c>
      <c r="AK490" s="2">
        <f t="shared" si="54"/>
        <v>0</v>
      </c>
      <c r="AL490" t="str">
        <f t="shared" si="56"/>
        <v/>
      </c>
      <c r="AM490" t="str">
        <f>VLOOKUP(A490,'Table corresp.'!$M$4:$U$63,8,FALSE)</f>
        <v>Production intermédiaire</v>
      </c>
      <c r="AN490" t="str">
        <f>VLOOKUP(D490,'Table corresp.'!$M$4:$U$63,9,FALSE)</f>
        <v>Production intermédiaire</v>
      </c>
    </row>
    <row r="491" spans="1:40" x14ac:dyDescent="0.25">
      <c r="A491" t="s">
        <v>7</v>
      </c>
      <c r="B491" t="str">
        <f>VLOOKUP(LEFT(A491,3),'Table corresp.'!$A$4:$D$63,3,FALSE)</f>
        <v>Transformation</v>
      </c>
      <c r="C491" t="str">
        <f>VLOOKUP(A491,'Table corresp.'!$M$4:$P$63,4,FALSE)</f>
        <v>Production et transformation de produits bois</v>
      </c>
      <c r="D491" t="s">
        <v>14</v>
      </c>
      <c r="E491" t="str">
        <f>VLOOKUP(LEFT(D491,3),'Table corresp.'!$A$4:$D$63,4,FALSE)</f>
        <v>Transformation</v>
      </c>
      <c r="F491" t="str">
        <f t="shared" si="55"/>
        <v>12  - 20b</v>
      </c>
      <c r="G491" s="3">
        <v>21178.819968365096</v>
      </c>
      <c r="H491" s="3">
        <v>43118.832197189913</v>
      </c>
      <c r="I491" s="3">
        <v>64297.653024719053</v>
      </c>
      <c r="J491" s="3">
        <v>144.54804105861993</v>
      </c>
      <c r="K491" s="3">
        <v>323.08919114868718</v>
      </c>
      <c r="L491" s="3">
        <v>467.63723220730708</v>
      </c>
      <c r="M491" s="3">
        <v>0</v>
      </c>
      <c r="N491" s="3">
        <v>0</v>
      </c>
      <c r="O491" s="3">
        <v>0</v>
      </c>
      <c r="P491" s="3">
        <v>0</v>
      </c>
      <c r="Q491" s="3">
        <v>0</v>
      </c>
      <c r="R491" s="3">
        <v>0</v>
      </c>
      <c r="S491" s="67"/>
      <c r="T491">
        <f>VLOOKUP(A491,'Groupe de branches'!$Z$27:$AM$86,14,FALSE)</f>
        <v>0</v>
      </c>
      <c r="U491">
        <f>VLOOKUP(D491,'Groupe de branches'!$Z$27:$AM$86,14,FALSE)</f>
        <v>0</v>
      </c>
      <c r="V491">
        <v>2017</v>
      </c>
      <c r="W491">
        <f>VLOOKUP(D491,'Table corresp.'!$M$4:$S$63,7,FALSE)</f>
        <v>0</v>
      </c>
      <c r="X491" s="167">
        <f>IFERROR(G491/SUMIFS('Comp2016-2017 (3)'!$I$5:$I$289,'Comp2016-2017 (3)'!$A$5:$A$289,A491,'Comp2016-2017 (3)'!$R$5:$R$289,V491),0)</f>
        <v>2.9543568270224918E-2</v>
      </c>
      <c r="Y491" s="190">
        <f>IFERROR(IF(RIGHT(F491,3)="Exp",VLOOKUP(F491,#REF!,2,FALSE),VLOOKUP(F491,#REF!,9,FALSE)),1)</f>
        <v>1</v>
      </c>
      <c r="Z491" s="167">
        <f t="shared" si="58"/>
        <v>4.5454545454545456E-2</v>
      </c>
      <c r="AA491" s="189">
        <f t="shared" si="57"/>
        <v>1.3428894668284055E-3</v>
      </c>
      <c r="AB491" s="2">
        <f>IFERROR(SUMIFS('Comp2016-2017 (3)'!$G$5:$G$289,'Comp2016-2017 (3)'!$A$5:$A$289,A491,'Comp2016-2017 (3)'!$R$5:$R$289,V491)*AA491/SUMIFS($AA$4:$AA$1116,$A$4:$A$1116,A491,$V$4:$V$1116,V491),0)</f>
        <v>5081.112064386688</v>
      </c>
      <c r="AC491" s="2">
        <f>IF($W491=AC$3,$AB491,IF(NOT($W491=0),"",SUMIFS('Val-Vol (2)'!AC$4:AC$1116,'Val-Vol (2)'!$A$4:$A$1116,$D491,'Val-Vol (2)'!$V$4:$V$1116,$V491)/SUMIFS('Comp2016-2017 (3)'!$G$5:$G$289,'Comp2016-2017 (3)'!$A$5:$A$289,$D491,'Comp2016-2017 (3)'!$R$5:$R$289,$V491)*$AB491))</f>
        <v>1531.1637807811157</v>
      </c>
      <c r="AD491" s="2">
        <f>IF($W491=AD$3,$AB491,IF(NOT($W491=0),"",SUMIFS('Val-Vol (2)'!AD$4:AD$1116,'Val-Vol (2)'!$A$4:$A$1116,$D491,'Val-Vol (2)'!$V$4:$V$1116,$V491)/SUMIFS('Comp2016-2017 (3)'!$G$5:$G$289,'Comp2016-2017 (3)'!$A$5:$A$289,$D491,'Comp2016-2017 (3)'!$R$5:$R$289,$V491)*$AB491))</f>
        <v>3540.042235340477</v>
      </c>
      <c r="AE491" s="2">
        <f>IF($W491=AE$3,$AB491,IF(NOT($W491=0),"",SUMIFS('Val-Vol (2)'!AE$4:AE$1116,'Val-Vol (2)'!$A$4:$A$1116,$D491,'Val-Vol (2)'!$V$4:$V$1116,$V491)/SUMIFS('Comp2016-2017 (3)'!$G$5:$G$289,'Comp2016-2017 (3)'!$A$5:$A$289,$D491,'Comp2016-2017 (3)'!$R$5:$R$289,$V491)*$AB491))</f>
        <v>9.9060482650955297</v>
      </c>
      <c r="AF491" s="2">
        <f>IF($W491=AF$3,$AB491,IF(NOT($W491=0),"",SUMIFS('Val-Vol (2)'!AF$4:AF$1116,'Val-Vol (2)'!$A$4:$A$1116,$D491,'Val-Vol (2)'!$V$4:$V$1116,$V491)/SUMIFS('Comp2016-2017 (3)'!$G$5:$G$289,'Comp2016-2017 (3)'!$A$5:$A$289,$D491,'Comp2016-2017 (3)'!$R$5:$R$289,$V491)*$AB491))</f>
        <v>0</v>
      </c>
      <c r="AG491" s="2">
        <f>IF($W491=AG$3,$AB491,IF(NOT($W491=0),"",SUMIFS('Val-Vol (2)'!AG$4:AG$1116,'Val-Vol (2)'!$A$4:$A$1116,$D491,'Val-Vol (2)'!$V$4:$V$1116,$V491)/SUMIFS('Comp2016-2017 (3)'!$G$5:$G$289,'Comp2016-2017 (3)'!$A$5:$A$289,$D491,'Comp2016-2017 (3)'!$R$5:$R$289,$V491)*$AB491))</f>
        <v>0</v>
      </c>
      <c r="AH491" s="2">
        <f>IF($W491=AH$3,$AB491,IF(NOT($W491=0),"",SUMIFS('Val-Vol (2)'!AH$4:AH$1116,'Val-Vol (2)'!$A$4:$A$1116,$D491,'Val-Vol (2)'!$V$4:$V$1116,$V491)/SUMIFS('Comp2016-2017 (3)'!$G$5:$G$289,'Comp2016-2017 (3)'!$A$5:$A$289,$D491,'Comp2016-2017 (3)'!$R$5:$R$289,$V491)*$AB491))</f>
        <v>0</v>
      </c>
      <c r="AI491" s="2">
        <f>IF($W491=AI$3,$AB491,IF(NOT($W491=0),"",SUMIFS('Val-Vol (2)'!AI$4:AI$1116,'Val-Vol (2)'!$A$4:$A$1116,$D491,'Val-Vol (2)'!$V$4:$V$1116,$V491)/SUMIFS('Comp2016-2017 (3)'!$G$5:$G$289,'Comp2016-2017 (3)'!$A$5:$A$289,$D491,'Comp2016-2017 (3)'!$R$5:$R$289,$V491)*$AB491))</f>
        <v>0</v>
      </c>
      <c r="AJ491" s="2">
        <f>IF($W491=AJ$3,$AB491,IF(NOT($W491=0),"",SUMIFS('Val-Vol (2)'!AJ$4:AJ$1116,'Val-Vol (2)'!$A$4:$A$1116,$D491,'Val-Vol (2)'!$V$4:$V$1116,$V491)/SUMIFS('Comp2016-2017 (3)'!$G$5:$G$289,'Comp2016-2017 (3)'!$A$5:$A$289,$D491,'Comp2016-2017 (3)'!$R$5:$R$289,$V491)*$AB491))</f>
        <v>0</v>
      </c>
      <c r="AK491" s="2">
        <f t="shared" si="54"/>
        <v>0</v>
      </c>
      <c r="AL491" t="str">
        <f t="shared" si="56"/>
        <v/>
      </c>
      <c r="AM491" t="str">
        <f>VLOOKUP(A491,'Table corresp.'!$M$4:$U$63,8,FALSE)</f>
        <v>Production intermédiaire</v>
      </c>
      <c r="AN491" t="str">
        <f>VLOOKUP(D491,'Table corresp.'!$M$4:$U$63,9,FALSE)</f>
        <v>Production intermédiaire</v>
      </c>
    </row>
    <row r="492" spans="1:40" x14ac:dyDescent="0.25">
      <c r="A492" t="s">
        <v>7</v>
      </c>
      <c r="B492" t="str">
        <f>VLOOKUP(LEFT(A492,3),'Table corresp.'!$A$4:$D$63,3,FALSE)</f>
        <v>Transformation</v>
      </c>
      <c r="C492" t="str">
        <f>VLOOKUP(A492,'Table corresp.'!$M$4:$P$63,4,FALSE)</f>
        <v>Production et transformation de produits bois</v>
      </c>
      <c r="D492" t="s">
        <v>85</v>
      </c>
      <c r="E492" t="str">
        <f>VLOOKUP(LEFT(D492,3),'Table corresp.'!$A$4:$D$63,4,FALSE)</f>
        <v>Transformation</v>
      </c>
      <c r="F492" t="str">
        <f t="shared" si="55"/>
        <v xml:space="preserve">12  - 29 </v>
      </c>
      <c r="G492" s="3">
        <v>4188.8639532539792</v>
      </c>
      <c r="H492" s="3">
        <v>0</v>
      </c>
      <c r="I492" s="3">
        <v>4188.864008786496</v>
      </c>
      <c r="J492" s="3">
        <v>40.978297222034854</v>
      </c>
      <c r="K492" s="3">
        <v>0</v>
      </c>
      <c r="L492" s="3">
        <v>40.978297222034854</v>
      </c>
      <c r="M492" s="3">
        <v>0</v>
      </c>
      <c r="N492" s="3">
        <v>0</v>
      </c>
      <c r="O492" s="3">
        <v>0</v>
      </c>
      <c r="P492" s="3">
        <v>0</v>
      </c>
      <c r="Q492" s="3">
        <v>0</v>
      </c>
      <c r="R492" s="3">
        <v>0</v>
      </c>
      <c r="S492" s="67"/>
      <c r="T492">
        <f>VLOOKUP(A492,'Groupe de branches'!$Z$27:$AM$86,14,FALSE)</f>
        <v>0</v>
      </c>
      <c r="U492">
        <f>VLOOKUP(D492,'Groupe de branches'!$Z$27:$AM$86,14,FALSE)</f>
        <v>0</v>
      </c>
      <c r="V492">
        <v>2017</v>
      </c>
      <c r="W492" t="str">
        <f>VLOOKUP(D492,'Table corresp.'!$M$4:$S$63,7,FALSE)</f>
        <v>Construction</v>
      </c>
      <c r="X492" s="167">
        <f>IFERROR(G492/SUMIFS('Comp2016-2017 (3)'!$I$5:$I$289,'Comp2016-2017 (3)'!$A$5:$A$289,A492,'Comp2016-2017 (3)'!$R$5:$R$289,V492),0)</f>
        <v>5.8432900587707479E-3</v>
      </c>
      <c r="Y492" s="190">
        <f>IFERROR(IF(RIGHT(F492,3)="Exp",VLOOKUP(F492,#REF!,2,FALSE),VLOOKUP(F492,#REF!,9,FALSE)),1)</f>
        <v>1</v>
      </c>
      <c r="Z492" s="167">
        <f t="shared" si="58"/>
        <v>4.5454545454545456E-2</v>
      </c>
      <c r="AA492" s="189">
        <f t="shared" si="57"/>
        <v>2.6560409358048853E-4</v>
      </c>
      <c r="AB492" s="2">
        <f>IFERROR(SUMIFS('Comp2016-2017 (3)'!$G$5:$G$289,'Comp2016-2017 (3)'!$A$5:$A$289,A492,'Comp2016-2017 (3)'!$R$5:$R$289,V492)*AA492/SUMIFS($AA$4:$AA$1116,$A$4:$A$1116,A492,$V$4:$V$1116,V492),0)</f>
        <v>1004.9703997080787</v>
      </c>
      <c r="AC492" s="2" t="str">
        <f>IF($W492=AC$3,$AB492,IF(NOT($W492=0),"",SUMIFS('Val-Vol (2)'!AC$4:AC$1116,'Val-Vol (2)'!$A$4:$A$1116,$D492,'Val-Vol (2)'!$V$4:$V$1116,$V492)/SUMIFS('Comp2016-2017 (3)'!$G$5:$G$289,'Comp2016-2017 (3)'!$A$5:$A$289,$D492,'Comp2016-2017 (3)'!$R$5:$R$289,$V492)*$AB492))</f>
        <v/>
      </c>
      <c r="AD492" s="2">
        <f>IF($W492=AD$3,$AB492,IF(NOT($W492=0),"",SUMIFS('Val-Vol (2)'!AD$4:AD$1116,'Val-Vol (2)'!$A$4:$A$1116,$D492,'Val-Vol (2)'!$V$4:$V$1116,$V492)/SUMIFS('Comp2016-2017 (3)'!$G$5:$G$289,'Comp2016-2017 (3)'!$A$5:$A$289,$D492,'Comp2016-2017 (3)'!$R$5:$R$289,$V492)*$AB492))</f>
        <v>1004.9703997080787</v>
      </c>
      <c r="AE492" s="2" t="str">
        <f>IF($W492=AE$3,$AB492,IF(NOT($W492=0),"",SUMIFS('Val-Vol (2)'!AE$4:AE$1116,'Val-Vol (2)'!$A$4:$A$1116,$D492,'Val-Vol (2)'!$V$4:$V$1116,$V492)/SUMIFS('Comp2016-2017 (3)'!$G$5:$G$289,'Comp2016-2017 (3)'!$A$5:$A$289,$D492,'Comp2016-2017 (3)'!$R$5:$R$289,$V492)*$AB492))</f>
        <v/>
      </c>
      <c r="AF492" s="2" t="str">
        <f>IF($W492=AF$3,$AB492,IF(NOT($W492=0),"",SUMIFS('Val-Vol (2)'!AF$4:AF$1116,'Val-Vol (2)'!$A$4:$A$1116,$D492,'Val-Vol (2)'!$V$4:$V$1116,$V492)/SUMIFS('Comp2016-2017 (3)'!$G$5:$G$289,'Comp2016-2017 (3)'!$A$5:$A$289,$D492,'Comp2016-2017 (3)'!$R$5:$R$289,$V492)*$AB492))</f>
        <v/>
      </c>
      <c r="AG492" s="2" t="str">
        <f>IF($W492=AG$3,$AB492,IF(NOT($W492=0),"",SUMIFS('Val-Vol (2)'!AG$4:AG$1116,'Val-Vol (2)'!$A$4:$A$1116,$D492,'Val-Vol (2)'!$V$4:$V$1116,$V492)/SUMIFS('Comp2016-2017 (3)'!$G$5:$G$289,'Comp2016-2017 (3)'!$A$5:$A$289,$D492,'Comp2016-2017 (3)'!$R$5:$R$289,$V492)*$AB492))</f>
        <v/>
      </c>
      <c r="AH492" s="2" t="str">
        <f>IF($W492=AH$3,$AB492,IF(NOT($W492=0),"",SUMIFS('Val-Vol (2)'!AH$4:AH$1116,'Val-Vol (2)'!$A$4:$A$1116,$D492,'Val-Vol (2)'!$V$4:$V$1116,$V492)/SUMIFS('Comp2016-2017 (3)'!$G$5:$G$289,'Comp2016-2017 (3)'!$A$5:$A$289,$D492,'Comp2016-2017 (3)'!$R$5:$R$289,$V492)*$AB492))</f>
        <v/>
      </c>
      <c r="AI492" s="2" t="str">
        <f>IF($W492=AI$3,$AB492,IF(NOT($W492=0),"",SUMIFS('Val-Vol (2)'!AI$4:AI$1116,'Val-Vol (2)'!$A$4:$A$1116,$D492,'Val-Vol (2)'!$V$4:$V$1116,$V492)/SUMIFS('Comp2016-2017 (3)'!$G$5:$G$289,'Comp2016-2017 (3)'!$A$5:$A$289,$D492,'Comp2016-2017 (3)'!$R$5:$R$289,$V492)*$AB492))</f>
        <v/>
      </c>
      <c r="AJ492" s="2" t="str">
        <f>IF($W492=AJ$3,$AB492,IF(NOT($W492=0),"",SUMIFS('Val-Vol (2)'!AJ$4:AJ$1116,'Val-Vol (2)'!$A$4:$A$1116,$D492,'Val-Vol (2)'!$V$4:$V$1116,$V492)/SUMIFS('Comp2016-2017 (3)'!$G$5:$G$289,'Comp2016-2017 (3)'!$A$5:$A$289,$D492,'Comp2016-2017 (3)'!$R$5:$R$289,$V492)*$AB492))</f>
        <v/>
      </c>
      <c r="AK492" s="2">
        <f t="shared" si="54"/>
        <v>0</v>
      </c>
      <c r="AL492" t="str">
        <f t="shared" si="56"/>
        <v/>
      </c>
      <c r="AM492" t="str">
        <f>VLOOKUP(A492,'Table corresp.'!$M$4:$U$63,8,FALSE)</f>
        <v>Production intermédiaire</v>
      </c>
      <c r="AN492" t="str">
        <f>VLOOKUP(D492,'Table corresp.'!$M$4:$U$63,9,FALSE)</f>
        <v>Production intermédiaire</v>
      </c>
    </row>
    <row r="493" spans="1:40" x14ac:dyDescent="0.25">
      <c r="A493" t="s">
        <v>7</v>
      </c>
      <c r="B493" t="str">
        <f>VLOOKUP(LEFT(A493,3),'Table corresp.'!$A$4:$D$63,3,FALSE)</f>
        <v>Transformation</v>
      </c>
      <c r="C493" t="str">
        <f>VLOOKUP(A493,'Table corresp.'!$M$4:$P$63,4,FALSE)</f>
        <v>Production et transformation de produits bois</v>
      </c>
      <c r="D493" t="s">
        <v>88</v>
      </c>
      <c r="E493" t="str">
        <f>VLOOKUP(LEFT(D493,3),'Table corresp.'!$A$4:$D$63,4,FALSE)</f>
        <v>Transformation</v>
      </c>
      <c r="F493" t="str">
        <f t="shared" si="55"/>
        <v xml:space="preserve">12  - 32 </v>
      </c>
      <c r="G493" s="3">
        <v>0</v>
      </c>
      <c r="H493" s="3">
        <v>0</v>
      </c>
      <c r="I493" s="3">
        <v>0</v>
      </c>
      <c r="J493" s="3">
        <v>0</v>
      </c>
      <c r="K493" s="3">
        <v>0</v>
      </c>
      <c r="L493" s="3">
        <v>0</v>
      </c>
      <c r="M493" s="3">
        <v>0</v>
      </c>
      <c r="N493" s="3">
        <v>0</v>
      </c>
      <c r="O493" s="3">
        <v>0</v>
      </c>
      <c r="P493" s="3">
        <v>0</v>
      </c>
      <c r="Q493" s="3">
        <v>0</v>
      </c>
      <c r="R493" s="3">
        <v>0</v>
      </c>
      <c r="S493" s="67"/>
      <c r="T493">
        <f>VLOOKUP(A493,'Groupe de branches'!$Z$27:$AM$86,14,FALSE)</f>
        <v>0</v>
      </c>
      <c r="U493">
        <f>VLOOKUP(D493,'Groupe de branches'!$Z$27:$AM$86,14,FALSE)</f>
        <v>0</v>
      </c>
      <c r="V493">
        <v>2017</v>
      </c>
      <c r="W493" t="str">
        <f>VLOOKUP(D493,'Table corresp.'!$M$4:$S$63,7,FALSE)</f>
        <v>Construction</v>
      </c>
      <c r="X493" s="167">
        <f>IFERROR(G493/SUMIFS('Comp2016-2017 (3)'!$I$5:$I$289,'Comp2016-2017 (3)'!$A$5:$A$289,A493,'Comp2016-2017 (3)'!$R$5:$R$289,V493),0)</f>
        <v>0</v>
      </c>
      <c r="Y493" s="232"/>
      <c r="Z493" s="233"/>
      <c r="AA493" s="189">
        <f t="shared" si="57"/>
        <v>0</v>
      </c>
      <c r="AB493" s="2">
        <f>IFERROR(SUMIFS('Comp2016-2017 (3)'!$G$5:$G$289,'Comp2016-2017 (3)'!$A$5:$A$289,A493,'Comp2016-2017 (3)'!$R$5:$R$289,V493)*AA493/SUMIFS($AA$4:$AA$1116,$A$4:$A$1116,A493,$V$4:$V$1116,V493),0)</f>
        <v>0</v>
      </c>
      <c r="AC493" s="2" t="str">
        <f>IF($W493=AC$3,$AB493,IF(NOT($W493=0),"",SUMIFS('Val-Vol (2)'!AC$4:AC$1116,'Val-Vol (2)'!$A$4:$A$1116,$D493,'Val-Vol (2)'!$V$4:$V$1116,$V493)/SUMIFS('Comp2016-2017 (3)'!$G$5:$G$289,'Comp2016-2017 (3)'!$A$5:$A$289,$D493,'Comp2016-2017 (3)'!$R$5:$R$289,$V493)*$AB493))</f>
        <v/>
      </c>
      <c r="AD493" s="2">
        <f>IF($W493=AD$3,$AB493,IF(NOT($W493=0),"",SUMIFS('Val-Vol (2)'!AD$4:AD$1116,'Val-Vol (2)'!$A$4:$A$1116,$D493,'Val-Vol (2)'!$V$4:$V$1116,$V493)/SUMIFS('Comp2016-2017 (3)'!$G$5:$G$289,'Comp2016-2017 (3)'!$A$5:$A$289,$D493,'Comp2016-2017 (3)'!$R$5:$R$289,$V493)*$AB493))</f>
        <v>0</v>
      </c>
      <c r="AE493" s="2" t="str">
        <f>IF($W493=AE$3,$AB493,IF(NOT($W493=0),"",SUMIFS('Val-Vol (2)'!AE$4:AE$1116,'Val-Vol (2)'!$A$4:$A$1116,$D493,'Val-Vol (2)'!$V$4:$V$1116,$V493)/SUMIFS('Comp2016-2017 (3)'!$G$5:$G$289,'Comp2016-2017 (3)'!$A$5:$A$289,$D493,'Comp2016-2017 (3)'!$R$5:$R$289,$V493)*$AB493))</f>
        <v/>
      </c>
      <c r="AF493" s="2" t="str">
        <f>IF($W493=AF$3,$AB493,IF(NOT($W493=0),"",SUMIFS('Val-Vol (2)'!AF$4:AF$1116,'Val-Vol (2)'!$A$4:$A$1116,$D493,'Val-Vol (2)'!$V$4:$V$1116,$V493)/SUMIFS('Comp2016-2017 (3)'!$G$5:$G$289,'Comp2016-2017 (3)'!$A$5:$A$289,$D493,'Comp2016-2017 (3)'!$R$5:$R$289,$V493)*$AB493))</f>
        <v/>
      </c>
      <c r="AG493" s="2" t="str">
        <f>IF($W493=AG$3,$AB493,IF(NOT($W493=0),"",SUMIFS('Val-Vol (2)'!AG$4:AG$1116,'Val-Vol (2)'!$A$4:$A$1116,$D493,'Val-Vol (2)'!$V$4:$V$1116,$V493)/SUMIFS('Comp2016-2017 (3)'!$G$5:$G$289,'Comp2016-2017 (3)'!$A$5:$A$289,$D493,'Comp2016-2017 (3)'!$R$5:$R$289,$V493)*$AB493))</f>
        <v/>
      </c>
      <c r="AH493" s="2" t="str">
        <f>IF($W493=AH$3,$AB493,IF(NOT($W493=0),"",SUMIFS('Val-Vol (2)'!AH$4:AH$1116,'Val-Vol (2)'!$A$4:$A$1116,$D493,'Val-Vol (2)'!$V$4:$V$1116,$V493)/SUMIFS('Comp2016-2017 (3)'!$G$5:$G$289,'Comp2016-2017 (3)'!$A$5:$A$289,$D493,'Comp2016-2017 (3)'!$R$5:$R$289,$V493)*$AB493))</f>
        <v/>
      </c>
      <c r="AI493" s="2" t="str">
        <f>IF($W493=AI$3,$AB493,IF(NOT($W493=0),"",SUMIFS('Val-Vol (2)'!AI$4:AI$1116,'Val-Vol (2)'!$A$4:$A$1116,$D493,'Val-Vol (2)'!$V$4:$V$1116,$V493)/SUMIFS('Comp2016-2017 (3)'!$G$5:$G$289,'Comp2016-2017 (3)'!$A$5:$A$289,$D493,'Comp2016-2017 (3)'!$R$5:$R$289,$V493)*$AB493))</f>
        <v/>
      </c>
      <c r="AJ493" s="2" t="str">
        <f>IF($W493=AJ$3,$AB493,IF(NOT($W493=0),"",SUMIFS('Val-Vol (2)'!AJ$4:AJ$1116,'Val-Vol (2)'!$A$4:$A$1116,$D493,'Val-Vol (2)'!$V$4:$V$1116,$V493)/SUMIFS('Comp2016-2017 (3)'!$G$5:$G$289,'Comp2016-2017 (3)'!$A$5:$A$289,$D493,'Comp2016-2017 (3)'!$R$5:$R$289,$V493)*$AB493))</f>
        <v/>
      </c>
      <c r="AK493" s="2">
        <f t="shared" si="54"/>
        <v>0</v>
      </c>
      <c r="AL493" t="str">
        <f t="shared" si="56"/>
        <v/>
      </c>
      <c r="AM493" t="str">
        <f>VLOOKUP(A493,'Table corresp.'!$M$4:$U$63,8,FALSE)</f>
        <v>Production intermédiaire</v>
      </c>
      <c r="AN493" t="str">
        <f>VLOOKUP(D493,'Table corresp.'!$M$4:$U$63,9,FALSE)</f>
        <v>Production finale</v>
      </c>
    </row>
    <row r="494" spans="1:40" x14ac:dyDescent="0.25">
      <c r="A494" t="s">
        <v>7</v>
      </c>
      <c r="B494" t="str">
        <f>VLOOKUP(LEFT(A494,3),'Table corresp.'!$A$4:$D$63,3,FALSE)</f>
        <v>Transformation</v>
      </c>
      <c r="C494" t="str">
        <f>VLOOKUP(A494,'Table corresp.'!$M$4:$P$63,4,FALSE)</f>
        <v>Production et transformation de produits bois</v>
      </c>
      <c r="D494" t="s">
        <v>90</v>
      </c>
      <c r="E494" t="str">
        <f>VLOOKUP(LEFT(D494,3),'Table corresp.'!$A$4:$D$63,4,FALSE)</f>
        <v>Transformation</v>
      </c>
      <c r="F494" t="str">
        <f t="shared" si="55"/>
        <v xml:space="preserve">12  - 34 </v>
      </c>
      <c r="G494" s="3">
        <v>24232.580092226599</v>
      </c>
      <c r="H494" s="3">
        <v>40335.550929691184</v>
      </c>
      <c r="I494" s="3">
        <v>64568.131884231363</v>
      </c>
      <c r="J494" s="3">
        <v>251.00414491202554</v>
      </c>
      <c r="K494" s="3">
        <v>402.97877162081113</v>
      </c>
      <c r="L494" s="3">
        <v>653.98291653283673</v>
      </c>
      <c r="M494" s="3">
        <v>0</v>
      </c>
      <c r="N494" s="3">
        <v>0</v>
      </c>
      <c r="O494" s="3">
        <v>0</v>
      </c>
      <c r="P494" s="3">
        <v>0</v>
      </c>
      <c r="Q494" s="3">
        <v>0</v>
      </c>
      <c r="R494" s="3">
        <v>0</v>
      </c>
      <c r="S494" s="67"/>
      <c r="T494">
        <f>VLOOKUP(A494,'Groupe de branches'!$Z$27:$AM$86,14,FALSE)</f>
        <v>0</v>
      </c>
      <c r="U494">
        <f>VLOOKUP(D494,'Groupe de branches'!$Z$27:$AM$86,14,FALSE)</f>
        <v>0</v>
      </c>
      <c r="V494">
        <v>2017</v>
      </c>
      <c r="W494" t="str">
        <f>VLOOKUP(D494,'Table corresp.'!$M$4:$S$63,7,FALSE)</f>
        <v>Construction</v>
      </c>
      <c r="X494" s="167">
        <f>IFERROR(G494/SUMIFS('Comp2016-2017 (3)'!$I$5:$I$289,'Comp2016-2017 (3)'!$A$5:$A$289,A494,'Comp2016-2017 (3)'!$R$5:$R$289,V494),0)</f>
        <v>3.3803435951000015E-2</v>
      </c>
      <c r="Y494" s="190">
        <f>IFERROR(IF(RIGHT(F494,3)="Exp",VLOOKUP(F494,#REF!,2,FALSE),VLOOKUP(F494,#REF!,9,FALSE)),1)</f>
        <v>1</v>
      </c>
      <c r="Z494" s="167">
        <f t="shared" si="58"/>
        <v>4.5454545454545456E-2</v>
      </c>
      <c r="AA494" s="189">
        <f t="shared" si="57"/>
        <v>1.5365198159545462E-3</v>
      </c>
      <c r="AB494" s="2">
        <f>IFERROR(SUMIFS('Comp2016-2017 (3)'!$G$5:$G$289,'Comp2016-2017 (3)'!$A$5:$A$289,A494,'Comp2016-2017 (3)'!$R$5:$R$289,V494)*AA494/SUMIFS($AA$4:$AA$1116,$A$4:$A$1116,A494,$V$4:$V$1116,V494),0)</f>
        <v>5813.7542715669151</v>
      </c>
      <c r="AC494" s="2" t="str">
        <f>IF($W494=AC$3,$AB494,IF(NOT($W494=0),"",SUMIFS('Val-Vol (2)'!AC$4:AC$1116,'Val-Vol (2)'!$A$4:$A$1116,$D494,'Val-Vol (2)'!$V$4:$V$1116,$V494)/SUMIFS('Comp2016-2017 (3)'!$G$5:$G$289,'Comp2016-2017 (3)'!$A$5:$A$289,$D494,'Comp2016-2017 (3)'!$R$5:$R$289,$V494)*$AB494))</f>
        <v/>
      </c>
      <c r="AD494" s="2">
        <f>IF($W494=AD$3,$AB494,IF(NOT($W494=0),"",SUMIFS('Val-Vol (2)'!AD$4:AD$1116,'Val-Vol (2)'!$A$4:$A$1116,$D494,'Val-Vol (2)'!$V$4:$V$1116,$V494)/SUMIFS('Comp2016-2017 (3)'!$G$5:$G$289,'Comp2016-2017 (3)'!$A$5:$A$289,$D494,'Comp2016-2017 (3)'!$R$5:$R$289,$V494)*$AB494))</f>
        <v>5813.7542715669151</v>
      </c>
      <c r="AE494" s="2" t="str">
        <f>IF($W494=AE$3,$AB494,IF(NOT($W494=0),"",SUMIFS('Val-Vol (2)'!AE$4:AE$1116,'Val-Vol (2)'!$A$4:$A$1116,$D494,'Val-Vol (2)'!$V$4:$V$1116,$V494)/SUMIFS('Comp2016-2017 (3)'!$G$5:$G$289,'Comp2016-2017 (3)'!$A$5:$A$289,$D494,'Comp2016-2017 (3)'!$R$5:$R$289,$V494)*$AB494))</f>
        <v/>
      </c>
      <c r="AF494" s="2" t="str">
        <f>IF($W494=AF$3,$AB494,IF(NOT($W494=0),"",SUMIFS('Val-Vol (2)'!AF$4:AF$1116,'Val-Vol (2)'!$A$4:$A$1116,$D494,'Val-Vol (2)'!$V$4:$V$1116,$V494)/SUMIFS('Comp2016-2017 (3)'!$G$5:$G$289,'Comp2016-2017 (3)'!$A$5:$A$289,$D494,'Comp2016-2017 (3)'!$R$5:$R$289,$V494)*$AB494))</f>
        <v/>
      </c>
      <c r="AG494" s="2" t="str">
        <f>IF($W494=AG$3,$AB494,IF(NOT($W494=0),"",SUMIFS('Val-Vol (2)'!AG$4:AG$1116,'Val-Vol (2)'!$A$4:$A$1116,$D494,'Val-Vol (2)'!$V$4:$V$1116,$V494)/SUMIFS('Comp2016-2017 (3)'!$G$5:$G$289,'Comp2016-2017 (3)'!$A$5:$A$289,$D494,'Comp2016-2017 (3)'!$R$5:$R$289,$V494)*$AB494))</f>
        <v/>
      </c>
      <c r="AH494" s="2" t="str">
        <f>IF($W494=AH$3,$AB494,IF(NOT($W494=0),"",SUMIFS('Val-Vol (2)'!AH$4:AH$1116,'Val-Vol (2)'!$A$4:$A$1116,$D494,'Val-Vol (2)'!$V$4:$V$1116,$V494)/SUMIFS('Comp2016-2017 (3)'!$G$5:$G$289,'Comp2016-2017 (3)'!$A$5:$A$289,$D494,'Comp2016-2017 (3)'!$R$5:$R$289,$V494)*$AB494))</f>
        <v/>
      </c>
      <c r="AI494" s="2" t="str">
        <f>IF($W494=AI$3,$AB494,IF(NOT($W494=0),"",SUMIFS('Val-Vol (2)'!AI$4:AI$1116,'Val-Vol (2)'!$A$4:$A$1116,$D494,'Val-Vol (2)'!$V$4:$V$1116,$V494)/SUMIFS('Comp2016-2017 (3)'!$G$5:$G$289,'Comp2016-2017 (3)'!$A$5:$A$289,$D494,'Comp2016-2017 (3)'!$R$5:$R$289,$V494)*$AB494))</f>
        <v/>
      </c>
      <c r="AJ494" s="2" t="str">
        <f>IF($W494=AJ$3,$AB494,IF(NOT($W494=0),"",SUMIFS('Val-Vol (2)'!AJ$4:AJ$1116,'Val-Vol (2)'!$A$4:$A$1116,$D494,'Val-Vol (2)'!$V$4:$V$1116,$V494)/SUMIFS('Comp2016-2017 (3)'!$G$5:$G$289,'Comp2016-2017 (3)'!$A$5:$A$289,$D494,'Comp2016-2017 (3)'!$R$5:$R$289,$V494)*$AB494))</f>
        <v/>
      </c>
      <c r="AK494" s="2">
        <f t="shared" si="54"/>
        <v>0</v>
      </c>
      <c r="AL494" t="str">
        <f t="shared" si="56"/>
        <v/>
      </c>
      <c r="AM494" t="str">
        <f>VLOOKUP(A494,'Table corresp.'!$M$4:$U$63,8,FALSE)</f>
        <v>Production intermédiaire</v>
      </c>
      <c r="AN494" t="str">
        <f>VLOOKUP(D494,'Table corresp.'!$M$4:$U$63,9,FALSE)</f>
        <v>Production finale</v>
      </c>
    </row>
    <row r="495" spans="1:40" x14ac:dyDescent="0.25">
      <c r="A495" t="s">
        <v>7</v>
      </c>
      <c r="B495" t="str">
        <f>VLOOKUP(LEFT(A495,3),'Table corresp.'!$A$4:$D$63,3,FALSE)</f>
        <v>Transformation</v>
      </c>
      <c r="C495" t="str">
        <f>VLOOKUP(A495,'Table corresp.'!$M$4:$P$63,4,FALSE)</f>
        <v>Production et transformation de produits bois</v>
      </c>
      <c r="D495" t="s">
        <v>15</v>
      </c>
      <c r="E495" t="str">
        <f>VLOOKUP(LEFT(D495,3),'Table corresp.'!$A$4:$D$63,4,FALSE)</f>
        <v>Transformation</v>
      </c>
      <c r="F495" t="str">
        <f t="shared" si="55"/>
        <v xml:space="preserve">12  - 35 </v>
      </c>
      <c r="G495" s="3">
        <v>5247.8557250522099</v>
      </c>
      <c r="H495" s="3">
        <v>1336.4629038406574</v>
      </c>
      <c r="I495" s="3">
        <v>6584.3187163918356</v>
      </c>
      <c r="J495" s="3">
        <v>30.802842118445071</v>
      </c>
      <c r="K495" s="3">
        <v>8.5835226565258864</v>
      </c>
      <c r="L495" s="3">
        <v>39.386364774970957</v>
      </c>
      <c r="M495" s="3">
        <v>0</v>
      </c>
      <c r="N495" s="3">
        <v>0</v>
      </c>
      <c r="O495" s="3">
        <v>0</v>
      </c>
      <c r="P495" s="3">
        <v>0</v>
      </c>
      <c r="Q495" s="3">
        <v>0</v>
      </c>
      <c r="R495" s="3">
        <v>0</v>
      </c>
      <c r="S495" s="67"/>
      <c r="T495">
        <f>VLOOKUP(A495,'Groupe de branches'!$Z$27:$AM$86,14,FALSE)</f>
        <v>0</v>
      </c>
      <c r="U495">
        <f>VLOOKUP(D495,'Groupe de branches'!$Z$27:$AM$86,14,FALSE)</f>
        <v>0</v>
      </c>
      <c r="V495">
        <v>2017</v>
      </c>
      <c r="W495" t="str">
        <f>VLOOKUP(D495,'Table corresp.'!$M$4:$S$63,7,FALSE)</f>
        <v>Construction</v>
      </c>
      <c r="X495" s="167">
        <f>IFERROR(G495/SUMIFS('Comp2016-2017 (3)'!$I$5:$I$289,'Comp2016-2017 (3)'!$A$5:$A$289,A495,'Comp2016-2017 (3)'!$R$5:$R$289,V495),0)</f>
        <v>7.320539299023987E-3</v>
      </c>
      <c r="Y495" s="190">
        <f>IFERROR(IF(RIGHT(F495,3)="Exp",VLOOKUP(F495,#REF!,2,FALSE),VLOOKUP(F495,#REF!,9,FALSE)),1)</f>
        <v>1</v>
      </c>
      <c r="Z495" s="167">
        <f t="shared" si="58"/>
        <v>4.5454545454545456E-2</v>
      </c>
      <c r="AA495" s="189">
        <f t="shared" si="57"/>
        <v>3.3275178631927217E-4</v>
      </c>
      <c r="AB495" s="2">
        <f>IFERROR(SUMIFS('Comp2016-2017 (3)'!$G$5:$G$289,'Comp2016-2017 (3)'!$A$5:$A$289,A495,'Comp2016-2017 (3)'!$R$5:$R$289,V495)*AA495/SUMIFS($AA$4:$AA$1116,$A$4:$A$1116,A495,$V$4:$V$1116,V495),0)</f>
        <v>1259.0381842120141</v>
      </c>
      <c r="AC495" s="2" t="str">
        <f>IF($W495=AC$3,$AB495,IF(NOT($W495=0),"",SUMIFS('Val-Vol (2)'!AC$4:AC$1116,'Val-Vol (2)'!$A$4:$A$1116,$D495,'Val-Vol (2)'!$V$4:$V$1116,$V495)/SUMIFS('Comp2016-2017 (3)'!$G$5:$G$289,'Comp2016-2017 (3)'!$A$5:$A$289,$D495,'Comp2016-2017 (3)'!$R$5:$R$289,$V495)*$AB495))</f>
        <v/>
      </c>
      <c r="AD495" s="2">
        <f>IF($W495=AD$3,$AB495,IF(NOT($W495=0),"",SUMIFS('Val-Vol (2)'!AD$4:AD$1116,'Val-Vol (2)'!$A$4:$A$1116,$D495,'Val-Vol (2)'!$V$4:$V$1116,$V495)/SUMIFS('Comp2016-2017 (3)'!$G$5:$G$289,'Comp2016-2017 (3)'!$A$5:$A$289,$D495,'Comp2016-2017 (3)'!$R$5:$R$289,$V495)*$AB495))</f>
        <v>1259.0381842120141</v>
      </c>
      <c r="AE495" s="2" t="str">
        <f>IF($W495=AE$3,$AB495,IF(NOT($W495=0),"",SUMIFS('Val-Vol (2)'!AE$4:AE$1116,'Val-Vol (2)'!$A$4:$A$1116,$D495,'Val-Vol (2)'!$V$4:$V$1116,$V495)/SUMIFS('Comp2016-2017 (3)'!$G$5:$G$289,'Comp2016-2017 (3)'!$A$5:$A$289,$D495,'Comp2016-2017 (3)'!$R$5:$R$289,$V495)*$AB495))</f>
        <v/>
      </c>
      <c r="AF495" s="2" t="str">
        <f>IF($W495=AF$3,$AB495,IF(NOT($W495=0),"",SUMIFS('Val-Vol (2)'!AF$4:AF$1116,'Val-Vol (2)'!$A$4:$A$1116,$D495,'Val-Vol (2)'!$V$4:$V$1116,$V495)/SUMIFS('Comp2016-2017 (3)'!$G$5:$G$289,'Comp2016-2017 (3)'!$A$5:$A$289,$D495,'Comp2016-2017 (3)'!$R$5:$R$289,$V495)*$AB495))</f>
        <v/>
      </c>
      <c r="AG495" s="2" t="str">
        <f>IF($W495=AG$3,$AB495,IF(NOT($W495=0),"",SUMIFS('Val-Vol (2)'!AG$4:AG$1116,'Val-Vol (2)'!$A$4:$A$1116,$D495,'Val-Vol (2)'!$V$4:$V$1116,$V495)/SUMIFS('Comp2016-2017 (3)'!$G$5:$G$289,'Comp2016-2017 (3)'!$A$5:$A$289,$D495,'Comp2016-2017 (3)'!$R$5:$R$289,$V495)*$AB495))</f>
        <v/>
      </c>
      <c r="AH495" s="2" t="str">
        <f>IF($W495=AH$3,$AB495,IF(NOT($W495=0),"",SUMIFS('Val-Vol (2)'!AH$4:AH$1116,'Val-Vol (2)'!$A$4:$A$1116,$D495,'Val-Vol (2)'!$V$4:$V$1116,$V495)/SUMIFS('Comp2016-2017 (3)'!$G$5:$G$289,'Comp2016-2017 (3)'!$A$5:$A$289,$D495,'Comp2016-2017 (3)'!$R$5:$R$289,$V495)*$AB495))</f>
        <v/>
      </c>
      <c r="AI495" s="2" t="str">
        <f>IF($W495=AI$3,$AB495,IF(NOT($W495=0),"",SUMIFS('Val-Vol (2)'!AI$4:AI$1116,'Val-Vol (2)'!$A$4:$A$1116,$D495,'Val-Vol (2)'!$V$4:$V$1116,$V495)/SUMIFS('Comp2016-2017 (3)'!$G$5:$G$289,'Comp2016-2017 (3)'!$A$5:$A$289,$D495,'Comp2016-2017 (3)'!$R$5:$R$289,$V495)*$AB495))</f>
        <v/>
      </c>
      <c r="AJ495" s="2" t="str">
        <f>IF($W495=AJ$3,$AB495,IF(NOT($W495=0),"",SUMIFS('Val-Vol (2)'!AJ$4:AJ$1116,'Val-Vol (2)'!$A$4:$A$1116,$D495,'Val-Vol (2)'!$V$4:$V$1116,$V495)/SUMIFS('Comp2016-2017 (3)'!$G$5:$G$289,'Comp2016-2017 (3)'!$A$5:$A$289,$D495,'Comp2016-2017 (3)'!$R$5:$R$289,$V495)*$AB495))</f>
        <v/>
      </c>
      <c r="AK495" s="2">
        <f t="shared" si="54"/>
        <v>0</v>
      </c>
      <c r="AL495" t="str">
        <f t="shared" si="56"/>
        <v/>
      </c>
      <c r="AM495" t="str">
        <f>VLOOKUP(A495,'Table corresp.'!$M$4:$U$63,8,FALSE)</f>
        <v>Production intermédiaire</v>
      </c>
      <c r="AN495" t="str">
        <f>VLOOKUP(D495,'Table corresp.'!$M$4:$U$63,9,FALSE)</f>
        <v>Production finale</v>
      </c>
    </row>
    <row r="496" spans="1:40" x14ac:dyDescent="0.25">
      <c r="A496" t="s">
        <v>7</v>
      </c>
      <c r="B496" t="str">
        <f>VLOOKUP(LEFT(A496,3),'Table corresp.'!$A$4:$D$63,3,FALSE)</f>
        <v>Transformation</v>
      </c>
      <c r="C496" t="str">
        <f>VLOOKUP(A496,'Table corresp.'!$M$4:$P$63,4,FALSE)</f>
        <v>Production et transformation de produits bois</v>
      </c>
      <c r="D496" t="s">
        <v>16</v>
      </c>
      <c r="E496" t="str">
        <f>VLOOKUP(LEFT(D496,3),'Table corresp.'!$A$4:$D$63,4,FALSE)</f>
        <v>Transformation</v>
      </c>
      <c r="F496" t="str">
        <f t="shared" si="55"/>
        <v xml:space="preserve">12  - 36 </v>
      </c>
      <c r="G496" s="3">
        <v>10259.832333314534</v>
      </c>
      <c r="H496" s="3">
        <v>6035.9598347922947</v>
      </c>
      <c r="I496" s="3">
        <v>16295.792385089151</v>
      </c>
      <c r="J496" s="3">
        <v>72.265400288990165</v>
      </c>
      <c r="K496" s="3">
        <v>43.418319796653847</v>
      </c>
      <c r="L496" s="3">
        <v>115.68372008564401</v>
      </c>
      <c r="M496" s="3">
        <v>0</v>
      </c>
      <c r="N496" s="3">
        <v>0</v>
      </c>
      <c r="O496" s="3">
        <v>0</v>
      </c>
      <c r="P496" s="3">
        <v>0</v>
      </c>
      <c r="Q496" s="3">
        <v>0</v>
      </c>
      <c r="R496" s="3">
        <v>0</v>
      </c>
      <c r="S496" s="67"/>
      <c r="T496">
        <f>VLOOKUP(A496,'Groupe de branches'!$Z$27:$AM$86,14,FALSE)</f>
        <v>0</v>
      </c>
      <c r="U496">
        <f>VLOOKUP(D496,'Groupe de branches'!$Z$27:$AM$86,14,FALSE)</f>
        <v>0</v>
      </c>
      <c r="V496">
        <v>2017</v>
      </c>
      <c r="W496" t="str">
        <f>VLOOKUP(D496,'Table corresp.'!$M$4:$S$63,7,FALSE)</f>
        <v>Construction</v>
      </c>
      <c r="X496" s="167">
        <f>IFERROR(G496/SUMIFS('Comp2016-2017 (3)'!$I$5:$I$289,'Comp2016-2017 (3)'!$A$5:$A$289,A496,'Comp2016-2017 (3)'!$R$5:$R$289,V496),0)</f>
        <v>1.4312037093336592E-2</v>
      </c>
      <c r="Y496" s="190">
        <f>IFERROR(IF(RIGHT(F496,3)="Exp",VLOOKUP(F496,#REF!,2,FALSE),VLOOKUP(F496,#REF!,9,FALSE)),1)</f>
        <v>1</v>
      </c>
      <c r="Z496" s="167">
        <f t="shared" si="58"/>
        <v>4.5454545454545456E-2</v>
      </c>
      <c r="AA496" s="189">
        <f t="shared" si="57"/>
        <v>6.5054714060620877E-4</v>
      </c>
      <c r="AB496" s="2">
        <f>IFERROR(SUMIFS('Comp2016-2017 (3)'!$G$5:$G$289,'Comp2016-2017 (3)'!$A$5:$A$289,A496,'Comp2016-2017 (3)'!$R$5:$R$289,V496)*AA496/SUMIFS($AA$4:$AA$1116,$A$4:$A$1116,A496,$V$4:$V$1116,V496),0)</f>
        <v>2461.4854805535888</v>
      </c>
      <c r="AC496" s="2" t="str">
        <f>IF($W496=AC$3,$AB496,IF(NOT($W496=0),"",SUMIFS('Val-Vol (2)'!AC$4:AC$1116,'Val-Vol (2)'!$A$4:$A$1116,$D496,'Val-Vol (2)'!$V$4:$V$1116,$V496)/SUMIFS('Comp2016-2017 (3)'!$G$5:$G$289,'Comp2016-2017 (3)'!$A$5:$A$289,$D496,'Comp2016-2017 (3)'!$R$5:$R$289,$V496)*$AB496))</f>
        <v/>
      </c>
      <c r="AD496" s="2">
        <f>IF($W496=AD$3,$AB496,IF(NOT($W496=0),"",SUMIFS('Val-Vol (2)'!AD$4:AD$1116,'Val-Vol (2)'!$A$4:$A$1116,$D496,'Val-Vol (2)'!$V$4:$V$1116,$V496)/SUMIFS('Comp2016-2017 (3)'!$G$5:$G$289,'Comp2016-2017 (3)'!$A$5:$A$289,$D496,'Comp2016-2017 (3)'!$R$5:$R$289,$V496)*$AB496))</f>
        <v>2461.4854805535888</v>
      </c>
      <c r="AE496" s="2" t="str">
        <f>IF($W496=AE$3,$AB496,IF(NOT($W496=0),"",SUMIFS('Val-Vol (2)'!AE$4:AE$1116,'Val-Vol (2)'!$A$4:$A$1116,$D496,'Val-Vol (2)'!$V$4:$V$1116,$V496)/SUMIFS('Comp2016-2017 (3)'!$G$5:$G$289,'Comp2016-2017 (3)'!$A$5:$A$289,$D496,'Comp2016-2017 (3)'!$R$5:$R$289,$V496)*$AB496))</f>
        <v/>
      </c>
      <c r="AF496" s="2" t="str">
        <f>IF($W496=AF$3,$AB496,IF(NOT($W496=0),"",SUMIFS('Val-Vol (2)'!AF$4:AF$1116,'Val-Vol (2)'!$A$4:$A$1116,$D496,'Val-Vol (2)'!$V$4:$V$1116,$V496)/SUMIFS('Comp2016-2017 (3)'!$G$5:$G$289,'Comp2016-2017 (3)'!$A$5:$A$289,$D496,'Comp2016-2017 (3)'!$R$5:$R$289,$V496)*$AB496))</f>
        <v/>
      </c>
      <c r="AG496" s="2" t="str">
        <f>IF($W496=AG$3,$AB496,IF(NOT($W496=0),"",SUMIFS('Val-Vol (2)'!AG$4:AG$1116,'Val-Vol (2)'!$A$4:$A$1116,$D496,'Val-Vol (2)'!$V$4:$V$1116,$V496)/SUMIFS('Comp2016-2017 (3)'!$G$5:$G$289,'Comp2016-2017 (3)'!$A$5:$A$289,$D496,'Comp2016-2017 (3)'!$R$5:$R$289,$V496)*$AB496))</f>
        <v/>
      </c>
      <c r="AH496" s="2" t="str">
        <f>IF($W496=AH$3,$AB496,IF(NOT($W496=0),"",SUMIFS('Val-Vol (2)'!AH$4:AH$1116,'Val-Vol (2)'!$A$4:$A$1116,$D496,'Val-Vol (2)'!$V$4:$V$1116,$V496)/SUMIFS('Comp2016-2017 (3)'!$G$5:$G$289,'Comp2016-2017 (3)'!$A$5:$A$289,$D496,'Comp2016-2017 (3)'!$R$5:$R$289,$V496)*$AB496))</f>
        <v/>
      </c>
      <c r="AI496" s="2" t="str">
        <f>IF($W496=AI$3,$AB496,IF(NOT($W496=0),"",SUMIFS('Val-Vol (2)'!AI$4:AI$1116,'Val-Vol (2)'!$A$4:$A$1116,$D496,'Val-Vol (2)'!$V$4:$V$1116,$V496)/SUMIFS('Comp2016-2017 (3)'!$G$5:$G$289,'Comp2016-2017 (3)'!$A$5:$A$289,$D496,'Comp2016-2017 (3)'!$R$5:$R$289,$V496)*$AB496))</f>
        <v/>
      </c>
      <c r="AJ496" s="2" t="str">
        <f>IF($W496=AJ$3,$AB496,IF(NOT($W496=0),"",SUMIFS('Val-Vol (2)'!AJ$4:AJ$1116,'Val-Vol (2)'!$A$4:$A$1116,$D496,'Val-Vol (2)'!$V$4:$V$1116,$V496)/SUMIFS('Comp2016-2017 (3)'!$G$5:$G$289,'Comp2016-2017 (3)'!$A$5:$A$289,$D496,'Comp2016-2017 (3)'!$R$5:$R$289,$V496)*$AB496))</f>
        <v/>
      </c>
      <c r="AK496" s="2">
        <f t="shared" si="54"/>
        <v>0</v>
      </c>
      <c r="AL496" t="str">
        <f t="shared" si="56"/>
        <v/>
      </c>
      <c r="AM496" t="str">
        <f>VLOOKUP(A496,'Table corresp.'!$M$4:$U$63,8,FALSE)</f>
        <v>Production intermédiaire</v>
      </c>
      <c r="AN496" t="str">
        <f>VLOOKUP(D496,'Table corresp.'!$M$4:$U$63,9,FALSE)</f>
        <v>Production finale</v>
      </c>
    </row>
    <row r="497" spans="1:40" x14ac:dyDescent="0.25">
      <c r="A497" t="s">
        <v>7</v>
      </c>
      <c r="B497" t="str">
        <f>VLOOKUP(LEFT(A497,3),'Table corresp.'!$A$4:$D$63,3,FALSE)</f>
        <v>Transformation</v>
      </c>
      <c r="C497" t="str">
        <f>VLOOKUP(A497,'Table corresp.'!$M$4:$P$63,4,FALSE)</f>
        <v>Production et transformation de produits bois</v>
      </c>
      <c r="D497" t="s">
        <v>91</v>
      </c>
      <c r="E497" t="str">
        <f>VLOOKUP(LEFT(D497,3),'Table corresp.'!$A$4:$D$63,4,FALSE)</f>
        <v>Transformation</v>
      </c>
      <c r="F497" t="str">
        <f t="shared" si="55"/>
        <v xml:space="preserve">12  - 37 </v>
      </c>
      <c r="G497" s="3">
        <v>89383.323616254318</v>
      </c>
      <c r="H497" s="3">
        <v>15362.393170939416</v>
      </c>
      <c r="I497" s="3">
        <v>104745.71817823433</v>
      </c>
      <c r="J497" s="3">
        <v>1210.7188519346553</v>
      </c>
      <c r="K497" s="3">
        <v>184.17653468937507</v>
      </c>
      <c r="L497" s="3">
        <v>1394.8953866240304</v>
      </c>
      <c r="M497" s="3">
        <v>0</v>
      </c>
      <c r="N497" s="3">
        <v>0</v>
      </c>
      <c r="O497" s="3">
        <v>0</v>
      </c>
      <c r="P497" s="3">
        <v>0</v>
      </c>
      <c r="Q497" s="3">
        <v>0</v>
      </c>
      <c r="R497" s="3">
        <v>0</v>
      </c>
      <c r="S497" s="67"/>
      <c r="T497">
        <f>VLOOKUP(A497,'Groupe de branches'!$Z$27:$AM$86,14,FALSE)</f>
        <v>0</v>
      </c>
      <c r="U497">
        <f>VLOOKUP(D497,'Groupe de branches'!$Z$27:$AM$86,14,FALSE)</f>
        <v>0</v>
      </c>
      <c r="V497">
        <v>2017</v>
      </c>
      <c r="W497" t="str">
        <f>VLOOKUP(D497,'Table corresp.'!$M$4:$S$63,7,FALSE)</f>
        <v>Emballage bois et carton</v>
      </c>
      <c r="X497" s="167">
        <f>IFERROR(G497/SUMIFS('Comp2016-2017 (3)'!$I$5:$I$289,'Comp2016-2017 (3)'!$A$5:$A$289,A497,'Comp2016-2017 (3)'!$R$5:$R$289,V497),0)</f>
        <v>0.12468599890932763</v>
      </c>
      <c r="Y497" s="190">
        <f>IFERROR(IF(RIGHT(F497,3)="Exp",VLOOKUP(F497,#REF!,2,FALSE),VLOOKUP(F497,#REF!,9,FALSE)),1)</f>
        <v>1</v>
      </c>
      <c r="Z497" s="167">
        <f t="shared" si="58"/>
        <v>4.5454545454545456E-2</v>
      </c>
      <c r="AA497" s="189">
        <f t="shared" si="57"/>
        <v>5.6675454049694377E-3</v>
      </c>
      <c r="AB497" s="2">
        <f>IFERROR(SUMIFS('Comp2016-2017 (3)'!$G$5:$G$289,'Comp2016-2017 (3)'!$A$5:$A$289,A497,'Comp2016-2017 (3)'!$R$5:$R$289,V497)*AA497/SUMIFS($AA$4:$AA$1116,$A$4:$A$1116,A497,$V$4:$V$1116,V497),0)</f>
        <v>21444.380974007065</v>
      </c>
      <c r="AC497" s="2" t="str">
        <f>IF($W497=AC$3,$AB497,IF(NOT($W497=0),"",SUMIFS('Val-Vol (2)'!AC$4:AC$1116,'Val-Vol (2)'!$A$4:$A$1116,$D497,'Val-Vol (2)'!$V$4:$V$1116,$V497)/SUMIFS('Comp2016-2017 (3)'!$G$5:$G$289,'Comp2016-2017 (3)'!$A$5:$A$289,$D497,'Comp2016-2017 (3)'!$R$5:$R$289,$V497)*$AB497))</f>
        <v/>
      </c>
      <c r="AD497" s="2" t="str">
        <f>IF($W497=AD$3,$AB497,IF(NOT($W497=0),"",SUMIFS('Val-Vol (2)'!AD$4:AD$1116,'Val-Vol (2)'!$A$4:$A$1116,$D497,'Val-Vol (2)'!$V$4:$V$1116,$V497)/SUMIFS('Comp2016-2017 (3)'!$G$5:$G$289,'Comp2016-2017 (3)'!$A$5:$A$289,$D497,'Comp2016-2017 (3)'!$R$5:$R$289,$V497)*$AB497))</f>
        <v/>
      </c>
      <c r="AE497" s="2" t="str">
        <f>IF($W497=AE$3,$AB497,IF(NOT($W497=0),"",SUMIFS('Val-Vol (2)'!AE$4:AE$1116,'Val-Vol (2)'!$A$4:$A$1116,$D497,'Val-Vol (2)'!$V$4:$V$1116,$V497)/SUMIFS('Comp2016-2017 (3)'!$G$5:$G$289,'Comp2016-2017 (3)'!$A$5:$A$289,$D497,'Comp2016-2017 (3)'!$R$5:$R$289,$V497)*$AB497))</f>
        <v/>
      </c>
      <c r="AF497" s="2" t="str">
        <f>IF($W497=AF$3,$AB497,IF(NOT($W497=0),"",SUMIFS('Val-Vol (2)'!AF$4:AF$1116,'Val-Vol (2)'!$A$4:$A$1116,$D497,'Val-Vol (2)'!$V$4:$V$1116,$V497)/SUMIFS('Comp2016-2017 (3)'!$G$5:$G$289,'Comp2016-2017 (3)'!$A$5:$A$289,$D497,'Comp2016-2017 (3)'!$R$5:$R$289,$V497)*$AB497))</f>
        <v/>
      </c>
      <c r="AG497" s="2">
        <f>IF($W497=AG$3,$AB497,IF(NOT($W497=0),"",SUMIFS('Val-Vol (2)'!AG$4:AG$1116,'Val-Vol (2)'!$A$4:$A$1116,$D497,'Val-Vol (2)'!$V$4:$V$1116,$V497)/SUMIFS('Comp2016-2017 (3)'!$G$5:$G$289,'Comp2016-2017 (3)'!$A$5:$A$289,$D497,'Comp2016-2017 (3)'!$R$5:$R$289,$V497)*$AB497))</f>
        <v>21444.380974007065</v>
      </c>
      <c r="AH497" s="2" t="str">
        <f>IF($W497=AH$3,$AB497,IF(NOT($W497=0),"",SUMIFS('Val-Vol (2)'!AH$4:AH$1116,'Val-Vol (2)'!$A$4:$A$1116,$D497,'Val-Vol (2)'!$V$4:$V$1116,$V497)/SUMIFS('Comp2016-2017 (3)'!$G$5:$G$289,'Comp2016-2017 (3)'!$A$5:$A$289,$D497,'Comp2016-2017 (3)'!$R$5:$R$289,$V497)*$AB497))</f>
        <v/>
      </c>
      <c r="AI497" s="2" t="str">
        <f>IF($W497=AI$3,$AB497,IF(NOT($W497=0),"",SUMIFS('Val-Vol (2)'!AI$4:AI$1116,'Val-Vol (2)'!$A$4:$A$1116,$D497,'Val-Vol (2)'!$V$4:$V$1116,$V497)/SUMIFS('Comp2016-2017 (3)'!$G$5:$G$289,'Comp2016-2017 (3)'!$A$5:$A$289,$D497,'Comp2016-2017 (3)'!$R$5:$R$289,$V497)*$AB497))</f>
        <v/>
      </c>
      <c r="AJ497" s="2" t="str">
        <f>IF($W497=AJ$3,$AB497,IF(NOT($W497=0),"",SUMIFS('Val-Vol (2)'!AJ$4:AJ$1116,'Val-Vol (2)'!$A$4:$A$1116,$D497,'Val-Vol (2)'!$V$4:$V$1116,$V497)/SUMIFS('Comp2016-2017 (3)'!$G$5:$G$289,'Comp2016-2017 (3)'!$A$5:$A$289,$D497,'Comp2016-2017 (3)'!$R$5:$R$289,$V497)*$AB497))</f>
        <v/>
      </c>
      <c r="AK497" s="2">
        <f t="shared" si="54"/>
        <v>0</v>
      </c>
      <c r="AL497" t="str">
        <f t="shared" si="56"/>
        <v/>
      </c>
      <c r="AM497" t="str">
        <f>VLOOKUP(A497,'Table corresp.'!$M$4:$U$63,8,FALSE)</f>
        <v>Production intermédiaire</v>
      </c>
      <c r="AN497" t="str">
        <f>VLOOKUP(D497,'Table corresp.'!$M$4:$U$63,9,FALSE)</f>
        <v>Production finale</v>
      </c>
    </row>
    <row r="498" spans="1:40" x14ac:dyDescent="0.25">
      <c r="A498" t="s">
        <v>7</v>
      </c>
      <c r="B498" t="str">
        <f>VLOOKUP(LEFT(A498,3),'Table corresp.'!$A$4:$D$63,3,FALSE)</f>
        <v>Transformation</v>
      </c>
      <c r="C498" t="str">
        <f>VLOOKUP(A498,'Table corresp.'!$M$4:$P$63,4,FALSE)</f>
        <v>Production et transformation de produits bois</v>
      </c>
      <c r="D498" t="s">
        <v>18</v>
      </c>
      <c r="E498" t="str">
        <f>VLOOKUP(LEFT(D498,3),'Table corresp.'!$A$4:$D$63,4,FALSE)</f>
        <v>Transformation</v>
      </c>
      <c r="F498" t="str">
        <f t="shared" si="55"/>
        <v xml:space="preserve">12  - 39 </v>
      </c>
      <c r="G498" s="3">
        <v>1596.4099132879242</v>
      </c>
      <c r="H498" s="3">
        <v>0</v>
      </c>
      <c r="I498" s="3">
        <v>1596.4099344518152</v>
      </c>
      <c r="J498" s="3">
        <v>20.079206125186072</v>
      </c>
      <c r="K498" s="3">
        <v>0</v>
      </c>
      <c r="L498" s="3">
        <v>20.079206125186072</v>
      </c>
      <c r="M498" s="3">
        <v>0</v>
      </c>
      <c r="N498" s="3">
        <v>0</v>
      </c>
      <c r="O498" s="3">
        <v>0</v>
      </c>
      <c r="P498" s="3">
        <v>0</v>
      </c>
      <c r="Q498" s="3">
        <v>0</v>
      </c>
      <c r="R498" s="3">
        <v>0</v>
      </c>
      <c r="S498" s="67"/>
      <c r="T498">
        <f>VLOOKUP(A498,'Groupe de branches'!$Z$27:$AM$86,14,FALSE)</f>
        <v>0</v>
      </c>
      <c r="U498">
        <f>VLOOKUP(D498,'Groupe de branches'!$Z$27:$AM$86,14,FALSE)</f>
        <v>0</v>
      </c>
      <c r="V498">
        <v>2017</v>
      </c>
      <c r="W498" t="str">
        <f>VLOOKUP(D498,'Table corresp.'!$M$4:$S$63,7,FALSE)</f>
        <v>Construction</v>
      </c>
      <c r="X498" s="167">
        <f>IFERROR(G498/SUMIFS('Comp2016-2017 (3)'!$I$5:$I$289,'Comp2016-2017 (3)'!$A$5:$A$289,A498,'Comp2016-2017 (3)'!$R$5:$R$289,V498),0)</f>
        <v>2.2269250756621092E-3</v>
      </c>
      <c r="Y498" s="190">
        <f>IFERROR(IF(RIGHT(F498,3)="Exp",VLOOKUP(F498,#REF!,2,FALSE),VLOOKUP(F498,#REF!,9,FALSE)),1)</f>
        <v>1</v>
      </c>
      <c r="Z498" s="167">
        <f t="shared" si="58"/>
        <v>4.5454545454545456E-2</v>
      </c>
      <c r="AA498" s="189">
        <f t="shared" si="57"/>
        <v>1.0122386707555043E-4</v>
      </c>
      <c r="AB498" s="2">
        <f>IFERROR(SUMIFS('Comp2016-2017 (3)'!$G$5:$G$289,'Comp2016-2017 (3)'!$A$5:$A$289,A498,'Comp2016-2017 (3)'!$R$5:$R$289,V498)*AA498/SUMIFS($AA$4:$AA$1116,$A$4:$A$1116,A498,$V$4:$V$1116,V498),0)</f>
        <v>383.00234301202903</v>
      </c>
      <c r="AC498" s="2" t="str">
        <f>IF($W498=AC$3,$AB498,IF(NOT($W498=0),"",SUMIFS('Val-Vol (2)'!AC$4:AC$1116,'Val-Vol (2)'!$A$4:$A$1116,$D498,'Val-Vol (2)'!$V$4:$V$1116,$V498)/SUMIFS('Comp2016-2017 (3)'!$G$5:$G$289,'Comp2016-2017 (3)'!$A$5:$A$289,$D498,'Comp2016-2017 (3)'!$R$5:$R$289,$V498)*$AB498))</f>
        <v/>
      </c>
      <c r="AD498" s="2">
        <f>IF($W498=AD$3,$AB498,IF(NOT($W498=0),"",SUMIFS('Val-Vol (2)'!AD$4:AD$1116,'Val-Vol (2)'!$A$4:$A$1116,$D498,'Val-Vol (2)'!$V$4:$V$1116,$V498)/SUMIFS('Comp2016-2017 (3)'!$G$5:$G$289,'Comp2016-2017 (3)'!$A$5:$A$289,$D498,'Comp2016-2017 (3)'!$R$5:$R$289,$V498)*$AB498))</f>
        <v>383.00234301202903</v>
      </c>
      <c r="AE498" s="2" t="str">
        <f>IF($W498=AE$3,$AB498,IF(NOT($W498=0),"",SUMIFS('Val-Vol (2)'!AE$4:AE$1116,'Val-Vol (2)'!$A$4:$A$1116,$D498,'Val-Vol (2)'!$V$4:$V$1116,$V498)/SUMIFS('Comp2016-2017 (3)'!$G$5:$G$289,'Comp2016-2017 (3)'!$A$5:$A$289,$D498,'Comp2016-2017 (3)'!$R$5:$R$289,$V498)*$AB498))</f>
        <v/>
      </c>
      <c r="AF498" s="2" t="str">
        <f>IF($W498=AF$3,$AB498,IF(NOT($W498=0),"",SUMIFS('Val-Vol (2)'!AF$4:AF$1116,'Val-Vol (2)'!$A$4:$A$1116,$D498,'Val-Vol (2)'!$V$4:$V$1116,$V498)/SUMIFS('Comp2016-2017 (3)'!$G$5:$G$289,'Comp2016-2017 (3)'!$A$5:$A$289,$D498,'Comp2016-2017 (3)'!$R$5:$R$289,$V498)*$AB498))</f>
        <v/>
      </c>
      <c r="AG498" s="2" t="str">
        <f>IF($W498=AG$3,$AB498,IF(NOT($W498=0),"",SUMIFS('Val-Vol (2)'!AG$4:AG$1116,'Val-Vol (2)'!$A$4:$A$1116,$D498,'Val-Vol (2)'!$V$4:$V$1116,$V498)/SUMIFS('Comp2016-2017 (3)'!$G$5:$G$289,'Comp2016-2017 (3)'!$A$5:$A$289,$D498,'Comp2016-2017 (3)'!$R$5:$R$289,$V498)*$AB498))</f>
        <v/>
      </c>
      <c r="AH498" s="2" t="str">
        <f>IF($W498=AH$3,$AB498,IF(NOT($W498=0),"",SUMIFS('Val-Vol (2)'!AH$4:AH$1116,'Val-Vol (2)'!$A$4:$A$1116,$D498,'Val-Vol (2)'!$V$4:$V$1116,$V498)/SUMIFS('Comp2016-2017 (3)'!$G$5:$G$289,'Comp2016-2017 (3)'!$A$5:$A$289,$D498,'Comp2016-2017 (3)'!$R$5:$R$289,$V498)*$AB498))</f>
        <v/>
      </c>
      <c r="AI498" s="2" t="str">
        <f>IF($W498=AI$3,$AB498,IF(NOT($W498=0),"",SUMIFS('Val-Vol (2)'!AI$4:AI$1116,'Val-Vol (2)'!$A$4:$A$1116,$D498,'Val-Vol (2)'!$V$4:$V$1116,$V498)/SUMIFS('Comp2016-2017 (3)'!$G$5:$G$289,'Comp2016-2017 (3)'!$A$5:$A$289,$D498,'Comp2016-2017 (3)'!$R$5:$R$289,$V498)*$AB498))</f>
        <v/>
      </c>
      <c r="AJ498" s="2" t="str">
        <f>IF($W498=AJ$3,$AB498,IF(NOT($W498=0),"",SUMIFS('Val-Vol (2)'!AJ$4:AJ$1116,'Val-Vol (2)'!$A$4:$A$1116,$D498,'Val-Vol (2)'!$V$4:$V$1116,$V498)/SUMIFS('Comp2016-2017 (3)'!$G$5:$G$289,'Comp2016-2017 (3)'!$A$5:$A$289,$D498,'Comp2016-2017 (3)'!$R$5:$R$289,$V498)*$AB498))</f>
        <v/>
      </c>
      <c r="AK498" s="2">
        <f t="shared" si="54"/>
        <v>0</v>
      </c>
      <c r="AL498" t="str">
        <f t="shared" si="56"/>
        <v/>
      </c>
      <c r="AM498" t="str">
        <f>VLOOKUP(A498,'Table corresp.'!$M$4:$U$63,8,FALSE)</f>
        <v>Production intermédiaire</v>
      </c>
      <c r="AN498" t="str">
        <f>VLOOKUP(D498,'Table corresp.'!$M$4:$U$63,9,FALSE)</f>
        <v>Production finale</v>
      </c>
    </row>
    <row r="499" spans="1:40" x14ac:dyDescent="0.25">
      <c r="A499" t="s">
        <v>7</v>
      </c>
      <c r="B499" t="str">
        <f>VLOOKUP(LEFT(A499,3),'Table corresp.'!$A$4:$D$63,3,FALSE)</f>
        <v>Transformation</v>
      </c>
      <c r="C499" t="str">
        <f>VLOOKUP(A499,'Table corresp.'!$M$4:$P$63,4,FALSE)</f>
        <v>Production et transformation de produits bois</v>
      </c>
      <c r="D499" t="s">
        <v>92</v>
      </c>
      <c r="E499" t="str">
        <f>VLOOKUP(LEFT(D499,3),'Table corresp.'!$A$4:$D$63,4,FALSE)</f>
        <v>Transformation</v>
      </c>
      <c r="F499" t="str">
        <f t="shared" si="55"/>
        <v xml:space="preserve">12  - 40 </v>
      </c>
      <c r="G499" s="3">
        <v>458.85301211705365</v>
      </c>
      <c r="H499" s="3">
        <v>0</v>
      </c>
      <c r="I499" s="3">
        <v>458.8530182001499</v>
      </c>
      <c r="J499" s="3">
        <v>4.0399291524941701</v>
      </c>
      <c r="K499" s="3">
        <v>0</v>
      </c>
      <c r="L499" s="3">
        <v>4.0399291524941701</v>
      </c>
      <c r="M499" s="3">
        <v>0</v>
      </c>
      <c r="N499" s="3">
        <v>0</v>
      </c>
      <c r="O499" s="3">
        <v>0</v>
      </c>
      <c r="P499" s="3">
        <v>0</v>
      </c>
      <c r="Q499" s="3">
        <v>0</v>
      </c>
      <c r="R499" s="3">
        <v>0</v>
      </c>
      <c r="S499" s="67"/>
      <c r="T499">
        <f>VLOOKUP(A499,'Groupe de branches'!$Z$27:$AM$86,14,FALSE)</f>
        <v>0</v>
      </c>
      <c r="U499">
        <f>VLOOKUP(D499,'Groupe de branches'!$Z$27:$AM$86,14,FALSE)</f>
        <v>0</v>
      </c>
      <c r="V499">
        <v>2017</v>
      </c>
      <c r="W499" t="str">
        <f>VLOOKUP(D499,'Table corresp.'!$M$4:$S$63,7,FALSE)</f>
        <v>Construction</v>
      </c>
      <c r="X499" s="167">
        <f>IFERROR(G499/SUMIFS('Comp2016-2017 (3)'!$I$5:$I$289,'Comp2016-2017 (3)'!$A$5:$A$289,A499,'Comp2016-2017 (3)'!$R$5:$R$289,V499),0)</f>
        <v>6.4008076511002071E-4</v>
      </c>
      <c r="Y499" s="190">
        <f>IFERROR(IF(RIGHT(F499,3)="Exp",VLOOKUP(F499,#REF!,2,FALSE),VLOOKUP(F499,#REF!,9,FALSE)),1)</f>
        <v>1</v>
      </c>
      <c r="Z499" s="167">
        <f t="shared" si="58"/>
        <v>4.5454545454545456E-2</v>
      </c>
      <c r="AA499" s="189">
        <f t="shared" si="57"/>
        <v>2.9094580232273669E-5</v>
      </c>
      <c r="AB499" s="2">
        <f>IFERROR(SUMIFS('Comp2016-2017 (3)'!$G$5:$G$289,'Comp2016-2017 (3)'!$A$5:$A$289,A499,'Comp2016-2017 (3)'!$R$5:$R$289,V499)*AA499/SUMIFS($AA$4:$AA$1116,$A$4:$A$1116,A499,$V$4:$V$1116,V499),0)</f>
        <v>110.08562229296442</v>
      </c>
      <c r="AC499" s="2" t="str">
        <f>IF($W499=AC$3,$AB499,IF(NOT($W499=0),"",SUMIFS('Val-Vol (2)'!AC$4:AC$1116,'Val-Vol (2)'!$A$4:$A$1116,$D499,'Val-Vol (2)'!$V$4:$V$1116,$V499)/SUMIFS('Comp2016-2017 (3)'!$G$5:$G$289,'Comp2016-2017 (3)'!$A$5:$A$289,$D499,'Comp2016-2017 (3)'!$R$5:$R$289,$V499)*$AB499))</f>
        <v/>
      </c>
      <c r="AD499" s="2">
        <f>IF($W499=AD$3,$AB499,IF(NOT($W499=0),"",SUMIFS('Val-Vol (2)'!AD$4:AD$1116,'Val-Vol (2)'!$A$4:$A$1116,$D499,'Val-Vol (2)'!$V$4:$V$1116,$V499)/SUMIFS('Comp2016-2017 (3)'!$G$5:$G$289,'Comp2016-2017 (3)'!$A$5:$A$289,$D499,'Comp2016-2017 (3)'!$R$5:$R$289,$V499)*$AB499))</f>
        <v>110.08562229296442</v>
      </c>
      <c r="AE499" s="2" t="str">
        <f>IF($W499=AE$3,$AB499,IF(NOT($W499=0),"",SUMIFS('Val-Vol (2)'!AE$4:AE$1116,'Val-Vol (2)'!$A$4:$A$1116,$D499,'Val-Vol (2)'!$V$4:$V$1116,$V499)/SUMIFS('Comp2016-2017 (3)'!$G$5:$G$289,'Comp2016-2017 (3)'!$A$5:$A$289,$D499,'Comp2016-2017 (3)'!$R$5:$R$289,$V499)*$AB499))</f>
        <v/>
      </c>
      <c r="AF499" s="2" t="str">
        <f>IF($W499=AF$3,$AB499,IF(NOT($W499=0),"",SUMIFS('Val-Vol (2)'!AF$4:AF$1116,'Val-Vol (2)'!$A$4:$A$1116,$D499,'Val-Vol (2)'!$V$4:$V$1116,$V499)/SUMIFS('Comp2016-2017 (3)'!$G$5:$G$289,'Comp2016-2017 (3)'!$A$5:$A$289,$D499,'Comp2016-2017 (3)'!$R$5:$R$289,$V499)*$AB499))</f>
        <v/>
      </c>
      <c r="AG499" s="2" t="str">
        <f>IF($W499=AG$3,$AB499,IF(NOT($W499=0),"",SUMIFS('Val-Vol (2)'!AG$4:AG$1116,'Val-Vol (2)'!$A$4:$A$1116,$D499,'Val-Vol (2)'!$V$4:$V$1116,$V499)/SUMIFS('Comp2016-2017 (3)'!$G$5:$G$289,'Comp2016-2017 (3)'!$A$5:$A$289,$D499,'Comp2016-2017 (3)'!$R$5:$R$289,$V499)*$AB499))</f>
        <v/>
      </c>
      <c r="AH499" s="2" t="str">
        <f>IF($W499=AH$3,$AB499,IF(NOT($W499=0),"",SUMIFS('Val-Vol (2)'!AH$4:AH$1116,'Val-Vol (2)'!$A$4:$A$1116,$D499,'Val-Vol (2)'!$V$4:$V$1116,$V499)/SUMIFS('Comp2016-2017 (3)'!$G$5:$G$289,'Comp2016-2017 (3)'!$A$5:$A$289,$D499,'Comp2016-2017 (3)'!$R$5:$R$289,$V499)*$AB499))</f>
        <v/>
      </c>
      <c r="AI499" s="2" t="str">
        <f>IF($W499=AI$3,$AB499,IF(NOT($W499=0),"",SUMIFS('Val-Vol (2)'!AI$4:AI$1116,'Val-Vol (2)'!$A$4:$A$1116,$D499,'Val-Vol (2)'!$V$4:$V$1116,$V499)/SUMIFS('Comp2016-2017 (3)'!$G$5:$G$289,'Comp2016-2017 (3)'!$A$5:$A$289,$D499,'Comp2016-2017 (3)'!$R$5:$R$289,$V499)*$AB499))</f>
        <v/>
      </c>
      <c r="AJ499" s="2" t="str">
        <f>IF($W499=AJ$3,$AB499,IF(NOT($W499=0),"",SUMIFS('Val-Vol (2)'!AJ$4:AJ$1116,'Val-Vol (2)'!$A$4:$A$1116,$D499,'Val-Vol (2)'!$V$4:$V$1116,$V499)/SUMIFS('Comp2016-2017 (3)'!$G$5:$G$289,'Comp2016-2017 (3)'!$A$5:$A$289,$D499,'Comp2016-2017 (3)'!$R$5:$R$289,$V499)*$AB499))</f>
        <v/>
      </c>
      <c r="AK499" s="2">
        <f t="shared" si="54"/>
        <v>0</v>
      </c>
      <c r="AL499" t="str">
        <f t="shared" si="56"/>
        <v/>
      </c>
      <c r="AM499" t="str">
        <f>VLOOKUP(A499,'Table corresp.'!$M$4:$U$63,8,FALSE)</f>
        <v>Production intermédiaire</v>
      </c>
      <c r="AN499" t="str">
        <f>VLOOKUP(D499,'Table corresp.'!$M$4:$U$63,9,FALSE)</f>
        <v>Production finale</v>
      </c>
    </row>
    <row r="500" spans="1:40" x14ac:dyDescent="0.25">
      <c r="A500" t="s">
        <v>7</v>
      </c>
      <c r="B500" t="str">
        <f>VLOOKUP(LEFT(A500,3),'Table corresp.'!$A$4:$D$63,3,FALSE)</f>
        <v>Transformation</v>
      </c>
      <c r="C500" t="str">
        <f>VLOOKUP(A500,'Table corresp.'!$M$4:$P$63,4,FALSE)</f>
        <v>Production et transformation de produits bois</v>
      </c>
      <c r="D500" t="s">
        <v>93</v>
      </c>
      <c r="E500" t="str">
        <f>VLOOKUP(LEFT(D500,3),'Table corresp.'!$A$4:$D$63,4,FALSE)</f>
        <v>Transformation</v>
      </c>
      <c r="F500" t="str">
        <f t="shared" si="55"/>
        <v xml:space="preserve">12  - 41 </v>
      </c>
      <c r="G500" s="3">
        <v>15257.847915701224</v>
      </c>
      <c r="H500" s="3">
        <v>0</v>
      </c>
      <c r="I500" s="3">
        <v>15257.848117977235</v>
      </c>
      <c r="J500" s="3">
        <v>107.46905518098984</v>
      </c>
      <c r="K500" s="3">
        <v>0</v>
      </c>
      <c r="L500" s="3">
        <v>107.46905518098984</v>
      </c>
      <c r="M500" s="3">
        <v>0</v>
      </c>
      <c r="N500" s="3">
        <v>0</v>
      </c>
      <c r="O500" s="3">
        <v>0</v>
      </c>
      <c r="P500" s="3">
        <v>0</v>
      </c>
      <c r="Q500" s="3">
        <v>0</v>
      </c>
      <c r="R500" s="3">
        <v>0</v>
      </c>
      <c r="S500" s="67"/>
      <c r="T500">
        <f>VLOOKUP(A500,'Groupe de branches'!$Z$27:$AM$86,14,FALSE)</f>
        <v>0</v>
      </c>
      <c r="U500">
        <f>VLOOKUP(D500,'Groupe de branches'!$Z$27:$AM$86,14,FALSE)</f>
        <v>0</v>
      </c>
      <c r="V500">
        <v>2017</v>
      </c>
      <c r="W500" t="str">
        <f>VLOOKUP(D500,'Table corresp.'!$M$4:$S$63,7,FALSE)</f>
        <v>Produits de consommation courante</v>
      </c>
      <c r="X500" s="167">
        <f>IFERROR(G500/SUMIFS('Comp2016-2017 (3)'!$I$5:$I$289,'Comp2016-2017 (3)'!$A$5:$A$289,A500,'Comp2016-2017 (3)'!$R$5:$R$289,V500),0)</f>
        <v>2.1284059840328558E-2</v>
      </c>
      <c r="Y500" s="190">
        <f>IFERROR(IF(RIGHT(F500,3)="Exp",VLOOKUP(F500,#REF!,2,FALSE),VLOOKUP(F500,#REF!,9,FALSE)),1)</f>
        <v>1</v>
      </c>
      <c r="Z500" s="167">
        <f t="shared" si="58"/>
        <v>4.5454545454545456E-2</v>
      </c>
      <c r="AA500" s="189">
        <f t="shared" si="57"/>
        <v>9.6745726546947997E-4</v>
      </c>
      <c r="AB500" s="2">
        <f>IFERROR(SUMIFS('Comp2016-2017 (3)'!$G$5:$G$289,'Comp2016-2017 (3)'!$A$5:$A$289,A500,'Comp2016-2017 (3)'!$R$5:$R$289,V500)*AA500/SUMIFS($AA$4:$AA$1116,$A$4:$A$1116,A500,$V$4:$V$1116,V500),0)</f>
        <v>3660.5833203572706</v>
      </c>
      <c r="AC500" s="2" t="str">
        <f>IF($W500=AC$3,$AB500,IF(NOT($W500=0),"",SUMIFS('Val-Vol (2)'!AC$4:AC$1116,'Val-Vol (2)'!$A$4:$A$1116,$D500,'Val-Vol (2)'!$V$4:$V$1116,$V500)/SUMIFS('Comp2016-2017 (3)'!$G$5:$G$289,'Comp2016-2017 (3)'!$A$5:$A$289,$D500,'Comp2016-2017 (3)'!$R$5:$R$289,$V500)*$AB500))</f>
        <v/>
      </c>
      <c r="AD500" s="2" t="str">
        <f>IF($W500=AD$3,$AB500,IF(NOT($W500=0),"",SUMIFS('Val-Vol (2)'!AD$4:AD$1116,'Val-Vol (2)'!$A$4:$A$1116,$D500,'Val-Vol (2)'!$V$4:$V$1116,$V500)/SUMIFS('Comp2016-2017 (3)'!$G$5:$G$289,'Comp2016-2017 (3)'!$A$5:$A$289,$D500,'Comp2016-2017 (3)'!$R$5:$R$289,$V500)*$AB500))</f>
        <v/>
      </c>
      <c r="AE500" s="2" t="str">
        <f>IF($W500=AE$3,$AB500,IF(NOT($W500=0),"",SUMIFS('Val-Vol (2)'!AE$4:AE$1116,'Val-Vol (2)'!$A$4:$A$1116,$D500,'Val-Vol (2)'!$V$4:$V$1116,$V500)/SUMIFS('Comp2016-2017 (3)'!$G$5:$G$289,'Comp2016-2017 (3)'!$A$5:$A$289,$D500,'Comp2016-2017 (3)'!$R$5:$R$289,$V500)*$AB500))</f>
        <v/>
      </c>
      <c r="AF500" s="2" t="str">
        <f>IF($W500=AF$3,$AB500,IF(NOT($W500=0),"",SUMIFS('Val-Vol (2)'!AF$4:AF$1116,'Val-Vol (2)'!$A$4:$A$1116,$D500,'Val-Vol (2)'!$V$4:$V$1116,$V500)/SUMIFS('Comp2016-2017 (3)'!$G$5:$G$289,'Comp2016-2017 (3)'!$A$5:$A$289,$D500,'Comp2016-2017 (3)'!$R$5:$R$289,$V500)*$AB500))</f>
        <v/>
      </c>
      <c r="AG500" s="2" t="str">
        <f>IF($W500=AG$3,$AB500,IF(NOT($W500=0),"",SUMIFS('Val-Vol (2)'!AG$4:AG$1116,'Val-Vol (2)'!$A$4:$A$1116,$D500,'Val-Vol (2)'!$V$4:$V$1116,$V500)/SUMIFS('Comp2016-2017 (3)'!$G$5:$G$289,'Comp2016-2017 (3)'!$A$5:$A$289,$D500,'Comp2016-2017 (3)'!$R$5:$R$289,$V500)*$AB500))</f>
        <v/>
      </c>
      <c r="AH500" s="2" t="str">
        <f>IF($W500=AH$3,$AB500,IF(NOT($W500=0),"",SUMIFS('Val-Vol (2)'!AH$4:AH$1116,'Val-Vol (2)'!$A$4:$A$1116,$D500,'Val-Vol (2)'!$V$4:$V$1116,$V500)/SUMIFS('Comp2016-2017 (3)'!$G$5:$G$289,'Comp2016-2017 (3)'!$A$5:$A$289,$D500,'Comp2016-2017 (3)'!$R$5:$R$289,$V500)*$AB500))</f>
        <v/>
      </c>
      <c r="AI500" s="2">
        <f>IF($W500=AI$3,$AB500,IF(NOT($W500=0),"",SUMIFS('Val-Vol (2)'!AI$4:AI$1116,'Val-Vol (2)'!$A$4:$A$1116,$D500,'Val-Vol (2)'!$V$4:$V$1116,$V500)/SUMIFS('Comp2016-2017 (3)'!$G$5:$G$289,'Comp2016-2017 (3)'!$A$5:$A$289,$D500,'Comp2016-2017 (3)'!$R$5:$R$289,$V500)*$AB500))</f>
        <v>3660.5833203572706</v>
      </c>
      <c r="AJ500" s="2" t="str">
        <f>IF($W500=AJ$3,$AB500,IF(NOT($W500=0),"",SUMIFS('Val-Vol (2)'!AJ$4:AJ$1116,'Val-Vol (2)'!$A$4:$A$1116,$D500,'Val-Vol (2)'!$V$4:$V$1116,$V500)/SUMIFS('Comp2016-2017 (3)'!$G$5:$G$289,'Comp2016-2017 (3)'!$A$5:$A$289,$D500,'Comp2016-2017 (3)'!$R$5:$R$289,$V500)*$AB500))</f>
        <v/>
      </c>
      <c r="AK500" s="2">
        <f t="shared" si="54"/>
        <v>0</v>
      </c>
      <c r="AL500" t="str">
        <f t="shared" si="56"/>
        <v/>
      </c>
      <c r="AM500" t="str">
        <f>VLOOKUP(A500,'Table corresp.'!$M$4:$U$63,8,FALSE)</f>
        <v>Production intermédiaire</v>
      </c>
      <c r="AN500" t="str">
        <f>VLOOKUP(D500,'Table corresp.'!$M$4:$U$63,9,FALSE)</f>
        <v>Production finale</v>
      </c>
    </row>
    <row r="501" spans="1:40" x14ac:dyDescent="0.25">
      <c r="A501" t="s">
        <v>7</v>
      </c>
      <c r="B501" t="str">
        <f>VLOOKUP(LEFT(A501,3),'Table corresp.'!$A$4:$D$63,3,FALSE)</f>
        <v>Transformation</v>
      </c>
      <c r="C501" t="str">
        <f>VLOOKUP(A501,'Table corresp.'!$M$4:$P$63,4,FALSE)</f>
        <v>Production et transformation de produits bois</v>
      </c>
      <c r="D501" t="s">
        <v>99</v>
      </c>
      <c r="E501" t="str">
        <f>VLOOKUP(LEFT(D501,3),'Table corresp.'!$A$4:$D$63,4,FALSE)</f>
        <v>Transformation</v>
      </c>
      <c r="F501" t="str">
        <f t="shared" si="55"/>
        <v xml:space="preserve">12  - 47 </v>
      </c>
      <c r="G501" s="3">
        <v>13846.553276551875</v>
      </c>
      <c r="H501" s="3">
        <v>5481.7286618077833</v>
      </c>
      <c r="I501" s="3">
        <v>19328.282195457363</v>
      </c>
      <c r="J501" s="3">
        <v>81.273803398629539</v>
      </c>
      <c r="K501" s="3">
        <v>35.206770072208734</v>
      </c>
      <c r="L501" s="3">
        <v>116.48057347083827</v>
      </c>
      <c r="M501" s="3">
        <v>0</v>
      </c>
      <c r="N501" s="3">
        <v>0</v>
      </c>
      <c r="O501" s="3">
        <v>0</v>
      </c>
      <c r="P501" s="3">
        <v>0</v>
      </c>
      <c r="Q501" s="3">
        <v>0</v>
      </c>
      <c r="R501" s="3">
        <v>0</v>
      </c>
      <c r="S501" s="67"/>
      <c r="T501">
        <f>VLOOKUP(A501,'Groupe de branches'!$Z$27:$AM$86,14,FALSE)</f>
        <v>0</v>
      </c>
      <c r="U501">
        <f>VLOOKUP(D501,'Groupe de branches'!$Z$27:$AM$86,14,FALSE)</f>
        <v>0</v>
      </c>
      <c r="V501">
        <v>2017</v>
      </c>
      <c r="W501" t="str">
        <f>VLOOKUP(D501,'Table corresp.'!$M$4:$S$63,7,FALSE)</f>
        <v>Meuble</v>
      </c>
      <c r="X501" s="167">
        <f>IFERROR(G501/SUMIFS('Comp2016-2017 (3)'!$I$5:$I$289,'Comp2016-2017 (3)'!$A$5:$A$289,A501,'Comp2016-2017 (3)'!$R$5:$R$289,V501),0)</f>
        <v>1.9315362831553242E-2</v>
      </c>
      <c r="Y501" s="190">
        <f>IFERROR(IF(RIGHT(F501,3)="Exp",VLOOKUP(F501,#REF!,2,FALSE),VLOOKUP(F501,#REF!,9,FALSE)),1)</f>
        <v>1</v>
      </c>
      <c r="Z501" s="167">
        <f t="shared" si="58"/>
        <v>4.5454545454545456E-2</v>
      </c>
      <c r="AA501" s="189">
        <f t="shared" si="57"/>
        <v>8.7797103779787471E-4</v>
      </c>
      <c r="AB501" s="2">
        <f>IFERROR(SUMIFS('Comp2016-2017 (3)'!$G$5:$G$289,'Comp2016-2017 (3)'!$A$5:$A$289,A501,'Comp2016-2017 (3)'!$R$5:$R$289,V501)*AA501/SUMIFS($AA$4:$AA$1116,$A$4:$A$1116,A501,$V$4:$V$1116,V501),0)</f>
        <v>3321.9928687600009</v>
      </c>
      <c r="AC501" s="2" t="str">
        <f>IF($W501=AC$3,$AB501,IF(NOT($W501=0),"",SUMIFS('Val-Vol (2)'!AC$4:AC$1116,'Val-Vol (2)'!$A$4:$A$1116,$D501,'Val-Vol (2)'!$V$4:$V$1116,$V501)/SUMIFS('Comp2016-2017 (3)'!$G$5:$G$289,'Comp2016-2017 (3)'!$A$5:$A$289,$D501,'Comp2016-2017 (3)'!$R$5:$R$289,$V501)*$AB501))</f>
        <v/>
      </c>
      <c r="AD501" s="2" t="str">
        <f>IF($W501=AD$3,$AB501,IF(NOT($W501=0),"",SUMIFS('Val-Vol (2)'!AD$4:AD$1116,'Val-Vol (2)'!$A$4:$A$1116,$D501,'Val-Vol (2)'!$V$4:$V$1116,$V501)/SUMIFS('Comp2016-2017 (3)'!$G$5:$G$289,'Comp2016-2017 (3)'!$A$5:$A$289,$D501,'Comp2016-2017 (3)'!$R$5:$R$289,$V501)*$AB501))</f>
        <v/>
      </c>
      <c r="AE501" s="2">
        <f>IF($W501=AE$3,$AB501,IF(NOT($W501=0),"",SUMIFS('Val-Vol (2)'!AE$4:AE$1116,'Val-Vol (2)'!$A$4:$A$1116,$D501,'Val-Vol (2)'!$V$4:$V$1116,$V501)/SUMIFS('Comp2016-2017 (3)'!$G$5:$G$289,'Comp2016-2017 (3)'!$A$5:$A$289,$D501,'Comp2016-2017 (3)'!$R$5:$R$289,$V501)*$AB501))</f>
        <v>3321.9928687600009</v>
      </c>
      <c r="AF501" s="2" t="str">
        <f>IF($W501=AF$3,$AB501,IF(NOT($W501=0),"",SUMIFS('Val-Vol (2)'!AF$4:AF$1116,'Val-Vol (2)'!$A$4:$A$1116,$D501,'Val-Vol (2)'!$V$4:$V$1116,$V501)/SUMIFS('Comp2016-2017 (3)'!$G$5:$G$289,'Comp2016-2017 (3)'!$A$5:$A$289,$D501,'Comp2016-2017 (3)'!$R$5:$R$289,$V501)*$AB501))</f>
        <v/>
      </c>
      <c r="AG501" s="2" t="str">
        <f>IF($W501=AG$3,$AB501,IF(NOT($W501=0),"",SUMIFS('Val-Vol (2)'!AG$4:AG$1116,'Val-Vol (2)'!$A$4:$A$1116,$D501,'Val-Vol (2)'!$V$4:$V$1116,$V501)/SUMIFS('Comp2016-2017 (3)'!$G$5:$G$289,'Comp2016-2017 (3)'!$A$5:$A$289,$D501,'Comp2016-2017 (3)'!$R$5:$R$289,$V501)*$AB501))</f>
        <v/>
      </c>
      <c r="AH501" s="2" t="str">
        <f>IF($W501=AH$3,$AB501,IF(NOT($W501=0),"",SUMIFS('Val-Vol (2)'!AH$4:AH$1116,'Val-Vol (2)'!$A$4:$A$1116,$D501,'Val-Vol (2)'!$V$4:$V$1116,$V501)/SUMIFS('Comp2016-2017 (3)'!$G$5:$G$289,'Comp2016-2017 (3)'!$A$5:$A$289,$D501,'Comp2016-2017 (3)'!$R$5:$R$289,$V501)*$AB501))</f>
        <v/>
      </c>
      <c r="AI501" s="2" t="str">
        <f>IF($W501=AI$3,$AB501,IF(NOT($W501=0),"",SUMIFS('Val-Vol (2)'!AI$4:AI$1116,'Val-Vol (2)'!$A$4:$A$1116,$D501,'Val-Vol (2)'!$V$4:$V$1116,$V501)/SUMIFS('Comp2016-2017 (3)'!$G$5:$G$289,'Comp2016-2017 (3)'!$A$5:$A$289,$D501,'Comp2016-2017 (3)'!$R$5:$R$289,$V501)*$AB501))</f>
        <v/>
      </c>
      <c r="AJ501" s="2" t="str">
        <f>IF($W501=AJ$3,$AB501,IF(NOT($W501=0),"",SUMIFS('Val-Vol (2)'!AJ$4:AJ$1116,'Val-Vol (2)'!$A$4:$A$1116,$D501,'Val-Vol (2)'!$V$4:$V$1116,$V501)/SUMIFS('Comp2016-2017 (3)'!$G$5:$G$289,'Comp2016-2017 (3)'!$A$5:$A$289,$D501,'Comp2016-2017 (3)'!$R$5:$R$289,$V501)*$AB501))</f>
        <v/>
      </c>
      <c r="AK501" s="2">
        <f t="shared" si="54"/>
        <v>0</v>
      </c>
      <c r="AL501" t="str">
        <f t="shared" si="56"/>
        <v/>
      </c>
      <c r="AM501" t="str">
        <f>VLOOKUP(A501,'Table corresp.'!$M$4:$U$63,8,FALSE)</f>
        <v>Production intermédiaire</v>
      </c>
      <c r="AN501" t="str">
        <f>VLOOKUP(D501,'Table corresp.'!$M$4:$U$63,9,FALSE)</f>
        <v>Production finale</v>
      </c>
    </row>
    <row r="502" spans="1:40" x14ac:dyDescent="0.25">
      <c r="A502" t="s">
        <v>7</v>
      </c>
      <c r="B502" t="str">
        <f>VLOOKUP(LEFT(A502,3),'Table corresp.'!$A$4:$D$63,3,FALSE)</f>
        <v>Transformation</v>
      </c>
      <c r="C502" t="str">
        <f>VLOOKUP(A502,'Table corresp.'!$M$4:$P$63,4,FALSE)</f>
        <v>Production et transformation de produits bois</v>
      </c>
      <c r="D502" t="s">
        <v>100</v>
      </c>
      <c r="E502" t="str">
        <f>VLOOKUP(LEFT(D502,3),'Table corresp.'!$A$4:$D$63,4,FALSE)</f>
        <v>Transformation</v>
      </c>
      <c r="F502" t="str">
        <f t="shared" si="55"/>
        <v xml:space="preserve">12  - 48 </v>
      </c>
      <c r="G502" s="3">
        <v>7111.0676218624558</v>
      </c>
      <c r="H502" s="3">
        <v>0</v>
      </c>
      <c r="I502" s="3">
        <v>7111.0677161351487</v>
      </c>
      <c r="J502" s="3">
        <v>31.304370498052805</v>
      </c>
      <c r="K502" s="3">
        <v>0</v>
      </c>
      <c r="L502" s="3">
        <v>31.304370498052805</v>
      </c>
      <c r="M502" s="3">
        <v>0</v>
      </c>
      <c r="N502" s="3">
        <v>0</v>
      </c>
      <c r="O502" s="3">
        <v>0</v>
      </c>
      <c r="P502" s="3">
        <v>0</v>
      </c>
      <c r="Q502" s="3">
        <v>0</v>
      </c>
      <c r="R502" s="3">
        <v>0</v>
      </c>
      <c r="S502" s="67"/>
      <c r="T502">
        <f>VLOOKUP(A502,'Groupe de branches'!$Z$27:$AM$86,14,FALSE)</f>
        <v>0</v>
      </c>
      <c r="U502">
        <f>VLOOKUP(D502,'Groupe de branches'!$Z$27:$AM$86,14,FALSE)</f>
        <v>0</v>
      </c>
      <c r="V502">
        <v>2017</v>
      </c>
      <c r="W502" t="str">
        <f>VLOOKUP(D502,'Table corresp.'!$M$4:$S$63,7,FALSE)</f>
        <v>Produits de consommation courante</v>
      </c>
      <c r="X502" s="167">
        <f>IFERROR(G502/SUMIFS('Comp2016-2017 (3)'!$I$5:$I$289,'Comp2016-2017 (3)'!$A$5:$A$289,A502,'Comp2016-2017 (3)'!$R$5:$R$289,V502),0)</f>
        <v>9.9196419854593564E-3</v>
      </c>
      <c r="Y502" s="190">
        <f>IFERROR(IF(RIGHT(F502,3)="Exp",VLOOKUP(F502,#REF!,2,FALSE),VLOOKUP(F502,#REF!,9,FALSE)),1)</f>
        <v>1</v>
      </c>
      <c r="Z502" s="167">
        <f t="shared" si="58"/>
        <v>4.5454545454545456E-2</v>
      </c>
      <c r="AA502" s="189">
        <f t="shared" si="57"/>
        <v>4.5089281752087987E-4</v>
      </c>
      <c r="AB502" s="2">
        <f>IFERROR(SUMIFS('Comp2016-2017 (3)'!$G$5:$G$289,'Comp2016-2017 (3)'!$A$5:$A$289,A502,'Comp2016-2017 (3)'!$R$5:$R$289,V502)*AA502/SUMIFS($AA$4:$AA$1116,$A$4:$A$1116,A502,$V$4:$V$1116,V502),0)</f>
        <v>1706.0502680548593</v>
      </c>
      <c r="AC502" s="2" t="str">
        <f>IF($W502=AC$3,$AB502,IF(NOT($W502=0),"",SUMIFS('Val-Vol (2)'!AC$4:AC$1116,'Val-Vol (2)'!$A$4:$A$1116,$D502,'Val-Vol (2)'!$V$4:$V$1116,$V502)/SUMIFS('Comp2016-2017 (3)'!$G$5:$G$289,'Comp2016-2017 (3)'!$A$5:$A$289,$D502,'Comp2016-2017 (3)'!$R$5:$R$289,$V502)*$AB502))</f>
        <v/>
      </c>
      <c r="AD502" s="2" t="str">
        <f>IF($W502=AD$3,$AB502,IF(NOT($W502=0),"",SUMIFS('Val-Vol (2)'!AD$4:AD$1116,'Val-Vol (2)'!$A$4:$A$1116,$D502,'Val-Vol (2)'!$V$4:$V$1116,$V502)/SUMIFS('Comp2016-2017 (3)'!$G$5:$G$289,'Comp2016-2017 (3)'!$A$5:$A$289,$D502,'Comp2016-2017 (3)'!$R$5:$R$289,$V502)*$AB502))</f>
        <v/>
      </c>
      <c r="AE502" s="2" t="str">
        <f>IF($W502=AE$3,$AB502,IF(NOT($W502=0),"",SUMIFS('Val-Vol (2)'!AE$4:AE$1116,'Val-Vol (2)'!$A$4:$A$1116,$D502,'Val-Vol (2)'!$V$4:$V$1116,$V502)/SUMIFS('Comp2016-2017 (3)'!$G$5:$G$289,'Comp2016-2017 (3)'!$A$5:$A$289,$D502,'Comp2016-2017 (3)'!$R$5:$R$289,$V502)*$AB502))</f>
        <v/>
      </c>
      <c r="AF502" s="2" t="str">
        <f>IF($W502=AF$3,$AB502,IF(NOT($W502=0),"",SUMIFS('Val-Vol (2)'!AF$4:AF$1116,'Val-Vol (2)'!$A$4:$A$1116,$D502,'Val-Vol (2)'!$V$4:$V$1116,$V502)/SUMIFS('Comp2016-2017 (3)'!$G$5:$G$289,'Comp2016-2017 (3)'!$A$5:$A$289,$D502,'Comp2016-2017 (3)'!$R$5:$R$289,$V502)*$AB502))</f>
        <v/>
      </c>
      <c r="AG502" s="2" t="str">
        <f>IF($W502=AG$3,$AB502,IF(NOT($W502=0),"",SUMIFS('Val-Vol (2)'!AG$4:AG$1116,'Val-Vol (2)'!$A$4:$A$1116,$D502,'Val-Vol (2)'!$V$4:$V$1116,$V502)/SUMIFS('Comp2016-2017 (3)'!$G$5:$G$289,'Comp2016-2017 (3)'!$A$5:$A$289,$D502,'Comp2016-2017 (3)'!$R$5:$R$289,$V502)*$AB502))</f>
        <v/>
      </c>
      <c r="AH502" s="2" t="str">
        <f>IF($W502=AH$3,$AB502,IF(NOT($W502=0),"",SUMIFS('Val-Vol (2)'!AH$4:AH$1116,'Val-Vol (2)'!$A$4:$A$1116,$D502,'Val-Vol (2)'!$V$4:$V$1116,$V502)/SUMIFS('Comp2016-2017 (3)'!$G$5:$G$289,'Comp2016-2017 (3)'!$A$5:$A$289,$D502,'Comp2016-2017 (3)'!$R$5:$R$289,$V502)*$AB502))</f>
        <v/>
      </c>
      <c r="AI502" s="2">
        <f>IF($W502=AI$3,$AB502,IF(NOT($W502=0),"",SUMIFS('Val-Vol (2)'!AI$4:AI$1116,'Val-Vol (2)'!$A$4:$A$1116,$D502,'Val-Vol (2)'!$V$4:$V$1116,$V502)/SUMIFS('Comp2016-2017 (3)'!$G$5:$G$289,'Comp2016-2017 (3)'!$A$5:$A$289,$D502,'Comp2016-2017 (3)'!$R$5:$R$289,$V502)*$AB502))</f>
        <v>1706.0502680548593</v>
      </c>
      <c r="AJ502" s="2" t="str">
        <f>IF($W502=AJ$3,$AB502,IF(NOT($W502=0),"",SUMIFS('Val-Vol (2)'!AJ$4:AJ$1116,'Val-Vol (2)'!$A$4:$A$1116,$D502,'Val-Vol (2)'!$V$4:$V$1116,$V502)/SUMIFS('Comp2016-2017 (3)'!$G$5:$G$289,'Comp2016-2017 (3)'!$A$5:$A$289,$D502,'Comp2016-2017 (3)'!$R$5:$R$289,$V502)*$AB502))</f>
        <v/>
      </c>
      <c r="AK502" s="2">
        <f t="shared" si="54"/>
        <v>0</v>
      </c>
      <c r="AL502" t="str">
        <f t="shared" si="56"/>
        <v/>
      </c>
      <c r="AM502" t="str">
        <f>VLOOKUP(A502,'Table corresp.'!$M$4:$U$63,8,FALSE)</f>
        <v>Production intermédiaire</v>
      </c>
      <c r="AN502" t="str">
        <f>VLOOKUP(D502,'Table corresp.'!$M$4:$U$63,9,FALSE)</f>
        <v>Production finale</v>
      </c>
    </row>
    <row r="503" spans="1:40" x14ac:dyDescent="0.25">
      <c r="A503" t="s">
        <v>7</v>
      </c>
      <c r="B503" t="str">
        <f>VLOOKUP(LEFT(A503,3),'Table corresp.'!$A$4:$D$63,3,FALSE)</f>
        <v>Transformation</v>
      </c>
      <c r="C503" t="str">
        <f>VLOOKUP(A503,'Table corresp.'!$M$4:$P$63,4,FALSE)</f>
        <v>Production et transformation de produits bois</v>
      </c>
      <c r="D503" t="s">
        <v>19</v>
      </c>
      <c r="E503" t="str">
        <f>VLOOKUP(LEFT(D503,3),'Table corresp.'!$A$4:$D$63,4,FALSE)</f>
        <v>Transformation</v>
      </c>
      <c r="F503" t="str">
        <f t="shared" si="55"/>
        <v xml:space="preserve">12  - 52 </v>
      </c>
      <c r="G503" s="3">
        <v>9162.5876578410443</v>
      </c>
      <c r="H503" s="3">
        <v>253.0711377469992</v>
      </c>
      <c r="I503" s="3">
        <v>9415.6589204527791</v>
      </c>
      <c r="J503" s="3">
        <v>100.83895063805438</v>
      </c>
      <c r="K503" s="3">
        <v>2.2755129032390995</v>
      </c>
      <c r="L503" s="3">
        <v>103.11446354129349</v>
      </c>
      <c r="M503" s="3">
        <v>0</v>
      </c>
      <c r="N503" s="3">
        <v>0</v>
      </c>
      <c r="O503" s="3">
        <v>0</v>
      </c>
      <c r="P503" s="3">
        <v>0</v>
      </c>
      <c r="Q503" s="3">
        <v>0</v>
      </c>
      <c r="R503" s="3">
        <v>0</v>
      </c>
      <c r="S503" s="67"/>
      <c r="T503">
        <f>VLOOKUP(A503,'Groupe de branches'!$Z$27:$AM$86,14,FALSE)</f>
        <v>0</v>
      </c>
      <c r="U503">
        <f>VLOOKUP(D503,'Groupe de branches'!$Z$27:$AM$86,14,FALSE)</f>
        <v>0</v>
      </c>
      <c r="V503">
        <v>2017</v>
      </c>
      <c r="W503" t="str">
        <f>VLOOKUP(D503,'Table corresp.'!$M$4:$S$63,7,FALSE)</f>
        <v>Construction</v>
      </c>
      <c r="X503" s="167">
        <f>IFERROR(G503/SUMIFS('Comp2016-2017 (3)'!$I$5:$I$289,'Comp2016-2017 (3)'!$A$5:$A$289,A503,'Comp2016-2017 (3)'!$R$5:$R$289,V503),0)</f>
        <v>1.2781426651989409E-2</v>
      </c>
      <c r="Y503" s="190">
        <f>IFERROR(IF(RIGHT(F503,3)="Exp",VLOOKUP(F503,#REF!,2,FALSE),VLOOKUP(F503,#REF!,9,FALSE)),1)</f>
        <v>1</v>
      </c>
      <c r="Z503" s="167">
        <f t="shared" si="58"/>
        <v>4.5454545454545456E-2</v>
      </c>
      <c r="AA503" s="189">
        <f t="shared" si="57"/>
        <v>5.8097393872679132E-4</v>
      </c>
      <c r="AB503" s="2">
        <f>IFERROR(SUMIFS('Comp2016-2017 (3)'!$G$5:$G$289,'Comp2016-2017 (3)'!$A$5:$A$289,A503,'Comp2016-2017 (3)'!$R$5:$R$289,V503)*AA503/SUMIFS($AA$4:$AA$1116,$A$4:$A$1116,A503,$V$4:$V$1116,V503),0)</f>
        <v>2198.240258843402</v>
      </c>
      <c r="AC503" s="2" t="str">
        <f>IF($W503=AC$3,$AB503,IF(NOT($W503=0),"",SUMIFS('Val-Vol (2)'!AC$4:AC$1116,'Val-Vol (2)'!$A$4:$A$1116,$D503,'Val-Vol (2)'!$V$4:$V$1116,$V503)/SUMIFS('Comp2016-2017 (3)'!$G$5:$G$289,'Comp2016-2017 (3)'!$A$5:$A$289,$D503,'Comp2016-2017 (3)'!$R$5:$R$289,$V503)*$AB503))</f>
        <v/>
      </c>
      <c r="AD503" s="2">
        <f>IF($W503=AD$3,$AB503,IF(NOT($W503=0),"",SUMIFS('Val-Vol (2)'!AD$4:AD$1116,'Val-Vol (2)'!$A$4:$A$1116,$D503,'Val-Vol (2)'!$V$4:$V$1116,$V503)/SUMIFS('Comp2016-2017 (3)'!$G$5:$G$289,'Comp2016-2017 (3)'!$A$5:$A$289,$D503,'Comp2016-2017 (3)'!$R$5:$R$289,$V503)*$AB503))</f>
        <v>2198.240258843402</v>
      </c>
      <c r="AE503" s="2" t="str">
        <f>IF($W503=AE$3,$AB503,IF(NOT($W503=0),"",SUMIFS('Val-Vol (2)'!AE$4:AE$1116,'Val-Vol (2)'!$A$4:$A$1116,$D503,'Val-Vol (2)'!$V$4:$V$1116,$V503)/SUMIFS('Comp2016-2017 (3)'!$G$5:$G$289,'Comp2016-2017 (3)'!$A$5:$A$289,$D503,'Comp2016-2017 (3)'!$R$5:$R$289,$V503)*$AB503))</f>
        <v/>
      </c>
      <c r="AF503" s="2" t="str">
        <f>IF($W503=AF$3,$AB503,IF(NOT($W503=0),"",SUMIFS('Val-Vol (2)'!AF$4:AF$1116,'Val-Vol (2)'!$A$4:$A$1116,$D503,'Val-Vol (2)'!$V$4:$V$1116,$V503)/SUMIFS('Comp2016-2017 (3)'!$G$5:$G$289,'Comp2016-2017 (3)'!$A$5:$A$289,$D503,'Comp2016-2017 (3)'!$R$5:$R$289,$V503)*$AB503))</f>
        <v/>
      </c>
      <c r="AG503" s="2" t="str">
        <f>IF($W503=AG$3,$AB503,IF(NOT($W503=0),"",SUMIFS('Val-Vol (2)'!AG$4:AG$1116,'Val-Vol (2)'!$A$4:$A$1116,$D503,'Val-Vol (2)'!$V$4:$V$1116,$V503)/SUMIFS('Comp2016-2017 (3)'!$G$5:$G$289,'Comp2016-2017 (3)'!$A$5:$A$289,$D503,'Comp2016-2017 (3)'!$R$5:$R$289,$V503)*$AB503))</f>
        <v/>
      </c>
      <c r="AH503" s="2" t="str">
        <f>IF($W503=AH$3,$AB503,IF(NOT($W503=0),"",SUMIFS('Val-Vol (2)'!AH$4:AH$1116,'Val-Vol (2)'!$A$4:$A$1116,$D503,'Val-Vol (2)'!$V$4:$V$1116,$V503)/SUMIFS('Comp2016-2017 (3)'!$G$5:$G$289,'Comp2016-2017 (3)'!$A$5:$A$289,$D503,'Comp2016-2017 (3)'!$R$5:$R$289,$V503)*$AB503))</f>
        <v/>
      </c>
      <c r="AI503" s="2" t="str">
        <f>IF($W503=AI$3,$AB503,IF(NOT($W503=0),"",SUMIFS('Val-Vol (2)'!AI$4:AI$1116,'Val-Vol (2)'!$A$4:$A$1116,$D503,'Val-Vol (2)'!$V$4:$V$1116,$V503)/SUMIFS('Comp2016-2017 (3)'!$G$5:$G$289,'Comp2016-2017 (3)'!$A$5:$A$289,$D503,'Comp2016-2017 (3)'!$R$5:$R$289,$V503)*$AB503))</f>
        <v/>
      </c>
      <c r="AJ503" s="2" t="str">
        <f>IF($W503=AJ$3,$AB503,IF(NOT($W503=0),"",SUMIFS('Val-Vol (2)'!AJ$4:AJ$1116,'Val-Vol (2)'!$A$4:$A$1116,$D503,'Val-Vol (2)'!$V$4:$V$1116,$V503)/SUMIFS('Comp2016-2017 (3)'!$G$5:$G$289,'Comp2016-2017 (3)'!$A$5:$A$289,$D503,'Comp2016-2017 (3)'!$R$5:$R$289,$V503)*$AB503))</f>
        <v/>
      </c>
      <c r="AK503" s="2">
        <f t="shared" si="54"/>
        <v>0</v>
      </c>
      <c r="AL503" t="str">
        <f t="shared" si="56"/>
        <v/>
      </c>
      <c r="AM503" t="str">
        <f>VLOOKUP(A503,'Table corresp.'!$M$4:$U$63,8,FALSE)</f>
        <v>Production intermédiaire</v>
      </c>
      <c r="AN503" t="str">
        <f>VLOOKUP(D503,'Table corresp.'!$M$4:$U$63,9,FALSE)</f>
        <v xml:space="preserve">Mise en œuvre </v>
      </c>
    </row>
    <row r="504" spans="1:40" x14ac:dyDescent="0.25">
      <c r="A504" t="s">
        <v>7</v>
      </c>
      <c r="B504" t="str">
        <f>VLOOKUP(LEFT(A504,3),'Table corresp.'!$A$4:$D$63,3,FALSE)</f>
        <v>Transformation</v>
      </c>
      <c r="C504" t="str">
        <f>VLOOKUP(A504,'Table corresp.'!$M$4:$P$63,4,FALSE)</f>
        <v>Production et transformation de produits bois</v>
      </c>
      <c r="D504" t="s">
        <v>20</v>
      </c>
      <c r="E504" t="str">
        <f>VLOOKUP(LEFT(D504,3),'Table corresp.'!$A$4:$D$63,4,FALSE)</f>
        <v>Transformation</v>
      </c>
      <c r="F504" t="str">
        <f t="shared" si="55"/>
        <v xml:space="preserve">12  - 53 </v>
      </c>
      <c r="G504" s="3">
        <v>126.69366866964984</v>
      </c>
      <c r="H504" s="3">
        <v>297.31113090760141</v>
      </c>
      <c r="I504" s="3">
        <v>424.0048052449601</v>
      </c>
      <c r="J504" s="3">
        <v>1.239403062222139</v>
      </c>
      <c r="K504" s="3">
        <v>3.3416261958979461</v>
      </c>
      <c r="L504" s="3">
        <v>4.5810292581200853</v>
      </c>
      <c r="M504" s="3">
        <v>0</v>
      </c>
      <c r="N504" s="3">
        <v>0</v>
      </c>
      <c r="O504" s="3">
        <v>0</v>
      </c>
      <c r="P504" s="3">
        <v>0</v>
      </c>
      <c r="Q504" s="3">
        <v>0</v>
      </c>
      <c r="R504" s="3">
        <v>0</v>
      </c>
      <c r="S504" s="67"/>
      <c r="T504">
        <f>VLOOKUP(A504,'Groupe de branches'!$Z$27:$AM$86,14,FALSE)</f>
        <v>0</v>
      </c>
      <c r="U504">
        <f>VLOOKUP(D504,'Groupe de branches'!$Z$27:$AM$86,14,FALSE)</f>
        <v>0</v>
      </c>
      <c r="V504">
        <v>2017</v>
      </c>
      <c r="W504" t="str">
        <f>VLOOKUP(D504,'Table corresp.'!$M$4:$S$63,7,FALSE)</f>
        <v>Construction</v>
      </c>
      <c r="X504" s="167">
        <f>IFERROR(G504/SUMIFS('Comp2016-2017 (3)'!$I$5:$I$289,'Comp2016-2017 (3)'!$A$5:$A$289,A504,'Comp2016-2017 (3)'!$R$5:$R$289,V504),0)</f>
        <v>1.767323701385614E-4</v>
      </c>
      <c r="Y504" s="190">
        <f>IFERROR(IF(RIGHT(F504,3)="Exp",VLOOKUP(F504,#REF!,2,FALSE),VLOOKUP(F504,#REF!,9,FALSE)),1)</f>
        <v>1</v>
      </c>
      <c r="Z504" s="167">
        <f t="shared" ref="Z504:Z535" si="59">Y504/SUMIFS($Y$4:$Y$1116,$V$4:$V$1116,V504,$A$4:$A$1116,A504)</f>
        <v>4.5454545454545456E-2</v>
      </c>
      <c r="AA504" s="189">
        <f t="shared" si="57"/>
        <v>8.0332895517527909E-6</v>
      </c>
      <c r="AB504" s="2">
        <f>IFERROR(SUMIFS('Comp2016-2017 (3)'!$G$5:$G$289,'Comp2016-2017 (3)'!$A$5:$A$289,A504,'Comp2016-2017 (3)'!$R$5:$R$289,V504)*AA504/SUMIFS($AA$4:$AA$1116,$A$4:$A$1116,A504,$V$4:$V$1116,V504),0)</f>
        <v>30.395684430026417</v>
      </c>
      <c r="AC504" s="2" t="str">
        <f>IF($W504=AC$3,$AB504,IF(NOT($W504=0),"",SUMIFS('Val-Vol (2)'!AC$4:AC$1116,'Val-Vol (2)'!$A$4:$A$1116,$D504,'Val-Vol (2)'!$V$4:$V$1116,$V504)/SUMIFS('Comp2016-2017 (3)'!$G$5:$G$289,'Comp2016-2017 (3)'!$A$5:$A$289,$D504,'Comp2016-2017 (3)'!$R$5:$R$289,$V504)*$AB504))</f>
        <v/>
      </c>
      <c r="AD504" s="2">
        <f>IF($W504=AD$3,$AB504,IF(NOT($W504=0),"",SUMIFS('Val-Vol (2)'!AD$4:AD$1116,'Val-Vol (2)'!$A$4:$A$1116,$D504,'Val-Vol (2)'!$V$4:$V$1116,$V504)/SUMIFS('Comp2016-2017 (3)'!$G$5:$G$289,'Comp2016-2017 (3)'!$A$5:$A$289,$D504,'Comp2016-2017 (3)'!$R$5:$R$289,$V504)*$AB504))</f>
        <v>30.395684430026417</v>
      </c>
      <c r="AE504" s="2" t="str">
        <f>IF($W504=AE$3,$AB504,IF(NOT($W504=0),"",SUMIFS('Val-Vol (2)'!AE$4:AE$1116,'Val-Vol (2)'!$A$4:$A$1116,$D504,'Val-Vol (2)'!$V$4:$V$1116,$V504)/SUMIFS('Comp2016-2017 (3)'!$G$5:$G$289,'Comp2016-2017 (3)'!$A$5:$A$289,$D504,'Comp2016-2017 (3)'!$R$5:$R$289,$V504)*$AB504))</f>
        <v/>
      </c>
      <c r="AF504" s="2" t="str">
        <f>IF($W504=AF$3,$AB504,IF(NOT($W504=0),"",SUMIFS('Val-Vol (2)'!AF$4:AF$1116,'Val-Vol (2)'!$A$4:$A$1116,$D504,'Val-Vol (2)'!$V$4:$V$1116,$V504)/SUMIFS('Comp2016-2017 (3)'!$G$5:$G$289,'Comp2016-2017 (3)'!$A$5:$A$289,$D504,'Comp2016-2017 (3)'!$R$5:$R$289,$V504)*$AB504))</f>
        <v/>
      </c>
      <c r="AG504" s="2" t="str">
        <f>IF($W504=AG$3,$AB504,IF(NOT($W504=0),"",SUMIFS('Val-Vol (2)'!AG$4:AG$1116,'Val-Vol (2)'!$A$4:$A$1116,$D504,'Val-Vol (2)'!$V$4:$V$1116,$V504)/SUMIFS('Comp2016-2017 (3)'!$G$5:$G$289,'Comp2016-2017 (3)'!$A$5:$A$289,$D504,'Comp2016-2017 (3)'!$R$5:$R$289,$V504)*$AB504))</f>
        <v/>
      </c>
      <c r="AH504" s="2" t="str">
        <f>IF($W504=AH$3,$AB504,IF(NOT($W504=0),"",SUMIFS('Val-Vol (2)'!AH$4:AH$1116,'Val-Vol (2)'!$A$4:$A$1116,$D504,'Val-Vol (2)'!$V$4:$V$1116,$V504)/SUMIFS('Comp2016-2017 (3)'!$G$5:$G$289,'Comp2016-2017 (3)'!$A$5:$A$289,$D504,'Comp2016-2017 (3)'!$R$5:$R$289,$V504)*$AB504))</f>
        <v/>
      </c>
      <c r="AI504" s="2" t="str">
        <f>IF($W504=AI$3,$AB504,IF(NOT($W504=0),"",SUMIFS('Val-Vol (2)'!AI$4:AI$1116,'Val-Vol (2)'!$A$4:$A$1116,$D504,'Val-Vol (2)'!$V$4:$V$1116,$V504)/SUMIFS('Comp2016-2017 (3)'!$G$5:$G$289,'Comp2016-2017 (3)'!$A$5:$A$289,$D504,'Comp2016-2017 (3)'!$R$5:$R$289,$V504)*$AB504))</f>
        <v/>
      </c>
      <c r="AJ504" s="2" t="str">
        <f>IF($W504=AJ$3,$AB504,IF(NOT($W504=0),"",SUMIFS('Val-Vol (2)'!AJ$4:AJ$1116,'Val-Vol (2)'!$A$4:$A$1116,$D504,'Val-Vol (2)'!$V$4:$V$1116,$V504)/SUMIFS('Comp2016-2017 (3)'!$G$5:$G$289,'Comp2016-2017 (3)'!$A$5:$A$289,$D504,'Comp2016-2017 (3)'!$R$5:$R$289,$V504)*$AB504))</f>
        <v/>
      </c>
      <c r="AK504" s="2">
        <f t="shared" ref="AK504:AK567" si="60">SUM(AC504:AJ504)-AB504</f>
        <v>0</v>
      </c>
      <c r="AL504" t="str">
        <f t="shared" si="56"/>
        <v/>
      </c>
      <c r="AM504" t="str">
        <f>VLOOKUP(A504,'Table corresp.'!$M$4:$U$63,8,FALSE)</f>
        <v>Production intermédiaire</v>
      </c>
      <c r="AN504" t="str">
        <f>VLOOKUP(D504,'Table corresp.'!$M$4:$U$63,9,FALSE)</f>
        <v xml:space="preserve">Mise en œuvre </v>
      </c>
    </row>
    <row r="505" spans="1:40" x14ac:dyDescent="0.25">
      <c r="A505" t="s">
        <v>7</v>
      </c>
      <c r="B505" t="str">
        <f>VLOOKUP(LEFT(A505,3),'Table corresp.'!$A$4:$D$63,3,FALSE)</f>
        <v>Transformation</v>
      </c>
      <c r="C505" t="str">
        <f>VLOOKUP(A505,'Table corresp.'!$M$4:$P$63,4,FALSE)</f>
        <v>Production et transformation de produits bois</v>
      </c>
      <c r="D505" t="s">
        <v>21</v>
      </c>
      <c r="E505" t="str">
        <f>VLOOKUP(LEFT(D505,3),'Table corresp.'!$A$4:$D$63,4,FALSE)</f>
        <v>Transformation</v>
      </c>
      <c r="F505" t="str">
        <f t="shared" si="55"/>
        <v xml:space="preserve">12  - 54 </v>
      </c>
      <c r="G505" s="3">
        <v>115998.18291781428</v>
      </c>
      <c r="H505" s="3">
        <v>6479.0429771074987</v>
      </c>
      <c r="I505" s="3">
        <v>122477.22751963977</v>
      </c>
      <c r="J505" s="3">
        <v>756.51506309240631</v>
      </c>
      <c r="K505" s="3">
        <v>46.605538747094357</v>
      </c>
      <c r="L505" s="3">
        <v>803.12060183950064</v>
      </c>
      <c r="M505" s="3">
        <v>0</v>
      </c>
      <c r="N505" s="3">
        <v>0</v>
      </c>
      <c r="O505" s="3">
        <v>0</v>
      </c>
      <c r="P505" s="3">
        <v>0</v>
      </c>
      <c r="Q505" s="3">
        <v>0</v>
      </c>
      <c r="R505" s="3">
        <v>0</v>
      </c>
      <c r="S505" s="67"/>
      <c r="T505">
        <f>VLOOKUP(A505,'Groupe de branches'!$Z$27:$AM$86,14,FALSE)</f>
        <v>0</v>
      </c>
      <c r="U505">
        <f>VLOOKUP(D505,'Groupe de branches'!$Z$27:$AM$86,14,FALSE)</f>
        <v>0</v>
      </c>
      <c r="V505">
        <v>2017</v>
      </c>
      <c r="W505" t="str">
        <f>VLOOKUP(D505,'Table corresp.'!$M$4:$S$63,7,FALSE)</f>
        <v>Construction</v>
      </c>
      <c r="X505" s="167">
        <f>IFERROR(G505/SUMIFS('Comp2016-2017 (3)'!$I$5:$I$289,'Comp2016-2017 (3)'!$A$5:$A$289,A505,'Comp2016-2017 (3)'!$R$5:$R$289,V505),0)</f>
        <v>0.1618126147430976</v>
      </c>
      <c r="Y505" s="190">
        <f>IFERROR(IF(RIGHT(F505,3)="Exp",VLOOKUP(F505,#REF!,2,FALSE),VLOOKUP(F505,#REF!,9,FALSE)),1)</f>
        <v>1</v>
      </c>
      <c r="Z505" s="167">
        <f t="shared" si="59"/>
        <v>4.5454545454545456E-2</v>
      </c>
      <c r="AA505" s="189">
        <f t="shared" si="57"/>
        <v>7.3551188519589824E-3</v>
      </c>
      <c r="AB505" s="2">
        <f>IFERROR(SUMIFS('Comp2016-2017 (3)'!$G$5:$G$289,'Comp2016-2017 (3)'!$A$5:$A$289,A505,'Comp2016-2017 (3)'!$R$5:$R$289,V505)*AA505/SUMIFS($AA$4:$AA$1116,$A$4:$A$1116,A505,$V$4:$V$1116,V505),0)</f>
        <v>27829.679252717066</v>
      </c>
      <c r="AC505" s="2" t="str">
        <f>IF($W505=AC$3,$AB505,IF(NOT($W505=0),"",SUMIFS('Val-Vol (2)'!AC$4:AC$1116,'Val-Vol (2)'!$A$4:$A$1116,$D505,'Val-Vol (2)'!$V$4:$V$1116,$V505)/SUMIFS('Comp2016-2017 (3)'!$G$5:$G$289,'Comp2016-2017 (3)'!$A$5:$A$289,$D505,'Comp2016-2017 (3)'!$R$5:$R$289,$V505)*$AB505))</f>
        <v/>
      </c>
      <c r="AD505" s="2">
        <f>IF($W505=AD$3,$AB505,IF(NOT($W505=0),"",SUMIFS('Val-Vol (2)'!AD$4:AD$1116,'Val-Vol (2)'!$A$4:$A$1116,$D505,'Val-Vol (2)'!$V$4:$V$1116,$V505)/SUMIFS('Comp2016-2017 (3)'!$G$5:$G$289,'Comp2016-2017 (3)'!$A$5:$A$289,$D505,'Comp2016-2017 (3)'!$R$5:$R$289,$V505)*$AB505))</f>
        <v>27829.679252717066</v>
      </c>
      <c r="AE505" s="2" t="str">
        <f>IF($W505=AE$3,$AB505,IF(NOT($W505=0),"",SUMIFS('Val-Vol (2)'!AE$4:AE$1116,'Val-Vol (2)'!$A$4:$A$1116,$D505,'Val-Vol (2)'!$V$4:$V$1116,$V505)/SUMIFS('Comp2016-2017 (3)'!$G$5:$G$289,'Comp2016-2017 (3)'!$A$5:$A$289,$D505,'Comp2016-2017 (3)'!$R$5:$R$289,$V505)*$AB505))</f>
        <v/>
      </c>
      <c r="AF505" s="2" t="str">
        <f>IF($W505=AF$3,$AB505,IF(NOT($W505=0),"",SUMIFS('Val-Vol (2)'!AF$4:AF$1116,'Val-Vol (2)'!$A$4:$A$1116,$D505,'Val-Vol (2)'!$V$4:$V$1116,$V505)/SUMIFS('Comp2016-2017 (3)'!$G$5:$G$289,'Comp2016-2017 (3)'!$A$5:$A$289,$D505,'Comp2016-2017 (3)'!$R$5:$R$289,$V505)*$AB505))</f>
        <v/>
      </c>
      <c r="AG505" s="2" t="str">
        <f>IF($W505=AG$3,$AB505,IF(NOT($W505=0),"",SUMIFS('Val-Vol (2)'!AG$4:AG$1116,'Val-Vol (2)'!$A$4:$A$1116,$D505,'Val-Vol (2)'!$V$4:$V$1116,$V505)/SUMIFS('Comp2016-2017 (3)'!$G$5:$G$289,'Comp2016-2017 (3)'!$A$5:$A$289,$D505,'Comp2016-2017 (3)'!$R$5:$R$289,$V505)*$AB505))</f>
        <v/>
      </c>
      <c r="AH505" s="2" t="str">
        <f>IF($W505=AH$3,$AB505,IF(NOT($W505=0),"",SUMIFS('Val-Vol (2)'!AH$4:AH$1116,'Val-Vol (2)'!$A$4:$A$1116,$D505,'Val-Vol (2)'!$V$4:$V$1116,$V505)/SUMIFS('Comp2016-2017 (3)'!$G$5:$G$289,'Comp2016-2017 (3)'!$A$5:$A$289,$D505,'Comp2016-2017 (3)'!$R$5:$R$289,$V505)*$AB505))</f>
        <v/>
      </c>
      <c r="AI505" s="2" t="str">
        <f>IF($W505=AI$3,$AB505,IF(NOT($W505=0),"",SUMIFS('Val-Vol (2)'!AI$4:AI$1116,'Val-Vol (2)'!$A$4:$A$1116,$D505,'Val-Vol (2)'!$V$4:$V$1116,$V505)/SUMIFS('Comp2016-2017 (3)'!$G$5:$G$289,'Comp2016-2017 (3)'!$A$5:$A$289,$D505,'Comp2016-2017 (3)'!$R$5:$R$289,$V505)*$AB505))</f>
        <v/>
      </c>
      <c r="AJ505" s="2" t="str">
        <f>IF($W505=AJ$3,$AB505,IF(NOT($W505=0),"",SUMIFS('Val-Vol (2)'!AJ$4:AJ$1116,'Val-Vol (2)'!$A$4:$A$1116,$D505,'Val-Vol (2)'!$V$4:$V$1116,$V505)/SUMIFS('Comp2016-2017 (3)'!$G$5:$G$289,'Comp2016-2017 (3)'!$A$5:$A$289,$D505,'Comp2016-2017 (3)'!$R$5:$R$289,$V505)*$AB505))</f>
        <v/>
      </c>
      <c r="AK505" s="2">
        <f t="shared" si="60"/>
        <v>0</v>
      </c>
      <c r="AL505" t="str">
        <f t="shared" si="56"/>
        <v/>
      </c>
      <c r="AM505" t="str">
        <f>VLOOKUP(A505,'Table corresp.'!$M$4:$U$63,8,FALSE)</f>
        <v>Production intermédiaire</v>
      </c>
      <c r="AN505" t="str">
        <f>VLOOKUP(D505,'Table corresp.'!$M$4:$U$63,9,FALSE)</f>
        <v xml:space="preserve">Mise en œuvre </v>
      </c>
    </row>
    <row r="506" spans="1:40" x14ac:dyDescent="0.25">
      <c r="A506" t="s">
        <v>7</v>
      </c>
      <c r="B506" t="str">
        <f>VLOOKUP(LEFT(A506,3),'Table corresp.'!$A$4:$D$63,3,FALSE)</f>
        <v>Transformation</v>
      </c>
      <c r="C506" t="str">
        <f>VLOOKUP(A506,'Table corresp.'!$M$4:$P$63,4,FALSE)</f>
        <v>Production et transformation de produits bois</v>
      </c>
      <c r="D506" t="s">
        <v>22</v>
      </c>
      <c r="E506" t="str">
        <f>VLOOKUP(LEFT(D506,3),'Table corresp.'!$A$4:$D$63,4,FALSE)</f>
        <v>Transformation</v>
      </c>
      <c r="F506" t="str">
        <f t="shared" si="55"/>
        <v xml:space="preserve">12  - 55 </v>
      </c>
      <c r="G506" s="3">
        <v>5941.8058240721302</v>
      </c>
      <c r="H506" s="3">
        <v>5337.4797035446591</v>
      </c>
      <c r="I506" s="3">
        <v>11279.285677984904</v>
      </c>
      <c r="J506" s="3">
        <v>38.751172602984198</v>
      </c>
      <c r="K506" s="3">
        <v>38.393960036121712</v>
      </c>
      <c r="L506" s="3">
        <v>77.14513263910591</v>
      </c>
      <c r="M506" s="3">
        <v>0</v>
      </c>
      <c r="N506" s="3">
        <v>0</v>
      </c>
      <c r="O506" s="3">
        <v>0</v>
      </c>
      <c r="P506" s="3">
        <v>0</v>
      </c>
      <c r="Q506" s="3">
        <v>0</v>
      </c>
      <c r="R506" s="3">
        <v>0</v>
      </c>
      <c r="S506" s="67"/>
      <c r="T506">
        <f>VLOOKUP(A506,'Groupe de branches'!$Z$27:$AM$86,14,FALSE)</f>
        <v>0</v>
      </c>
      <c r="U506">
        <f>VLOOKUP(D506,'Groupe de branches'!$Z$27:$AM$86,14,FALSE)</f>
        <v>0</v>
      </c>
      <c r="V506">
        <v>2017</v>
      </c>
      <c r="W506" t="str">
        <f>VLOOKUP(D506,'Table corresp.'!$M$4:$S$63,7,FALSE)</f>
        <v>Construction</v>
      </c>
      <c r="X506" s="167">
        <f>IFERROR(G506/SUMIFS('Comp2016-2017 (3)'!$I$5:$I$289,'Comp2016-2017 (3)'!$A$5:$A$289,A506,'Comp2016-2017 (3)'!$R$5:$R$289,V506),0)</f>
        <v>8.2885706698533311E-3</v>
      </c>
      <c r="Y506" s="190">
        <f>IFERROR(IF(RIGHT(F506,3)="Exp",VLOOKUP(F506,#REF!,2,FALSE),VLOOKUP(F506,#REF!,9,FALSE)),1)</f>
        <v>1</v>
      </c>
      <c r="Z506" s="167">
        <f t="shared" si="59"/>
        <v>4.5454545454545456E-2</v>
      </c>
      <c r="AA506" s="189">
        <f t="shared" si="57"/>
        <v>3.7675321226606054E-4</v>
      </c>
      <c r="AB506" s="2">
        <f>IFERROR(SUMIFS('Comp2016-2017 (3)'!$G$5:$G$289,'Comp2016-2017 (3)'!$A$5:$A$289,A506,'Comp2016-2017 (3)'!$R$5:$R$289,V506)*AA506/SUMIFS($AA$4:$AA$1116,$A$4:$A$1116,A506,$V$4:$V$1116,V506),0)</f>
        <v>1425.5270738422821</v>
      </c>
      <c r="AC506" s="2" t="str">
        <f>IF($W506=AC$3,$AB506,IF(NOT($W506=0),"",SUMIFS('Val-Vol (2)'!AC$4:AC$1116,'Val-Vol (2)'!$A$4:$A$1116,$D506,'Val-Vol (2)'!$V$4:$V$1116,$V506)/SUMIFS('Comp2016-2017 (3)'!$G$5:$G$289,'Comp2016-2017 (3)'!$A$5:$A$289,$D506,'Comp2016-2017 (3)'!$R$5:$R$289,$V506)*$AB506))</f>
        <v/>
      </c>
      <c r="AD506" s="2">
        <f>IF($W506=AD$3,$AB506,IF(NOT($W506=0),"",SUMIFS('Val-Vol (2)'!AD$4:AD$1116,'Val-Vol (2)'!$A$4:$A$1116,$D506,'Val-Vol (2)'!$V$4:$V$1116,$V506)/SUMIFS('Comp2016-2017 (3)'!$G$5:$G$289,'Comp2016-2017 (3)'!$A$5:$A$289,$D506,'Comp2016-2017 (3)'!$R$5:$R$289,$V506)*$AB506))</f>
        <v>1425.5270738422821</v>
      </c>
      <c r="AE506" s="2" t="str">
        <f>IF($W506=AE$3,$AB506,IF(NOT($W506=0),"",SUMIFS('Val-Vol (2)'!AE$4:AE$1116,'Val-Vol (2)'!$A$4:$A$1116,$D506,'Val-Vol (2)'!$V$4:$V$1116,$V506)/SUMIFS('Comp2016-2017 (3)'!$G$5:$G$289,'Comp2016-2017 (3)'!$A$5:$A$289,$D506,'Comp2016-2017 (3)'!$R$5:$R$289,$V506)*$AB506))</f>
        <v/>
      </c>
      <c r="AF506" s="2" t="str">
        <f>IF($W506=AF$3,$AB506,IF(NOT($W506=0),"",SUMIFS('Val-Vol (2)'!AF$4:AF$1116,'Val-Vol (2)'!$A$4:$A$1116,$D506,'Val-Vol (2)'!$V$4:$V$1116,$V506)/SUMIFS('Comp2016-2017 (3)'!$G$5:$G$289,'Comp2016-2017 (3)'!$A$5:$A$289,$D506,'Comp2016-2017 (3)'!$R$5:$R$289,$V506)*$AB506))</f>
        <v/>
      </c>
      <c r="AG506" s="2" t="str">
        <f>IF($W506=AG$3,$AB506,IF(NOT($W506=0),"",SUMIFS('Val-Vol (2)'!AG$4:AG$1116,'Val-Vol (2)'!$A$4:$A$1116,$D506,'Val-Vol (2)'!$V$4:$V$1116,$V506)/SUMIFS('Comp2016-2017 (3)'!$G$5:$G$289,'Comp2016-2017 (3)'!$A$5:$A$289,$D506,'Comp2016-2017 (3)'!$R$5:$R$289,$V506)*$AB506))</f>
        <v/>
      </c>
      <c r="AH506" s="2" t="str">
        <f>IF($W506=AH$3,$AB506,IF(NOT($W506=0),"",SUMIFS('Val-Vol (2)'!AH$4:AH$1116,'Val-Vol (2)'!$A$4:$A$1116,$D506,'Val-Vol (2)'!$V$4:$V$1116,$V506)/SUMIFS('Comp2016-2017 (3)'!$G$5:$G$289,'Comp2016-2017 (3)'!$A$5:$A$289,$D506,'Comp2016-2017 (3)'!$R$5:$R$289,$V506)*$AB506))</f>
        <v/>
      </c>
      <c r="AI506" s="2" t="str">
        <f>IF($W506=AI$3,$AB506,IF(NOT($W506=0),"",SUMIFS('Val-Vol (2)'!AI$4:AI$1116,'Val-Vol (2)'!$A$4:$A$1116,$D506,'Val-Vol (2)'!$V$4:$V$1116,$V506)/SUMIFS('Comp2016-2017 (3)'!$G$5:$G$289,'Comp2016-2017 (3)'!$A$5:$A$289,$D506,'Comp2016-2017 (3)'!$R$5:$R$289,$V506)*$AB506))</f>
        <v/>
      </c>
      <c r="AJ506" s="2" t="str">
        <f>IF($W506=AJ$3,$AB506,IF(NOT($W506=0),"",SUMIFS('Val-Vol (2)'!AJ$4:AJ$1116,'Val-Vol (2)'!$A$4:$A$1116,$D506,'Val-Vol (2)'!$V$4:$V$1116,$V506)/SUMIFS('Comp2016-2017 (3)'!$G$5:$G$289,'Comp2016-2017 (3)'!$A$5:$A$289,$D506,'Comp2016-2017 (3)'!$R$5:$R$289,$V506)*$AB506))</f>
        <v/>
      </c>
      <c r="AK506" s="2">
        <f t="shared" si="60"/>
        <v>0</v>
      </c>
      <c r="AL506" t="str">
        <f t="shared" si="56"/>
        <v/>
      </c>
      <c r="AM506" t="str">
        <f>VLOOKUP(A506,'Table corresp.'!$M$4:$U$63,8,FALSE)</f>
        <v>Production intermédiaire</v>
      </c>
      <c r="AN506" t="str">
        <f>VLOOKUP(D506,'Table corresp.'!$M$4:$U$63,9,FALSE)</f>
        <v xml:space="preserve">Mise en œuvre </v>
      </c>
    </row>
    <row r="507" spans="1:40" x14ac:dyDescent="0.25">
      <c r="A507" t="s">
        <v>7</v>
      </c>
      <c r="B507" t="str">
        <f>VLOOKUP(LEFT(A507,3),'Table corresp.'!$A$4:$D$63,3,FALSE)</f>
        <v>Transformation</v>
      </c>
      <c r="C507" t="str">
        <f>VLOOKUP(A507,'Table corresp.'!$M$4:$P$63,4,FALSE)</f>
        <v>Production et transformation de produits bois</v>
      </c>
      <c r="D507" t="s">
        <v>23</v>
      </c>
      <c r="E507" t="str">
        <f>VLOOKUP(LEFT(D507,3),'Table corresp.'!$A$4:$D$63,4,FALSE)</f>
        <v>Transformation</v>
      </c>
      <c r="F507" t="str">
        <f t="shared" si="55"/>
        <v xml:space="preserve">12  - 56 </v>
      </c>
      <c r="G507" s="3">
        <v>9909.7518445835867</v>
      </c>
      <c r="H507" s="3">
        <v>1762.8953749531433</v>
      </c>
      <c r="I507" s="3">
        <v>11672.647374559419</v>
      </c>
      <c r="J507" s="3">
        <v>87.249498888988953</v>
      </c>
      <c r="K507" s="3">
        <v>16.685515087635096</v>
      </c>
      <c r="L507" s="3">
        <v>103.93501397662405</v>
      </c>
      <c r="M507" s="3">
        <v>0</v>
      </c>
      <c r="N507" s="3">
        <v>0</v>
      </c>
      <c r="O507" s="3">
        <v>0</v>
      </c>
      <c r="P507" s="3">
        <v>0</v>
      </c>
      <c r="Q507" s="3">
        <v>0</v>
      </c>
      <c r="R507" s="3">
        <v>0</v>
      </c>
      <c r="S507" s="67"/>
      <c r="T507">
        <f>VLOOKUP(A507,'Groupe de branches'!$Z$27:$AM$86,14,FALSE)</f>
        <v>0</v>
      </c>
      <c r="U507">
        <f>VLOOKUP(D507,'Groupe de branches'!$Z$27:$AM$86,14,FALSE)</f>
        <v>0</v>
      </c>
      <c r="V507">
        <v>2017</v>
      </c>
      <c r="W507" t="str">
        <f>VLOOKUP(D507,'Table corresp.'!$M$4:$S$63,7,FALSE)</f>
        <v>Construction</v>
      </c>
      <c r="X507" s="167">
        <f>IFERROR(G507/SUMIFS('Comp2016-2017 (3)'!$I$5:$I$289,'Comp2016-2017 (3)'!$A$5:$A$289,A507,'Comp2016-2017 (3)'!$R$5:$R$289,V507),0)</f>
        <v>1.3823689450061599E-2</v>
      </c>
      <c r="Y507" s="190">
        <f>IFERROR(IF(RIGHT(F507,3)="Exp",VLOOKUP(F507,#REF!,2,FALSE),VLOOKUP(F507,#REF!,9,FALSE)),1)</f>
        <v>1</v>
      </c>
      <c r="Z507" s="167">
        <f t="shared" si="59"/>
        <v>4.5454545454545456E-2</v>
      </c>
      <c r="AA507" s="189">
        <f t="shared" si="57"/>
        <v>6.2834952045734546E-4</v>
      </c>
      <c r="AB507" s="2">
        <f>IFERROR(SUMIFS('Comp2016-2017 (3)'!$G$5:$G$289,'Comp2016-2017 (3)'!$A$5:$A$289,A507,'Comp2016-2017 (3)'!$R$5:$R$289,V507)*AA507/SUMIFS($AA$4:$AA$1116,$A$4:$A$1116,A507,$V$4:$V$1116,V507),0)</f>
        <v>2377.4959949517374</v>
      </c>
      <c r="AC507" s="2" t="str">
        <f>IF($W507=AC$3,$AB507,IF(NOT($W507=0),"",SUMIFS('Val-Vol (2)'!AC$4:AC$1116,'Val-Vol (2)'!$A$4:$A$1116,$D507,'Val-Vol (2)'!$V$4:$V$1116,$V507)/SUMIFS('Comp2016-2017 (3)'!$G$5:$G$289,'Comp2016-2017 (3)'!$A$5:$A$289,$D507,'Comp2016-2017 (3)'!$R$5:$R$289,$V507)*$AB507))</f>
        <v/>
      </c>
      <c r="AD507" s="2">
        <f>IF($W507=AD$3,$AB507,IF(NOT($W507=0),"",SUMIFS('Val-Vol (2)'!AD$4:AD$1116,'Val-Vol (2)'!$A$4:$A$1116,$D507,'Val-Vol (2)'!$V$4:$V$1116,$V507)/SUMIFS('Comp2016-2017 (3)'!$G$5:$G$289,'Comp2016-2017 (3)'!$A$5:$A$289,$D507,'Comp2016-2017 (3)'!$R$5:$R$289,$V507)*$AB507))</f>
        <v>2377.4959949517374</v>
      </c>
      <c r="AE507" s="2" t="str">
        <f>IF($W507=AE$3,$AB507,IF(NOT($W507=0),"",SUMIFS('Val-Vol (2)'!AE$4:AE$1116,'Val-Vol (2)'!$A$4:$A$1116,$D507,'Val-Vol (2)'!$V$4:$V$1116,$V507)/SUMIFS('Comp2016-2017 (3)'!$G$5:$G$289,'Comp2016-2017 (3)'!$A$5:$A$289,$D507,'Comp2016-2017 (3)'!$R$5:$R$289,$V507)*$AB507))</f>
        <v/>
      </c>
      <c r="AF507" s="2" t="str">
        <f>IF($W507=AF$3,$AB507,IF(NOT($W507=0),"",SUMIFS('Val-Vol (2)'!AF$4:AF$1116,'Val-Vol (2)'!$A$4:$A$1116,$D507,'Val-Vol (2)'!$V$4:$V$1116,$V507)/SUMIFS('Comp2016-2017 (3)'!$G$5:$G$289,'Comp2016-2017 (3)'!$A$5:$A$289,$D507,'Comp2016-2017 (3)'!$R$5:$R$289,$V507)*$AB507))</f>
        <v/>
      </c>
      <c r="AG507" s="2" t="str">
        <f>IF($W507=AG$3,$AB507,IF(NOT($W507=0),"",SUMIFS('Val-Vol (2)'!AG$4:AG$1116,'Val-Vol (2)'!$A$4:$A$1116,$D507,'Val-Vol (2)'!$V$4:$V$1116,$V507)/SUMIFS('Comp2016-2017 (3)'!$G$5:$G$289,'Comp2016-2017 (3)'!$A$5:$A$289,$D507,'Comp2016-2017 (3)'!$R$5:$R$289,$V507)*$AB507))</f>
        <v/>
      </c>
      <c r="AH507" s="2" t="str">
        <f>IF($W507=AH$3,$AB507,IF(NOT($W507=0),"",SUMIFS('Val-Vol (2)'!AH$4:AH$1116,'Val-Vol (2)'!$A$4:$A$1116,$D507,'Val-Vol (2)'!$V$4:$V$1116,$V507)/SUMIFS('Comp2016-2017 (3)'!$G$5:$G$289,'Comp2016-2017 (3)'!$A$5:$A$289,$D507,'Comp2016-2017 (3)'!$R$5:$R$289,$V507)*$AB507))</f>
        <v/>
      </c>
      <c r="AI507" s="2" t="str">
        <f>IF($W507=AI$3,$AB507,IF(NOT($W507=0),"",SUMIFS('Val-Vol (2)'!AI$4:AI$1116,'Val-Vol (2)'!$A$4:$A$1116,$D507,'Val-Vol (2)'!$V$4:$V$1116,$V507)/SUMIFS('Comp2016-2017 (3)'!$G$5:$G$289,'Comp2016-2017 (3)'!$A$5:$A$289,$D507,'Comp2016-2017 (3)'!$R$5:$R$289,$V507)*$AB507))</f>
        <v/>
      </c>
      <c r="AJ507" s="2" t="str">
        <f>IF($W507=AJ$3,$AB507,IF(NOT($W507=0),"",SUMIFS('Val-Vol (2)'!AJ$4:AJ$1116,'Val-Vol (2)'!$A$4:$A$1116,$D507,'Val-Vol (2)'!$V$4:$V$1116,$V507)/SUMIFS('Comp2016-2017 (3)'!$G$5:$G$289,'Comp2016-2017 (3)'!$A$5:$A$289,$D507,'Comp2016-2017 (3)'!$R$5:$R$289,$V507)*$AB507))</f>
        <v/>
      </c>
      <c r="AK507" s="2">
        <f t="shared" si="60"/>
        <v>0</v>
      </c>
      <c r="AL507" t="str">
        <f t="shared" si="56"/>
        <v/>
      </c>
      <c r="AM507" t="str">
        <f>VLOOKUP(A507,'Table corresp.'!$M$4:$U$63,8,FALSE)</f>
        <v>Production intermédiaire</v>
      </c>
      <c r="AN507" t="str">
        <f>VLOOKUP(D507,'Table corresp.'!$M$4:$U$63,9,FALSE)</f>
        <v xml:space="preserve">Mise en œuvre </v>
      </c>
    </row>
    <row r="508" spans="1:40" x14ac:dyDescent="0.25">
      <c r="A508" t="s">
        <v>7</v>
      </c>
      <c r="B508" t="str">
        <f>VLOOKUP(LEFT(A508,3),'Table corresp.'!$A$4:$D$63,3,FALSE)</f>
        <v>Transformation</v>
      </c>
      <c r="C508" t="str">
        <f>VLOOKUP(A508,'Table corresp.'!$M$4:$P$63,4,FALSE)</f>
        <v>Production et transformation de produits bois</v>
      </c>
      <c r="D508" t="s">
        <v>24</v>
      </c>
      <c r="E508" t="str">
        <f>VLOOKUP(LEFT(D508,3),'Table corresp.'!$A$4:$D$63,4,FALSE)</f>
        <v>Transformation</v>
      </c>
      <c r="F508" t="str">
        <f t="shared" si="55"/>
        <v xml:space="preserve">12  - 57 </v>
      </c>
      <c r="G508" s="3">
        <v>145954.51068814457</v>
      </c>
      <c r="H508" s="3">
        <v>28803.397223233791</v>
      </c>
      <c r="I508" s="3">
        <v>174757.9102326899</v>
      </c>
      <c r="J508" s="3">
        <v>1511.8153746691946</v>
      </c>
      <c r="K508" s="3">
        <v>323.73556414853806</v>
      </c>
      <c r="L508" s="3">
        <v>1835.5509388177327</v>
      </c>
      <c r="M508" s="3">
        <v>0</v>
      </c>
      <c r="N508" s="3">
        <v>0</v>
      </c>
      <c r="O508" s="3">
        <v>0</v>
      </c>
      <c r="P508" s="3">
        <v>0</v>
      </c>
      <c r="Q508" s="3">
        <v>0</v>
      </c>
      <c r="R508" s="3">
        <v>0</v>
      </c>
      <c r="S508" s="67"/>
      <c r="T508">
        <f>VLOOKUP(A508,'Groupe de branches'!$Z$27:$AM$86,14,FALSE)</f>
        <v>0</v>
      </c>
      <c r="U508">
        <f>VLOOKUP(D508,'Groupe de branches'!$Z$27:$AM$86,14,FALSE)</f>
        <v>0</v>
      </c>
      <c r="V508">
        <v>2017</v>
      </c>
      <c r="W508" t="str">
        <f>VLOOKUP(D508,'Table corresp.'!$M$4:$S$63,7,FALSE)</f>
        <v>Construction</v>
      </c>
      <c r="X508" s="167">
        <f>IFERROR(G508/SUMIFS('Comp2016-2017 (3)'!$I$5:$I$289,'Comp2016-2017 (3)'!$A$5:$A$289,A508,'Comp2016-2017 (3)'!$R$5:$R$289,V508),0)</f>
        <v>0.20360043936835723</v>
      </c>
      <c r="Y508" s="190">
        <f>IFERROR(IF(RIGHT(F508,3)="Exp",VLOOKUP(F508,#REF!,2,FALSE),VLOOKUP(F508,#REF!,9,FALSE)),1)</f>
        <v>1</v>
      </c>
      <c r="Z508" s="167">
        <f t="shared" si="59"/>
        <v>4.5454545454545456E-2</v>
      </c>
      <c r="AA508" s="189">
        <f t="shared" si="57"/>
        <v>9.2545654258344191E-3</v>
      </c>
      <c r="AB508" s="2">
        <f>IFERROR(SUMIFS('Comp2016-2017 (3)'!$G$5:$G$289,'Comp2016-2017 (3)'!$A$5:$A$289,A508,'Comp2016-2017 (3)'!$R$5:$R$289,V508)*AA508/SUMIFS($AA$4:$AA$1116,$A$4:$A$1116,A508,$V$4:$V$1116,V508),0)</f>
        <v>35016.645224660075</v>
      </c>
      <c r="AC508" s="2" t="str">
        <f>IF($W508=AC$3,$AB508,IF(NOT($W508=0),"",SUMIFS('Val-Vol (2)'!AC$4:AC$1116,'Val-Vol (2)'!$A$4:$A$1116,$D508,'Val-Vol (2)'!$V$4:$V$1116,$V508)/SUMIFS('Comp2016-2017 (3)'!$G$5:$G$289,'Comp2016-2017 (3)'!$A$5:$A$289,$D508,'Comp2016-2017 (3)'!$R$5:$R$289,$V508)*$AB508))</f>
        <v/>
      </c>
      <c r="AD508" s="2">
        <f>IF($W508=AD$3,$AB508,IF(NOT($W508=0),"",SUMIFS('Val-Vol (2)'!AD$4:AD$1116,'Val-Vol (2)'!$A$4:$A$1116,$D508,'Val-Vol (2)'!$V$4:$V$1116,$V508)/SUMIFS('Comp2016-2017 (3)'!$G$5:$G$289,'Comp2016-2017 (3)'!$A$5:$A$289,$D508,'Comp2016-2017 (3)'!$R$5:$R$289,$V508)*$AB508))</f>
        <v>35016.645224660075</v>
      </c>
      <c r="AE508" s="2" t="str">
        <f>IF($W508=AE$3,$AB508,IF(NOT($W508=0),"",SUMIFS('Val-Vol (2)'!AE$4:AE$1116,'Val-Vol (2)'!$A$4:$A$1116,$D508,'Val-Vol (2)'!$V$4:$V$1116,$V508)/SUMIFS('Comp2016-2017 (3)'!$G$5:$G$289,'Comp2016-2017 (3)'!$A$5:$A$289,$D508,'Comp2016-2017 (3)'!$R$5:$R$289,$V508)*$AB508))</f>
        <v/>
      </c>
      <c r="AF508" s="2" t="str">
        <f>IF($W508=AF$3,$AB508,IF(NOT($W508=0),"",SUMIFS('Val-Vol (2)'!AF$4:AF$1116,'Val-Vol (2)'!$A$4:$A$1116,$D508,'Val-Vol (2)'!$V$4:$V$1116,$V508)/SUMIFS('Comp2016-2017 (3)'!$G$5:$G$289,'Comp2016-2017 (3)'!$A$5:$A$289,$D508,'Comp2016-2017 (3)'!$R$5:$R$289,$V508)*$AB508))</f>
        <v/>
      </c>
      <c r="AG508" s="2" t="str">
        <f>IF($W508=AG$3,$AB508,IF(NOT($W508=0),"",SUMIFS('Val-Vol (2)'!AG$4:AG$1116,'Val-Vol (2)'!$A$4:$A$1116,$D508,'Val-Vol (2)'!$V$4:$V$1116,$V508)/SUMIFS('Comp2016-2017 (3)'!$G$5:$G$289,'Comp2016-2017 (3)'!$A$5:$A$289,$D508,'Comp2016-2017 (3)'!$R$5:$R$289,$V508)*$AB508))</f>
        <v/>
      </c>
      <c r="AH508" s="2" t="str">
        <f>IF($W508=AH$3,$AB508,IF(NOT($W508=0),"",SUMIFS('Val-Vol (2)'!AH$4:AH$1116,'Val-Vol (2)'!$A$4:$A$1116,$D508,'Val-Vol (2)'!$V$4:$V$1116,$V508)/SUMIFS('Comp2016-2017 (3)'!$G$5:$G$289,'Comp2016-2017 (3)'!$A$5:$A$289,$D508,'Comp2016-2017 (3)'!$R$5:$R$289,$V508)*$AB508))</f>
        <v/>
      </c>
      <c r="AI508" s="2" t="str">
        <f>IF($W508=AI$3,$AB508,IF(NOT($W508=0),"",SUMIFS('Val-Vol (2)'!AI$4:AI$1116,'Val-Vol (2)'!$A$4:$A$1116,$D508,'Val-Vol (2)'!$V$4:$V$1116,$V508)/SUMIFS('Comp2016-2017 (3)'!$G$5:$G$289,'Comp2016-2017 (3)'!$A$5:$A$289,$D508,'Comp2016-2017 (3)'!$R$5:$R$289,$V508)*$AB508))</f>
        <v/>
      </c>
      <c r="AJ508" s="2" t="str">
        <f>IF($W508=AJ$3,$AB508,IF(NOT($W508=0),"",SUMIFS('Val-Vol (2)'!AJ$4:AJ$1116,'Val-Vol (2)'!$A$4:$A$1116,$D508,'Val-Vol (2)'!$V$4:$V$1116,$V508)/SUMIFS('Comp2016-2017 (3)'!$G$5:$G$289,'Comp2016-2017 (3)'!$A$5:$A$289,$D508,'Comp2016-2017 (3)'!$R$5:$R$289,$V508)*$AB508))</f>
        <v/>
      </c>
      <c r="AK508" s="2">
        <f t="shared" si="60"/>
        <v>0</v>
      </c>
      <c r="AL508" t="str">
        <f t="shared" si="56"/>
        <v/>
      </c>
      <c r="AM508" t="str">
        <f>VLOOKUP(A508,'Table corresp.'!$M$4:$U$63,8,FALSE)</f>
        <v>Production intermédiaire</v>
      </c>
      <c r="AN508" t="str">
        <f>VLOOKUP(D508,'Table corresp.'!$M$4:$U$63,9,FALSE)</f>
        <v xml:space="preserve">Mise en œuvre </v>
      </c>
    </row>
    <row r="509" spans="1:40" x14ac:dyDescent="0.25">
      <c r="A509" t="s">
        <v>7</v>
      </c>
      <c r="B509" t="str">
        <f>VLOOKUP(LEFT(A509,3),'Table corresp.'!$A$4:$D$63,3,FALSE)</f>
        <v>Transformation</v>
      </c>
      <c r="C509" t="str">
        <f>VLOOKUP(A509,'Table corresp.'!$M$4:$P$63,4,FALSE)</f>
        <v>Production et transformation de produits bois</v>
      </c>
      <c r="D509" t="s">
        <v>25</v>
      </c>
      <c r="E509" t="str">
        <f>VLOOKUP(LEFT(D509,3),'Table corresp.'!$A$4:$D$63,4,FALSE)</f>
        <v>Transformation</v>
      </c>
      <c r="F509" t="str">
        <f t="shared" si="55"/>
        <v xml:space="preserve">12  - 58 </v>
      </c>
      <c r="G509" s="3">
        <v>91663.258655233643</v>
      </c>
      <c r="H509" s="3">
        <v>4216.9860832220638</v>
      </c>
      <c r="I509" s="3">
        <v>95880.246010218209</v>
      </c>
      <c r="J509" s="3">
        <v>672.53394346870732</v>
      </c>
      <c r="K509" s="3">
        <v>32.971675149901422</v>
      </c>
      <c r="L509" s="3">
        <v>705.50561861860876</v>
      </c>
      <c r="M509" s="3">
        <v>0</v>
      </c>
      <c r="N509" s="3">
        <v>0</v>
      </c>
      <c r="O509" s="3">
        <v>0</v>
      </c>
      <c r="P509" s="3">
        <v>0</v>
      </c>
      <c r="Q509" s="3">
        <v>0</v>
      </c>
      <c r="R509" s="3">
        <v>0</v>
      </c>
      <c r="S509" s="67"/>
      <c r="T509">
        <f>VLOOKUP(A509,'Groupe de branches'!$Z$27:$AM$86,14,FALSE)</f>
        <v>0</v>
      </c>
      <c r="U509">
        <f>VLOOKUP(D509,'Groupe de branches'!$Z$27:$AM$86,14,FALSE)</f>
        <v>0</v>
      </c>
      <c r="V509">
        <v>2017</v>
      </c>
      <c r="W509" t="str">
        <f>VLOOKUP(D509,'Table corresp.'!$M$4:$S$63,7,FALSE)</f>
        <v>Construction</v>
      </c>
      <c r="X509" s="167">
        <f>IFERROR(G509/SUMIFS('Comp2016-2017 (3)'!$I$5:$I$289,'Comp2016-2017 (3)'!$A$5:$A$289,A509,'Comp2016-2017 (3)'!$R$5:$R$289,V509),0)</f>
        <v>0.12786641295394274</v>
      </c>
      <c r="Y509" s="190">
        <f>IFERROR(IF(RIGHT(F509,3)="Exp",VLOOKUP(F509,#REF!,2,FALSE),VLOOKUP(F509,#REF!,9,FALSE)),1)</f>
        <v>1</v>
      </c>
      <c r="Z509" s="167">
        <f t="shared" si="59"/>
        <v>4.5454545454545456E-2</v>
      </c>
      <c r="AA509" s="189">
        <f t="shared" si="57"/>
        <v>5.81210967972467E-3</v>
      </c>
      <c r="AB509" s="2">
        <f>IFERROR(SUMIFS('Comp2016-2017 (3)'!$G$5:$G$289,'Comp2016-2017 (3)'!$A$5:$A$289,A509,'Comp2016-2017 (3)'!$R$5:$R$289,V509)*AA509/SUMIFS($AA$4:$AA$1116,$A$4:$A$1116,A509,$V$4:$V$1116,V509),0)</f>
        <v>21991.371101402248</v>
      </c>
      <c r="AC509" s="2" t="str">
        <f>IF($W509=AC$3,$AB509,IF(NOT($W509=0),"",SUMIFS('Val-Vol (2)'!AC$4:AC$1116,'Val-Vol (2)'!$A$4:$A$1116,$D509,'Val-Vol (2)'!$V$4:$V$1116,$V509)/SUMIFS('Comp2016-2017 (3)'!$G$5:$G$289,'Comp2016-2017 (3)'!$A$5:$A$289,$D509,'Comp2016-2017 (3)'!$R$5:$R$289,$V509)*$AB509))</f>
        <v/>
      </c>
      <c r="AD509" s="2">
        <f>IF($W509=AD$3,$AB509,IF(NOT($W509=0),"",SUMIFS('Val-Vol (2)'!AD$4:AD$1116,'Val-Vol (2)'!$A$4:$A$1116,$D509,'Val-Vol (2)'!$V$4:$V$1116,$V509)/SUMIFS('Comp2016-2017 (3)'!$G$5:$G$289,'Comp2016-2017 (3)'!$A$5:$A$289,$D509,'Comp2016-2017 (3)'!$R$5:$R$289,$V509)*$AB509))</f>
        <v>21991.371101402248</v>
      </c>
      <c r="AE509" s="2" t="str">
        <f>IF($W509=AE$3,$AB509,IF(NOT($W509=0),"",SUMIFS('Val-Vol (2)'!AE$4:AE$1116,'Val-Vol (2)'!$A$4:$A$1116,$D509,'Val-Vol (2)'!$V$4:$V$1116,$V509)/SUMIFS('Comp2016-2017 (3)'!$G$5:$G$289,'Comp2016-2017 (3)'!$A$5:$A$289,$D509,'Comp2016-2017 (3)'!$R$5:$R$289,$V509)*$AB509))</f>
        <v/>
      </c>
      <c r="AF509" s="2" t="str">
        <f>IF($W509=AF$3,$AB509,IF(NOT($W509=0),"",SUMIFS('Val-Vol (2)'!AF$4:AF$1116,'Val-Vol (2)'!$A$4:$A$1116,$D509,'Val-Vol (2)'!$V$4:$V$1116,$V509)/SUMIFS('Comp2016-2017 (3)'!$G$5:$G$289,'Comp2016-2017 (3)'!$A$5:$A$289,$D509,'Comp2016-2017 (3)'!$R$5:$R$289,$V509)*$AB509))</f>
        <v/>
      </c>
      <c r="AG509" s="2" t="str">
        <f>IF($W509=AG$3,$AB509,IF(NOT($W509=0),"",SUMIFS('Val-Vol (2)'!AG$4:AG$1116,'Val-Vol (2)'!$A$4:$A$1116,$D509,'Val-Vol (2)'!$V$4:$V$1116,$V509)/SUMIFS('Comp2016-2017 (3)'!$G$5:$G$289,'Comp2016-2017 (3)'!$A$5:$A$289,$D509,'Comp2016-2017 (3)'!$R$5:$R$289,$V509)*$AB509))</f>
        <v/>
      </c>
      <c r="AH509" s="2" t="str">
        <f>IF($W509=AH$3,$AB509,IF(NOT($W509=0),"",SUMIFS('Val-Vol (2)'!AH$4:AH$1116,'Val-Vol (2)'!$A$4:$A$1116,$D509,'Val-Vol (2)'!$V$4:$V$1116,$V509)/SUMIFS('Comp2016-2017 (3)'!$G$5:$G$289,'Comp2016-2017 (3)'!$A$5:$A$289,$D509,'Comp2016-2017 (3)'!$R$5:$R$289,$V509)*$AB509))</f>
        <v/>
      </c>
      <c r="AI509" s="2" t="str">
        <f>IF($W509=AI$3,$AB509,IF(NOT($W509=0),"",SUMIFS('Val-Vol (2)'!AI$4:AI$1116,'Val-Vol (2)'!$A$4:$A$1116,$D509,'Val-Vol (2)'!$V$4:$V$1116,$V509)/SUMIFS('Comp2016-2017 (3)'!$G$5:$G$289,'Comp2016-2017 (3)'!$A$5:$A$289,$D509,'Comp2016-2017 (3)'!$R$5:$R$289,$V509)*$AB509))</f>
        <v/>
      </c>
      <c r="AJ509" s="2" t="str">
        <f>IF($W509=AJ$3,$AB509,IF(NOT($W509=0),"",SUMIFS('Val-Vol (2)'!AJ$4:AJ$1116,'Val-Vol (2)'!$A$4:$A$1116,$D509,'Val-Vol (2)'!$V$4:$V$1116,$V509)/SUMIFS('Comp2016-2017 (3)'!$G$5:$G$289,'Comp2016-2017 (3)'!$A$5:$A$289,$D509,'Comp2016-2017 (3)'!$R$5:$R$289,$V509)*$AB509))</f>
        <v/>
      </c>
      <c r="AK509" s="2">
        <f t="shared" si="60"/>
        <v>0</v>
      </c>
      <c r="AL509" t="str">
        <f t="shared" si="56"/>
        <v/>
      </c>
      <c r="AM509" t="str">
        <f>VLOOKUP(A509,'Table corresp.'!$M$4:$U$63,8,FALSE)</f>
        <v>Production intermédiaire</v>
      </c>
      <c r="AN509" t="str">
        <f>VLOOKUP(D509,'Table corresp.'!$M$4:$U$63,9,FALSE)</f>
        <v xml:space="preserve">Mise en œuvre </v>
      </c>
    </row>
    <row r="510" spans="1:40" x14ac:dyDescent="0.25">
      <c r="A510" t="s">
        <v>7</v>
      </c>
      <c r="B510" t="str">
        <f>VLOOKUP(LEFT(A510,3),'Table corresp.'!$A$4:$D$63,3,FALSE)</f>
        <v>Transformation</v>
      </c>
      <c r="C510" t="str">
        <f>VLOOKUP(A510,'Table corresp.'!$M$4:$P$63,4,FALSE)</f>
        <v>Production et transformation de produits bois</v>
      </c>
      <c r="D510" t="s">
        <v>26</v>
      </c>
      <c r="E510" t="str">
        <f>VLOOKUP(LEFT(D510,3),'Table corresp.'!$A$4:$D$63,4,FALSE)</f>
        <v>Transformation</v>
      </c>
      <c r="F510" t="str">
        <f t="shared" si="55"/>
        <v xml:space="preserve">12  - 59 </v>
      </c>
      <c r="G510" s="3">
        <v>3388.9396050541832</v>
      </c>
      <c r="H510" s="3">
        <v>6175.233014030764</v>
      </c>
      <c r="I510" s="3">
        <v>9564.172746846818</v>
      </c>
      <c r="J510" s="3">
        <v>45.904010971023524</v>
      </c>
      <c r="K510" s="3">
        <v>85.423365565133921</v>
      </c>
      <c r="L510" s="3">
        <v>131.32737653615743</v>
      </c>
      <c r="M510" s="3">
        <v>0</v>
      </c>
      <c r="N510" s="3">
        <v>0</v>
      </c>
      <c r="O510" s="3">
        <v>0</v>
      </c>
      <c r="P510" s="3">
        <v>0</v>
      </c>
      <c r="Q510" s="3">
        <v>0</v>
      </c>
      <c r="R510" s="3">
        <v>0</v>
      </c>
      <c r="S510" s="67"/>
      <c r="T510">
        <f>VLOOKUP(A510,'Groupe de branches'!$Z$27:$AM$86,14,FALSE)</f>
        <v>0</v>
      </c>
      <c r="U510">
        <f>VLOOKUP(D510,'Groupe de branches'!$Z$27:$AM$86,14,FALSE)</f>
        <v>0</v>
      </c>
      <c r="V510">
        <v>2017</v>
      </c>
      <c r="W510" t="str">
        <f>VLOOKUP(D510,'Table corresp.'!$M$4:$S$63,7,FALSE)</f>
        <v>Construction</v>
      </c>
      <c r="X510" s="167">
        <f>IFERROR(G510/SUMIFS('Comp2016-2017 (3)'!$I$5:$I$289,'Comp2016-2017 (3)'!$A$5:$A$289,A510,'Comp2016-2017 (3)'!$R$5:$R$289,V510),0)</f>
        <v>4.7274290416151176E-3</v>
      </c>
      <c r="Y510" s="190">
        <f>IFERROR(IF(RIGHT(F510,3)="Exp",VLOOKUP(F510,#REF!,2,FALSE),VLOOKUP(F510,#REF!,9,FALSE)),1)</f>
        <v>1</v>
      </c>
      <c r="Z510" s="167">
        <f t="shared" si="59"/>
        <v>4.5454545454545456E-2</v>
      </c>
      <c r="AA510" s="189">
        <f t="shared" si="57"/>
        <v>2.1488313825523262E-4</v>
      </c>
      <c r="AB510" s="2">
        <f>IFERROR(SUMIFS('Comp2016-2017 (3)'!$G$5:$G$289,'Comp2016-2017 (3)'!$A$5:$A$289,A510,'Comp2016-2017 (3)'!$R$5:$R$289,V510)*AA510/SUMIFS($AA$4:$AA$1116,$A$4:$A$1116,A510,$V$4:$V$1116,V510),0)</f>
        <v>813.05672074457584</v>
      </c>
      <c r="AC510" s="2" t="str">
        <f>IF($W510=AC$3,$AB510,IF(NOT($W510=0),"",SUMIFS('Val-Vol (2)'!AC$4:AC$1116,'Val-Vol (2)'!$A$4:$A$1116,$D510,'Val-Vol (2)'!$V$4:$V$1116,$V510)/SUMIFS('Comp2016-2017 (3)'!$G$5:$G$289,'Comp2016-2017 (3)'!$A$5:$A$289,$D510,'Comp2016-2017 (3)'!$R$5:$R$289,$V510)*$AB510))</f>
        <v/>
      </c>
      <c r="AD510" s="2">
        <f>IF($W510=AD$3,$AB510,IF(NOT($W510=0),"",SUMIFS('Val-Vol (2)'!AD$4:AD$1116,'Val-Vol (2)'!$A$4:$A$1116,$D510,'Val-Vol (2)'!$V$4:$V$1116,$V510)/SUMIFS('Comp2016-2017 (3)'!$G$5:$G$289,'Comp2016-2017 (3)'!$A$5:$A$289,$D510,'Comp2016-2017 (3)'!$R$5:$R$289,$V510)*$AB510))</f>
        <v>813.05672074457584</v>
      </c>
      <c r="AE510" s="2" t="str">
        <f>IF($W510=AE$3,$AB510,IF(NOT($W510=0),"",SUMIFS('Val-Vol (2)'!AE$4:AE$1116,'Val-Vol (2)'!$A$4:$A$1116,$D510,'Val-Vol (2)'!$V$4:$V$1116,$V510)/SUMIFS('Comp2016-2017 (3)'!$G$5:$G$289,'Comp2016-2017 (3)'!$A$5:$A$289,$D510,'Comp2016-2017 (3)'!$R$5:$R$289,$V510)*$AB510))</f>
        <v/>
      </c>
      <c r="AF510" s="2" t="str">
        <f>IF($W510=AF$3,$AB510,IF(NOT($W510=0),"",SUMIFS('Val-Vol (2)'!AF$4:AF$1116,'Val-Vol (2)'!$A$4:$A$1116,$D510,'Val-Vol (2)'!$V$4:$V$1116,$V510)/SUMIFS('Comp2016-2017 (3)'!$G$5:$G$289,'Comp2016-2017 (3)'!$A$5:$A$289,$D510,'Comp2016-2017 (3)'!$R$5:$R$289,$V510)*$AB510))</f>
        <v/>
      </c>
      <c r="AG510" s="2" t="str">
        <f>IF($W510=AG$3,$AB510,IF(NOT($W510=0),"",SUMIFS('Val-Vol (2)'!AG$4:AG$1116,'Val-Vol (2)'!$A$4:$A$1116,$D510,'Val-Vol (2)'!$V$4:$V$1116,$V510)/SUMIFS('Comp2016-2017 (3)'!$G$5:$G$289,'Comp2016-2017 (3)'!$A$5:$A$289,$D510,'Comp2016-2017 (3)'!$R$5:$R$289,$V510)*$AB510))</f>
        <v/>
      </c>
      <c r="AH510" s="2" t="str">
        <f>IF($W510=AH$3,$AB510,IF(NOT($W510=0),"",SUMIFS('Val-Vol (2)'!AH$4:AH$1116,'Val-Vol (2)'!$A$4:$A$1116,$D510,'Val-Vol (2)'!$V$4:$V$1116,$V510)/SUMIFS('Comp2016-2017 (3)'!$G$5:$G$289,'Comp2016-2017 (3)'!$A$5:$A$289,$D510,'Comp2016-2017 (3)'!$R$5:$R$289,$V510)*$AB510))</f>
        <v/>
      </c>
      <c r="AI510" s="2" t="str">
        <f>IF($W510=AI$3,$AB510,IF(NOT($W510=0),"",SUMIFS('Val-Vol (2)'!AI$4:AI$1116,'Val-Vol (2)'!$A$4:$A$1116,$D510,'Val-Vol (2)'!$V$4:$V$1116,$V510)/SUMIFS('Comp2016-2017 (3)'!$G$5:$G$289,'Comp2016-2017 (3)'!$A$5:$A$289,$D510,'Comp2016-2017 (3)'!$R$5:$R$289,$V510)*$AB510))</f>
        <v/>
      </c>
      <c r="AJ510" s="2" t="str">
        <f>IF($W510=AJ$3,$AB510,IF(NOT($W510=0),"",SUMIFS('Val-Vol (2)'!AJ$4:AJ$1116,'Val-Vol (2)'!$A$4:$A$1116,$D510,'Val-Vol (2)'!$V$4:$V$1116,$V510)/SUMIFS('Comp2016-2017 (3)'!$G$5:$G$289,'Comp2016-2017 (3)'!$A$5:$A$289,$D510,'Comp2016-2017 (3)'!$R$5:$R$289,$V510)*$AB510))</f>
        <v/>
      </c>
      <c r="AK510" s="2">
        <f t="shared" si="60"/>
        <v>0</v>
      </c>
      <c r="AL510" t="str">
        <f t="shared" si="56"/>
        <v/>
      </c>
      <c r="AM510" t="str">
        <f>VLOOKUP(A510,'Table corresp.'!$M$4:$U$63,8,FALSE)</f>
        <v>Production intermédiaire</v>
      </c>
      <c r="AN510" t="str">
        <f>VLOOKUP(D510,'Table corresp.'!$M$4:$U$63,9,FALSE)</f>
        <v xml:space="preserve">Mise en œuvre </v>
      </c>
    </row>
    <row r="511" spans="1:40" x14ac:dyDescent="0.25">
      <c r="A511" t="s">
        <v>7</v>
      </c>
      <c r="B511" t="str">
        <f>VLOOKUP(LEFT(A511,3),'Table corresp.'!$A$4:$D$63,3,FALSE)</f>
        <v>Transformation</v>
      </c>
      <c r="C511" t="str">
        <f>VLOOKUP(A511,'Table corresp.'!$M$4:$P$63,4,FALSE)</f>
        <v>Production et transformation de produits bois</v>
      </c>
      <c r="D511" t="s">
        <v>54</v>
      </c>
      <c r="E511" t="str">
        <f>VLOOKUP(LEFT(D511,3),'Table corresp.'!$A$4:$D$63,4,FALSE)</f>
        <v>Consommation finale</v>
      </c>
      <c r="F511" t="str">
        <f t="shared" si="55"/>
        <v>12  - Con</v>
      </c>
      <c r="G511" s="3">
        <v>82441.792692007846</v>
      </c>
      <c r="H511" s="3">
        <v>8993.9744709048027</v>
      </c>
      <c r="I511" s="3">
        <v>91435.768376502674</v>
      </c>
      <c r="J511" s="3">
        <v>725.85118302625381</v>
      </c>
      <c r="K511" s="3">
        <v>81.78471266129138</v>
      </c>
      <c r="L511" s="3">
        <v>807.63589568754514</v>
      </c>
      <c r="M511" s="3">
        <v>0</v>
      </c>
      <c r="N511" s="3">
        <v>0</v>
      </c>
      <c r="O511" s="3">
        <v>0</v>
      </c>
      <c r="P511" s="3">
        <v>0</v>
      </c>
      <c r="Q511" s="3">
        <v>0</v>
      </c>
      <c r="R511" s="3">
        <v>0</v>
      </c>
      <c r="S511" s="67"/>
      <c r="T511">
        <f>VLOOKUP(A511,'Groupe de branches'!$Z$27:$AM$86,14,FALSE)</f>
        <v>0</v>
      </c>
      <c r="U511">
        <f>VLOOKUP(D511,'Groupe de branches'!$Z$27:$AM$86,14,FALSE)</f>
        <v>0</v>
      </c>
      <c r="V511">
        <v>2017</v>
      </c>
      <c r="W511" t="str">
        <f>VLOOKUP(D511,'Table corresp.'!$M$4:$S$63,7,FALSE)</f>
        <v>Consommation finale</v>
      </c>
      <c r="X511" s="167">
        <f>IFERROR(G511/SUMIFS('Comp2016-2017 (3)'!$I$5:$I$289,'Comp2016-2017 (3)'!$A$5:$A$289,A511,'Comp2016-2017 (3)'!$R$5:$R$289,V511),0)</f>
        <v>0.11500285352791929</v>
      </c>
      <c r="Y511" s="190">
        <f>IFERROR(IF(RIGHT(F511,3)="Exp",VLOOKUP(F511,#REF!,2,FALSE),VLOOKUP(F511,#REF!,9,FALSE)),1)</f>
        <v>1</v>
      </c>
      <c r="Z511" s="167">
        <f t="shared" si="59"/>
        <v>4.5454545454545456E-2</v>
      </c>
      <c r="AA511" s="189">
        <f t="shared" si="57"/>
        <v>5.2274024330872405E-3</v>
      </c>
      <c r="AB511" s="2">
        <f>IFERROR(SUMIFS('Comp2016-2017 (3)'!$G$5:$G$289,'Comp2016-2017 (3)'!$A$5:$A$289,A511,'Comp2016-2017 (3)'!$R$5:$R$289,V511)*AA511/SUMIFS($AA$4:$AA$1116,$A$4:$A$1116,A511,$V$4:$V$1116,V511),0)</f>
        <v>19779.005066511461</v>
      </c>
      <c r="AC511" s="2" t="str">
        <f>IF($W511=AC$3,$AB511,IF(NOT($W511=0),"",SUMIFS('Val-Vol (2)'!AC$4:AC$1116,'Val-Vol (2)'!$A$4:$A$1116,$D511,'Val-Vol (2)'!$V$4:$V$1116,$V511)/SUMIFS('Comp2016-2017 (3)'!$G$5:$G$289,'Comp2016-2017 (3)'!$A$5:$A$289,$D511,'Comp2016-2017 (3)'!$R$5:$R$289,$V511)*$AB511))</f>
        <v/>
      </c>
      <c r="AD511" s="2" t="str">
        <f>IF($W511=AD$3,$AB511,IF(NOT($W511=0),"",SUMIFS('Val-Vol (2)'!AD$4:AD$1116,'Val-Vol (2)'!$A$4:$A$1116,$D511,'Val-Vol (2)'!$V$4:$V$1116,$V511)/SUMIFS('Comp2016-2017 (3)'!$G$5:$G$289,'Comp2016-2017 (3)'!$A$5:$A$289,$D511,'Comp2016-2017 (3)'!$R$5:$R$289,$V511)*$AB511))</f>
        <v/>
      </c>
      <c r="AE511" s="2" t="str">
        <f>IF($W511=AE$3,$AB511,IF(NOT($W511=0),"",SUMIFS('Val-Vol (2)'!AE$4:AE$1116,'Val-Vol (2)'!$A$4:$A$1116,$D511,'Val-Vol (2)'!$V$4:$V$1116,$V511)/SUMIFS('Comp2016-2017 (3)'!$G$5:$G$289,'Comp2016-2017 (3)'!$A$5:$A$289,$D511,'Comp2016-2017 (3)'!$R$5:$R$289,$V511)*$AB511))</f>
        <v/>
      </c>
      <c r="AF511" s="2" t="str">
        <f>IF($W511=AF$3,$AB511,IF(NOT($W511=0),"",SUMIFS('Val-Vol (2)'!AF$4:AF$1116,'Val-Vol (2)'!$A$4:$A$1116,$D511,'Val-Vol (2)'!$V$4:$V$1116,$V511)/SUMIFS('Comp2016-2017 (3)'!$G$5:$G$289,'Comp2016-2017 (3)'!$A$5:$A$289,$D511,'Comp2016-2017 (3)'!$R$5:$R$289,$V511)*$AB511))</f>
        <v/>
      </c>
      <c r="AG511" s="2" t="str">
        <f>IF($W511=AG$3,$AB511,IF(NOT($W511=0),"",SUMIFS('Val-Vol (2)'!AG$4:AG$1116,'Val-Vol (2)'!$A$4:$A$1116,$D511,'Val-Vol (2)'!$V$4:$V$1116,$V511)/SUMIFS('Comp2016-2017 (3)'!$G$5:$G$289,'Comp2016-2017 (3)'!$A$5:$A$289,$D511,'Comp2016-2017 (3)'!$R$5:$R$289,$V511)*$AB511))</f>
        <v/>
      </c>
      <c r="AH511" s="2" t="str">
        <f>IF($W511=AH$3,$AB511,IF(NOT($W511=0),"",SUMIFS('Val-Vol (2)'!AH$4:AH$1116,'Val-Vol (2)'!$A$4:$A$1116,$D511,'Val-Vol (2)'!$V$4:$V$1116,$V511)/SUMIFS('Comp2016-2017 (3)'!$G$5:$G$289,'Comp2016-2017 (3)'!$A$5:$A$289,$D511,'Comp2016-2017 (3)'!$R$5:$R$289,$V511)*$AB511))</f>
        <v/>
      </c>
      <c r="AI511" s="2" t="str">
        <f>IF($W511=AI$3,$AB511,IF(NOT($W511=0),"",SUMIFS('Val-Vol (2)'!AI$4:AI$1116,'Val-Vol (2)'!$A$4:$A$1116,$D511,'Val-Vol (2)'!$V$4:$V$1116,$V511)/SUMIFS('Comp2016-2017 (3)'!$G$5:$G$289,'Comp2016-2017 (3)'!$A$5:$A$289,$D511,'Comp2016-2017 (3)'!$R$5:$R$289,$V511)*$AB511))</f>
        <v/>
      </c>
      <c r="AJ511" s="2">
        <f>IF($W511=AJ$3,$AB511,IF(NOT($W511=0),"",SUMIFS('Val-Vol (2)'!AJ$4:AJ$1116,'Val-Vol (2)'!$A$4:$A$1116,$D511,'Val-Vol (2)'!$V$4:$V$1116,$V511)/SUMIFS('Comp2016-2017 (3)'!$G$5:$G$289,'Comp2016-2017 (3)'!$A$5:$A$289,$D511,'Comp2016-2017 (3)'!$R$5:$R$289,$V511)*$AB511))</f>
        <v>19779.005066511461</v>
      </c>
      <c r="AK511" s="2">
        <f t="shared" si="60"/>
        <v>0</v>
      </c>
      <c r="AL511" t="str">
        <f t="shared" si="56"/>
        <v/>
      </c>
      <c r="AM511" t="str">
        <f>VLOOKUP(A511,'Table corresp.'!$M$4:$U$63,8,FALSE)</f>
        <v>Production intermédiaire</v>
      </c>
      <c r="AN511" t="str">
        <f>VLOOKUP(D511,'Table corresp.'!$M$4:$U$63,9,FALSE)</f>
        <v>Consommation finale française</v>
      </c>
    </row>
    <row r="512" spans="1:40" x14ac:dyDescent="0.25">
      <c r="A512" t="s">
        <v>7</v>
      </c>
      <c r="B512" t="str">
        <f>VLOOKUP(LEFT(A512,3),'Table corresp.'!$A$4:$D$63,3,FALSE)</f>
        <v>Transformation</v>
      </c>
      <c r="C512" t="str">
        <f>VLOOKUP(A512,'Table corresp.'!$M$4:$P$63,4,FALSE)</f>
        <v>Production et transformation de produits bois</v>
      </c>
      <c r="D512" t="s">
        <v>53</v>
      </c>
      <c r="E512" t="str">
        <f>VLOOKUP(LEFT(D512,3),'Table corresp.'!$A$4:$D$63,4,FALSE)</f>
        <v>Exportation</v>
      </c>
      <c r="F512" t="str">
        <f t="shared" si="55"/>
        <v>12  - Exp</v>
      </c>
      <c r="G512" s="3">
        <v>35365.24553115663</v>
      </c>
      <c r="H512" s="3">
        <v>0</v>
      </c>
      <c r="I512" s="3">
        <v>35365.245999999999</v>
      </c>
      <c r="J512" s="3">
        <v>400.37712292983036</v>
      </c>
      <c r="K512" s="3">
        <v>0</v>
      </c>
      <c r="L512" s="3">
        <v>400.37712292983036</v>
      </c>
      <c r="M512" s="3">
        <v>0</v>
      </c>
      <c r="N512" s="3">
        <v>0</v>
      </c>
      <c r="O512" s="3">
        <v>0</v>
      </c>
      <c r="P512" s="3">
        <v>0</v>
      </c>
      <c r="Q512" s="3">
        <v>0</v>
      </c>
      <c r="R512" s="3">
        <v>0</v>
      </c>
      <c r="S512" s="67"/>
      <c r="T512">
        <f>VLOOKUP(A512,'Groupe de branches'!$Z$27:$AM$86,14,FALSE)</f>
        <v>0</v>
      </c>
      <c r="U512">
        <f>VLOOKUP(D512,'Groupe de branches'!$Z$27:$AM$86,14,FALSE)</f>
        <v>0</v>
      </c>
      <c r="V512">
        <v>2017</v>
      </c>
      <c r="W512" t="str">
        <f>VLOOKUP(D512,'Table corresp.'!$M$4:$S$63,7,FALSE)</f>
        <v>Exportation</v>
      </c>
      <c r="X512" s="167">
        <f>IFERROR(G512/SUMIFS('Comp2016-2017 (3)'!$I$5:$I$289,'Comp2016-2017 (3)'!$A$5:$A$289,A512,'Comp2016-2017 (3)'!$R$5:$R$289,V512),0)</f>
        <v>4.933303872943056E-2</v>
      </c>
      <c r="Y512" s="190">
        <f>IFERROR(IF(RIGHT(F512,3)="Exp",VLOOKUP(F512,#REF!,2,FALSE),VLOOKUP(F512,#REF!,9,FALSE)),1)</f>
        <v>1</v>
      </c>
      <c r="Z512" s="167">
        <f t="shared" si="59"/>
        <v>4.5454545454545456E-2</v>
      </c>
      <c r="AA512" s="189">
        <f t="shared" si="57"/>
        <v>2.2424108513377527E-3</v>
      </c>
      <c r="AB512" s="2">
        <f>IFERROR(SUMIFS('Comp2016-2017 (3)'!$G$5:$G$289,'Comp2016-2017 (3)'!$A$5:$A$289,A512,'Comp2016-2017 (3)'!$R$5:$R$289,V512)*AA512/SUMIFS($AA$4:$AA$1116,$A$4:$A$1116,A512,$V$4:$V$1116,V512),0)</f>
        <v>8484.6453200304968</v>
      </c>
      <c r="AC512" s="2">
        <f>IF($W512=AC$3,$AB512,IF(NOT($W512=0),"",SUMIFS('Val-Vol (2)'!AC$4:AC$1116,'Val-Vol (2)'!$A$4:$A$1116,$D512,'Val-Vol (2)'!$V$4:$V$1116,$V512)/SUMIFS('Comp2016-2017 (3)'!$G$5:$G$289,'Comp2016-2017 (3)'!$A$5:$A$289,$D512,'Comp2016-2017 (3)'!$R$5:$R$289,$V512)*$AB512))</f>
        <v>8484.6453200304968</v>
      </c>
      <c r="AD512" s="2" t="str">
        <f>IF($W512=AD$3,$AB512,IF(NOT($W512=0),"",SUMIFS('Val-Vol (2)'!AD$4:AD$1116,'Val-Vol (2)'!$A$4:$A$1116,$D512,'Val-Vol (2)'!$V$4:$V$1116,$V512)/SUMIFS('Comp2016-2017 (3)'!$G$5:$G$289,'Comp2016-2017 (3)'!$A$5:$A$289,$D512,'Comp2016-2017 (3)'!$R$5:$R$289,$V512)*$AB512))</f>
        <v/>
      </c>
      <c r="AE512" s="2" t="str">
        <f>IF($W512=AE$3,$AB512,IF(NOT($W512=0),"",SUMIFS('Val-Vol (2)'!AE$4:AE$1116,'Val-Vol (2)'!$A$4:$A$1116,$D512,'Val-Vol (2)'!$V$4:$V$1116,$V512)/SUMIFS('Comp2016-2017 (3)'!$G$5:$G$289,'Comp2016-2017 (3)'!$A$5:$A$289,$D512,'Comp2016-2017 (3)'!$R$5:$R$289,$V512)*$AB512))</f>
        <v/>
      </c>
      <c r="AF512" s="2" t="str">
        <f>IF($W512=AF$3,$AB512,IF(NOT($W512=0),"",SUMIFS('Val-Vol (2)'!AF$4:AF$1116,'Val-Vol (2)'!$A$4:$A$1116,$D512,'Val-Vol (2)'!$V$4:$V$1116,$V512)/SUMIFS('Comp2016-2017 (3)'!$G$5:$G$289,'Comp2016-2017 (3)'!$A$5:$A$289,$D512,'Comp2016-2017 (3)'!$R$5:$R$289,$V512)*$AB512))</f>
        <v/>
      </c>
      <c r="AG512" s="2" t="str">
        <f>IF($W512=AG$3,$AB512,IF(NOT($W512=0),"",SUMIFS('Val-Vol (2)'!AG$4:AG$1116,'Val-Vol (2)'!$A$4:$A$1116,$D512,'Val-Vol (2)'!$V$4:$V$1116,$V512)/SUMIFS('Comp2016-2017 (3)'!$G$5:$G$289,'Comp2016-2017 (3)'!$A$5:$A$289,$D512,'Comp2016-2017 (3)'!$R$5:$R$289,$V512)*$AB512))</f>
        <v/>
      </c>
      <c r="AH512" s="2" t="str">
        <f>IF($W512=AH$3,$AB512,IF(NOT($W512=0),"",SUMIFS('Val-Vol (2)'!AH$4:AH$1116,'Val-Vol (2)'!$A$4:$A$1116,$D512,'Val-Vol (2)'!$V$4:$V$1116,$V512)/SUMIFS('Comp2016-2017 (3)'!$G$5:$G$289,'Comp2016-2017 (3)'!$A$5:$A$289,$D512,'Comp2016-2017 (3)'!$R$5:$R$289,$V512)*$AB512))</f>
        <v/>
      </c>
      <c r="AI512" s="2" t="str">
        <f>IF($W512=AI$3,$AB512,IF(NOT($W512=0),"",SUMIFS('Val-Vol (2)'!AI$4:AI$1116,'Val-Vol (2)'!$A$4:$A$1116,$D512,'Val-Vol (2)'!$V$4:$V$1116,$V512)/SUMIFS('Comp2016-2017 (3)'!$G$5:$G$289,'Comp2016-2017 (3)'!$A$5:$A$289,$D512,'Comp2016-2017 (3)'!$R$5:$R$289,$V512)*$AB512))</f>
        <v/>
      </c>
      <c r="AJ512" s="2" t="str">
        <f>IF($W512=AJ$3,$AB512,IF(NOT($W512=0),"",SUMIFS('Val-Vol (2)'!AJ$4:AJ$1116,'Val-Vol (2)'!$A$4:$A$1116,$D512,'Val-Vol (2)'!$V$4:$V$1116,$V512)/SUMIFS('Comp2016-2017 (3)'!$G$5:$G$289,'Comp2016-2017 (3)'!$A$5:$A$289,$D512,'Comp2016-2017 (3)'!$R$5:$R$289,$V512)*$AB512))</f>
        <v/>
      </c>
      <c r="AK512" s="2">
        <f t="shared" si="60"/>
        <v>0</v>
      </c>
      <c r="AL512" t="str">
        <f t="shared" si="56"/>
        <v/>
      </c>
      <c r="AM512" t="str">
        <f>VLOOKUP(A512,'Table corresp.'!$M$4:$U$63,8,FALSE)</f>
        <v>Production intermédiaire</v>
      </c>
      <c r="AN512" t="str">
        <f>VLOOKUP(D512,'Table corresp.'!$M$4:$U$63,9,FALSE)</f>
        <v>Exportation</v>
      </c>
    </row>
    <row r="513" spans="1:40" x14ac:dyDescent="0.25">
      <c r="A513" t="s">
        <v>8</v>
      </c>
      <c r="B513" t="str">
        <f>VLOOKUP(LEFT(A513,3),'Table corresp.'!$A$4:$D$63,3,FALSE)</f>
        <v>Transformation</v>
      </c>
      <c r="C513" t="str">
        <f>VLOOKUP(A513,'Table corresp.'!$M$4:$P$63,4,FALSE)</f>
        <v>Production et transformation de produits bois</v>
      </c>
      <c r="D513" t="s">
        <v>13</v>
      </c>
      <c r="E513" t="str">
        <f>VLOOKUP(LEFT(D513,3),'Table corresp.'!$A$4:$D$63,4,FALSE)</f>
        <v>Transformation</v>
      </c>
      <c r="F513" t="str">
        <f t="shared" si="55"/>
        <v xml:space="preserve">13  - 20 </v>
      </c>
      <c r="G513" s="3">
        <v>63496.651616698946</v>
      </c>
      <c r="H513" s="3">
        <v>0</v>
      </c>
      <c r="I513" s="3">
        <v>63496.653182472699</v>
      </c>
      <c r="J513" s="3">
        <v>335.76819216852806</v>
      </c>
      <c r="K513" s="3">
        <v>0</v>
      </c>
      <c r="L513" s="3">
        <v>335.76819216852806</v>
      </c>
      <c r="M513" s="3">
        <v>0</v>
      </c>
      <c r="N513" s="3">
        <v>0</v>
      </c>
      <c r="O513" s="3">
        <v>0</v>
      </c>
      <c r="P513" s="3">
        <v>0</v>
      </c>
      <c r="Q513" s="3">
        <v>0</v>
      </c>
      <c r="R513" s="3">
        <v>0</v>
      </c>
      <c r="S513" s="67"/>
      <c r="T513">
        <f>VLOOKUP(A513,'Groupe de branches'!$Z$27:$AM$86,14,FALSE)</f>
        <v>0</v>
      </c>
      <c r="U513">
        <f>VLOOKUP(D513,'Groupe de branches'!$Z$27:$AM$86,14,FALSE)</f>
        <v>0</v>
      </c>
      <c r="V513">
        <v>2017</v>
      </c>
      <c r="W513">
        <f>VLOOKUP(D513,'Table corresp.'!$M$4:$S$63,7,FALSE)</f>
        <v>0</v>
      </c>
      <c r="X513" s="167">
        <f>IFERROR(G513/SUMIFS('Comp2016-2017 (3)'!$I$5:$I$289,'Comp2016-2017 (3)'!$A$5:$A$289,A513,'Comp2016-2017 (3)'!$R$5:$R$289,V513),0)</f>
        <v>0.24277153465465653</v>
      </c>
      <c r="Y513" s="190">
        <f>IFERROR(IF(RIGHT(F513,3)="Exp",VLOOKUP(F513,#REF!,2,FALSE),VLOOKUP(F513,#REF!,9,FALSE)),1)</f>
        <v>1</v>
      </c>
      <c r="Z513" s="167">
        <f t="shared" si="59"/>
        <v>8.3333333333333329E-2</v>
      </c>
      <c r="AA513" s="189">
        <f t="shared" si="57"/>
        <v>2.0230961221221377E-2</v>
      </c>
      <c r="AB513" s="2">
        <f>IFERROR(SUMIFS('Comp2016-2017 (3)'!$G$5:$G$289,'Comp2016-2017 (3)'!$A$5:$A$289,A513,'Comp2016-2017 (3)'!$R$5:$R$289,V513)*AA513/SUMIFS($AA$4:$AA$1116,$A$4:$A$1116,A513,$V$4:$V$1116,V513),0)</f>
        <v>19432.373563927769</v>
      </c>
      <c r="AC513" s="2">
        <f>IF($W513=AC$3,$AB513,IF(NOT($W513=0),"",SUMIFS('Val-Vol (2)'!AC$4:AC$1116,'Val-Vol (2)'!$A$4:$A$1116,$D513,'Val-Vol (2)'!$V$4:$V$1116,$V513)/SUMIFS('Comp2016-2017 (3)'!$G$5:$G$289,'Comp2016-2017 (3)'!$A$5:$A$289,$D513,'Comp2016-2017 (3)'!$R$5:$R$289,$V513)*$AB513))</f>
        <v>2175.3250136499428</v>
      </c>
      <c r="AD513" s="2">
        <f>IF($W513=AD$3,$AB513,IF(NOT($W513=0),"",SUMIFS('Val-Vol (2)'!AD$4:AD$1116,'Val-Vol (2)'!$A$4:$A$1116,$D513,'Val-Vol (2)'!$V$4:$V$1116,$V513)/SUMIFS('Comp2016-2017 (3)'!$G$5:$G$289,'Comp2016-2017 (3)'!$A$5:$A$289,$D513,'Comp2016-2017 (3)'!$R$5:$R$289,$V513)*$AB513))</f>
        <v>10664.808192744003</v>
      </c>
      <c r="AE513" s="2">
        <f>IF($W513=AE$3,$AB513,IF(NOT($W513=0),"",SUMIFS('Val-Vol (2)'!AE$4:AE$1116,'Val-Vol (2)'!$A$4:$A$1116,$D513,'Val-Vol (2)'!$V$4:$V$1116,$V513)/SUMIFS('Comp2016-2017 (3)'!$G$5:$G$289,'Comp2016-2017 (3)'!$A$5:$A$289,$D513,'Comp2016-2017 (3)'!$R$5:$R$289,$V513)*$AB513))</f>
        <v>0</v>
      </c>
      <c r="AF513" s="2">
        <f>IF($W513=AF$3,$AB513,IF(NOT($W513=0),"",SUMIFS('Val-Vol (2)'!AF$4:AF$1116,'Val-Vol (2)'!$A$4:$A$1116,$D513,'Val-Vol (2)'!$V$4:$V$1116,$V513)/SUMIFS('Comp2016-2017 (3)'!$G$5:$G$289,'Comp2016-2017 (3)'!$A$5:$A$289,$D513,'Comp2016-2017 (3)'!$R$5:$R$289,$V513)*$AB513))</f>
        <v>0</v>
      </c>
      <c r="AG513" s="2">
        <f>IF($W513=AG$3,$AB513,IF(NOT($W513=0),"",SUMIFS('Val-Vol (2)'!AG$4:AG$1116,'Val-Vol (2)'!$A$4:$A$1116,$D513,'Val-Vol (2)'!$V$4:$V$1116,$V513)/SUMIFS('Comp2016-2017 (3)'!$G$5:$G$289,'Comp2016-2017 (3)'!$A$5:$A$289,$D513,'Comp2016-2017 (3)'!$R$5:$R$289,$V513)*$AB513))</f>
        <v>0</v>
      </c>
      <c r="AH513" s="2">
        <f>IF($W513=AH$3,$AB513,IF(NOT($W513=0),"",SUMIFS('Val-Vol (2)'!AH$4:AH$1116,'Val-Vol (2)'!$A$4:$A$1116,$D513,'Val-Vol (2)'!$V$4:$V$1116,$V513)/SUMIFS('Comp2016-2017 (3)'!$G$5:$G$289,'Comp2016-2017 (3)'!$A$5:$A$289,$D513,'Comp2016-2017 (3)'!$R$5:$R$289,$V513)*$AB513))</f>
        <v>0</v>
      </c>
      <c r="AI513" s="2">
        <f>IF($W513=AI$3,$AB513,IF(NOT($W513=0),"",SUMIFS('Val-Vol (2)'!AI$4:AI$1116,'Val-Vol (2)'!$A$4:$A$1116,$D513,'Val-Vol (2)'!$V$4:$V$1116,$V513)/SUMIFS('Comp2016-2017 (3)'!$G$5:$G$289,'Comp2016-2017 (3)'!$A$5:$A$289,$D513,'Comp2016-2017 (3)'!$R$5:$R$289,$V513)*$AB513))</f>
        <v>0</v>
      </c>
      <c r="AJ513" s="2">
        <f>IF($W513=AJ$3,$AB513,IF(NOT($W513=0),"",SUMIFS('Val-Vol (2)'!AJ$4:AJ$1116,'Val-Vol (2)'!$A$4:$A$1116,$D513,'Val-Vol (2)'!$V$4:$V$1116,$V513)/SUMIFS('Comp2016-2017 (3)'!$G$5:$G$289,'Comp2016-2017 (3)'!$A$5:$A$289,$D513,'Comp2016-2017 (3)'!$R$5:$R$289,$V513)*$AB513))</f>
        <v>6592.2403575338221</v>
      </c>
      <c r="AK513" s="2">
        <f t="shared" si="60"/>
        <v>0</v>
      </c>
      <c r="AL513" t="str">
        <f t="shared" si="56"/>
        <v/>
      </c>
      <c r="AM513" t="str">
        <f>VLOOKUP(A513,'Table corresp.'!$M$4:$U$63,8,FALSE)</f>
        <v>Production intermédiaire</v>
      </c>
      <c r="AN513" t="str">
        <f>VLOOKUP(D513,'Table corresp.'!$M$4:$U$63,9,FALSE)</f>
        <v>Production intermédiaire</v>
      </c>
    </row>
    <row r="514" spans="1:40" x14ac:dyDescent="0.25">
      <c r="A514" t="s">
        <v>8</v>
      </c>
      <c r="B514" t="str">
        <f>VLOOKUP(LEFT(A514,3),'Table corresp.'!$A$4:$D$63,3,FALSE)</f>
        <v>Transformation</v>
      </c>
      <c r="C514" t="str">
        <f>VLOOKUP(A514,'Table corresp.'!$M$4:$P$63,4,FALSE)</f>
        <v>Production et transformation de produits bois</v>
      </c>
      <c r="D514" t="s">
        <v>14</v>
      </c>
      <c r="E514" t="str">
        <f>VLOOKUP(LEFT(D514,3),'Table corresp.'!$A$4:$D$63,4,FALSE)</f>
        <v>Transformation</v>
      </c>
      <c r="F514" t="str">
        <f t="shared" si="55"/>
        <v>13  - 20b</v>
      </c>
      <c r="G514" s="3">
        <v>6947.8426926555176</v>
      </c>
      <c r="H514" s="3">
        <v>0</v>
      </c>
      <c r="I514" s="3">
        <v>6947.8428639834456</v>
      </c>
      <c r="J514" s="3">
        <v>50.230417073761295</v>
      </c>
      <c r="K514" s="3">
        <v>0</v>
      </c>
      <c r="L514" s="3">
        <v>50.230417073761295</v>
      </c>
      <c r="M514" s="3">
        <v>0</v>
      </c>
      <c r="N514" s="3">
        <v>0</v>
      </c>
      <c r="O514" s="3">
        <v>0</v>
      </c>
      <c r="P514" s="3">
        <v>0</v>
      </c>
      <c r="Q514" s="3">
        <v>0</v>
      </c>
      <c r="R514" s="3">
        <v>0</v>
      </c>
      <c r="S514" s="67"/>
      <c r="T514">
        <f>VLOOKUP(A514,'Groupe de branches'!$Z$27:$AM$86,14,FALSE)</f>
        <v>0</v>
      </c>
      <c r="U514">
        <f>VLOOKUP(D514,'Groupe de branches'!$Z$27:$AM$86,14,FALSE)</f>
        <v>0</v>
      </c>
      <c r="V514">
        <v>2017</v>
      </c>
      <c r="W514">
        <f>VLOOKUP(D514,'Table corresp.'!$M$4:$S$63,7,FALSE)</f>
        <v>0</v>
      </c>
      <c r="X514" s="167">
        <f>IFERROR(G514/SUMIFS('Comp2016-2017 (3)'!$I$5:$I$289,'Comp2016-2017 (3)'!$A$5:$A$289,A514,'Comp2016-2017 (3)'!$R$5:$R$289,V514),0)</f>
        <v>2.6564210711727151E-2</v>
      </c>
      <c r="Y514" s="190">
        <f>IFERROR(IF(RIGHT(F514,3)="Exp",VLOOKUP(F514,#REF!,2,FALSE),VLOOKUP(F514,#REF!,9,FALSE)),1)</f>
        <v>1</v>
      </c>
      <c r="Z514" s="167">
        <f t="shared" si="59"/>
        <v>8.3333333333333329E-2</v>
      </c>
      <c r="AA514" s="189">
        <f t="shared" si="57"/>
        <v>2.2136842259772626E-3</v>
      </c>
      <c r="AB514" s="2">
        <f>IFERROR(SUMIFS('Comp2016-2017 (3)'!$G$5:$G$289,'Comp2016-2017 (3)'!$A$5:$A$289,A514,'Comp2016-2017 (3)'!$R$5:$R$289,V514)*AA514/SUMIFS($AA$4:$AA$1116,$A$4:$A$1116,A514,$V$4:$V$1116,V514),0)</f>
        <v>2126.3022731041269</v>
      </c>
      <c r="AC514" s="2">
        <f>IF($W514=AC$3,$AB514,IF(NOT($W514=0),"",SUMIFS('Val-Vol (2)'!AC$4:AC$1116,'Val-Vol (2)'!$A$4:$A$1116,$D514,'Val-Vol (2)'!$V$4:$V$1116,$V514)/SUMIFS('Comp2016-2017 (3)'!$G$5:$G$289,'Comp2016-2017 (3)'!$A$5:$A$289,$D514,'Comp2016-2017 (3)'!$R$5:$R$289,$V514)*$AB514))</f>
        <v>640.7489121109503</v>
      </c>
      <c r="AD514" s="2">
        <f>IF($W514=AD$3,$AB514,IF(NOT($W514=0),"",SUMIFS('Val-Vol (2)'!AD$4:AD$1116,'Val-Vol (2)'!$A$4:$A$1116,$D514,'Val-Vol (2)'!$V$4:$V$1116,$V514)/SUMIFS('Comp2016-2017 (3)'!$G$5:$G$289,'Comp2016-2017 (3)'!$A$5:$A$289,$D514,'Comp2016-2017 (3)'!$R$5:$R$289,$V514)*$AB514))</f>
        <v>1481.4079588299016</v>
      </c>
      <c r="AE514" s="2">
        <f>IF($W514=AE$3,$AB514,IF(NOT($W514=0),"",SUMIFS('Val-Vol (2)'!AE$4:AE$1116,'Val-Vol (2)'!$A$4:$A$1116,$D514,'Val-Vol (2)'!$V$4:$V$1116,$V514)/SUMIFS('Comp2016-2017 (3)'!$G$5:$G$289,'Comp2016-2017 (3)'!$A$5:$A$289,$D514,'Comp2016-2017 (3)'!$R$5:$R$289,$V514)*$AB514))</f>
        <v>4.1454021632751061</v>
      </c>
      <c r="AF514" s="2">
        <f>IF($W514=AF$3,$AB514,IF(NOT($W514=0),"",SUMIFS('Val-Vol (2)'!AF$4:AF$1116,'Val-Vol (2)'!$A$4:$A$1116,$D514,'Val-Vol (2)'!$V$4:$V$1116,$V514)/SUMIFS('Comp2016-2017 (3)'!$G$5:$G$289,'Comp2016-2017 (3)'!$A$5:$A$289,$D514,'Comp2016-2017 (3)'!$R$5:$R$289,$V514)*$AB514))</f>
        <v>0</v>
      </c>
      <c r="AG514" s="2">
        <f>IF($W514=AG$3,$AB514,IF(NOT($W514=0),"",SUMIFS('Val-Vol (2)'!AG$4:AG$1116,'Val-Vol (2)'!$A$4:$A$1116,$D514,'Val-Vol (2)'!$V$4:$V$1116,$V514)/SUMIFS('Comp2016-2017 (3)'!$G$5:$G$289,'Comp2016-2017 (3)'!$A$5:$A$289,$D514,'Comp2016-2017 (3)'!$R$5:$R$289,$V514)*$AB514))</f>
        <v>0</v>
      </c>
      <c r="AH514" s="2">
        <f>IF($W514=AH$3,$AB514,IF(NOT($W514=0),"",SUMIFS('Val-Vol (2)'!AH$4:AH$1116,'Val-Vol (2)'!$A$4:$A$1116,$D514,'Val-Vol (2)'!$V$4:$V$1116,$V514)/SUMIFS('Comp2016-2017 (3)'!$G$5:$G$289,'Comp2016-2017 (3)'!$A$5:$A$289,$D514,'Comp2016-2017 (3)'!$R$5:$R$289,$V514)*$AB514))</f>
        <v>0</v>
      </c>
      <c r="AI514" s="2">
        <f>IF($W514=AI$3,$AB514,IF(NOT($W514=0),"",SUMIFS('Val-Vol (2)'!AI$4:AI$1116,'Val-Vol (2)'!$A$4:$A$1116,$D514,'Val-Vol (2)'!$V$4:$V$1116,$V514)/SUMIFS('Comp2016-2017 (3)'!$G$5:$G$289,'Comp2016-2017 (3)'!$A$5:$A$289,$D514,'Comp2016-2017 (3)'!$R$5:$R$289,$V514)*$AB514))</f>
        <v>0</v>
      </c>
      <c r="AJ514" s="2">
        <f>IF($W514=AJ$3,$AB514,IF(NOT($W514=0),"",SUMIFS('Val-Vol (2)'!AJ$4:AJ$1116,'Val-Vol (2)'!$A$4:$A$1116,$D514,'Val-Vol (2)'!$V$4:$V$1116,$V514)/SUMIFS('Comp2016-2017 (3)'!$G$5:$G$289,'Comp2016-2017 (3)'!$A$5:$A$289,$D514,'Comp2016-2017 (3)'!$R$5:$R$289,$V514)*$AB514))</f>
        <v>0</v>
      </c>
      <c r="AK514" s="2">
        <f t="shared" si="60"/>
        <v>0</v>
      </c>
      <c r="AL514" t="str">
        <f t="shared" si="56"/>
        <v/>
      </c>
      <c r="AM514" t="str">
        <f>VLOOKUP(A514,'Table corresp.'!$M$4:$U$63,8,FALSE)</f>
        <v>Production intermédiaire</v>
      </c>
      <c r="AN514" t="str">
        <f>VLOOKUP(D514,'Table corresp.'!$M$4:$U$63,9,FALSE)</f>
        <v>Production intermédiaire</v>
      </c>
    </row>
    <row r="515" spans="1:40" x14ac:dyDescent="0.25">
      <c r="A515" t="s">
        <v>8</v>
      </c>
      <c r="B515" t="str">
        <f>VLOOKUP(LEFT(A515,3),'Table corresp.'!$A$4:$D$63,3,FALSE)</f>
        <v>Transformation</v>
      </c>
      <c r="C515" t="str">
        <f>VLOOKUP(A515,'Table corresp.'!$M$4:$P$63,4,FALSE)</f>
        <v>Production et transformation de produits bois</v>
      </c>
      <c r="D515" t="s">
        <v>85</v>
      </c>
      <c r="E515" t="str">
        <f>VLOOKUP(LEFT(D515,3),'Table corresp.'!$A$4:$D$63,4,FALSE)</f>
        <v>Transformation</v>
      </c>
      <c r="F515" t="str">
        <f t="shared" si="55"/>
        <v xml:space="preserve">13  - 29 </v>
      </c>
      <c r="G515" s="3">
        <v>380.6806765552148</v>
      </c>
      <c r="H515" s="3">
        <v>0</v>
      </c>
      <c r="I515" s="3">
        <v>380.68068594247848</v>
      </c>
      <c r="J515" s="3">
        <v>2.9356641096480689</v>
      </c>
      <c r="K515" s="3">
        <v>0</v>
      </c>
      <c r="L515" s="3">
        <v>2.9356641096480689</v>
      </c>
      <c r="M515" s="3">
        <v>0</v>
      </c>
      <c r="N515" s="3">
        <v>0</v>
      </c>
      <c r="O515" s="3">
        <v>0</v>
      </c>
      <c r="P515" s="3">
        <v>0</v>
      </c>
      <c r="Q515" s="3">
        <v>0</v>
      </c>
      <c r="R515" s="3">
        <v>0</v>
      </c>
      <c r="S515" s="67"/>
      <c r="T515">
        <f>VLOOKUP(A515,'Groupe de branches'!$Z$27:$AM$86,14,FALSE)</f>
        <v>0</v>
      </c>
      <c r="U515">
        <f>VLOOKUP(D515,'Groupe de branches'!$Z$27:$AM$86,14,FALSE)</f>
        <v>0</v>
      </c>
      <c r="V515">
        <v>2017</v>
      </c>
      <c r="W515" t="str">
        <f>VLOOKUP(D515,'Table corresp.'!$M$4:$S$63,7,FALSE)</f>
        <v>Construction</v>
      </c>
      <c r="X515" s="167">
        <f>IFERROR(G515/SUMIFS('Comp2016-2017 (3)'!$I$5:$I$289,'Comp2016-2017 (3)'!$A$5:$A$289,A515,'Comp2016-2017 (3)'!$R$5:$R$289,V515),0)</f>
        <v>1.4554851272878357E-3</v>
      </c>
      <c r="Y515" s="190">
        <f>IFERROR(IF(RIGHT(F515,3)="Exp",VLOOKUP(F515,#REF!,2,FALSE),VLOOKUP(F515,#REF!,9,FALSE)),1)</f>
        <v>1</v>
      </c>
      <c r="Z515" s="167">
        <f t="shared" si="59"/>
        <v>8.3333333333333329E-2</v>
      </c>
      <c r="AA515" s="189">
        <f t="shared" si="57"/>
        <v>1.2129042727398631E-4</v>
      </c>
      <c r="AB515" s="2">
        <f>IFERROR(SUMIFS('Comp2016-2017 (3)'!$G$5:$G$289,'Comp2016-2017 (3)'!$A$5:$A$289,A515,'Comp2016-2017 (3)'!$R$5:$R$289,V515)*AA515/SUMIFS($AA$4:$AA$1116,$A$4:$A$1116,A515,$V$4:$V$1116,V515),0)</f>
        <v>116.50266473963519</v>
      </c>
      <c r="AC515" s="2" t="str">
        <f>IF($W515=AC$3,$AB515,IF(NOT($W515=0),"",SUMIFS('Val-Vol (2)'!AC$4:AC$1116,'Val-Vol (2)'!$A$4:$A$1116,$D515,'Val-Vol (2)'!$V$4:$V$1116,$V515)/SUMIFS('Comp2016-2017 (3)'!$G$5:$G$289,'Comp2016-2017 (3)'!$A$5:$A$289,$D515,'Comp2016-2017 (3)'!$R$5:$R$289,$V515)*$AB515))</f>
        <v/>
      </c>
      <c r="AD515" s="2">
        <f>IF($W515=AD$3,$AB515,IF(NOT($W515=0),"",SUMIFS('Val-Vol (2)'!AD$4:AD$1116,'Val-Vol (2)'!$A$4:$A$1116,$D515,'Val-Vol (2)'!$V$4:$V$1116,$V515)/SUMIFS('Comp2016-2017 (3)'!$G$5:$G$289,'Comp2016-2017 (3)'!$A$5:$A$289,$D515,'Comp2016-2017 (3)'!$R$5:$R$289,$V515)*$AB515))</f>
        <v>116.50266473963519</v>
      </c>
      <c r="AE515" s="2" t="str">
        <f>IF($W515=AE$3,$AB515,IF(NOT($W515=0),"",SUMIFS('Val-Vol (2)'!AE$4:AE$1116,'Val-Vol (2)'!$A$4:$A$1116,$D515,'Val-Vol (2)'!$V$4:$V$1116,$V515)/SUMIFS('Comp2016-2017 (3)'!$G$5:$G$289,'Comp2016-2017 (3)'!$A$5:$A$289,$D515,'Comp2016-2017 (3)'!$R$5:$R$289,$V515)*$AB515))</f>
        <v/>
      </c>
      <c r="AF515" s="2" t="str">
        <f>IF($W515=AF$3,$AB515,IF(NOT($W515=0),"",SUMIFS('Val-Vol (2)'!AF$4:AF$1116,'Val-Vol (2)'!$A$4:$A$1116,$D515,'Val-Vol (2)'!$V$4:$V$1116,$V515)/SUMIFS('Comp2016-2017 (3)'!$G$5:$G$289,'Comp2016-2017 (3)'!$A$5:$A$289,$D515,'Comp2016-2017 (3)'!$R$5:$R$289,$V515)*$AB515))</f>
        <v/>
      </c>
      <c r="AG515" s="2" t="str">
        <f>IF($W515=AG$3,$AB515,IF(NOT($W515=0),"",SUMIFS('Val-Vol (2)'!AG$4:AG$1116,'Val-Vol (2)'!$A$4:$A$1116,$D515,'Val-Vol (2)'!$V$4:$V$1116,$V515)/SUMIFS('Comp2016-2017 (3)'!$G$5:$G$289,'Comp2016-2017 (3)'!$A$5:$A$289,$D515,'Comp2016-2017 (3)'!$R$5:$R$289,$V515)*$AB515))</f>
        <v/>
      </c>
      <c r="AH515" s="2" t="str">
        <f>IF($W515=AH$3,$AB515,IF(NOT($W515=0),"",SUMIFS('Val-Vol (2)'!AH$4:AH$1116,'Val-Vol (2)'!$A$4:$A$1116,$D515,'Val-Vol (2)'!$V$4:$V$1116,$V515)/SUMIFS('Comp2016-2017 (3)'!$G$5:$G$289,'Comp2016-2017 (3)'!$A$5:$A$289,$D515,'Comp2016-2017 (3)'!$R$5:$R$289,$V515)*$AB515))</f>
        <v/>
      </c>
      <c r="AI515" s="2" t="str">
        <f>IF($W515=AI$3,$AB515,IF(NOT($W515=0),"",SUMIFS('Val-Vol (2)'!AI$4:AI$1116,'Val-Vol (2)'!$A$4:$A$1116,$D515,'Val-Vol (2)'!$V$4:$V$1116,$V515)/SUMIFS('Comp2016-2017 (3)'!$G$5:$G$289,'Comp2016-2017 (3)'!$A$5:$A$289,$D515,'Comp2016-2017 (3)'!$R$5:$R$289,$V515)*$AB515))</f>
        <v/>
      </c>
      <c r="AJ515" s="2" t="str">
        <f>IF($W515=AJ$3,$AB515,IF(NOT($W515=0),"",SUMIFS('Val-Vol (2)'!AJ$4:AJ$1116,'Val-Vol (2)'!$A$4:$A$1116,$D515,'Val-Vol (2)'!$V$4:$V$1116,$V515)/SUMIFS('Comp2016-2017 (3)'!$G$5:$G$289,'Comp2016-2017 (3)'!$A$5:$A$289,$D515,'Comp2016-2017 (3)'!$R$5:$R$289,$V515)*$AB515))</f>
        <v/>
      </c>
      <c r="AK515" s="2">
        <f t="shared" si="60"/>
        <v>0</v>
      </c>
      <c r="AL515" t="str">
        <f t="shared" si="56"/>
        <v/>
      </c>
      <c r="AM515" t="str">
        <f>VLOOKUP(A515,'Table corresp.'!$M$4:$U$63,8,FALSE)</f>
        <v>Production intermédiaire</v>
      </c>
      <c r="AN515" t="str">
        <f>VLOOKUP(D515,'Table corresp.'!$M$4:$U$63,9,FALSE)</f>
        <v>Production intermédiaire</v>
      </c>
    </row>
    <row r="516" spans="1:40" x14ac:dyDescent="0.25">
      <c r="A516" t="s">
        <v>8</v>
      </c>
      <c r="B516" t="str">
        <f>VLOOKUP(LEFT(A516,3),'Table corresp.'!$A$4:$D$63,3,FALSE)</f>
        <v>Transformation</v>
      </c>
      <c r="C516" t="str">
        <f>VLOOKUP(A516,'Table corresp.'!$M$4:$P$63,4,FALSE)</f>
        <v>Production et transformation de produits bois</v>
      </c>
      <c r="D516" t="s">
        <v>91</v>
      </c>
      <c r="E516" t="str">
        <f>VLOOKUP(LEFT(D516,3),'Table corresp.'!$A$4:$D$63,4,FALSE)</f>
        <v>Transformation</v>
      </c>
      <c r="F516" t="str">
        <f t="shared" ref="F516:F579" si="61">LEFT(A516,3)&amp;" - "&amp;LEFT(D516,3)</f>
        <v xml:space="preserve">13  - 37 </v>
      </c>
      <c r="G516" s="3">
        <v>55547.288640477978</v>
      </c>
      <c r="H516" s="3">
        <v>0</v>
      </c>
      <c r="I516" s="3">
        <v>55547.29001022716</v>
      </c>
      <c r="J516" s="3">
        <v>571.14599082786651</v>
      </c>
      <c r="K516" s="3">
        <v>0</v>
      </c>
      <c r="L516" s="3">
        <v>571.14599082786651</v>
      </c>
      <c r="M516" s="3">
        <v>0</v>
      </c>
      <c r="N516" s="3">
        <v>0</v>
      </c>
      <c r="O516" s="3">
        <v>0</v>
      </c>
      <c r="P516" s="3">
        <v>0</v>
      </c>
      <c r="Q516" s="3">
        <v>0</v>
      </c>
      <c r="R516" s="3">
        <v>0</v>
      </c>
      <c r="S516" s="67"/>
      <c r="T516">
        <f>VLOOKUP(A516,'Groupe de branches'!$Z$27:$AM$86,14,FALSE)</f>
        <v>0</v>
      </c>
      <c r="U516">
        <f>VLOOKUP(D516,'Groupe de branches'!$Z$27:$AM$86,14,FALSE)</f>
        <v>0</v>
      </c>
      <c r="V516">
        <v>2017</v>
      </c>
      <c r="W516" t="str">
        <f>VLOOKUP(D516,'Table corresp.'!$M$4:$S$63,7,FALSE)</f>
        <v>Emballage bois et carton</v>
      </c>
      <c r="X516" s="167">
        <f>IFERROR(G516/SUMIFS('Comp2016-2017 (3)'!$I$5:$I$289,'Comp2016-2017 (3)'!$A$5:$A$289,A516,'Comp2016-2017 (3)'!$R$5:$R$289,V516),0)</f>
        <v>0.21237813594579399</v>
      </c>
      <c r="Y516" s="190">
        <f>IFERROR(IF(RIGHT(F516,3)="Exp",VLOOKUP(F516,#REF!,2,FALSE),VLOOKUP(F516,#REF!,9,FALSE)),1)</f>
        <v>1</v>
      </c>
      <c r="Z516" s="167">
        <f t="shared" si="59"/>
        <v>8.3333333333333329E-2</v>
      </c>
      <c r="AA516" s="189">
        <f t="shared" si="57"/>
        <v>1.7698177995482831E-2</v>
      </c>
      <c r="AB516" s="2">
        <f>IFERROR(SUMIFS('Comp2016-2017 (3)'!$G$5:$G$289,'Comp2016-2017 (3)'!$A$5:$A$289,A516,'Comp2016-2017 (3)'!$R$5:$R$289,V516)*AA516/SUMIFS($AA$4:$AA$1116,$A$4:$A$1116,A516,$V$4:$V$1116,V516),0)</f>
        <v>16999.568258197956</v>
      </c>
      <c r="AC516" s="2" t="str">
        <f>IF($W516=AC$3,$AB516,IF(NOT($W516=0),"",SUMIFS('Val-Vol (2)'!AC$4:AC$1116,'Val-Vol (2)'!$A$4:$A$1116,$D516,'Val-Vol (2)'!$V$4:$V$1116,$V516)/SUMIFS('Comp2016-2017 (3)'!$G$5:$G$289,'Comp2016-2017 (3)'!$A$5:$A$289,$D516,'Comp2016-2017 (3)'!$R$5:$R$289,$V516)*$AB516))</f>
        <v/>
      </c>
      <c r="AD516" s="2" t="str">
        <f>IF($W516=AD$3,$AB516,IF(NOT($W516=0),"",SUMIFS('Val-Vol (2)'!AD$4:AD$1116,'Val-Vol (2)'!$A$4:$A$1116,$D516,'Val-Vol (2)'!$V$4:$V$1116,$V516)/SUMIFS('Comp2016-2017 (3)'!$G$5:$G$289,'Comp2016-2017 (3)'!$A$5:$A$289,$D516,'Comp2016-2017 (3)'!$R$5:$R$289,$V516)*$AB516))</f>
        <v/>
      </c>
      <c r="AE516" s="2" t="str">
        <f>IF($W516=AE$3,$AB516,IF(NOT($W516=0),"",SUMIFS('Val-Vol (2)'!AE$4:AE$1116,'Val-Vol (2)'!$A$4:$A$1116,$D516,'Val-Vol (2)'!$V$4:$V$1116,$V516)/SUMIFS('Comp2016-2017 (3)'!$G$5:$G$289,'Comp2016-2017 (3)'!$A$5:$A$289,$D516,'Comp2016-2017 (3)'!$R$5:$R$289,$V516)*$AB516))</f>
        <v/>
      </c>
      <c r="AF516" s="2" t="str">
        <f>IF($W516=AF$3,$AB516,IF(NOT($W516=0),"",SUMIFS('Val-Vol (2)'!AF$4:AF$1116,'Val-Vol (2)'!$A$4:$A$1116,$D516,'Val-Vol (2)'!$V$4:$V$1116,$V516)/SUMIFS('Comp2016-2017 (3)'!$G$5:$G$289,'Comp2016-2017 (3)'!$A$5:$A$289,$D516,'Comp2016-2017 (3)'!$R$5:$R$289,$V516)*$AB516))</f>
        <v/>
      </c>
      <c r="AG516" s="2">
        <f>IF($W516=AG$3,$AB516,IF(NOT($W516=0),"",SUMIFS('Val-Vol (2)'!AG$4:AG$1116,'Val-Vol (2)'!$A$4:$A$1116,$D516,'Val-Vol (2)'!$V$4:$V$1116,$V516)/SUMIFS('Comp2016-2017 (3)'!$G$5:$G$289,'Comp2016-2017 (3)'!$A$5:$A$289,$D516,'Comp2016-2017 (3)'!$R$5:$R$289,$V516)*$AB516))</f>
        <v>16999.568258197956</v>
      </c>
      <c r="AH516" s="2" t="str">
        <f>IF($W516=AH$3,$AB516,IF(NOT($W516=0),"",SUMIFS('Val-Vol (2)'!AH$4:AH$1116,'Val-Vol (2)'!$A$4:$A$1116,$D516,'Val-Vol (2)'!$V$4:$V$1116,$V516)/SUMIFS('Comp2016-2017 (3)'!$G$5:$G$289,'Comp2016-2017 (3)'!$A$5:$A$289,$D516,'Comp2016-2017 (3)'!$R$5:$R$289,$V516)*$AB516))</f>
        <v/>
      </c>
      <c r="AI516" s="2" t="str">
        <f>IF($W516=AI$3,$AB516,IF(NOT($W516=0),"",SUMIFS('Val-Vol (2)'!AI$4:AI$1116,'Val-Vol (2)'!$A$4:$A$1116,$D516,'Val-Vol (2)'!$V$4:$V$1116,$V516)/SUMIFS('Comp2016-2017 (3)'!$G$5:$G$289,'Comp2016-2017 (3)'!$A$5:$A$289,$D516,'Comp2016-2017 (3)'!$R$5:$R$289,$V516)*$AB516))</f>
        <v/>
      </c>
      <c r="AJ516" s="2" t="str">
        <f>IF($W516=AJ$3,$AB516,IF(NOT($W516=0),"",SUMIFS('Val-Vol (2)'!AJ$4:AJ$1116,'Val-Vol (2)'!$A$4:$A$1116,$D516,'Val-Vol (2)'!$V$4:$V$1116,$V516)/SUMIFS('Comp2016-2017 (3)'!$G$5:$G$289,'Comp2016-2017 (3)'!$A$5:$A$289,$D516,'Comp2016-2017 (3)'!$R$5:$R$289,$V516)*$AB516))</f>
        <v/>
      </c>
      <c r="AK516" s="2">
        <f t="shared" si="60"/>
        <v>0</v>
      </c>
      <c r="AL516" t="str">
        <f t="shared" ref="AL516:AL579" si="62">IF(A516=D516,"remplir à la main","")</f>
        <v/>
      </c>
      <c r="AM516" t="str">
        <f>VLOOKUP(A516,'Table corresp.'!$M$4:$U$63,8,FALSE)</f>
        <v>Production intermédiaire</v>
      </c>
      <c r="AN516" t="str">
        <f>VLOOKUP(D516,'Table corresp.'!$M$4:$U$63,9,FALSE)</f>
        <v>Production finale</v>
      </c>
    </row>
    <row r="517" spans="1:40" x14ac:dyDescent="0.25">
      <c r="A517" t="s">
        <v>8</v>
      </c>
      <c r="B517" t="str">
        <f>VLOOKUP(LEFT(A517,3),'Table corresp.'!$A$4:$D$63,3,FALSE)</f>
        <v>Transformation</v>
      </c>
      <c r="C517" t="str">
        <f>VLOOKUP(A517,'Table corresp.'!$M$4:$P$63,4,FALSE)</f>
        <v>Production et transformation de produits bois</v>
      </c>
      <c r="D517" t="s">
        <v>92</v>
      </c>
      <c r="E517" t="str">
        <f>VLOOKUP(LEFT(D517,3),'Table corresp.'!$A$4:$D$63,4,FALSE)</f>
        <v>Transformation</v>
      </c>
      <c r="F517" t="str">
        <f t="shared" si="61"/>
        <v xml:space="preserve">13  - 40 </v>
      </c>
      <c r="G517" s="3">
        <v>10317.840281546236</v>
      </c>
      <c r="H517" s="3">
        <v>0</v>
      </c>
      <c r="I517" s="3">
        <v>10317.840535975456</v>
      </c>
      <c r="J517" s="3">
        <v>93.242867528934298</v>
      </c>
      <c r="K517" s="3">
        <v>0</v>
      </c>
      <c r="L517" s="3">
        <v>93.242867528934298</v>
      </c>
      <c r="M517" s="3">
        <v>0</v>
      </c>
      <c r="N517" s="3">
        <v>0</v>
      </c>
      <c r="O517" s="3">
        <v>0</v>
      </c>
      <c r="P517" s="3">
        <v>0</v>
      </c>
      <c r="Q517" s="3">
        <v>0</v>
      </c>
      <c r="R517" s="3">
        <v>0</v>
      </c>
      <c r="S517" s="67"/>
      <c r="T517">
        <f>VLOOKUP(A517,'Groupe de branches'!$Z$27:$AM$86,14,FALSE)</f>
        <v>0</v>
      </c>
      <c r="U517">
        <f>VLOOKUP(D517,'Groupe de branches'!$Z$27:$AM$86,14,FALSE)</f>
        <v>0</v>
      </c>
      <c r="V517">
        <v>2017</v>
      </c>
      <c r="W517" t="str">
        <f>VLOOKUP(D517,'Table corresp.'!$M$4:$S$63,7,FALSE)</f>
        <v>Construction</v>
      </c>
      <c r="X517" s="167">
        <f>IFERROR(G517/SUMIFS('Comp2016-2017 (3)'!$I$5:$I$289,'Comp2016-2017 (3)'!$A$5:$A$289,A517,'Comp2016-2017 (3)'!$R$5:$R$289,V517),0)</f>
        <v>3.9448976531761826E-2</v>
      </c>
      <c r="Y517" s="190">
        <f>IFERROR(IF(RIGHT(F517,3)="Exp",VLOOKUP(F517,#REF!,2,FALSE),VLOOKUP(F517,#REF!,9,FALSE)),1)</f>
        <v>1</v>
      </c>
      <c r="Z517" s="167">
        <f t="shared" si="59"/>
        <v>8.3333333333333329E-2</v>
      </c>
      <c r="AA517" s="189">
        <f t="shared" ref="AA517:AA580" si="63">X517*Z517</f>
        <v>3.2874147109801521E-3</v>
      </c>
      <c r="AB517" s="2">
        <f>IFERROR(SUMIFS('Comp2016-2017 (3)'!$G$5:$G$289,'Comp2016-2017 (3)'!$A$5:$A$289,A517,'Comp2016-2017 (3)'!$R$5:$R$289,V517)*AA517/SUMIFS($AA$4:$AA$1116,$A$4:$A$1116,A517,$V$4:$V$1116,V517),0)</f>
        <v>3157.6488148426829</v>
      </c>
      <c r="AC517" s="2" t="str">
        <f>IF($W517=AC$3,$AB517,IF(NOT($W517=0),"",SUMIFS('Val-Vol (2)'!AC$4:AC$1116,'Val-Vol (2)'!$A$4:$A$1116,$D517,'Val-Vol (2)'!$V$4:$V$1116,$V517)/SUMIFS('Comp2016-2017 (3)'!$G$5:$G$289,'Comp2016-2017 (3)'!$A$5:$A$289,$D517,'Comp2016-2017 (3)'!$R$5:$R$289,$V517)*$AB517))</f>
        <v/>
      </c>
      <c r="AD517" s="2">
        <f>IF($W517=AD$3,$AB517,IF(NOT($W517=0),"",SUMIFS('Val-Vol (2)'!AD$4:AD$1116,'Val-Vol (2)'!$A$4:$A$1116,$D517,'Val-Vol (2)'!$V$4:$V$1116,$V517)/SUMIFS('Comp2016-2017 (3)'!$G$5:$G$289,'Comp2016-2017 (3)'!$A$5:$A$289,$D517,'Comp2016-2017 (3)'!$R$5:$R$289,$V517)*$AB517))</f>
        <v>3157.6488148426829</v>
      </c>
      <c r="AE517" s="2" t="str">
        <f>IF($W517=AE$3,$AB517,IF(NOT($W517=0),"",SUMIFS('Val-Vol (2)'!AE$4:AE$1116,'Val-Vol (2)'!$A$4:$A$1116,$D517,'Val-Vol (2)'!$V$4:$V$1116,$V517)/SUMIFS('Comp2016-2017 (3)'!$G$5:$G$289,'Comp2016-2017 (3)'!$A$5:$A$289,$D517,'Comp2016-2017 (3)'!$R$5:$R$289,$V517)*$AB517))</f>
        <v/>
      </c>
      <c r="AF517" s="2" t="str">
        <f>IF($W517=AF$3,$AB517,IF(NOT($W517=0),"",SUMIFS('Val-Vol (2)'!AF$4:AF$1116,'Val-Vol (2)'!$A$4:$A$1116,$D517,'Val-Vol (2)'!$V$4:$V$1116,$V517)/SUMIFS('Comp2016-2017 (3)'!$G$5:$G$289,'Comp2016-2017 (3)'!$A$5:$A$289,$D517,'Comp2016-2017 (3)'!$R$5:$R$289,$V517)*$AB517))</f>
        <v/>
      </c>
      <c r="AG517" s="2" t="str">
        <f>IF($W517=AG$3,$AB517,IF(NOT($W517=0),"",SUMIFS('Val-Vol (2)'!AG$4:AG$1116,'Val-Vol (2)'!$A$4:$A$1116,$D517,'Val-Vol (2)'!$V$4:$V$1116,$V517)/SUMIFS('Comp2016-2017 (3)'!$G$5:$G$289,'Comp2016-2017 (3)'!$A$5:$A$289,$D517,'Comp2016-2017 (3)'!$R$5:$R$289,$V517)*$AB517))</f>
        <v/>
      </c>
      <c r="AH517" s="2" t="str">
        <f>IF($W517=AH$3,$AB517,IF(NOT($W517=0),"",SUMIFS('Val-Vol (2)'!AH$4:AH$1116,'Val-Vol (2)'!$A$4:$A$1116,$D517,'Val-Vol (2)'!$V$4:$V$1116,$V517)/SUMIFS('Comp2016-2017 (3)'!$G$5:$G$289,'Comp2016-2017 (3)'!$A$5:$A$289,$D517,'Comp2016-2017 (3)'!$R$5:$R$289,$V517)*$AB517))</f>
        <v/>
      </c>
      <c r="AI517" s="2" t="str">
        <f>IF($W517=AI$3,$AB517,IF(NOT($W517=0),"",SUMIFS('Val-Vol (2)'!AI$4:AI$1116,'Val-Vol (2)'!$A$4:$A$1116,$D517,'Val-Vol (2)'!$V$4:$V$1116,$V517)/SUMIFS('Comp2016-2017 (3)'!$G$5:$G$289,'Comp2016-2017 (3)'!$A$5:$A$289,$D517,'Comp2016-2017 (3)'!$R$5:$R$289,$V517)*$AB517))</f>
        <v/>
      </c>
      <c r="AJ517" s="2" t="str">
        <f>IF($W517=AJ$3,$AB517,IF(NOT($W517=0),"",SUMIFS('Val-Vol (2)'!AJ$4:AJ$1116,'Val-Vol (2)'!$A$4:$A$1116,$D517,'Val-Vol (2)'!$V$4:$V$1116,$V517)/SUMIFS('Comp2016-2017 (3)'!$G$5:$G$289,'Comp2016-2017 (3)'!$A$5:$A$289,$D517,'Comp2016-2017 (3)'!$R$5:$R$289,$V517)*$AB517))</f>
        <v/>
      </c>
      <c r="AK517" s="2">
        <f t="shared" si="60"/>
        <v>0</v>
      </c>
      <c r="AL517" t="str">
        <f t="shared" si="62"/>
        <v/>
      </c>
      <c r="AM517" t="str">
        <f>VLOOKUP(A517,'Table corresp.'!$M$4:$U$63,8,FALSE)</f>
        <v>Production intermédiaire</v>
      </c>
      <c r="AN517" t="str">
        <f>VLOOKUP(D517,'Table corresp.'!$M$4:$U$63,9,FALSE)</f>
        <v>Production finale</v>
      </c>
    </row>
    <row r="518" spans="1:40" x14ac:dyDescent="0.25">
      <c r="A518" t="s">
        <v>8</v>
      </c>
      <c r="B518" t="str">
        <f>VLOOKUP(LEFT(A518,3),'Table corresp.'!$A$4:$D$63,3,FALSE)</f>
        <v>Transformation</v>
      </c>
      <c r="C518" t="str">
        <f>VLOOKUP(A518,'Table corresp.'!$M$4:$P$63,4,FALSE)</f>
        <v>Production et transformation de produits bois</v>
      </c>
      <c r="D518" t="s">
        <v>19</v>
      </c>
      <c r="E518" t="str">
        <f>VLOOKUP(LEFT(D518,3),'Table corresp.'!$A$4:$D$63,4,FALSE)</f>
        <v>Transformation</v>
      </c>
      <c r="F518" t="str">
        <f t="shared" si="61"/>
        <v xml:space="preserve">13  - 52 </v>
      </c>
      <c r="G518" s="3">
        <v>1823.4753162521592</v>
      </c>
      <c r="H518" s="3">
        <v>0</v>
      </c>
      <c r="I518" s="3">
        <v>1823.4753612175191</v>
      </c>
      <c r="J518" s="3">
        <v>18.749261066400003</v>
      </c>
      <c r="K518" s="3">
        <v>0</v>
      </c>
      <c r="L518" s="3">
        <v>18.749261066400003</v>
      </c>
      <c r="M518" s="3">
        <v>0</v>
      </c>
      <c r="N518" s="3">
        <v>0</v>
      </c>
      <c r="O518" s="3">
        <v>0</v>
      </c>
      <c r="P518" s="3">
        <v>0</v>
      </c>
      <c r="Q518" s="3">
        <v>0</v>
      </c>
      <c r="R518" s="3">
        <v>0</v>
      </c>
      <c r="S518" s="67"/>
      <c r="T518">
        <f>VLOOKUP(A518,'Groupe de branches'!$Z$27:$AM$86,14,FALSE)</f>
        <v>0</v>
      </c>
      <c r="U518">
        <f>VLOOKUP(D518,'Groupe de branches'!$Z$27:$AM$86,14,FALSE)</f>
        <v>0</v>
      </c>
      <c r="V518">
        <v>2017</v>
      </c>
      <c r="W518" t="str">
        <f>VLOOKUP(D518,'Table corresp.'!$M$4:$S$63,7,FALSE)</f>
        <v>Construction</v>
      </c>
      <c r="X518" s="167">
        <f>IFERROR(G518/SUMIFS('Comp2016-2017 (3)'!$I$5:$I$289,'Comp2016-2017 (3)'!$A$5:$A$289,A518,'Comp2016-2017 (3)'!$R$5:$R$289,V518),0)</f>
        <v>6.9718306345306512E-3</v>
      </c>
      <c r="Y518" s="190">
        <f>IFERROR(IF(RIGHT(F518,3)="Exp",VLOOKUP(F518,#REF!,2,FALSE),VLOOKUP(F518,#REF!,9,FALSE)),1)</f>
        <v>1</v>
      </c>
      <c r="Z518" s="167">
        <f t="shared" si="59"/>
        <v>8.3333333333333329E-2</v>
      </c>
      <c r="AA518" s="189">
        <f t="shared" si="63"/>
        <v>5.8098588621088756E-4</v>
      </c>
      <c r="AB518" s="2">
        <f>IFERROR(SUMIFS('Comp2016-2017 (3)'!$G$5:$G$289,'Comp2016-2017 (3)'!$A$5:$A$289,A518,'Comp2016-2017 (3)'!$R$5:$R$289,V518)*AA518/SUMIFS($AA$4:$AA$1116,$A$4:$A$1116,A518,$V$4:$V$1116,V518),0)</f>
        <v>558.05231658379921</v>
      </c>
      <c r="AC518" s="2" t="str">
        <f>IF($W518=AC$3,$AB518,IF(NOT($W518=0),"",SUMIFS('Val-Vol (2)'!AC$4:AC$1116,'Val-Vol (2)'!$A$4:$A$1116,$D518,'Val-Vol (2)'!$V$4:$V$1116,$V518)/SUMIFS('Comp2016-2017 (3)'!$G$5:$G$289,'Comp2016-2017 (3)'!$A$5:$A$289,$D518,'Comp2016-2017 (3)'!$R$5:$R$289,$V518)*$AB518))</f>
        <v/>
      </c>
      <c r="AD518" s="2">
        <f>IF($W518=AD$3,$AB518,IF(NOT($W518=0),"",SUMIFS('Val-Vol (2)'!AD$4:AD$1116,'Val-Vol (2)'!$A$4:$A$1116,$D518,'Val-Vol (2)'!$V$4:$V$1116,$V518)/SUMIFS('Comp2016-2017 (3)'!$G$5:$G$289,'Comp2016-2017 (3)'!$A$5:$A$289,$D518,'Comp2016-2017 (3)'!$R$5:$R$289,$V518)*$AB518))</f>
        <v>558.05231658379921</v>
      </c>
      <c r="AE518" s="2" t="str">
        <f>IF($W518=AE$3,$AB518,IF(NOT($W518=0),"",SUMIFS('Val-Vol (2)'!AE$4:AE$1116,'Val-Vol (2)'!$A$4:$A$1116,$D518,'Val-Vol (2)'!$V$4:$V$1116,$V518)/SUMIFS('Comp2016-2017 (3)'!$G$5:$G$289,'Comp2016-2017 (3)'!$A$5:$A$289,$D518,'Comp2016-2017 (3)'!$R$5:$R$289,$V518)*$AB518))</f>
        <v/>
      </c>
      <c r="AF518" s="2" t="str">
        <f>IF($W518=AF$3,$AB518,IF(NOT($W518=0),"",SUMIFS('Val-Vol (2)'!AF$4:AF$1116,'Val-Vol (2)'!$A$4:$A$1116,$D518,'Val-Vol (2)'!$V$4:$V$1116,$V518)/SUMIFS('Comp2016-2017 (3)'!$G$5:$G$289,'Comp2016-2017 (3)'!$A$5:$A$289,$D518,'Comp2016-2017 (3)'!$R$5:$R$289,$V518)*$AB518))</f>
        <v/>
      </c>
      <c r="AG518" s="2" t="str">
        <f>IF($W518=AG$3,$AB518,IF(NOT($W518=0),"",SUMIFS('Val-Vol (2)'!AG$4:AG$1116,'Val-Vol (2)'!$A$4:$A$1116,$D518,'Val-Vol (2)'!$V$4:$V$1116,$V518)/SUMIFS('Comp2016-2017 (3)'!$G$5:$G$289,'Comp2016-2017 (3)'!$A$5:$A$289,$D518,'Comp2016-2017 (3)'!$R$5:$R$289,$V518)*$AB518))</f>
        <v/>
      </c>
      <c r="AH518" s="2" t="str">
        <f>IF($W518=AH$3,$AB518,IF(NOT($W518=0),"",SUMIFS('Val-Vol (2)'!AH$4:AH$1116,'Val-Vol (2)'!$A$4:$A$1116,$D518,'Val-Vol (2)'!$V$4:$V$1116,$V518)/SUMIFS('Comp2016-2017 (3)'!$G$5:$G$289,'Comp2016-2017 (3)'!$A$5:$A$289,$D518,'Comp2016-2017 (3)'!$R$5:$R$289,$V518)*$AB518))</f>
        <v/>
      </c>
      <c r="AI518" s="2" t="str">
        <f>IF($W518=AI$3,$AB518,IF(NOT($W518=0),"",SUMIFS('Val-Vol (2)'!AI$4:AI$1116,'Val-Vol (2)'!$A$4:$A$1116,$D518,'Val-Vol (2)'!$V$4:$V$1116,$V518)/SUMIFS('Comp2016-2017 (3)'!$G$5:$G$289,'Comp2016-2017 (3)'!$A$5:$A$289,$D518,'Comp2016-2017 (3)'!$R$5:$R$289,$V518)*$AB518))</f>
        <v/>
      </c>
      <c r="AJ518" s="2" t="str">
        <f>IF($W518=AJ$3,$AB518,IF(NOT($W518=0),"",SUMIFS('Val-Vol (2)'!AJ$4:AJ$1116,'Val-Vol (2)'!$A$4:$A$1116,$D518,'Val-Vol (2)'!$V$4:$V$1116,$V518)/SUMIFS('Comp2016-2017 (3)'!$G$5:$G$289,'Comp2016-2017 (3)'!$A$5:$A$289,$D518,'Comp2016-2017 (3)'!$R$5:$R$289,$V518)*$AB518))</f>
        <v/>
      </c>
      <c r="AK518" s="2">
        <f t="shared" si="60"/>
        <v>0</v>
      </c>
      <c r="AL518" t="str">
        <f t="shared" si="62"/>
        <v/>
      </c>
      <c r="AM518" t="str">
        <f>VLOOKUP(A518,'Table corresp.'!$M$4:$U$63,8,FALSE)</f>
        <v>Production intermédiaire</v>
      </c>
      <c r="AN518" t="str">
        <f>VLOOKUP(D518,'Table corresp.'!$M$4:$U$63,9,FALSE)</f>
        <v xml:space="preserve">Mise en œuvre </v>
      </c>
    </row>
    <row r="519" spans="1:40" x14ac:dyDescent="0.25">
      <c r="A519" t="s">
        <v>8</v>
      </c>
      <c r="B519" t="str">
        <f>VLOOKUP(LEFT(A519,3),'Table corresp.'!$A$4:$D$63,3,FALSE)</f>
        <v>Transformation</v>
      </c>
      <c r="C519" t="str">
        <f>VLOOKUP(A519,'Table corresp.'!$M$4:$P$63,4,FALSE)</f>
        <v>Production et transformation de produits bois</v>
      </c>
      <c r="D519" t="s">
        <v>21</v>
      </c>
      <c r="E519" t="str">
        <f>VLOOKUP(LEFT(D519,3),'Table corresp.'!$A$4:$D$63,4,FALSE)</f>
        <v>Transformation</v>
      </c>
      <c r="F519" t="str">
        <f t="shared" si="61"/>
        <v xml:space="preserve">13  - 54 </v>
      </c>
      <c r="G519" s="3">
        <v>5054.8375818541735</v>
      </c>
      <c r="H519" s="3">
        <v>0</v>
      </c>
      <c r="I519" s="3">
        <v>5054.837706502195</v>
      </c>
      <c r="J519" s="3">
        <v>18.710869681242293</v>
      </c>
      <c r="K519" s="3">
        <v>0</v>
      </c>
      <c r="L519" s="3">
        <v>18.710869681242293</v>
      </c>
      <c r="M519" s="3">
        <v>0</v>
      </c>
      <c r="N519" s="3">
        <v>0</v>
      </c>
      <c r="O519" s="3">
        <v>0</v>
      </c>
      <c r="P519" s="3">
        <v>0</v>
      </c>
      <c r="Q519" s="3">
        <v>0</v>
      </c>
      <c r="R519" s="3">
        <v>0</v>
      </c>
      <c r="S519" s="67"/>
      <c r="T519">
        <f>VLOOKUP(A519,'Groupe de branches'!$Z$27:$AM$86,14,FALSE)</f>
        <v>0</v>
      </c>
      <c r="U519">
        <f>VLOOKUP(D519,'Groupe de branches'!$Z$27:$AM$86,14,FALSE)</f>
        <v>0</v>
      </c>
      <c r="V519">
        <v>2017</v>
      </c>
      <c r="W519" t="str">
        <f>VLOOKUP(D519,'Table corresp.'!$M$4:$S$63,7,FALSE)</f>
        <v>Construction</v>
      </c>
      <c r="X519" s="167">
        <f>IFERROR(G519/SUMIFS('Comp2016-2017 (3)'!$I$5:$I$289,'Comp2016-2017 (3)'!$A$5:$A$289,A519,'Comp2016-2017 (3)'!$R$5:$R$289,V519),0)</f>
        <v>1.9326541572375414E-2</v>
      </c>
      <c r="Y519" s="190">
        <f>IFERROR(IF(RIGHT(F519,3)="Exp",VLOOKUP(F519,#REF!,2,FALSE),VLOOKUP(F519,#REF!,9,FALSE)),1)</f>
        <v>1</v>
      </c>
      <c r="Z519" s="167">
        <f t="shared" si="59"/>
        <v>8.3333333333333329E-2</v>
      </c>
      <c r="AA519" s="189">
        <f t="shared" si="63"/>
        <v>1.6105451310312845E-3</v>
      </c>
      <c r="AB519" s="2">
        <f>IFERROR(SUMIFS('Comp2016-2017 (3)'!$G$5:$G$289,'Comp2016-2017 (3)'!$A$5:$A$289,A519,'Comp2016-2017 (3)'!$R$5:$R$289,V519)*AA519/SUMIFS($AA$4:$AA$1116,$A$4:$A$1116,A519,$V$4:$V$1116,V519),0)</f>
        <v>1546.971213356687</v>
      </c>
      <c r="AC519" s="2" t="str">
        <f>IF($W519=AC$3,$AB519,IF(NOT($W519=0),"",SUMIFS('Val-Vol (2)'!AC$4:AC$1116,'Val-Vol (2)'!$A$4:$A$1116,$D519,'Val-Vol (2)'!$V$4:$V$1116,$V519)/SUMIFS('Comp2016-2017 (3)'!$G$5:$G$289,'Comp2016-2017 (3)'!$A$5:$A$289,$D519,'Comp2016-2017 (3)'!$R$5:$R$289,$V519)*$AB519))</f>
        <v/>
      </c>
      <c r="AD519" s="2">
        <f>IF($W519=AD$3,$AB519,IF(NOT($W519=0),"",SUMIFS('Val-Vol (2)'!AD$4:AD$1116,'Val-Vol (2)'!$A$4:$A$1116,$D519,'Val-Vol (2)'!$V$4:$V$1116,$V519)/SUMIFS('Comp2016-2017 (3)'!$G$5:$G$289,'Comp2016-2017 (3)'!$A$5:$A$289,$D519,'Comp2016-2017 (3)'!$R$5:$R$289,$V519)*$AB519))</f>
        <v>1546.971213356687</v>
      </c>
      <c r="AE519" s="2" t="str">
        <f>IF($W519=AE$3,$AB519,IF(NOT($W519=0),"",SUMIFS('Val-Vol (2)'!AE$4:AE$1116,'Val-Vol (2)'!$A$4:$A$1116,$D519,'Val-Vol (2)'!$V$4:$V$1116,$V519)/SUMIFS('Comp2016-2017 (3)'!$G$5:$G$289,'Comp2016-2017 (3)'!$A$5:$A$289,$D519,'Comp2016-2017 (3)'!$R$5:$R$289,$V519)*$AB519))</f>
        <v/>
      </c>
      <c r="AF519" s="2" t="str">
        <f>IF($W519=AF$3,$AB519,IF(NOT($W519=0),"",SUMIFS('Val-Vol (2)'!AF$4:AF$1116,'Val-Vol (2)'!$A$4:$A$1116,$D519,'Val-Vol (2)'!$V$4:$V$1116,$V519)/SUMIFS('Comp2016-2017 (3)'!$G$5:$G$289,'Comp2016-2017 (3)'!$A$5:$A$289,$D519,'Comp2016-2017 (3)'!$R$5:$R$289,$V519)*$AB519))</f>
        <v/>
      </c>
      <c r="AG519" s="2" t="str">
        <f>IF($W519=AG$3,$AB519,IF(NOT($W519=0),"",SUMIFS('Val-Vol (2)'!AG$4:AG$1116,'Val-Vol (2)'!$A$4:$A$1116,$D519,'Val-Vol (2)'!$V$4:$V$1116,$V519)/SUMIFS('Comp2016-2017 (3)'!$G$5:$G$289,'Comp2016-2017 (3)'!$A$5:$A$289,$D519,'Comp2016-2017 (3)'!$R$5:$R$289,$V519)*$AB519))</f>
        <v/>
      </c>
      <c r="AH519" s="2" t="str">
        <f>IF($W519=AH$3,$AB519,IF(NOT($W519=0),"",SUMIFS('Val-Vol (2)'!AH$4:AH$1116,'Val-Vol (2)'!$A$4:$A$1116,$D519,'Val-Vol (2)'!$V$4:$V$1116,$V519)/SUMIFS('Comp2016-2017 (3)'!$G$5:$G$289,'Comp2016-2017 (3)'!$A$5:$A$289,$D519,'Comp2016-2017 (3)'!$R$5:$R$289,$V519)*$AB519))</f>
        <v/>
      </c>
      <c r="AI519" s="2" t="str">
        <f>IF($W519=AI$3,$AB519,IF(NOT($W519=0),"",SUMIFS('Val-Vol (2)'!AI$4:AI$1116,'Val-Vol (2)'!$A$4:$A$1116,$D519,'Val-Vol (2)'!$V$4:$V$1116,$V519)/SUMIFS('Comp2016-2017 (3)'!$G$5:$G$289,'Comp2016-2017 (3)'!$A$5:$A$289,$D519,'Comp2016-2017 (3)'!$R$5:$R$289,$V519)*$AB519))</f>
        <v/>
      </c>
      <c r="AJ519" s="2" t="str">
        <f>IF($W519=AJ$3,$AB519,IF(NOT($W519=0),"",SUMIFS('Val-Vol (2)'!AJ$4:AJ$1116,'Val-Vol (2)'!$A$4:$A$1116,$D519,'Val-Vol (2)'!$V$4:$V$1116,$V519)/SUMIFS('Comp2016-2017 (3)'!$G$5:$G$289,'Comp2016-2017 (3)'!$A$5:$A$289,$D519,'Comp2016-2017 (3)'!$R$5:$R$289,$V519)*$AB519))</f>
        <v/>
      </c>
      <c r="AK519" s="2">
        <f t="shared" si="60"/>
        <v>0</v>
      </c>
      <c r="AL519" t="str">
        <f t="shared" si="62"/>
        <v/>
      </c>
      <c r="AM519" t="str">
        <f>VLOOKUP(A519,'Table corresp.'!$M$4:$U$63,8,FALSE)</f>
        <v>Production intermédiaire</v>
      </c>
      <c r="AN519" t="str">
        <f>VLOOKUP(D519,'Table corresp.'!$M$4:$U$63,9,FALSE)</f>
        <v xml:space="preserve">Mise en œuvre </v>
      </c>
    </row>
    <row r="520" spans="1:40" x14ac:dyDescent="0.25">
      <c r="A520" t="s">
        <v>8</v>
      </c>
      <c r="B520" t="str">
        <f>VLOOKUP(LEFT(A520,3),'Table corresp.'!$A$4:$D$63,3,FALSE)</f>
        <v>Transformation</v>
      </c>
      <c r="C520" t="str">
        <f>VLOOKUP(A520,'Table corresp.'!$M$4:$P$63,4,FALSE)</f>
        <v>Production et transformation de produits bois</v>
      </c>
      <c r="D520" t="s">
        <v>22</v>
      </c>
      <c r="E520" t="str">
        <f>VLOOKUP(LEFT(D520,3),'Table corresp.'!$A$4:$D$63,4,FALSE)</f>
        <v>Transformation</v>
      </c>
      <c r="F520" t="str">
        <f t="shared" si="61"/>
        <v xml:space="preserve">13  - 55 </v>
      </c>
      <c r="G520" s="3">
        <v>476.06817617664427</v>
      </c>
      <c r="H520" s="3">
        <v>0</v>
      </c>
      <c r="I520" s="3">
        <v>476.06818791608305</v>
      </c>
      <c r="J520" s="3">
        <v>1.7622029312681613</v>
      </c>
      <c r="K520" s="3">
        <v>0</v>
      </c>
      <c r="L520" s="3">
        <v>1.7622029312681613</v>
      </c>
      <c r="M520" s="3">
        <v>0</v>
      </c>
      <c r="N520" s="3">
        <v>0</v>
      </c>
      <c r="O520" s="3">
        <v>0</v>
      </c>
      <c r="P520" s="3">
        <v>0</v>
      </c>
      <c r="Q520" s="3">
        <v>0</v>
      </c>
      <c r="R520" s="3">
        <v>0</v>
      </c>
      <c r="S520" s="67"/>
      <c r="T520">
        <f>VLOOKUP(A520,'Groupe de branches'!$Z$27:$AM$86,14,FALSE)</f>
        <v>0</v>
      </c>
      <c r="U520">
        <f>VLOOKUP(D520,'Groupe de branches'!$Z$27:$AM$86,14,FALSE)</f>
        <v>0</v>
      </c>
      <c r="V520">
        <v>2017</v>
      </c>
      <c r="W520" t="str">
        <f>VLOOKUP(D520,'Table corresp.'!$M$4:$S$63,7,FALSE)</f>
        <v>Construction</v>
      </c>
      <c r="X520" s="167">
        <f>IFERROR(G520/SUMIFS('Comp2016-2017 (3)'!$I$5:$I$289,'Comp2016-2017 (3)'!$A$5:$A$289,A520,'Comp2016-2017 (3)'!$R$5:$R$289,V520),0)</f>
        <v>1.8201873451269062E-3</v>
      </c>
      <c r="Y520" s="190">
        <f>IFERROR(IF(RIGHT(F520,3)="Exp",VLOOKUP(F520,#REF!,2,FALSE),VLOOKUP(F520,#REF!,9,FALSE)),1)</f>
        <v>1</v>
      </c>
      <c r="Z520" s="167">
        <f t="shared" si="59"/>
        <v>8.3333333333333329E-2</v>
      </c>
      <c r="AA520" s="189">
        <f t="shared" si="63"/>
        <v>1.5168227876057551E-4</v>
      </c>
      <c r="AB520" s="2">
        <f>IFERROR(SUMIFS('Comp2016-2017 (3)'!$G$5:$G$289,'Comp2016-2017 (3)'!$A$5:$A$289,A520,'Comp2016-2017 (3)'!$R$5:$R$289,V520)*AA520/SUMIFS($AA$4:$AA$1116,$A$4:$A$1116,A520,$V$4:$V$1116,V520),0)</f>
        <v>145.69484226045992</v>
      </c>
      <c r="AC520" s="2" t="str">
        <f>IF($W520=AC$3,$AB520,IF(NOT($W520=0),"",SUMIFS('Val-Vol (2)'!AC$4:AC$1116,'Val-Vol (2)'!$A$4:$A$1116,$D520,'Val-Vol (2)'!$V$4:$V$1116,$V520)/SUMIFS('Comp2016-2017 (3)'!$G$5:$G$289,'Comp2016-2017 (3)'!$A$5:$A$289,$D520,'Comp2016-2017 (3)'!$R$5:$R$289,$V520)*$AB520))</f>
        <v/>
      </c>
      <c r="AD520" s="2">
        <f>IF($W520=AD$3,$AB520,IF(NOT($W520=0),"",SUMIFS('Val-Vol (2)'!AD$4:AD$1116,'Val-Vol (2)'!$A$4:$A$1116,$D520,'Val-Vol (2)'!$V$4:$V$1116,$V520)/SUMIFS('Comp2016-2017 (3)'!$G$5:$G$289,'Comp2016-2017 (3)'!$A$5:$A$289,$D520,'Comp2016-2017 (3)'!$R$5:$R$289,$V520)*$AB520))</f>
        <v>145.69484226045992</v>
      </c>
      <c r="AE520" s="2" t="str">
        <f>IF($W520=AE$3,$AB520,IF(NOT($W520=0),"",SUMIFS('Val-Vol (2)'!AE$4:AE$1116,'Val-Vol (2)'!$A$4:$A$1116,$D520,'Val-Vol (2)'!$V$4:$V$1116,$V520)/SUMIFS('Comp2016-2017 (3)'!$G$5:$G$289,'Comp2016-2017 (3)'!$A$5:$A$289,$D520,'Comp2016-2017 (3)'!$R$5:$R$289,$V520)*$AB520))</f>
        <v/>
      </c>
      <c r="AF520" s="2" t="str">
        <f>IF($W520=AF$3,$AB520,IF(NOT($W520=0),"",SUMIFS('Val-Vol (2)'!AF$4:AF$1116,'Val-Vol (2)'!$A$4:$A$1116,$D520,'Val-Vol (2)'!$V$4:$V$1116,$V520)/SUMIFS('Comp2016-2017 (3)'!$G$5:$G$289,'Comp2016-2017 (3)'!$A$5:$A$289,$D520,'Comp2016-2017 (3)'!$R$5:$R$289,$V520)*$AB520))</f>
        <v/>
      </c>
      <c r="AG520" s="2" t="str">
        <f>IF($W520=AG$3,$AB520,IF(NOT($W520=0),"",SUMIFS('Val-Vol (2)'!AG$4:AG$1116,'Val-Vol (2)'!$A$4:$A$1116,$D520,'Val-Vol (2)'!$V$4:$V$1116,$V520)/SUMIFS('Comp2016-2017 (3)'!$G$5:$G$289,'Comp2016-2017 (3)'!$A$5:$A$289,$D520,'Comp2016-2017 (3)'!$R$5:$R$289,$V520)*$AB520))</f>
        <v/>
      </c>
      <c r="AH520" s="2" t="str">
        <f>IF($W520=AH$3,$AB520,IF(NOT($W520=0),"",SUMIFS('Val-Vol (2)'!AH$4:AH$1116,'Val-Vol (2)'!$A$4:$A$1116,$D520,'Val-Vol (2)'!$V$4:$V$1116,$V520)/SUMIFS('Comp2016-2017 (3)'!$G$5:$G$289,'Comp2016-2017 (3)'!$A$5:$A$289,$D520,'Comp2016-2017 (3)'!$R$5:$R$289,$V520)*$AB520))</f>
        <v/>
      </c>
      <c r="AI520" s="2" t="str">
        <f>IF($W520=AI$3,$AB520,IF(NOT($W520=0),"",SUMIFS('Val-Vol (2)'!AI$4:AI$1116,'Val-Vol (2)'!$A$4:$A$1116,$D520,'Val-Vol (2)'!$V$4:$V$1116,$V520)/SUMIFS('Comp2016-2017 (3)'!$G$5:$G$289,'Comp2016-2017 (3)'!$A$5:$A$289,$D520,'Comp2016-2017 (3)'!$R$5:$R$289,$V520)*$AB520))</f>
        <v/>
      </c>
      <c r="AJ520" s="2" t="str">
        <f>IF($W520=AJ$3,$AB520,IF(NOT($W520=0),"",SUMIFS('Val-Vol (2)'!AJ$4:AJ$1116,'Val-Vol (2)'!$A$4:$A$1116,$D520,'Val-Vol (2)'!$V$4:$V$1116,$V520)/SUMIFS('Comp2016-2017 (3)'!$G$5:$G$289,'Comp2016-2017 (3)'!$A$5:$A$289,$D520,'Comp2016-2017 (3)'!$R$5:$R$289,$V520)*$AB520))</f>
        <v/>
      </c>
      <c r="AK520" s="2">
        <f t="shared" si="60"/>
        <v>0</v>
      </c>
      <c r="AL520" t="str">
        <f t="shared" si="62"/>
        <v/>
      </c>
      <c r="AM520" t="str">
        <f>VLOOKUP(A520,'Table corresp.'!$M$4:$U$63,8,FALSE)</f>
        <v>Production intermédiaire</v>
      </c>
      <c r="AN520" t="str">
        <f>VLOOKUP(D520,'Table corresp.'!$M$4:$U$63,9,FALSE)</f>
        <v xml:space="preserve">Mise en œuvre </v>
      </c>
    </row>
    <row r="521" spans="1:40" x14ac:dyDescent="0.25">
      <c r="A521" t="s">
        <v>8</v>
      </c>
      <c r="B521" t="str">
        <f>VLOOKUP(LEFT(A521,3),'Table corresp.'!$A$4:$D$63,3,FALSE)</f>
        <v>Transformation</v>
      </c>
      <c r="C521" t="str">
        <f>VLOOKUP(A521,'Table corresp.'!$M$4:$P$63,4,FALSE)</f>
        <v>Production et transformation de produits bois</v>
      </c>
      <c r="D521" t="s">
        <v>24</v>
      </c>
      <c r="E521" t="str">
        <f>VLOOKUP(LEFT(D521,3),'Table corresp.'!$A$4:$D$63,4,FALSE)</f>
        <v>Transformation</v>
      </c>
      <c r="F521" t="str">
        <f t="shared" si="61"/>
        <v xml:space="preserve">13  - 57 </v>
      </c>
      <c r="G521" s="3">
        <v>11684.212812233833</v>
      </c>
      <c r="H521" s="3">
        <v>0</v>
      </c>
      <c r="I521" s="3">
        <v>11684.213100356645</v>
      </c>
      <c r="J521" s="3">
        <v>98.295480552231965</v>
      </c>
      <c r="K521" s="3">
        <v>0</v>
      </c>
      <c r="L521" s="3">
        <v>98.295480552231965</v>
      </c>
      <c r="M521" s="3">
        <v>0</v>
      </c>
      <c r="N521" s="3">
        <v>0</v>
      </c>
      <c r="O521" s="3">
        <v>0</v>
      </c>
      <c r="P521" s="3">
        <v>0</v>
      </c>
      <c r="Q521" s="3">
        <v>0</v>
      </c>
      <c r="R521" s="3">
        <v>0</v>
      </c>
      <c r="S521" s="67"/>
      <c r="T521">
        <f>VLOOKUP(A521,'Groupe de branches'!$Z$27:$AM$86,14,FALSE)</f>
        <v>0</v>
      </c>
      <c r="U521">
        <f>VLOOKUP(D521,'Groupe de branches'!$Z$27:$AM$86,14,FALSE)</f>
        <v>0</v>
      </c>
      <c r="V521">
        <v>2017</v>
      </c>
      <c r="W521" t="str">
        <f>VLOOKUP(D521,'Table corresp.'!$M$4:$S$63,7,FALSE)</f>
        <v>Construction</v>
      </c>
      <c r="X521" s="167">
        <f>IFERROR(G521/SUMIFS('Comp2016-2017 (3)'!$I$5:$I$289,'Comp2016-2017 (3)'!$A$5:$A$289,A521,'Comp2016-2017 (3)'!$R$5:$R$289,V521),0)</f>
        <v>4.4673131628748967E-2</v>
      </c>
      <c r="Y521" s="190">
        <f>IFERROR(IF(RIGHT(F521,3)="Exp",VLOOKUP(F521,#REF!,2,FALSE),VLOOKUP(F521,#REF!,9,FALSE)),1)</f>
        <v>1</v>
      </c>
      <c r="Z521" s="167">
        <f t="shared" si="59"/>
        <v>8.3333333333333329E-2</v>
      </c>
      <c r="AA521" s="189">
        <f t="shared" si="63"/>
        <v>3.722760969062414E-3</v>
      </c>
      <c r="AB521" s="2">
        <f>IFERROR(SUMIFS('Comp2016-2017 (3)'!$G$5:$G$289,'Comp2016-2017 (3)'!$A$5:$A$289,A521,'Comp2016-2017 (3)'!$R$5:$R$289,V521)*AA521/SUMIFS($AA$4:$AA$1116,$A$4:$A$1116,A521,$V$4:$V$1116,V521),0)</f>
        <v>3575.8104149864589</v>
      </c>
      <c r="AC521" s="2" t="str">
        <f>IF($W521=AC$3,$AB521,IF(NOT($W521=0),"",SUMIFS('Val-Vol (2)'!AC$4:AC$1116,'Val-Vol (2)'!$A$4:$A$1116,$D521,'Val-Vol (2)'!$V$4:$V$1116,$V521)/SUMIFS('Comp2016-2017 (3)'!$G$5:$G$289,'Comp2016-2017 (3)'!$A$5:$A$289,$D521,'Comp2016-2017 (3)'!$R$5:$R$289,$V521)*$AB521))</f>
        <v/>
      </c>
      <c r="AD521" s="2">
        <f>IF($W521=AD$3,$AB521,IF(NOT($W521=0),"",SUMIFS('Val-Vol (2)'!AD$4:AD$1116,'Val-Vol (2)'!$A$4:$A$1116,$D521,'Val-Vol (2)'!$V$4:$V$1116,$V521)/SUMIFS('Comp2016-2017 (3)'!$G$5:$G$289,'Comp2016-2017 (3)'!$A$5:$A$289,$D521,'Comp2016-2017 (3)'!$R$5:$R$289,$V521)*$AB521))</f>
        <v>3575.8104149864589</v>
      </c>
      <c r="AE521" s="2" t="str">
        <f>IF($W521=AE$3,$AB521,IF(NOT($W521=0),"",SUMIFS('Val-Vol (2)'!AE$4:AE$1116,'Val-Vol (2)'!$A$4:$A$1116,$D521,'Val-Vol (2)'!$V$4:$V$1116,$V521)/SUMIFS('Comp2016-2017 (3)'!$G$5:$G$289,'Comp2016-2017 (3)'!$A$5:$A$289,$D521,'Comp2016-2017 (3)'!$R$5:$R$289,$V521)*$AB521))</f>
        <v/>
      </c>
      <c r="AF521" s="2" t="str">
        <f>IF($W521=AF$3,$AB521,IF(NOT($W521=0),"",SUMIFS('Val-Vol (2)'!AF$4:AF$1116,'Val-Vol (2)'!$A$4:$A$1116,$D521,'Val-Vol (2)'!$V$4:$V$1116,$V521)/SUMIFS('Comp2016-2017 (3)'!$G$5:$G$289,'Comp2016-2017 (3)'!$A$5:$A$289,$D521,'Comp2016-2017 (3)'!$R$5:$R$289,$V521)*$AB521))</f>
        <v/>
      </c>
      <c r="AG521" s="2" t="str">
        <f>IF($W521=AG$3,$AB521,IF(NOT($W521=0),"",SUMIFS('Val-Vol (2)'!AG$4:AG$1116,'Val-Vol (2)'!$A$4:$A$1116,$D521,'Val-Vol (2)'!$V$4:$V$1116,$V521)/SUMIFS('Comp2016-2017 (3)'!$G$5:$G$289,'Comp2016-2017 (3)'!$A$5:$A$289,$D521,'Comp2016-2017 (3)'!$R$5:$R$289,$V521)*$AB521))</f>
        <v/>
      </c>
      <c r="AH521" s="2" t="str">
        <f>IF($W521=AH$3,$AB521,IF(NOT($W521=0),"",SUMIFS('Val-Vol (2)'!AH$4:AH$1116,'Val-Vol (2)'!$A$4:$A$1116,$D521,'Val-Vol (2)'!$V$4:$V$1116,$V521)/SUMIFS('Comp2016-2017 (3)'!$G$5:$G$289,'Comp2016-2017 (3)'!$A$5:$A$289,$D521,'Comp2016-2017 (3)'!$R$5:$R$289,$V521)*$AB521))</f>
        <v/>
      </c>
      <c r="AI521" s="2" t="str">
        <f>IF($W521=AI$3,$AB521,IF(NOT($W521=0),"",SUMIFS('Val-Vol (2)'!AI$4:AI$1116,'Val-Vol (2)'!$A$4:$A$1116,$D521,'Val-Vol (2)'!$V$4:$V$1116,$V521)/SUMIFS('Comp2016-2017 (3)'!$G$5:$G$289,'Comp2016-2017 (3)'!$A$5:$A$289,$D521,'Comp2016-2017 (3)'!$R$5:$R$289,$V521)*$AB521))</f>
        <v/>
      </c>
      <c r="AJ521" s="2" t="str">
        <f>IF($W521=AJ$3,$AB521,IF(NOT($W521=0),"",SUMIFS('Val-Vol (2)'!AJ$4:AJ$1116,'Val-Vol (2)'!$A$4:$A$1116,$D521,'Val-Vol (2)'!$V$4:$V$1116,$V521)/SUMIFS('Comp2016-2017 (3)'!$G$5:$G$289,'Comp2016-2017 (3)'!$A$5:$A$289,$D521,'Comp2016-2017 (3)'!$R$5:$R$289,$V521)*$AB521))</f>
        <v/>
      </c>
      <c r="AK521" s="2">
        <f t="shared" si="60"/>
        <v>0</v>
      </c>
      <c r="AL521" t="str">
        <f t="shared" si="62"/>
        <v/>
      </c>
      <c r="AM521" t="str">
        <f>VLOOKUP(A521,'Table corresp.'!$M$4:$U$63,8,FALSE)</f>
        <v>Production intermédiaire</v>
      </c>
      <c r="AN521" t="str">
        <f>VLOOKUP(D521,'Table corresp.'!$M$4:$U$63,9,FALSE)</f>
        <v xml:space="preserve">Mise en œuvre </v>
      </c>
    </row>
    <row r="522" spans="1:40" x14ac:dyDescent="0.25">
      <c r="A522" t="s">
        <v>8</v>
      </c>
      <c r="B522" t="str">
        <f>VLOOKUP(LEFT(A522,3),'Table corresp.'!$A$4:$D$63,3,FALSE)</f>
        <v>Transformation</v>
      </c>
      <c r="C522" t="str">
        <f>VLOOKUP(A522,'Table corresp.'!$M$4:$P$63,4,FALSE)</f>
        <v>Production et transformation de produits bois</v>
      </c>
      <c r="D522" t="s">
        <v>26</v>
      </c>
      <c r="E522" t="str">
        <f>VLOOKUP(LEFT(D522,3),'Table corresp.'!$A$4:$D$63,4,FALSE)</f>
        <v>Transformation</v>
      </c>
      <c r="F522" t="str">
        <f t="shared" si="61"/>
        <v xml:space="preserve">13  - 59 </v>
      </c>
      <c r="G522" s="3">
        <v>1966.5582464703707</v>
      </c>
      <c r="H522" s="3">
        <v>0</v>
      </c>
      <c r="I522" s="3">
        <v>1966.5582949640348</v>
      </c>
      <c r="J522" s="3">
        <v>20.220462342828885</v>
      </c>
      <c r="K522" s="3">
        <v>0</v>
      </c>
      <c r="L522" s="3">
        <v>20.220462342828885</v>
      </c>
      <c r="M522" s="3">
        <v>0</v>
      </c>
      <c r="N522" s="3">
        <v>0</v>
      </c>
      <c r="O522" s="3">
        <v>0</v>
      </c>
      <c r="P522" s="3">
        <v>0</v>
      </c>
      <c r="Q522" s="3">
        <v>0</v>
      </c>
      <c r="R522" s="3">
        <v>0</v>
      </c>
      <c r="S522" s="67"/>
      <c r="T522">
        <f>VLOOKUP(A522,'Groupe de branches'!$Z$27:$AM$86,14,FALSE)</f>
        <v>0</v>
      </c>
      <c r="U522">
        <f>VLOOKUP(D522,'Groupe de branches'!$Z$27:$AM$86,14,FALSE)</f>
        <v>0</v>
      </c>
      <c r="V522">
        <v>2017</v>
      </c>
      <c r="W522" t="str">
        <f>VLOOKUP(D522,'Table corresp.'!$M$4:$S$63,7,FALSE)</f>
        <v>Construction</v>
      </c>
      <c r="X522" s="167">
        <f>IFERROR(G522/SUMIFS('Comp2016-2017 (3)'!$I$5:$I$289,'Comp2016-2017 (3)'!$A$5:$A$289,A522,'Comp2016-2017 (3)'!$R$5:$R$289,V522),0)</f>
        <v>7.5188903875653291E-3</v>
      </c>
      <c r="Y522" s="190">
        <f>IFERROR(IF(RIGHT(F522,3)="Exp",VLOOKUP(F522,#REF!,2,FALSE),VLOOKUP(F522,#REF!,9,FALSE)),1)</f>
        <v>1</v>
      </c>
      <c r="Z522" s="167">
        <f t="shared" si="59"/>
        <v>8.3333333333333329E-2</v>
      </c>
      <c r="AA522" s="189">
        <f t="shared" si="63"/>
        <v>6.2657419896377739E-4</v>
      </c>
      <c r="AB522" s="2">
        <f>IFERROR(SUMIFS('Comp2016-2017 (3)'!$G$5:$G$289,'Comp2016-2017 (3)'!$A$5:$A$289,A522,'Comp2016-2017 (3)'!$R$5:$R$289,V522)*AA522/SUMIFS($AA$4:$AA$1116,$A$4:$A$1116,A522,$V$4:$V$1116,V522),0)</f>
        <v>601.84109724905352</v>
      </c>
      <c r="AC522" s="2" t="str">
        <f>IF($W522=AC$3,$AB522,IF(NOT($W522=0),"",SUMIFS('Val-Vol (2)'!AC$4:AC$1116,'Val-Vol (2)'!$A$4:$A$1116,$D522,'Val-Vol (2)'!$V$4:$V$1116,$V522)/SUMIFS('Comp2016-2017 (3)'!$G$5:$G$289,'Comp2016-2017 (3)'!$A$5:$A$289,$D522,'Comp2016-2017 (3)'!$R$5:$R$289,$V522)*$AB522))</f>
        <v/>
      </c>
      <c r="AD522" s="2">
        <f>IF($W522=AD$3,$AB522,IF(NOT($W522=0),"",SUMIFS('Val-Vol (2)'!AD$4:AD$1116,'Val-Vol (2)'!$A$4:$A$1116,$D522,'Val-Vol (2)'!$V$4:$V$1116,$V522)/SUMIFS('Comp2016-2017 (3)'!$G$5:$G$289,'Comp2016-2017 (3)'!$A$5:$A$289,$D522,'Comp2016-2017 (3)'!$R$5:$R$289,$V522)*$AB522))</f>
        <v>601.84109724905352</v>
      </c>
      <c r="AE522" s="2" t="str">
        <f>IF($W522=AE$3,$AB522,IF(NOT($W522=0),"",SUMIFS('Val-Vol (2)'!AE$4:AE$1116,'Val-Vol (2)'!$A$4:$A$1116,$D522,'Val-Vol (2)'!$V$4:$V$1116,$V522)/SUMIFS('Comp2016-2017 (3)'!$G$5:$G$289,'Comp2016-2017 (3)'!$A$5:$A$289,$D522,'Comp2016-2017 (3)'!$R$5:$R$289,$V522)*$AB522))</f>
        <v/>
      </c>
      <c r="AF522" s="2" t="str">
        <f>IF($W522=AF$3,$AB522,IF(NOT($W522=0),"",SUMIFS('Val-Vol (2)'!AF$4:AF$1116,'Val-Vol (2)'!$A$4:$A$1116,$D522,'Val-Vol (2)'!$V$4:$V$1116,$V522)/SUMIFS('Comp2016-2017 (3)'!$G$5:$G$289,'Comp2016-2017 (3)'!$A$5:$A$289,$D522,'Comp2016-2017 (3)'!$R$5:$R$289,$V522)*$AB522))</f>
        <v/>
      </c>
      <c r="AG522" s="2" t="str">
        <f>IF($W522=AG$3,$AB522,IF(NOT($W522=0),"",SUMIFS('Val-Vol (2)'!AG$4:AG$1116,'Val-Vol (2)'!$A$4:$A$1116,$D522,'Val-Vol (2)'!$V$4:$V$1116,$V522)/SUMIFS('Comp2016-2017 (3)'!$G$5:$G$289,'Comp2016-2017 (3)'!$A$5:$A$289,$D522,'Comp2016-2017 (3)'!$R$5:$R$289,$V522)*$AB522))</f>
        <v/>
      </c>
      <c r="AH522" s="2" t="str">
        <f>IF($W522=AH$3,$AB522,IF(NOT($W522=0),"",SUMIFS('Val-Vol (2)'!AH$4:AH$1116,'Val-Vol (2)'!$A$4:$A$1116,$D522,'Val-Vol (2)'!$V$4:$V$1116,$V522)/SUMIFS('Comp2016-2017 (3)'!$G$5:$G$289,'Comp2016-2017 (3)'!$A$5:$A$289,$D522,'Comp2016-2017 (3)'!$R$5:$R$289,$V522)*$AB522))</f>
        <v/>
      </c>
      <c r="AI522" s="2" t="str">
        <f>IF($W522=AI$3,$AB522,IF(NOT($W522=0),"",SUMIFS('Val-Vol (2)'!AI$4:AI$1116,'Val-Vol (2)'!$A$4:$A$1116,$D522,'Val-Vol (2)'!$V$4:$V$1116,$V522)/SUMIFS('Comp2016-2017 (3)'!$G$5:$G$289,'Comp2016-2017 (3)'!$A$5:$A$289,$D522,'Comp2016-2017 (3)'!$R$5:$R$289,$V522)*$AB522))</f>
        <v/>
      </c>
      <c r="AJ522" s="2" t="str">
        <f>IF($W522=AJ$3,$AB522,IF(NOT($W522=0),"",SUMIFS('Val-Vol (2)'!AJ$4:AJ$1116,'Val-Vol (2)'!$A$4:$A$1116,$D522,'Val-Vol (2)'!$V$4:$V$1116,$V522)/SUMIFS('Comp2016-2017 (3)'!$G$5:$G$289,'Comp2016-2017 (3)'!$A$5:$A$289,$D522,'Comp2016-2017 (3)'!$R$5:$R$289,$V522)*$AB522))</f>
        <v/>
      </c>
      <c r="AK522" s="2">
        <f t="shared" si="60"/>
        <v>0</v>
      </c>
      <c r="AL522" t="str">
        <f t="shared" si="62"/>
        <v/>
      </c>
      <c r="AM522" t="str">
        <f>VLOOKUP(A522,'Table corresp.'!$M$4:$U$63,8,FALSE)</f>
        <v>Production intermédiaire</v>
      </c>
      <c r="AN522" t="str">
        <f>VLOOKUP(D522,'Table corresp.'!$M$4:$U$63,9,FALSE)</f>
        <v xml:space="preserve">Mise en œuvre </v>
      </c>
    </row>
    <row r="523" spans="1:40" x14ac:dyDescent="0.25">
      <c r="A523" t="s">
        <v>8</v>
      </c>
      <c r="B523" t="str">
        <f>VLOOKUP(LEFT(A523,3),'Table corresp.'!$A$4:$D$63,3,FALSE)</f>
        <v>Transformation</v>
      </c>
      <c r="C523" t="str">
        <f>VLOOKUP(A523,'Table corresp.'!$M$4:$P$63,4,FALSE)</f>
        <v>Production et transformation de produits bois</v>
      </c>
      <c r="D523" t="s">
        <v>54</v>
      </c>
      <c r="E523" t="str">
        <f>VLOOKUP(LEFT(D523,3),'Table corresp.'!$A$4:$D$63,4,FALSE)</f>
        <v>Consommation finale</v>
      </c>
      <c r="F523" t="str">
        <f t="shared" si="61"/>
        <v>13  - Con</v>
      </c>
      <c r="G523" s="3">
        <v>76717.632805022688</v>
      </c>
      <c r="H523" s="3">
        <v>0</v>
      </c>
      <c r="I523" s="3">
        <v>76717.634696814668</v>
      </c>
      <c r="J523" s="3">
        <v>613.68502472258353</v>
      </c>
      <c r="K523" s="3">
        <v>0</v>
      </c>
      <c r="L523" s="3">
        <v>613.68502472258353</v>
      </c>
      <c r="M523" s="3">
        <v>0</v>
      </c>
      <c r="N523" s="3">
        <v>0</v>
      </c>
      <c r="O523" s="3">
        <v>0</v>
      </c>
      <c r="P523" s="3">
        <v>0</v>
      </c>
      <c r="Q523" s="3">
        <v>0</v>
      </c>
      <c r="R523" s="3">
        <v>0</v>
      </c>
      <c r="S523" s="67"/>
      <c r="T523">
        <f>VLOOKUP(A523,'Groupe de branches'!$Z$27:$AM$86,14,FALSE)</f>
        <v>0</v>
      </c>
      <c r="U523">
        <f>VLOOKUP(D523,'Groupe de branches'!$Z$27:$AM$86,14,FALSE)</f>
        <v>0</v>
      </c>
      <c r="V523">
        <v>2017</v>
      </c>
      <c r="W523" t="str">
        <f>VLOOKUP(D523,'Table corresp.'!$M$4:$S$63,7,FALSE)</f>
        <v>Consommation finale</v>
      </c>
      <c r="X523" s="167">
        <f>IFERROR(G523/SUMIFS('Comp2016-2017 (3)'!$I$5:$I$289,'Comp2016-2017 (3)'!$A$5:$A$289,A523,'Comp2016-2017 (3)'!$R$5:$R$289,V523),0)</f>
        <v>0.2933203086609632</v>
      </c>
      <c r="Y523" s="190">
        <f>IFERROR(IF(RIGHT(F523,3)="Exp",VLOOKUP(F523,#REF!,2,FALSE),VLOOKUP(F523,#REF!,9,FALSE)),1)</f>
        <v>1</v>
      </c>
      <c r="Z523" s="167">
        <f t="shared" si="59"/>
        <v>8.3333333333333329E-2</v>
      </c>
      <c r="AA523" s="189">
        <f t="shared" si="63"/>
        <v>2.4443359055080265E-2</v>
      </c>
      <c r="AB523" s="2">
        <f>IFERROR(SUMIFS('Comp2016-2017 (3)'!$G$5:$G$289,'Comp2016-2017 (3)'!$A$5:$A$289,A523,'Comp2016-2017 (3)'!$R$5:$R$289,V523)*AA523/SUMIFS($AA$4:$AA$1116,$A$4:$A$1116,A523,$V$4:$V$1116,V523),0)</f>
        <v>23478.49314333568</v>
      </c>
      <c r="AC523" s="2" t="str">
        <f>IF($W523=AC$3,$AB523,IF(NOT($W523=0),"",SUMIFS('Val-Vol (2)'!AC$4:AC$1116,'Val-Vol (2)'!$A$4:$A$1116,$D523,'Val-Vol (2)'!$V$4:$V$1116,$V523)/SUMIFS('Comp2016-2017 (3)'!$G$5:$G$289,'Comp2016-2017 (3)'!$A$5:$A$289,$D523,'Comp2016-2017 (3)'!$R$5:$R$289,$V523)*$AB523))</f>
        <v/>
      </c>
      <c r="AD523" s="2" t="str">
        <f>IF($W523=AD$3,$AB523,IF(NOT($W523=0),"",SUMIFS('Val-Vol (2)'!AD$4:AD$1116,'Val-Vol (2)'!$A$4:$A$1116,$D523,'Val-Vol (2)'!$V$4:$V$1116,$V523)/SUMIFS('Comp2016-2017 (3)'!$G$5:$G$289,'Comp2016-2017 (3)'!$A$5:$A$289,$D523,'Comp2016-2017 (3)'!$R$5:$R$289,$V523)*$AB523))</f>
        <v/>
      </c>
      <c r="AE523" s="2" t="str">
        <f>IF($W523=AE$3,$AB523,IF(NOT($W523=0),"",SUMIFS('Val-Vol (2)'!AE$4:AE$1116,'Val-Vol (2)'!$A$4:$A$1116,$D523,'Val-Vol (2)'!$V$4:$V$1116,$V523)/SUMIFS('Comp2016-2017 (3)'!$G$5:$G$289,'Comp2016-2017 (3)'!$A$5:$A$289,$D523,'Comp2016-2017 (3)'!$R$5:$R$289,$V523)*$AB523))</f>
        <v/>
      </c>
      <c r="AF523" s="2" t="str">
        <f>IF($W523=AF$3,$AB523,IF(NOT($W523=0),"",SUMIFS('Val-Vol (2)'!AF$4:AF$1116,'Val-Vol (2)'!$A$4:$A$1116,$D523,'Val-Vol (2)'!$V$4:$V$1116,$V523)/SUMIFS('Comp2016-2017 (3)'!$G$5:$G$289,'Comp2016-2017 (3)'!$A$5:$A$289,$D523,'Comp2016-2017 (3)'!$R$5:$R$289,$V523)*$AB523))</f>
        <v/>
      </c>
      <c r="AG523" s="2" t="str">
        <f>IF($W523=AG$3,$AB523,IF(NOT($W523=0),"",SUMIFS('Val-Vol (2)'!AG$4:AG$1116,'Val-Vol (2)'!$A$4:$A$1116,$D523,'Val-Vol (2)'!$V$4:$V$1116,$V523)/SUMIFS('Comp2016-2017 (3)'!$G$5:$G$289,'Comp2016-2017 (3)'!$A$5:$A$289,$D523,'Comp2016-2017 (3)'!$R$5:$R$289,$V523)*$AB523))</f>
        <v/>
      </c>
      <c r="AH523" s="2" t="str">
        <f>IF($W523=AH$3,$AB523,IF(NOT($W523=0),"",SUMIFS('Val-Vol (2)'!AH$4:AH$1116,'Val-Vol (2)'!$A$4:$A$1116,$D523,'Val-Vol (2)'!$V$4:$V$1116,$V523)/SUMIFS('Comp2016-2017 (3)'!$G$5:$G$289,'Comp2016-2017 (3)'!$A$5:$A$289,$D523,'Comp2016-2017 (3)'!$R$5:$R$289,$V523)*$AB523))</f>
        <v/>
      </c>
      <c r="AI523" s="2" t="str">
        <f>IF($W523=AI$3,$AB523,IF(NOT($W523=0),"",SUMIFS('Val-Vol (2)'!AI$4:AI$1116,'Val-Vol (2)'!$A$4:$A$1116,$D523,'Val-Vol (2)'!$V$4:$V$1116,$V523)/SUMIFS('Comp2016-2017 (3)'!$G$5:$G$289,'Comp2016-2017 (3)'!$A$5:$A$289,$D523,'Comp2016-2017 (3)'!$R$5:$R$289,$V523)*$AB523))</f>
        <v/>
      </c>
      <c r="AJ523" s="2">
        <f>IF($W523=AJ$3,$AB523,IF(NOT($W523=0),"",SUMIFS('Val-Vol (2)'!AJ$4:AJ$1116,'Val-Vol (2)'!$A$4:$A$1116,$D523,'Val-Vol (2)'!$V$4:$V$1116,$V523)/SUMIFS('Comp2016-2017 (3)'!$G$5:$G$289,'Comp2016-2017 (3)'!$A$5:$A$289,$D523,'Comp2016-2017 (3)'!$R$5:$R$289,$V523)*$AB523))</f>
        <v>23478.49314333568</v>
      </c>
      <c r="AK523" s="2">
        <f t="shared" si="60"/>
        <v>0</v>
      </c>
      <c r="AL523" t="str">
        <f t="shared" si="62"/>
        <v/>
      </c>
      <c r="AM523" t="str">
        <f>VLOOKUP(A523,'Table corresp.'!$M$4:$U$63,8,FALSE)</f>
        <v>Production intermédiaire</v>
      </c>
      <c r="AN523" t="str">
        <f>VLOOKUP(D523,'Table corresp.'!$M$4:$U$63,9,FALSE)</f>
        <v>Consommation finale française</v>
      </c>
    </row>
    <row r="524" spans="1:40" x14ac:dyDescent="0.25">
      <c r="A524" t="s">
        <v>8</v>
      </c>
      <c r="B524" t="str">
        <f>VLOOKUP(LEFT(A524,3),'Table corresp.'!$A$4:$D$63,3,FALSE)</f>
        <v>Transformation</v>
      </c>
      <c r="C524" t="str">
        <f>VLOOKUP(A524,'Table corresp.'!$M$4:$P$63,4,FALSE)</f>
        <v>Production et transformation de produits bois</v>
      </c>
      <c r="D524" t="s">
        <v>53</v>
      </c>
      <c r="E524" t="str">
        <f>VLOOKUP(LEFT(D524,3),'Table corresp.'!$A$4:$D$63,4,FALSE)</f>
        <v>Exportation</v>
      </c>
      <c r="F524" t="str">
        <f t="shared" si="61"/>
        <v>13  - Exp</v>
      </c>
      <c r="G524" s="3">
        <v>27135.909091657079</v>
      </c>
      <c r="H524" s="3">
        <v>0</v>
      </c>
      <c r="I524" s="3">
        <v>27135.909760805655</v>
      </c>
      <c r="J524" s="3">
        <v>217.06745154802388</v>
      </c>
      <c r="K524" s="3">
        <v>0</v>
      </c>
      <c r="L524" s="3">
        <v>217.06745154802388</v>
      </c>
      <c r="M524" s="3">
        <v>0</v>
      </c>
      <c r="N524" s="3">
        <v>0</v>
      </c>
      <c r="O524" s="3">
        <v>0</v>
      </c>
      <c r="P524" s="3">
        <v>0</v>
      </c>
      <c r="Q524" s="3">
        <v>0</v>
      </c>
      <c r="R524" s="3">
        <v>0</v>
      </c>
      <c r="S524" s="67"/>
      <c r="T524">
        <f>VLOOKUP(A524,'Groupe de branches'!$Z$27:$AM$86,14,FALSE)</f>
        <v>0</v>
      </c>
      <c r="U524">
        <f>VLOOKUP(D524,'Groupe de branches'!$Z$27:$AM$86,14,FALSE)</f>
        <v>0</v>
      </c>
      <c r="V524">
        <v>2017</v>
      </c>
      <c r="W524" t="str">
        <f>VLOOKUP(D524,'Table corresp.'!$M$4:$S$63,7,FALSE)</f>
        <v>Exportation</v>
      </c>
      <c r="X524" s="167">
        <f>IFERROR(G524/SUMIFS('Comp2016-2017 (3)'!$I$5:$I$289,'Comp2016-2017 (3)'!$A$5:$A$289,A524,'Comp2016-2017 (3)'!$R$5:$R$289,V524),0)</f>
        <v>0.10375076679946235</v>
      </c>
      <c r="Y524" s="190">
        <f>IFERROR(IF(RIGHT(F524,3)="Exp",VLOOKUP(F524,#REF!,2,FALSE),VLOOKUP(F524,#REF!,9,FALSE)),1)</f>
        <v>1</v>
      </c>
      <c r="Z524" s="167">
        <f t="shared" si="59"/>
        <v>8.3333333333333329E-2</v>
      </c>
      <c r="AA524" s="189">
        <f t="shared" si="63"/>
        <v>8.6458972332885287E-3</v>
      </c>
      <c r="AB524" s="2">
        <f>IFERROR(SUMIFS('Comp2016-2017 (3)'!$G$5:$G$289,'Comp2016-2017 (3)'!$A$5:$A$289,A524,'Comp2016-2017 (3)'!$R$5:$R$289,V524)*AA524/SUMIFS($AA$4:$AA$1116,$A$4:$A$1116,A524,$V$4:$V$1116,V524),0)</f>
        <v>8304.6130628907977</v>
      </c>
      <c r="AC524" s="2">
        <f>IF($W524=AC$3,$AB524,IF(NOT($W524=0),"",SUMIFS('Val-Vol (2)'!AC$4:AC$1116,'Val-Vol (2)'!$A$4:$A$1116,$D524,'Val-Vol (2)'!$V$4:$V$1116,$V524)/SUMIFS('Comp2016-2017 (3)'!$G$5:$G$289,'Comp2016-2017 (3)'!$A$5:$A$289,$D524,'Comp2016-2017 (3)'!$R$5:$R$289,$V524)*$AB524))</f>
        <v>8304.6130628907977</v>
      </c>
      <c r="AD524" s="2" t="str">
        <f>IF($W524=AD$3,$AB524,IF(NOT($W524=0),"",SUMIFS('Val-Vol (2)'!AD$4:AD$1116,'Val-Vol (2)'!$A$4:$A$1116,$D524,'Val-Vol (2)'!$V$4:$V$1116,$V524)/SUMIFS('Comp2016-2017 (3)'!$G$5:$G$289,'Comp2016-2017 (3)'!$A$5:$A$289,$D524,'Comp2016-2017 (3)'!$R$5:$R$289,$V524)*$AB524))</f>
        <v/>
      </c>
      <c r="AE524" s="2" t="str">
        <f>IF($W524=AE$3,$AB524,IF(NOT($W524=0),"",SUMIFS('Val-Vol (2)'!AE$4:AE$1116,'Val-Vol (2)'!$A$4:$A$1116,$D524,'Val-Vol (2)'!$V$4:$V$1116,$V524)/SUMIFS('Comp2016-2017 (3)'!$G$5:$G$289,'Comp2016-2017 (3)'!$A$5:$A$289,$D524,'Comp2016-2017 (3)'!$R$5:$R$289,$V524)*$AB524))</f>
        <v/>
      </c>
      <c r="AF524" s="2" t="str">
        <f>IF($W524=AF$3,$AB524,IF(NOT($W524=0),"",SUMIFS('Val-Vol (2)'!AF$4:AF$1116,'Val-Vol (2)'!$A$4:$A$1116,$D524,'Val-Vol (2)'!$V$4:$V$1116,$V524)/SUMIFS('Comp2016-2017 (3)'!$G$5:$G$289,'Comp2016-2017 (3)'!$A$5:$A$289,$D524,'Comp2016-2017 (3)'!$R$5:$R$289,$V524)*$AB524))</f>
        <v/>
      </c>
      <c r="AG524" s="2" t="str">
        <f>IF($W524=AG$3,$AB524,IF(NOT($W524=0),"",SUMIFS('Val-Vol (2)'!AG$4:AG$1116,'Val-Vol (2)'!$A$4:$A$1116,$D524,'Val-Vol (2)'!$V$4:$V$1116,$V524)/SUMIFS('Comp2016-2017 (3)'!$G$5:$G$289,'Comp2016-2017 (3)'!$A$5:$A$289,$D524,'Comp2016-2017 (3)'!$R$5:$R$289,$V524)*$AB524))</f>
        <v/>
      </c>
      <c r="AH524" s="2" t="str">
        <f>IF($W524=AH$3,$AB524,IF(NOT($W524=0),"",SUMIFS('Val-Vol (2)'!AH$4:AH$1116,'Val-Vol (2)'!$A$4:$A$1116,$D524,'Val-Vol (2)'!$V$4:$V$1116,$V524)/SUMIFS('Comp2016-2017 (3)'!$G$5:$G$289,'Comp2016-2017 (3)'!$A$5:$A$289,$D524,'Comp2016-2017 (3)'!$R$5:$R$289,$V524)*$AB524))</f>
        <v/>
      </c>
      <c r="AI524" s="2" t="str">
        <f>IF($W524=AI$3,$AB524,IF(NOT($W524=0),"",SUMIFS('Val-Vol (2)'!AI$4:AI$1116,'Val-Vol (2)'!$A$4:$A$1116,$D524,'Val-Vol (2)'!$V$4:$V$1116,$V524)/SUMIFS('Comp2016-2017 (3)'!$G$5:$G$289,'Comp2016-2017 (3)'!$A$5:$A$289,$D524,'Comp2016-2017 (3)'!$R$5:$R$289,$V524)*$AB524))</f>
        <v/>
      </c>
      <c r="AJ524" s="2" t="str">
        <f>IF($W524=AJ$3,$AB524,IF(NOT($W524=0),"",SUMIFS('Val-Vol (2)'!AJ$4:AJ$1116,'Val-Vol (2)'!$A$4:$A$1116,$D524,'Val-Vol (2)'!$V$4:$V$1116,$V524)/SUMIFS('Comp2016-2017 (3)'!$G$5:$G$289,'Comp2016-2017 (3)'!$A$5:$A$289,$D524,'Comp2016-2017 (3)'!$R$5:$R$289,$V524)*$AB524))</f>
        <v/>
      </c>
      <c r="AK524" s="2">
        <f t="shared" si="60"/>
        <v>0</v>
      </c>
      <c r="AL524" t="str">
        <f t="shared" si="62"/>
        <v/>
      </c>
      <c r="AM524" t="str">
        <f>VLOOKUP(A524,'Table corresp.'!$M$4:$U$63,8,FALSE)</f>
        <v>Production intermédiaire</v>
      </c>
      <c r="AN524" t="str">
        <f>VLOOKUP(D524,'Table corresp.'!$M$4:$U$63,9,FALSE)</f>
        <v>Exportation</v>
      </c>
    </row>
    <row r="525" spans="1:40" x14ac:dyDescent="0.25">
      <c r="A525" t="s">
        <v>83</v>
      </c>
      <c r="B525" t="str">
        <f>VLOOKUP(LEFT(A525,3),'Table corresp.'!$A$4:$D$63,3,FALSE)</f>
        <v>Transformation</v>
      </c>
      <c r="C525" t="str">
        <f>VLOOKUP(A525,'Table corresp.'!$M$4:$P$63,4,FALSE)</f>
        <v>Production et transformation de produits bois</v>
      </c>
      <c r="D525" t="s">
        <v>13</v>
      </c>
      <c r="E525" t="str">
        <f>VLOOKUP(LEFT(D525,3),'Table corresp.'!$A$4:$D$63,4,FALSE)</f>
        <v>Transformation</v>
      </c>
      <c r="F525" t="str">
        <f t="shared" si="61"/>
        <v xml:space="preserve">14  - 20 </v>
      </c>
      <c r="G525" s="3">
        <v>5575.9329077890634</v>
      </c>
      <c r="H525" s="3">
        <v>57474.382641983946</v>
      </c>
      <c r="I525" s="3">
        <v>63050.330865942567</v>
      </c>
      <c r="J525" s="3">
        <v>38.707037681814128</v>
      </c>
      <c r="K525" s="3">
        <v>195.89983821435115</v>
      </c>
      <c r="L525" s="3">
        <v>234.60687589616526</v>
      </c>
      <c r="M525" s="3">
        <v>0</v>
      </c>
      <c r="N525" s="3">
        <v>0</v>
      </c>
      <c r="O525" s="3">
        <v>0</v>
      </c>
      <c r="P525" s="3">
        <v>0</v>
      </c>
      <c r="Q525" s="3">
        <v>0</v>
      </c>
      <c r="R525" s="3">
        <v>0</v>
      </c>
      <c r="S525" s="67"/>
      <c r="T525">
        <f>VLOOKUP(A525,'Groupe de branches'!$Z$27:$AM$86,14,FALSE)</f>
        <v>0</v>
      </c>
      <c r="U525">
        <f>VLOOKUP(D525,'Groupe de branches'!$Z$27:$AM$86,14,FALSE)</f>
        <v>0</v>
      </c>
      <c r="V525">
        <v>2017</v>
      </c>
      <c r="W525">
        <f>VLOOKUP(D525,'Table corresp.'!$M$4:$S$63,7,FALSE)</f>
        <v>0</v>
      </c>
      <c r="X525" s="167">
        <f>IFERROR(G525/SUMIFS('Comp2016-2017 (3)'!$I$5:$I$289,'Comp2016-2017 (3)'!$A$5:$A$289,A525,'Comp2016-2017 (3)'!$R$5:$R$289,V525),0)</f>
        <v>4.1424703410439946E-2</v>
      </c>
      <c r="Y525" s="190">
        <f>IFERROR(IF(RIGHT(F525,3)="Exp",VLOOKUP(F525,#REF!,2,FALSE),VLOOKUP(F525,#REF!,9,FALSE)),1)</f>
        <v>1</v>
      </c>
      <c r="Z525" s="167">
        <f t="shared" si="59"/>
        <v>7.1428571428571425E-2</v>
      </c>
      <c r="AA525" s="189">
        <f t="shared" si="63"/>
        <v>2.9589073864599962E-3</v>
      </c>
      <c r="AB525" s="2">
        <f>IFERROR(SUMIFS('Comp2016-2017 (3)'!$G$5:$G$289,'Comp2016-2017 (3)'!$A$5:$A$289,A525,'Comp2016-2017 (3)'!$R$5:$R$289,V525)*AA525/SUMIFS($AA$4:$AA$1116,$A$4:$A$1116,A525,$V$4:$V$1116,V525),0)</f>
        <v>1353.7469796510695</v>
      </c>
      <c r="AC525" s="2">
        <f>IF($W525=AC$3,$AB525,IF(NOT($W525=0),"",SUMIFS('Val-Vol (2)'!AC$4:AC$1116,'Val-Vol (2)'!$A$4:$A$1116,$D525,'Val-Vol (2)'!$V$4:$V$1116,$V525)/SUMIFS('Comp2016-2017 (3)'!$G$5:$G$289,'Comp2016-2017 (3)'!$A$5:$A$289,$D525,'Comp2016-2017 (3)'!$R$5:$R$289,$V525)*$AB525))</f>
        <v>151.54297324000217</v>
      </c>
      <c r="AD525" s="2">
        <f>IF($W525=AD$3,$AB525,IF(NOT($W525=0),"",SUMIFS('Val-Vol (2)'!AD$4:AD$1116,'Val-Vol (2)'!$A$4:$A$1116,$D525,'Val-Vol (2)'!$V$4:$V$1116,$V525)/SUMIFS('Comp2016-2017 (3)'!$G$5:$G$289,'Comp2016-2017 (3)'!$A$5:$A$289,$D525,'Comp2016-2017 (3)'!$R$5:$R$289,$V525)*$AB525))</f>
        <v>742.95874520883831</v>
      </c>
      <c r="AE525" s="2">
        <f>IF($W525=AE$3,$AB525,IF(NOT($W525=0),"",SUMIFS('Val-Vol (2)'!AE$4:AE$1116,'Val-Vol (2)'!$A$4:$A$1116,$D525,'Val-Vol (2)'!$V$4:$V$1116,$V525)/SUMIFS('Comp2016-2017 (3)'!$G$5:$G$289,'Comp2016-2017 (3)'!$A$5:$A$289,$D525,'Comp2016-2017 (3)'!$R$5:$R$289,$V525)*$AB525))</f>
        <v>0</v>
      </c>
      <c r="AF525" s="2">
        <f>IF($W525=AF$3,$AB525,IF(NOT($W525=0),"",SUMIFS('Val-Vol (2)'!AF$4:AF$1116,'Val-Vol (2)'!$A$4:$A$1116,$D525,'Val-Vol (2)'!$V$4:$V$1116,$V525)/SUMIFS('Comp2016-2017 (3)'!$G$5:$G$289,'Comp2016-2017 (3)'!$A$5:$A$289,$D525,'Comp2016-2017 (3)'!$R$5:$R$289,$V525)*$AB525))</f>
        <v>0</v>
      </c>
      <c r="AG525" s="2">
        <f>IF($W525=AG$3,$AB525,IF(NOT($W525=0),"",SUMIFS('Val-Vol (2)'!AG$4:AG$1116,'Val-Vol (2)'!$A$4:$A$1116,$D525,'Val-Vol (2)'!$V$4:$V$1116,$V525)/SUMIFS('Comp2016-2017 (3)'!$G$5:$G$289,'Comp2016-2017 (3)'!$A$5:$A$289,$D525,'Comp2016-2017 (3)'!$R$5:$R$289,$V525)*$AB525))</f>
        <v>0</v>
      </c>
      <c r="AH525" s="2">
        <f>IF($W525=AH$3,$AB525,IF(NOT($W525=0),"",SUMIFS('Val-Vol (2)'!AH$4:AH$1116,'Val-Vol (2)'!$A$4:$A$1116,$D525,'Val-Vol (2)'!$V$4:$V$1116,$V525)/SUMIFS('Comp2016-2017 (3)'!$G$5:$G$289,'Comp2016-2017 (3)'!$A$5:$A$289,$D525,'Comp2016-2017 (3)'!$R$5:$R$289,$V525)*$AB525))</f>
        <v>0</v>
      </c>
      <c r="AI525" s="2">
        <f>IF($W525=AI$3,$AB525,IF(NOT($W525=0),"",SUMIFS('Val-Vol (2)'!AI$4:AI$1116,'Val-Vol (2)'!$A$4:$A$1116,$D525,'Val-Vol (2)'!$V$4:$V$1116,$V525)/SUMIFS('Comp2016-2017 (3)'!$G$5:$G$289,'Comp2016-2017 (3)'!$A$5:$A$289,$D525,'Comp2016-2017 (3)'!$R$5:$R$289,$V525)*$AB525))</f>
        <v>0</v>
      </c>
      <c r="AJ525" s="2">
        <f>IF($W525=AJ$3,$AB525,IF(NOT($W525=0),"",SUMIFS('Val-Vol (2)'!AJ$4:AJ$1116,'Val-Vol (2)'!$A$4:$A$1116,$D525,'Val-Vol (2)'!$V$4:$V$1116,$V525)/SUMIFS('Comp2016-2017 (3)'!$G$5:$G$289,'Comp2016-2017 (3)'!$A$5:$A$289,$D525,'Comp2016-2017 (3)'!$R$5:$R$289,$V525)*$AB525))</f>
        <v>459.24526120222902</v>
      </c>
      <c r="AK525" s="2">
        <f t="shared" si="60"/>
        <v>0</v>
      </c>
      <c r="AL525" t="str">
        <f t="shared" si="62"/>
        <v/>
      </c>
      <c r="AM525" t="str">
        <f>VLOOKUP(A525,'Table corresp.'!$M$4:$U$63,8,FALSE)</f>
        <v>Production intermédiaire</v>
      </c>
      <c r="AN525" t="str">
        <f>VLOOKUP(D525,'Table corresp.'!$M$4:$U$63,9,FALSE)</f>
        <v>Production intermédiaire</v>
      </c>
    </row>
    <row r="526" spans="1:40" x14ac:dyDescent="0.25">
      <c r="A526" t="s">
        <v>83</v>
      </c>
      <c r="B526" t="str">
        <f>VLOOKUP(LEFT(A526,3),'Table corresp.'!$A$4:$D$63,3,FALSE)</f>
        <v>Transformation</v>
      </c>
      <c r="C526" t="str">
        <f>VLOOKUP(A526,'Table corresp.'!$M$4:$P$63,4,FALSE)</f>
        <v>Production et transformation de produits bois</v>
      </c>
      <c r="D526" t="s">
        <v>14</v>
      </c>
      <c r="E526" t="str">
        <f>VLOOKUP(LEFT(D526,3),'Table corresp.'!$A$4:$D$63,4,FALSE)</f>
        <v>Transformation</v>
      </c>
      <c r="F526" t="str">
        <f t="shared" si="61"/>
        <v>14  - 20b</v>
      </c>
      <c r="G526" s="3">
        <v>308.7312029623908</v>
      </c>
      <c r="H526" s="3">
        <v>4024.9655072514206</v>
      </c>
      <c r="I526" s="3">
        <v>4333.697761207447</v>
      </c>
      <c r="J526" s="3">
        <v>2.6885416077814015</v>
      </c>
      <c r="K526" s="3">
        <v>17.210194017633249</v>
      </c>
      <c r="L526" s="3">
        <v>19.898735625414652</v>
      </c>
      <c r="M526" s="3">
        <v>0</v>
      </c>
      <c r="N526" s="3">
        <v>0</v>
      </c>
      <c r="O526" s="3">
        <v>0</v>
      </c>
      <c r="P526" s="3">
        <v>0</v>
      </c>
      <c r="Q526" s="3">
        <v>0</v>
      </c>
      <c r="R526" s="3">
        <v>0</v>
      </c>
      <c r="S526" s="67"/>
      <c r="T526">
        <f>VLOOKUP(A526,'Groupe de branches'!$Z$27:$AM$86,14,FALSE)</f>
        <v>0</v>
      </c>
      <c r="U526">
        <f>VLOOKUP(D526,'Groupe de branches'!$Z$27:$AM$86,14,FALSE)</f>
        <v>0</v>
      </c>
      <c r="V526">
        <v>2017</v>
      </c>
      <c r="W526">
        <f>VLOOKUP(D526,'Table corresp.'!$M$4:$S$63,7,FALSE)</f>
        <v>0</v>
      </c>
      <c r="X526" s="167">
        <f>IFERROR(G526/SUMIFS('Comp2016-2017 (3)'!$I$5:$I$289,'Comp2016-2017 (3)'!$A$5:$A$289,A526,'Comp2016-2017 (3)'!$R$5:$R$289,V526),0)</f>
        <v>2.2936248925090525E-3</v>
      </c>
      <c r="Y526" s="190">
        <f>IFERROR(IF(RIGHT(F526,3)="Exp",VLOOKUP(F526,#REF!,2,FALSE),VLOOKUP(F526,#REF!,9,FALSE)),1)</f>
        <v>1</v>
      </c>
      <c r="Z526" s="167">
        <f t="shared" si="59"/>
        <v>7.1428571428571425E-2</v>
      </c>
      <c r="AA526" s="189">
        <f t="shared" si="63"/>
        <v>1.6383034946493232E-4</v>
      </c>
      <c r="AB526" s="2">
        <f>IFERROR(SUMIFS('Comp2016-2017 (3)'!$G$5:$G$289,'Comp2016-2017 (3)'!$A$5:$A$289,A526,'Comp2016-2017 (3)'!$R$5:$R$289,V526)*AA526/SUMIFS($AA$4:$AA$1116,$A$4:$A$1116,A526,$V$4:$V$1116,V526),0)</f>
        <v>74.954978914927196</v>
      </c>
      <c r="AC526" s="2">
        <f>IF($W526=AC$3,$AB526,IF(NOT($W526=0),"",SUMIFS('Val-Vol (2)'!AC$4:AC$1116,'Val-Vol (2)'!$A$4:$A$1116,$D526,'Val-Vol (2)'!$V$4:$V$1116,$V526)/SUMIFS('Comp2016-2017 (3)'!$G$5:$G$289,'Comp2016-2017 (3)'!$A$5:$A$289,$D526,'Comp2016-2017 (3)'!$R$5:$R$289,$V526)*$AB526))</f>
        <v>22.58725008412145</v>
      </c>
      <c r="AD526" s="2">
        <f>IF($W526=AD$3,$AB526,IF(NOT($W526=0),"",SUMIFS('Val-Vol (2)'!AD$4:AD$1116,'Val-Vol (2)'!$A$4:$A$1116,$D526,'Val-Vol (2)'!$V$4:$V$1116,$V526)/SUMIFS('Comp2016-2017 (3)'!$G$5:$G$289,'Comp2016-2017 (3)'!$A$5:$A$289,$D526,'Comp2016-2017 (3)'!$R$5:$R$289,$V526)*$AB526))</f>
        <v>52.221597899342008</v>
      </c>
      <c r="AE526" s="2">
        <f>IF($W526=AE$3,$AB526,IF(NOT($W526=0),"",SUMIFS('Val-Vol (2)'!AE$4:AE$1116,'Val-Vol (2)'!$A$4:$A$1116,$D526,'Val-Vol (2)'!$V$4:$V$1116,$V526)/SUMIFS('Comp2016-2017 (3)'!$G$5:$G$289,'Comp2016-2017 (3)'!$A$5:$A$289,$D526,'Comp2016-2017 (3)'!$R$5:$R$289,$V526)*$AB526))</f>
        <v>0.14613093146374256</v>
      </c>
      <c r="AF526" s="2">
        <f>IF($W526=AF$3,$AB526,IF(NOT($W526=0),"",SUMIFS('Val-Vol (2)'!AF$4:AF$1116,'Val-Vol (2)'!$A$4:$A$1116,$D526,'Val-Vol (2)'!$V$4:$V$1116,$V526)/SUMIFS('Comp2016-2017 (3)'!$G$5:$G$289,'Comp2016-2017 (3)'!$A$5:$A$289,$D526,'Comp2016-2017 (3)'!$R$5:$R$289,$V526)*$AB526))</f>
        <v>0</v>
      </c>
      <c r="AG526" s="2">
        <f>IF($W526=AG$3,$AB526,IF(NOT($W526=0),"",SUMIFS('Val-Vol (2)'!AG$4:AG$1116,'Val-Vol (2)'!$A$4:$A$1116,$D526,'Val-Vol (2)'!$V$4:$V$1116,$V526)/SUMIFS('Comp2016-2017 (3)'!$G$5:$G$289,'Comp2016-2017 (3)'!$A$5:$A$289,$D526,'Comp2016-2017 (3)'!$R$5:$R$289,$V526)*$AB526))</f>
        <v>0</v>
      </c>
      <c r="AH526" s="2">
        <f>IF($W526=AH$3,$AB526,IF(NOT($W526=0),"",SUMIFS('Val-Vol (2)'!AH$4:AH$1116,'Val-Vol (2)'!$A$4:$A$1116,$D526,'Val-Vol (2)'!$V$4:$V$1116,$V526)/SUMIFS('Comp2016-2017 (3)'!$G$5:$G$289,'Comp2016-2017 (3)'!$A$5:$A$289,$D526,'Comp2016-2017 (3)'!$R$5:$R$289,$V526)*$AB526))</f>
        <v>0</v>
      </c>
      <c r="AI526" s="2">
        <f>IF($W526=AI$3,$AB526,IF(NOT($W526=0),"",SUMIFS('Val-Vol (2)'!AI$4:AI$1116,'Val-Vol (2)'!$A$4:$A$1116,$D526,'Val-Vol (2)'!$V$4:$V$1116,$V526)/SUMIFS('Comp2016-2017 (3)'!$G$5:$G$289,'Comp2016-2017 (3)'!$A$5:$A$289,$D526,'Comp2016-2017 (3)'!$R$5:$R$289,$V526)*$AB526))</f>
        <v>0</v>
      </c>
      <c r="AJ526" s="2">
        <f>IF($W526=AJ$3,$AB526,IF(NOT($W526=0),"",SUMIFS('Val-Vol (2)'!AJ$4:AJ$1116,'Val-Vol (2)'!$A$4:$A$1116,$D526,'Val-Vol (2)'!$V$4:$V$1116,$V526)/SUMIFS('Comp2016-2017 (3)'!$G$5:$G$289,'Comp2016-2017 (3)'!$A$5:$A$289,$D526,'Comp2016-2017 (3)'!$R$5:$R$289,$V526)*$AB526))</f>
        <v>0</v>
      </c>
      <c r="AK526" s="2">
        <f t="shared" si="60"/>
        <v>0</v>
      </c>
      <c r="AL526" t="str">
        <f t="shared" si="62"/>
        <v/>
      </c>
      <c r="AM526" t="str">
        <f>VLOOKUP(A526,'Table corresp.'!$M$4:$U$63,8,FALSE)</f>
        <v>Production intermédiaire</v>
      </c>
      <c r="AN526" t="str">
        <f>VLOOKUP(D526,'Table corresp.'!$M$4:$U$63,9,FALSE)</f>
        <v>Production intermédiaire</v>
      </c>
    </row>
    <row r="527" spans="1:40" x14ac:dyDescent="0.25">
      <c r="A527" t="s">
        <v>83</v>
      </c>
      <c r="B527" t="str">
        <f>VLOOKUP(LEFT(A527,3),'Table corresp.'!$A$4:$D$63,3,FALSE)</f>
        <v>Transformation</v>
      </c>
      <c r="C527" t="str">
        <f>VLOOKUP(A527,'Table corresp.'!$M$4:$P$63,4,FALSE)</f>
        <v>Production et transformation de produits bois</v>
      </c>
      <c r="D527" t="s">
        <v>85</v>
      </c>
      <c r="E527" t="str">
        <f>VLOOKUP(LEFT(D527,3),'Table corresp.'!$A$4:$D$63,4,FALSE)</f>
        <v>Transformation</v>
      </c>
      <c r="F527" t="str">
        <f t="shared" si="61"/>
        <v xml:space="preserve">14  - 29 </v>
      </c>
      <c r="G527" s="3">
        <v>317.26045920292728</v>
      </c>
      <c r="H527" s="3">
        <v>12092.992877040293</v>
      </c>
      <c r="I527" s="3">
        <v>12410.256332647969</v>
      </c>
      <c r="J527" s="3">
        <v>3.1081695954187785</v>
      </c>
      <c r="K527" s="3">
        <v>58.171454501749082</v>
      </c>
      <c r="L527" s="3">
        <v>61.279624097167861</v>
      </c>
      <c r="M527" s="3">
        <v>0</v>
      </c>
      <c r="N527" s="3">
        <v>0</v>
      </c>
      <c r="O527" s="3">
        <v>0</v>
      </c>
      <c r="P527" s="3">
        <v>0</v>
      </c>
      <c r="Q527" s="3">
        <v>0</v>
      </c>
      <c r="R527" s="3">
        <v>0</v>
      </c>
      <c r="S527" s="67"/>
      <c r="T527">
        <f>VLOOKUP(A527,'Groupe de branches'!$Z$27:$AM$86,14,FALSE)</f>
        <v>0</v>
      </c>
      <c r="U527">
        <f>VLOOKUP(D527,'Groupe de branches'!$Z$27:$AM$86,14,FALSE)</f>
        <v>0</v>
      </c>
      <c r="V527">
        <v>2017</v>
      </c>
      <c r="W527" t="str">
        <f>VLOOKUP(D527,'Table corresp.'!$M$4:$S$63,7,FALSE)</f>
        <v>Construction</v>
      </c>
      <c r="X527" s="167">
        <f>IFERROR(G527/SUMIFS('Comp2016-2017 (3)'!$I$5:$I$289,'Comp2016-2017 (3)'!$A$5:$A$289,A527,'Comp2016-2017 (3)'!$R$5:$R$289,V527),0)</f>
        <v>2.3569904164346201E-3</v>
      </c>
      <c r="Y527" s="190">
        <f>IFERROR(IF(RIGHT(F527,3)="Exp",VLOOKUP(F527,#REF!,2,FALSE),VLOOKUP(F527,#REF!,9,FALSE)),1)</f>
        <v>1</v>
      </c>
      <c r="Z527" s="167">
        <f t="shared" si="59"/>
        <v>7.1428571428571425E-2</v>
      </c>
      <c r="AA527" s="189">
        <f t="shared" si="63"/>
        <v>1.6835645831675858E-4</v>
      </c>
      <c r="AB527" s="2">
        <f>IFERROR(SUMIFS('Comp2016-2017 (3)'!$G$5:$G$289,'Comp2016-2017 (3)'!$A$5:$A$289,A527,'Comp2016-2017 (3)'!$R$5:$R$289,V527)*AA527/SUMIFS($AA$4:$AA$1116,$A$4:$A$1116,A527,$V$4:$V$1116,V527),0)</f>
        <v>77.025745379524892</v>
      </c>
      <c r="AC527" s="2" t="str">
        <f>IF($W527=AC$3,$AB527,IF(NOT($W527=0),"",SUMIFS('Val-Vol (2)'!AC$4:AC$1116,'Val-Vol (2)'!$A$4:$A$1116,$D527,'Val-Vol (2)'!$V$4:$V$1116,$V527)/SUMIFS('Comp2016-2017 (3)'!$G$5:$G$289,'Comp2016-2017 (3)'!$A$5:$A$289,$D527,'Comp2016-2017 (3)'!$R$5:$R$289,$V527)*$AB527))</f>
        <v/>
      </c>
      <c r="AD527" s="2">
        <f>IF($W527=AD$3,$AB527,IF(NOT($W527=0),"",SUMIFS('Val-Vol (2)'!AD$4:AD$1116,'Val-Vol (2)'!$A$4:$A$1116,$D527,'Val-Vol (2)'!$V$4:$V$1116,$V527)/SUMIFS('Comp2016-2017 (3)'!$G$5:$G$289,'Comp2016-2017 (3)'!$A$5:$A$289,$D527,'Comp2016-2017 (3)'!$R$5:$R$289,$V527)*$AB527))</f>
        <v>77.025745379524892</v>
      </c>
      <c r="AE527" s="2" t="str">
        <f>IF($W527=AE$3,$AB527,IF(NOT($W527=0),"",SUMIFS('Val-Vol (2)'!AE$4:AE$1116,'Val-Vol (2)'!$A$4:$A$1116,$D527,'Val-Vol (2)'!$V$4:$V$1116,$V527)/SUMIFS('Comp2016-2017 (3)'!$G$5:$G$289,'Comp2016-2017 (3)'!$A$5:$A$289,$D527,'Comp2016-2017 (3)'!$R$5:$R$289,$V527)*$AB527))</f>
        <v/>
      </c>
      <c r="AF527" s="2" t="str">
        <f>IF($W527=AF$3,$AB527,IF(NOT($W527=0),"",SUMIFS('Val-Vol (2)'!AF$4:AF$1116,'Val-Vol (2)'!$A$4:$A$1116,$D527,'Val-Vol (2)'!$V$4:$V$1116,$V527)/SUMIFS('Comp2016-2017 (3)'!$G$5:$G$289,'Comp2016-2017 (3)'!$A$5:$A$289,$D527,'Comp2016-2017 (3)'!$R$5:$R$289,$V527)*$AB527))</f>
        <v/>
      </c>
      <c r="AG527" s="2" t="str">
        <f>IF($W527=AG$3,$AB527,IF(NOT($W527=0),"",SUMIFS('Val-Vol (2)'!AG$4:AG$1116,'Val-Vol (2)'!$A$4:$A$1116,$D527,'Val-Vol (2)'!$V$4:$V$1116,$V527)/SUMIFS('Comp2016-2017 (3)'!$G$5:$G$289,'Comp2016-2017 (3)'!$A$5:$A$289,$D527,'Comp2016-2017 (3)'!$R$5:$R$289,$V527)*$AB527))</f>
        <v/>
      </c>
      <c r="AH527" s="2" t="str">
        <f>IF($W527=AH$3,$AB527,IF(NOT($W527=0),"",SUMIFS('Val-Vol (2)'!AH$4:AH$1116,'Val-Vol (2)'!$A$4:$A$1116,$D527,'Val-Vol (2)'!$V$4:$V$1116,$V527)/SUMIFS('Comp2016-2017 (3)'!$G$5:$G$289,'Comp2016-2017 (3)'!$A$5:$A$289,$D527,'Comp2016-2017 (3)'!$R$5:$R$289,$V527)*$AB527))</f>
        <v/>
      </c>
      <c r="AI527" s="2" t="str">
        <f>IF($W527=AI$3,$AB527,IF(NOT($W527=0),"",SUMIFS('Val-Vol (2)'!AI$4:AI$1116,'Val-Vol (2)'!$A$4:$A$1116,$D527,'Val-Vol (2)'!$V$4:$V$1116,$V527)/SUMIFS('Comp2016-2017 (3)'!$G$5:$G$289,'Comp2016-2017 (3)'!$A$5:$A$289,$D527,'Comp2016-2017 (3)'!$R$5:$R$289,$V527)*$AB527))</f>
        <v/>
      </c>
      <c r="AJ527" s="2" t="str">
        <f>IF($W527=AJ$3,$AB527,IF(NOT($W527=0),"",SUMIFS('Val-Vol (2)'!AJ$4:AJ$1116,'Val-Vol (2)'!$A$4:$A$1116,$D527,'Val-Vol (2)'!$V$4:$V$1116,$V527)/SUMIFS('Comp2016-2017 (3)'!$G$5:$G$289,'Comp2016-2017 (3)'!$A$5:$A$289,$D527,'Comp2016-2017 (3)'!$R$5:$R$289,$V527)*$AB527))</f>
        <v/>
      </c>
      <c r="AK527" s="2">
        <f t="shared" si="60"/>
        <v>0</v>
      </c>
      <c r="AL527" t="str">
        <f t="shared" si="62"/>
        <v/>
      </c>
      <c r="AM527" t="str">
        <f>VLOOKUP(A527,'Table corresp.'!$M$4:$U$63,8,FALSE)</f>
        <v>Production intermédiaire</v>
      </c>
      <c r="AN527" t="str">
        <f>VLOOKUP(D527,'Table corresp.'!$M$4:$U$63,9,FALSE)</f>
        <v>Production intermédiaire</v>
      </c>
    </row>
    <row r="528" spans="1:40" x14ac:dyDescent="0.25">
      <c r="A528" t="s">
        <v>83</v>
      </c>
      <c r="B528" t="str">
        <f>VLOOKUP(LEFT(A528,3),'Table corresp.'!$A$4:$D$63,3,FALSE)</f>
        <v>Transformation</v>
      </c>
      <c r="C528" t="str">
        <f>VLOOKUP(A528,'Table corresp.'!$M$4:$P$63,4,FALSE)</f>
        <v>Production et transformation de produits bois</v>
      </c>
      <c r="D528" t="s">
        <v>15</v>
      </c>
      <c r="E528" t="str">
        <f>VLOOKUP(LEFT(D528,3),'Table corresp.'!$A$4:$D$63,4,FALSE)</f>
        <v>Transformation</v>
      </c>
      <c r="F528" t="str">
        <f t="shared" si="61"/>
        <v xml:space="preserve">14  - 35 </v>
      </c>
      <c r="G528" s="3">
        <v>258.46886892511191</v>
      </c>
      <c r="H528" s="3">
        <v>2162.2051491232478</v>
      </c>
      <c r="I528" s="3">
        <v>2420.6746071187008</v>
      </c>
      <c r="J528" s="3">
        <v>2.1360005099699126</v>
      </c>
      <c r="K528" s="3">
        <v>8.7735907685456898</v>
      </c>
      <c r="L528" s="3">
        <v>10.909591278515602</v>
      </c>
      <c r="M528" s="3">
        <v>0</v>
      </c>
      <c r="N528" s="3">
        <v>0</v>
      </c>
      <c r="O528" s="3">
        <v>0</v>
      </c>
      <c r="P528" s="3">
        <v>0</v>
      </c>
      <c r="Q528" s="3">
        <v>0</v>
      </c>
      <c r="R528" s="3">
        <v>0</v>
      </c>
      <c r="S528" s="67"/>
      <c r="T528">
        <f>VLOOKUP(A528,'Groupe de branches'!$Z$27:$AM$86,14,FALSE)</f>
        <v>0</v>
      </c>
      <c r="U528">
        <f>VLOOKUP(D528,'Groupe de branches'!$Z$27:$AM$86,14,FALSE)</f>
        <v>0</v>
      </c>
      <c r="V528">
        <v>2017</v>
      </c>
      <c r="W528" t="str">
        <f>VLOOKUP(D528,'Table corresp.'!$M$4:$S$63,7,FALSE)</f>
        <v>Construction</v>
      </c>
      <c r="X528" s="167">
        <f>IFERROR(G528/SUMIFS('Comp2016-2017 (3)'!$I$5:$I$289,'Comp2016-2017 (3)'!$A$5:$A$289,A528,'Comp2016-2017 (3)'!$R$5:$R$289,V528),0)</f>
        <v>1.9202161168578543E-3</v>
      </c>
      <c r="Y528" s="190">
        <f>IFERROR(IF(RIGHT(F528,3)="Exp",VLOOKUP(F528,#REF!,2,FALSE),VLOOKUP(F528,#REF!,9,FALSE)),1)</f>
        <v>1</v>
      </c>
      <c r="Z528" s="167">
        <f t="shared" si="59"/>
        <v>7.1428571428571425E-2</v>
      </c>
      <c r="AA528" s="189">
        <f t="shared" si="63"/>
        <v>1.3715829406127529E-4</v>
      </c>
      <c r="AB528" s="2">
        <f>IFERROR(SUMIFS('Comp2016-2017 (3)'!$G$5:$G$289,'Comp2016-2017 (3)'!$A$5:$A$289,A528,'Comp2016-2017 (3)'!$R$5:$R$289,V528)*AA528/SUMIFS($AA$4:$AA$1116,$A$4:$A$1116,A528,$V$4:$V$1116,V528),0)</f>
        <v>62.752091251388343</v>
      </c>
      <c r="AC528" s="2" t="str">
        <f>IF($W528=AC$3,$AB528,IF(NOT($W528=0),"",SUMIFS('Val-Vol (2)'!AC$4:AC$1116,'Val-Vol (2)'!$A$4:$A$1116,$D528,'Val-Vol (2)'!$V$4:$V$1116,$V528)/SUMIFS('Comp2016-2017 (3)'!$G$5:$G$289,'Comp2016-2017 (3)'!$A$5:$A$289,$D528,'Comp2016-2017 (3)'!$R$5:$R$289,$V528)*$AB528))</f>
        <v/>
      </c>
      <c r="AD528" s="2">
        <f>IF($W528=AD$3,$AB528,IF(NOT($W528=0),"",SUMIFS('Val-Vol (2)'!AD$4:AD$1116,'Val-Vol (2)'!$A$4:$A$1116,$D528,'Val-Vol (2)'!$V$4:$V$1116,$V528)/SUMIFS('Comp2016-2017 (3)'!$G$5:$G$289,'Comp2016-2017 (3)'!$A$5:$A$289,$D528,'Comp2016-2017 (3)'!$R$5:$R$289,$V528)*$AB528))</f>
        <v>62.752091251388343</v>
      </c>
      <c r="AE528" s="2" t="str">
        <f>IF($W528=AE$3,$AB528,IF(NOT($W528=0),"",SUMIFS('Val-Vol (2)'!AE$4:AE$1116,'Val-Vol (2)'!$A$4:$A$1116,$D528,'Val-Vol (2)'!$V$4:$V$1116,$V528)/SUMIFS('Comp2016-2017 (3)'!$G$5:$G$289,'Comp2016-2017 (3)'!$A$5:$A$289,$D528,'Comp2016-2017 (3)'!$R$5:$R$289,$V528)*$AB528))</f>
        <v/>
      </c>
      <c r="AF528" s="2" t="str">
        <f>IF($W528=AF$3,$AB528,IF(NOT($W528=0),"",SUMIFS('Val-Vol (2)'!AF$4:AF$1116,'Val-Vol (2)'!$A$4:$A$1116,$D528,'Val-Vol (2)'!$V$4:$V$1116,$V528)/SUMIFS('Comp2016-2017 (3)'!$G$5:$G$289,'Comp2016-2017 (3)'!$A$5:$A$289,$D528,'Comp2016-2017 (3)'!$R$5:$R$289,$V528)*$AB528))</f>
        <v/>
      </c>
      <c r="AG528" s="2" t="str">
        <f>IF($W528=AG$3,$AB528,IF(NOT($W528=0),"",SUMIFS('Val-Vol (2)'!AG$4:AG$1116,'Val-Vol (2)'!$A$4:$A$1116,$D528,'Val-Vol (2)'!$V$4:$V$1116,$V528)/SUMIFS('Comp2016-2017 (3)'!$G$5:$G$289,'Comp2016-2017 (3)'!$A$5:$A$289,$D528,'Comp2016-2017 (3)'!$R$5:$R$289,$V528)*$AB528))</f>
        <v/>
      </c>
      <c r="AH528" s="2" t="str">
        <f>IF($W528=AH$3,$AB528,IF(NOT($W528=0),"",SUMIFS('Val-Vol (2)'!AH$4:AH$1116,'Val-Vol (2)'!$A$4:$A$1116,$D528,'Val-Vol (2)'!$V$4:$V$1116,$V528)/SUMIFS('Comp2016-2017 (3)'!$G$5:$G$289,'Comp2016-2017 (3)'!$A$5:$A$289,$D528,'Comp2016-2017 (3)'!$R$5:$R$289,$V528)*$AB528))</f>
        <v/>
      </c>
      <c r="AI528" s="2" t="str">
        <f>IF($W528=AI$3,$AB528,IF(NOT($W528=0),"",SUMIFS('Val-Vol (2)'!AI$4:AI$1116,'Val-Vol (2)'!$A$4:$A$1116,$D528,'Val-Vol (2)'!$V$4:$V$1116,$V528)/SUMIFS('Comp2016-2017 (3)'!$G$5:$G$289,'Comp2016-2017 (3)'!$A$5:$A$289,$D528,'Comp2016-2017 (3)'!$R$5:$R$289,$V528)*$AB528))</f>
        <v/>
      </c>
      <c r="AJ528" s="2" t="str">
        <f>IF($W528=AJ$3,$AB528,IF(NOT($W528=0),"",SUMIFS('Val-Vol (2)'!AJ$4:AJ$1116,'Val-Vol (2)'!$A$4:$A$1116,$D528,'Val-Vol (2)'!$V$4:$V$1116,$V528)/SUMIFS('Comp2016-2017 (3)'!$G$5:$G$289,'Comp2016-2017 (3)'!$A$5:$A$289,$D528,'Comp2016-2017 (3)'!$R$5:$R$289,$V528)*$AB528))</f>
        <v/>
      </c>
      <c r="AK528" s="2">
        <f t="shared" si="60"/>
        <v>0</v>
      </c>
      <c r="AL528" t="str">
        <f t="shared" si="62"/>
        <v/>
      </c>
      <c r="AM528" t="str">
        <f>VLOOKUP(A528,'Table corresp.'!$M$4:$U$63,8,FALSE)</f>
        <v>Production intermédiaire</v>
      </c>
      <c r="AN528" t="str">
        <f>VLOOKUP(D528,'Table corresp.'!$M$4:$U$63,9,FALSE)</f>
        <v>Production finale</v>
      </c>
    </row>
    <row r="529" spans="1:40" x14ac:dyDescent="0.25">
      <c r="A529" t="s">
        <v>83</v>
      </c>
      <c r="B529" t="str">
        <f>VLOOKUP(LEFT(A529,3),'Table corresp.'!$A$4:$D$63,3,FALSE)</f>
        <v>Transformation</v>
      </c>
      <c r="C529" t="str">
        <f>VLOOKUP(A529,'Table corresp.'!$M$4:$P$63,4,FALSE)</f>
        <v>Production et transformation de produits bois</v>
      </c>
      <c r="D529" t="s">
        <v>91</v>
      </c>
      <c r="E529" t="str">
        <f>VLOOKUP(LEFT(D529,3),'Table corresp.'!$A$4:$D$63,4,FALSE)</f>
        <v>Transformation</v>
      </c>
      <c r="F529" t="str">
        <f t="shared" si="61"/>
        <v xml:space="preserve">14  - 37 </v>
      </c>
      <c r="G529" s="3">
        <v>30577.56024852621</v>
      </c>
      <c r="H529" s="3">
        <v>11178.168731411626</v>
      </c>
      <c r="I529" s="3">
        <v>41755.739753488146</v>
      </c>
      <c r="J529" s="3">
        <v>511.65433060929189</v>
      </c>
      <c r="K529" s="3">
        <v>91.839994952662082</v>
      </c>
      <c r="L529" s="3">
        <v>603.49432556195393</v>
      </c>
      <c r="M529" s="3">
        <v>0</v>
      </c>
      <c r="N529" s="3">
        <v>0</v>
      </c>
      <c r="O529" s="3">
        <v>0</v>
      </c>
      <c r="P529" s="3">
        <v>0</v>
      </c>
      <c r="Q529" s="3">
        <v>0</v>
      </c>
      <c r="R529" s="3">
        <v>0</v>
      </c>
      <c r="S529" s="67"/>
      <c r="T529">
        <f>VLOOKUP(A529,'Groupe de branches'!$Z$27:$AM$86,14,FALSE)</f>
        <v>0</v>
      </c>
      <c r="U529">
        <f>VLOOKUP(D529,'Groupe de branches'!$Z$27:$AM$86,14,FALSE)</f>
        <v>0</v>
      </c>
      <c r="V529">
        <v>2017</v>
      </c>
      <c r="W529" t="str">
        <f>VLOOKUP(D529,'Table corresp.'!$M$4:$S$63,7,FALSE)</f>
        <v>Emballage bois et carton</v>
      </c>
      <c r="X529" s="167">
        <f>IFERROR(G529/SUMIFS('Comp2016-2017 (3)'!$I$5:$I$289,'Comp2016-2017 (3)'!$A$5:$A$289,A529,'Comp2016-2017 (3)'!$R$5:$R$289,V529),0)</f>
        <v>0.22716671546399719</v>
      </c>
      <c r="Y529" s="190">
        <f>IFERROR(IF(RIGHT(F529,3)="Exp",VLOOKUP(F529,#REF!,2,FALSE),VLOOKUP(F529,#REF!,9,FALSE)),1)</f>
        <v>1</v>
      </c>
      <c r="Z529" s="167">
        <f t="shared" si="59"/>
        <v>7.1428571428571425E-2</v>
      </c>
      <c r="AA529" s="189">
        <f t="shared" si="63"/>
        <v>1.6226193961714083E-2</v>
      </c>
      <c r="AB529" s="2">
        <f>IFERROR(SUMIFS('Comp2016-2017 (3)'!$G$5:$G$289,'Comp2016-2017 (3)'!$A$5:$A$289,A529,'Comp2016-2017 (3)'!$R$5:$R$289,V529)*AA529/SUMIFS($AA$4:$AA$1116,$A$4:$A$1116,A529,$V$4:$V$1116,V529),0)</f>
        <v>7423.7406575887908</v>
      </c>
      <c r="AC529" s="2" t="str">
        <f>IF($W529=AC$3,$AB529,IF(NOT($W529=0),"",SUMIFS('Val-Vol (2)'!AC$4:AC$1116,'Val-Vol (2)'!$A$4:$A$1116,$D529,'Val-Vol (2)'!$V$4:$V$1116,$V529)/SUMIFS('Comp2016-2017 (3)'!$G$5:$G$289,'Comp2016-2017 (3)'!$A$5:$A$289,$D529,'Comp2016-2017 (3)'!$R$5:$R$289,$V529)*$AB529))</f>
        <v/>
      </c>
      <c r="AD529" s="2" t="str">
        <f>IF($W529=AD$3,$AB529,IF(NOT($W529=0),"",SUMIFS('Val-Vol (2)'!AD$4:AD$1116,'Val-Vol (2)'!$A$4:$A$1116,$D529,'Val-Vol (2)'!$V$4:$V$1116,$V529)/SUMIFS('Comp2016-2017 (3)'!$G$5:$G$289,'Comp2016-2017 (3)'!$A$5:$A$289,$D529,'Comp2016-2017 (3)'!$R$5:$R$289,$V529)*$AB529))</f>
        <v/>
      </c>
      <c r="AE529" s="2" t="str">
        <f>IF($W529=AE$3,$AB529,IF(NOT($W529=0),"",SUMIFS('Val-Vol (2)'!AE$4:AE$1116,'Val-Vol (2)'!$A$4:$A$1116,$D529,'Val-Vol (2)'!$V$4:$V$1116,$V529)/SUMIFS('Comp2016-2017 (3)'!$G$5:$G$289,'Comp2016-2017 (3)'!$A$5:$A$289,$D529,'Comp2016-2017 (3)'!$R$5:$R$289,$V529)*$AB529))</f>
        <v/>
      </c>
      <c r="AF529" s="2" t="str">
        <f>IF($W529=AF$3,$AB529,IF(NOT($W529=0),"",SUMIFS('Val-Vol (2)'!AF$4:AF$1116,'Val-Vol (2)'!$A$4:$A$1116,$D529,'Val-Vol (2)'!$V$4:$V$1116,$V529)/SUMIFS('Comp2016-2017 (3)'!$G$5:$G$289,'Comp2016-2017 (3)'!$A$5:$A$289,$D529,'Comp2016-2017 (3)'!$R$5:$R$289,$V529)*$AB529))</f>
        <v/>
      </c>
      <c r="AG529" s="2">
        <f>IF($W529=AG$3,$AB529,IF(NOT($W529=0),"",SUMIFS('Val-Vol (2)'!AG$4:AG$1116,'Val-Vol (2)'!$A$4:$A$1116,$D529,'Val-Vol (2)'!$V$4:$V$1116,$V529)/SUMIFS('Comp2016-2017 (3)'!$G$5:$G$289,'Comp2016-2017 (3)'!$A$5:$A$289,$D529,'Comp2016-2017 (3)'!$R$5:$R$289,$V529)*$AB529))</f>
        <v>7423.7406575887908</v>
      </c>
      <c r="AH529" s="2" t="str">
        <f>IF($W529=AH$3,$AB529,IF(NOT($W529=0),"",SUMIFS('Val-Vol (2)'!AH$4:AH$1116,'Val-Vol (2)'!$A$4:$A$1116,$D529,'Val-Vol (2)'!$V$4:$V$1116,$V529)/SUMIFS('Comp2016-2017 (3)'!$G$5:$G$289,'Comp2016-2017 (3)'!$A$5:$A$289,$D529,'Comp2016-2017 (3)'!$R$5:$R$289,$V529)*$AB529))</f>
        <v/>
      </c>
      <c r="AI529" s="2" t="str">
        <f>IF($W529=AI$3,$AB529,IF(NOT($W529=0),"",SUMIFS('Val-Vol (2)'!AI$4:AI$1116,'Val-Vol (2)'!$A$4:$A$1116,$D529,'Val-Vol (2)'!$V$4:$V$1116,$V529)/SUMIFS('Comp2016-2017 (3)'!$G$5:$G$289,'Comp2016-2017 (3)'!$A$5:$A$289,$D529,'Comp2016-2017 (3)'!$R$5:$R$289,$V529)*$AB529))</f>
        <v/>
      </c>
      <c r="AJ529" s="2" t="str">
        <f>IF($W529=AJ$3,$AB529,IF(NOT($W529=0),"",SUMIFS('Val-Vol (2)'!AJ$4:AJ$1116,'Val-Vol (2)'!$A$4:$A$1116,$D529,'Val-Vol (2)'!$V$4:$V$1116,$V529)/SUMIFS('Comp2016-2017 (3)'!$G$5:$G$289,'Comp2016-2017 (3)'!$A$5:$A$289,$D529,'Comp2016-2017 (3)'!$R$5:$R$289,$V529)*$AB529))</f>
        <v/>
      </c>
      <c r="AK529" s="2">
        <f t="shared" si="60"/>
        <v>0</v>
      </c>
      <c r="AL529" t="str">
        <f t="shared" si="62"/>
        <v/>
      </c>
      <c r="AM529" t="str">
        <f>VLOOKUP(A529,'Table corresp.'!$M$4:$U$63,8,FALSE)</f>
        <v>Production intermédiaire</v>
      </c>
      <c r="AN529" t="str">
        <f>VLOOKUP(D529,'Table corresp.'!$M$4:$U$63,9,FALSE)</f>
        <v>Production finale</v>
      </c>
    </row>
    <row r="530" spans="1:40" x14ac:dyDescent="0.25">
      <c r="A530" t="s">
        <v>83</v>
      </c>
      <c r="B530" t="str">
        <f>VLOOKUP(LEFT(A530,3),'Table corresp.'!$A$4:$D$63,3,FALSE)</f>
        <v>Transformation</v>
      </c>
      <c r="C530" t="str">
        <f>VLOOKUP(A530,'Table corresp.'!$M$4:$P$63,4,FALSE)</f>
        <v>Production et transformation de produits bois</v>
      </c>
      <c r="D530" t="s">
        <v>92</v>
      </c>
      <c r="E530" t="str">
        <f>VLOOKUP(LEFT(D530,3),'Table corresp.'!$A$4:$D$63,4,FALSE)</f>
        <v>Transformation</v>
      </c>
      <c r="F530" t="str">
        <f t="shared" si="61"/>
        <v xml:space="preserve">14  - 40 </v>
      </c>
      <c r="G530" s="3">
        <v>3649.2324184920185</v>
      </c>
      <c r="H530" s="3">
        <v>43859.921827875733</v>
      </c>
      <c r="I530" s="3">
        <v>47509.165774334178</v>
      </c>
      <c r="J530" s="3">
        <v>39.723524458490353</v>
      </c>
      <c r="K530" s="3">
        <v>234.42367484145061</v>
      </c>
      <c r="L530" s="3">
        <v>274.14719929994095</v>
      </c>
      <c r="M530" s="3">
        <v>0</v>
      </c>
      <c r="N530" s="3">
        <v>0</v>
      </c>
      <c r="O530" s="3">
        <v>0</v>
      </c>
      <c r="P530" s="3">
        <v>0</v>
      </c>
      <c r="Q530" s="3">
        <v>0</v>
      </c>
      <c r="R530" s="3">
        <v>0</v>
      </c>
      <c r="S530" s="67"/>
      <c r="T530">
        <f>VLOOKUP(A530,'Groupe de branches'!$Z$27:$AM$86,14,FALSE)</f>
        <v>0</v>
      </c>
      <c r="U530">
        <f>VLOOKUP(D530,'Groupe de branches'!$Z$27:$AM$86,14,FALSE)</f>
        <v>0</v>
      </c>
      <c r="V530">
        <v>2017</v>
      </c>
      <c r="W530" t="str">
        <f>VLOOKUP(D530,'Table corresp.'!$M$4:$S$63,7,FALSE)</f>
        <v>Construction</v>
      </c>
      <c r="X530" s="167">
        <f>IFERROR(G530/SUMIFS('Comp2016-2017 (3)'!$I$5:$I$289,'Comp2016-2017 (3)'!$A$5:$A$289,A530,'Comp2016-2017 (3)'!$R$5:$R$289,V530),0)</f>
        <v>2.7110866129796161E-2</v>
      </c>
      <c r="Y530" s="190">
        <f>IFERROR(IF(RIGHT(F530,3)="Exp",VLOOKUP(F530,#REF!,2,FALSE),VLOOKUP(F530,#REF!,9,FALSE)),1)</f>
        <v>1</v>
      </c>
      <c r="Z530" s="167">
        <f t="shared" si="59"/>
        <v>7.1428571428571425E-2</v>
      </c>
      <c r="AA530" s="189">
        <f t="shared" si="63"/>
        <v>1.9364904378425828E-3</v>
      </c>
      <c r="AB530" s="2">
        <f>IFERROR(SUMIFS('Comp2016-2017 (3)'!$G$5:$G$289,'Comp2016-2017 (3)'!$A$5:$A$289,A530,'Comp2016-2017 (3)'!$R$5:$R$289,V530)*AA530/SUMIFS($AA$4:$AA$1116,$A$4:$A$1116,A530,$V$4:$V$1116,V530),0)</f>
        <v>885.97503705208192</v>
      </c>
      <c r="AC530" s="2" t="str">
        <f>IF($W530=AC$3,$AB530,IF(NOT($W530=0),"",SUMIFS('Val-Vol (2)'!AC$4:AC$1116,'Val-Vol (2)'!$A$4:$A$1116,$D530,'Val-Vol (2)'!$V$4:$V$1116,$V530)/SUMIFS('Comp2016-2017 (3)'!$G$5:$G$289,'Comp2016-2017 (3)'!$A$5:$A$289,$D530,'Comp2016-2017 (3)'!$R$5:$R$289,$V530)*$AB530))</f>
        <v/>
      </c>
      <c r="AD530" s="2">
        <f>IF($W530=AD$3,$AB530,IF(NOT($W530=0),"",SUMIFS('Val-Vol (2)'!AD$4:AD$1116,'Val-Vol (2)'!$A$4:$A$1116,$D530,'Val-Vol (2)'!$V$4:$V$1116,$V530)/SUMIFS('Comp2016-2017 (3)'!$G$5:$G$289,'Comp2016-2017 (3)'!$A$5:$A$289,$D530,'Comp2016-2017 (3)'!$R$5:$R$289,$V530)*$AB530))</f>
        <v>885.97503705208192</v>
      </c>
      <c r="AE530" s="2" t="str">
        <f>IF($W530=AE$3,$AB530,IF(NOT($W530=0),"",SUMIFS('Val-Vol (2)'!AE$4:AE$1116,'Val-Vol (2)'!$A$4:$A$1116,$D530,'Val-Vol (2)'!$V$4:$V$1116,$V530)/SUMIFS('Comp2016-2017 (3)'!$G$5:$G$289,'Comp2016-2017 (3)'!$A$5:$A$289,$D530,'Comp2016-2017 (3)'!$R$5:$R$289,$V530)*$AB530))</f>
        <v/>
      </c>
      <c r="AF530" s="2" t="str">
        <f>IF($W530=AF$3,$AB530,IF(NOT($W530=0),"",SUMIFS('Val-Vol (2)'!AF$4:AF$1116,'Val-Vol (2)'!$A$4:$A$1116,$D530,'Val-Vol (2)'!$V$4:$V$1116,$V530)/SUMIFS('Comp2016-2017 (3)'!$G$5:$G$289,'Comp2016-2017 (3)'!$A$5:$A$289,$D530,'Comp2016-2017 (3)'!$R$5:$R$289,$V530)*$AB530))</f>
        <v/>
      </c>
      <c r="AG530" s="2" t="str">
        <f>IF($W530=AG$3,$AB530,IF(NOT($W530=0),"",SUMIFS('Val-Vol (2)'!AG$4:AG$1116,'Val-Vol (2)'!$A$4:$A$1116,$D530,'Val-Vol (2)'!$V$4:$V$1116,$V530)/SUMIFS('Comp2016-2017 (3)'!$G$5:$G$289,'Comp2016-2017 (3)'!$A$5:$A$289,$D530,'Comp2016-2017 (3)'!$R$5:$R$289,$V530)*$AB530))</f>
        <v/>
      </c>
      <c r="AH530" s="2" t="str">
        <f>IF($W530=AH$3,$AB530,IF(NOT($W530=0),"",SUMIFS('Val-Vol (2)'!AH$4:AH$1116,'Val-Vol (2)'!$A$4:$A$1116,$D530,'Val-Vol (2)'!$V$4:$V$1116,$V530)/SUMIFS('Comp2016-2017 (3)'!$G$5:$G$289,'Comp2016-2017 (3)'!$A$5:$A$289,$D530,'Comp2016-2017 (3)'!$R$5:$R$289,$V530)*$AB530))</f>
        <v/>
      </c>
      <c r="AI530" s="2" t="str">
        <f>IF($W530=AI$3,$AB530,IF(NOT($W530=0),"",SUMIFS('Val-Vol (2)'!AI$4:AI$1116,'Val-Vol (2)'!$A$4:$A$1116,$D530,'Val-Vol (2)'!$V$4:$V$1116,$V530)/SUMIFS('Comp2016-2017 (3)'!$G$5:$G$289,'Comp2016-2017 (3)'!$A$5:$A$289,$D530,'Comp2016-2017 (3)'!$R$5:$R$289,$V530)*$AB530))</f>
        <v/>
      </c>
      <c r="AJ530" s="2" t="str">
        <f>IF($W530=AJ$3,$AB530,IF(NOT($W530=0),"",SUMIFS('Val-Vol (2)'!AJ$4:AJ$1116,'Val-Vol (2)'!$A$4:$A$1116,$D530,'Val-Vol (2)'!$V$4:$V$1116,$V530)/SUMIFS('Comp2016-2017 (3)'!$G$5:$G$289,'Comp2016-2017 (3)'!$A$5:$A$289,$D530,'Comp2016-2017 (3)'!$R$5:$R$289,$V530)*$AB530))</f>
        <v/>
      </c>
      <c r="AK530" s="2">
        <f t="shared" si="60"/>
        <v>0</v>
      </c>
      <c r="AL530" t="str">
        <f t="shared" si="62"/>
        <v/>
      </c>
      <c r="AM530" t="str">
        <f>VLOOKUP(A530,'Table corresp.'!$M$4:$U$63,8,FALSE)</f>
        <v>Production intermédiaire</v>
      </c>
      <c r="AN530" t="str">
        <f>VLOOKUP(D530,'Table corresp.'!$M$4:$U$63,9,FALSE)</f>
        <v>Production finale</v>
      </c>
    </row>
    <row r="531" spans="1:40" x14ac:dyDescent="0.25">
      <c r="A531" t="s">
        <v>83</v>
      </c>
      <c r="B531" t="str">
        <f>VLOOKUP(LEFT(A531,3),'Table corresp.'!$A$4:$D$63,3,FALSE)</f>
        <v>Transformation</v>
      </c>
      <c r="C531" t="str">
        <f>VLOOKUP(A531,'Table corresp.'!$M$4:$P$63,4,FALSE)</f>
        <v>Production et transformation de produits bois</v>
      </c>
      <c r="D531" t="s">
        <v>99</v>
      </c>
      <c r="E531" t="str">
        <f>VLOOKUP(LEFT(D531,3),'Table corresp.'!$A$4:$D$63,4,FALSE)</f>
        <v>Transformation</v>
      </c>
      <c r="F531" t="str">
        <f t="shared" si="61"/>
        <v xml:space="preserve">14  - 47 </v>
      </c>
      <c r="G531" s="3">
        <v>978.21443341673512</v>
      </c>
      <c r="H531" s="3">
        <v>503.70806751003107</v>
      </c>
      <c r="I531" s="3">
        <v>1481.9228807748891</v>
      </c>
      <c r="J531" s="3">
        <v>9.5068030741850116</v>
      </c>
      <c r="K531" s="3">
        <v>2.4036249569831192</v>
      </c>
      <c r="L531" s="3">
        <v>11.910428031168131</v>
      </c>
      <c r="M531" s="3">
        <v>0</v>
      </c>
      <c r="N531" s="3">
        <v>0</v>
      </c>
      <c r="O531" s="3">
        <v>0</v>
      </c>
      <c r="P531" s="3">
        <v>0</v>
      </c>
      <c r="Q531" s="3">
        <v>0</v>
      </c>
      <c r="R531" s="3">
        <v>0</v>
      </c>
      <c r="S531" s="67"/>
      <c r="T531">
        <f>VLOOKUP(A531,'Groupe de branches'!$Z$27:$AM$86,14,FALSE)</f>
        <v>0</v>
      </c>
      <c r="U531">
        <f>VLOOKUP(D531,'Groupe de branches'!$Z$27:$AM$86,14,FALSE)</f>
        <v>0</v>
      </c>
      <c r="V531">
        <v>2017</v>
      </c>
      <c r="W531" t="str">
        <f>VLOOKUP(D531,'Table corresp.'!$M$4:$S$63,7,FALSE)</f>
        <v>Meuble</v>
      </c>
      <c r="X531" s="167">
        <f>IFERROR(G531/SUMIFS('Comp2016-2017 (3)'!$I$5:$I$289,'Comp2016-2017 (3)'!$A$5:$A$289,A531,'Comp2016-2017 (3)'!$R$5:$R$289,V531),0)</f>
        <v>7.2673476252725312E-3</v>
      </c>
      <c r="Y531" s="190">
        <f>IFERROR(IF(RIGHT(F531,3)="Exp",VLOOKUP(F531,#REF!,2,FALSE),VLOOKUP(F531,#REF!,9,FALSE)),1)</f>
        <v>1</v>
      </c>
      <c r="Z531" s="167">
        <f t="shared" si="59"/>
        <v>7.1428571428571425E-2</v>
      </c>
      <c r="AA531" s="189">
        <f t="shared" si="63"/>
        <v>5.1909625894803796E-4</v>
      </c>
      <c r="AB531" s="2">
        <f>IFERROR(SUMIFS('Comp2016-2017 (3)'!$G$5:$G$289,'Comp2016-2017 (3)'!$A$5:$A$289,A531,'Comp2016-2017 (3)'!$R$5:$R$289,V531)*AA531/SUMIFS($AA$4:$AA$1116,$A$4:$A$1116,A531,$V$4:$V$1116,V531),0)</f>
        <v>237.49475766452031</v>
      </c>
      <c r="AC531" s="2" t="str">
        <f>IF($W531=AC$3,$AB531,IF(NOT($W531=0),"",SUMIFS('Val-Vol (2)'!AC$4:AC$1116,'Val-Vol (2)'!$A$4:$A$1116,$D531,'Val-Vol (2)'!$V$4:$V$1116,$V531)/SUMIFS('Comp2016-2017 (3)'!$G$5:$G$289,'Comp2016-2017 (3)'!$A$5:$A$289,$D531,'Comp2016-2017 (3)'!$R$5:$R$289,$V531)*$AB531))</f>
        <v/>
      </c>
      <c r="AD531" s="2" t="str">
        <f>IF($W531=AD$3,$AB531,IF(NOT($W531=0),"",SUMIFS('Val-Vol (2)'!AD$4:AD$1116,'Val-Vol (2)'!$A$4:$A$1116,$D531,'Val-Vol (2)'!$V$4:$V$1116,$V531)/SUMIFS('Comp2016-2017 (3)'!$G$5:$G$289,'Comp2016-2017 (3)'!$A$5:$A$289,$D531,'Comp2016-2017 (3)'!$R$5:$R$289,$V531)*$AB531))</f>
        <v/>
      </c>
      <c r="AE531" s="2">
        <f>IF($W531=AE$3,$AB531,IF(NOT($W531=0),"",SUMIFS('Val-Vol (2)'!AE$4:AE$1116,'Val-Vol (2)'!$A$4:$A$1116,$D531,'Val-Vol (2)'!$V$4:$V$1116,$V531)/SUMIFS('Comp2016-2017 (3)'!$G$5:$G$289,'Comp2016-2017 (3)'!$A$5:$A$289,$D531,'Comp2016-2017 (3)'!$R$5:$R$289,$V531)*$AB531))</f>
        <v>237.49475766452031</v>
      </c>
      <c r="AF531" s="2" t="str">
        <f>IF($W531=AF$3,$AB531,IF(NOT($W531=0),"",SUMIFS('Val-Vol (2)'!AF$4:AF$1116,'Val-Vol (2)'!$A$4:$A$1116,$D531,'Val-Vol (2)'!$V$4:$V$1116,$V531)/SUMIFS('Comp2016-2017 (3)'!$G$5:$G$289,'Comp2016-2017 (3)'!$A$5:$A$289,$D531,'Comp2016-2017 (3)'!$R$5:$R$289,$V531)*$AB531))</f>
        <v/>
      </c>
      <c r="AG531" s="2" t="str">
        <f>IF($W531=AG$3,$AB531,IF(NOT($W531=0),"",SUMIFS('Val-Vol (2)'!AG$4:AG$1116,'Val-Vol (2)'!$A$4:$A$1116,$D531,'Val-Vol (2)'!$V$4:$V$1116,$V531)/SUMIFS('Comp2016-2017 (3)'!$G$5:$G$289,'Comp2016-2017 (3)'!$A$5:$A$289,$D531,'Comp2016-2017 (3)'!$R$5:$R$289,$V531)*$AB531))</f>
        <v/>
      </c>
      <c r="AH531" s="2" t="str">
        <f>IF($W531=AH$3,$AB531,IF(NOT($W531=0),"",SUMIFS('Val-Vol (2)'!AH$4:AH$1116,'Val-Vol (2)'!$A$4:$A$1116,$D531,'Val-Vol (2)'!$V$4:$V$1116,$V531)/SUMIFS('Comp2016-2017 (3)'!$G$5:$G$289,'Comp2016-2017 (3)'!$A$5:$A$289,$D531,'Comp2016-2017 (3)'!$R$5:$R$289,$V531)*$AB531))</f>
        <v/>
      </c>
      <c r="AI531" s="2" t="str">
        <f>IF($W531=AI$3,$AB531,IF(NOT($W531=0),"",SUMIFS('Val-Vol (2)'!AI$4:AI$1116,'Val-Vol (2)'!$A$4:$A$1116,$D531,'Val-Vol (2)'!$V$4:$V$1116,$V531)/SUMIFS('Comp2016-2017 (3)'!$G$5:$G$289,'Comp2016-2017 (3)'!$A$5:$A$289,$D531,'Comp2016-2017 (3)'!$R$5:$R$289,$V531)*$AB531))</f>
        <v/>
      </c>
      <c r="AJ531" s="2" t="str">
        <f>IF($W531=AJ$3,$AB531,IF(NOT($W531=0),"",SUMIFS('Val-Vol (2)'!AJ$4:AJ$1116,'Val-Vol (2)'!$A$4:$A$1116,$D531,'Val-Vol (2)'!$V$4:$V$1116,$V531)/SUMIFS('Comp2016-2017 (3)'!$G$5:$G$289,'Comp2016-2017 (3)'!$A$5:$A$289,$D531,'Comp2016-2017 (3)'!$R$5:$R$289,$V531)*$AB531))</f>
        <v/>
      </c>
      <c r="AK531" s="2">
        <f t="shared" si="60"/>
        <v>0</v>
      </c>
      <c r="AL531" t="str">
        <f t="shared" si="62"/>
        <v/>
      </c>
      <c r="AM531" t="str">
        <f>VLOOKUP(A531,'Table corresp.'!$M$4:$U$63,8,FALSE)</f>
        <v>Production intermédiaire</v>
      </c>
      <c r="AN531" t="str">
        <f>VLOOKUP(D531,'Table corresp.'!$M$4:$U$63,9,FALSE)</f>
        <v>Production finale</v>
      </c>
    </row>
    <row r="532" spans="1:40" x14ac:dyDescent="0.25">
      <c r="A532" t="s">
        <v>83</v>
      </c>
      <c r="B532" t="str">
        <f>VLOOKUP(LEFT(A532,3),'Table corresp.'!$A$4:$D$63,3,FALSE)</f>
        <v>Transformation</v>
      </c>
      <c r="C532" t="str">
        <f>VLOOKUP(A532,'Table corresp.'!$M$4:$P$63,4,FALSE)</f>
        <v>Production et transformation de produits bois</v>
      </c>
      <c r="D532" t="s">
        <v>19</v>
      </c>
      <c r="E532" t="str">
        <f>VLOOKUP(LEFT(D532,3),'Table corresp.'!$A$4:$D$63,4,FALSE)</f>
        <v>Transformation</v>
      </c>
      <c r="F532" t="str">
        <f t="shared" si="61"/>
        <v xml:space="preserve">14  - 52 </v>
      </c>
      <c r="G532" s="3">
        <v>1618.8818035366839</v>
      </c>
      <c r="H532" s="3">
        <v>418.48376262369601</v>
      </c>
      <c r="I532" s="3">
        <v>2037.3660948041431</v>
      </c>
      <c r="J532" s="3">
        <v>19.666432508116767</v>
      </c>
      <c r="K532" s="3">
        <v>2.4961830096022926</v>
      </c>
      <c r="L532" s="3">
        <v>22.162615517719061</v>
      </c>
      <c r="M532" s="3">
        <v>0</v>
      </c>
      <c r="N532" s="3">
        <v>0</v>
      </c>
      <c r="O532" s="3">
        <v>0</v>
      </c>
      <c r="P532" s="3">
        <v>0</v>
      </c>
      <c r="Q532" s="3">
        <v>0</v>
      </c>
      <c r="R532" s="3">
        <v>0</v>
      </c>
      <c r="S532" s="67"/>
      <c r="T532">
        <f>VLOOKUP(A532,'Groupe de branches'!$Z$27:$AM$86,14,FALSE)</f>
        <v>0</v>
      </c>
      <c r="U532">
        <f>VLOOKUP(D532,'Groupe de branches'!$Z$27:$AM$86,14,FALSE)</f>
        <v>0</v>
      </c>
      <c r="V532">
        <v>2017</v>
      </c>
      <c r="W532" t="str">
        <f>VLOOKUP(D532,'Table corresp.'!$M$4:$S$63,7,FALSE)</f>
        <v>Construction</v>
      </c>
      <c r="X532" s="167">
        <f>IFERROR(G532/SUMIFS('Comp2016-2017 (3)'!$I$5:$I$289,'Comp2016-2017 (3)'!$A$5:$A$289,A532,'Comp2016-2017 (3)'!$R$5:$R$289,V532),0)</f>
        <v>1.2026991658092989E-2</v>
      </c>
      <c r="Y532" s="190">
        <f>IFERROR(IF(RIGHT(F532,3)="Exp",VLOOKUP(F532,#REF!,2,FALSE),VLOOKUP(F532,#REF!,9,FALSE)),1)</f>
        <v>1</v>
      </c>
      <c r="Z532" s="167">
        <f t="shared" si="59"/>
        <v>7.1428571428571425E-2</v>
      </c>
      <c r="AA532" s="189">
        <f t="shared" si="63"/>
        <v>8.5907083272092778E-4</v>
      </c>
      <c r="AB532" s="2">
        <f>IFERROR(SUMIFS('Comp2016-2017 (3)'!$G$5:$G$289,'Comp2016-2017 (3)'!$A$5:$A$289,A532,'Comp2016-2017 (3)'!$R$5:$R$289,V532)*AA532/SUMIFS($AA$4:$AA$1116,$A$4:$A$1116,A532,$V$4:$V$1116,V532),0)</f>
        <v>393.03850820881661</v>
      </c>
      <c r="AC532" s="2" t="str">
        <f>IF($W532=AC$3,$AB532,IF(NOT($W532=0),"",SUMIFS('Val-Vol (2)'!AC$4:AC$1116,'Val-Vol (2)'!$A$4:$A$1116,$D532,'Val-Vol (2)'!$V$4:$V$1116,$V532)/SUMIFS('Comp2016-2017 (3)'!$G$5:$G$289,'Comp2016-2017 (3)'!$A$5:$A$289,$D532,'Comp2016-2017 (3)'!$R$5:$R$289,$V532)*$AB532))</f>
        <v/>
      </c>
      <c r="AD532" s="2">
        <f>IF($W532=AD$3,$AB532,IF(NOT($W532=0),"",SUMIFS('Val-Vol (2)'!AD$4:AD$1116,'Val-Vol (2)'!$A$4:$A$1116,$D532,'Val-Vol (2)'!$V$4:$V$1116,$V532)/SUMIFS('Comp2016-2017 (3)'!$G$5:$G$289,'Comp2016-2017 (3)'!$A$5:$A$289,$D532,'Comp2016-2017 (3)'!$R$5:$R$289,$V532)*$AB532))</f>
        <v>393.03850820881661</v>
      </c>
      <c r="AE532" s="2" t="str">
        <f>IF($W532=AE$3,$AB532,IF(NOT($W532=0),"",SUMIFS('Val-Vol (2)'!AE$4:AE$1116,'Val-Vol (2)'!$A$4:$A$1116,$D532,'Val-Vol (2)'!$V$4:$V$1116,$V532)/SUMIFS('Comp2016-2017 (3)'!$G$5:$G$289,'Comp2016-2017 (3)'!$A$5:$A$289,$D532,'Comp2016-2017 (3)'!$R$5:$R$289,$V532)*$AB532))</f>
        <v/>
      </c>
      <c r="AF532" s="2" t="str">
        <f>IF($W532=AF$3,$AB532,IF(NOT($W532=0),"",SUMIFS('Val-Vol (2)'!AF$4:AF$1116,'Val-Vol (2)'!$A$4:$A$1116,$D532,'Val-Vol (2)'!$V$4:$V$1116,$V532)/SUMIFS('Comp2016-2017 (3)'!$G$5:$G$289,'Comp2016-2017 (3)'!$A$5:$A$289,$D532,'Comp2016-2017 (3)'!$R$5:$R$289,$V532)*$AB532))</f>
        <v/>
      </c>
      <c r="AG532" s="2" t="str">
        <f>IF($W532=AG$3,$AB532,IF(NOT($W532=0),"",SUMIFS('Val-Vol (2)'!AG$4:AG$1116,'Val-Vol (2)'!$A$4:$A$1116,$D532,'Val-Vol (2)'!$V$4:$V$1116,$V532)/SUMIFS('Comp2016-2017 (3)'!$G$5:$G$289,'Comp2016-2017 (3)'!$A$5:$A$289,$D532,'Comp2016-2017 (3)'!$R$5:$R$289,$V532)*$AB532))</f>
        <v/>
      </c>
      <c r="AH532" s="2" t="str">
        <f>IF($W532=AH$3,$AB532,IF(NOT($W532=0),"",SUMIFS('Val-Vol (2)'!AH$4:AH$1116,'Val-Vol (2)'!$A$4:$A$1116,$D532,'Val-Vol (2)'!$V$4:$V$1116,$V532)/SUMIFS('Comp2016-2017 (3)'!$G$5:$G$289,'Comp2016-2017 (3)'!$A$5:$A$289,$D532,'Comp2016-2017 (3)'!$R$5:$R$289,$V532)*$AB532))</f>
        <v/>
      </c>
      <c r="AI532" s="2" t="str">
        <f>IF($W532=AI$3,$AB532,IF(NOT($W532=0),"",SUMIFS('Val-Vol (2)'!AI$4:AI$1116,'Val-Vol (2)'!$A$4:$A$1116,$D532,'Val-Vol (2)'!$V$4:$V$1116,$V532)/SUMIFS('Comp2016-2017 (3)'!$G$5:$G$289,'Comp2016-2017 (3)'!$A$5:$A$289,$D532,'Comp2016-2017 (3)'!$R$5:$R$289,$V532)*$AB532))</f>
        <v/>
      </c>
      <c r="AJ532" s="2" t="str">
        <f>IF($W532=AJ$3,$AB532,IF(NOT($W532=0),"",SUMIFS('Val-Vol (2)'!AJ$4:AJ$1116,'Val-Vol (2)'!$A$4:$A$1116,$D532,'Val-Vol (2)'!$V$4:$V$1116,$V532)/SUMIFS('Comp2016-2017 (3)'!$G$5:$G$289,'Comp2016-2017 (3)'!$A$5:$A$289,$D532,'Comp2016-2017 (3)'!$R$5:$R$289,$V532)*$AB532))</f>
        <v/>
      </c>
      <c r="AK532" s="2">
        <f t="shared" si="60"/>
        <v>0</v>
      </c>
      <c r="AL532" t="str">
        <f t="shared" si="62"/>
        <v/>
      </c>
      <c r="AM532" t="str">
        <f>VLOOKUP(A532,'Table corresp.'!$M$4:$U$63,8,FALSE)</f>
        <v>Production intermédiaire</v>
      </c>
      <c r="AN532" t="str">
        <f>VLOOKUP(D532,'Table corresp.'!$M$4:$U$63,9,FALSE)</f>
        <v xml:space="preserve">Mise en œuvre </v>
      </c>
    </row>
    <row r="533" spans="1:40" x14ac:dyDescent="0.25">
      <c r="A533" t="s">
        <v>83</v>
      </c>
      <c r="B533" t="str">
        <f>VLOOKUP(LEFT(A533,3),'Table corresp.'!$A$4:$D$63,3,FALSE)</f>
        <v>Transformation</v>
      </c>
      <c r="C533" t="str">
        <f>VLOOKUP(A533,'Table corresp.'!$M$4:$P$63,4,FALSE)</f>
        <v>Production et transformation de produits bois</v>
      </c>
      <c r="D533" t="s">
        <v>21</v>
      </c>
      <c r="E533" t="str">
        <f>VLOOKUP(LEFT(D533,3),'Table corresp.'!$A$4:$D$63,4,FALSE)</f>
        <v>Transformation</v>
      </c>
      <c r="F533" t="str">
        <f t="shared" si="61"/>
        <v xml:space="preserve">14  - 54 </v>
      </c>
      <c r="G533" s="3">
        <v>8647.5372855263231</v>
      </c>
      <c r="H533" s="3">
        <v>6066.8057578212374</v>
      </c>
      <c r="I533" s="3">
        <v>14714.346789969901</v>
      </c>
      <c r="J533" s="3">
        <v>42.020660931685612</v>
      </c>
      <c r="K533" s="3">
        <v>14.474977342285284</v>
      </c>
      <c r="L533" s="3">
        <v>56.495638273970897</v>
      </c>
      <c r="M533" s="3">
        <v>0</v>
      </c>
      <c r="N533" s="3">
        <v>0</v>
      </c>
      <c r="O533" s="3">
        <v>0</v>
      </c>
      <c r="P533" s="3">
        <v>0</v>
      </c>
      <c r="Q533" s="3">
        <v>0</v>
      </c>
      <c r="R533" s="3">
        <v>0</v>
      </c>
      <c r="S533" s="67"/>
      <c r="T533">
        <f>VLOOKUP(A533,'Groupe de branches'!$Z$27:$AM$86,14,FALSE)</f>
        <v>0</v>
      </c>
      <c r="U533">
        <f>VLOOKUP(D533,'Groupe de branches'!$Z$27:$AM$86,14,FALSE)</f>
        <v>0</v>
      </c>
      <c r="V533">
        <v>2017</v>
      </c>
      <c r="W533" t="str">
        <f>VLOOKUP(D533,'Table corresp.'!$M$4:$S$63,7,FALSE)</f>
        <v>Construction</v>
      </c>
      <c r="X533" s="167">
        <f>IFERROR(G533/SUMIFS('Comp2016-2017 (3)'!$I$5:$I$289,'Comp2016-2017 (3)'!$A$5:$A$289,A533,'Comp2016-2017 (3)'!$R$5:$R$289,V533),0)</f>
        <v>6.424425709700457E-2</v>
      </c>
      <c r="Y533" s="190">
        <f>IFERROR(IF(RIGHT(F533,3)="Exp",VLOOKUP(F533,#REF!,2,FALSE),VLOOKUP(F533,#REF!,9,FALSE)),1)</f>
        <v>1</v>
      </c>
      <c r="Z533" s="167">
        <f t="shared" si="59"/>
        <v>7.1428571428571425E-2</v>
      </c>
      <c r="AA533" s="189">
        <f t="shared" si="63"/>
        <v>4.5888755069288974E-3</v>
      </c>
      <c r="AB533" s="2">
        <f>IFERROR(SUMIFS('Comp2016-2017 (3)'!$G$5:$G$289,'Comp2016-2017 (3)'!$A$5:$A$289,A533,'Comp2016-2017 (3)'!$R$5:$R$289,V533)*AA533/SUMIFS($AA$4:$AA$1116,$A$4:$A$1116,A533,$V$4:$V$1116,V533),0)</f>
        <v>2099.483203133284</v>
      </c>
      <c r="AC533" s="2" t="str">
        <f>IF($W533=AC$3,$AB533,IF(NOT($W533=0),"",SUMIFS('Val-Vol (2)'!AC$4:AC$1116,'Val-Vol (2)'!$A$4:$A$1116,$D533,'Val-Vol (2)'!$V$4:$V$1116,$V533)/SUMIFS('Comp2016-2017 (3)'!$G$5:$G$289,'Comp2016-2017 (3)'!$A$5:$A$289,$D533,'Comp2016-2017 (3)'!$R$5:$R$289,$V533)*$AB533))</f>
        <v/>
      </c>
      <c r="AD533" s="2">
        <f>IF($W533=AD$3,$AB533,IF(NOT($W533=0),"",SUMIFS('Val-Vol (2)'!AD$4:AD$1116,'Val-Vol (2)'!$A$4:$A$1116,$D533,'Val-Vol (2)'!$V$4:$V$1116,$V533)/SUMIFS('Comp2016-2017 (3)'!$G$5:$G$289,'Comp2016-2017 (3)'!$A$5:$A$289,$D533,'Comp2016-2017 (3)'!$R$5:$R$289,$V533)*$AB533))</f>
        <v>2099.483203133284</v>
      </c>
      <c r="AE533" s="2" t="str">
        <f>IF($W533=AE$3,$AB533,IF(NOT($W533=0),"",SUMIFS('Val-Vol (2)'!AE$4:AE$1116,'Val-Vol (2)'!$A$4:$A$1116,$D533,'Val-Vol (2)'!$V$4:$V$1116,$V533)/SUMIFS('Comp2016-2017 (3)'!$G$5:$G$289,'Comp2016-2017 (3)'!$A$5:$A$289,$D533,'Comp2016-2017 (3)'!$R$5:$R$289,$V533)*$AB533))</f>
        <v/>
      </c>
      <c r="AF533" s="2" t="str">
        <f>IF($W533=AF$3,$AB533,IF(NOT($W533=0),"",SUMIFS('Val-Vol (2)'!AF$4:AF$1116,'Val-Vol (2)'!$A$4:$A$1116,$D533,'Val-Vol (2)'!$V$4:$V$1116,$V533)/SUMIFS('Comp2016-2017 (3)'!$G$5:$G$289,'Comp2016-2017 (3)'!$A$5:$A$289,$D533,'Comp2016-2017 (3)'!$R$5:$R$289,$V533)*$AB533))</f>
        <v/>
      </c>
      <c r="AG533" s="2" t="str">
        <f>IF($W533=AG$3,$AB533,IF(NOT($W533=0),"",SUMIFS('Val-Vol (2)'!AG$4:AG$1116,'Val-Vol (2)'!$A$4:$A$1116,$D533,'Val-Vol (2)'!$V$4:$V$1116,$V533)/SUMIFS('Comp2016-2017 (3)'!$G$5:$G$289,'Comp2016-2017 (3)'!$A$5:$A$289,$D533,'Comp2016-2017 (3)'!$R$5:$R$289,$V533)*$AB533))</f>
        <v/>
      </c>
      <c r="AH533" s="2" t="str">
        <f>IF($W533=AH$3,$AB533,IF(NOT($W533=0),"",SUMIFS('Val-Vol (2)'!AH$4:AH$1116,'Val-Vol (2)'!$A$4:$A$1116,$D533,'Val-Vol (2)'!$V$4:$V$1116,$V533)/SUMIFS('Comp2016-2017 (3)'!$G$5:$G$289,'Comp2016-2017 (3)'!$A$5:$A$289,$D533,'Comp2016-2017 (3)'!$R$5:$R$289,$V533)*$AB533))</f>
        <v/>
      </c>
      <c r="AI533" s="2" t="str">
        <f>IF($W533=AI$3,$AB533,IF(NOT($W533=0),"",SUMIFS('Val-Vol (2)'!AI$4:AI$1116,'Val-Vol (2)'!$A$4:$A$1116,$D533,'Val-Vol (2)'!$V$4:$V$1116,$V533)/SUMIFS('Comp2016-2017 (3)'!$G$5:$G$289,'Comp2016-2017 (3)'!$A$5:$A$289,$D533,'Comp2016-2017 (3)'!$R$5:$R$289,$V533)*$AB533))</f>
        <v/>
      </c>
      <c r="AJ533" s="2" t="str">
        <f>IF($W533=AJ$3,$AB533,IF(NOT($W533=0),"",SUMIFS('Val-Vol (2)'!AJ$4:AJ$1116,'Val-Vol (2)'!$A$4:$A$1116,$D533,'Val-Vol (2)'!$V$4:$V$1116,$V533)/SUMIFS('Comp2016-2017 (3)'!$G$5:$G$289,'Comp2016-2017 (3)'!$A$5:$A$289,$D533,'Comp2016-2017 (3)'!$R$5:$R$289,$V533)*$AB533))</f>
        <v/>
      </c>
      <c r="AK533" s="2">
        <f t="shared" si="60"/>
        <v>0</v>
      </c>
      <c r="AL533" t="str">
        <f t="shared" si="62"/>
        <v/>
      </c>
      <c r="AM533" t="str">
        <f>VLOOKUP(A533,'Table corresp.'!$M$4:$U$63,8,FALSE)</f>
        <v>Production intermédiaire</v>
      </c>
      <c r="AN533" t="str">
        <f>VLOOKUP(D533,'Table corresp.'!$M$4:$U$63,9,FALSE)</f>
        <v xml:space="preserve">Mise en œuvre </v>
      </c>
    </row>
    <row r="534" spans="1:40" x14ac:dyDescent="0.25">
      <c r="A534" t="s">
        <v>83</v>
      </c>
      <c r="B534" t="str">
        <f>VLOOKUP(LEFT(A534,3),'Table corresp.'!$A$4:$D$63,3,FALSE)</f>
        <v>Transformation</v>
      </c>
      <c r="C534" t="str">
        <f>VLOOKUP(A534,'Table corresp.'!$M$4:$P$63,4,FALSE)</f>
        <v>Production et transformation de produits bois</v>
      </c>
      <c r="D534" t="s">
        <v>22</v>
      </c>
      <c r="E534" t="str">
        <f>VLOOKUP(LEFT(D534,3),'Table corresp.'!$A$4:$D$63,4,FALSE)</f>
        <v>Transformation</v>
      </c>
      <c r="F534" t="str">
        <f t="shared" si="61"/>
        <v xml:space="preserve">14  - 55 </v>
      </c>
      <c r="G534" s="3">
        <v>1211.7251303849857</v>
      </c>
      <c r="H534" s="3">
        <v>415.19361277459939</v>
      </c>
      <c r="I534" s="3">
        <v>1626.9191634037154</v>
      </c>
      <c r="J534" s="3">
        <v>5.8880915068770339</v>
      </c>
      <c r="K534" s="3">
        <v>0.99062313472390251</v>
      </c>
      <c r="L534" s="3">
        <v>6.8787146416009364</v>
      </c>
      <c r="M534" s="3">
        <v>0</v>
      </c>
      <c r="N534" s="3">
        <v>0</v>
      </c>
      <c r="O534" s="3">
        <v>0</v>
      </c>
      <c r="P534" s="3">
        <v>0</v>
      </c>
      <c r="Q534" s="3">
        <v>0</v>
      </c>
      <c r="R534" s="3">
        <v>0</v>
      </c>
      <c r="S534" s="67"/>
      <c r="T534">
        <f>VLOOKUP(A534,'Groupe de branches'!$Z$27:$AM$86,14,FALSE)</f>
        <v>0</v>
      </c>
      <c r="U534">
        <f>VLOOKUP(D534,'Groupe de branches'!$Z$27:$AM$86,14,FALSE)</f>
        <v>0</v>
      </c>
      <c r="V534">
        <v>2017</v>
      </c>
      <c r="W534" t="str">
        <f>VLOOKUP(D534,'Table corresp.'!$M$4:$S$63,7,FALSE)</f>
        <v>Construction</v>
      </c>
      <c r="X534" s="167">
        <f>IFERROR(G534/SUMIFS('Comp2016-2017 (3)'!$I$5:$I$289,'Comp2016-2017 (3)'!$A$5:$A$289,A534,'Comp2016-2017 (3)'!$R$5:$R$289,V534),0)</f>
        <v>9.0021445686795185E-3</v>
      </c>
      <c r="Y534" s="190">
        <f>IFERROR(IF(RIGHT(F534,3)="Exp",VLOOKUP(F534,#REF!,2,FALSE),VLOOKUP(F534,#REF!,9,FALSE)),1)</f>
        <v>1</v>
      </c>
      <c r="Z534" s="167">
        <f t="shared" si="59"/>
        <v>7.1428571428571425E-2</v>
      </c>
      <c r="AA534" s="189">
        <f t="shared" si="63"/>
        <v>6.4301032633425125E-4</v>
      </c>
      <c r="AB534" s="2">
        <f>IFERROR(SUMIFS('Comp2016-2017 (3)'!$G$5:$G$289,'Comp2016-2017 (3)'!$A$5:$A$289,A534,'Comp2016-2017 (3)'!$R$5:$R$289,V534)*AA534/SUMIFS($AA$4:$AA$1116,$A$4:$A$1116,A534,$V$4:$V$1116,V534),0)</f>
        <v>294.18740550743149</v>
      </c>
      <c r="AC534" s="2" t="str">
        <f>IF($W534=AC$3,$AB534,IF(NOT($W534=0),"",SUMIFS('Val-Vol (2)'!AC$4:AC$1116,'Val-Vol (2)'!$A$4:$A$1116,$D534,'Val-Vol (2)'!$V$4:$V$1116,$V534)/SUMIFS('Comp2016-2017 (3)'!$G$5:$G$289,'Comp2016-2017 (3)'!$A$5:$A$289,$D534,'Comp2016-2017 (3)'!$R$5:$R$289,$V534)*$AB534))</f>
        <v/>
      </c>
      <c r="AD534" s="2">
        <f>IF($W534=AD$3,$AB534,IF(NOT($W534=0),"",SUMIFS('Val-Vol (2)'!AD$4:AD$1116,'Val-Vol (2)'!$A$4:$A$1116,$D534,'Val-Vol (2)'!$V$4:$V$1116,$V534)/SUMIFS('Comp2016-2017 (3)'!$G$5:$G$289,'Comp2016-2017 (3)'!$A$5:$A$289,$D534,'Comp2016-2017 (3)'!$R$5:$R$289,$V534)*$AB534))</f>
        <v>294.18740550743149</v>
      </c>
      <c r="AE534" s="2" t="str">
        <f>IF($W534=AE$3,$AB534,IF(NOT($W534=0),"",SUMIFS('Val-Vol (2)'!AE$4:AE$1116,'Val-Vol (2)'!$A$4:$A$1116,$D534,'Val-Vol (2)'!$V$4:$V$1116,$V534)/SUMIFS('Comp2016-2017 (3)'!$G$5:$G$289,'Comp2016-2017 (3)'!$A$5:$A$289,$D534,'Comp2016-2017 (3)'!$R$5:$R$289,$V534)*$AB534))</f>
        <v/>
      </c>
      <c r="AF534" s="2" t="str">
        <f>IF($W534=AF$3,$AB534,IF(NOT($W534=0),"",SUMIFS('Val-Vol (2)'!AF$4:AF$1116,'Val-Vol (2)'!$A$4:$A$1116,$D534,'Val-Vol (2)'!$V$4:$V$1116,$V534)/SUMIFS('Comp2016-2017 (3)'!$G$5:$G$289,'Comp2016-2017 (3)'!$A$5:$A$289,$D534,'Comp2016-2017 (3)'!$R$5:$R$289,$V534)*$AB534))</f>
        <v/>
      </c>
      <c r="AG534" s="2" t="str">
        <f>IF($W534=AG$3,$AB534,IF(NOT($W534=0),"",SUMIFS('Val-Vol (2)'!AG$4:AG$1116,'Val-Vol (2)'!$A$4:$A$1116,$D534,'Val-Vol (2)'!$V$4:$V$1116,$V534)/SUMIFS('Comp2016-2017 (3)'!$G$5:$G$289,'Comp2016-2017 (3)'!$A$5:$A$289,$D534,'Comp2016-2017 (3)'!$R$5:$R$289,$V534)*$AB534))</f>
        <v/>
      </c>
      <c r="AH534" s="2" t="str">
        <f>IF($W534=AH$3,$AB534,IF(NOT($W534=0),"",SUMIFS('Val-Vol (2)'!AH$4:AH$1116,'Val-Vol (2)'!$A$4:$A$1116,$D534,'Val-Vol (2)'!$V$4:$V$1116,$V534)/SUMIFS('Comp2016-2017 (3)'!$G$5:$G$289,'Comp2016-2017 (3)'!$A$5:$A$289,$D534,'Comp2016-2017 (3)'!$R$5:$R$289,$V534)*$AB534))</f>
        <v/>
      </c>
      <c r="AI534" s="2" t="str">
        <f>IF($W534=AI$3,$AB534,IF(NOT($W534=0),"",SUMIFS('Val-Vol (2)'!AI$4:AI$1116,'Val-Vol (2)'!$A$4:$A$1116,$D534,'Val-Vol (2)'!$V$4:$V$1116,$V534)/SUMIFS('Comp2016-2017 (3)'!$G$5:$G$289,'Comp2016-2017 (3)'!$A$5:$A$289,$D534,'Comp2016-2017 (3)'!$R$5:$R$289,$V534)*$AB534))</f>
        <v/>
      </c>
      <c r="AJ534" s="2" t="str">
        <f>IF($W534=AJ$3,$AB534,IF(NOT($W534=0),"",SUMIFS('Val-Vol (2)'!AJ$4:AJ$1116,'Val-Vol (2)'!$A$4:$A$1116,$D534,'Val-Vol (2)'!$V$4:$V$1116,$V534)/SUMIFS('Comp2016-2017 (3)'!$G$5:$G$289,'Comp2016-2017 (3)'!$A$5:$A$289,$D534,'Comp2016-2017 (3)'!$R$5:$R$289,$V534)*$AB534))</f>
        <v/>
      </c>
      <c r="AK534" s="2">
        <f t="shared" si="60"/>
        <v>0</v>
      </c>
      <c r="AL534" t="str">
        <f t="shared" si="62"/>
        <v/>
      </c>
      <c r="AM534" t="str">
        <f>VLOOKUP(A534,'Table corresp.'!$M$4:$U$63,8,FALSE)</f>
        <v>Production intermédiaire</v>
      </c>
      <c r="AN534" t="str">
        <f>VLOOKUP(D534,'Table corresp.'!$M$4:$U$63,9,FALSE)</f>
        <v xml:space="preserve">Mise en œuvre </v>
      </c>
    </row>
    <row r="535" spans="1:40" x14ac:dyDescent="0.25">
      <c r="A535" t="s">
        <v>83</v>
      </c>
      <c r="B535" t="str">
        <f>VLOOKUP(LEFT(A535,3),'Table corresp.'!$A$4:$D$63,3,FALSE)</f>
        <v>Transformation</v>
      </c>
      <c r="C535" t="str">
        <f>VLOOKUP(A535,'Table corresp.'!$M$4:$P$63,4,FALSE)</f>
        <v>Production et transformation de produits bois</v>
      </c>
      <c r="D535" t="s">
        <v>24</v>
      </c>
      <c r="E535" t="str">
        <f>VLOOKUP(LEFT(D535,3),'Table corresp.'!$A$4:$D$63,4,FALSE)</f>
        <v>Transformation</v>
      </c>
      <c r="F535" t="str">
        <f t="shared" si="61"/>
        <v xml:space="preserve">14  - 57 </v>
      </c>
      <c r="G535" s="3">
        <v>7090.8438096328991</v>
      </c>
      <c r="H535" s="3">
        <v>2316.9787986479087</v>
      </c>
      <c r="I535" s="3">
        <v>9407.825040352438</v>
      </c>
      <c r="J535" s="3">
        <v>78.309721339243694</v>
      </c>
      <c r="K535" s="3">
        <v>12.56397853252021</v>
      </c>
      <c r="L535" s="3">
        <v>90.873699871763904</v>
      </c>
      <c r="M535" s="3">
        <v>0</v>
      </c>
      <c r="N535" s="3">
        <v>0</v>
      </c>
      <c r="O535" s="3">
        <v>0</v>
      </c>
      <c r="P535" s="3">
        <v>0</v>
      </c>
      <c r="Q535" s="3">
        <v>0</v>
      </c>
      <c r="R535" s="3">
        <v>0</v>
      </c>
      <c r="S535" s="67"/>
      <c r="T535">
        <f>VLOOKUP(A535,'Groupe de branches'!$Z$27:$AM$86,14,FALSE)</f>
        <v>0</v>
      </c>
      <c r="U535">
        <f>VLOOKUP(D535,'Groupe de branches'!$Z$27:$AM$86,14,FALSE)</f>
        <v>0</v>
      </c>
      <c r="V535">
        <v>2017</v>
      </c>
      <c r="W535" t="str">
        <f>VLOOKUP(D535,'Table corresp.'!$M$4:$S$63,7,FALSE)</f>
        <v>Construction</v>
      </c>
      <c r="X535" s="167">
        <f>IFERROR(G535/SUMIFS('Comp2016-2017 (3)'!$I$5:$I$289,'Comp2016-2017 (3)'!$A$5:$A$289,A535,'Comp2016-2017 (3)'!$R$5:$R$289,V535),0)</f>
        <v>5.2679274769155626E-2</v>
      </c>
      <c r="Y535" s="190">
        <f>IFERROR(IF(RIGHT(F535,3)="Exp",VLOOKUP(F535,#REF!,2,FALSE),VLOOKUP(F535,#REF!,9,FALSE)),1)</f>
        <v>1</v>
      </c>
      <c r="Z535" s="167">
        <f t="shared" si="59"/>
        <v>7.1428571428571425E-2</v>
      </c>
      <c r="AA535" s="189">
        <f t="shared" si="63"/>
        <v>3.7628053406539731E-3</v>
      </c>
      <c r="AB535" s="2">
        <f>IFERROR(SUMIFS('Comp2016-2017 (3)'!$G$5:$G$289,'Comp2016-2017 (3)'!$A$5:$A$289,A535,'Comp2016-2017 (3)'!$R$5:$R$289,V535)*AA535/SUMIFS($AA$4:$AA$1116,$A$4:$A$1116,A535,$V$4:$V$1116,V535),0)</f>
        <v>1721.543022344981</v>
      </c>
      <c r="AC535" s="2" t="str">
        <f>IF($W535=AC$3,$AB535,IF(NOT($W535=0),"",SUMIFS('Val-Vol (2)'!AC$4:AC$1116,'Val-Vol (2)'!$A$4:$A$1116,$D535,'Val-Vol (2)'!$V$4:$V$1116,$V535)/SUMIFS('Comp2016-2017 (3)'!$G$5:$G$289,'Comp2016-2017 (3)'!$A$5:$A$289,$D535,'Comp2016-2017 (3)'!$R$5:$R$289,$V535)*$AB535))</f>
        <v/>
      </c>
      <c r="AD535" s="2">
        <f>IF($W535=AD$3,$AB535,IF(NOT($W535=0),"",SUMIFS('Val-Vol (2)'!AD$4:AD$1116,'Val-Vol (2)'!$A$4:$A$1116,$D535,'Val-Vol (2)'!$V$4:$V$1116,$V535)/SUMIFS('Comp2016-2017 (3)'!$G$5:$G$289,'Comp2016-2017 (3)'!$A$5:$A$289,$D535,'Comp2016-2017 (3)'!$R$5:$R$289,$V535)*$AB535))</f>
        <v>1721.543022344981</v>
      </c>
      <c r="AE535" s="2" t="str">
        <f>IF($W535=AE$3,$AB535,IF(NOT($W535=0),"",SUMIFS('Val-Vol (2)'!AE$4:AE$1116,'Val-Vol (2)'!$A$4:$A$1116,$D535,'Val-Vol (2)'!$V$4:$V$1116,$V535)/SUMIFS('Comp2016-2017 (3)'!$G$5:$G$289,'Comp2016-2017 (3)'!$A$5:$A$289,$D535,'Comp2016-2017 (3)'!$R$5:$R$289,$V535)*$AB535))</f>
        <v/>
      </c>
      <c r="AF535" s="2" t="str">
        <f>IF($W535=AF$3,$AB535,IF(NOT($W535=0),"",SUMIFS('Val-Vol (2)'!AF$4:AF$1116,'Val-Vol (2)'!$A$4:$A$1116,$D535,'Val-Vol (2)'!$V$4:$V$1116,$V535)/SUMIFS('Comp2016-2017 (3)'!$G$5:$G$289,'Comp2016-2017 (3)'!$A$5:$A$289,$D535,'Comp2016-2017 (3)'!$R$5:$R$289,$V535)*$AB535))</f>
        <v/>
      </c>
      <c r="AG535" s="2" t="str">
        <f>IF($W535=AG$3,$AB535,IF(NOT($W535=0),"",SUMIFS('Val-Vol (2)'!AG$4:AG$1116,'Val-Vol (2)'!$A$4:$A$1116,$D535,'Val-Vol (2)'!$V$4:$V$1116,$V535)/SUMIFS('Comp2016-2017 (3)'!$G$5:$G$289,'Comp2016-2017 (3)'!$A$5:$A$289,$D535,'Comp2016-2017 (3)'!$R$5:$R$289,$V535)*$AB535))</f>
        <v/>
      </c>
      <c r="AH535" s="2" t="str">
        <f>IF($W535=AH$3,$AB535,IF(NOT($W535=0),"",SUMIFS('Val-Vol (2)'!AH$4:AH$1116,'Val-Vol (2)'!$A$4:$A$1116,$D535,'Val-Vol (2)'!$V$4:$V$1116,$V535)/SUMIFS('Comp2016-2017 (3)'!$G$5:$G$289,'Comp2016-2017 (3)'!$A$5:$A$289,$D535,'Comp2016-2017 (3)'!$R$5:$R$289,$V535)*$AB535))</f>
        <v/>
      </c>
      <c r="AI535" s="2" t="str">
        <f>IF($W535=AI$3,$AB535,IF(NOT($W535=0),"",SUMIFS('Val-Vol (2)'!AI$4:AI$1116,'Val-Vol (2)'!$A$4:$A$1116,$D535,'Val-Vol (2)'!$V$4:$V$1116,$V535)/SUMIFS('Comp2016-2017 (3)'!$G$5:$G$289,'Comp2016-2017 (3)'!$A$5:$A$289,$D535,'Comp2016-2017 (3)'!$R$5:$R$289,$V535)*$AB535))</f>
        <v/>
      </c>
      <c r="AJ535" s="2" t="str">
        <f>IF($W535=AJ$3,$AB535,IF(NOT($W535=0),"",SUMIFS('Val-Vol (2)'!AJ$4:AJ$1116,'Val-Vol (2)'!$A$4:$A$1116,$D535,'Val-Vol (2)'!$V$4:$V$1116,$V535)/SUMIFS('Comp2016-2017 (3)'!$G$5:$G$289,'Comp2016-2017 (3)'!$A$5:$A$289,$D535,'Comp2016-2017 (3)'!$R$5:$R$289,$V535)*$AB535))</f>
        <v/>
      </c>
      <c r="AK535" s="2">
        <f t="shared" si="60"/>
        <v>0</v>
      </c>
      <c r="AL535" t="str">
        <f t="shared" si="62"/>
        <v/>
      </c>
      <c r="AM535" t="str">
        <f>VLOOKUP(A535,'Table corresp.'!$M$4:$U$63,8,FALSE)</f>
        <v>Production intermédiaire</v>
      </c>
      <c r="AN535" t="str">
        <f>VLOOKUP(D535,'Table corresp.'!$M$4:$U$63,9,FALSE)</f>
        <v xml:space="preserve">Mise en œuvre </v>
      </c>
    </row>
    <row r="536" spans="1:40" x14ac:dyDescent="0.25">
      <c r="A536" t="s">
        <v>83</v>
      </c>
      <c r="B536" t="str">
        <f>VLOOKUP(LEFT(A536,3),'Table corresp.'!$A$4:$D$63,3,FALSE)</f>
        <v>Transformation</v>
      </c>
      <c r="C536" t="str">
        <f>VLOOKUP(A536,'Table corresp.'!$M$4:$P$63,4,FALSE)</f>
        <v>Production et transformation de produits bois</v>
      </c>
      <c r="D536" t="s">
        <v>26</v>
      </c>
      <c r="E536" t="str">
        <f>VLOOKUP(LEFT(D536,3),'Table corresp.'!$A$4:$D$63,4,FALSE)</f>
        <v>Transformation</v>
      </c>
      <c r="F536" t="str">
        <f t="shared" si="61"/>
        <v xml:space="preserve">14  - 59 </v>
      </c>
      <c r="G536" s="3">
        <v>1666.7732296873328</v>
      </c>
      <c r="H536" s="3">
        <v>750.40729351449727</v>
      </c>
      <c r="I536" s="3">
        <v>2417.1811444454438</v>
      </c>
      <c r="J536" s="3">
        <v>20.248225136863084</v>
      </c>
      <c r="K536" s="3">
        <v>4.4760492608093942</v>
      </c>
      <c r="L536" s="3">
        <v>24.724274397672477</v>
      </c>
      <c r="M536" s="3">
        <v>0</v>
      </c>
      <c r="N536" s="3">
        <v>0</v>
      </c>
      <c r="O536" s="3">
        <v>0</v>
      </c>
      <c r="P536" s="3">
        <v>0</v>
      </c>
      <c r="Q536" s="3">
        <v>0</v>
      </c>
      <c r="R536" s="3">
        <v>0</v>
      </c>
      <c r="S536" s="67"/>
      <c r="T536">
        <f>VLOOKUP(A536,'Groupe de branches'!$Z$27:$AM$86,14,FALSE)</f>
        <v>0</v>
      </c>
      <c r="U536">
        <f>VLOOKUP(D536,'Groupe de branches'!$Z$27:$AM$86,14,FALSE)</f>
        <v>0</v>
      </c>
      <c r="V536">
        <v>2017</v>
      </c>
      <c r="W536" t="str">
        <f>VLOOKUP(D536,'Table corresp.'!$M$4:$S$63,7,FALSE)</f>
        <v>Construction</v>
      </c>
      <c r="X536" s="167">
        <f>IFERROR(G536/SUMIFS('Comp2016-2017 (3)'!$I$5:$I$289,'Comp2016-2017 (3)'!$A$5:$A$289,A536,'Comp2016-2017 (3)'!$R$5:$R$289,V536),0)</f>
        <v>1.2382786492249316E-2</v>
      </c>
      <c r="Y536" s="190">
        <f>IFERROR(IF(RIGHT(F536,3)="Exp",VLOOKUP(F536,#REF!,2,FALSE),VLOOKUP(F536,#REF!,9,FALSE)),1)</f>
        <v>1</v>
      </c>
      <c r="Z536" s="167">
        <f t="shared" ref="Z536:Z567" si="64">Y536/SUMIFS($Y$4:$Y$1116,$V$4:$V$1116,V536,$A$4:$A$1116,A536)</f>
        <v>7.1428571428571425E-2</v>
      </c>
      <c r="AA536" s="189">
        <f t="shared" si="63"/>
        <v>8.8448474944637968E-4</v>
      </c>
      <c r="AB536" s="2">
        <f>IFERROR(SUMIFS('Comp2016-2017 (3)'!$G$5:$G$289,'Comp2016-2017 (3)'!$A$5:$A$289,A536,'Comp2016-2017 (3)'!$R$5:$R$289,V536)*AA536/SUMIFS($AA$4:$AA$1116,$A$4:$A$1116,A536,$V$4:$V$1116,V536),0)</f>
        <v>404.66577750613141</v>
      </c>
      <c r="AC536" s="2" t="str">
        <f>IF($W536=AC$3,$AB536,IF(NOT($W536=0),"",SUMIFS('Val-Vol (2)'!AC$4:AC$1116,'Val-Vol (2)'!$A$4:$A$1116,$D536,'Val-Vol (2)'!$V$4:$V$1116,$V536)/SUMIFS('Comp2016-2017 (3)'!$G$5:$G$289,'Comp2016-2017 (3)'!$A$5:$A$289,$D536,'Comp2016-2017 (3)'!$R$5:$R$289,$V536)*$AB536))</f>
        <v/>
      </c>
      <c r="AD536" s="2">
        <f>IF($W536=AD$3,$AB536,IF(NOT($W536=0),"",SUMIFS('Val-Vol (2)'!AD$4:AD$1116,'Val-Vol (2)'!$A$4:$A$1116,$D536,'Val-Vol (2)'!$V$4:$V$1116,$V536)/SUMIFS('Comp2016-2017 (3)'!$G$5:$G$289,'Comp2016-2017 (3)'!$A$5:$A$289,$D536,'Comp2016-2017 (3)'!$R$5:$R$289,$V536)*$AB536))</f>
        <v>404.66577750613141</v>
      </c>
      <c r="AE536" s="2" t="str">
        <f>IF($W536=AE$3,$AB536,IF(NOT($W536=0),"",SUMIFS('Val-Vol (2)'!AE$4:AE$1116,'Val-Vol (2)'!$A$4:$A$1116,$D536,'Val-Vol (2)'!$V$4:$V$1116,$V536)/SUMIFS('Comp2016-2017 (3)'!$G$5:$G$289,'Comp2016-2017 (3)'!$A$5:$A$289,$D536,'Comp2016-2017 (3)'!$R$5:$R$289,$V536)*$AB536))</f>
        <v/>
      </c>
      <c r="AF536" s="2" t="str">
        <f>IF($W536=AF$3,$AB536,IF(NOT($W536=0),"",SUMIFS('Val-Vol (2)'!AF$4:AF$1116,'Val-Vol (2)'!$A$4:$A$1116,$D536,'Val-Vol (2)'!$V$4:$V$1116,$V536)/SUMIFS('Comp2016-2017 (3)'!$G$5:$G$289,'Comp2016-2017 (3)'!$A$5:$A$289,$D536,'Comp2016-2017 (3)'!$R$5:$R$289,$V536)*$AB536))</f>
        <v/>
      </c>
      <c r="AG536" s="2" t="str">
        <f>IF($W536=AG$3,$AB536,IF(NOT($W536=0),"",SUMIFS('Val-Vol (2)'!AG$4:AG$1116,'Val-Vol (2)'!$A$4:$A$1116,$D536,'Val-Vol (2)'!$V$4:$V$1116,$V536)/SUMIFS('Comp2016-2017 (3)'!$G$5:$G$289,'Comp2016-2017 (3)'!$A$5:$A$289,$D536,'Comp2016-2017 (3)'!$R$5:$R$289,$V536)*$AB536))</f>
        <v/>
      </c>
      <c r="AH536" s="2" t="str">
        <f>IF($W536=AH$3,$AB536,IF(NOT($W536=0),"",SUMIFS('Val-Vol (2)'!AH$4:AH$1116,'Val-Vol (2)'!$A$4:$A$1116,$D536,'Val-Vol (2)'!$V$4:$V$1116,$V536)/SUMIFS('Comp2016-2017 (3)'!$G$5:$G$289,'Comp2016-2017 (3)'!$A$5:$A$289,$D536,'Comp2016-2017 (3)'!$R$5:$R$289,$V536)*$AB536))</f>
        <v/>
      </c>
      <c r="AI536" s="2" t="str">
        <f>IF($W536=AI$3,$AB536,IF(NOT($W536=0),"",SUMIFS('Val-Vol (2)'!AI$4:AI$1116,'Val-Vol (2)'!$A$4:$A$1116,$D536,'Val-Vol (2)'!$V$4:$V$1116,$V536)/SUMIFS('Comp2016-2017 (3)'!$G$5:$G$289,'Comp2016-2017 (3)'!$A$5:$A$289,$D536,'Comp2016-2017 (3)'!$R$5:$R$289,$V536)*$AB536))</f>
        <v/>
      </c>
      <c r="AJ536" s="2" t="str">
        <f>IF($W536=AJ$3,$AB536,IF(NOT($W536=0),"",SUMIFS('Val-Vol (2)'!AJ$4:AJ$1116,'Val-Vol (2)'!$A$4:$A$1116,$D536,'Val-Vol (2)'!$V$4:$V$1116,$V536)/SUMIFS('Comp2016-2017 (3)'!$G$5:$G$289,'Comp2016-2017 (3)'!$A$5:$A$289,$D536,'Comp2016-2017 (3)'!$R$5:$R$289,$V536)*$AB536))</f>
        <v/>
      </c>
      <c r="AK536" s="2">
        <f t="shared" si="60"/>
        <v>0</v>
      </c>
      <c r="AL536" t="str">
        <f t="shared" si="62"/>
        <v/>
      </c>
      <c r="AM536" t="str">
        <f>VLOOKUP(A536,'Table corresp.'!$M$4:$U$63,8,FALSE)</f>
        <v>Production intermédiaire</v>
      </c>
      <c r="AN536" t="str">
        <f>VLOOKUP(D536,'Table corresp.'!$M$4:$U$63,9,FALSE)</f>
        <v xml:space="preserve">Mise en œuvre </v>
      </c>
    </row>
    <row r="537" spans="1:40" x14ac:dyDescent="0.25">
      <c r="A537" t="s">
        <v>83</v>
      </c>
      <c r="B537" t="str">
        <f>VLOOKUP(LEFT(A537,3),'Table corresp.'!$A$4:$D$63,3,FALSE)</f>
        <v>Transformation</v>
      </c>
      <c r="C537" t="str">
        <f>VLOOKUP(A537,'Table corresp.'!$M$4:$P$63,4,FALSE)</f>
        <v>Production et transformation de produits bois</v>
      </c>
      <c r="D537" t="s">
        <v>54</v>
      </c>
      <c r="E537" t="str">
        <f>VLOOKUP(LEFT(D537,3),'Table corresp.'!$A$4:$D$63,4,FALSE)</f>
        <v>Consommation finale</v>
      </c>
      <c r="F537" t="str">
        <f t="shared" si="61"/>
        <v>14  - Con</v>
      </c>
      <c r="G537" s="3">
        <v>1397.4504641013141</v>
      </c>
      <c r="H537" s="3">
        <v>2942.6939724218273</v>
      </c>
      <c r="I537" s="3">
        <v>4340.1455145923728</v>
      </c>
      <c r="J537" s="3">
        <v>13.581159625437563</v>
      </c>
      <c r="K537" s="3">
        <v>12.355951518467997</v>
      </c>
      <c r="L537" s="3">
        <v>25.937111143905561</v>
      </c>
      <c r="M537" s="3">
        <v>0</v>
      </c>
      <c r="N537" s="3">
        <v>0</v>
      </c>
      <c r="O537" s="3">
        <v>0</v>
      </c>
      <c r="P537" s="3">
        <v>0</v>
      </c>
      <c r="Q537" s="3">
        <v>0</v>
      </c>
      <c r="R537" s="3">
        <v>0</v>
      </c>
      <c r="S537" s="67"/>
      <c r="T537">
        <f>VLOOKUP(A537,'Groupe de branches'!$Z$27:$AM$86,14,FALSE)</f>
        <v>0</v>
      </c>
      <c r="U537">
        <f>VLOOKUP(D537,'Groupe de branches'!$Z$27:$AM$86,14,FALSE)</f>
        <v>0</v>
      </c>
      <c r="V537">
        <v>2017</v>
      </c>
      <c r="W537" t="str">
        <f>VLOOKUP(D537,'Table corresp.'!$M$4:$S$63,7,FALSE)</f>
        <v>Consommation finale</v>
      </c>
      <c r="X537" s="167">
        <f>IFERROR(G537/SUMIFS('Comp2016-2017 (3)'!$I$5:$I$289,'Comp2016-2017 (3)'!$A$5:$A$289,A537,'Comp2016-2017 (3)'!$R$5:$R$289,V537),0)</f>
        <v>1.0381934640087411E-2</v>
      </c>
      <c r="Y537" s="190">
        <f>IFERROR(IF(RIGHT(F537,3)="Exp",VLOOKUP(F537,#REF!,2,FALSE),VLOOKUP(F537,#REF!,9,FALSE)),1)</f>
        <v>1</v>
      </c>
      <c r="Z537" s="167">
        <f t="shared" si="64"/>
        <v>7.1428571428571425E-2</v>
      </c>
      <c r="AA537" s="189">
        <f t="shared" si="63"/>
        <v>7.4156676000624363E-4</v>
      </c>
      <c r="AB537" s="2">
        <f>IFERROR(SUMIFS('Comp2016-2017 (3)'!$G$5:$G$289,'Comp2016-2017 (3)'!$A$5:$A$289,A537,'Comp2016-2017 (3)'!$R$5:$R$289,V537)*AA537/SUMIFS($AA$4:$AA$1116,$A$4:$A$1116,A537,$V$4:$V$1116,V537),0)</f>
        <v>339.27853442183243</v>
      </c>
      <c r="AC537" s="2" t="str">
        <f>IF($W537=AC$3,$AB537,IF(NOT($W537=0),"",SUMIFS('Val-Vol (2)'!AC$4:AC$1116,'Val-Vol (2)'!$A$4:$A$1116,$D537,'Val-Vol (2)'!$V$4:$V$1116,$V537)/SUMIFS('Comp2016-2017 (3)'!$G$5:$G$289,'Comp2016-2017 (3)'!$A$5:$A$289,$D537,'Comp2016-2017 (3)'!$R$5:$R$289,$V537)*$AB537))</f>
        <v/>
      </c>
      <c r="AD537" s="2" t="str">
        <f>IF($W537=AD$3,$AB537,IF(NOT($W537=0),"",SUMIFS('Val-Vol (2)'!AD$4:AD$1116,'Val-Vol (2)'!$A$4:$A$1116,$D537,'Val-Vol (2)'!$V$4:$V$1116,$V537)/SUMIFS('Comp2016-2017 (3)'!$G$5:$G$289,'Comp2016-2017 (3)'!$A$5:$A$289,$D537,'Comp2016-2017 (3)'!$R$5:$R$289,$V537)*$AB537))</f>
        <v/>
      </c>
      <c r="AE537" s="2" t="str">
        <f>IF($W537=AE$3,$AB537,IF(NOT($W537=0),"",SUMIFS('Val-Vol (2)'!AE$4:AE$1116,'Val-Vol (2)'!$A$4:$A$1116,$D537,'Val-Vol (2)'!$V$4:$V$1116,$V537)/SUMIFS('Comp2016-2017 (3)'!$G$5:$G$289,'Comp2016-2017 (3)'!$A$5:$A$289,$D537,'Comp2016-2017 (3)'!$R$5:$R$289,$V537)*$AB537))</f>
        <v/>
      </c>
      <c r="AF537" s="2" t="str">
        <f>IF($W537=AF$3,$AB537,IF(NOT($W537=0),"",SUMIFS('Val-Vol (2)'!AF$4:AF$1116,'Val-Vol (2)'!$A$4:$A$1116,$D537,'Val-Vol (2)'!$V$4:$V$1116,$V537)/SUMIFS('Comp2016-2017 (3)'!$G$5:$G$289,'Comp2016-2017 (3)'!$A$5:$A$289,$D537,'Comp2016-2017 (3)'!$R$5:$R$289,$V537)*$AB537))</f>
        <v/>
      </c>
      <c r="AG537" s="2" t="str">
        <f>IF($W537=AG$3,$AB537,IF(NOT($W537=0),"",SUMIFS('Val-Vol (2)'!AG$4:AG$1116,'Val-Vol (2)'!$A$4:$A$1116,$D537,'Val-Vol (2)'!$V$4:$V$1116,$V537)/SUMIFS('Comp2016-2017 (3)'!$G$5:$G$289,'Comp2016-2017 (3)'!$A$5:$A$289,$D537,'Comp2016-2017 (3)'!$R$5:$R$289,$V537)*$AB537))</f>
        <v/>
      </c>
      <c r="AH537" s="2" t="str">
        <f>IF($W537=AH$3,$AB537,IF(NOT($W537=0),"",SUMIFS('Val-Vol (2)'!AH$4:AH$1116,'Val-Vol (2)'!$A$4:$A$1116,$D537,'Val-Vol (2)'!$V$4:$V$1116,$V537)/SUMIFS('Comp2016-2017 (3)'!$G$5:$G$289,'Comp2016-2017 (3)'!$A$5:$A$289,$D537,'Comp2016-2017 (3)'!$R$5:$R$289,$V537)*$AB537))</f>
        <v/>
      </c>
      <c r="AI537" s="2" t="str">
        <f>IF($W537=AI$3,$AB537,IF(NOT($W537=0),"",SUMIFS('Val-Vol (2)'!AI$4:AI$1116,'Val-Vol (2)'!$A$4:$A$1116,$D537,'Val-Vol (2)'!$V$4:$V$1116,$V537)/SUMIFS('Comp2016-2017 (3)'!$G$5:$G$289,'Comp2016-2017 (3)'!$A$5:$A$289,$D537,'Comp2016-2017 (3)'!$R$5:$R$289,$V537)*$AB537))</f>
        <v/>
      </c>
      <c r="AJ537" s="2">
        <f>IF($W537=AJ$3,$AB537,IF(NOT($W537=0),"",SUMIFS('Val-Vol (2)'!AJ$4:AJ$1116,'Val-Vol (2)'!$A$4:$A$1116,$D537,'Val-Vol (2)'!$V$4:$V$1116,$V537)/SUMIFS('Comp2016-2017 (3)'!$G$5:$G$289,'Comp2016-2017 (3)'!$A$5:$A$289,$D537,'Comp2016-2017 (3)'!$R$5:$R$289,$V537)*$AB537))</f>
        <v>339.27853442183243</v>
      </c>
      <c r="AK537" s="2">
        <f t="shared" si="60"/>
        <v>0</v>
      </c>
      <c r="AL537" t="str">
        <f t="shared" si="62"/>
        <v/>
      </c>
      <c r="AM537" t="str">
        <f>VLOOKUP(A537,'Table corresp.'!$M$4:$U$63,8,FALSE)</f>
        <v>Production intermédiaire</v>
      </c>
      <c r="AN537" t="str">
        <f>VLOOKUP(D537,'Table corresp.'!$M$4:$U$63,9,FALSE)</f>
        <v>Consommation finale française</v>
      </c>
    </row>
    <row r="538" spans="1:40" x14ac:dyDescent="0.25">
      <c r="A538" t="s">
        <v>83</v>
      </c>
      <c r="B538" t="str">
        <f>VLOOKUP(LEFT(A538,3),'Table corresp.'!$A$4:$D$63,3,FALSE)</f>
        <v>Transformation</v>
      </c>
      <c r="C538" t="str">
        <f>VLOOKUP(A538,'Table corresp.'!$M$4:$P$63,4,FALSE)</f>
        <v>Production et transformation de produits bois</v>
      </c>
      <c r="D538" t="s">
        <v>53</v>
      </c>
      <c r="E538" t="str">
        <f>VLOOKUP(LEFT(D538,3),'Table corresp.'!$A$4:$D$63,4,FALSE)</f>
        <v>Exportation</v>
      </c>
      <c r="F538" t="str">
        <f t="shared" si="61"/>
        <v>14  - Exp</v>
      </c>
      <c r="G538" s="3">
        <v>71305.439154725042</v>
      </c>
      <c r="H538" s="3">
        <v>0</v>
      </c>
      <c r="I538" s="3">
        <v>71305.457999999999</v>
      </c>
      <c r="J538" s="3">
        <v>443.14428099962555</v>
      </c>
      <c r="K538" s="3">
        <v>0</v>
      </c>
      <c r="L538" s="3">
        <v>443.14428099962555</v>
      </c>
      <c r="M538" s="3">
        <v>0</v>
      </c>
      <c r="N538" s="3">
        <v>0</v>
      </c>
      <c r="O538" s="3">
        <v>0</v>
      </c>
      <c r="P538" s="3">
        <v>0</v>
      </c>
      <c r="Q538" s="3">
        <v>0</v>
      </c>
      <c r="R538" s="3">
        <v>0</v>
      </c>
      <c r="S538" s="67"/>
      <c r="T538">
        <f>VLOOKUP(A538,'Groupe de branches'!$Z$27:$AM$86,14,FALSE)</f>
        <v>0</v>
      </c>
      <c r="U538">
        <f>VLOOKUP(D538,'Groupe de branches'!$Z$27:$AM$86,14,FALSE)</f>
        <v>0</v>
      </c>
      <c r="V538">
        <v>2017</v>
      </c>
      <c r="W538" t="str">
        <f>VLOOKUP(D538,'Table corresp.'!$M$4:$S$63,7,FALSE)</f>
        <v>Exportation</v>
      </c>
      <c r="X538" s="167">
        <f>IFERROR(G538/SUMIFS('Comp2016-2017 (3)'!$I$5:$I$289,'Comp2016-2017 (3)'!$A$5:$A$289,A538,'Comp2016-2017 (3)'!$R$5:$R$289,V538),0)</f>
        <v>0.52974214671942366</v>
      </c>
      <c r="Y538" s="190">
        <f>IFERROR(IF(RIGHT(F538,3)="Exp",VLOOKUP(F538,#REF!,2,FALSE),VLOOKUP(F538,#REF!,9,FALSE)),1)</f>
        <v>1</v>
      </c>
      <c r="Z538" s="167">
        <f t="shared" si="64"/>
        <v>7.1428571428571425E-2</v>
      </c>
      <c r="AA538" s="189">
        <f t="shared" si="63"/>
        <v>3.7838724765673119E-2</v>
      </c>
      <c r="AB538" s="2">
        <f>IFERROR(SUMIFS('Comp2016-2017 (3)'!$G$5:$G$289,'Comp2016-2017 (3)'!$A$5:$A$289,A538,'Comp2016-2017 (3)'!$R$5:$R$289,V538)*AA538/SUMIFS($AA$4:$AA$1116,$A$4:$A$1116,A538,$V$4:$V$1116,V538),0)</f>
        <v>17311.815705952868</v>
      </c>
      <c r="AC538" s="2">
        <f>IF($W538=AC$3,$AB538,IF(NOT($W538=0),"",SUMIFS('Val-Vol (2)'!AC$4:AC$1116,'Val-Vol (2)'!$A$4:$A$1116,$D538,'Val-Vol (2)'!$V$4:$V$1116,$V538)/SUMIFS('Comp2016-2017 (3)'!$G$5:$G$289,'Comp2016-2017 (3)'!$A$5:$A$289,$D538,'Comp2016-2017 (3)'!$R$5:$R$289,$V538)*$AB538))</f>
        <v>17311.815705952868</v>
      </c>
      <c r="AD538" s="2" t="str">
        <f>IF($W538=AD$3,$AB538,IF(NOT($W538=0),"",SUMIFS('Val-Vol (2)'!AD$4:AD$1116,'Val-Vol (2)'!$A$4:$A$1116,$D538,'Val-Vol (2)'!$V$4:$V$1116,$V538)/SUMIFS('Comp2016-2017 (3)'!$G$5:$G$289,'Comp2016-2017 (3)'!$A$5:$A$289,$D538,'Comp2016-2017 (3)'!$R$5:$R$289,$V538)*$AB538))</f>
        <v/>
      </c>
      <c r="AE538" s="2" t="str">
        <f>IF($W538=AE$3,$AB538,IF(NOT($W538=0),"",SUMIFS('Val-Vol (2)'!AE$4:AE$1116,'Val-Vol (2)'!$A$4:$A$1116,$D538,'Val-Vol (2)'!$V$4:$V$1116,$V538)/SUMIFS('Comp2016-2017 (3)'!$G$5:$G$289,'Comp2016-2017 (3)'!$A$5:$A$289,$D538,'Comp2016-2017 (3)'!$R$5:$R$289,$V538)*$AB538))</f>
        <v/>
      </c>
      <c r="AF538" s="2" t="str">
        <f>IF($W538=AF$3,$AB538,IF(NOT($W538=0),"",SUMIFS('Val-Vol (2)'!AF$4:AF$1116,'Val-Vol (2)'!$A$4:$A$1116,$D538,'Val-Vol (2)'!$V$4:$V$1116,$V538)/SUMIFS('Comp2016-2017 (3)'!$G$5:$G$289,'Comp2016-2017 (3)'!$A$5:$A$289,$D538,'Comp2016-2017 (3)'!$R$5:$R$289,$V538)*$AB538))</f>
        <v/>
      </c>
      <c r="AG538" s="2" t="str">
        <f>IF($W538=AG$3,$AB538,IF(NOT($W538=0),"",SUMIFS('Val-Vol (2)'!AG$4:AG$1116,'Val-Vol (2)'!$A$4:$A$1116,$D538,'Val-Vol (2)'!$V$4:$V$1116,$V538)/SUMIFS('Comp2016-2017 (3)'!$G$5:$G$289,'Comp2016-2017 (3)'!$A$5:$A$289,$D538,'Comp2016-2017 (3)'!$R$5:$R$289,$V538)*$AB538))</f>
        <v/>
      </c>
      <c r="AH538" s="2" t="str">
        <f>IF($W538=AH$3,$AB538,IF(NOT($W538=0),"",SUMIFS('Val-Vol (2)'!AH$4:AH$1116,'Val-Vol (2)'!$A$4:$A$1116,$D538,'Val-Vol (2)'!$V$4:$V$1116,$V538)/SUMIFS('Comp2016-2017 (3)'!$G$5:$G$289,'Comp2016-2017 (3)'!$A$5:$A$289,$D538,'Comp2016-2017 (3)'!$R$5:$R$289,$V538)*$AB538))</f>
        <v/>
      </c>
      <c r="AI538" s="2" t="str">
        <f>IF($W538=AI$3,$AB538,IF(NOT($W538=0),"",SUMIFS('Val-Vol (2)'!AI$4:AI$1116,'Val-Vol (2)'!$A$4:$A$1116,$D538,'Val-Vol (2)'!$V$4:$V$1116,$V538)/SUMIFS('Comp2016-2017 (3)'!$G$5:$G$289,'Comp2016-2017 (3)'!$A$5:$A$289,$D538,'Comp2016-2017 (3)'!$R$5:$R$289,$V538)*$AB538))</f>
        <v/>
      </c>
      <c r="AJ538" s="2" t="str">
        <f>IF($W538=AJ$3,$AB538,IF(NOT($W538=0),"",SUMIFS('Val-Vol (2)'!AJ$4:AJ$1116,'Val-Vol (2)'!$A$4:$A$1116,$D538,'Val-Vol (2)'!$V$4:$V$1116,$V538)/SUMIFS('Comp2016-2017 (3)'!$G$5:$G$289,'Comp2016-2017 (3)'!$A$5:$A$289,$D538,'Comp2016-2017 (3)'!$R$5:$R$289,$V538)*$AB538))</f>
        <v/>
      </c>
      <c r="AK538" s="2">
        <f t="shared" si="60"/>
        <v>0</v>
      </c>
      <c r="AL538" t="str">
        <f t="shared" si="62"/>
        <v/>
      </c>
      <c r="AM538" t="str">
        <f>VLOOKUP(A538,'Table corresp.'!$M$4:$U$63,8,FALSE)</f>
        <v>Production intermédiaire</v>
      </c>
      <c r="AN538" t="str">
        <f>VLOOKUP(D538,'Table corresp.'!$M$4:$U$63,9,FALSE)</f>
        <v>Exportation</v>
      </c>
    </row>
    <row r="539" spans="1:40" x14ac:dyDescent="0.25">
      <c r="A539" t="s">
        <v>9</v>
      </c>
      <c r="B539" t="str">
        <f>VLOOKUP(LEFT(A539,3),'Table corresp.'!$A$4:$D$63,3,FALSE)</f>
        <v>Transformation</v>
      </c>
      <c r="C539" t="str">
        <f>VLOOKUP(A539,'Table corresp.'!$M$4:$P$63,4,FALSE)</f>
        <v>Production et transformation de produits bois</v>
      </c>
      <c r="D539" t="s">
        <v>13</v>
      </c>
      <c r="E539" t="str">
        <f>VLOOKUP(LEFT(D539,3),'Table corresp.'!$A$4:$D$63,4,FALSE)</f>
        <v>Transformation</v>
      </c>
      <c r="F539" t="str">
        <f t="shared" si="61"/>
        <v xml:space="preserve">15  - 20 </v>
      </c>
      <c r="G539" s="3">
        <v>66824.773720067315</v>
      </c>
      <c r="H539" s="3">
        <v>0</v>
      </c>
      <c r="I539" s="3">
        <v>66824.776555558041</v>
      </c>
      <c r="J539" s="3">
        <v>506.32383950471268</v>
      </c>
      <c r="K539" s="3">
        <v>0</v>
      </c>
      <c r="L539" s="3">
        <v>506.32383950471268</v>
      </c>
      <c r="M539" s="3">
        <v>0</v>
      </c>
      <c r="N539" s="3">
        <v>0</v>
      </c>
      <c r="O539" s="3">
        <v>0</v>
      </c>
      <c r="P539" s="3">
        <v>0</v>
      </c>
      <c r="Q539" s="3">
        <v>0</v>
      </c>
      <c r="R539" s="3">
        <v>0</v>
      </c>
      <c r="S539" s="67"/>
      <c r="T539">
        <f>VLOOKUP(A539,'Groupe de branches'!$Z$27:$AM$86,14,FALSE)</f>
        <v>0</v>
      </c>
      <c r="U539">
        <f>VLOOKUP(D539,'Groupe de branches'!$Z$27:$AM$86,14,FALSE)</f>
        <v>0</v>
      </c>
      <c r="V539">
        <v>2017</v>
      </c>
      <c r="W539">
        <f>VLOOKUP(D539,'Table corresp.'!$M$4:$S$63,7,FALSE)</f>
        <v>0</v>
      </c>
      <c r="X539" s="167">
        <f>IFERROR(G539/SUMIFS('Comp2016-2017 (3)'!$I$5:$I$289,'Comp2016-2017 (3)'!$A$5:$A$289,A539,'Comp2016-2017 (3)'!$R$5:$R$289,V539),0)</f>
        <v>0.26725820703864561</v>
      </c>
      <c r="Y539" s="190">
        <f>IFERROR(IF(RIGHT(F539,3)="Exp",VLOOKUP(F539,#REF!,2,FALSE),VLOOKUP(F539,#REF!,9,FALSE)),1)</f>
        <v>1</v>
      </c>
      <c r="Z539" s="167">
        <f t="shared" si="64"/>
        <v>9.0909090909090912E-2</v>
      </c>
      <c r="AA539" s="189">
        <f t="shared" si="63"/>
        <v>2.4296200639876874E-2</v>
      </c>
      <c r="AB539" s="2">
        <f>IFERROR(SUMIFS('Comp2016-2017 (3)'!$G$5:$G$289,'Comp2016-2017 (3)'!$A$5:$A$289,A539,'Comp2016-2017 (3)'!$R$5:$R$289,V539)*AA539/SUMIFS($AA$4:$AA$1116,$A$4:$A$1116,A539,$V$4:$V$1116,V539),0)</f>
        <v>14686.496319348136</v>
      </c>
      <c r="AC539" s="2">
        <f>IF($W539=AC$3,$AB539,IF(NOT($W539=0),"",SUMIFS('Val-Vol (2)'!AC$4:AC$1116,'Val-Vol (2)'!$A$4:$A$1116,$D539,'Val-Vol (2)'!$V$4:$V$1116,$V539)/SUMIFS('Comp2016-2017 (3)'!$G$5:$G$289,'Comp2016-2017 (3)'!$A$5:$A$289,$D539,'Comp2016-2017 (3)'!$R$5:$R$289,$V539)*$AB539))</f>
        <v>1644.0556116963794</v>
      </c>
      <c r="AD539" s="2">
        <f>IF($W539=AD$3,$AB539,IF(NOT($W539=0),"",SUMIFS('Val-Vol (2)'!AD$4:AD$1116,'Val-Vol (2)'!$A$4:$A$1116,$D539,'Val-Vol (2)'!$V$4:$V$1116,$V539)/SUMIFS('Comp2016-2017 (3)'!$G$5:$G$289,'Comp2016-2017 (3)'!$A$5:$A$289,$D539,'Comp2016-2017 (3)'!$R$5:$R$289,$V539)*$AB539))</f>
        <v>8060.1922227368959</v>
      </c>
      <c r="AE539" s="2">
        <f>IF($W539=AE$3,$AB539,IF(NOT($W539=0),"",SUMIFS('Val-Vol (2)'!AE$4:AE$1116,'Val-Vol (2)'!$A$4:$A$1116,$D539,'Val-Vol (2)'!$V$4:$V$1116,$V539)/SUMIFS('Comp2016-2017 (3)'!$G$5:$G$289,'Comp2016-2017 (3)'!$A$5:$A$289,$D539,'Comp2016-2017 (3)'!$R$5:$R$289,$V539)*$AB539))</f>
        <v>0</v>
      </c>
      <c r="AF539" s="2">
        <f>IF($W539=AF$3,$AB539,IF(NOT($W539=0),"",SUMIFS('Val-Vol (2)'!AF$4:AF$1116,'Val-Vol (2)'!$A$4:$A$1116,$D539,'Val-Vol (2)'!$V$4:$V$1116,$V539)/SUMIFS('Comp2016-2017 (3)'!$G$5:$G$289,'Comp2016-2017 (3)'!$A$5:$A$289,$D539,'Comp2016-2017 (3)'!$R$5:$R$289,$V539)*$AB539))</f>
        <v>0</v>
      </c>
      <c r="AG539" s="2">
        <f>IF($W539=AG$3,$AB539,IF(NOT($W539=0),"",SUMIFS('Val-Vol (2)'!AG$4:AG$1116,'Val-Vol (2)'!$A$4:$A$1116,$D539,'Val-Vol (2)'!$V$4:$V$1116,$V539)/SUMIFS('Comp2016-2017 (3)'!$G$5:$G$289,'Comp2016-2017 (3)'!$A$5:$A$289,$D539,'Comp2016-2017 (3)'!$R$5:$R$289,$V539)*$AB539))</f>
        <v>0</v>
      </c>
      <c r="AH539" s="2">
        <f>IF($W539=AH$3,$AB539,IF(NOT($W539=0),"",SUMIFS('Val-Vol (2)'!AH$4:AH$1116,'Val-Vol (2)'!$A$4:$A$1116,$D539,'Val-Vol (2)'!$V$4:$V$1116,$V539)/SUMIFS('Comp2016-2017 (3)'!$G$5:$G$289,'Comp2016-2017 (3)'!$A$5:$A$289,$D539,'Comp2016-2017 (3)'!$R$5:$R$289,$V539)*$AB539))</f>
        <v>0</v>
      </c>
      <c r="AI539" s="2">
        <f>IF($W539=AI$3,$AB539,IF(NOT($W539=0),"",SUMIFS('Val-Vol (2)'!AI$4:AI$1116,'Val-Vol (2)'!$A$4:$A$1116,$D539,'Val-Vol (2)'!$V$4:$V$1116,$V539)/SUMIFS('Comp2016-2017 (3)'!$G$5:$G$289,'Comp2016-2017 (3)'!$A$5:$A$289,$D539,'Comp2016-2017 (3)'!$R$5:$R$289,$V539)*$AB539))</f>
        <v>0</v>
      </c>
      <c r="AJ539" s="2">
        <f>IF($W539=AJ$3,$AB539,IF(NOT($W539=0),"",SUMIFS('Val-Vol (2)'!AJ$4:AJ$1116,'Val-Vol (2)'!$A$4:$A$1116,$D539,'Val-Vol (2)'!$V$4:$V$1116,$V539)/SUMIFS('Comp2016-2017 (3)'!$G$5:$G$289,'Comp2016-2017 (3)'!$A$5:$A$289,$D539,'Comp2016-2017 (3)'!$R$5:$R$289,$V539)*$AB539))</f>
        <v>4982.2484849148605</v>
      </c>
      <c r="AK539" s="2">
        <f t="shared" si="60"/>
        <v>0</v>
      </c>
      <c r="AL539" t="str">
        <f t="shared" si="62"/>
        <v/>
      </c>
      <c r="AM539" t="str">
        <f>VLOOKUP(A539,'Table corresp.'!$M$4:$U$63,8,FALSE)</f>
        <v>Production intermédiaire</v>
      </c>
      <c r="AN539" t="str">
        <f>VLOOKUP(D539,'Table corresp.'!$M$4:$U$63,9,FALSE)</f>
        <v>Production intermédiaire</v>
      </c>
    </row>
    <row r="540" spans="1:40" x14ac:dyDescent="0.25">
      <c r="A540" t="s">
        <v>9</v>
      </c>
      <c r="B540" t="str">
        <f>VLOOKUP(LEFT(A540,3),'Table corresp.'!$A$4:$D$63,3,FALSE)</f>
        <v>Transformation</v>
      </c>
      <c r="C540" t="str">
        <f>VLOOKUP(A540,'Table corresp.'!$M$4:$P$63,4,FALSE)</f>
        <v>Production et transformation de produits bois</v>
      </c>
      <c r="D540" t="s">
        <v>14</v>
      </c>
      <c r="E540" t="str">
        <f>VLOOKUP(LEFT(D540,3),'Table corresp.'!$A$4:$D$63,4,FALSE)</f>
        <v>Transformation</v>
      </c>
      <c r="F540" t="str">
        <f t="shared" si="61"/>
        <v>15  - 20b</v>
      </c>
      <c r="G540" s="3">
        <v>2734.4621407758505</v>
      </c>
      <c r="H540" s="3">
        <v>0</v>
      </c>
      <c r="I540" s="3">
        <v>2734.4622568038085</v>
      </c>
      <c r="J540" s="3">
        <v>23.192590219392905</v>
      </c>
      <c r="K540" s="3">
        <v>0</v>
      </c>
      <c r="L540" s="3">
        <v>23.192590219392905</v>
      </c>
      <c r="M540" s="3">
        <v>0</v>
      </c>
      <c r="N540" s="3">
        <v>0</v>
      </c>
      <c r="O540" s="3">
        <v>0</v>
      </c>
      <c r="P540" s="3">
        <v>0</v>
      </c>
      <c r="Q540" s="3">
        <v>0</v>
      </c>
      <c r="R540" s="3">
        <v>0</v>
      </c>
      <c r="S540" s="67"/>
      <c r="T540">
        <f>VLOOKUP(A540,'Groupe de branches'!$Z$27:$AM$86,14,FALSE)</f>
        <v>0</v>
      </c>
      <c r="U540">
        <f>VLOOKUP(D540,'Groupe de branches'!$Z$27:$AM$86,14,FALSE)</f>
        <v>0</v>
      </c>
      <c r="V540">
        <v>2017</v>
      </c>
      <c r="W540">
        <f>VLOOKUP(D540,'Table corresp.'!$M$4:$S$63,7,FALSE)</f>
        <v>0</v>
      </c>
      <c r="X540" s="167">
        <f>IFERROR(G540/SUMIFS('Comp2016-2017 (3)'!$I$5:$I$289,'Comp2016-2017 (3)'!$A$5:$A$289,A540,'Comp2016-2017 (3)'!$R$5:$R$289,V540),0)</f>
        <v>1.0936175437274256E-2</v>
      </c>
      <c r="Y540" s="190">
        <f>IFERROR(IF(RIGHT(F540,3)="Exp",VLOOKUP(F540,#REF!,2,FALSE),VLOOKUP(F540,#REF!,9,FALSE)),1)</f>
        <v>1</v>
      </c>
      <c r="Z540" s="167">
        <f t="shared" si="64"/>
        <v>9.0909090909090912E-2</v>
      </c>
      <c r="AA540" s="189">
        <f t="shared" si="63"/>
        <v>9.9419776702493233E-4</v>
      </c>
      <c r="AB540" s="2">
        <f>IFERROR(SUMIFS('Comp2016-2017 (3)'!$G$5:$G$289,'Comp2016-2017 (3)'!$A$5:$A$289,A540,'Comp2016-2017 (3)'!$R$5:$R$289,V540)*AA540/SUMIFS($AA$4:$AA$1116,$A$4:$A$1116,A540,$V$4:$V$1116,V540),0)</f>
        <v>600.96975912155619</v>
      </c>
      <c r="AC540" s="2">
        <f>IF($W540=AC$3,$AB540,IF(NOT($W540=0),"",SUMIFS('Val-Vol (2)'!AC$4:AC$1116,'Val-Vol (2)'!$A$4:$A$1116,$D540,'Val-Vol (2)'!$V$4:$V$1116,$V540)/SUMIFS('Comp2016-2017 (3)'!$G$5:$G$289,'Comp2016-2017 (3)'!$A$5:$A$289,$D540,'Comp2016-2017 (3)'!$R$5:$R$289,$V540)*$AB540))</f>
        <v>181.09876673675538</v>
      </c>
      <c r="AD540" s="2">
        <f>IF($W540=AD$3,$AB540,IF(NOT($W540=0),"",SUMIFS('Val-Vol (2)'!AD$4:AD$1116,'Val-Vol (2)'!$A$4:$A$1116,$D540,'Val-Vol (2)'!$V$4:$V$1116,$V540)/SUMIFS('Comp2016-2017 (3)'!$G$5:$G$289,'Comp2016-2017 (3)'!$A$5:$A$289,$D540,'Comp2016-2017 (3)'!$R$5:$R$289,$V540)*$AB540))</f>
        <v>418.69935212883269</v>
      </c>
      <c r="AE540" s="2">
        <f>IF($W540=AE$3,$AB540,IF(NOT($W540=0),"",SUMIFS('Val-Vol (2)'!AE$4:AE$1116,'Val-Vol (2)'!$A$4:$A$1116,$D540,'Val-Vol (2)'!$V$4:$V$1116,$V540)/SUMIFS('Comp2016-2017 (3)'!$G$5:$G$289,'Comp2016-2017 (3)'!$A$5:$A$289,$D540,'Comp2016-2017 (3)'!$R$5:$R$289,$V540)*$AB540))</f>
        <v>1.1716402559681689</v>
      </c>
      <c r="AF540" s="2">
        <f>IF($W540=AF$3,$AB540,IF(NOT($W540=0),"",SUMIFS('Val-Vol (2)'!AF$4:AF$1116,'Val-Vol (2)'!$A$4:$A$1116,$D540,'Val-Vol (2)'!$V$4:$V$1116,$V540)/SUMIFS('Comp2016-2017 (3)'!$G$5:$G$289,'Comp2016-2017 (3)'!$A$5:$A$289,$D540,'Comp2016-2017 (3)'!$R$5:$R$289,$V540)*$AB540))</f>
        <v>0</v>
      </c>
      <c r="AG540" s="2">
        <f>IF($W540=AG$3,$AB540,IF(NOT($W540=0),"",SUMIFS('Val-Vol (2)'!AG$4:AG$1116,'Val-Vol (2)'!$A$4:$A$1116,$D540,'Val-Vol (2)'!$V$4:$V$1116,$V540)/SUMIFS('Comp2016-2017 (3)'!$G$5:$G$289,'Comp2016-2017 (3)'!$A$5:$A$289,$D540,'Comp2016-2017 (3)'!$R$5:$R$289,$V540)*$AB540))</f>
        <v>0</v>
      </c>
      <c r="AH540" s="2">
        <f>IF($W540=AH$3,$AB540,IF(NOT($W540=0),"",SUMIFS('Val-Vol (2)'!AH$4:AH$1116,'Val-Vol (2)'!$A$4:$A$1116,$D540,'Val-Vol (2)'!$V$4:$V$1116,$V540)/SUMIFS('Comp2016-2017 (3)'!$G$5:$G$289,'Comp2016-2017 (3)'!$A$5:$A$289,$D540,'Comp2016-2017 (3)'!$R$5:$R$289,$V540)*$AB540))</f>
        <v>0</v>
      </c>
      <c r="AI540" s="2">
        <f>IF($W540=AI$3,$AB540,IF(NOT($W540=0),"",SUMIFS('Val-Vol (2)'!AI$4:AI$1116,'Val-Vol (2)'!$A$4:$A$1116,$D540,'Val-Vol (2)'!$V$4:$V$1116,$V540)/SUMIFS('Comp2016-2017 (3)'!$G$5:$G$289,'Comp2016-2017 (3)'!$A$5:$A$289,$D540,'Comp2016-2017 (3)'!$R$5:$R$289,$V540)*$AB540))</f>
        <v>0</v>
      </c>
      <c r="AJ540" s="2">
        <f>IF($W540=AJ$3,$AB540,IF(NOT($W540=0),"",SUMIFS('Val-Vol (2)'!AJ$4:AJ$1116,'Val-Vol (2)'!$A$4:$A$1116,$D540,'Val-Vol (2)'!$V$4:$V$1116,$V540)/SUMIFS('Comp2016-2017 (3)'!$G$5:$G$289,'Comp2016-2017 (3)'!$A$5:$A$289,$D540,'Comp2016-2017 (3)'!$R$5:$R$289,$V540)*$AB540))</f>
        <v>0</v>
      </c>
      <c r="AK540" s="2">
        <f t="shared" si="60"/>
        <v>0</v>
      </c>
      <c r="AL540" t="str">
        <f t="shared" si="62"/>
        <v/>
      </c>
      <c r="AM540" t="str">
        <f>VLOOKUP(A540,'Table corresp.'!$M$4:$U$63,8,FALSE)</f>
        <v>Production intermédiaire</v>
      </c>
      <c r="AN540" t="str">
        <f>VLOOKUP(D540,'Table corresp.'!$M$4:$U$63,9,FALSE)</f>
        <v>Production intermédiaire</v>
      </c>
    </row>
    <row r="541" spans="1:40" x14ac:dyDescent="0.25">
      <c r="A541" t="s">
        <v>9</v>
      </c>
      <c r="B541" t="str">
        <f>VLOOKUP(LEFT(A541,3),'Table corresp.'!$A$4:$D$63,3,FALSE)</f>
        <v>Transformation</v>
      </c>
      <c r="C541" t="str">
        <f>VLOOKUP(A541,'Table corresp.'!$M$4:$P$63,4,FALSE)</f>
        <v>Production et transformation de produits bois</v>
      </c>
      <c r="D541" t="s">
        <v>85</v>
      </c>
      <c r="E541" t="str">
        <f>VLOOKUP(LEFT(D541,3),'Table corresp.'!$A$4:$D$63,4,FALSE)</f>
        <v>Transformation</v>
      </c>
      <c r="F541" t="str">
        <f t="shared" si="61"/>
        <v xml:space="preserve">15  - 29 </v>
      </c>
      <c r="G541" s="3">
        <v>1153.9448439335565</v>
      </c>
      <c r="H541" s="3">
        <v>0</v>
      </c>
      <c r="I541" s="3">
        <v>1153.9448928974321</v>
      </c>
      <c r="J541" s="3">
        <v>11.815285232564801</v>
      </c>
      <c r="K541" s="3">
        <v>0</v>
      </c>
      <c r="L541" s="3">
        <v>11.815285232564801</v>
      </c>
      <c r="M541" s="3">
        <v>0</v>
      </c>
      <c r="N541" s="3">
        <v>0</v>
      </c>
      <c r="O541" s="3">
        <v>0</v>
      </c>
      <c r="P541" s="3">
        <v>0</v>
      </c>
      <c r="Q541" s="3">
        <v>0</v>
      </c>
      <c r="R541" s="3">
        <v>0</v>
      </c>
      <c r="S541" s="67"/>
      <c r="T541">
        <f>VLOOKUP(A541,'Groupe de branches'!$Z$27:$AM$86,14,FALSE)</f>
        <v>0</v>
      </c>
      <c r="U541">
        <f>VLOOKUP(D541,'Groupe de branches'!$Z$27:$AM$86,14,FALSE)</f>
        <v>0</v>
      </c>
      <c r="V541">
        <v>2017</v>
      </c>
      <c r="W541" t="str">
        <f>VLOOKUP(D541,'Table corresp.'!$M$4:$S$63,7,FALSE)</f>
        <v>Construction</v>
      </c>
      <c r="X541" s="167">
        <f>IFERROR(G541/SUMIFS('Comp2016-2017 (3)'!$I$5:$I$289,'Comp2016-2017 (3)'!$A$5:$A$289,A541,'Comp2016-2017 (3)'!$R$5:$R$289,V541),0)</f>
        <v>4.6150733155204075E-3</v>
      </c>
      <c r="Y541" s="190">
        <f>IFERROR(IF(RIGHT(F541,3)="Exp",VLOOKUP(F541,#REF!,2,FALSE),VLOOKUP(F541,#REF!,9,FALSE)),1)</f>
        <v>1</v>
      </c>
      <c r="Z541" s="167">
        <f t="shared" si="64"/>
        <v>9.0909090909090912E-2</v>
      </c>
      <c r="AA541" s="189">
        <f t="shared" si="63"/>
        <v>4.195521195927643E-4</v>
      </c>
      <c r="AB541" s="2">
        <f>IFERROR(SUMIFS('Comp2016-2017 (3)'!$G$5:$G$289,'Comp2016-2017 (3)'!$A$5:$A$289,A541,'Comp2016-2017 (3)'!$R$5:$R$289,V541)*AA541/SUMIFS($AA$4:$AA$1116,$A$4:$A$1116,A541,$V$4:$V$1116,V541),0)</f>
        <v>253.60963845765588</v>
      </c>
      <c r="AC541" s="2" t="str">
        <f>IF($W541=AC$3,$AB541,IF(NOT($W541=0),"",SUMIFS('Val-Vol (2)'!AC$4:AC$1116,'Val-Vol (2)'!$A$4:$A$1116,$D541,'Val-Vol (2)'!$V$4:$V$1116,$V541)/SUMIFS('Comp2016-2017 (3)'!$G$5:$G$289,'Comp2016-2017 (3)'!$A$5:$A$289,$D541,'Comp2016-2017 (3)'!$R$5:$R$289,$V541)*$AB541))</f>
        <v/>
      </c>
      <c r="AD541" s="2">
        <f>IF($W541=AD$3,$AB541,IF(NOT($W541=0),"",SUMIFS('Val-Vol (2)'!AD$4:AD$1116,'Val-Vol (2)'!$A$4:$A$1116,$D541,'Val-Vol (2)'!$V$4:$V$1116,$V541)/SUMIFS('Comp2016-2017 (3)'!$G$5:$G$289,'Comp2016-2017 (3)'!$A$5:$A$289,$D541,'Comp2016-2017 (3)'!$R$5:$R$289,$V541)*$AB541))</f>
        <v>253.60963845765588</v>
      </c>
      <c r="AE541" s="2" t="str">
        <f>IF($W541=AE$3,$AB541,IF(NOT($W541=0),"",SUMIFS('Val-Vol (2)'!AE$4:AE$1116,'Val-Vol (2)'!$A$4:$A$1116,$D541,'Val-Vol (2)'!$V$4:$V$1116,$V541)/SUMIFS('Comp2016-2017 (3)'!$G$5:$G$289,'Comp2016-2017 (3)'!$A$5:$A$289,$D541,'Comp2016-2017 (3)'!$R$5:$R$289,$V541)*$AB541))</f>
        <v/>
      </c>
      <c r="AF541" s="2" t="str">
        <f>IF($W541=AF$3,$AB541,IF(NOT($W541=0),"",SUMIFS('Val-Vol (2)'!AF$4:AF$1116,'Val-Vol (2)'!$A$4:$A$1116,$D541,'Val-Vol (2)'!$V$4:$V$1116,$V541)/SUMIFS('Comp2016-2017 (3)'!$G$5:$G$289,'Comp2016-2017 (3)'!$A$5:$A$289,$D541,'Comp2016-2017 (3)'!$R$5:$R$289,$V541)*$AB541))</f>
        <v/>
      </c>
      <c r="AG541" s="2" t="str">
        <f>IF($W541=AG$3,$AB541,IF(NOT($W541=0),"",SUMIFS('Val-Vol (2)'!AG$4:AG$1116,'Val-Vol (2)'!$A$4:$A$1116,$D541,'Val-Vol (2)'!$V$4:$V$1116,$V541)/SUMIFS('Comp2016-2017 (3)'!$G$5:$G$289,'Comp2016-2017 (3)'!$A$5:$A$289,$D541,'Comp2016-2017 (3)'!$R$5:$R$289,$V541)*$AB541))</f>
        <v/>
      </c>
      <c r="AH541" s="2" t="str">
        <f>IF($W541=AH$3,$AB541,IF(NOT($W541=0),"",SUMIFS('Val-Vol (2)'!AH$4:AH$1116,'Val-Vol (2)'!$A$4:$A$1116,$D541,'Val-Vol (2)'!$V$4:$V$1116,$V541)/SUMIFS('Comp2016-2017 (3)'!$G$5:$G$289,'Comp2016-2017 (3)'!$A$5:$A$289,$D541,'Comp2016-2017 (3)'!$R$5:$R$289,$V541)*$AB541))</f>
        <v/>
      </c>
      <c r="AI541" s="2" t="str">
        <f>IF($W541=AI$3,$AB541,IF(NOT($W541=0),"",SUMIFS('Val-Vol (2)'!AI$4:AI$1116,'Val-Vol (2)'!$A$4:$A$1116,$D541,'Val-Vol (2)'!$V$4:$V$1116,$V541)/SUMIFS('Comp2016-2017 (3)'!$G$5:$G$289,'Comp2016-2017 (3)'!$A$5:$A$289,$D541,'Comp2016-2017 (3)'!$R$5:$R$289,$V541)*$AB541))</f>
        <v/>
      </c>
      <c r="AJ541" s="2" t="str">
        <f>IF($W541=AJ$3,$AB541,IF(NOT($W541=0),"",SUMIFS('Val-Vol (2)'!AJ$4:AJ$1116,'Val-Vol (2)'!$A$4:$A$1116,$D541,'Val-Vol (2)'!$V$4:$V$1116,$V541)/SUMIFS('Comp2016-2017 (3)'!$G$5:$G$289,'Comp2016-2017 (3)'!$A$5:$A$289,$D541,'Comp2016-2017 (3)'!$R$5:$R$289,$V541)*$AB541))</f>
        <v/>
      </c>
      <c r="AK541" s="2">
        <f t="shared" si="60"/>
        <v>0</v>
      </c>
      <c r="AL541" t="str">
        <f t="shared" si="62"/>
        <v/>
      </c>
      <c r="AM541" t="str">
        <f>VLOOKUP(A541,'Table corresp.'!$M$4:$U$63,8,FALSE)</f>
        <v>Production intermédiaire</v>
      </c>
      <c r="AN541" t="str">
        <f>VLOOKUP(D541,'Table corresp.'!$M$4:$U$63,9,FALSE)</f>
        <v>Production intermédiaire</v>
      </c>
    </row>
    <row r="542" spans="1:40" x14ac:dyDescent="0.25">
      <c r="A542" t="s">
        <v>9</v>
      </c>
      <c r="B542" t="str">
        <f>VLOOKUP(LEFT(A542,3),'Table corresp.'!$A$4:$D$63,3,FALSE)</f>
        <v>Transformation</v>
      </c>
      <c r="C542" t="str">
        <f>VLOOKUP(A542,'Table corresp.'!$M$4:$P$63,4,FALSE)</f>
        <v>Production et transformation de produits bois</v>
      </c>
      <c r="D542" t="s">
        <v>91</v>
      </c>
      <c r="E542" t="str">
        <f>VLOOKUP(LEFT(D542,3),'Table corresp.'!$A$4:$D$63,4,FALSE)</f>
        <v>Transformation</v>
      </c>
      <c r="F542" t="str">
        <f t="shared" si="61"/>
        <v xml:space="preserve">15  - 37 </v>
      </c>
      <c r="G542" s="3">
        <v>120771.71408753489</v>
      </c>
      <c r="H542" s="3">
        <v>0</v>
      </c>
      <c r="I542" s="3">
        <v>120771.7192120876</v>
      </c>
      <c r="J542" s="3">
        <v>1715.7633289337364</v>
      </c>
      <c r="K542" s="3">
        <v>0</v>
      </c>
      <c r="L542" s="3">
        <v>1715.7633289337364</v>
      </c>
      <c r="M542" s="3">
        <v>0</v>
      </c>
      <c r="N542" s="3">
        <v>0</v>
      </c>
      <c r="O542" s="3">
        <v>0</v>
      </c>
      <c r="P542" s="3">
        <v>0</v>
      </c>
      <c r="Q542" s="3">
        <v>0</v>
      </c>
      <c r="R542" s="3">
        <v>0</v>
      </c>
      <c r="S542" s="67"/>
      <c r="T542">
        <f>VLOOKUP(A542,'Groupe de branches'!$Z$27:$AM$86,14,FALSE)</f>
        <v>0</v>
      </c>
      <c r="U542">
        <f>VLOOKUP(D542,'Groupe de branches'!$Z$27:$AM$86,14,FALSE)</f>
        <v>0</v>
      </c>
      <c r="V542">
        <v>2017</v>
      </c>
      <c r="W542" t="str">
        <f>VLOOKUP(D542,'Table corresp.'!$M$4:$S$63,7,FALSE)</f>
        <v>Emballage bois et carton</v>
      </c>
      <c r="X542" s="167">
        <f>IFERROR(G542/SUMIFS('Comp2016-2017 (3)'!$I$5:$I$289,'Comp2016-2017 (3)'!$A$5:$A$289,A542,'Comp2016-2017 (3)'!$R$5:$R$289,V542),0)</f>
        <v>0.48301296018194728</v>
      </c>
      <c r="Y542" s="190">
        <f>IFERROR(IF(RIGHT(F542,3)="Exp",VLOOKUP(F542,#REF!,2,FALSE),VLOOKUP(F542,#REF!,9,FALSE)),1)</f>
        <v>1</v>
      </c>
      <c r="Z542" s="167">
        <f t="shared" si="64"/>
        <v>9.0909090909090912E-2</v>
      </c>
      <c r="AA542" s="189">
        <f t="shared" si="63"/>
        <v>4.3910269107449752E-2</v>
      </c>
      <c r="AB542" s="2">
        <f>IFERROR(SUMIFS('Comp2016-2017 (3)'!$G$5:$G$289,'Comp2016-2017 (3)'!$A$5:$A$289,A542,'Comp2016-2017 (3)'!$R$5:$R$289,V542)*AA542/SUMIFS($AA$4:$AA$1116,$A$4:$A$1116,A542,$V$4:$V$1116,V542),0)</f>
        <v>26542.751073997344</v>
      </c>
      <c r="AC542" s="2" t="str">
        <f>IF($W542=AC$3,$AB542,IF(NOT($W542=0),"",SUMIFS('Val-Vol (2)'!AC$4:AC$1116,'Val-Vol (2)'!$A$4:$A$1116,$D542,'Val-Vol (2)'!$V$4:$V$1116,$V542)/SUMIFS('Comp2016-2017 (3)'!$G$5:$G$289,'Comp2016-2017 (3)'!$A$5:$A$289,$D542,'Comp2016-2017 (3)'!$R$5:$R$289,$V542)*$AB542))</f>
        <v/>
      </c>
      <c r="AD542" s="2" t="str">
        <f>IF($W542=AD$3,$AB542,IF(NOT($W542=0),"",SUMIFS('Val-Vol (2)'!AD$4:AD$1116,'Val-Vol (2)'!$A$4:$A$1116,$D542,'Val-Vol (2)'!$V$4:$V$1116,$V542)/SUMIFS('Comp2016-2017 (3)'!$G$5:$G$289,'Comp2016-2017 (3)'!$A$5:$A$289,$D542,'Comp2016-2017 (3)'!$R$5:$R$289,$V542)*$AB542))</f>
        <v/>
      </c>
      <c r="AE542" s="2" t="str">
        <f>IF($W542=AE$3,$AB542,IF(NOT($W542=0),"",SUMIFS('Val-Vol (2)'!AE$4:AE$1116,'Val-Vol (2)'!$A$4:$A$1116,$D542,'Val-Vol (2)'!$V$4:$V$1116,$V542)/SUMIFS('Comp2016-2017 (3)'!$G$5:$G$289,'Comp2016-2017 (3)'!$A$5:$A$289,$D542,'Comp2016-2017 (3)'!$R$5:$R$289,$V542)*$AB542))</f>
        <v/>
      </c>
      <c r="AF542" s="2" t="str">
        <f>IF($W542=AF$3,$AB542,IF(NOT($W542=0),"",SUMIFS('Val-Vol (2)'!AF$4:AF$1116,'Val-Vol (2)'!$A$4:$A$1116,$D542,'Val-Vol (2)'!$V$4:$V$1116,$V542)/SUMIFS('Comp2016-2017 (3)'!$G$5:$G$289,'Comp2016-2017 (3)'!$A$5:$A$289,$D542,'Comp2016-2017 (3)'!$R$5:$R$289,$V542)*$AB542))</f>
        <v/>
      </c>
      <c r="AG542" s="2">
        <f>IF($W542=AG$3,$AB542,IF(NOT($W542=0),"",SUMIFS('Val-Vol (2)'!AG$4:AG$1116,'Val-Vol (2)'!$A$4:$A$1116,$D542,'Val-Vol (2)'!$V$4:$V$1116,$V542)/SUMIFS('Comp2016-2017 (3)'!$G$5:$G$289,'Comp2016-2017 (3)'!$A$5:$A$289,$D542,'Comp2016-2017 (3)'!$R$5:$R$289,$V542)*$AB542))</f>
        <v>26542.751073997344</v>
      </c>
      <c r="AH542" s="2" t="str">
        <f>IF($W542=AH$3,$AB542,IF(NOT($W542=0),"",SUMIFS('Val-Vol (2)'!AH$4:AH$1116,'Val-Vol (2)'!$A$4:$A$1116,$D542,'Val-Vol (2)'!$V$4:$V$1116,$V542)/SUMIFS('Comp2016-2017 (3)'!$G$5:$G$289,'Comp2016-2017 (3)'!$A$5:$A$289,$D542,'Comp2016-2017 (3)'!$R$5:$R$289,$V542)*$AB542))</f>
        <v/>
      </c>
      <c r="AI542" s="2" t="str">
        <f>IF($W542=AI$3,$AB542,IF(NOT($W542=0),"",SUMIFS('Val-Vol (2)'!AI$4:AI$1116,'Val-Vol (2)'!$A$4:$A$1116,$D542,'Val-Vol (2)'!$V$4:$V$1116,$V542)/SUMIFS('Comp2016-2017 (3)'!$G$5:$G$289,'Comp2016-2017 (3)'!$A$5:$A$289,$D542,'Comp2016-2017 (3)'!$R$5:$R$289,$V542)*$AB542))</f>
        <v/>
      </c>
      <c r="AJ542" s="2" t="str">
        <f>IF($W542=AJ$3,$AB542,IF(NOT($W542=0),"",SUMIFS('Val-Vol (2)'!AJ$4:AJ$1116,'Val-Vol (2)'!$A$4:$A$1116,$D542,'Val-Vol (2)'!$V$4:$V$1116,$V542)/SUMIFS('Comp2016-2017 (3)'!$G$5:$G$289,'Comp2016-2017 (3)'!$A$5:$A$289,$D542,'Comp2016-2017 (3)'!$R$5:$R$289,$V542)*$AB542))</f>
        <v/>
      </c>
      <c r="AK542" s="2">
        <f t="shared" si="60"/>
        <v>0</v>
      </c>
      <c r="AL542" t="str">
        <f t="shared" si="62"/>
        <v/>
      </c>
      <c r="AM542" t="str">
        <f>VLOOKUP(A542,'Table corresp.'!$M$4:$U$63,8,FALSE)</f>
        <v>Production intermédiaire</v>
      </c>
      <c r="AN542" t="str">
        <f>VLOOKUP(D542,'Table corresp.'!$M$4:$U$63,9,FALSE)</f>
        <v>Production finale</v>
      </c>
    </row>
    <row r="543" spans="1:40" x14ac:dyDescent="0.25">
      <c r="A543" t="s">
        <v>9</v>
      </c>
      <c r="B543" t="str">
        <f>VLOOKUP(LEFT(A543,3),'Table corresp.'!$A$4:$D$63,3,FALSE)</f>
        <v>Transformation</v>
      </c>
      <c r="C543" t="str">
        <f>VLOOKUP(A543,'Table corresp.'!$M$4:$P$63,4,FALSE)</f>
        <v>Production et transformation de produits bois</v>
      </c>
      <c r="D543" t="s">
        <v>92</v>
      </c>
      <c r="E543" t="str">
        <f>VLOOKUP(LEFT(D543,3),'Table corresp.'!$A$4:$D$63,4,FALSE)</f>
        <v>Transformation</v>
      </c>
      <c r="F543" t="str">
        <f t="shared" si="61"/>
        <v xml:space="preserve">15  - 40 </v>
      </c>
      <c r="G543" s="3">
        <v>1865.5548829610586</v>
      </c>
      <c r="H543" s="3">
        <v>0</v>
      </c>
      <c r="I543" s="3">
        <v>1865.554962119779</v>
      </c>
      <c r="J543" s="3">
        <v>19.778592509616505</v>
      </c>
      <c r="K543" s="3">
        <v>0</v>
      </c>
      <c r="L543" s="3">
        <v>19.778592509616505</v>
      </c>
      <c r="M543" s="3">
        <v>0</v>
      </c>
      <c r="N543" s="3">
        <v>0</v>
      </c>
      <c r="O543" s="3">
        <v>0</v>
      </c>
      <c r="P543" s="3">
        <v>0</v>
      </c>
      <c r="Q543" s="3">
        <v>0</v>
      </c>
      <c r="R543" s="3">
        <v>0</v>
      </c>
      <c r="S543" s="67"/>
      <c r="T543">
        <f>VLOOKUP(A543,'Groupe de branches'!$Z$27:$AM$86,14,FALSE)</f>
        <v>0</v>
      </c>
      <c r="U543">
        <f>VLOOKUP(D543,'Groupe de branches'!$Z$27:$AM$86,14,FALSE)</f>
        <v>0</v>
      </c>
      <c r="V543">
        <v>2017</v>
      </c>
      <c r="W543" t="str">
        <f>VLOOKUP(D543,'Table corresp.'!$M$4:$S$63,7,FALSE)</f>
        <v>Construction</v>
      </c>
      <c r="X543" s="167">
        <f>IFERROR(G543/SUMIFS('Comp2016-2017 (3)'!$I$5:$I$289,'Comp2016-2017 (3)'!$A$5:$A$289,A543,'Comp2016-2017 (3)'!$R$5:$R$289,V543),0)</f>
        <v>7.4610780612735404E-3</v>
      </c>
      <c r="Y543" s="190">
        <f>IFERROR(IF(RIGHT(F543,3)="Exp",VLOOKUP(F543,#REF!,2,FALSE),VLOOKUP(F543,#REF!,9,FALSE)),1)</f>
        <v>1</v>
      </c>
      <c r="Z543" s="167">
        <f t="shared" si="64"/>
        <v>9.0909090909090912E-2</v>
      </c>
      <c r="AA543" s="189">
        <f t="shared" si="63"/>
        <v>6.7827982375214002E-4</v>
      </c>
      <c r="AB543" s="2">
        <f>IFERROR(SUMIFS('Comp2016-2017 (3)'!$G$5:$G$289,'Comp2016-2017 (3)'!$A$5:$A$289,A543,'Comp2016-2017 (3)'!$R$5:$R$289,V543)*AA543/SUMIFS($AA$4:$AA$1116,$A$4:$A$1116,A543,$V$4:$V$1116,V543),0)</f>
        <v>410.0046045336901</v>
      </c>
      <c r="AC543" s="2" t="str">
        <f>IF($W543=AC$3,$AB543,IF(NOT($W543=0),"",SUMIFS('Val-Vol (2)'!AC$4:AC$1116,'Val-Vol (2)'!$A$4:$A$1116,$D543,'Val-Vol (2)'!$V$4:$V$1116,$V543)/SUMIFS('Comp2016-2017 (3)'!$G$5:$G$289,'Comp2016-2017 (3)'!$A$5:$A$289,$D543,'Comp2016-2017 (3)'!$R$5:$R$289,$V543)*$AB543))</f>
        <v/>
      </c>
      <c r="AD543" s="2">
        <f>IF($W543=AD$3,$AB543,IF(NOT($W543=0),"",SUMIFS('Val-Vol (2)'!AD$4:AD$1116,'Val-Vol (2)'!$A$4:$A$1116,$D543,'Val-Vol (2)'!$V$4:$V$1116,$V543)/SUMIFS('Comp2016-2017 (3)'!$G$5:$G$289,'Comp2016-2017 (3)'!$A$5:$A$289,$D543,'Comp2016-2017 (3)'!$R$5:$R$289,$V543)*$AB543))</f>
        <v>410.0046045336901</v>
      </c>
      <c r="AE543" s="2" t="str">
        <f>IF($W543=AE$3,$AB543,IF(NOT($W543=0),"",SUMIFS('Val-Vol (2)'!AE$4:AE$1116,'Val-Vol (2)'!$A$4:$A$1116,$D543,'Val-Vol (2)'!$V$4:$V$1116,$V543)/SUMIFS('Comp2016-2017 (3)'!$G$5:$G$289,'Comp2016-2017 (3)'!$A$5:$A$289,$D543,'Comp2016-2017 (3)'!$R$5:$R$289,$V543)*$AB543))</f>
        <v/>
      </c>
      <c r="AF543" s="2" t="str">
        <f>IF($W543=AF$3,$AB543,IF(NOT($W543=0),"",SUMIFS('Val-Vol (2)'!AF$4:AF$1116,'Val-Vol (2)'!$A$4:$A$1116,$D543,'Val-Vol (2)'!$V$4:$V$1116,$V543)/SUMIFS('Comp2016-2017 (3)'!$G$5:$G$289,'Comp2016-2017 (3)'!$A$5:$A$289,$D543,'Comp2016-2017 (3)'!$R$5:$R$289,$V543)*$AB543))</f>
        <v/>
      </c>
      <c r="AG543" s="2" t="str">
        <f>IF($W543=AG$3,$AB543,IF(NOT($W543=0),"",SUMIFS('Val-Vol (2)'!AG$4:AG$1116,'Val-Vol (2)'!$A$4:$A$1116,$D543,'Val-Vol (2)'!$V$4:$V$1116,$V543)/SUMIFS('Comp2016-2017 (3)'!$G$5:$G$289,'Comp2016-2017 (3)'!$A$5:$A$289,$D543,'Comp2016-2017 (3)'!$R$5:$R$289,$V543)*$AB543))</f>
        <v/>
      </c>
      <c r="AH543" s="2" t="str">
        <f>IF($W543=AH$3,$AB543,IF(NOT($W543=0),"",SUMIFS('Val-Vol (2)'!AH$4:AH$1116,'Val-Vol (2)'!$A$4:$A$1116,$D543,'Val-Vol (2)'!$V$4:$V$1116,$V543)/SUMIFS('Comp2016-2017 (3)'!$G$5:$G$289,'Comp2016-2017 (3)'!$A$5:$A$289,$D543,'Comp2016-2017 (3)'!$R$5:$R$289,$V543)*$AB543))</f>
        <v/>
      </c>
      <c r="AI543" s="2" t="str">
        <f>IF($W543=AI$3,$AB543,IF(NOT($W543=0),"",SUMIFS('Val-Vol (2)'!AI$4:AI$1116,'Val-Vol (2)'!$A$4:$A$1116,$D543,'Val-Vol (2)'!$V$4:$V$1116,$V543)/SUMIFS('Comp2016-2017 (3)'!$G$5:$G$289,'Comp2016-2017 (3)'!$A$5:$A$289,$D543,'Comp2016-2017 (3)'!$R$5:$R$289,$V543)*$AB543))</f>
        <v/>
      </c>
      <c r="AJ543" s="2" t="str">
        <f>IF($W543=AJ$3,$AB543,IF(NOT($W543=0),"",SUMIFS('Val-Vol (2)'!AJ$4:AJ$1116,'Val-Vol (2)'!$A$4:$A$1116,$D543,'Val-Vol (2)'!$V$4:$V$1116,$V543)/SUMIFS('Comp2016-2017 (3)'!$G$5:$G$289,'Comp2016-2017 (3)'!$A$5:$A$289,$D543,'Comp2016-2017 (3)'!$R$5:$R$289,$V543)*$AB543))</f>
        <v/>
      </c>
      <c r="AK543" s="2">
        <f t="shared" si="60"/>
        <v>0</v>
      </c>
      <c r="AL543" t="str">
        <f t="shared" si="62"/>
        <v/>
      </c>
      <c r="AM543" t="str">
        <f>VLOOKUP(A543,'Table corresp.'!$M$4:$U$63,8,FALSE)</f>
        <v>Production intermédiaire</v>
      </c>
      <c r="AN543" t="str">
        <f>VLOOKUP(D543,'Table corresp.'!$M$4:$U$63,9,FALSE)</f>
        <v>Production finale</v>
      </c>
    </row>
    <row r="544" spans="1:40" x14ac:dyDescent="0.25">
      <c r="A544" t="s">
        <v>9</v>
      </c>
      <c r="B544" t="str">
        <f>VLOOKUP(LEFT(A544,3),'Table corresp.'!$A$4:$D$63,3,FALSE)</f>
        <v>Transformation</v>
      </c>
      <c r="C544" t="str">
        <f>VLOOKUP(A544,'Table corresp.'!$M$4:$P$63,4,FALSE)</f>
        <v>Production et transformation de produits bois</v>
      </c>
      <c r="D544" t="s">
        <v>19</v>
      </c>
      <c r="E544" t="str">
        <f>VLOOKUP(LEFT(D544,3),'Table corresp.'!$A$4:$D$63,4,FALSE)</f>
        <v>Transformation</v>
      </c>
      <c r="F544" t="str">
        <f t="shared" si="61"/>
        <v xml:space="preserve">15  - 52 </v>
      </c>
      <c r="G544" s="3">
        <v>791.67895459849638</v>
      </c>
      <c r="H544" s="3">
        <v>0</v>
      </c>
      <c r="I544" s="3">
        <v>791.67898819080358</v>
      </c>
      <c r="J544" s="3">
        <v>9.9974382162158797</v>
      </c>
      <c r="K544" s="3">
        <v>0</v>
      </c>
      <c r="L544" s="3">
        <v>9.9974382162158797</v>
      </c>
      <c r="M544" s="3">
        <v>0</v>
      </c>
      <c r="N544" s="3">
        <v>0</v>
      </c>
      <c r="O544" s="3">
        <v>0</v>
      </c>
      <c r="P544" s="3">
        <v>0</v>
      </c>
      <c r="Q544" s="3">
        <v>0</v>
      </c>
      <c r="R544" s="3">
        <v>0</v>
      </c>
      <c r="S544" s="67"/>
      <c r="T544">
        <f>VLOOKUP(A544,'Groupe de branches'!$Z$27:$AM$86,14,FALSE)</f>
        <v>0</v>
      </c>
      <c r="U544">
        <f>VLOOKUP(D544,'Groupe de branches'!$Z$27:$AM$86,14,FALSE)</f>
        <v>0</v>
      </c>
      <c r="V544">
        <v>2017</v>
      </c>
      <c r="W544" t="str">
        <f>VLOOKUP(D544,'Table corresp.'!$M$4:$S$63,7,FALSE)</f>
        <v>Construction</v>
      </c>
      <c r="X544" s="167">
        <f>IFERROR(G544/SUMIFS('Comp2016-2017 (3)'!$I$5:$I$289,'Comp2016-2017 (3)'!$A$5:$A$289,A544,'Comp2016-2017 (3)'!$R$5:$R$289,V544),0)</f>
        <v>3.1662314165485264E-3</v>
      </c>
      <c r="Y544" s="190">
        <f>IFERROR(IF(RIGHT(F544,3)="Exp",VLOOKUP(F544,#REF!,2,FALSE),VLOOKUP(F544,#REF!,9,FALSE)),1)</f>
        <v>1</v>
      </c>
      <c r="Z544" s="167">
        <f t="shared" si="64"/>
        <v>9.0909090909090912E-2</v>
      </c>
      <c r="AA544" s="189">
        <f t="shared" si="63"/>
        <v>2.8783921968622968E-4</v>
      </c>
      <c r="AB544" s="2">
        <f>IFERROR(SUMIFS('Comp2016-2017 (3)'!$G$5:$G$289,'Comp2016-2017 (3)'!$A$5:$A$289,A544,'Comp2016-2017 (3)'!$R$5:$R$289,V544)*AA544/SUMIFS($AA$4:$AA$1116,$A$4:$A$1116,A544,$V$4:$V$1116,V544),0)</f>
        <v>173.99220985801318</v>
      </c>
      <c r="AC544" s="2" t="str">
        <f>IF($W544=AC$3,$AB544,IF(NOT($W544=0),"",SUMIFS('Val-Vol (2)'!AC$4:AC$1116,'Val-Vol (2)'!$A$4:$A$1116,$D544,'Val-Vol (2)'!$V$4:$V$1116,$V544)/SUMIFS('Comp2016-2017 (3)'!$G$5:$G$289,'Comp2016-2017 (3)'!$A$5:$A$289,$D544,'Comp2016-2017 (3)'!$R$5:$R$289,$V544)*$AB544))</f>
        <v/>
      </c>
      <c r="AD544" s="2">
        <f>IF($W544=AD$3,$AB544,IF(NOT($W544=0),"",SUMIFS('Val-Vol (2)'!AD$4:AD$1116,'Val-Vol (2)'!$A$4:$A$1116,$D544,'Val-Vol (2)'!$V$4:$V$1116,$V544)/SUMIFS('Comp2016-2017 (3)'!$G$5:$G$289,'Comp2016-2017 (3)'!$A$5:$A$289,$D544,'Comp2016-2017 (3)'!$R$5:$R$289,$V544)*$AB544))</f>
        <v>173.99220985801318</v>
      </c>
      <c r="AE544" s="2" t="str">
        <f>IF($W544=AE$3,$AB544,IF(NOT($W544=0),"",SUMIFS('Val-Vol (2)'!AE$4:AE$1116,'Val-Vol (2)'!$A$4:$A$1116,$D544,'Val-Vol (2)'!$V$4:$V$1116,$V544)/SUMIFS('Comp2016-2017 (3)'!$G$5:$G$289,'Comp2016-2017 (3)'!$A$5:$A$289,$D544,'Comp2016-2017 (3)'!$R$5:$R$289,$V544)*$AB544))</f>
        <v/>
      </c>
      <c r="AF544" s="2" t="str">
        <f>IF($W544=AF$3,$AB544,IF(NOT($W544=0),"",SUMIFS('Val-Vol (2)'!AF$4:AF$1116,'Val-Vol (2)'!$A$4:$A$1116,$D544,'Val-Vol (2)'!$V$4:$V$1116,$V544)/SUMIFS('Comp2016-2017 (3)'!$G$5:$G$289,'Comp2016-2017 (3)'!$A$5:$A$289,$D544,'Comp2016-2017 (3)'!$R$5:$R$289,$V544)*$AB544))</f>
        <v/>
      </c>
      <c r="AG544" s="2" t="str">
        <f>IF($W544=AG$3,$AB544,IF(NOT($W544=0),"",SUMIFS('Val-Vol (2)'!AG$4:AG$1116,'Val-Vol (2)'!$A$4:$A$1116,$D544,'Val-Vol (2)'!$V$4:$V$1116,$V544)/SUMIFS('Comp2016-2017 (3)'!$G$5:$G$289,'Comp2016-2017 (3)'!$A$5:$A$289,$D544,'Comp2016-2017 (3)'!$R$5:$R$289,$V544)*$AB544))</f>
        <v/>
      </c>
      <c r="AH544" s="2" t="str">
        <f>IF($W544=AH$3,$AB544,IF(NOT($W544=0),"",SUMIFS('Val-Vol (2)'!AH$4:AH$1116,'Val-Vol (2)'!$A$4:$A$1116,$D544,'Val-Vol (2)'!$V$4:$V$1116,$V544)/SUMIFS('Comp2016-2017 (3)'!$G$5:$G$289,'Comp2016-2017 (3)'!$A$5:$A$289,$D544,'Comp2016-2017 (3)'!$R$5:$R$289,$V544)*$AB544))</f>
        <v/>
      </c>
      <c r="AI544" s="2" t="str">
        <f>IF($W544=AI$3,$AB544,IF(NOT($W544=0),"",SUMIFS('Val-Vol (2)'!AI$4:AI$1116,'Val-Vol (2)'!$A$4:$A$1116,$D544,'Val-Vol (2)'!$V$4:$V$1116,$V544)/SUMIFS('Comp2016-2017 (3)'!$G$5:$G$289,'Comp2016-2017 (3)'!$A$5:$A$289,$D544,'Comp2016-2017 (3)'!$R$5:$R$289,$V544)*$AB544))</f>
        <v/>
      </c>
      <c r="AJ544" s="2" t="str">
        <f>IF($W544=AJ$3,$AB544,IF(NOT($W544=0),"",SUMIFS('Val-Vol (2)'!AJ$4:AJ$1116,'Val-Vol (2)'!$A$4:$A$1116,$D544,'Val-Vol (2)'!$V$4:$V$1116,$V544)/SUMIFS('Comp2016-2017 (3)'!$G$5:$G$289,'Comp2016-2017 (3)'!$A$5:$A$289,$D544,'Comp2016-2017 (3)'!$R$5:$R$289,$V544)*$AB544))</f>
        <v/>
      </c>
      <c r="AK544" s="2">
        <f t="shared" si="60"/>
        <v>0</v>
      </c>
      <c r="AL544" t="str">
        <f t="shared" si="62"/>
        <v/>
      </c>
      <c r="AM544" t="str">
        <f>VLOOKUP(A544,'Table corresp.'!$M$4:$U$63,8,FALSE)</f>
        <v>Production intermédiaire</v>
      </c>
      <c r="AN544" t="str">
        <f>VLOOKUP(D544,'Table corresp.'!$M$4:$U$63,9,FALSE)</f>
        <v xml:space="preserve">Mise en œuvre </v>
      </c>
    </row>
    <row r="545" spans="1:40" x14ac:dyDescent="0.25">
      <c r="A545" t="s">
        <v>9</v>
      </c>
      <c r="B545" t="str">
        <f>VLOOKUP(LEFT(A545,3),'Table corresp.'!$A$4:$D$63,3,FALSE)</f>
        <v>Transformation</v>
      </c>
      <c r="C545" t="str">
        <f>VLOOKUP(A545,'Table corresp.'!$M$4:$P$63,4,FALSE)</f>
        <v>Production et transformation de produits bois</v>
      </c>
      <c r="D545" t="s">
        <v>21</v>
      </c>
      <c r="E545" t="str">
        <f>VLOOKUP(LEFT(D545,3),'Table corresp.'!$A$4:$D$63,4,FALSE)</f>
        <v>Transformation</v>
      </c>
      <c r="F545" t="str">
        <f t="shared" si="61"/>
        <v xml:space="preserve">15  - 54 </v>
      </c>
      <c r="G545" s="3">
        <v>2497.9357181597543</v>
      </c>
      <c r="H545" s="3">
        <v>0</v>
      </c>
      <c r="I545" s="3">
        <v>2497.9358241514869</v>
      </c>
      <c r="J545" s="3">
        <v>11.355947801210165</v>
      </c>
      <c r="K545" s="3">
        <v>0</v>
      </c>
      <c r="L545" s="3">
        <v>11.355947801210165</v>
      </c>
      <c r="M545" s="3">
        <v>0</v>
      </c>
      <c r="N545" s="3">
        <v>0</v>
      </c>
      <c r="O545" s="3">
        <v>0</v>
      </c>
      <c r="P545" s="3">
        <v>0</v>
      </c>
      <c r="Q545" s="3">
        <v>0</v>
      </c>
      <c r="R545" s="3">
        <v>0</v>
      </c>
      <c r="S545" s="67"/>
      <c r="T545">
        <f>VLOOKUP(A545,'Groupe de branches'!$Z$27:$AM$86,14,FALSE)</f>
        <v>0</v>
      </c>
      <c r="U545">
        <f>VLOOKUP(D545,'Groupe de branches'!$Z$27:$AM$86,14,FALSE)</f>
        <v>0</v>
      </c>
      <c r="V545">
        <v>2017</v>
      </c>
      <c r="W545" t="str">
        <f>VLOOKUP(D545,'Table corresp.'!$M$4:$S$63,7,FALSE)</f>
        <v>Construction</v>
      </c>
      <c r="X545" s="167">
        <f>IFERROR(G545/SUMIFS('Comp2016-2017 (3)'!$I$5:$I$289,'Comp2016-2017 (3)'!$A$5:$A$289,A545,'Comp2016-2017 (3)'!$R$5:$R$289,V545),0)</f>
        <v>9.9902144694085319E-3</v>
      </c>
      <c r="Y545" s="190">
        <f>IFERROR(IF(RIGHT(F545,3)="Exp",VLOOKUP(F545,#REF!,2,FALSE),VLOOKUP(F545,#REF!,9,FALSE)),1)</f>
        <v>1</v>
      </c>
      <c r="Z545" s="167">
        <f t="shared" si="64"/>
        <v>9.0909090909090912E-2</v>
      </c>
      <c r="AA545" s="189">
        <f t="shared" si="63"/>
        <v>9.0820131540077567E-4</v>
      </c>
      <c r="AB545" s="2">
        <f>IFERROR(SUMIFS('Comp2016-2017 (3)'!$G$5:$G$289,'Comp2016-2017 (3)'!$A$5:$A$289,A545,'Comp2016-2017 (3)'!$R$5:$R$289,V545)*AA545/SUMIFS($AA$4:$AA$1116,$A$4:$A$1116,A545,$V$4:$V$1116,V545),0)</f>
        <v>548.98687550220291</v>
      </c>
      <c r="AC545" s="2" t="str">
        <f>IF($W545=AC$3,$AB545,IF(NOT($W545=0),"",SUMIFS('Val-Vol (2)'!AC$4:AC$1116,'Val-Vol (2)'!$A$4:$A$1116,$D545,'Val-Vol (2)'!$V$4:$V$1116,$V545)/SUMIFS('Comp2016-2017 (3)'!$G$5:$G$289,'Comp2016-2017 (3)'!$A$5:$A$289,$D545,'Comp2016-2017 (3)'!$R$5:$R$289,$V545)*$AB545))</f>
        <v/>
      </c>
      <c r="AD545" s="2">
        <f>IF($W545=AD$3,$AB545,IF(NOT($W545=0),"",SUMIFS('Val-Vol (2)'!AD$4:AD$1116,'Val-Vol (2)'!$A$4:$A$1116,$D545,'Val-Vol (2)'!$V$4:$V$1116,$V545)/SUMIFS('Comp2016-2017 (3)'!$G$5:$G$289,'Comp2016-2017 (3)'!$A$5:$A$289,$D545,'Comp2016-2017 (3)'!$R$5:$R$289,$V545)*$AB545))</f>
        <v>548.98687550220291</v>
      </c>
      <c r="AE545" s="2" t="str">
        <f>IF($W545=AE$3,$AB545,IF(NOT($W545=0),"",SUMIFS('Val-Vol (2)'!AE$4:AE$1116,'Val-Vol (2)'!$A$4:$A$1116,$D545,'Val-Vol (2)'!$V$4:$V$1116,$V545)/SUMIFS('Comp2016-2017 (3)'!$G$5:$G$289,'Comp2016-2017 (3)'!$A$5:$A$289,$D545,'Comp2016-2017 (3)'!$R$5:$R$289,$V545)*$AB545))</f>
        <v/>
      </c>
      <c r="AF545" s="2" t="str">
        <f>IF($W545=AF$3,$AB545,IF(NOT($W545=0),"",SUMIFS('Val-Vol (2)'!AF$4:AF$1116,'Val-Vol (2)'!$A$4:$A$1116,$D545,'Val-Vol (2)'!$V$4:$V$1116,$V545)/SUMIFS('Comp2016-2017 (3)'!$G$5:$G$289,'Comp2016-2017 (3)'!$A$5:$A$289,$D545,'Comp2016-2017 (3)'!$R$5:$R$289,$V545)*$AB545))</f>
        <v/>
      </c>
      <c r="AG545" s="2" t="str">
        <f>IF($W545=AG$3,$AB545,IF(NOT($W545=0),"",SUMIFS('Val-Vol (2)'!AG$4:AG$1116,'Val-Vol (2)'!$A$4:$A$1116,$D545,'Val-Vol (2)'!$V$4:$V$1116,$V545)/SUMIFS('Comp2016-2017 (3)'!$G$5:$G$289,'Comp2016-2017 (3)'!$A$5:$A$289,$D545,'Comp2016-2017 (3)'!$R$5:$R$289,$V545)*$AB545))</f>
        <v/>
      </c>
      <c r="AH545" s="2" t="str">
        <f>IF($W545=AH$3,$AB545,IF(NOT($W545=0),"",SUMIFS('Val-Vol (2)'!AH$4:AH$1116,'Val-Vol (2)'!$A$4:$A$1116,$D545,'Val-Vol (2)'!$V$4:$V$1116,$V545)/SUMIFS('Comp2016-2017 (3)'!$G$5:$G$289,'Comp2016-2017 (3)'!$A$5:$A$289,$D545,'Comp2016-2017 (3)'!$R$5:$R$289,$V545)*$AB545))</f>
        <v/>
      </c>
      <c r="AI545" s="2" t="str">
        <f>IF($W545=AI$3,$AB545,IF(NOT($W545=0),"",SUMIFS('Val-Vol (2)'!AI$4:AI$1116,'Val-Vol (2)'!$A$4:$A$1116,$D545,'Val-Vol (2)'!$V$4:$V$1116,$V545)/SUMIFS('Comp2016-2017 (3)'!$G$5:$G$289,'Comp2016-2017 (3)'!$A$5:$A$289,$D545,'Comp2016-2017 (3)'!$R$5:$R$289,$V545)*$AB545))</f>
        <v/>
      </c>
      <c r="AJ545" s="2" t="str">
        <f>IF($W545=AJ$3,$AB545,IF(NOT($W545=0),"",SUMIFS('Val-Vol (2)'!AJ$4:AJ$1116,'Val-Vol (2)'!$A$4:$A$1116,$D545,'Val-Vol (2)'!$V$4:$V$1116,$V545)/SUMIFS('Comp2016-2017 (3)'!$G$5:$G$289,'Comp2016-2017 (3)'!$A$5:$A$289,$D545,'Comp2016-2017 (3)'!$R$5:$R$289,$V545)*$AB545))</f>
        <v/>
      </c>
      <c r="AK545" s="2">
        <f t="shared" si="60"/>
        <v>0</v>
      </c>
      <c r="AL545" t="str">
        <f t="shared" si="62"/>
        <v/>
      </c>
      <c r="AM545" t="str">
        <f>VLOOKUP(A545,'Table corresp.'!$M$4:$U$63,8,FALSE)</f>
        <v>Production intermédiaire</v>
      </c>
      <c r="AN545" t="str">
        <f>VLOOKUP(D545,'Table corresp.'!$M$4:$U$63,9,FALSE)</f>
        <v xml:space="preserve">Mise en œuvre </v>
      </c>
    </row>
    <row r="546" spans="1:40" x14ac:dyDescent="0.25">
      <c r="A546" t="s">
        <v>9</v>
      </c>
      <c r="B546" t="str">
        <f>VLOOKUP(LEFT(A546,3),'Table corresp.'!$A$4:$D$63,3,FALSE)</f>
        <v>Transformation</v>
      </c>
      <c r="C546" t="str">
        <f>VLOOKUP(A546,'Table corresp.'!$M$4:$P$63,4,FALSE)</f>
        <v>Production et transformation de produits bois</v>
      </c>
      <c r="D546" t="s">
        <v>22</v>
      </c>
      <c r="E546" t="str">
        <f>VLOOKUP(LEFT(D546,3),'Table corresp.'!$A$4:$D$63,4,FALSE)</f>
        <v>Transformation</v>
      </c>
      <c r="F546" t="str">
        <f t="shared" si="61"/>
        <v xml:space="preserve">15  - 55 </v>
      </c>
      <c r="G546" s="3">
        <v>221.72140159370608</v>
      </c>
      <c r="H546" s="3">
        <v>0</v>
      </c>
      <c r="I546" s="3">
        <v>221.72141100172863</v>
      </c>
      <c r="J546" s="3">
        <v>1.007974962928271</v>
      </c>
      <c r="K546" s="3">
        <v>0</v>
      </c>
      <c r="L546" s="3">
        <v>1.007974962928271</v>
      </c>
      <c r="M546" s="3">
        <v>0</v>
      </c>
      <c r="N546" s="3">
        <v>0</v>
      </c>
      <c r="O546" s="3">
        <v>0</v>
      </c>
      <c r="P546" s="3">
        <v>0</v>
      </c>
      <c r="Q546" s="3">
        <v>0</v>
      </c>
      <c r="R546" s="3">
        <v>0</v>
      </c>
      <c r="S546" s="67"/>
      <c r="T546">
        <f>VLOOKUP(A546,'Groupe de branches'!$Z$27:$AM$86,14,FALSE)</f>
        <v>0</v>
      </c>
      <c r="U546">
        <f>VLOOKUP(D546,'Groupe de branches'!$Z$27:$AM$86,14,FALSE)</f>
        <v>0</v>
      </c>
      <c r="V546">
        <v>2017</v>
      </c>
      <c r="W546" t="str">
        <f>VLOOKUP(D546,'Table corresp.'!$M$4:$S$63,7,FALSE)</f>
        <v>Construction</v>
      </c>
      <c r="X546" s="167">
        <f>IFERROR(G546/SUMIFS('Comp2016-2017 (3)'!$I$5:$I$289,'Comp2016-2017 (3)'!$A$5:$A$289,A546,'Comp2016-2017 (3)'!$R$5:$R$289,V546),0)</f>
        <v>8.8674994247282726E-4</v>
      </c>
      <c r="Y546" s="190">
        <f>IFERROR(IF(RIGHT(F546,3)="Exp",VLOOKUP(F546,#REF!,2,FALSE),VLOOKUP(F546,#REF!,9,FALSE)),1)</f>
        <v>1</v>
      </c>
      <c r="Z546" s="167">
        <f t="shared" si="64"/>
        <v>9.0909090909090912E-2</v>
      </c>
      <c r="AA546" s="189">
        <f t="shared" si="63"/>
        <v>8.0613631133893393E-5</v>
      </c>
      <c r="AB546" s="2">
        <f>IFERROR(SUMIFS('Comp2016-2017 (3)'!$G$5:$G$289,'Comp2016-2017 (3)'!$A$5:$A$289,A546,'Comp2016-2017 (3)'!$R$5:$R$289,V546)*AA546/SUMIFS($AA$4:$AA$1116,$A$4:$A$1116,A546,$V$4:$V$1116,V546),0)</f>
        <v>48.729092029066045</v>
      </c>
      <c r="AC546" s="2" t="str">
        <f>IF($W546=AC$3,$AB546,IF(NOT($W546=0),"",SUMIFS('Val-Vol (2)'!AC$4:AC$1116,'Val-Vol (2)'!$A$4:$A$1116,$D546,'Val-Vol (2)'!$V$4:$V$1116,$V546)/SUMIFS('Comp2016-2017 (3)'!$G$5:$G$289,'Comp2016-2017 (3)'!$A$5:$A$289,$D546,'Comp2016-2017 (3)'!$R$5:$R$289,$V546)*$AB546))</f>
        <v/>
      </c>
      <c r="AD546" s="2">
        <f>IF($W546=AD$3,$AB546,IF(NOT($W546=0),"",SUMIFS('Val-Vol (2)'!AD$4:AD$1116,'Val-Vol (2)'!$A$4:$A$1116,$D546,'Val-Vol (2)'!$V$4:$V$1116,$V546)/SUMIFS('Comp2016-2017 (3)'!$G$5:$G$289,'Comp2016-2017 (3)'!$A$5:$A$289,$D546,'Comp2016-2017 (3)'!$R$5:$R$289,$V546)*$AB546))</f>
        <v>48.729092029066045</v>
      </c>
      <c r="AE546" s="2" t="str">
        <f>IF($W546=AE$3,$AB546,IF(NOT($W546=0),"",SUMIFS('Val-Vol (2)'!AE$4:AE$1116,'Val-Vol (2)'!$A$4:$A$1116,$D546,'Val-Vol (2)'!$V$4:$V$1116,$V546)/SUMIFS('Comp2016-2017 (3)'!$G$5:$G$289,'Comp2016-2017 (3)'!$A$5:$A$289,$D546,'Comp2016-2017 (3)'!$R$5:$R$289,$V546)*$AB546))</f>
        <v/>
      </c>
      <c r="AF546" s="2" t="str">
        <f>IF($W546=AF$3,$AB546,IF(NOT($W546=0),"",SUMIFS('Val-Vol (2)'!AF$4:AF$1116,'Val-Vol (2)'!$A$4:$A$1116,$D546,'Val-Vol (2)'!$V$4:$V$1116,$V546)/SUMIFS('Comp2016-2017 (3)'!$G$5:$G$289,'Comp2016-2017 (3)'!$A$5:$A$289,$D546,'Comp2016-2017 (3)'!$R$5:$R$289,$V546)*$AB546))</f>
        <v/>
      </c>
      <c r="AG546" s="2" t="str">
        <f>IF($W546=AG$3,$AB546,IF(NOT($W546=0),"",SUMIFS('Val-Vol (2)'!AG$4:AG$1116,'Val-Vol (2)'!$A$4:$A$1116,$D546,'Val-Vol (2)'!$V$4:$V$1116,$V546)/SUMIFS('Comp2016-2017 (3)'!$G$5:$G$289,'Comp2016-2017 (3)'!$A$5:$A$289,$D546,'Comp2016-2017 (3)'!$R$5:$R$289,$V546)*$AB546))</f>
        <v/>
      </c>
      <c r="AH546" s="2" t="str">
        <f>IF($W546=AH$3,$AB546,IF(NOT($W546=0),"",SUMIFS('Val-Vol (2)'!AH$4:AH$1116,'Val-Vol (2)'!$A$4:$A$1116,$D546,'Val-Vol (2)'!$V$4:$V$1116,$V546)/SUMIFS('Comp2016-2017 (3)'!$G$5:$G$289,'Comp2016-2017 (3)'!$A$5:$A$289,$D546,'Comp2016-2017 (3)'!$R$5:$R$289,$V546)*$AB546))</f>
        <v/>
      </c>
      <c r="AI546" s="2" t="str">
        <f>IF($W546=AI$3,$AB546,IF(NOT($W546=0),"",SUMIFS('Val-Vol (2)'!AI$4:AI$1116,'Val-Vol (2)'!$A$4:$A$1116,$D546,'Val-Vol (2)'!$V$4:$V$1116,$V546)/SUMIFS('Comp2016-2017 (3)'!$G$5:$G$289,'Comp2016-2017 (3)'!$A$5:$A$289,$D546,'Comp2016-2017 (3)'!$R$5:$R$289,$V546)*$AB546))</f>
        <v/>
      </c>
      <c r="AJ546" s="2" t="str">
        <f>IF($W546=AJ$3,$AB546,IF(NOT($W546=0),"",SUMIFS('Val-Vol (2)'!AJ$4:AJ$1116,'Val-Vol (2)'!$A$4:$A$1116,$D546,'Val-Vol (2)'!$V$4:$V$1116,$V546)/SUMIFS('Comp2016-2017 (3)'!$G$5:$G$289,'Comp2016-2017 (3)'!$A$5:$A$289,$D546,'Comp2016-2017 (3)'!$R$5:$R$289,$V546)*$AB546))</f>
        <v/>
      </c>
      <c r="AK546" s="2">
        <f t="shared" si="60"/>
        <v>0</v>
      </c>
      <c r="AL546" t="str">
        <f t="shared" si="62"/>
        <v/>
      </c>
      <c r="AM546" t="str">
        <f>VLOOKUP(A546,'Table corresp.'!$M$4:$U$63,8,FALSE)</f>
        <v>Production intermédiaire</v>
      </c>
      <c r="AN546" t="str">
        <f>VLOOKUP(D546,'Table corresp.'!$M$4:$U$63,9,FALSE)</f>
        <v xml:space="preserve">Mise en œuvre </v>
      </c>
    </row>
    <row r="547" spans="1:40" x14ac:dyDescent="0.25">
      <c r="A547" t="s">
        <v>9</v>
      </c>
      <c r="B547" t="str">
        <f>VLOOKUP(LEFT(A547,3),'Table corresp.'!$A$4:$D$63,3,FALSE)</f>
        <v>Transformation</v>
      </c>
      <c r="C547" t="str">
        <f>VLOOKUP(A547,'Table corresp.'!$M$4:$P$63,4,FALSE)</f>
        <v>Production et transformation de produits bois</v>
      </c>
      <c r="D547" t="s">
        <v>24</v>
      </c>
      <c r="E547" t="str">
        <f>VLOOKUP(LEFT(D547,3),'Table corresp.'!$A$4:$D$63,4,FALSE)</f>
        <v>Transformation</v>
      </c>
      <c r="F547" t="str">
        <f t="shared" si="61"/>
        <v xml:space="preserve">15  - 57 </v>
      </c>
      <c r="G547" s="3">
        <v>2025.4360988820122</v>
      </c>
      <c r="H547" s="3">
        <v>0</v>
      </c>
      <c r="I547" s="3">
        <v>2025.436184824769</v>
      </c>
      <c r="J547" s="3">
        <v>18.415803454330426</v>
      </c>
      <c r="K547" s="3">
        <v>0</v>
      </c>
      <c r="L547" s="3">
        <v>18.415803454330426</v>
      </c>
      <c r="M547" s="3">
        <v>0</v>
      </c>
      <c r="N547" s="3">
        <v>0</v>
      </c>
      <c r="O547" s="3">
        <v>0</v>
      </c>
      <c r="P547" s="3">
        <v>0</v>
      </c>
      <c r="Q547" s="3">
        <v>0</v>
      </c>
      <c r="R547" s="3">
        <v>0</v>
      </c>
      <c r="S547" s="67"/>
      <c r="T547">
        <f>VLOOKUP(A547,'Groupe de branches'!$Z$27:$AM$86,14,FALSE)</f>
        <v>0</v>
      </c>
      <c r="U547">
        <f>VLOOKUP(D547,'Groupe de branches'!$Z$27:$AM$86,14,FALSE)</f>
        <v>0</v>
      </c>
      <c r="V547">
        <v>2017</v>
      </c>
      <c r="W547" t="str">
        <f>VLOOKUP(D547,'Table corresp.'!$M$4:$S$63,7,FALSE)</f>
        <v>Construction</v>
      </c>
      <c r="X547" s="167">
        <f>IFERROR(G547/SUMIFS('Comp2016-2017 (3)'!$I$5:$I$289,'Comp2016-2017 (3)'!$A$5:$A$289,A547,'Comp2016-2017 (3)'!$R$5:$R$289,V547),0)</f>
        <v>8.100505098994449E-3</v>
      </c>
      <c r="Y547" s="190">
        <f>IFERROR(IF(RIGHT(F547,3)="Exp",VLOOKUP(F547,#REF!,2,FALSE),VLOOKUP(F547,#REF!,9,FALSE)),1)</f>
        <v>1</v>
      </c>
      <c r="Z547" s="167">
        <f t="shared" si="64"/>
        <v>9.0909090909090912E-2</v>
      </c>
      <c r="AA547" s="189">
        <f t="shared" si="63"/>
        <v>7.3640955445404088E-4</v>
      </c>
      <c r="AB547" s="2">
        <f>IFERROR(SUMIFS('Comp2016-2017 (3)'!$G$5:$G$289,'Comp2016-2017 (3)'!$A$5:$A$289,A547,'Comp2016-2017 (3)'!$R$5:$R$289,V547)*AA547/SUMIFS($AA$4:$AA$1116,$A$4:$A$1116,A547,$V$4:$V$1116,V547),0)</f>
        <v>445.14269417380319</v>
      </c>
      <c r="AC547" s="2" t="str">
        <f>IF($W547=AC$3,$AB547,IF(NOT($W547=0),"",SUMIFS('Val-Vol (2)'!AC$4:AC$1116,'Val-Vol (2)'!$A$4:$A$1116,$D547,'Val-Vol (2)'!$V$4:$V$1116,$V547)/SUMIFS('Comp2016-2017 (3)'!$G$5:$G$289,'Comp2016-2017 (3)'!$A$5:$A$289,$D547,'Comp2016-2017 (3)'!$R$5:$R$289,$V547)*$AB547))</f>
        <v/>
      </c>
      <c r="AD547" s="2">
        <f>IF($W547=AD$3,$AB547,IF(NOT($W547=0),"",SUMIFS('Val-Vol (2)'!AD$4:AD$1116,'Val-Vol (2)'!$A$4:$A$1116,$D547,'Val-Vol (2)'!$V$4:$V$1116,$V547)/SUMIFS('Comp2016-2017 (3)'!$G$5:$G$289,'Comp2016-2017 (3)'!$A$5:$A$289,$D547,'Comp2016-2017 (3)'!$R$5:$R$289,$V547)*$AB547))</f>
        <v>445.14269417380319</v>
      </c>
      <c r="AE547" s="2" t="str">
        <f>IF($W547=AE$3,$AB547,IF(NOT($W547=0),"",SUMIFS('Val-Vol (2)'!AE$4:AE$1116,'Val-Vol (2)'!$A$4:$A$1116,$D547,'Val-Vol (2)'!$V$4:$V$1116,$V547)/SUMIFS('Comp2016-2017 (3)'!$G$5:$G$289,'Comp2016-2017 (3)'!$A$5:$A$289,$D547,'Comp2016-2017 (3)'!$R$5:$R$289,$V547)*$AB547))</f>
        <v/>
      </c>
      <c r="AF547" s="2" t="str">
        <f>IF($W547=AF$3,$AB547,IF(NOT($W547=0),"",SUMIFS('Val-Vol (2)'!AF$4:AF$1116,'Val-Vol (2)'!$A$4:$A$1116,$D547,'Val-Vol (2)'!$V$4:$V$1116,$V547)/SUMIFS('Comp2016-2017 (3)'!$G$5:$G$289,'Comp2016-2017 (3)'!$A$5:$A$289,$D547,'Comp2016-2017 (3)'!$R$5:$R$289,$V547)*$AB547))</f>
        <v/>
      </c>
      <c r="AG547" s="2" t="str">
        <f>IF($W547=AG$3,$AB547,IF(NOT($W547=0),"",SUMIFS('Val-Vol (2)'!AG$4:AG$1116,'Val-Vol (2)'!$A$4:$A$1116,$D547,'Val-Vol (2)'!$V$4:$V$1116,$V547)/SUMIFS('Comp2016-2017 (3)'!$G$5:$G$289,'Comp2016-2017 (3)'!$A$5:$A$289,$D547,'Comp2016-2017 (3)'!$R$5:$R$289,$V547)*$AB547))</f>
        <v/>
      </c>
      <c r="AH547" s="2" t="str">
        <f>IF($W547=AH$3,$AB547,IF(NOT($W547=0),"",SUMIFS('Val-Vol (2)'!AH$4:AH$1116,'Val-Vol (2)'!$A$4:$A$1116,$D547,'Val-Vol (2)'!$V$4:$V$1116,$V547)/SUMIFS('Comp2016-2017 (3)'!$G$5:$G$289,'Comp2016-2017 (3)'!$A$5:$A$289,$D547,'Comp2016-2017 (3)'!$R$5:$R$289,$V547)*$AB547))</f>
        <v/>
      </c>
      <c r="AI547" s="2" t="str">
        <f>IF($W547=AI$3,$AB547,IF(NOT($W547=0),"",SUMIFS('Val-Vol (2)'!AI$4:AI$1116,'Val-Vol (2)'!$A$4:$A$1116,$D547,'Val-Vol (2)'!$V$4:$V$1116,$V547)/SUMIFS('Comp2016-2017 (3)'!$G$5:$G$289,'Comp2016-2017 (3)'!$A$5:$A$289,$D547,'Comp2016-2017 (3)'!$R$5:$R$289,$V547)*$AB547))</f>
        <v/>
      </c>
      <c r="AJ547" s="2" t="str">
        <f>IF($W547=AJ$3,$AB547,IF(NOT($W547=0),"",SUMIFS('Val-Vol (2)'!AJ$4:AJ$1116,'Val-Vol (2)'!$A$4:$A$1116,$D547,'Val-Vol (2)'!$V$4:$V$1116,$V547)/SUMIFS('Comp2016-2017 (3)'!$G$5:$G$289,'Comp2016-2017 (3)'!$A$5:$A$289,$D547,'Comp2016-2017 (3)'!$R$5:$R$289,$V547)*$AB547))</f>
        <v/>
      </c>
      <c r="AK547" s="2">
        <f t="shared" si="60"/>
        <v>0</v>
      </c>
      <c r="AL547" t="str">
        <f t="shared" si="62"/>
        <v/>
      </c>
      <c r="AM547" t="str">
        <f>VLOOKUP(A547,'Table corresp.'!$M$4:$U$63,8,FALSE)</f>
        <v>Production intermédiaire</v>
      </c>
      <c r="AN547" t="str">
        <f>VLOOKUP(D547,'Table corresp.'!$M$4:$U$63,9,FALSE)</f>
        <v xml:space="preserve">Mise en œuvre </v>
      </c>
    </row>
    <row r="548" spans="1:40" x14ac:dyDescent="0.25">
      <c r="A548" t="s">
        <v>9</v>
      </c>
      <c r="B548" t="str">
        <f>VLOOKUP(LEFT(A548,3),'Table corresp.'!$A$4:$D$63,3,FALSE)</f>
        <v>Transformation</v>
      </c>
      <c r="C548" t="str">
        <f>VLOOKUP(A548,'Table corresp.'!$M$4:$P$63,4,FALSE)</f>
        <v>Production et transformation de produits bois</v>
      </c>
      <c r="D548" t="s">
        <v>26</v>
      </c>
      <c r="E548" t="str">
        <f>VLOOKUP(LEFT(D548,3),'Table corresp.'!$A$4:$D$63,4,FALSE)</f>
        <v>Transformation</v>
      </c>
      <c r="F548" t="str">
        <f t="shared" si="61"/>
        <v xml:space="preserve">15  - 59 </v>
      </c>
      <c r="G548" s="3">
        <v>779.29184724182528</v>
      </c>
      <c r="H548" s="3">
        <v>0</v>
      </c>
      <c r="I548" s="3">
        <v>779.29188030852617</v>
      </c>
      <c r="J548" s="3">
        <v>9.8410120035994808</v>
      </c>
      <c r="K548" s="3">
        <v>0</v>
      </c>
      <c r="L548" s="3">
        <v>9.8410120035994808</v>
      </c>
      <c r="M548" s="3">
        <v>0</v>
      </c>
      <c r="N548" s="3">
        <v>0</v>
      </c>
      <c r="O548" s="3">
        <v>0</v>
      </c>
      <c r="P548" s="3">
        <v>0</v>
      </c>
      <c r="Q548" s="3">
        <v>0</v>
      </c>
      <c r="R548" s="3">
        <v>0</v>
      </c>
      <c r="S548" s="67"/>
      <c r="T548">
        <f>VLOOKUP(A548,'Groupe de branches'!$Z$27:$AM$86,14,FALSE)</f>
        <v>0</v>
      </c>
      <c r="U548">
        <f>VLOOKUP(D548,'Groupe de branches'!$Z$27:$AM$86,14,FALSE)</f>
        <v>0</v>
      </c>
      <c r="V548">
        <v>2017</v>
      </c>
      <c r="W548" t="str">
        <f>VLOOKUP(D548,'Table corresp.'!$M$4:$S$63,7,FALSE)</f>
        <v>Construction</v>
      </c>
      <c r="X548" s="167">
        <f>IFERROR(G548/SUMIFS('Comp2016-2017 (3)'!$I$5:$I$289,'Comp2016-2017 (3)'!$A$5:$A$289,A548,'Comp2016-2017 (3)'!$R$5:$R$289,V548),0)</f>
        <v>3.1166905663780903E-3</v>
      </c>
      <c r="Y548" s="190">
        <f>IFERROR(IF(RIGHT(F548,3)="Exp",VLOOKUP(F548,#REF!,2,FALSE),VLOOKUP(F548,#REF!,9,FALSE)),1)</f>
        <v>1</v>
      </c>
      <c r="Z548" s="167">
        <f t="shared" si="64"/>
        <v>9.0909090909090912E-2</v>
      </c>
      <c r="AA548" s="189">
        <f t="shared" si="63"/>
        <v>2.8333550603437186E-4</v>
      </c>
      <c r="AB548" s="2">
        <f>IFERROR(SUMIFS('Comp2016-2017 (3)'!$G$5:$G$289,'Comp2016-2017 (3)'!$A$5:$A$289,A548,'Comp2016-2017 (3)'!$R$5:$R$289,V548)*AA548/SUMIFS($AA$4:$AA$1116,$A$4:$A$1116,A548,$V$4:$V$1116,V548),0)</f>
        <v>171.26981819884787</v>
      </c>
      <c r="AC548" s="2" t="str">
        <f>IF($W548=AC$3,$AB548,IF(NOT($W548=0),"",SUMIFS('Val-Vol (2)'!AC$4:AC$1116,'Val-Vol (2)'!$A$4:$A$1116,$D548,'Val-Vol (2)'!$V$4:$V$1116,$V548)/SUMIFS('Comp2016-2017 (3)'!$G$5:$G$289,'Comp2016-2017 (3)'!$A$5:$A$289,$D548,'Comp2016-2017 (3)'!$R$5:$R$289,$V548)*$AB548))</f>
        <v/>
      </c>
      <c r="AD548" s="2">
        <f>IF($W548=AD$3,$AB548,IF(NOT($W548=0),"",SUMIFS('Val-Vol (2)'!AD$4:AD$1116,'Val-Vol (2)'!$A$4:$A$1116,$D548,'Val-Vol (2)'!$V$4:$V$1116,$V548)/SUMIFS('Comp2016-2017 (3)'!$G$5:$G$289,'Comp2016-2017 (3)'!$A$5:$A$289,$D548,'Comp2016-2017 (3)'!$R$5:$R$289,$V548)*$AB548))</f>
        <v>171.26981819884787</v>
      </c>
      <c r="AE548" s="2" t="str">
        <f>IF($W548=AE$3,$AB548,IF(NOT($W548=0),"",SUMIFS('Val-Vol (2)'!AE$4:AE$1116,'Val-Vol (2)'!$A$4:$A$1116,$D548,'Val-Vol (2)'!$V$4:$V$1116,$V548)/SUMIFS('Comp2016-2017 (3)'!$G$5:$G$289,'Comp2016-2017 (3)'!$A$5:$A$289,$D548,'Comp2016-2017 (3)'!$R$5:$R$289,$V548)*$AB548))</f>
        <v/>
      </c>
      <c r="AF548" s="2" t="str">
        <f>IF($W548=AF$3,$AB548,IF(NOT($W548=0),"",SUMIFS('Val-Vol (2)'!AF$4:AF$1116,'Val-Vol (2)'!$A$4:$A$1116,$D548,'Val-Vol (2)'!$V$4:$V$1116,$V548)/SUMIFS('Comp2016-2017 (3)'!$G$5:$G$289,'Comp2016-2017 (3)'!$A$5:$A$289,$D548,'Comp2016-2017 (3)'!$R$5:$R$289,$V548)*$AB548))</f>
        <v/>
      </c>
      <c r="AG548" s="2" t="str">
        <f>IF($W548=AG$3,$AB548,IF(NOT($W548=0),"",SUMIFS('Val-Vol (2)'!AG$4:AG$1116,'Val-Vol (2)'!$A$4:$A$1116,$D548,'Val-Vol (2)'!$V$4:$V$1116,$V548)/SUMIFS('Comp2016-2017 (3)'!$G$5:$G$289,'Comp2016-2017 (3)'!$A$5:$A$289,$D548,'Comp2016-2017 (3)'!$R$5:$R$289,$V548)*$AB548))</f>
        <v/>
      </c>
      <c r="AH548" s="2" t="str">
        <f>IF($W548=AH$3,$AB548,IF(NOT($W548=0),"",SUMIFS('Val-Vol (2)'!AH$4:AH$1116,'Val-Vol (2)'!$A$4:$A$1116,$D548,'Val-Vol (2)'!$V$4:$V$1116,$V548)/SUMIFS('Comp2016-2017 (3)'!$G$5:$G$289,'Comp2016-2017 (3)'!$A$5:$A$289,$D548,'Comp2016-2017 (3)'!$R$5:$R$289,$V548)*$AB548))</f>
        <v/>
      </c>
      <c r="AI548" s="2" t="str">
        <f>IF($W548=AI$3,$AB548,IF(NOT($W548=0),"",SUMIFS('Val-Vol (2)'!AI$4:AI$1116,'Val-Vol (2)'!$A$4:$A$1116,$D548,'Val-Vol (2)'!$V$4:$V$1116,$V548)/SUMIFS('Comp2016-2017 (3)'!$G$5:$G$289,'Comp2016-2017 (3)'!$A$5:$A$289,$D548,'Comp2016-2017 (3)'!$R$5:$R$289,$V548)*$AB548))</f>
        <v/>
      </c>
      <c r="AJ548" s="2" t="str">
        <f>IF($W548=AJ$3,$AB548,IF(NOT($W548=0),"",SUMIFS('Val-Vol (2)'!AJ$4:AJ$1116,'Val-Vol (2)'!$A$4:$A$1116,$D548,'Val-Vol (2)'!$V$4:$V$1116,$V548)/SUMIFS('Comp2016-2017 (3)'!$G$5:$G$289,'Comp2016-2017 (3)'!$A$5:$A$289,$D548,'Comp2016-2017 (3)'!$R$5:$R$289,$V548)*$AB548))</f>
        <v/>
      </c>
      <c r="AK548" s="2">
        <f t="shared" si="60"/>
        <v>0</v>
      </c>
      <c r="AL548" t="str">
        <f t="shared" si="62"/>
        <v/>
      </c>
      <c r="AM548" t="str">
        <f>VLOOKUP(A548,'Table corresp.'!$M$4:$U$63,8,FALSE)</f>
        <v>Production intermédiaire</v>
      </c>
      <c r="AN548" t="str">
        <f>VLOOKUP(D548,'Table corresp.'!$M$4:$U$63,9,FALSE)</f>
        <v xml:space="preserve">Mise en œuvre </v>
      </c>
    </row>
    <row r="549" spans="1:40" x14ac:dyDescent="0.25">
      <c r="A549" t="s">
        <v>9</v>
      </c>
      <c r="B549" t="str">
        <f>VLOOKUP(LEFT(A549,3),'Table corresp.'!$A$4:$D$63,3,FALSE)</f>
        <v>Transformation</v>
      </c>
      <c r="C549" t="str">
        <f>VLOOKUP(A549,'Table corresp.'!$M$4:$P$63,4,FALSE)</f>
        <v>Production et transformation de produits bois</v>
      </c>
      <c r="D549" t="s">
        <v>54</v>
      </c>
      <c r="E549" t="str">
        <f>VLOOKUP(LEFT(D549,3),'Table corresp.'!$A$4:$D$63,4,FALSE)</f>
        <v>Consommation finale</v>
      </c>
      <c r="F549" t="str">
        <f t="shared" si="61"/>
        <v>15  - Con</v>
      </c>
      <c r="G549" s="3">
        <v>50371.733812229613</v>
      </c>
      <c r="H549" s="3">
        <v>0</v>
      </c>
      <c r="I549" s="3">
        <v>50371.735949589405</v>
      </c>
      <c r="J549" s="3">
        <v>418.7820067590265</v>
      </c>
      <c r="K549" s="3">
        <v>0</v>
      </c>
      <c r="L549" s="3">
        <v>418.7820067590265</v>
      </c>
      <c r="M549" s="3">
        <v>0</v>
      </c>
      <c r="N549" s="3">
        <v>0</v>
      </c>
      <c r="O549" s="3">
        <v>0</v>
      </c>
      <c r="P549" s="3">
        <v>0</v>
      </c>
      <c r="Q549" s="3">
        <v>0</v>
      </c>
      <c r="R549" s="3">
        <v>0</v>
      </c>
      <c r="S549" s="67"/>
      <c r="T549">
        <f>VLOOKUP(A549,'Groupe de branches'!$Z$27:$AM$86,14,FALSE)</f>
        <v>0</v>
      </c>
      <c r="U549">
        <f>VLOOKUP(D549,'Groupe de branches'!$Z$27:$AM$86,14,FALSE)</f>
        <v>0</v>
      </c>
      <c r="V549">
        <v>2017</v>
      </c>
      <c r="W549" t="str">
        <f>VLOOKUP(D549,'Table corresp.'!$M$4:$S$63,7,FALSE)</f>
        <v>Consommation finale</v>
      </c>
      <c r="X549" s="167">
        <f>IFERROR(G549/SUMIFS('Comp2016-2017 (3)'!$I$5:$I$289,'Comp2016-2017 (3)'!$A$5:$A$289,A549,'Comp2016-2017 (3)'!$R$5:$R$289,V549),0)</f>
        <v>0.20145611447153655</v>
      </c>
      <c r="Y549" s="190">
        <f>IFERROR(IF(RIGHT(F549,3)="Exp",VLOOKUP(F549,#REF!,2,FALSE),VLOOKUP(F549,#REF!,9,FALSE)),1)</f>
        <v>1</v>
      </c>
      <c r="Z549" s="167">
        <f t="shared" si="64"/>
        <v>9.0909090909090912E-2</v>
      </c>
      <c r="AA549" s="189">
        <f t="shared" si="63"/>
        <v>1.8314192224685142E-2</v>
      </c>
      <c r="AB549" s="2">
        <f>IFERROR(SUMIFS('Comp2016-2017 (3)'!$G$5:$G$289,'Comp2016-2017 (3)'!$A$5:$A$289,A549,'Comp2016-2017 (3)'!$R$5:$R$289,V549)*AA549/SUMIFS($AA$4:$AA$1116,$A$4:$A$1116,A549,$V$4:$V$1116,V549),0)</f>
        <v>11070.509364259005</v>
      </c>
      <c r="AC549" s="2" t="str">
        <f>IF($W549=AC$3,$AB549,IF(NOT($W549=0),"",SUMIFS('Val-Vol (2)'!AC$4:AC$1116,'Val-Vol (2)'!$A$4:$A$1116,$D549,'Val-Vol (2)'!$V$4:$V$1116,$V549)/SUMIFS('Comp2016-2017 (3)'!$G$5:$G$289,'Comp2016-2017 (3)'!$A$5:$A$289,$D549,'Comp2016-2017 (3)'!$R$5:$R$289,$V549)*$AB549))</f>
        <v/>
      </c>
      <c r="AD549" s="2" t="str">
        <f>IF($W549=AD$3,$AB549,IF(NOT($W549=0),"",SUMIFS('Val-Vol (2)'!AD$4:AD$1116,'Val-Vol (2)'!$A$4:$A$1116,$D549,'Val-Vol (2)'!$V$4:$V$1116,$V549)/SUMIFS('Comp2016-2017 (3)'!$G$5:$G$289,'Comp2016-2017 (3)'!$A$5:$A$289,$D549,'Comp2016-2017 (3)'!$R$5:$R$289,$V549)*$AB549))</f>
        <v/>
      </c>
      <c r="AE549" s="2" t="str">
        <f>IF($W549=AE$3,$AB549,IF(NOT($W549=0),"",SUMIFS('Val-Vol (2)'!AE$4:AE$1116,'Val-Vol (2)'!$A$4:$A$1116,$D549,'Val-Vol (2)'!$V$4:$V$1116,$V549)/SUMIFS('Comp2016-2017 (3)'!$G$5:$G$289,'Comp2016-2017 (3)'!$A$5:$A$289,$D549,'Comp2016-2017 (3)'!$R$5:$R$289,$V549)*$AB549))</f>
        <v/>
      </c>
      <c r="AF549" s="2" t="str">
        <f>IF($W549=AF$3,$AB549,IF(NOT($W549=0),"",SUMIFS('Val-Vol (2)'!AF$4:AF$1116,'Val-Vol (2)'!$A$4:$A$1116,$D549,'Val-Vol (2)'!$V$4:$V$1116,$V549)/SUMIFS('Comp2016-2017 (3)'!$G$5:$G$289,'Comp2016-2017 (3)'!$A$5:$A$289,$D549,'Comp2016-2017 (3)'!$R$5:$R$289,$V549)*$AB549))</f>
        <v/>
      </c>
      <c r="AG549" s="2" t="str">
        <f>IF($W549=AG$3,$AB549,IF(NOT($W549=0),"",SUMIFS('Val-Vol (2)'!AG$4:AG$1116,'Val-Vol (2)'!$A$4:$A$1116,$D549,'Val-Vol (2)'!$V$4:$V$1116,$V549)/SUMIFS('Comp2016-2017 (3)'!$G$5:$G$289,'Comp2016-2017 (3)'!$A$5:$A$289,$D549,'Comp2016-2017 (3)'!$R$5:$R$289,$V549)*$AB549))</f>
        <v/>
      </c>
      <c r="AH549" s="2" t="str">
        <f>IF($W549=AH$3,$AB549,IF(NOT($W549=0),"",SUMIFS('Val-Vol (2)'!AH$4:AH$1116,'Val-Vol (2)'!$A$4:$A$1116,$D549,'Val-Vol (2)'!$V$4:$V$1116,$V549)/SUMIFS('Comp2016-2017 (3)'!$G$5:$G$289,'Comp2016-2017 (3)'!$A$5:$A$289,$D549,'Comp2016-2017 (3)'!$R$5:$R$289,$V549)*$AB549))</f>
        <v/>
      </c>
      <c r="AI549" s="2" t="str">
        <f>IF($W549=AI$3,$AB549,IF(NOT($W549=0),"",SUMIFS('Val-Vol (2)'!AI$4:AI$1116,'Val-Vol (2)'!$A$4:$A$1116,$D549,'Val-Vol (2)'!$V$4:$V$1116,$V549)/SUMIFS('Comp2016-2017 (3)'!$G$5:$G$289,'Comp2016-2017 (3)'!$A$5:$A$289,$D549,'Comp2016-2017 (3)'!$R$5:$R$289,$V549)*$AB549))</f>
        <v/>
      </c>
      <c r="AJ549" s="2">
        <f>IF($W549=AJ$3,$AB549,IF(NOT($W549=0),"",SUMIFS('Val-Vol (2)'!AJ$4:AJ$1116,'Val-Vol (2)'!$A$4:$A$1116,$D549,'Val-Vol (2)'!$V$4:$V$1116,$V549)/SUMIFS('Comp2016-2017 (3)'!$G$5:$G$289,'Comp2016-2017 (3)'!$A$5:$A$289,$D549,'Comp2016-2017 (3)'!$R$5:$R$289,$V549)*$AB549))</f>
        <v>11070.509364259005</v>
      </c>
      <c r="AK549" s="2">
        <f t="shared" si="60"/>
        <v>0</v>
      </c>
      <c r="AL549" t="str">
        <f t="shared" si="62"/>
        <v/>
      </c>
      <c r="AM549" t="str">
        <f>VLOOKUP(A549,'Table corresp.'!$M$4:$U$63,8,FALSE)</f>
        <v>Production intermédiaire</v>
      </c>
      <c r="AN549" t="str">
        <f>VLOOKUP(D549,'Table corresp.'!$M$4:$U$63,9,FALSE)</f>
        <v>Consommation finale française</v>
      </c>
    </row>
    <row r="550" spans="1:40" x14ac:dyDescent="0.25">
      <c r="A550" t="s">
        <v>10</v>
      </c>
      <c r="B550" t="str">
        <f>VLOOKUP(LEFT(A550,3),'Table corresp.'!$A$4:$D$63,3,FALSE)</f>
        <v>Transformation</v>
      </c>
      <c r="C550" t="str">
        <f>VLOOKUP(A550,'Table corresp.'!$M$4:$P$63,4,FALSE)</f>
        <v>Production et transformation de produits bois</v>
      </c>
      <c r="D550" t="s">
        <v>17</v>
      </c>
      <c r="E550" t="str">
        <f>VLOOKUP(LEFT(D550,3),'Table corresp.'!$A$4:$D$63,4,FALSE)</f>
        <v>Transformation</v>
      </c>
      <c r="F550" t="str">
        <f t="shared" si="61"/>
        <v xml:space="preserve">16  - 38 </v>
      </c>
      <c r="G550" s="3">
        <v>173432.74123161787</v>
      </c>
      <c r="H550" s="3">
        <v>0</v>
      </c>
      <c r="I550" s="3">
        <v>173432.74446812639</v>
      </c>
      <c r="J550" s="3">
        <v>243.294934126642</v>
      </c>
      <c r="K550" s="3">
        <v>0</v>
      </c>
      <c r="L550" s="3">
        <v>243.294934126642</v>
      </c>
      <c r="M550" s="3">
        <v>0</v>
      </c>
      <c r="N550" s="3">
        <v>0</v>
      </c>
      <c r="O550" s="3">
        <v>0</v>
      </c>
      <c r="P550" s="3">
        <v>0</v>
      </c>
      <c r="Q550" s="3">
        <v>0</v>
      </c>
      <c r="R550" s="3">
        <v>0</v>
      </c>
      <c r="S550" s="67"/>
      <c r="T550">
        <f>VLOOKUP(A550,'Groupe de branches'!$Z$27:$AM$86,14,FALSE)</f>
        <v>0</v>
      </c>
      <c r="U550">
        <f>VLOOKUP(D550,'Groupe de branches'!$Z$27:$AM$86,14,FALSE)</f>
        <v>0</v>
      </c>
      <c r="V550">
        <v>2017</v>
      </c>
      <c r="W550" t="str">
        <f>VLOOKUP(D550,'Table corresp.'!$M$4:$S$63,7,FALSE)</f>
        <v>Emballage bois et carton</v>
      </c>
      <c r="X550" s="167">
        <f>IFERROR(G550/SUMIFS('Comp2016-2017 (3)'!$I$5:$I$289,'Comp2016-2017 (3)'!$A$5:$A$289,A550,'Comp2016-2017 (3)'!$R$5:$R$289,V550),0)</f>
        <v>0.79586605386977405</v>
      </c>
      <c r="Y550" s="190">
        <f>IFERROR(IF(RIGHT(F550,3)="Exp",VLOOKUP(F550,#REF!,2,FALSE),VLOOKUP(F550,#REF!,9,FALSE)),1)</f>
        <v>1</v>
      </c>
      <c r="Z550" s="167">
        <f t="shared" si="64"/>
        <v>0.5</v>
      </c>
      <c r="AA550" s="189">
        <f t="shared" si="63"/>
        <v>0.39793302693488702</v>
      </c>
      <c r="AB550" s="2">
        <f>IFERROR(SUMIFS('Comp2016-2017 (3)'!$G$5:$G$289,'Comp2016-2017 (3)'!$A$5:$A$289,A550,'Comp2016-2017 (3)'!$R$5:$R$289,V550)*AA550/SUMIFS($AA$4:$AA$1116,$A$4:$A$1116,A550,$V$4:$V$1116,V550),0)</f>
        <v>41391.534863052948</v>
      </c>
      <c r="AC550" s="2" t="str">
        <f>IF($W550=AC$3,$AB550,IF(NOT($W550=0),"",SUMIFS('Val-Vol (2)'!AC$4:AC$1116,'Val-Vol (2)'!$A$4:$A$1116,$D550,'Val-Vol (2)'!$V$4:$V$1116,$V550)/SUMIFS('Comp2016-2017 (3)'!$G$5:$G$289,'Comp2016-2017 (3)'!$A$5:$A$289,$D550,'Comp2016-2017 (3)'!$R$5:$R$289,$V550)*$AB550))</f>
        <v/>
      </c>
      <c r="AD550" s="2" t="str">
        <f>IF($W550=AD$3,$AB550,IF(NOT($W550=0),"",SUMIFS('Val-Vol (2)'!AD$4:AD$1116,'Val-Vol (2)'!$A$4:$A$1116,$D550,'Val-Vol (2)'!$V$4:$V$1116,$V550)/SUMIFS('Comp2016-2017 (3)'!$G$5:$G$289,'Comp2016-2017 (3)'!$A$5:$A$289,$D550,'Comp2016-2017 (3)'!$R$5:$R$289,$V550)*$AB550))</f>
        <v/>
      </c>
      <c r="AE550" s="2" t="str">
        <f>IF($W550=AE$3,$AB550,IF(NOT($W550=0),"",SUMIFS('Val-Vol (2)'!AE$4:AE$1116,'Val-Vol (2)'!$A$4:$A$1116,$D550,'Val-Vol (2)'!$V$4:$V$1116,$V550)/SUMIFS('Comp2016-2017 (3)'!$G$5:$G$289,'Comp2016-2017 (3)'!$A$5:$A$289,$D550,'Comp2016-2017 (3)'!$R$5:$R$289,$V550)*$AB550))</f>
        <v/>
      </c>
      <c r="AF550" s="2" t="str">
        <f>IF($W550=AF$3,$AB550,IF(NOT($W550=0),"",SUMIFS('Val-Vol (2)'!AF$4:AF$1116,'Val-Vol (2)'!$A$4:$A$1116,$D550,'Val-Vol (2)'!$V$4:$V$1116,$V550)/SUMIFS('Comp2016-2017 (3)'!$G$5:$G$289,'Comp2016-2017 (3)'!$A$5:$A$289,$D550,'Comp2016-2017 (3)'!$R$5:$R$289,$V550)*$AB550))</f>
        <v/>
      </c>
      <c r="AG550" s="2">
        <f>IF($W550=AG$3,$AB550,IF(NOT($W550=0),"",SUMIFS('Val-Vol (2)'!AG$4:AG$1116,'Val-Vol (2)'!$A$4:$A$1116,$D550,'Val-Vol (2)'!$V$4:$V$1116,$V550)/SUMIFS('Comp2016-2017 (3)'!$G$5:$G$289,'Comp2016-2017 (3)'!$A$5:$A$289,$D550,'Comp2016-2017 (3)'!$R$5:$R$289,$V550)*$AB550))</f>
        <v>41391.534863052948</v>
      </c>
      <c r="AH550" s="2" t="str">
        <f>IF($W550=AH$3,$AB550,IF(NOT($W550=0),"",SUMIFS('Val-Vol (2)'!AH$4:AH$1116,'Val-Vol (2)'!$A$4:$A$1116,$D550,'Val-Vol (2)'!$V$4:$V$1116,$V550)/SUMIFS('Comp2016-2017 (3)'!$G$5:$G$289,'Comp2016-2017 (3)'!$A$5:$A$289,$D550,'Comp2016-2017 (3)'!$R$5:$R$289,$V550)*$AB550))</f>
        <v/>
      </c>
      <c r="AI550" s="2" t="str">
        <f>IF($W550=AI$3,$AB550,IF(NOT($W550=0),"",SUMIFS('Val-Vol (2)'!AI$4:AI$1116,'Val-Vol (2)'!$A$4:$A$1116,$D550,'Val-Vol (2)'!$V$4:$V$1116,$V550)/SUMIFS('Comp2016-2017 (3)'!$G$5:$G$289,'Comp2016-2017 (3)'!$A$5:$A$289,$D550,'Comp2016-2017 (3)'!$R$5:$R$289,$V550)*$AB550))</f>
        <v/>
      </c>
      <c r="AJ550" s="2" t="str">
        <f>IF($W550=AJ$3,$AB550,IF(NOT($W550=0),"",SUMIFS('Val-Vol (2)'!AJ$4:AJ$1116,'Val-Vol (2)'!$A$4:$A$1116,$D550,'Val-Vol (2)'!$V$4:$V$1116,$V550)/SUMIFS('Comp2016-2017 (3)'!$G$5:$G$289,'Comp2016-2017 (3)'!$A$5:$A$289,$D550,'Comp2016-2017 (3)'!$R$5:$R$289,$V550)*$AB550))</f>
        <v/>
      </c>
      <c r="AK550" s="2">
        <f t="shared" si="60"/>
        <v>0</v>
      </c>
      <c r="AL550" t="str">
        <f t="shared" si="62"/>
        <v/>
      </c>
      <c r="AM550" t="str">
        <f>VLOOKUP(A550,'Table corresp.'!$M$4:$U$63,8,FALSE)</f>
        <v>Production intermédiaire</v>
      </c>
      <c r="AN550" t="str">
        <f>VLOOKUP(D550,'Table corresp.'!$M$4:$U$63,9,FALSE)</f>
        <v>Production finale</v>
      </c>
    </row>
    <row r="551" spans="1:40" x14ac:dyDescent="0.25">
      <c r="A551" t="s">
        <v>10</v>
      </c>
      <c r="B551" t="str">
        <f>VLOOKUP(LEFT(A551,3),'Table corresp.'!$A$4:$D$63,3,FALSE)</f>
        <v>Transformation</v>
      </c>
      <c r="C551" t="str">
        <f>VLOOKUP(A551,'Table corresp.'!$M$4:$P$63,4,FALSE)</f>
        <v>Production et transformation de produits bois</v>
      </c>
      <c r="D551" t="s">
        <v>53</v>
      </c>
      <c r="E551" t="str">
        <f>VLOOKUP(LEFT(D551,3),'Table corresp.'!$A$4:$D$63,4,FALSE)</f>
        <v>Exportation</v>
      </c>
      <c r="F551" t="str">
        <f t="shared" si="61"/>
        <v>16  - Exp</v>
      </c>
      <c r="G551" s="3">
        <v>44484.256720899815</v>
      </c>
      <c r="H551" s="3">
        <v>0</v>
      </c>
      <c r="I551" s="3">
        <v>44484.257551041082</v>
      </c>
      <c r="J551" s="3">
        <v>47.097800450544327</v>
      </c>
      <c r="K551" s="3">
        <v>0</v>
      </c>
      <c r="L551" s="3">
        <v>47.097800450544327</v>
      </c>
      <c r="M551" s="3">
        <v>0</v>
      </c>
      <c r="N551" s="3">
        <v>0</v>
      </c>
      <c r="O551" s="3">
        <v>0</v>
      </c>
      <c r="P551" s="3">
        <v>0</v>
      </c>
      <c r="Q551" s="3">
        <v>0</v>
      </c>
      <c r="R551" s="3">
        <v>0</v>
      </c>
      <c r="S551" s="67"/>
      <c r="T551">
        <f>VLOOKUP(A551,'Groupe de branches'!$Z$27:$AM$86,14,FALSE)</f>
        <v>0</v>
      </c>
      <c r="U551">
        <f>VLOOKUP(D551,'Groupe de branches'!$Z$27:$AM$86,14,FALSE)</f>
        <v>0</v>
      </c>
      <c r="V551">
        <v>2017</v>
      </c>
      <c r="W551" t="str">
        <f>VLOOKUP(D551,'Table corresp.'!$M$4:$S$63,7,FALSE)</f>
        <v>Exportation</v>
      </c>
      <c r="X551" s="167">
        <f>IFERROR(G551/SUMIFS('Comp2016-2017 (3)'!$I$5:$I$289,'Comp2016-2017 (3)'!$A$5:$A$289,A551,'Comp2016-2017 (3)'!$R$5:$R$289,V551),0)</f>
        <v>0.20413394613022601</v>
      </c>
      <c r="Y551" s="190">
        <f>IFERROR(IF(RIGHT(F551,3)="Exp",VLOOKUP(F551,#REF!,2,FALSE),VLOOKUP(F551,#REF!,9,FALSE)),1)</f>
        <v>1</v>
      </c>
      <c r="Z551" s="167">
        <f t="shared" si="64"/>
        <v>0.5</v>
      </c>
      <c r="AA551" s="189">
        <f t="shared" si="63"/>
        <v>0.102066973065113</v>
      </c>
      <c r="AB551" s="2">
        <f>IFERROR(SUMIFS('Comp2016-2017 (3)'!$G$5:$G$289,'Comp2016-2017 (3)'!$A$5:$A$289,A551,'Comp2016-2017 (3)'!$R$5:$R$289,V551)*AA551/SUMIFS($AA$4:$AA$1116,$A$4:$A$1116,A551,$V$4:$V$1116,V551),0)</f>
        <v>10616.63241810334</v>
      </c>
      <c r="AC551" s="2">
        <f>IF($W551=AC$3,$AB551,IF(NOT($W551=0),"",SUMIFS('Val-Vol (2)'!AC$4:AC$1116,'Val-Vol (2)'!$A$4:$A$1116,$D551,'Val-Vol (2)'!$V$4:$V$1116,$V551)/SUMIFS('Comp2016-2017 (3)'!$G$5:$G$289,'Comp2016-2017 (3)'!$A$5:$A$289,$D551,'Comp2016-2017 (3)'!$R$5:$R$289,$V551)*$AB551))</f>
        <v>10616.63241810334</v>
      </c>
      <c r="AD551" s="2" t="str">
        <f>IF($W551=AD$3,$AB551,IF(NOT($W551=0),"",SUMIFS('Val-Vol (2)'!AD$4:AD$1116,'Val-Vol (2)'!$A$4:$A$1116,$D551,'Val-Vol (2)'!$V$4:$V$1116,$V551)/SUMIFS('Comp2016-2017 (3)'!$G$5:$G$289,'Comp2016-2017 (3)'!$A$5:$A$289,$D551,'Comp2016-2017 (3)'!$R$5:$R$289,$V551)*$AB551))</f>
        <v/>
      </c>
      <c r="AE551" s="2" t="str">
        <f>IF($W551=AE$3,$AB551,IF(NOT($W551=0),"",SUMIFS('Val-Vol (2)'!AE$4:AE$1116,'Val-Vol (2)'!$A$4:$A$1116,$D551,'Val-Vol (2)'!$V$4:$V$1116,$V551)/SUMIFS('Comp2016-2017 (3)'!$G$5:$G$289,'Comp2016-2017 (3)'!$A$5:$A$289,$D551,'Comp2016-2017 (3)'!$R$5:$R$289,$V551)*$AB551))</f>
        <v/>
      </c>
      <c r="AF551" s="2" t="str">
        <f>IF($W551=AF$3,$AB551,IF(NOT($W551=0),"",SUMIFS('Val-Vol (2)'!AF$4:AF$1116,'Val-Vol (2)'!$A$4:$A$1116,$D551,'Val-Vol (2)'!$V$4:$V$1116,$V551)/SUMIFS('Comp2016-2017 (3)'!$G$5:$G$289,'Comp2016-2017 (3)'!$A$5:$A$289,$D551,'Comp2016-2017 (3)'!$R$5:$R$289,$V551)*$AB551))</f>
        <v/>
      </c>
      <c r="AG551" s="2" t="str">
        <f>IF($W551=AG$3,$AB551,IF(NOT($W551=0),"",SUMIFS('Val-Vol (2)'!AG$4:AG$1116,'Val-Vol (2)'!$A$4:$A$1116,$D551,'Val-Vol (2)'!$V$4:$V$1116,$V551)/SUMIFS('Comp2016-2017 (3)'!$G$5:$G$289,'Comp2016-2017 (3)'!$A$5:$A$289,$D551,'Comp2016-2017 (3)'!$R$5:$R$289,$V551)*$AB551))</f>
        <v/>
      </c>
      <c r="AH551" s="2" t="str">
        <f>IF($W551=AH$3,$AB551,IF(NOT($W551=0),"",SUMIFS('Val-Vol (2)'!AH$4:AH$1116,'Val-Vol (2)'!$A$4:$A$1116,$D551,'Val-Vol (2)'!$V$4:$V$1116,$V551)/SUMIFS('Comp2016-2017 (3)'!$G$5:$G$289,'Comp2016-2017 (3)'!$A$5:$A$289,$D551,'Comp2016-2017 (3)'!$R$5:$R$289,$V551)*$AB551))</f>
        <v/>
      </c>
      <c r="AI551" s="2" t="str">
        <f>IF($W551=AI$3,$AB551,IF(NOT($W551=0),"",SUMIFS('Val-Vol (2)'!AI$4:AI$1116,'Val-Vol (2)'!$A$4:$A$1116,$D551,'Val-Vol (2)'!$V$4:$V$1116,$V551)/SUMIFS('Comp2016-2017 (3)'!$G$5:$G$289,'Comp2016-2017 (3)'!$A$5:$A$289,$D551,'Comp2016-2017 (3)'!$R$5:$R$289,$V551)*$AB551))</f>
        <v/>
      </c>
      <c r="AJ551" s="2" t="str">
        <f>IF($W551=AJ$3,$AB551,IF(NOT($W551=0),"",SUMIFS('Val-Vol (2)'!AJ$4:AJ$1116,'Val-Vol (2)'!$A$4:$A$1116,$D551,'Val-Vol (2)'!$V$4:$V$1116,$V551)/SUMIFS('Comp2016-2017 (3)'!$G$5:$G$289,'Comp2016-2017 (3)'!$A$5:$A$289,$D551,'Comp2016-2017 (3)'!$R$5:$R$289,$V551)*$AB551))</f>
        <v/>
      </c>
      <c r="AK551" s="2">
        <f t="shared" si="60"/>
        <v>0</v>
      </c>
      <c r="AL551" t="str">
        <f t="shared" si="62"/>
        <v/>
      </c>
      <c r="AM551" t="str">
        <f>VLOOKUP(A551,'Table corresp.'!$M$4:$U$63,8,FALSE)</f>
        <v>Production intermédiaire</v>
      </c>
      <c r="AN551" t="str">
        <f>VLOOKUP(D551,'Table corresp.'!$M$4:$U$63,9,FALSE)</f>
        <v>Exportation</v>
      </c>
    </row>
    <row r="552" spans="1:40" x14ac:dyDescent="0.25">
      <c r="A552" t="s">
        <v>84</v>
      </c>
      <c r="B552" t="str">
        <f>VLOOKUP(LEFT(A552,3),'Table corresp.'!$A$4:$D$63,3,FALSE)</f>
        <v>Transformation</v>
      </c>
      <c r="C552" t="str">
        <f>VLOOKUP(A552,'Table corresp.'!$M$4:$P$63,4,FALSE)</f>
        <v>Production et transformation de produits bois</v>
      </c>
      <c r="D552" t="s">
        <v>85</v>
      </c>
      <c r="E552" t="str">
        <f>VLOOKUP(LEFT(D552,3),'Table corresp.'!$A$4:$D$63,4,FALSE)</f>
        <v>Transformation</v>
      </c>
      <c r="F552" t="str">
        <f t="shared" si="61"/>
        <v xml:space="preserve">17  - 29 </v>
      </c>
      <c r="G552" s="3">
        <v>21332.914620427724</v>
      </c>
      <c r="H552" s="3">
        <v>5518.107</v>
      </c>
      <c r="I552" s="3">
        <v>26852.272534169606</v>
      </c>
      <c r="J552" s="3">
        <v>148.55513860898921</v>
      </c>
      <c r="K552" s="3">
        <v>25.374616840048773</v>
      </c>
      <c r="L552" s="3">
        <v>173.929755449038</v>
      </c>
      <c r="M552" s="3">
        <v>0</v>
      </c>
      <c r="N552" s="3">
        <v>0</v>
      </c>
      <c r="O552" s="3">
        <v>0</v>
      </c>
      <c r="P552" s="3">
        <v>0</v>
      </c>
      <c r="Q552" s="3">
        <v>0</v>
      </c>
      <c r="R552" s="3">
        <v>0</v>
      </c>
      <c r="S552" s="67"/>
      <c r="T552">
        <f>VLOOKUP(A552,'Groupe de branches'!$Z$27:$AM$86,14,FALSE)</f>
        <v>0</v>
      </c>
      <c r="U552">
        <f>VLOOKUP(D552,'Groupe de branches'!$Z$27:$AM$86,14,FALSE)</f>
        <v>0</v>
      </c>
      <c r="V552">
        <v>2017</v>
      </c>
      <c r="W552" t="str">
        <f>VLOOKUP(D552,'Table corresp.'!$M$4:$S$63,7,FALSE)</f>
        <v>Construction</v>
      </c>
      <c r="X552" s="167">
        <f>IFERROR(G552/SUMIFS('Comp2016-2017 (3)'!$I$5:$I$289,'Comp2016-2017 (3)'!$A$5:$A$289,A552,'Comp2016-2017 (3)'!$R$5:$R$289,V552),0)</f>
        <v>0.49445843839415737</v>
      </c>
      <c r="Y552" s="190">
        <f>IFERROR(IF(RIGHT(F552,3)="Exp",VLOOKUP(F552,#REF!,2,FALSE),VLOOKUP(F552,#REF!,9,FALSE)),1)</f>
        <v>1</v>
      </c>
      <c r="Z552" s="167">
        <f t="shared" si="64"/>
        <v>0.5</v>
      </c>
      <c r="AA552" s="189">
        <f t="shared" si="63"/>
        <v>0.24722921919707869</v>
      </c>
      <c r="AB552" s="2">
        <f>IFERROR(SUMIFS('Comp2016-2017 (3)'!$G$5:$G$289,'Comp2016-2017 (3)'!$A$5:$A$289,A552,'Comp2016-2017 (3)'!$R$5:$R$289,V552)*AA552/SUMIFS($AA$4:$AA$1116,$A$4:$A$1116,A552,$V$4:$V$1116,V552),0)</f>
        <v>5130.1102414032557</v>
      </c>
      <c r="AC552" s="2" t="str">
        <f>IF($W552=AC$3,$AB552,IF(NOT($W552=0),"",SUMIFS('Val-Vol (2)'!AC$4:AC$1116,'Val-Vol (2)'!$A$4:$A$1116,$D552,'Val-Vol (2)'!$V$4:$V$1116,$V552)/SUMIFS('Comp2016-2017 (3)'!$G$5:$G$289,'Comp2016-2017 (3)'!$A$5:$A$289,$D552,'Comp2016-2017 (3)'!$R$5:$R$289,$V552)*$AB552))</f>
        <v/>
      </c>
      <c r="AD552" s="2">
        <f>IF($W552=AD$3,$AB552,IF(NOT($W552=0),"",SUMIFS('Val-Vol (2)'!AD$4:AD$1116,'Val-Vol (2)'!$A$4:$A$1116,$D552,'Val-Vol (2)'!$V$4:$V$1116,$V552)/SUMIFS('Comp2016-2017 (3)'!$G$5:$G$289,'Comp2016-2017 (3)'!$A$5:$A$289,$D552,'Comp2016-2017 (3)'!$R$5:$R$289,$V552)*$AB552))</f>
        <v>5130.1102414032557</v>
      </c>
      <c r="AE552" s="2" t="str">
        <f>IF($W552=AE$3,$AB552,IF(NOT($W552=0),"",SUMIFS('Val-Vol (2)'!AE$4:AE$1116,'Val-Vol (2)'!$A$4:$A$1116,$D552,'Val-Vol (2)'!$V$4:$V$1116,$V552)/SUMIFS('Comp2016-2017 (3)'!$G$5:$G$289,'Comp2016-2017 (3)'!$A$5:$A$289,$D552,'Comp2016-2017 (3)'!$R$5:$R$289,$V552)*$AB552))</f>
        <v/>
      </c>
      <c r="AF552" s="2" t="str">
        <f>IF($W552=AF$3,$AB552,IF(NOT($W552=0),"",SUMIFS('Val-Vol (2)'!AF$4:AF$1116,'Val-Vol (2)'!$A$4:$A$1116,$D552,'Val-Vol (2)'!$V$4:$V$1116,$V552)/SUMIFS('Comp2016-2017 (3)'!$G$5:$G$289,'Comp2016-2017 (3)'!$A$5:$A$289,$D552,'Comp2016-2017 (3)'!$R$5:$R$289,$V552)*$AB552))</f>
        <v/>
      </c>
      <c r="AG552" s="2" t="str">
        <f>IF($W552=AG$3,$AB552,IF(NOT($W552=0),"",SUMIFS('Val-Vol (2)'!AG$4:AG$1116,'Val-Vol (2)'!$A$4:$A$1116,$D552,'Val-Vol (2)'!$V$4:$V$1116,$V552)/SUMIFS('Comp2016-2017 (3)'!$G$5:$G$289,'Comp2016-2017 (3)'!$A$5:$A$289,$D552,'Comp2016-2017 (3)'!$R$5:$R$289,$V552)*$AB552))</f>
        <v/>
      </c>
      <c r="AH552" s="2" t="str">
        <f>IF($W552=AH$3,$AB552,IF(NOT($W552=0),"",SUMIFS('Val-Vol (2)'!AH$4:AH$1116,'Val-Vol (2)'!$A$4:$A$1116,$D552,'Val-Vol (2)'!$V$4:$V$1116,$V552)/SUMIFS('Comp2016-2017 (3)'!$G$5:$G$289,'Comp2016-2017 (3)'!$A$5:$A$289,$D552,'Comp2016-2017 (3)'!$R$5:$R$289,$V552)*$AB552))</f>
        <v/>
      </c>
      <c r="AI552" s="2" t="str">
        <f>IF($W552=AI$3,$AB552,IF(NOT($W552=0),"",SUMIFS('Val-Vol (2)'!AI$4:AI$1116,'Val-Vol (2)'!$A$4:$A$1116,$D552,'Val-Vol (2)'!$V$4:$V$1116,$V552)/SUMIFS('Comp2016-2017 (3)'!$G$5:$G$289,'Comp2016-2017 (3)'!$A$5:$A$289,$D552,'Comp2016-2017 (3)'!$R$5:$R$289,$V552)*$AB552))</f>
        <v/>
      </c>
      <c r="AJ552" s="2" t="str">
        <f>IF($W552=AJ$3,$AB552,IF(NOT($W552=0),"",SUMIFS('Val-Vol (2)'!AJ$4:AJ$1116,'Val-Vol (2)'!$A$4:$A$1116,$D552,'Val-Vol (2)'!$V$4:$V$1116,$V552)/SUMIFS('Comp2016-2017 (3)'!$G$5:$G$289,'Comp2016-2017 (3)'!$A$5:$A$289,$D552,'Comp2016-2017 (3)'!$R$5:$R$289,$V552)*$AB552))</f>
        <v/>
      </c>
      <c r="AK552" s="2">
        <f t="shared" si="60"/>
        <v>0</v>
      </c>
      <c r="AL552" t="str">
        <f t="shared" si="62"/>
        <v/>
      </c>
      <c r="AM552" t="str">
        <f>VLOOKUP(A552,'Table corresp.'!$M$4:$U$63,8,FALSE)</f>
        <v>Production intermédiaire</v>
      </c>
      <c r="AN552" t="str">
        <f>VLOOKUP(D552,'Table corresp.'!$M$4:$U$63,9,FALSE)</f>
        <v>Production intermédiaire</v>
      </c>
    </row>
    <row r="553" spans="1:40" x14ac:dyDescent="0.25">
      <c r="A553" t="s">
        <v>84</v>
      </c>
      <c r="B553" t="str">
        <f>VLOOKUP(LEFT(A553,3),'Table corresp.'!$A$4:$D$63,3,FALSE)</f>
        <v>Transformation</v>
      </c>
      <c r="C553" t="str">
        <f>VLOOKUP(A553,'Table corresp.'!$M$4:$P$63,4,FALSE)</f>
        <v>Production et transformation de produits bois</v>
      </c>
      <c r="D553" t="s">
        <v>53</v>
      </c>
      <c r="E553" t="str">
        <f>VLOOKUP(LEFT(D553,3),'Table corresp.'!$A$4:$D$63,4,FALSE)</f>
        <v>Exportation</v>
      </c>
      <c r="F553" t="str">
        <f t="shared" si="61"/>
        <v>17  - Exp</v>
      </c>
      <c r="G553" s="3">
        <v>21811.084882766518</v>
      </c>
      <c r="H553" s="3">
        <v>0</v>
      </c>
      <c r="I553" s="3">
        <v>21812.101000000002</v>
      </c>
      <c r="J553" s="3">
        <v>155.16982819597493</v>
      </c>
      <c r="K553" s="3">
        <v>0</v>
      </c>
      <c r="L553" s="3">
        <v>155.16982819597493</v>
      </c>
      <c r="M553" s="3">
        <v>0</v>
      </c>
      <c r="N553" s="3">
        <v>0</v>
      </c>
      <c r="O553" s="3">
        <v>0</v>
      </c>
      <c r="P553" s="3">
        <v>0</v>
      </c>
      <c r="Q553" s="3">
        <v>0</v>
      </c>
      <c r="R553" s="3">
        <v>0</v>
      </c>
      <c r="S553" s="67"/>
      <c r="T553">
        <f>VLOOKUP(A553,'Groupe de branches'!$Z$27:$AM$86,14,FALSE)</f>
        <v>0</v>
      </c>
      <c r="U553">
        <f>VLOOKUP(D553,'Groupe de branches'!$Z$27:$AM$86,14,FALSE)</f>
        <v>0</v>
      </c>
      <c r="V553">
        <v>2017</v>
      </c>
      <c r="W553" t="str">
        <f>VLOOKUP(D553,'Table corresp.'!$M$4:$S$63,7,FALSE)</f>
        <v>Exportation</v>
      </c>
      <c r="X553" s="167">
        <f>IFERROR(G553/SUMIFS('Comp2016-2017 (3)'!$I$5:$I$289,'Comp2016-2017 (3)'!$A$5:$A$289,A553,'Comp2016-2017 (3)'!$R$5:$R$289,V553),0)</f>
        <v>0.50554156160584274</v>
      </c>
      <c r="Y553" s="190">
        <f>IFERROR(IF(RIGHT(F553,3)="Exp",VLOOKUP(F553,#REF!,2,FALSE),VLOOKUP(F553,#REF!,9,FALSE)),1)</f>
        <v>1</v>
      </c>
      <c r="Z553" s="167">
        <f t="shared" si="64"/>
        <v>0.5</v>
      </c>
      <c r="AA553" s="189">
        <f t="shared" si="63"/>
        <v>0.25277078080292137</v>
      </c>
      <c r="AB553" s="2">
        <f>IFERROR(SUMIFS('Comp2016-2017 (3)'!$G$5:$G$289,'Comp2016-2017 (3)'!$A$5:$A$289,A553,'Comp2016-2017 (3)'!$R$5:$R$289,V553)*AA553/SUMIFS($AA$4:$AA$1116,$A$4:$A$1116,A553,$V$4:$V$1116,V553),0)</f>
        <v>5245.0999745740692</v>
      </c>
      <c r="AC553" s="2">
        <f>IF($W553=AC$3,$AB553,IF(NOT($W553=0),"",SUMIFS('Val-Vol (2)'!AC$4:AC$1116,'Val-Vol (2)'!$A$4:$A$1116,$D553,'Val-Vol (2)'!$V$4:$V$1116,$V553)/SUMIFS('Comp2016-2017 (3)'!$G$5:$G$289,'Comp2016-2017 (3)'!$A$5:$A$289,$D553,'Comp2016-2017 (3)'!$R$5:$R$289,$V553)*$AB553))</f>
        <v>5245.0999745740692</v>
      </c>
      <c r="AD553" s="2" t="str">
        <f>IF($W553=AD$3,$AB553,IF(NOT($W553=0),"",SUMIFS('Val-Vol (2)'!AD$4:AD$1116,'Val-Vol (2)'!$A$4:$A$1116,$D553,'Val-Vol (2)'!$V$4:$V$1116,$V553)/SUMIFS('Comp2016-2017 (3)'!$G$5:$G$289,'Comp2016-2017 (3)'!$A$5:$A$289,$D553,'Comp2016-2017 (3)'!$R$5:$R$289,$V553)*$AB553))</f>
        <v/>
      </c>
      <c r="AE553" s="2" t="str">
        <f>IF($W553=AE$3,$AB553,IF(NOT($W553=0),"",SUMIFS('Val-Vol (2)'!AE$4:AE$1116,'Val-Vol (2)'!$A$4:$A$1116,$D553,'Val-Vol (2)'!$V$4:$V$1116,$V553)/SUMIFS('Comp2016-2017 (3)'!$G$5:$G$289,'Comp2016-2017 (3)'!$A$5:$A$289,$D553,'Comp2016-2017 (3)'!$R$5:$R$289,$V553)*$AB553))</f>
        <v/>
      </c>
      <c r="AF553" s="2" t="str">
        <f>IF($W553=AF$3,$AB553,IF(NOT($W553=0),"",SUMIFS('Val-Vol (2)'!AF$4:AF$1116,'Val-Vol (2)'!$A$4:$A$1116,$D553,'Val-Vol (2)'!$V$4:$V$1116,$V553)/SUMIFS('Comp2016-2017 (3)'!$G$5:$G$289,'Comp2016-2017 (3)'!$A$5:$A$289,$D553,'Comp2016-2017 (3)'!$R$5:$R$289,$V553)*$AB553))</f>
        <v/>
      </c>
      <c r="AG553" s="2" t="str">
        <f>IF($W553=AG$3,$AB553,IF(NOT($W553=0),"",SUMIFS('Val-Vol (2)'!AG$4:AG$1116,'Val-Vol (2)'!$A$4:$A$1116,$D553,'Val-Vol (2)'!$V$4:$V$1116,$V553)/SUMIFS('Comp2016-2017 (3)'!$G$5:$G$289,'Comp2016-2017 (3)'!$A$5:$A$289,$D553,'Comp2016-2017 (3)'!$R$5:$R$289,$V553)*$AB553))</f>
        <v/>
      </c>
      <c r="AH553" s="2" t="str">
        <f>IF($W553=AH$3,$AB553,IF(NOT($W553=0),"",SUMIFS('Val-Vol (2)'!AH$4:AH$1116,'Val-Vol (2)'!$A$4:$A$1116,$D553,'Val-Vol (2)'!$V$4:$V$1116,$V553)/SUMIFS('Comp2016-2017 (3)'!$G$5:$G$289,'Comp2016-2017 (3)'!$A$5:$A$289,$D553,'Comp2016-2017 (3)'!$R$5:$R$289,$V553)*$AB553))</f>
        <v/>
      </c>
      <c r="AI553" s="2" t="str">
        <f>IF($W553=AI$3,$AB553,IF(NOT($W553=0),"",SUMIFS('Val-Vol (2)'!AI$4:AI$1116,'Val-Vol (2)'!$A$4:$A$1116,$D553,'Val-Vol (2)'!$V$4:$V$1116,$V553)/SUMIFS('Comp2016-2017 (3)'!$G$5:$G$289,'Comp2016-2017 (3)'!$A$5:$A$289,$D553,'Comp2016-2017 (3)'!$R$5:$R$289,$V553)*$AB553))</f>
        <v/>
      </c>
      <c r="AJ553" s="2" t="str">
        <f>IF($W553=AJ$3,$AB553,IF(NOT($W553=0),"",SUMIFS('Val-Vol (2)'!AJ$4:AJ$1116,'Val-Vol (2)'!$A$4:$A$1116,$D553,'Val-Vol (2)'!$V$4:$V$1116,$V553)/SUMIFS('Comp2016-2017 (3)'!$G$5:$G$289,'Comp2016-2017 (3)'!$A$5:$A$289,$D553,'Comp2016-2017 (3)'!$R$5:$R$289,$V553)*$AB553))</f>
        <v/>
      </c>
      <c r="AK553" s="2">
        <f t="shared" si="60"/>
        <v>0</v>
      </c>
      <c r="AL553" t="str">
        <f t="shared" si="62"/>
        <v/>
      </c>
      <c r="AM553" t="str">
        <f>VLOOKUP(A553,'Table corresp.'!$M$4:$U$63,8,FALSE)</f>
        <v>Production intermédiaire</v>
      </c>
      <c r="AN553" t="str">
        <f>VLOOKUP(D553,'Table corresp.'!$M$4:$U$63,9,FALSE)</f>
        <v>Exportation</v>
      </c>
    </row>
    <row r="554" spans="1:40" x14ac:dyDescent="0.25">
      <c r="A554" t="s">
        <v>11</v>
      </c>
      <c r="B554" t="str">
        <f>VLOOKUP(LEFT(A554,3),'Table corresp.'!$A$4:$D$63,3,FALSE)</f>
        <v>Produits connexes du sciage</v>
      </c>
      <c r="C554" t="str">
        <f>VLOOKUP(A554,'Table corresp.'!$M$4:$P$63,4,FALSE)</f>
        <v>Production et transformation de produits bois</v>
      </c>
      <c r="D554" t="s">
        <v>87</v>
      </c>
      <c r="E554" t="str">
        <f>VLOOKUP(LEFT(D554,3),'Table corresp.'!$A$4:$D$63,4,FALSE)</f>
        <v>Transformation</v>
      </c>
      <c r="F554" t="str">
        <f t="shared" si="61"/>
        <v xml:space="preserve">18  - 31 </v>
      </c>
      <c r="G554" s="3">
        <v>34711.905736683271</v>
      </c>
      <c r="H554" s="3">
        <v>17131.52</v>
      </c>
      <c r="I554" s="3">
        <v>51843.466570159399</v>
      </c>
      <c r="J554" s="3">
        <v>0</v>
      </c>
      <c r="K554" s="3">
        <v>0</v>
      </c>
      <c r="L554" s="3">
        <v>0</v>
      </c>
      <c r="M554" s="3">
        <v>1170.1939530345317</v>
      </c>
      <c r="N554" s="3">
        <v>254.17818290235269</v>
      </c>
      <c r="O554" s="3">
        <v>1424.3721359368844</v>
      </c>
      <c r="P554" s="3">
        <v>0</v>
      </c>
      <c r="Q554" s="3">
        <v>0</v>
      </c>
      <c r="R554" s="3">
        <v>0</v>
      </c>
      <c r="S554" s="67"/>
      <c r="T554">
        <f>VLOOKUP(A554,'Groupe de branches'!$Z$27:$AM$86,14,FALSE)</f>
        <v>0</v>
      </c>
      <c r="U554">
        <f>VLOOKUP(D554,'Groupe de branches'!$Z$27:$AM$86,14,FALSE)</f>
        <v>0</v>
      </c>
      <c r="V554">
        <v>2017</v>
      </c>
      <c r="W554">
        <f>VLOOKUP(D554,'Table corresp.'!$M$4:$S$63,7,FALSE)</f>
        <v>0</v>
      </c>
      <c r="X554" s="167">
        <f>IFERROR(G554/SUMIFS('Comp2016-2017 (3)'!$I$5:$I$289,'Comp2016-2017 (3)'!$A$5:$A$289,A554,'Comp2016-2017 (3)'!$R$5:$R$289,V554),0)</f>
        <v>0.37899375897476706</v>
      </c>
      <c r="Y554" s="190">
        <f>IFERROR(IF(RIGHT(F554,3)="Exp",VLOOKUP(F554,#REF!,2,FALSE),VLOOKUP(F554,#REF!,9,FALSE)),1)</f>
        <v>1</v>
      </c>
      <c r="Z554" s="167">
        <f t="shared" si="64"/>
        <v>0.25</v>
      </c>
      <c r="AA554" s="189">
        <f t="shared" si="63"/>
        <v>9.4748439743691765E-2</v>
      </c>
      <c r="AB554" s="2">
        <f>IFERROR(SUMIFS('Comp2016-2017 (3)'!$G$5:$G$289,'Comp2016-2017 (3)'!$A$5:$A$289,A554,'Comp2016-2017 (3)'!$R$5:$R$289,V554)*AA554/SUMIFS($AA$4:$AA$1116,$A$4:$A$1116,A554,$V$4:$V$1116,V554),0)</f>
        <v>34711.905736683242</v>
      </c>
      <c r="AC554" s="2">
        <f>IF($W554=AC$3,$AB554,IF(NOT($W554=0),"",SUMIFS('Val-Vol (2)'!AC$4:AC$1116,'Val-Vol (2)'!$A$4:$A$1116,$D554,'Val-Vol (2)'!$V$4:$V$1116,$V554)/SUMIFS('Comp2016-2017 (3)'!$G$5:$G$289,'Comp2016-2017 (3)'!$A$5:$A$289,$D554,'Comp2016-2017 (3)'!$R$5:$R$289,$V554)*$AB554))</f>
        <v>18427.535214061292</v>
      </c>
      <c r="AD554" s="2">
        <f>IF($W554=AD$3,$AB554,IF(NOT($W554=0),"",SUMIFS('Val-Vol (2)'!AD$4:AD$1116,'Val-Vol (2)'!$A$4:$A$1116,$D554,'Val-Vol (2)'!$V$4:$V$1116,$V554)/SUMIFS('Comp2016-2017 (3)'!$G$5:$G$289,'Comp2016-2017 (3)'!$A$5:$A$289,$D554,'Comp2016-2017 (3)'!$R$5:$R$289,$V554)*$AB554))</f>
        <v>5317.2552435687667</v>
      </c>
      <c r="AE554" s="2">
        <f>IF($W554=AE$3,$AB554,IF(NOT($W554=0),"",SUMIFS('Val-Vol (2)'!AE$4:AE$1116,'Val-Vol (2)'!$A$4:$A$1116,$D554,'Val-Vol (2)'!$V$4:$V$1116,$V554)/SUMIFS('Comp2016-2017 (3)'!$G$5:$G$289,'Comp2016-2017 (3)'!$A$5:$A$289,$D554,'Comp2016-2017 (3)'!$R$5:$R$289,$V554)*$AB554))</f>
        <v>6803.0863547531162</v>
      </c>
      <c r="AF554" s="2">
        <f>IF($W554=AF$3,$AB554,IF(NOT($W554=0),"",SUMIFS('Val-Vol (2)'!AF$4:AF$1116,'Val-Vol (2)'!$A$4:$A$1116,$D554,'Val-Vol (2)'!$V$4:$V$1116,$V554)/SUMIFS('Comp2016-2017 (3)'!$G$5:$G$289,'Comp2016-2017 (3)'!$A$5:$A$289,$D554,'Comp2016-2017 (3)'!$R$5:$R$289,$V554)*$AB554))</f>
        <v>0</v>
      </c>
      <c r="AG554" s="2">
        <f>IF($W554=AG$3,$AB554,IF(NOT($W554=0),"",SUMIFS('Val-Vol (2)'!AG$4:AG$1116,'Val-Vol (2)'!$A$4:$A$1116,$D554,'Val-Vol (2)'!$V$4:$V$1116,$V554)/SUMIFS('Comp2016-2017 (3)'!$G$5:$G$289,'Comp2016-2017 (3)'!$A$5:$A$289,$D554,'Comp2016-2017 (3)'!$R$5:$R$289,$V554)*$AB554))</f>
        <v>3148.5636912903328</v>
      </c>
      <c r="AH554" s="2">
        <f>IF($W554=AH$3,$AB554,IF(NOT($W554=0),"",SUMIFS('Val-Vol (2)'!AH$4:AH$1116,'Val-Vol (2)'!$A$4:$A$1116,$D554,'Val-Vol (2)'!$V$4:$V$1116,$V554)/SUMIFS('Comp2016-2017 (3)'!$G$5:$G$289,'Comp2016-2017 (3)'!$A$5:$A$289,$D554,'Comp2016-2017 (3)'!$R$5:$R$289,$V554)*$AB554))</f>
        <v>0</v>
      </c>
      <c r="AI554" s="2">
        <f>IF($W554=AI$3,$AB554,IF(NOT($W554=0),"",SUMIFS('Val-Vol (2)'!AI$4:AI$1116,'Val-Vol (2)'!$A$4:$A$1116,$D554,'Val-Vol (2)'!$V$4:$V$1116,$V554)/SUMIFS('Comp2016-2017 (3)'!$G$5:$G$289,'Comp2016-2017 (3)'!$A$5:$A$289,$D554,'Comp2016-2017 (3)'!$R$5:$R$289,$V554)*$AB554))</f>
        <v>0</v>
      </c>
      <c r="AJ554" s="2">
        <f>IF($W554=AJ$3,$AB554,IF(NOT($W554=0),"",SUMIFS('Val-Vol (2)'!AJ$4:AJ$1116,'Val-Vol (2)'!$A$4:$A$1116,$D554,'Val-Vol (2)'!$V$4:$V$1116,$V554)/SUMIFS('Comp2016-2017 (3)'!$G$5:$G$289,'Comp2016-2017 (3)'!$A$5:$A$289,$D554,'Comp2016-2017 (3)'!$R$5:$R$289,$V554)*$AB554))</f>
        <v>1015.4652330097332</v>
      </c>
      <c r="AK554" s="2">
        <f t="shared" si="60"/>
        <v>0</v>
      </c>
      <c r="AL554" t="str">
        <f t="shared" si="62"/>
        <v/>
      </c>
      <c r="AM554" t="str">
        <f>VLOOKUP(A554,'Table corresp.'!$M$4:$U$63,8,FALSE)</f>
        <v>Produits connexes du sciage</v>
      </c>
      <c r="AN554" t="str">
        <f>VLOOKUP(D554,'Table corresp.'!$M$4:$U$63,9,FALSE)</f>
        <v>Production intermédiaire</v>
      </c>
    </row>
    <row r="555" spans="1:40" x14ac:dyDescent="0.25">
      <c r="A555" t="s">
        <v>11</v>
      </c>
      <c r="B555" t="str">
        <f>VLOOKUP(LEFT(A555,3),'Table corresp.'!$A$4:$D$63,3,FALSE)</f>
        <v>Produits connexes du sciage</v>
      </c>
      <c r="C555" t="str">
        <f>VLOOKUP(A555,'Table corresp.'!$M$4:$P$63,4,FALSE)</f>
        <v>Production et transformation de produits bois</v>
      </c>
      <c r="D555" t="s">
        <v>95</v>
      </c>
      <c r="E555" t="str">
        <f>VLOOKUP(LEFT(D555,3),'Table corresp.'!$A$4:$D$63,4,FALSE)</f>
        <v>Transformation</v>
      </c>
      <c r="F555" t="str">
        <f t="shared" si="61"/>
        <v xml:space="preserve">18  - 43 </v>
      </c>
      <c r="G555" s="3">
        <v>47431.275107167901</v>
      </c>
      <c r="H555" s="3">
        <v>0</v>
      </c>
      <c r="I555" s="3">
        <v>47431.312465498529</v>
      </c>
      <c r="J555" s="3">
        <v>0</v>
      </c>
      <c r="K555" s="3">
        <v>0</v>
      </c>
      <c r="L555" s="3">
        <v>0</v>
      </c>
      <c r="M555" s="3">
        <v>1423.2348787596068</v>
      </c>
      <c r="N555" s="3">
        <v>0</v>
      </c>
      <c r="O555" s="3">
        <v>1423.2348787596068</v>
      </c>
      <c r="P555" s="3">
        <v>0</v>
      </c>
      <c r="Q555" s="3">
        <v>0</v>
      </c>
      <c r="R555" s="3">
        <v>0</v>
      </c>
      <c r="S555" s="67"/>
      <c r="T555">
        <f>VLOOKUP(A555,'Groupe de branches'!$Z$27:$AM$86,14,FALSE)</f>
        <v>0</v>
      </c>
      <c r="U555">
        <f>VLOOKUP(D555,'Groupe de branches'!$Z$27:$AM$86,14,FALSE)</f>
        <v>0</v>
      </c>
      <c r="V555">
        <v>2017</v>
      </c>
      <c r="W555" t="str">
        <f>VLOOKUP(D555,'Table corresp.'!$M$4:$S$63,7,FALSE)</f>
        <v>Pate &amp; papier &amp; carton</v>
      </c>
      <c r="X555" s="167">
        <f>IFERROR(G555/SUMIFS('Comp2016-2017 (3)'!$I$5:$I$289,'Comp2016-2017 (3)'!$A$5:$A$289,A555,'Comp2016-2017 (3)'!$R$5:$R$289,V555),0)</f>
        <v>0.51786719467939779</v>
      </c>
      <c r="Y555" s="190">
        <f>IFERROR(IF(RIGHT(F555,3)="Exp",VLOOKUP(F555,#REF!,2,FALSE),VLOOKUP(F555,#REF!,9,FALSE)),1)</f>
        <v>1</v>
      </c>
      <c r="Z555" s="167">
        <f t="shared" si="64"/>
        <v>0.25</v>
      </c>
      <c r="AA555" s="189">
        <f t="shared" si="63"/>
        <v>0.12946679866984945</v>
      </c>
      <c r="AB555" s="2">
        <f>IFERROR(SUMIFS('Comp2016-2017 (3)'!$G$5:$G$289,'Comp2016-2017 (3)'!$A$5:$A$289,A555,'Comp2016-2017 (3)'!$R$5:$R$289,V555)*AA555/SUMIFS($AA$4:$AA$1116,$A$4:$A$1116,A555,$V$4:$V$1116,V555),0)</f>
        <v>47431.275107167858</v>
      </c>
      <c r="AC555" s="2" t="str">
        <f>IF($W555=AC$3,$AB555,IF(NOT($W555=0),"",SUMIFS('Val-Vol (2)'!AC$4:AC$1116,'Val-Vol (2)'!$A$4:$A$1116,$D555,'Val-Vol (2)'!$V$4:$V$1116,$V555)/SUMIFS('Comp2016-2017 (3)'!$G$5:$G$289,'Comp2016-2017 (3)'!$A$5:$A$289,$D555,'Comp2016-2017 (3)'!$R$5:$R$289,$V555)*$AB555))</f>
        <v/>
      </c>
      <c r="AD555" s="2" t="str">
        <f>IF($W555=AD$3,$AB555,IF(NOT($W555=0),"",SUMIFS('Val-Vol (2)'!AD$4:AD$1116,'Val-Vol (2)'!$A$4:$A$1116,$D555,'Val-Vol (2)'!$V$4:$V$1116,$V555)/SUMIFS('Comp2016-2017 (3)'!$G$5:$G$289,'Comp2016-2017 (3)'!$A$5:$A$289,$D555,'Comp2016-2017 (3)'!$R$5:$R$289,$V555)*$AB555))</f>
        <v/>
      </c>
      <c r="AE555" s="2" t="str">
        <f>IF($W555=AE$3,$AB555,IF(NOT($W555=0),"",SUMIFS('Val-Vol (2)'!AE$4:AE$1116,'Val-Vol (2)'!$A$4:$A$1116,$D555,'Val-Vol (2)'!$V$4:$V$1116,$V555)/SUMIFS('Comp2016-2017 (3)'!$G$5:$G$289,'Comp2016-2017 (3)'!$A$5:$A$289,$D555,'Comp2016-2017 (3)'!$R$5:$R$289,$V555)*$AB555))</f>
        <v/>
      </c>
      <c r="AF555" s="2">
        <f>IF($W555=AF$3,$AB555,IF(NOT($W555=0),"",SUMIFS('Val-Vol (2)'!AF$4:AF$1116,'Val-Vol (2)'!$A$4:$A$1116,$D555,'Val-Vol (2)'!$V$4:$V$1116,$V555)/SUMIFS('Comp2016-2017 (3)'!$G$5:$G$289,'Comp2016-2017 (3)'!$A$5:$A$289,$D555,'Comp2016-2017 (3)'!$R$5:$R$289,$V555)*$AB555))</f>
        <v>47431.275107167858</v>
      </c>
      <c r="AG555" s="2" t="str">
        <f>IF($W555=AG$3,$AB555,IF(NOT($W555=0),"",SUMIFS('Val-Vol (2)'!AG$4:AG$1116,'Val-Vol (2)'!$A$4:$A$1116,$D555,'Val-Vol (2)'!$V$4:$V$1116,$V555)/SUMIFS('Comp2016-2017 (3)'!$G$5:$G$289,'Comp2016-2017 (3)'!$A$5:$A$289,$D555,'Comp2016-2017 (3)'!$R$5:$R$289,$V555)*$AB555))</f>
        <v/>
      </c>
      <c r="AH555" s="2" t="str">
        <f>IF($W555=AH$3,$AB555,IF(NOT($W555=0),"",SUMIFS('Val-Vol (2)'!AH$4:AH$1116,'Val-Vol (2)'!$A$4:$A$1116,$D555,'Val-Vol (2)'!$V$4:$V$1116,$V555)/SUMIFS('Comp2016-2017 (3)'!$G$5:$G$289,'Comp2016-2017 (3)'!$A$5:$A$289,$D555,'Comp2016-2017 (3)'!$R$5:$R$289,$V555)*$AB555))</f>
        <v/>
      </c>
      <c r="AI555" s="2" t="str">
        <f>IF($W555=AI$3,$AB555,IF(NOT($W555=0),"",SUMIFS('Val-Vol (2)'!AI$4:AI$1116,'Val-Vol (2)'!$A$4:$A$1116,$D555,'Val-Vol (2)'!$V$4:$V$1116,$V555)/SUMIFS('Comp2016-2017 (3)'!$G$5:$G$289,'Comp2016-2017 (3)'!$A$5:$A$289,$D555,'Comp2016-2017 (3)'!$R$5:$R$289,$V555)*$AB555))</f>
        <v/>
      </c>
      <c r="AJ555" s="2" t="str">
        <f>IF($W555=AJ$3,$AB555,IF(NOT($W555=0),"",SUMIFS('Val-Vol (2)'!AJ$4:AJ$1116,'Val-Vol (2)'!$A$4:$A$1116,$D555,'Val-Vol (2)'!$V$4:$V$1116,$V555)/SUMIFS('Comp2016-2017 (3)'!$G$5:$G$289,'Comp2016-2017 (3)'!$A$5:$A$289,$D555,'Comp2016-2017 (3)'!$R$5:$R$289,$V555)*$AB555))</f>
        <v/>
      </c>
      <c r="AK555" s="2">
        <f t="shared" si="60"/>
        <v>0</v>
      </c>
      <c r="AL555" t="str">
        <f t="shared" si="62"/>
        <v/>
      </c>
      <c r="AM555" t="str">
        <f>VLOOKUP(A555,'Table corresp.'!$M$4:$U$63,8,FALSE)</f>
        <v>Produits connexes du sciage</v>
      </c>
      <c r="AN555" t="str">
        <f>VLOOKUP(D555,'Table corresp.'!$M$4:$U$63,9,FALSE)</f>
        <v>Production intermédiaire</v>
      </c>
    </row>
    <row r="556" spans="1:40" x14ac:dyDescent="0.25">
      <c r="A556" t="s">
        <v>11</v>
      </c>
      <c r="B556" t="str">
        <f>VLOOKUP(LEFT(A556,3),'Table corresp.'!$A$4:$D$63,3,FALSE)</f>
        <v>Produits connexes du sciage</v>
      </c>
      <c r="C556" t="str">
        <f>VLOOKUP(A556,'Table corresp.'!$M$4:$P$63,4,FALSE)</f>
        <v>Production et transformation de produits bois</v>
      </c>
      <c r="D556" t="s">
        <v>98</v>
      </c>
      <c r="E556" t="str">
        <f>VLOOKUP(LEFT(D556,3),'Table corresp.'!$A$4:$D$63,4,FALSE)</f>
        <v>Transformation</v>
      </c>
      <c r="F556" t="str">
        <f t="shared" si="61"/>
        <v xml:space="preserve">18  - 46 </v>
      </c>
      <c r="G556" s="3">
        <v>2298.9667857415147</v>
      </c>
      <c r="H556" s="3">
        <v>0</v>
      </c>
      <c r="I556" s="3">
        <v>2298.9685964784408</v>
      </c>
      <c r="J556" s="3">
        <v>0</v>
      </c>
      <c r="K556" s="3">
        <v>0</v>
      </c>
      <c r="L556" s="3">
        <v>0</v>
      </c>
      <c r="M556" s="3">
        <v>68.983380842795896</v>
      </c>
      <c r="N556" s="3">
        <v>0</v>
      </c>
      <c r="O556" s="3">
        <v>68.983380842795896</v>
      </c>
      <c r="P556" s="3">
        <v>0</v>
      </c>
      <c r="Q556" s="3">
        <v>0</v>
      </c>
      <c r="R556" s="3">
        <v>0</v>
      </c>
      <c r="S556" s="67"/>
      <c r="T556">
        <f>VLOOKUP(A556,'Groupe de branches'!$Z$27:$AM$86,14,FALSE)</f>
        <v>0</v>
      </c>
      <c r="U556">
        <f>VLOOKUP(D556,'Groupe de branches'!$Z$27:$AM$86,14,FALSE)</f>
        <v>0</v>
      </c>
      <c r="V556">
        <v>2017</v>
      </c>
      <c r="W556" t="str">
        <f>VLOOKUP(D556,'Table corresp.'!$M$4:$S$63,7,FALSE)</f>
        <v>Produits de consommation courante</v>
      </c>
      <c r="X556" s="167">
        <f>IFERROR(G556/SUMIFS('Comp2016-2017 (3)'!$I$5:$I$289,'Comp2016-2017 (3)'!$A$5:$A$289,A556,'Comp2016-2017 (3)'!$R$5:$R$289,V556),0)</f>
        <v>2.5100726836946259E-2</v>
      </c>
      <c r="Y556" s="190">
        <f>IFERROR(IF(RIGHT(F556,3)="Exp",VLOOKUP(F556,#REF!,2,FALSE),VLOOKUP(F556,#REF!,9,FALSE)),1)</f>
        <v>1</v>
      </c>
      <c r="Z556" s="167">
        <f t="shared" si="64"/>
        <v>0.25</v>
      </c>
      <c r="AA556" s="189">
        <f t="shared" si="63"/>
        <v>6.2751817092365648E-3</v>
      </c>
      <c r="AB556" s="2">
        <f>IFERROR(SUMIFS('Comp2016-2017 (3)'!$G$5:$G$289,'Comp2016-2017 (3)'!$A$5:$A$289,A556,'Comp2016-2017 (3)'!$R$5:$R$289,V556)*AA556/SUMIFS($AA$4:$AA$1116,$A$4:$A$1116,A556,$V$4:$V$1116,V556),0)</f>
        <v>2298.9667857415129</v>
      </c>
      <c r="AC556" s="2" t="str">
        <f>IF($W556=AC$3,$AB556,IF(NOT($W556=0),"",SUMIFS('Val-Vol (2)'!AC$4:AC$1116,'Val-Vol (2)'!$A$4:$A$1116,$D556,'Val-Vol (2)'!$V$4:$V$1116,$V556)/SUMIFS('Comp2016-2017 (3)'!$G$5:$G$289,'Comp2016-2017 (3)'!$A$5:$A$289,$D556,'Comp2016-2017 (3)'!$R$5:$R$289,$V556)*$AB556))</f>
        <v/>
      </c>
      <c r="AD556" s="2" t="str">
        <f>IF($W556=AD$3,$AB556,IF(NOT($W556=0),"",SUMIFS('Val-Vol (2)'!AD$4:AD$1116,'Val-Vol (2)'!$A$4:$A$1116,$D556,'Val-Vol (2)'!$V$4:$V$1116,$V556)/SUMIFS('Comp2016-2017 (3)'!$G$5:$G$289,'Comp2016-2017 (3)'!$A$5:$A$289,$D556,'Comp2016-2017 (3)'!$R$5:$R$289,$V556)*$AB556))</f>
        <v/>
      </c>
      <c r="AE556" s="2" t="str">
        <f>IF($W556=AE$3,$AB556,IF(NOT($W556=0),"",SUMIFS('Val-Vol (2)'!AE$4:AE$1116,'Val-Vol (2)'!$A$4:$A$1116,$D556,'Val-Vol (2)'!$V$4:$V$1116,$V556)/SUMIFS('Comp2016-2017 (3)'!$G$5:$G$289,'Comp2016-2017 (3)'!$A$5:$A$289,$D556,'Comp2016-2017 (3)'!$R$5:$R$289,$V556)*$AB556))</f>
        <v/>
      </c>
      <c r="AF556" s="2" t="str">
        <f>IF($W556=AF$3,$AB556,IF(NOT($W556=0),"",SUMIFS('Val-Vol (2)'!AF$4:AF$1116,'Val-Vol (2)'!$A$4:$A$1116,$D556,'Val-Vol (2)'!$V$4:$V$1116,$V556)/SUMIFS('Comp2016-2017 (3)'!$G$5:$G$289,'Comp2016-2017 (3)'!$A$5:$A$289,$D556,'Comp2016-2017 (3)'!$R$5:$R$289,$V556)*$AB556))</f>
        <v/>
      </c>
      <c r="AG556" s="2" t="str">
        <f>IF($W556=AG$3,$AB556,IF(NOT($W556=0),"",SUMIFS('Val-Vol (2)'!AG$4:AG$1116,'Val-Vol (2)'!$A$4:$A$1116,$D556,'Val-Vol (2)'!$V$4:$V$1116,$V556)/SUMIFS('Comp2016-2017 (3)'!$G$5:$G$289,'Comp2016-2017 (3)'!$A$5:$A$289,$D556,'Comp2016-2017 (3)'!$R$5:$R$289,$V556)*$AB556))</f>
        <v/>
      </c>
      <c r="AH556" s="2" t="str">
        <f>IF($W556=AH$3,$AB556,IF(NOT($W556=0),"",SUMIFS('Val-Vol (2)'!AH$4:AH$1116,'Val-Vol (2)'!$A$4:$A$1116,$D556,'Val-Vol (2)'!$V$4:$V$1116,$V556)/SUMIFS('Comp2016-2017 (3)'!$G$5:$G$289,'Comp2016-2017 (3)'!$A$5:$A$289,$D556,'Comp2016-2017 (3)'!$R$5:$R$289,$V556)*$AB556))</f>
        <v/>
      </c>
      <c r="AI556" s="2">
        <f>IF($W556=AI$3,$AB556,IF(NOT($W556=0),"",SUMIFS('Val-Vol (2)'!AI$4:AI$1116,'Val-Vol (2)'!$A$4:$A$1116,$D556,'Val-Vol (2)'!$V$4:$V$1116,$V556)/SUMIFS('Comp2016-2017 (3)'!$G$5:$G$289,'Comp2016-2017 (3)'!$A$5:$A$289,$D556,'Comp2016-2017 (3)'!$R$5:$R$289,$V556)*$AB556))</f>
        <v>2298.9667857415129</v>
      </c>
      <c r="AJ556" s="2" t="str">
        <f>IF($W556=AJ$3,$AB556,IF(NOT($W556=0),"",SUMIFS('Val-Vol (2)'!AJ$4:AJ$1116,'Val-Vol (2)'!$A$4:$A$1116,$D556,'Val-Vol (2)'!$V$4:$V$1116,$V556)/SUMIFS('Comp2016-2017 (3)'!$G$5:$G$289,'Comp2016-2017 (3)'!$A$5:$A$289,$D556,'Comp2016-2017 (3)'!$R$5:$R$289,$V556)*$AB556))</f>
        <v/>
      </c>
      <c r="AK556" s="2">
        <f t="shared" si="60"/>
        <v>0</v>
      </c>
      <c r="AL556" t="str">
        <f t="shared" si="62"/>
        <v/>
      </c>
      <c r="AM556" t="str">
        <f>VLOOKUP(A556,'Table corresp.'!$M$4:$U$63,8,FALSE)</f>
        <v>Produits connexes du sciage</v>
      </c>
      <c r="AN556" t="str">
        <f>VLOOKUP(D556,'Table corresp.'!$M$4:$U$63,9,FALSE)</f>
        <v>Production intermédiaire</v>
      </c>
    </row>
    <row r="557" spans="1:40" x14ac:dyDescent="0.25">
      <c r="A557" t="s">
        <v>11</v>
      </c>
      <c r="B557" t="str">
        <f>VLOOKUP(LEFT(A557,3),'Table corresp.'!$A$4:$D$63,3,FALSE)</f>
        <v>Produits connexes du sciage</v>
      </c>
      <c r="C557" t="str">
        <f>VLOOKUP(A557,'Table corresp.'!$M$4:$P$63,4,FALSE)</f>
        <v>Production et transformation de produits bois</v>
      </c>
      <c r="D557" t="s">
        <v>53</v>
      </c>
      <c r="E557" t="str">
        <f>VLOOKUP(LEFT(D557,3),'Table corresp.'!$A$4:$D$63,4,FALSE)</f>
        <v>Exportation</v>
      </c>
      <c r="F557" t="str">
        <f t="shared" si="61"/>
        <v>18  - Exp</v>
      </c>
      <c r="G557" s="3">
        <v>7147.5023704073719</v>
      </c>
      <c r="H557" s="3">
        <v>0</v>
      </c>
      <c r="I557" s="3">
        <v>7147.5079999999998</v>
      </c>
      <c r="J557" s="3">
        <v>0</v>
      </c>
      <c r="K557" s="3">
        <v>0</v>
      </c>
      <c r="L557" s="3">
        <v>0</v>
      </c>
      <c r="M557" s="3">
        <v>223.80146793938999</v>
      </c>
      <c r="N557" s="3">
        <v>0</v>
      </c>
      <c r="O557" s="3">
        <v>223.80146793938999</v>
      </c>
      <c r="P557" s="3">
        <v>0</v>
      </c>
      <c r="Q557" s="3">
        <v>0</v>
      </c>
      <c r="R557" s="3">
        <v>0</v>
      </c>
      <c r="S557" s="67"/>
      <c r="T557">
        <f>VLOOKUP(A557,'Groupe de branches'!$Z$27:$AM$86,14,FALSE)</f>
        <v>0</v>
      </c>
      <c r="U557">
        <f>VLOOKUP(D557,'Groupe de branches'!$Z$27:$AM$86,14,FALSE)</f>
        <v>0</v>
      </c>
      <c r="V557">
        <v>2017</v>
      </c>
      <c r="W557" t="str">
        <f>VLOOKUP(D557,'Table corresp.'!$M$4:$S$63,7,FALSE)</f>
        <v>Exportation</v>
      </c>
      <c r="X557" s="167">
        <f>IFERROR(G557/SUMIFS('Comp2016-2017 (3)'!$I$5:$I$289,'Comp2016-2017 (3)'!$A$5:$A$289,A557,'Comp2016-2017 (3)'!$R$5:$R$289,V557),0)</f>
        <v>7.803831950888962E-2</v>
      </c>
      <c r="Y557" s="190">
        <f>IFERROR(IF(RIGHT(F557,3)="Exp",VLOOKUP(F557,#REF!,2,FALSE),VLOOKUP(F557,#REF!,9,FALSE)),1)</f>
        <v>1</v>
      </c>
      <c r="Z557" s="167">
        <f t="shared" si="64"/>
        <v>0.25</v>
      </c>
      <c r="AA557" s="189">
        <f t="shared" si="63"/>
        <v>1.9509579877222405E-2</v>
      </c>
      <c r="AB557" s="2">
        <f>IFERROR(SUMIFS('Comp2016-2017 (3)'!$G$5:$G$289,'Comp2016-2017 (3)'!$A$5:$A$289,A557,'Comp2016-2017 (3)'!$R$5:$R$289,V557)*AA557/SUMIFS($AA$4:$AA$1116,$A$4:$A$1116,A557,$V$4:$V$1116,V557),0)</f>
        <v>7147.5023704073656</v>
      </c>
      <c r="AC557" s="2">
        <f>IF($W557=AC$3,$AB557,IF(NOT($W557=0),"",SUMIFS('Val-Vol (2)'!AC$4:AC$1116,'Val-Vol (2)'!$A$4:$A$1116,$D557,'Val-Vol (2)'!$V$4:$V$1116,$V557)/SUMIFS('Comp2016-2017 (3)'!$G$5:$G$289,'Comp2016-2017 (3)'!$A$5:$A$289,$D557,'Comp2016-2017 (3)'!$R$5:$R$289,$V557)*$AB557))</f>
        <v>7147.5023704073656</v>
      </c>
      <c r="AD557" s="2" t="str">
        <f>IF($W557=AD$3,$AB557,IF(NOT($W557=0),"",SUMIFS('Val-Vol (2)'!AD$4:AD$1116,'Val-Vol (2)'!$A$4:$A$1116,$D557,'Val-Vol (2)'!$V$4:$V$1116,$V557)/SUMIFS('Comp2016-2017 (3)'!$G$5:$G$289,'Comp2016-2017 (3)'!$A$5:$A$289,$D557,'Comp2016-2017 (3)'!$R$5:$R$289,$V557)*$AB557))</f>
        <v/>
      </c>
      <c r="AE557" s="2" t="str">
        <f>IF($W557=AE$3,$AB557,IF(NOT($W557=0),"",SUMIFS('Val-Vol (2)'!AE$4:AE$1116,'Val-Vol (2)'!$A$4:$A$1116,$D557,'Val-Vol (2)'!$V$4:$V$1116,$V557)/SUMIFS('Comp2016-2017 (3)'!$G$5:$G$289,'Comp2016-2017 (3)'!$A$5:$A$289,$D557,'Comp2016-2017 (3)'!$R$5:$R$289,$V557)*$AB557))</f>
        <v/>
      </c>
      <c r="AF557" s="2" t="str">
        <f>IF($W557=AF$3,$AB557,IF(NOT($W557=0),"",SUMIFS('Val-Vol (2)'!AF$4:AF$1116,'Val-Vol (2)'!$A$4:$A$1116,$D557,'Val-Vol (2)'!$V$4:$V$1116,$V557)/SUMIFS('Comp2016-2017 (3)'!$G$5:$G$289,'Comp2016-2017 (3)'!$A$5:$A$289,$D557,'Comp2016-2017 (3)'!$R$5:$R$289,$V557)*$AB557))</f>
        <v/>
      </c>
      <c r="AG557" s="2" t="str">
        <f>IF($W557=AG$3,$AB557,IF(NOT($W557=0),"",SUMIFS('Val-Vol (2)'!AG$4:AG$1116,'Val-Vol (2)'!$A$4:$A$1116,$D557,'Val-Vol (2)'!$V$4:$V$1116,$V557)/SUMIFS('Comp2016-2017 (3)'!$G$5:$G$289,'Comp2016-2017 (3)'!$A$5:$A$289,$D557,'Comp2016-2017 (3)'!$R$5:$R$289,$V557)*$AB557))</f>
        <v/>
      </c>
      <c r="AH557" s="2" t="str">
        <f>IF($W557=AH$3,$AB557,IF(NOT($W557=0),"",SUMIFS('Val-Vol (2)'!AH$4:AH$1116,'Val-Vol (2)'!$A$4:$A$1116,$D557,'Val-Vol (2)'!$V$4:$V$1116,$V557)/SUMIFS('Comp2016-2017 (3)'!$G$5:$G$289,'Comp2016-2017 (3)'!$A$5:$A$289,$D557,'Comp2016-2017 (3)'!$R$5:$R$289,$V557)*$AB557))</f>
        <v/>
      </c>
      <c r="AI557" s="2" t="str">
        <f>IF($W557=AI$3,$AB557,IF(NOT($W557=0),"",SUMIFS('Val-Vol (2)'!AI$4:AI$1116,'Val-Vol (2)'!$A$4:$A$1116,$D557,'Val-Vol (2)'!$V$4:$V$1116,$V557)/SUMIFS('Comp2016-2017 (3)'!$G$5:$G$289,'Comp2016-2017 (3)'!$A$5:$A$289,$D557,'Comp2016-2017 (3)'!$R$5:$R$289,$V557)*$AB557))</f>
        <v/>
      </c>
      <c r="AJ557" s="2" t="str">
        <f>IF($W557=AJ$3,$AB557,IF(NOT($W557=0),"",SUMIFS('Val-Vol (2)'!AJ$4:AJ$1116,'Val-Vol (2)'!$A$4:$A$1116,$D557,'Val-Vol (2)'!$V$4:$V$1116,$V557)/SUMIFS('Comp2016-2017 (3)'!$G$5:$G$289,'Comp2016-2017 (3)'!$A$5:$A$289,$D557,'Comp2016-2017 (3)'!$R$5:$R$289,$V557)*$AB557))</f>
        <v/>
      </c>
      <c r="AK557" s="2">
        <f t="shared" si="60"/>
        <v>0</v>
      </c>
      <c r="AL557" t="str">
        <f t="shared" si="62"/>
        <v/>
      </c>
      <c r="AM557" t="str">
        <f>VLOOKUP(A557,'Table corresp.'!$M$4:$U$63,8,FALSE)</f>
        <v>Produits connexes du sciage</v>
      </c>
      <c r="AN557" t="str">
        <f>VLOOKUP(D557,'Table corresp.'!$M$4:$U$63,9,FALSE)</f>
        <v>Exportation</v>
      </c>
    </row>
    <row r="558" spans="1:40" x14ac:dyDescent="0.25">
      <c r="A558" t="s">
        <v>12</v>
      </c>
      <c r="B558" t="str">
        <f>VLOOKUP(LEFT(A558,3),'Table corresp.'!$A$4:$D$63,3,FALSE)</f>
        <v>Produits connexes du sciage</v>
      </c>
      <c r="C558" t="str">
        <f>VLOOKUP(A558,'Table corresp.'!$M$4:$P$63,4,FALSE)</f>
        <v>Production et transformation de produits bois</v>
      </c>
      <c r="D558" t="s">
        <v>86</v>
      </c>
      <c r="E558" t="str">
        <f>VLOOKUP(LEFT(D558,3),'Table corresp.'!$A$4:$D$63,4,FALSE)</f>
        <v>Transformation</v>
      </c>
      <c r="F558" t="str">
        <f t="shared" si="61"/>
        <v xml:space="preserve">19  - 30 </v>
      </c>
      <c r="G558" s="3">
        <v>64598.241378499835</v>
      </c>
      <c r="H558" s="3">
        <v>7683.6469226534446</v>
      </c>
      <c r="I558" s="3">
        <v>72281.888400601732</v>
      </c>
      <c r="J558" s="3">
        <v>0</v>
      </c>
      <c r="K558" s="3">
        <v>0</v>
      </c>
      <c r="L558" s="3">
        <v>0</v>
      </c>
      <c r="M558" s="3">
        <v>0</v>
      </c>
      <c r="N558" s="3">
        <v>0</v>
      </c>
      <c r="O558" s="3">
        <v>0</v>
      </c>
      <c r="P558" s="3">
        <v>2598.8202670637743</v>
      </c>
      <c r="Q558" s="3">
        <v>103.12145859828658</v>
      </c>
      <c r="R558" s="3">
        <v>2701.9417256620609</v>
      </c>
      <c r="S558" s="67" t="s">
        <v>198</v>
      </c>
      <c r="T558">
        <f>VLOOKUP(A558,'Groupe de branches'!$Z$27:$AM$86,14,FALSE)</f>
        <v>0</v>
      </c>
      <c r="U558">
        <f>VLOOKUP(D558,'Groupe de branches'!$Z$27:$AM$86,14,FALSE)</f>
        <v>1</v>
      </c>
      <c r="V558">
        <v>2017</v>
      </c>
      <c r="W558" t="str">
        <f>VLOOKUP(D558,'Table corresp.'!$M$4:$S$63,7,FALSE)</f>
        <v>Energie</v>
      </c>
      <c r="X558" s="167">
        <f>IFERROR(G558/SUMIFS('Comp2016-2017 (3)'!$I$5:$I$289,'Comp2016-2017 (3)'!$A$5:$A$289,A558,'Comp2016-2017 (3)'!$R$5:$R$289,V558),0)</f>
        <v>0.47046841014309326</v>
      </c>
      <c r="Y558" s="190">
        <f>IFERROR(IF(RIGHT(F558,3)="Exp",VLOOKUP(F558,#REF!,2,FALSE),VLOOKUP(F558,#REF!,9,FALSE)),1)</f>
        <v>1</v>
      </c>
      <c r="Z558" s="167">
        <f t="shared" si="64"/>
        <v>0.25</v>
      </c>
      <c r="AA558" s="189">
        <f t="shared" si="63"/>
        <v>0.11761710253577332</v>
      </c>
      <c r="AB558" s="2">
        <f>IFERROR(SUMIFS('Comp2016-2017 (3)'!$G$5:$G$289,'Comp2016-2017 (3)'!$A$5:$A$289,A558,'Comp2016-2017 (3)'!$R$5:$R$289,V558)*AA558/SUMIFS($AA$4:$AA$1116,$A$4:$A$1116,A558,$V$4:$V$1116,V558),0)</f>
        <v>64598.241378499864</v>
      </c>
      <c r="AC558" s="2" t="str">
        <f>IF($W558=AC$3,$AB558,IF(NOT($W558=0),"",SUMIFS('Val-Vol (2)'!AC$4:AC$1116,'Val-Vol (2)'!$A$4:$A$1116,$D558,'Val-Vol (2)'!$V$4:$V$1116,$V558)/SUMIFS('Comp2016-2017 (3)'!$G$5:$G$289,'Comp2016-2017 (3)'!$A$5:$A$289,$D558,'Comp2016-2017 (3)'!$R$5:$R$289,$V558)*$AB558))</f>
        <v/>
      </c>
      <c r="AD558" s="2" t="str">
        <f>IF($W558=AD$3,$AB558,IF(NOT($W558=0),"",SUMIFS('Val-Vol (2)'!AD$4:AD$1116,'Val-Vol (2)'!$A$4:$A$1116,$D558,'Val-Vol (2)'!$V$4:$V$1116,$V558)/SUMIFS('Comp2016-2017 (3)'!$G$5:$G$289,'Comp2016-2017 (3)'!$A$5:$A$289,$D558,'Comp2016-2017 (3)'!$R$5:$R$289,$V558)*$AB558))</f>
        <v/>
      </c>
      <c r="AE558" s="2" t="str">
        <f>IF($W558=AE$3,$AB558,IF(NOT($W558=0),"",SUMIFS('Val-Vol (2)'!AE$4:AE$1116,'Val-Vol (2)'!$A$4:$A$1116,$D558,'Val-Vol (2)'!$V$4:$V$1116,$V558)/SUMIFS('Comp2016-2017 (3)'!$G$5:$G$289,'Comp2016-2017 (3)'!$A$5:$A$289,$D558,'Comp2016-2017 (3)'!$R$5:$R$289,$V558)*$AB558))</f>
        <v/>
      </c>
      <c r="AF558" s="2" t="str">
        <f>IF($W558=AF$3,$AB558,IF(NOT($W558=0),"",SUMIFS('Val-Vol (2)'!AF$4:AF$1116,'Val-Vol (2)'!$A$4:$A$1116,$D558,'Val-Vol (2)'!$V$4:$V$1116,$V558)/SUMIFS('Comp2016-2017 (3)'!$G$5:$G$289,'Comp2016-2017 (3)'!$A$5:$A$289,$D558,'Comp2016-2017 (3)'!$R$5:$R$289,$V558)*$AB558))</f>
        <v/>
      </c>
      <c r="AG558" s="2" t="str">
        <f>IF($W558=AG$3,$AB558,IF(NOT($W558=0),"",SUMIFS('Val-Vol (2)'!AG$4:AG$1116,'Val-Vol (2)'!$A$4:$A$1116,$D558,'Val-Vol (2)'!$V$4:$V$1116,$V558)/SUMIFS('Comp2016-2017 (3)'!$G$5:$G$289,'Comp2016-2017 (3)'!$A$5:$A$289,$D558,'Comp2016-2017 (3)'!$R$5:$R$289,$V558)*$AB558))</f>
        <v/>
      </c>
      <c r="AH558" s="2">
        <f>IF($W558=AH$3,$AB558,IF(NOT($W558=0),"",SUMIFS('Val-Vol (2)'!AH$4:AH$1116,'Val-Vol (2)'!$A$4:$A$1116,$D558,'Val-Vol (2)'!$V$4:$V$1116,$V558)/SUMIFS('Comp2016-2017 (3)'!$G$5:$G$289,'Comp2016-2017 (3)'!$A$5:$A$289,$D558,'Comp2016-2017 (3)'!$R$5:$R$289,$V558)*$AB558))</f>
        <v>64598.241378499864</v>
      </c>
      <c r="AI558" s="2" t="str">
        <f>IF($W558=AI$3,$AB558,IF(NOT($W558=0),"",SUMIFS('Val-Vol (2)'!AI$4:AI$1116,'Val-Vol (2)'!$A$4:$A$1116,$D558,'Val-Vol (2)'!$V$4:$V$1116,$V558)/SUMIFS('Comp2016-2017 (3)'!$G$5:$G$289,'Comp2016-2017 (3)'!$A$5:$A$289,$D558,'Comp2016-2017 (3)'!$R$5:$R$289,$V558)*$AB558))</f>
        <v/>
      </c>
      <c r="AJ558" s="2" t="str">
        <f>IF($W558=AJ$3,$AB558,IF(NOT($W558=0),"",SUMIFS('Val-Vol (2)'!AJ$4:AJ$1116,'Val-Vol (2)'!$A$4:$A$1116,$D558,'Val-Vol (2)'!$V$4:$V$1116,$V558)/SUMIFS('Comp2016-2017 (3)'!$G$5:$G$289,'Comp2016-2017 (3)'!$A$5:$A$289,$D558,'Comp2016-2017 (3)'!$R$5:$R$289,$V558)*$AB558))</f>
        <v/>
      </c>
      <c r="AK558" s="2">
        <f t="shared" si="60"/>
        <v>0</v>
      </c>
      <c r="AL558" t="str">
        <f t="shared" si="62"/>
        <v/>
      </c>
      <c r="AM558" t="str">
        <f>VLOOKUP(A558,'Table corresp.'!$M$4:$U$63,8,FALSE)</f>
        <v>Produits connexes du sciage</v>
      </c>
      <c r="AN558" t="str">
        <f>VLOOKUP(D558,'Table corresp.'!$M$4:$U$63,9,FALSE)</f>
        <v>Production intermédiaire</v>
      </c>
    </row>
    <row r="559" spans="1:40" x14ac:dyDescent="0.25">
      <c r="A559" t="s">
        <v>12</v>
      </c>
      <c r="B559" t="str">
        <f>VLOOKUP(LEFT(A559,3),'Table corresp.'!$A$4:$D$63,3,FALSE)</f>
        <v>Produits connexes du sciage</v>
      </c>
      <c r="C559" t="str">
        <f>VLOOKUP(A559,'Table corresp.'!$M$4:$P$63,4,FALSE)</f>
        <v>Production et transformation de produits bois</v>
      </c>
      <c r="D559" t="s">
        <v>101</v>
      </c>
      <c r="E559" t="str">
        <f>VLOOKUP(LEFT(D559,3),'Table corresp.'!$A$4:$D$63,4,FALSE)</f>
        <v>Transformation</v>
      </c>
      <c r="F559" t="str">
        <f t="shared" si="61"/>
        <v xml:space="preserve">19  - 49 </v>
      </c>
      <c r="G559" s="3">
        <v>16138.209955914963</v>
      </c>
      <c r="H559" s="3">
        <v>40195.225021853468</v>
      </c>
      <c r="I559" s="3">
        <v>56333.43505527464</v>
      </c>
      <c r="J559" s="3">
        <v>0</v>
      </c>
      <c r="K559" s="3">
        <v>0</v>
      </c>
      <c r="L559" s="3">
        <v>0</v>
      </c>
      <c r="M559" s="3">
        <v>0</v>
      </c>
      <c r="N559" s="3">
        <v>0</v>
      </c>
      <c r="O559" s="3">
        <v>0</v>
      </c>
      <c r="P559" s="3">
        <v>755.29234584864298</v>
      </c>
      <c r="Q559" s="3">
        <v>539.45610393930724</v>
      </c>
      <c r="R559" s="3">
        <v>1294.7484497879502</v>
      </c>
      <c r="S559" s="67" t="s">
        <v>198</v>
      </c>
      <c r="T559">
        <f>VLOOKUP(A559,'Groupe de branches'!$Z$27:$AM$86,14,FALSE)</f>
        <v>0</v>
      </c>
      <c r="U559">
        <f>VLOOKUP(D559,'Groupe de branches'!$Z$27:$AM$86,14,FALSE)</f>
        <v>1</v>
      </c>
      <c r="V559">
        <v>2017</v>
      </c>
      <c r="W559" t="str">
        <f>VLOOKUP(D559,'Table corresp.'!$M$4:$S$63,7,FALSE)</f>
        <v>Energie</v>
      </c>
      <c r="X559" s="167">
        <f>IFERROR(G559/SUMIFS('Comp2016-2017 (3)'!$I$5:$I$289,'Comp2016-2017 (3)'!$A$5:$A$289,A559,'Comp2016-2017 (3)'!$R$5:$R$289,V559),0)</f>
        <v>0.11753443775702788</v>
      </c>
      <c r="Y559" s="190">
        <f>IFERROR(IF(RIGHT(F559,3)="Exp",VLOOKUP(F559,#REF!,2,FALSE),VLOOKUP(F559,#REF!,9,FALSE)),1)</f>
        <v>1</v>
      </c>
      <c r="Z559" s="167">
        <f t="shared" si="64"/>
        <v>0.25</v>
      </c>
      <c r="AA559" s="189">
        <f t="shared" si="63"/>
        <v>2.9383609439256969E-2</v>
      </c>
      <c r="AB559" s="2">
        <f>IFERROR(SUMIFS('Comp2016-2017 (3)'!$G$5:$G$289,'Comp2016-2017 (3)'!$A$5:$A$289,A559,'Comp2016-2017 (3)'!$R$5:$R$289,V559)*AA559/SUMIFS($AA$4:$AA$1116,$A$4:$A$1116,A559,$V$4:$V$1116,V559),0)</f>
        <v>16138.20995591497</v>
      </c>
      <c r="AC559" s="2" t="str">
        <f>IF($W559=AC$3,$AB559,IF(NOT($W559=0),"",SUMIFS('Val-Vol (2)'!AC$4:AC$1116,'Val-Vol (2)'!$A$4:$A$1116,$D559,'Val-Vol (2)'!$V$4:$V$1116,$V559)/SUMIFS('Comp2016-2017 (3)'!$G$5:$G$289,'Comp2016-2017 (3)'!$A$5:$A$289,$D559,'Comp2016-2017 (3)'!$R$5:$R$289,$V559)*$AB559))</f>
        <v/>
      </c>
      <c r="AD559" s="2" t="str">
        <f>IF($W559=AD$3,$AB559,IF(NOT($W559=0),"",SUMIFS('Val-Vol (2)'!AD$4:AD$1116,'Val-Vol (2)'!$A$4:$A$1116,$D559,'Val-Vol (2)'!$V$4:$V$1116,$V559)/SUMIFS('Comp2016-2017 (3)'!$G$5:$G$289,'Comp2016-2017 (3)'!$A$5:$A$289,$D559,'Comp2016-2017 (3)'!$R$5:$R$289,$V559)*$AB559))</f>
        <v/>
      </c>
      <c r="AE559" s="2" t="str">
        <f>IF($W559=AE$3,$AB559,IF(NOT($W559=0),"",SUMIFS('Val-Vol (2)'!AE$4:AE$1116,'Val-Vol (2)'!$A$4:$A$1116,$D559,'Val-Vol (2)'!$V$4:$V$1116,$V559)/SUMIFS('Comp2016-2017 (3)'!$G$5:$G$289,'Comp2016-2017 (3)'!$A$5:$A$289,$D559,'Comp2016-2017 (3)'!$R$5:$R$289,$V559)*$AB559))</f>
        <v/>
      </c>
      <c r="AF559" s="2" t="str">
        <f>IF($W559=AF$3,$AB559,IF(NOT($W559=0),"",SUMIFS('Val-Vol (2)'!AF$4:AF$1116,'Val-Vol (2)'!$A$4:$A$1116,$D559,'Val-Vol (2)'!$V$4:$V$1116,$V559)/SUMIFS('Comp2016-2017 (3)'!$G$5:$G$289,'Comp2016-2017 (3)'!$A$5:$A$289,$D559,'Comp2016-2017 (3)'!$R$5:$R$289,$V559)*$AB559))</f>
        <v/>
      </c>
      <c r="AG559" s="2" t="str">
        <f>IF($W559=AG$3,$AB559,IF(NOT($W559=0),"",SUMIFS('Val-Vol (2)'!AG$4:AG$1116,'Val-Vol (2)'!$A$4:$A$1116,$D559,'Val-Vol (2)'!$V$4:$V$1116,$V559)/SUMIFS('Comp2016-2017 (3)'!$G$5:$G$289,'Comp2016-2017 (3)'!$A$5:$A$289,$D559,'Comp2016-2017 (3)'!$R$5:$R$289,$V559)*$AB559))</f>
        <v/>
      </c>
      <c r="AH559" s="2">
        <f>IF($W559=AH$3,$AB559,IF(NOT($W559=0),"",SUMIFS('Val-Vol (2)'!AH$4:AH$1116,'Val-Vol (2)'!$A$4:$A$1116,$D559,'Val-Vol (2)'!$V$4:$V$1116,$V559)/SUMIFS('Comp2016-2017 (3)'!$G$5:$G$289,'Comp2016-2017 (3)'!$A$5:$A$289,$D559,'Comp2016-2017 (3)'!$R$5:$R$289,$V559)*$AB559))</f>
        <v>16138.20995591497</v>
      </c>
      <c r="AI559" s="2" t="str">
        <f>IF($W559=AI$3,$AB559,IF(NOT($W559=0),"",SUMIFS('Val-Vol (2)'!AI$4:AI$1116,'Val-Vol (2)'!$A$4:$A$1116,$D559,'Val-Vol (2)'!$V$4:$V$1116,$V559)/SUMIFS('Comp2016-2017 (3)'!$G$5:$G$289,'Comp2016-2017 (3)'!$A$5:$A$289,$D559,'Comp2016-2017 (3)'!$R$5:$R$289,$V559)*$AB559))</f>
        <v/>
      </c>
      <c r="AJ559" s="2" t="str">
        <f>IF($W559=AJ$3,$AB559,IF(NOT($W559=0),"",SUMIFS('Val-Vol (2)'!AJ$4:AJ$1116,'Val-Vol (2)'!$A$4:$A$1116,$D559,'Val-Vol (2)'!$V$4:$V$1116,$V559)/SUMIFS('Comp2016-2017 (3)'!$G$5:$G$289,'Comp2016-2017 (3)'!$A$5:$A$289,$D559,'Comp2016-2017 (3)'!$R$5:$R$289,$V559)*$AB559))</f>
        <v/>
      </c>
      <c r="AK559" s="2">
        <f t="shared" si="60"/>
        <v>0</v>
      </c>
      <c r="AL559" t="str">
        <f t="shared" si="62"/>
        <v/>
      </c>
      <c r="AM559" t="str">
        <f>VLOOKUP(A559,'Table corresp.'!$M$4:$U$63,8,FALSE)</f>
        <v>Produits connexes du sciage</v>
      </c>
      <c r="AN559" t="str">
        <f>VLOOKUP(D559,'Table corresp.'!$M$4:$U$63,9,FALSE)</f>
        <v>Production finale</v>
      </c>
    </row>
    <row r="560" spans="1:40" x14ac:dyDescent="0.25">
      <c r="A560" t="s">
        <v>12</v>
      </c>
      <c r="B560" t="str">
        <f>VLOOKUP(LEFT(A560,3),'Table corresp.'!$A$4:$D$63,3,FALSE)</f>
        <v>Produits connexes du sciage</v>
      </c>
      <c r="C560" t="str">
        <f>VLOOKUP(A560,'Table corresp.'!$M$4:$P$63,4,FALSE)</f>
        <v>Production et transformation de produits bois</v>
      </c>
      <c r="D560" t="s">
        <v>54</v>
      </c>
      <c r="E560" t="str">
        <f>VLOOKUP(LEFT(D560,3),'Table corresp.'!$A$4:$D$63,4,FALSE)</f>
        <v>Consommation finale</v>
      </c>
      <c r="F560" t="str">
        <f t="shared" si="61"/>
        <v>19  - Con</v>
      </c>
      <c r="G560" s="3">
        <v>13738.602724514007</v>
      </c>
      <c r="H560" s="3">
        <v>11579.938055493074</v>
      </c>
      <c r="I560" s="3">
        <v>25318.540814841464</v>
      </c>
      <c r="J560" s="3">
        <v>0</v>
      </c>
      <c r="K560" s="3">
        <v>0</v>
      </c>
      <c r="L560" s="3">
        <v>0</v>
      </c>
      <c r="M560" s="3">
        <v>0</v>
      </c>
      <c r="N560" s="3">
        <v>0</v>
      </c>
      <c r="O560" s="3">
        <v>0</v>
      </c>
      <c r="P560" s="3">
        <v>642.98714100429061</v>
      </c>
      <c r="Q560" s="3">
        <v>155.41319308147905</v>
      </c>
      <c r="R560" s="3">
        <v>798.4003340857696</v>
      </c>
      <c r="S560" s="67" t="s">
        <v>198</v>
      </c>
      <c r="T560">
        <f>VLOOKUP(A560,'Groupe de branches'!$Z$27:$AM$86,14,FALSE)</f>
        <v>0</v>
      </c>
      <c r="U560">
        <f>VLOOKUP(D560,'Groupe de branches'!$Z$27:$AM$86,14,FALSE)</f>
        <v>0</v>
      </c>
      <c r="V560">
        <v>2017</v>
      </c>
      <c r="W560" t="str">
        <f>VLOOKUP(D560,'Table corresp.'!$M$4:$S$63,7,FALSE)</f>
        <v>Consommation finale</v>
      </c>
      <c r="X560" s="167">
        <f>IFERROR(G560/SUMIFS('Comp2016-2017 (3)'!$I$5:$I$289,'Comp2016-2017 (3)'!$A$5:$A$289,A560,'Comp2016-2017 (3)'!$R$5:$R$289,V560),0)</f>
        <v>0.10005811990326009</v>
      </c>
      <c r="Y560" s="190">
        <f>IFERROR(IF(RIGHT(F560,3)="Exp",VLOOKUP(F560,#REF!,2,FALSE),VLOOKUP(F560,#REF!,9,FALSE)),1)</f>
        <v>1</v>
      </c>
      <c r="Z560" s="167">
        <f t="shared" si="64"/>
        <v>0.25</v>
      </c>
      <c r="AA560" s="189">
        <f t="shared" si="63"/>
        <v>2.5014529975815023E-2</v>
      </c>
      <c r="AB560" s="2">
        <f>IFERROR(SUMIFS('Comp2016-2017 (3)'!$G$5:$G$289,'Comp2016-2017 (3)'!$A$5:$A$289,A560,'Comp2016-2017 (3)'!$R$5:$R$289,V560)*AA560/SUMIFS($AA$4:$AA$1116,$A$4:$A$1116,A560,$V$4:$V$1116,V560),0)</f>
        <v>13738.602724514012</v>
      </c>
      <c r="AC560" s="2" t="str">
        <f>IF($W560=AC$3,$AB560,IF(NOT($W560=0),"",SUMIFS('Val-Vol (2)'!AC$4:AC$1116,'Val-Vol (2)'!$A$4:$A$1116,$D560,'Val-Vol (2)'!$V$4:$V$1116,$V560)/SUMIFS('Comp2016-2017 (3)'!$G$5:$G$289,'Comp2016-2017 (3)'!$A$5:$A$289,$D560,'Comp2016-2017 (3)'!$R$5:$R$289,$V560)*$AB560))</f>
        <v/>
      </c>
      <c r="AD560" s="2" t="str">
        <f>IF($W560=AD$3,$AB560,IF(NOT($W560=0),"",SUMIFS('Val-Vol (2)'!AD$4:AD$1116,'Val-Vol (2)'!$A$4:$A$1116,$D560,'Val-Vol (2)'!$V$4:$V$1116,$V560)/SUMIFS('Comp2016-2017 (3)'!$G$5:$G$289,'Comp2016-2017 (3)'!$A$5:$A$289,$D560,'Comp2016-2017 (3)'!$R$5:$R$289,$V560)*$AB560))</f>
        <v/>
      </c>
      <c r="AE560" s="2" t="str">
        <f>IF($W560=AE$3,$AB560,IF(NOT($W560=0),"",SUMIFS('Val-Vol (2)'!AE$4:AE$1116,'Val-Vol (2)'!$A$4:$A$1116,$D560,'Val-Vol (2)'!$V$4:$V$1116,$V560)/SUMIFS('Comp2016-2017 (3)'!$G$5:$G$289,'Comp2016-2017 (3)'!$A$5:$A$289,$D560,'Comp2016-2017 (3)'!$R$5:$R$289,$V560)*$AB560))</f>
        <v/>
      </c>
      <c r="AF560" s="2" t="str">
        <f>IF($W560=AF$3,$AB560,IF(NOT($W560=0),"",SUMIFS('Val-Vol (2)'!AF$4:AF$1116,'Val-Vol (2)'!$A$4:$A$1116,$D560,'Val-Vol (2)'!$V$4:$V$1116,$V560)/SUMIFS('Comp2016-2017 (3)'!$G$5:$G$289,'Comp2016-2017 (3)'!$A$5:$A$289,$D560,'Comp2016-2017 (3)'!$R$5:$R$289,$V560)*$AB560))</f>
        <v/>
      </c>
      <c r="AG560" s="2" t="str">
        <f>IF($W560=AG$3,$AB560,IF(NOT($W560=0),"",SUMIFS('Val-Vol (2)'!AG$4:AG$1116,'Val-Vol (2)'!$A$4:$A$1116,$D560,'Val-Vol (2)'!$V$4:$V$1116,$V560)/SUMIFS('Comp2016-2017 (3)'!$G$5:$G$289,'Comp2016-2017 (3)'!$A$5:$A$289,$D560,'Comp2016-2017 (3)'!$R$5:$R$289,$V560)*$AB560))</f>
        <v/>
      </c>
      <c r="AH560" s="2" t="str">
        <f>IF($W560=AH$3,$AB560,IF(NOT($W560=0),"",SUMIFS('Val-Vol (2)'!AH$4:AH$1116,'Val-Vol (2)'!$A$4:$A$1116,$D560,'Val-Vol (2)'!$V$4:$V$1116,$V560)/SUMIFS('Comp2016-2017 (3)'!$G$5:$G$289,'Comp2016-2017 (3)'!$A$5:$A$289,$D560,'Comp2016-2017 (3)'!$R$5:$R$289,$V560)*$AB560))</f>
        <v/>
      </c>
      <c r="AI560" s="2" t="str">
        <f>IF($W560=AI$3,$AB560,IF(NOT($W560=0),"",SUMIFS('Val-Vol (2)'!AI$4:AI$1116,'Val-Vol (2)'!$A$4:$A$1116,$D560,'Val-Vol (2)'!$V$4:$V$1116,$V560)/SUMIFS('Comp2016-2017 (3)'!$G$5:$G$289,'Comp2016-2017 (3)'!$A$5:$A$289,$D560,'Comp2016-2017 (3)'!$R$5:$R$289,$V560)*$AB560))</f>
        <v/>
      </c>
      <c r="AJ560" s="2">
        <f>IF($W560=AJ$3,$AB560,IF(NOT($W560=0),"",SUMIFS('Val-Vol (2)'!AJ$4:AJ$1116,'Val-Vol (2)'!$A$4:$A$1116,$D560,'Val-Vol (2)'!$V$4:$V$1116,$V560)/SUMIFS('Comp2016-2017 (3)'!$G$5:$G$289,'Comp2016-2017 (3)'!$A$5:$A$289,$D560,'Comp2016-2017 (3)'!$R$5:$R$289,$V560)*$AB560))</f>
        <v>13738.602724514012</v>
      </c>
      <c r="AK560" s="2">
        <f t="shared" si="60"/>
        <v>0</v>
      </c>
      <c r="AL560" t="str">
        <f t="shared" si="62"/>
        <v/>
      </c>
      <c r="AM560" t="str">
        <f>VLOOKUP(A560,'Table corresp.'!$M$4:$U$63,8,FALSE)</f>
        <v>Produits connexes du sciage</v>
      </c>
      <c r="AN560" t="str">
        <f>VLOOKUP(D560,'Table corresp.'!$M$4:$U$63,9,FALSE)</f>
        <v>Consommation finale française</v>
      </c>
    </row>
    <row r="561" spans="1:40" x14ac:dyDescent="0.25">
      <c r="A561" t="s">
        <v>12</v>
      </c>
      <c r="B561" t="str">
        <f>VLOOKUP(LEFT(A561,3),'Table corresp.'!$A$4:$D$63,3,FALSE)</f>
        <v>Produits connexes du sciage</v>
      </c>
      <c r="C561" t="str">
        <f>VLOOKUP(A561,'Table corresp.'!$M$4:$P$63,4,FALSE)</f>
        <v>Production et transformation de produits bois</v>
      </c>
      <c r="D561" t="s">
        <v>53</v>
      </c>
      <c r="E561" t="str">
        <f>VLOOKUP(LEFT(D561,3),'Table corresp.'!$A$4:$D$63,4,FALSE)</f>
        <v>Exportation</v>
      </c>
      <c r="F561" t="str">
        <f t="shared" si="61"/>
        <v>19  - Exp</v>
      </c>
      <c r="G561" s="3">
        <v>42831.170941071119</v>
      </c>
      <c r="H561" s="3">
        <v>0</v>
      </c>
      <c r="I561" s="3">
        <v>42831.171000000002</v>
      </c>
      <c r="J561" s="3">
        <v>0</v>
      </c>
      <c r="K561" s="3">
        <v>0</v>
      </c>
      <c r="L561" s="3">
        <v>0</v>
      </c>
      <c r="M561" s="3">
        <v>0</v>
      </c>
      <c r="N561" s="3">
        <v>0</v>
      </c>
      <c r="O561" s="3">
        <v>0</v>
      </c>
      <c r="P561" s="3">
        <v>606.6345481599792</v>
      </c>
      <c r="Q561" s="3">
        <v>0</v>
      </c>
      <c r="R561" s="3">
        <v>606.6345481599792</v>
      </c>
      <c r="S561" s="67" t="s">
        <v>198</v>
      </c>
      <c r="T561">
        <f>VLOOKUP(A561,'Groupe de branches'!$Z$27:$AM$86,14,FALSE)</f>
        <v>0</v>
      </c>
      <c r="U561">
        <f>VLOOKUP(D561,'Groupe de branches'!$Z$27:$AM$86,14,FALSE)</f>
        <v>0</v>
      </c>
      <c r="V561">
        <v>2017</v>
      </c>
      <c r="W561" t="str">
        <f>VLOOKUP(D561,'Table corresp.'!$M$4:$S$63,7,FALSE)</f>
        <v>Exportation</v>
      </c>
      <c r="X561" s="167">
        <f>IFERROR(G561/SUMIFS('Comp2016-2017 (3)'!$I$5:$I$289,'Comp2016-2017 (3)'!$A$5:$A$289,A561,'Comp2016-2017 (3)'!$R$5:$R$289,V561),0)</f>
        <v>0.31193903219661839</v>
      </c>
      <c r="Y561" s="190">
        <f>IFERROR(IF(RIGHT(F561,3)="Exp",VLOOKUP(F561,#REF!,2,FALSE),VLOOKUP(F561,#REF!,9,FALSE)),1)</f>
        <v>1</v>
      </c>
      <c r="Z561" s="167">
        <f t="shared" si="64"/>
        <v>0.25</v>
      </c>
      <c r="AA561" s="189">
        <f t="shared" si="63"/>
        <v>7.7984758049154598E-2</v>
      </c>
      <c r="AB561" s="2">
        <f>IFERROR(SUMIFS('Comp2016-2017 (3)'!$G$5:$G$289,'Comp2016-2017 (3)'!$A$5:$A$289,A561,'Comp2016-2017 (3)'!$R$5:$R$289,V561)*AA561/SUMIFS($AA$4:$AA$1116,$A$4:$A$1116,A561,$V$4:$V$1116,V561),0)</f>
        <v>42831.170941071141</v>
      </c>
      <c r="AC561" s="2">
        <f>IF($W561=AC$3,$AB561,IF(NOT($W561=0),"",SUMIFS('Val-Vol (2)'!AC$4:AC$1116,'Val-Vol (2)'!$A$4:$A$1116,$D561,'Val-Vol (2)'!$V$4:$V$1116,$V561)/SUMIFS('Comp2016-2017 (3)'!$G$5:$G$289,'Comp2016-2017 (3)'!$A$5:$A$289,$D561,'Comp2016-2017 (3)'!$R$5:$R$289,$V561)*$AB561))</f>
        <v>42831.170941071141</v>
      </c>
      <c r="AD561" s="2" t="str">
        <f>IF($W561=AD$3,$AB561,IF(NOT($W561=0),"",SUMIFS('Val-Vol (2)'!AD$4:AD$1116,'Val-Vol (2)'!$A$4:$A$1116,$D561,'Val-Vol (2)'!$V$4:$V$1116,$V561)/SUMIFS('Comp2016-2017 (3)'!$G$5:$G$289,'Comp2016-2017 (3)'!$A$5:$A$289,$D561,'Comp2016-2017 (3)'!$R$5:$R$289,$V561)*$AB561))</f>
        <v/>
      </c>
      <c r="AE561" s="2" t="str">
        <f>IF($W561=AE$3,$AB561,IF(NOT($W561=0),"",SUMIFS('Val-Vol (2)'!AE$4:AE$1116,'Val-Vol (2)'!$A$4:$A$1116,$D561,'Val-Vol (2)'!$V$4:$V$1116,$V561)/SUMIFS('Comp2016-2017 (3)'!$G$5:$G$289,'Comp2016-2017 (3)'!$A$5:$A$289,$D561,'Comp2016-2017 (3)'!$R$5:$R$289,$V561)*$AB561))</f>
        <v/>
      </c>
      <c r="AF561" s="2" t="str">
        <f>IF($W561=AF$3,$AB561,IF(NOT($W561=0),"",SUMIFS('Val-Vol (2)'!AF$4:AF$1116,'Val-Vol (2)'!$A$4:$A$1116,$D561,'Val-Vol (2)'!$V$4:$V$1116,$V561)/SUMIFS('Comp2016-2017 (3)'!$G$5:$G$289,'Comp2016-2017 (3)'!$A$5:$A$289,$D561,'Comp2016-2017 (3)'!$R$5:$R$289,$V561)*$AB561))</f>
        <v/>
      </c>
      <c r="AG561" s="2" t="str">
        <f>IF($W561=AG$3,$AB561,IF(NOT($W561=0),"",SUMIFS('Val-Vol (2)'!AG$4:AG$1116,'Val-Vol (2)'!$A$4:$A$1116,$D561,'Val-Vol (2)'!$V$4:$V$1116,$V561)/SUMIFS('Comp2016-2017 (3)'!$G$5:$G$289,'Comp2016-2017 (3)'!$A$5:$A$289,$D561,'Comp2016-2017 (3)'!$R$5:$R$289,$V561)*$AB561))</f>
        <v/>
      </c>
      <c r="AH561" s="2" t="str">
        <f>IF($W561=AH$3,$AB561,IF(NOT($W561=0),"",SUMIFS('Val-Vol (2)'!AH$4:AH$1116,'Val-Vol (2)'!$A$4:$A$1116,$D561,'Val-Vol (2)'!$V$4:$V$1116,$V561)/SUMIFS('Comp2016-2017 (3)'!$G$5:$G$289,'Comp2016-2017 (3)'!$A$5:$A$289,$D561,'Comp2016-2017 (3)'!$R$5:$R$289,$V561)*$AB561))</f>
        <v/>
      </c>
      <c r="AI561" s="2" t="str">
        <f>IF($W561=AI$3,$AB561,IF(NOT($W561=0),"",SUMIFS('Val-Vol (2)'!AI$4:AI$1116,'Val-Vol (2)'!$A$4:$A$1116,$D561,'Val-Vol (2)'!$V$4:$V$1116,$V561)/SUMIFS('Comp2016-2017 (3)'!$G$5:$G$289,'Comp2016-2017 (3)'!$A$5:$A$289,$D561,'Comp2016-2017 (3)'!$R$5:$R$289,$V561)*$AB561))</f>
        <v/>
      </c>
      <c r="AJ561" s="2" t="str">
        <f>IF($W561=AJ$3,$AB561,IF(NOT($W561=0),"",SUMIFS('Val-Vol (2)'!AJ$4:AJ$1116,'Val-Vol (2)'!$A$4:$A$1116,$D561,'Val-Vol (2)'!$V$4:$V$1116,$V561)/SUMIFS('Comp2016-2017 (3)'!$G$5:$G$289,'Comp2016-2017 (3)'!$A$5:$A$289,$D561,'Comp2016-2017 (3)'!$R$5:$R$289,$V561)*$AB561))</f>
        <v/>
      </c>
      <c r="AK561" s="2">
        <f t="shared" si="60"/>
        <v>0</v>
      </c>
      <c r="AL561" t="str">
        <f t="shared" si="62"/>
        <v/>
      </c>
      <c r="AM561" t="str">
        <f>VLOOKUP(A561,'Table corresp.'!$M$4:$U$63,8,FALSE)</f>
        <v>Produits connexes du sciage</v>
      </c>
      <c r="AN561" t="str">
        <f>VLOOKUP(D561,'Table corresp.'!$M$4:$U$63,9,FALSE)</f>
        <v>Exportation</v>
      </c>
    </row>
    <row r="562" spans="1:40" x14ac:dyDescent="0.25">
      <c r="A562" t="s">
        <v>13</v>
      </c>
      <c r="B562" t="str">
        <f>VLOOKUP(LEFT(A562,3),'Table corresp.'!$A$4:$D$63,3,FALSE)</f>
        <v>Transformation</v>
      </c>
      <c r="C562" t="str">
        <f>VLOOKUP(A562,'Table corresp.'!$M$4:$P$63,4,FALSE)</f>
        <v>Production et transformation de produits bois</v>
      </c>
      <c r="D562" t="s">
        <v>85</v>
      </c>
      <c r="E562" t="str">
        <f>VLOOKUP(LEFT(D562,3),'Table corresp.'!$A$4:$D$63,4,FALSE)</f>
        <v>Transformation</v>
      </c>
      <c r="F562" t="str">
        <f t="shared" si="61"/>
        <v xml:space="preserve">20  - 29 </v>
      </c>
      <c r="G562" s="3">
        <v>101320.26569838866</v>
      </c>
      <c r="H562" s="3">
        <v>30985.070774703534</v>
      </c>
      <c r="I562" s="3">
        <v>132305.35074334906</v>
      </c>
      <c r="J562" s="3">
        <v>582.90002978468908</v>
      </c>
      <c r="K562" s="3">
        <v>222.08359837302365</v>
      </c>
      <c r="L562" s="3">
        <v>804.9836281577127</v>
      </c>
      <c r="M562" s="3">
        <v>0</v>
      </c>
      <c r="N562" s="3">
        <v>0</v>
      </c>
      <c r="O562" s="3">
        <v>0</v>
      </c>
      <c r="P562" s="3">
        <v>0</v>
      </c>
      <c r="Q562" s="3">
        <v>0</v>
      </c>
      <c r="R562" s="3">
        <v>0</v>
      </c>
      <c r="S562" s="67"/>
      <c r="T562">
        <f>VLOOKUP(A562,'Groupe de branches'!$Z$27:$AM$86,14,FALSE)</f>
        <v>0</v>
      </c>
      <c r="U562">
        <f>VLOOKUP(D562,'Groupe de branches'!$Z$27:$AM$86,14,FALSE)</f>
        <v>0</v>
      </c>
      <c r="V562">
        <v>2017</v>
      </c>
      <c r="W562" t="str">
        <f>VLOOKUP(D562,'Table corresp.'!$M$4:$S$63,7,FALSE)</f>
        <v>Construction</v>
      </c>
      <c r="X562" s="167">
        <f>IFERROR(G562/SUMIFS('Comp2016-2017 (3)'!$I$5:$I$289,'Comp2016-2017 (3)'!$A$5:$A$289,A562,'Comp2016-2017 (3)'!$R$5:$R$289,V562),0)</f>
        <v>0.14597358789883247</v>
      </c>
      <c r="Y562" s="190">
        <f>IFERROR(IF(RIGHT(F562,3)="Exp",VLOOKUP(F562,#REF!,2,FALSE),VLOOKUP(F562,#REF!,9,FALSE)),1)</f>
        <v>1</v>
      </c>
      <c r="Z562" s="167">
        <f t="shared" si="64"/>
        <v>0.1</v>
      </c>
      <c r="AA562" s="189">
        <f t="shared" si="63"/>
        <v>1.4597358789883247E-2</v>
      </c>
      <c r="AB562" s="2">
        <f>IFERROR(SUMIFS('Comp2016-2017 (3)'!$G$5:$G$289,'Comp2016-2017 (3)'!$A$5:$A$289,A562,'Comp2016-2017 (3)'!$R$5:$R$289,V562)*AA562/SUMIFS($AA$4:$AA$1116,$A$4:$A$1116,A562,$V$4:$V$1116,V562),0)</f>
        <v>17949.756493669534</v>
      </c>
      <c r="AC562" s="2" t="str">
        <f>IF($W562=AC$3,$AB562,IF(NOT($W562=0),"",SUMIFS('Val-Vol (2)'!AC$4:AC$1116,'Val-Vol (2)'!$A$4:$A$1116,$D562,'Val-Vol (2)'!$V$4:$V$1116,$V562)/SUMIFS('Comp2016-2017 (3)'!$G$5:$G$289,'Comp2016-2017 (3)'!$A$5:$A$289,$D562,'Comp2016-2017 (3)'!$R$5:$R$289,$V562)*$AB562))</f>
        <v/>
      </c>
      <c r="AD562" s="2">
        <f>IF($W562=AD$3,$AB562,IF(NOT($W562=0),"",SUMIFS('Val-Vol (2)'!AD$4:AD$1116,'Val-Vol (2)'!$A$4:$A$1116,$D562,'Val-Vol (2)'!$V$4:$V$1116,$V562)/SUMIFS('Comp2016-2017 (3)'!$G$5:$G$289,'Comp2016-2017 (3)'!$A$5:$A$289,$D562,'Comp2016-2017 (3)'!$R$5:$R$289,$V562)*$AB562))</f>
        <v>17949.756493669534</v>
      </c>
      <c r="AE562" s="2" t="str">
        <f>IF($W562=AE$3,$AB562,IF(NOT($W562=0),"",SUMIFS('Val-Vol (2)'!AE$4:AE$1116,'Val-Vol (2)'!$A$4:$A$1116,$D562,'Val-Vol (2)'!$V$4:$V$1116,$V562)/SUMIFS('Comp2016-2017 (3)'!$G$5:$G$289,'Comp2016-2017 (3)'!$A$5:$A$289,$D562,'Comp2016-2017 (3)'!$R$5:$R$289,$V562)*$AB562))</f>
        <v/>
      </c>
      <c r="AF562" s="2" t="str">
        <f>IF($W562=AF$3,$AB562,IF(NOT($W562=0),"",SUMIFS('Val-Vol (2)'!AF$4:AF$1116,'Val-Vol (2)'!$A$4:$A$1116,$D562,'Val-Vol (2)'!$V$4:$V$1116,$V562)/SUMIFS('Comp2016-2017 (3)'!$G$5:$G$289,'Comp2016-2017 (3)'!$A$5:$A$289,$D562,'Comp2016-2017 (3)'!$R$5:$R$289,$V562)*$AB562))</f>
        <v/>
      </c>
      <c r="AG562" s="2" t="str">
        <f>IF($W562=AG$3,$AB562,IF(NOT($W562=0),"",SUMIFS('Val-Vol (2)'!AG$4:AG$1116,'Val-Vol (2)'!$A$4:$A$1116,$D562,'Val-Vol (2)'!$V$4:$V$1116,$V562)/SUMIFS('Comp2016-2017 (3)'!$G$5:$G$289,'Comp2016-2017 (3)'!$A$5:$A$289,$D562,'Comp2016-2017 (3)'!$R$5:$R$289,$V562)*$AB562))</f>
        <v/>
      </c>
      <c r="AH562" s="2" t="str">
        <f>IF($W562=AH$3,$AB562,IF(NOT($W562=0),"",SUMIFS('Val-Vol (2)'!AH$4:AH$1116,'Val-Vol (2)'!$A$4:$A$1116,$D562,'Val-Vol (2)'!$V$4:$V$1116,$V562)/SUMIFS('Comp2016-2017 (3)'!$G$5:$G$289,'Comp2016-2017 (3)'!$A$5:$A$289,$D562,'Comp2016-2017 (3)'!$R$5:$R$289,$V562)*$AB562))</f>
        <v/>
      </c>
      <c r="AI562" s="2" t="str">
        <f>IF($W562=AI$3,$AB562,IF(NOT($W562=0),"",SUMIFS('Val-Vol (2)'!AI$4:AI$1116,'Val-Vol (2)'!$A$4:$A$1116,$D562,'Val-Vol (2)'!$V$4:$V$1116,$V562)/SUMIFS('Comp2016-2017 (3)'!$G$5:$G$289,'Comp2016-2017 (3)'!$A$5:$A$289,$D562,'Comp2016-2017 (3)'!$R$5:$R$289,$V562)*$AB562))</f>
        <v/>
      </c>
      <c r="AJ562" s="2" t="str">
        <f>IF($W562=AJ$3,$AB562,IF(NOT($W562=0),"",SUMIFS('Val-Vol (2)'!AJ$4:AJ$1116,'Val-Vol (2)'!$A$4:$A$1116,$D562,'Val-Vol (2)'!$V$4:$V$1116,$V562)/SUMIFS('Comp2016-2017 (3)'!$G$5:$G$289,'Comp2016-2017 (3)'!$A$5:$A$289,$D562,'Comp2016-2017 (3)'!$R$5:$R$289,$V562)*$AB562))</f>
        <v/>
      </c>
      <c r="AK562" s="2">
        <f t="shared" si="60"/>
        <v>0</v>
      </c>
      <c r="AL562" t="str">
        <f t="shared" si="62"/>
        <v/>
      </c>
      <c r="AM562" t="str">
        <f>VLOOKUP(A562,'Table corresp.'!$M$4:$U$63,8,FALSE)</f>
        <v>Production intermédiaire</v>
      </c>
      <c r="AN562" t="str">
        <f>VLOOKUP(D562,'Table corresp.'!$M$4:$U$63,9,FALSE)</f>
        <v>Production intermédiaire</v>
      </c>
    </row>
    <row r="563" spans="1:40" x14ac:dyDescent="0.25">
      <c r="A563" t="s">
        <v>13</v>
      </c>
      <c r="B563" t="str">
        <f>VLOOKUP(LEFT(A563,3),'Table corresp.'!$A$4:$D$63,3,FALSE)</f>
        <v>Transformation</v>
      </c>
      <c r="C563" t="str">
        <f>VLOOKUP(A563,'Table corresp.'!$M$4:$P$63,4,FALSE)</f>
        <v>Production et transformation de produits bois</v>
      </c>
      <c r="D563" t="s">
        <v>15</v>
      </c>
      <c r="E563" t="str">
        <f>VLOOKUP(LEFT(D563,3),'Table corresp.'!$A$4:$D$63,4,FALSE)</f>
        <v>Transformation</v>
      </c>
      <c r="F563" t="str">
        <f t="shared" si="61"/>
        <v xml:space="preserve">20  - 35 </v>
      </c>
      <c r="G563" s="3">
        <v>2652.7091110406068</v>
      </c>
      <c r="H563" s="3">
        <v>810.59344118262322</v>
      </c>
      <c r="I563" s="3">
        <v>3463.302925769894</v>
      </c>
      <c r="J563" s="3">
        <v>15.261154411483909</v>
      </c>
      <c r="K563" s="3">
        <v>4.0337159069077426</v>
      </c>
      <c r="L563" s="3">
        <v>19.294870318391652</v>
      </c>
      <c r="M563" s="3">
        <v>0</v>
      </c>
      <c r="N563" s="3">
        <v>0</v>
      </c>
      <c r="O563" s="3">
        <v>0</v>
      </c>
      <c r="P563" s="3">
        <v>0</v>
      </c>
      <c r="Q563" s="3">
        <v>0</v>
      </c>
      <c r="R563" s="3">
        <v>0</v>
      </c>
      <c r="S563" s="67"/>
      <c r="T563">
        <f>VLOOKUP(A563,'Groupe de branches'!$Z$27:$AM$86,14,FALSE)</f>
        <v>0</v>
      </c>
      <c r="U563">
        <f>VLOOKUP(D563,'Groupe de branches'!$Z$27:$AM$86,14,FALSE)</f>
        <v>0</v>
      </c>
      <c r="V563">
        <v>2017</v>
      </c>
      <c r="W563" t="str">
        <f>VLOOKUP(D563,'Table corresp.'!$M$4:$S$63,7,FALSE)</f>
        <v>Construction</v>
      </c>
      <c r="X563" s="167">
        <f>IFERROR(G563/SUMIFS('Comp2016-2017 (3)'!$I$5:$I$289,'Comp2016-2017 (3)'!$A$5:$A$289,A563,'Comp2016-2017 (3)'!$R$5:$R$289,V563),0)</f>
        <v>3.8217967937748706E-3</v>
      </c>
      <c r="Y563" s="190">
        <f>IFERROR(IF(RIGHT(F563,3)="Exp",VLOOKUP(F563,#REF!,2,FALSE),VLOOKUP(F563,#REF!,9,FALSE)),1)</f>
        <v>1</v>
      </c>
      <c r="Z563" s="167">
        <f t="shared" si="64"/>
        <v>0.1</v>
      </c>
      <c r="AA563" s="189">
        <f t="shared" si="63"/>
        <v>3.8217967937748706E-4</v>
      </c>
      <c r="AB563" s="2">
        <f>IFERROR(SUMIFS('Comp2016-2017 (3)'!$G$5:$G$289,'Comp2016-2017 (3)'!$A$5:$A$289,A563,'Comp2016-2017 (3)'!$R$5:$R$289,V563)*AA563/SUMIFS($AA$4:$AA$1116,$A$4:$A$1116,A563,$V$4:$V$1116,V563),0)</f>
        <v>469.95023417585378</v>
      </c>
      <c r="AC563" s="2" t="str">
        <f>IF($W563=AC$3,$AB563,IF(NOT($W563=0),"",SUMIFS('Val-Vol (2)'!AC$4:AC$1116,'Val-Vol (2)'!$A$4:$A$1116,$D563,'Val-Vol (2)'!$V$4:$V$1116,$V563)/SUMIFS('Comp2016-2017 (3)'!$G$5:$G$289,'Comp2016-2017 (3)'!$A$5:$A$289,$D563,'Comp2016-2017 (3)'!$R$5:$R$289,$V563)*$AB563))</f>
        <v/>
      </c>
      <c r="AD563" s="2">
        <f>IF($W563=AD$3,$AB563,IF(NOT($W563=0),"",SUMIFS('Val-Vol (2)'!AD$4:AD$1116,'Val-Vol (2)'!$A$4:$A$1116,$D563,'Val-Vol (2)'!$V$4:$V$1116,$V563)/SUMIFS('Comp2016-2017 (3)'!$G$5:$G$289,'Comp2016-2017 (3)'!$A$5:$A$289,$D563,'Comp2016-2017 (3)'!$R$5:$R$289,$V563)*$AB563))</f>
        <v>469.95023417585378</v>
      </c>
      <c r="AE563" s="2" t="str">
        <f>IF($W563=AE$3,$AB563,IF(NOT($W563=0),"",SUMIFS('Val-Vol (2)'!AE$4:AE$1116,'Val-Vol (2)'!$A$4:$A$1116,$D563,'Val-Vol (2)'!$V$4:$V$1116,$V563)/SUMIFS('Comp2016-2017 (3)'!$G$5:$G$289,'Comp2016-2017 (3)'!$A$5:$A$289,$D563,'Comp2016-2017 (3)'!$R$5:$R$289,$V563)*$AB563))</f>
        <v/>
      </c>
      <c r="AF563" s="2" t="str">
        <f>IF($W563=AF$3,$AB563,IF(NOT($W563=0),"",SUMIFS('Val-Vol (2)'!AF$4:AF$1116,'Val-Vol (2)'!$A$4:$A$1116,$D563,'Val-Vol (2)'!$V$4:$V$1116,$V563)/SUMIFS('Comp2016-2017 (3)'!$G$5:$G$289,'Comp2016-2017 (3)'!$A$5:$A$289,$D563,'Comp2016-2017 (3)'!$R$5:$R$289,$V563)*$AB563))</f>
        <v/>
      </c>
      <c r="AG563" s="2" t="str">
        <f>IF($W563=AG$3,$AB563,IF(NOT($W563=0),"",SUMIFS('Val-Vol (2)'!AG$4:AG$1116,'Val-Vol (2)'!$A$4:$A$1116,$D563,'Val-Vol (2)'!$V$4:$V$1116,$V563)/SUMIFS('Comp2016-2017 (3)'!$G$5:$G$289,'Comp2016-2017 (3)'!$A$5:$A$289,$D563,'Comp2016-2017 (3)'!$R$5:$R$289,$V563)*$AB563))</f>
        <v/>
      </c>
      <c r="AH563" s="2" t="str">
        <f>IF($W563=AH$3,$AB563,IF(NOT($W563=0),"",SUMIFS('Val-Vol (2)'!AH$4:AH$1116,'Val-Vol (2)'!$A$4:$A$1116,$D563,'Val-Vol (2)'!$V$4:$V$1116,$V563)/SUMIFS('Comp2016-2017 (3)'!$G$5:$G$289,'Comp2016-2017 (3)'!$A$5:$A$289,$D563,'Comp2016-2017 (3)'!$R$5:$R$289,$V563)*$AB563))</f>
        <v/>
      </c>
      <c r="AI563" s="2" t="str">
        <f>IF($W563=AI$3,$AB563,IF(NOT($W563=0),"",SUMIFS('Val-Vol (2)'!AI$4:AI$1116,'Val-Vol (2)'!$A$4:$A$1116,$D563,'Val-Vol (2)'!$V$4:$V$1116,$V563)/SUMIFS('Comp2016-2017 (3)'!$G$5:$G$289,'Comp2016-2017 (3)'!$A$5:$A$289,$D563,'Comp2016-2017 (3)'!$R$5:$R$289,$V563)*$AB563))</f>
        <v/>
      </c>
      <c r="AJ563" s="2" t="str">
        <f>IF($W563=AJ$3,$AB563,IF(NOT($W563=0),"",SUMIFS('Val-Vol (2)'!AJ$4:AJ$1116,'Val-Vol (2)'!$A$4:$A$1116,$D563,'Val-Vol (2)'!$V$4:$V$1116,$V563)/SUMIFS('Comp2016-2017 (3)'!$G$5:$G$289,'Comp2016-2017 (3)'!$A$5:$A$289,$D563,'Comp2016-2017 (3)'!$R$5:$R$289,$V563)*$AB563))</f>
        <v/>
      </c>
      <c r="AK563" s="2">
        <f t="shared" si="60"/>
        <v>0</v>
      </c>
      <c r="AL563" t="str">
        <f t="shared" si="62"/>
        <v/>
      </c>
      <c r="AM563" t="str">
        <f>VLOOKUP(A563,'Table corresp.'!$M$4:$U$63,8,FALSE)</f>
        <v>Production intermédiaire</v>
      </c>
      <c r="AN563" t="str">
        <f>VLOOKUP(D563,'Table corresp.'!$M$4:$U$63,9,FALSE)</f>
        <v>Production finale</v>
      </c>
    </row>
    <row r="564" spans="1:40" x14ac:dyDescent="0.25">
      <c r="A564" t="s">
        <v>13</v>
      </c>
      <c r="B564" t="str">
        <f>VLOOKUP(LEFT(A564,3),'Table corresp.'!$A$4:$D$63,3,FALSE)</f>
        <v>Transformation</v>
      </c>
      <c r="C564" t="str">
        <f>VLOOKUP(A564,'Table corresp.'!$M$4:$P$63,4,FALSE)</f>
        <v>Production et transformation de produits bois</v>
      </c>
      <c r="D564" t="s">
        <v>20</v>
      </c>
      <c r="E564" t="str">
        <f>VLOOKUP(LEFT(D564,3),'Table corresp.'!$A$4:$D$63,4,FALSE)</f>
        <v>Transformation</v>
      </c>
      <c r="F564" t="str">
        <f t="shared" si="61"/>
        <v xml:space="preserve">20  - 53 </v>
      </c>
      <c r="G564" s="3">
        <v>3061.8106050611336</v>
      </c>
      <c r="H564" s="3">
        <v>927.39170427601209</v>
      </c>
      <c r="I564" s="3">
        <v>3989.2027396065755</v>
      </c>
      <c r="J564" s="3">
        <v>30.825783874733673</v>
      </c>
      <c r="K564" s="3">
        <v>8.9734814286537912</v>
      </c>
      <c r="L564" s="3">
        <v>39.799265303387465</v>
      </c>
      <c r="M564" s="3">
        <v>0</v>
      </c>
      <c r="N564" s="3">
        <v>0</v>
      </c>
      <c r="O564" s="3">
        <v>0</v>
      </c>
      <c r="P564" s="3">
        <v>0</v>
      </c>
      <c r="Q564" s="3">
        <v>0</v>
      </c>
      <c r="R564" s="3">
        <v>0</v>
      </c>
      <c r="S564" s="67"/>
      <c r="T564">
        <f>VLOOKUP(A564,'Groupe de branches'!$Z$27:$AM$86,14,FALSE)</f>
        <v>0</v>
      </c>
      <c r="U564">
        <f>VLOOKUP(D564,'Groupe de branches'!$Z$27:$AM$86,14,FALSE)</f>
        <v>0</v>
      </c>
      <c r="V564">
        <v>2017</v>
      </c>
      <c r="W564" t="str">
        <f>VLOOKUP(D564,'Table corresp.'!$M$4:$S$63,7,FALSE)</f>
        <v>Construction</v>
      </c>
      <c r="X564" s="167">
        <f>IFERROR(G564/SUMIFS('Comp2016-2017 (3)'!$I$5:$I$289,'Comp2016-2017 (3)'!$A$5:$A$289,A564,'Comp2016-2017 (3)'!$R$5:$R$289,V564),0)</f>
        <v>4.4111952964862467E-3</v>
      </c>
      <c r="Y564" s="190">
        <f>IFERROR(IF(RIGHT(F564,3)="Exp",VLOOKUP(F564,#REF!,2,FALSE),VLOOKUP(F564,#REF!,9,FALSE)),1)</f>
        <v>1</v>
      </c>
      <c r="Z564" s="167">
        <f t="shared" si="64"/>
        <v>0.1</v>
      </c>
      <c r="AA564" s="189">
        <f t="shared" si="63"/>
        <v>4.4111952964862467E-4</v>
      </c>
      <c r="AB564" s="2">
        <f>IFERROR(SUMIFS('Comp2016-2017 (3)'!$G$5:$G$289,'Comp2016-2017 (3)'!$A$5:$A$289,A564,'Comp2016-2017 (3)'!$R$5:$R$289,V564)*AA564/SUMIFS($AA$4:$AA$1116,$A$4:$A$1116,A564,$V$4:$V$1116,V564),0)</f>
        <v>542.42608240077266</v>
      </c>
      <c r="AC564" s="2" t="str">
        <f>IF($W564=AC$3,$AB564,IF(NOT($W564=0),"",SUMIFS('Val-Vol (2)'!AC$4:AC$1116,'Val-Vol (2)'!$A$4:$A$1116,$D564,'Val-Vol (2)'!$V$4:$V$1116,$V564)/SUMIFS('Comp2016-2017 (3)'!$G$5:$G$289,'Comp2016-2017 (3)'!$A$5:$A$289,$D564,'Comp2016-2017 (3)'!$R$5:$R$289,$V564)*$AB564))</f>
        <v/>
      </c>
      <c r="AD564" s="2">
        <f>IF($W564=AD$3,$AB564,IF(NOT($W564=0),"",SUMIFS('Val-Vol (2)'!AD$4:AD$1116,'Val-Vol (2)'!$A$4:$A$1116,$D564,'Val-Vol (2)'!$V$4:$V$1116,$V564)/SUMIFS('Comp2016-2017 (3)'!$G$5:$G$289,'Comp2016-2017 (3)'!$A$5:$A$289,$D564,'Comp2016-2017 (3)'!$R$5:$R$289,$V564)*$AB564))</f>
        <v>542.42608240077266</v>
      </c>
      <c r="AE564" s="2" t="str">
        <f>IF($W564=AE$3,$AB564,IF(NOT($W564=0),"",SUMIFS('Val-Vol (2)'!AE$4:AE$1116,'Val-Vol (2)'!$A$4:$A$1116,$D564,'Val-Vol (2)'!$V$4:$V$1116,$V564)/SUMIFS('Comp2016-2017 (3)'!$G$5:$G$289,'Comp2016-2017 (3)'!$A$5:$A$289,$D564,'Comp2016-2017 (3)'!$R$5:$R$289,$V564)*$AB564))</f>
        <v/>
      </c>
      <c r="AF564" s="2" t="str">
        <f>IF($W564=AF$3,$AB564,IF(NOT($W564=0),"",SUMIFS('Val-Vol (2)'!AF$4:AF$1116,'Val-Vol (2)'!$A$4:$A$1116,$D564,'Val-Vol (2)'!$V$4:$V$1116,$V564)/SUMIFS('Comp2016-2017 (3)'!$G$5:$G$289,'Comp2016-2017 (3)'!$A$5:$A$289,$D564,'Comp2016-2017 (3)'!$R$5:$R$289,$V564)*$AB564))</f>
        <v/>
      </c>
      <c r="AG564" s="2" t="str">
        <f>IF($W564=AG$3,$AB564,IF(NOT($W564=0),"",SUMIFS('Val-Vol (2)'!AG$4:AG$1116,'Val-Vol (2)'!$A$4:$A$1116,$D564,'Val-Vol (2)'!$V$4:$V$1116,$V564)/SUMIFS('Comp2016-2017 (3)'!$G$5:$G$289,'Comp2016-2017 (3)'!$A$5:$A$289,$D564,'Comp2016-2017 (3)'!$R$5:$R$289,$V564)*$AB564))</f>
        <v/>
      </c>
      <c r="AH564" s="2" t="str">
        <f>IF($W564=AH$3,$AB564,IF(NOT($W564=0),"",SUMIFS('Val-Vol (2)'!AH$4:AH$1116,'Val-Vol (2)'!$A$4:$A$1116,$D564,'Val-Vol (2)'!$V$4:$V$1116,$V564)/SUMIFS('Comp2016-2017 (3)'!$G$5:$G$289,'Comp2016-2017 (3)'!$A$5:$A$289,$D564,'Comp2016-2017 (3)'!$R$5:$R$289,$V564)*$AB564))</f>
        <v/>
      </c>
      <c r="AI564" s="2" t="str">
        <f>IF($W564=AI$3,$AB564,IF(NOT($W564=0),"",SUMIFS('Val-Vol (2)'!AI$4:AI$1116,'Val-Vol (2)'!$A$4:$A$1116,$D564,'Val-Vol (2)'!$V$4:$V$1116,$V564)/SUMIFS('Comp2016-2017 (3)'!$G$5:$G$289,'Comp2016-2017 (3)'!$A$5:$A$289,$D564,'Comp2016-2017 (3)'!$R$5:$R$289,$V564)*$AB564))</f>
        <v/>
      </c>
      <c r="AJ564" s="2" t="str">
        <f>IF($W564=AJ$3,$AB564,IF(NOT($W564=0),"",SUMIFS('Val-Vol (2)'!AJ$4:AJ$1116,'Val-Vol (2)'!$A$4:$A$1116,$D564,'Val-Vol (2)'!$V$4:$V$1116,$V564)/SUMIFS('Comp2016-2017 (3)'!$G$5:$G$289,'Comp2016-2017 (3)'!$A$5:$A$289,$D564,'Comp2016-2017 (3)'!$R$5:$R$289,$V564)*$AB564))</f>
        <v/>
      </c>
      <c r="AK564" s="2">
        <f t="shared" si="60"/>
        <v>0</v>
      </c>
      <c r="AL564" t="str">
        <f t="shared" si="62"/>
        <v/>
      </c>
      <c r="AM564" t="str">
        <f>VLOOKUP(A564,'Table corresp.'!$M$4:$U$63,8,FALSE)</f>
        <v>Production intermédiaire</v>
      </c>
      <c r="AN564" t="str">
        <f>VLOOKUP(D564,'Table corresp.'!$M$4:$U$63,9,FALSE)</f>
        <v xml:space="preserve">Mise en œuvre </v>
      </c>
    </row>
    <row r="565" spans="1:40" x14ac:dyDescent="0.25">
      <c r="A565" t="s">
        <v>13</v>
      </c>
      <c r="B565" t="str">
        <f>VLOOKUP(LEFT(A565,3),'Table corresp.'!$A$4:$D$63,3,FALSE)</f>
        <v>Transformation</v>
      </c>
      <c r="C565" t="str">
        <f>VLOOKUP(A565,'Table corresp.'!$M$4:$P$63,4,FALSE)</f>
        <v>Production et transformation de produits bois</v>
      </c>
      <c r="D565" t="s">
        <v>21</v>
      </c>
      <c r="E565" t="str">
        <f>VLOOKUP(LEFT(D565,3),'Table corresp.'!$A$4:$D$63,4,FALSE)</f>
        <v>Transformation</v>
      </c>
      <c r="F565" t="str">
        <f t="shared" si="61"/>
        <v xml:space="preserve">20  - 54 </v>
      </c>
      <c r="G565" s="3">
        <v>94693.018959307941</v>
      </c>
      <c r="H565" s="3">
        <v>29204.279207184532</v>
      </c>
      <c r="I565" s="3">
        <v>123897.31152987084</v>
      </c>
      <c r="J565" s="3">
        <v>272.38659112922431</v>
      </c>
      <c r="K565" s="3">
        <v>72.663902520557826</v>
      </c>
      <c r="L565" s="3">
        <v>345.05049364978214</v>
      </c>
      <c r="M565" s="3">
        <v>0</v>
      </c>
      <c r="N565" s="3">
        <v>0</v>
      </c>
      <c r="O565" s="3">
        <v>0</v>
      </c>
      <c r="P565" s="3">
        <v>0</v>
      </c>
      <c r="Q565" s="3">
        <v>0</v>
      </c>
      <c r="R565" s="3">
        <v>0</v>
      </c>
      <c r="S565" s="67"/>
      <c r="T565">
        <f>VLOOKUP(A565,'Groupe de branches'!$Z$27:$AM$86,14,FALSE)</f>
        <v>0</v>
      </c>
      <c r="U565">
        <f>VLOOKUP(D565,'Groupe de branches'!$Z$27:$AM$86,14,FALSE)</f>
        <v>0</v>
      </c>
      <c r="V565">
        <v>2017</v>
      </c>
      <c r="W565" t="str">
        <f>VLOOKUP(D565,'Table corresp.'!$M$4:$S$63,7,FALSE)</f>
        <v>Construction</v>
      </c>
      <c r="X565" s="167">
        <f>IFERROR(G565/SUMIFS('Comp2016-2017 (3)'!$I$5:$I$289,'Comp2016-2017 (3)'!$A$5:$A$289,A565,'Comp2016-2017 (3)'!$R$5:$R$289,V565),0)</f>
        <v>0.13642561664425418</v>
      </c>
      <c r="Y565" s="190">
        <f>IFERROR(IF(RIGHT(F565,3)="Exp",VLOOKUP(F565,#REF!,2,FALSE),VLOOKUP(F565,#REF!,9,FALSE)),1)</f>
        <v>1</v>
      </c>
      <c r="Z565" s="167">
        <f t="shared" si="64"/>
        <v>0.1</v>
      </c>
      <c r="AA565" s="189">
        <f t="shared" si="63"/>
        <v>1.3642561664425418E-2</v>
      </c>
      <c r="AB565" s="2">
        <f>IFERROR(SUMIFS('Comp2016-2017 (3)'!$G$5:$G$289,'Comp2016-2017 (3)'!$A$5:$A$289,A565,'Comp2016-2017 (3)'!$R$5:$R$289,V565)*AA565/SUMIFS($AA$4:$AA$1116,$A$4:$A$1116,A565,$V$4:$V$1116,V565),0)</f>
        <v>16775.682734880964</v>
      </c>
      <c r="AC565" s="2" t="str">
        <f>IF($W565=AC$3,$AB565,IF(NOT($W565=0),"",SUMIFS('Val-Vol (2)'!AC$4:AC$1116,'Val-Vol (2)'!$A$4:$A$1116,$D565,'Val-Vol (2)'!$V$4:$V$1116,$V565)/SUMIFS('Comp2016-2017 (3)'!$G$5:$G$289,'Comp2016-2017 (3)'!$A$5:$A$289,$D565,'Comp2016-2017 (3)'!$R$5:$R$289,$V565)*$AB565))</f>
        <v/>
      </c>
      <c r="AD565" s="2">
        <f>IF($W565=AD$3,$AB565,IF(NOT($W565=0),"",SUMIFS('Val-Vol (2)'!AD$4:AD$1116,'Val-Vol (2)'!$A$4:$A$1116,$D565,'Val-Vol (2)'!$V$4:$V$1116,$V565)/SUMIFS('Comp2016-2017 (3)'!$G$5:$G$289,'Comp2016-2017 (3)'!$A$5:$A$289,$D565,'Comp2016-2017 (3)'!$R$5:$R$289,$V565)*$AB565))</f>
        <v>16775.682734880964</v>
      </c>
      <c r="AE565" s="2" t="str">
        <f>IF($W565=AE$3,$AB565,IF(NOT($W565=0),"",SUMIFS('Val-Vol (2)'!AE$4:AE$1116,'Val-Vol (2)'!$A$4:$A$1116,$D565,'Val-Vol (2)'!$V$4:$V$1116,$V565)/SUMIFS('Comp2016-2017 (3)'!$G$5:$G$289,'Comp2016-2017 (3)'!$A$5:$A$289,$D565,'Comp2016-2017 (3)'!$R$5:$R$289,$V565)*$AB565))</f>
        <v/>
      </c>
      <c r="AF565" s="2" t="str">
        <f>IF($W565=AF$3,$AB565,IF(NOT($W565=0),"",SUMIFS('Val-Vol (2)'!AF$4:AF$1116,'Val-Vol (2)'!$A$4:$A$1116,$D565,'Val-Vol (2)'!$V$4:$V$1116,$V565)/SUMIFS('Comp2016-2017 (3)'!$G$5:$G$289,'Comp2016-2017 (3)'!$A$5:$A$289,$D565,'Comp2016-2017 (3)'!$R$5:$R$289,$V565)*$AB565))</f>
        <v/>
      </c>
      <c r="AG565" s="2" t="str">
        <f>IF($W565=AG$3,$AB565,IF(NOT($W565=0),"",SUMIFS('Val-Vol (2)'!AG$4:AG$1116,'Val-Vol (2)'!$A$4:$A$1116,$D565,'Val-Vol (2)'!$V$4:$V$1116,$V565)/SUMIFS('Comp2016-2017 (3)'!$G$5:$G$289,'Comp2016-2017 (3)'!$A$5:$A$289,$D565,'Comp2016-2017 (3)'!$R$5:$R$289,$V565)*$AB565))</f>
        <v/>
      </c>
      <c r="AH565" s="2" t="str">
        <f>IF($W565=AH$3,$AB565,IF(NOT($W565=0),"",SUMIFS('Val-Vol (2)'!AH$4:AH$1116,'Val-Vol (2)'!$A$4:$A$1116,$D565,'Val-Vol (2)'!$V$4:$V$1116,$V565)/SUMIFS('Comp2016-2017 (3)'!$G$5:$G$289,'Comp2016-2017 (3)'!$A$5:$A$289,$D565,'Comp2016-2017 (3)'!$R$5:$R$289,$V565)*$AB565))</f>
        <v/>
      </c>
      <c r="AI565" s="2" t="str">
        <f>IF($W565=AI$3,$AB565,IF(NOT($W565=0),"",SUMIFS('Val-Vol (2)'!AI$4:AI$1116,'Val-Vol (2)'!$A$4:$A$1116,$D565,'Val-Vol (2)'!$V$4:$V$1116,$V565)/SUMIFS('Comp2016-2017 (3)'!$G$5:$G$289,'Comp2016-2017 (3)'!$A$5:$A$289,$D565,'Comp2016-2017 (3)'!$R$5:$R$289,$V565)*$AB565))</f>
        <v/>
      </c>
      <c r="AJ565" s="2" t="str">
        <f>IF($W565=AJ$3,$AB565,IF(NOT($W565=0),"",SUMIFS('Val-Vol (2)'!AJ$4:AJ$1116,'Val-Vol (2)'!$A$4:$A$1116,$D565,'Val-Vol (2)'!$V$4:$V$1116,$V565)/SUMIFS('Comp2016-2017 (3)'!$G$5:$G$289,'Comp2016-2017 (3)'!$A$5:$A$289,$D565,'Comp2016-2017 (3)'!$R$5:$R$289,$V565)*$AB565))</f>
        <v/>
      </c>
      <c r="AK565" s="2">
        <f t="shared" si="60"/>
        <v>0</v>
      </c>
      <c r="AL565" t="str">
        <f t="shared" si="62"/>
        <v/>
      </c>
      <c r="AM565" t="str">
        <f>VLOOKUP(A565,'Table corresp.'!$M$4:$U$63,8,FALSE)</f>
        <v>Production intermédiaire</v>
      </c>
      <c r="AN565" t="str">
        <f>VLOOKUP(D565,'Table corresp.'!$M$4:$U$63,9,FALSE)</f>
        <v xml:space="preserve">Mise en œuvre </v>
      </c>
    </row>
    <row r="566" spans="1:40" x14ac:dyDescent="0.25">
      <c r="A566" t="s">
        <v>13</v>
      </c>
      <c r="B566" t="str">
        <f>VLOOKUP(LEFT(A566,3),'Table corresp.'!$A$4:$D$63,3,FALSE)</f>
        <v>Transformation</v>
      </c>
      <c r="C566" t="str">
        <f>VLOOKUP(A566,'Table corresp.'!$M$4:$P$63,4,FALSE)</f>
        <v>Production et transformation de produits bois</v>
      </c>
      <c r="D566" t="s">
        <v>22</v>
      </c>
      <c r="E566" t="str">
        <f>VLOOKUP(LEFT(D566,3),'Table corresp.'!$A$4:$D$63,4,FALSE)</f>
        <v>Transformation</v>
      </c>
      <c r="F566" t="str">
        <f t="shared" si="61"/>
        <v xml:space="preserve">20  - 55 </v>
      </c>
      <c r="G566" s="3">
        <v>8435.8065369796022</v>
      </c>
      <c r="H566" s="3">
        <v>2592.8656006596175</v>
      </c>
      <c r="I566" s="3">
        <v>11028.673327175398</v>
      </c>
      <c r="J566" s="3">
        <v>24.265786552025819</v>
      </c>
      <c r="K566" s="3">
        <v>6.4513741948093664</v>
      </c>
      <c r="L566" s="3">
        <v>30.717160746835184</v>
      </c>
      <c r="M566" s="3">
        <v>0</v>
      </c>
      <c r="N566" s="3">
        <v>0</v>
      </c>
      <c r="O566" s="3">
        <v>0</v>
      </c>
      <c r="P566" s="3">
        <v>0</v>
      </c>
      <c r="Q566" s="3">
        <v>0</v>
      </c>
      <c r="R566" s="3">
        <v>0</v>
      </c>
      <c r="S566" s="67"/>
      <c r="T566">
        <f>VLOOKUP(A566,'Groupe de branches'!$Z$27:$AM$86,14,FALSE)</f>
        <v>0</v>
      </c>
      <c r="U566">
        <f>VLOOKUP(D566,'Groupe de branches'!$Z$27:$AM$86,14,FALSE)</f>
        <v>0</v>
      </c>
      <c r="V566">
        <v>2017</v>
      </c>
      <c r="W566" t="str">
        <f>VLOOKUP(D566,'Table corresp.'!$M$4:$S$63,7,FALSE)</f>
        <v>Construction</v>
      </c>
      <c r="X566" s="167">
        <f>IFERROR(G566/SUMIFS('Comp2016-2017 (3)'!$I$5:$I$289,'Comp2016-2017 (3)'!$A$5:$A$289,A566,'Comp2016-2017 (3)'!$R$5:$R$289,V566),0)</f>
        <v>1.2153589793072572E-2</v>
      </c>
      <c r="Y566" s="190">
        <f>IFERROR(IF(RIGHT(F566,3)="Exp",VLOOKUP(F566,#REF!,2,FALSE),VLOOKUP(F566,#REF!,9,FALSE)),1)</f>
        <v>1</v>
      </c>
      <c r="Z566" s="167">
        <f t="shared" si="64"/>
        <v>0.1</v>
      </c>
      <c r="AA566" s="189">
        <f t="shared" si="63"/>
        <v>1.2153589793072574E-3</v>
      </c>
      <c r="AB566" s="2">
        <f>IFERROR(SUMIFS('Comp2016-2017 (3)'!$G$5:$G$289,'Comp2016-2017 (3)'!$A$5:$A$289,A566,'Comp2016-2017 (3)'!$R$5:$R$289,V566)*AA566/SUMIFS($AA$4:$AA$1116,$A$4:$A$1116,A566,$V$4:$V$1116,V566),0)</f>
        <v>1494.4756818664528</v>
      </c>
      <c r="AC566" s="2" t="str">
        <f>IF($W566=AC$3,$AB566,IF(NOT($W566=0),"",SUMIFS('Val-Vol (2)'!AC$4:AC$1116,'Val-Vol (2)'!$A$4:$A$1116,$D566,'Val-Vol (2)'!$V$4:$V$1116,$V566)/SUMIFS('Comp2016-2017 (3)'!$G$5:$G$289,'Comp2016-2017 (3)'!$A$5:$A$289,$D566,'Comp2016-2017 (3)'!$R$5:$R$289,$V566)*$AB566))</f>
        <v/>
      </c>
      <c r="AD566" s="2">
        <f>IF($W566=AD$3,$AB566,IF(NOT($W566=0),"",SUMIFS('Val-Vol (2)'!AD$4:AD$1116,'Val-Vol (2)'!$A$4:$A$1116,$D566,'Val-Vol (2)'!$V$4:$V$1116,$V566)/SUMIFS('Comp2016-2017 (3)'!$G$5:$G$289,'Comp2016-2017 (3)'!$A$5:$A$289,$D566,'Comp2016-2017 (3)'!$R$5:$R$289,$V566)*$AB566))</f>
        <v>1494.4756818664528</v>
      </c>
      <c r="AE566" s="2" t="str">
        <f>IF($W566=AE$3,$AB566,IF(NOT($W566=0),"",SUMIFS('Val-Vol (2)'!AE$4:AE$1116,'Val-Vol (2)'!$A$4:$A$1116,$D566,'Val-Vol (2)'!$V$4:$V$1116,$V566)/SUMIFS('Comp2016-2017 (3)'!$G$5:$G$289,'Comp2016-2017 (3)'!$A$5:$A$289,$D566,'Comp2016-2017 (3)'!$R$5:$R$289,$V566)*$AB566))</f>
        <v/>
      </c>
      <c r="AF566" s="2" t="str">
        <f>IF($W566=AF$3,$AB566,IF(NOT($W566=0),"",SUMIFS('Val-Vol (2)'!AF$4:AF$1116,'Val-Vol (2)'!$A$4:$A$1116,$D566,'Val-Vol (2)'!$V$4:$V$1116,$V566)/SUMIFS('Comp2016-2017 (3)'!$G$5:$G$289,'Comp2016-2017 (3)'!$A$5:$A$289,$D566,'Comp2016-2017 (3)'!$R$5:$R$289,$V566)*$AB566))</f>
        <v/>
      </c>
      <c r="AG566" s="2" t="str">
        <f>IF($W566=AG$3,$AB566,IF(NOT($W566=0),"",SUMIFS('Val-Vol (2)'!AG$4:AG$1116,'Val-Vol (2)'!$A$4:$A$1116,$D566,'Val-Vol (2)'!$V$4:$V$1116,$V566)/SUMIFS('Comp2016-2017 (3)'!$G$5:$G$289,'Comp2016-2017 (3)'!$A$5:$A$289,$D566,'Comp2016-2017 (3)'!$R$5:$R$289,$V566)*$AB566))</f>
        <v/>
      </c>
      <c r="AH566" s="2" t="str">
        <f>IF($W566=AH$3,$AB566,IF(NOT($W566=0),"",SUMIFS('Val-Vol (2)'!AH$4:AH$1116,'Val-Vol (2)'!$A$4:$A$1116,$D566,'Val-Vol (2)'!$V$4:$V$1116,$V566)/SUMIFS('Comp2016-2017 (3)'!$G$5:$G$289,'Comp2016-2017 (3)'!$A$5:$A$289,$D566,'Comp2016-2017 (3)'!$R$5:$R$289,$V566)*$AB566))</f>
        <v/>
      </c>
      <c r="AI566" s="2" t="str">
        <f>IF($W566=AI$3,$AB566,IF(NOT($W566=0),"",SUMIFS('Val-Vol (2)'!AI$4:AI$1116,'Val-Vol (2)'!$A$4:$A$1116,$D566,'Val-Vol (2)'!$V$4:$V$1116,$V566)/SUMIFS('Comp2016-2017 (3)'!$G$5:$G$289,'Comp2016-2017 (3)'!$A$5:$A$289,$D566,'Comp2016-2017 (3)'!$R$5:$R$289,$V566)*$AB566))</f>
        <v/>
      </c>
      <c r="AJ566" s="2" t="str">
        <f>IF($W566=AJ$3,$AB566,IF(NOT($W566=0),"",SUMIFS('Val-Vol (2)'!AJ$4:AJ$1116,'Val-Vol (2)'!$A$4:$A$1116,$D566,'Val-Vol (2)'!$V$4:$V$1116,$V566)/SUMIFS('Comp2016-2017 (3)'!$G$5:$G$289,'Comp2016-2017 (3)'!$A$5:$A$289,$D566,'Comp2016-2017 (3)'!$R$5:$R$289,$V566)*$AB566))</f>
        <v/>
      </c>
      <c r="AK566" s="2">
        <f t="shared" si="60"/>
        <v>0</v>
      </c>
      <c r="AL566" t="str">
        <f t="shared" si="62"/>
        <v/>
      </c>
      <c r="AM566" t="str">
        <f>VLOOKUP(A566,'Table corresp.'!$M$4:$U$63,8,FALSE)</f>
        <v>Production intermédiaire</v>
      </c>
      <c r="AN566" t="str">
        <f>VLOOKUP(D566,'Table corresp.'!$M$4:$U$63,9,FALSE)</f>
        <v xml:space="preserve">Mise en œuvre </v>
      </c>
    </row>
    <row r="567" spans="1:40" x14ac:dyDescent="0.25">
      <c r="A567" t="s">
        <v>13</v>
      </c>
      <c r="B567" t="str">
        <f>VLOOKUP(LEFT(A567,3),'Table corresp.'!$A$4:$D$63,3,FALSE)</f>
        <v>Transformation</v>
      </c>
      <c r="C567" t="str">
        <f>VLOOKUP(A567,'Table corresp.'!$M$4:$P$63,4,FALSE)</f>
        <v>Production et transformation de produits bois</v>
      </c>
      <c r="D567" t="s">
        <v>23</v>
      </c>
      <c r="E567" t="str">
        <f>VLOOKUP(LEFT(D567,3),'Table corresp.'!$A$4:$D$63,4,FALSE)</f>
        <v>Transformation</v>
      </c>
      <c r="F567" t="str">
        <f t="shared" si="61"/>
        <v xml:space="preserve">20  - 56 </v>
      </c>
      <c r="G567" s="3">
        <v>59066.710928414257</v>
      </c>
      <c r="H567" s="3">
        <v>18025.613111511953</v>
      </c>
      <c r="I567" s="3">
        <v>77092.33235498966</v>
      </c>
      <c r="J567" s="3">
        <v>264.29933862023347</v>
      </c>
      <c r="K567" s="3">
        <v>69.766638519815658</v>
      </c>
      <c r="L567" s="3">
        <v>334.06597714004914</v>
      </c>
      <c r="M567" s="3">
        <v>0</v>
      </c>
      <c r="N567" s="3">
        <v>0</v>
      </c>
      <c r="O567" s="3">
        <v>0</v>
      </c>
      <c r="P567" s="3">
        <v>0</v>
      </c>
      <c r="Q567" s="3">
        <v>0</v>
      </c>
      <c r="R567" s="3">
        <v>0</v>
      </c>
      <c r="S567" s="67"/>
      <c r="T567">
        <f>VLOOKUP(A567,'Groupe de branches'!$Z$27:$AM$86,14,FALSE)</f>
        <v>0</v>
      </c>
      <c r="U567">
        <f>VLOOKUP(D567,'Groupe de branches'!$Z$27:$AM$86,14,FALSE)</f>
        <v>0</v>
      </c>
      <c r="V567">
        <v>2017</v>
      </c>
      <c r="W567" t="str">
        <f>VLOOKUP(D567,'Table corresp.'!$M$4:$S$63,7,FALSE)</f>
        <v>Construction</v>
      </c>
      <c r="X567" s="167">
        <f>IFERROR(G567/SUMIFS('Comp2016-2017 (3)'!$I$5:$I$289,'Comp2016-2017 (3)'!$A$5:$A$289,A567,'Comp2016-2017 (3)'!$R$5:$R$289,V567),0)</f>
        <v>8.5098273876130684E-2</v>
      </c>
      <c r="Y567" s="190">
        <f>IFERROR(IF(RIGHT(F567,3)="Exp",VLOOKUP(F567,#REF!,2,FALSE),VLOOKUP(F567,#REF!,9,FALSE)),1)</f>
        <v>1</v>
      </c>
      <c r="Z567" s="167">
        <f t="shared" si="64"/>
        <v>0.1</v>
      </c>
      <c r="AA567" s="189">
        <f t="shared" si="63"/>
        <v>8.5098273876130694E-3</v>
      </c>
      <c r="AB567" s="2">
        <f>IFERROR(SUMIFS('Comp2016-2017 (3)'!$G$5:$G$289,'Comp2016-2017 (3)'!$A$5:$A$289,A567,'Comp2016-2017 (3)'!$R$5:$R$289,V567)*AA567/SUMIFS($AA$4:$AA$1116,$A$4:$A$1116,A567,$V$4:$V$1116,V567),0)</f>
        <v>10464.175856023901</v>
      </c>
      <c r="AC567" s="2" t="str">
        <f>IF($W567=AC$3,$AB567,IF(NOT($W567=0),"",SUMIFS('Val-Vol (2)'!AC$4:AC$1116,'Val-Vol (2)'!$A$4:$A$1116,$D567,'Val-Vol (2)'!$V$4:$V$1116,$V567)/SUMIFS('Comp2016-2017 (3)'!$G$5:$G$289,'Comp2016-2017 (3)'!$A$5:$A$289,$D567,'Comp2016-2017 (3)'!$R$5:$R$289,$V567)*$AB567))</f>
        <v/>
      </c>
      <c r="AD567" s="2">
        <f>IF($W567=AD$3,$AB567,IF(NOT($W567=0),"",SUMIFS('Val-Vol (2)'!AD$4:AD$1116,'Val-Vol (2)'!$A$4:$A$1116,$D567,'Val-Vol (2)'!$V$4:$V$1116,$V567)/SUMIFS('Comp2016-2017 (3)'!$G$5:$G$289,'Comp2016-2017 (3)'!$A$5:$A$289,$D567,'Comp2016-2017 (3)'!$R$5:$R$289,$V567)*$AB567))</f>
        <v>10464.175856023901</v>
      </c>
      <c r="AE567" s="2" t="str">
        <f>IF($W567=AE$3,$AB567,IF(NOT($W567=0),"",SUMIFS('Val-Vol (2)'!AE$4:AE$1116,'Val-Vol (2)'!$A$4:$A$1116,$D567,'Val-Vol (2)'!$V$4:$V$1116,$V567)/SUMIFS('Comp2016-2017 (3)'!$G$5:$G$289,'Comp2016-2017 (3)'!$A$5:$A$289,$D567,'Comp2016-2017 (3)'!$R$5:$R$289,$V567)*$AB567))</f>
        <v/>
      </c>
      <c r="AF567" s="2" t="str">
        <f>IF($W567=AF$3,$AB567,IF(NOT($W567=0),"",SUMIFS('Val-Vol (2)'!AF$4:AF$1116,'Val-Vol (2)'!$A$4:$A$1116,$D567,'Val-Vol (2)'!$V$4:$V$1116,$V567)/SUMIFS('Comp2016-2017 (3)'!$G$5:$G$289,'Comp2016-2017 (3)'!$A$5:$A$289,$D567,'Comp2016-2017 (3)'!$R$5:$R$289,$V567)*$AB567))</f>
        <v/>
      </c>
      <c r="AG567" s="2" t="str">
        <f>IF($W567=AG$3,$AB567,IF(NOT($W567=0),"",SUMIFS('Val-Vol (2)'!AG$4:AG$1116,'Val-Vol (2)'!$A$4:$A$1116,$D567,'Val-Vol (2)'!$V$4:$V$1116,$V567)/SUMIFS('Comp2016-2017 (3)'!$G$5:$G$289,'Comp2016-2017 (3)'!$A$5:$A$289,$D567,'Comp2016-2017 (3)'!$R$5:$R$289,$V567)*$AB567))</f>
        <v/>
      </c>
      <c r="AH567" s="2" t="str">
        <f>IF($W567=AH$3,$AB567,IF(NOT($W567=0),"",SUMIFS('Val-Vol (2)'!AH$4:AH$1116,'Val-Vol (2)'!$A$4:$A$1116,$D567,'Val-Vol (2)'!$V$4:$V$1116,$V567)/SUMIFS('Comp2016-2017 (3)'!$G$5:$G$289,'Comp2016-2017 (3)'!$A$5:$A$289,$D567,'Comp2016-2017 (3)'!$R$5:$R$289,$V567)*$AB567))</f>
        <v/>
      </c>
      <c r="AI567" s="2" t="str">
        <f>IF($W567=AI$3,$AB567,IF(NOT($W567=0),"",SUMIFS('Val-Vol (2)'!AI$4:AI$1116,'Val-Vol (2)'!$A$4:$A$1116,$D567,'Val-Vol (2)'!$V$4:$V$1116,$V567)/SUMIFS('Comp2016-2017 (3)'!$G$5:$G$289,'Comp2016-2017 (3)'!$A$5:$A$289,$D567,'Comp2016-2017 (3)'!$R$5:$R$289,$V567)*$AB567))</f>
        <v/>
      </c>
      <c r="AJ567" s="2" t="str">
        <f>IF($W567=AJ$3,$AB567,IF(NOT($W567=0),"",SUMIFS('Val-Vol (2)'!AJ$4:AJ$1116,'Val-Vol (2)'!$A$4:$A$1116,$D567,'Val-Vol (2)'!$V$4:$V$1116,$V567)/SUMIFS('Comp2016-2017 (3)'!$G$5:$G$289,'Comp2016-2017 (3)'!$A$5:$A$289,$D567,'Comp2016-2017 (3)'!$R$5:$R$289,$V567)*$AB567))</f>
        <v/>
      </c>
      <c r="AK567" s="2">
        <f t="shared" si="60"/>
        <v>0</v>
      </c>
      <c r="AL567" t="str">
        <f t="shared" si="62"/>
        <v/>
      </c>
      <c r="AM567" t="str">
        <f>VLOOKUP(A567,'Table corresp.'!$M$4:$U$63,8,FALSE)</f>
        <v>Production intermédiaire</v>
      </c>
      <c r="AN567" t="str">
        <f>VLOOKUP(D567,'Table corresp.'!$M$4:$U$63,9,FALSE)</f>
        <v xml:space="preserve">Mise en œuvre </v>
      </c>
    </row>
    <row r="568" spans="1:40" x14ac:dyDescent="0.25">
      <c r="A568" t="s">
        <v>13</v>
      </c>
      <c r="B568" t="str">
        <f>VLOOKUP(LEFT(A568,3),'Table corresp.'!$A$4:$D$63,3,FALSE)</f>
        <v>Transformation</v>
      </c>
      <c r="C568" t="str">
        <f>VLOOKUP(A568,'Table corresp.'!$M$4:$P$63,4,FALSE)</f>
        <v>Production et transformation de produits bois</v>
      </c>
      <c r="D568" t="s">
        <v>24</v>
      </c>
      <c r="E568" t="str">
        <f>VLOOKUP(LEFT(D568,3),'Table corresp.'!$A$4:$D$63,4,FALSE)</f>
        <v>Transformation</v>
      </c>
      <c r="F568" t="str">
        <f t="shared" si="61"/>
        <v xml:space="preserve">20  - 57 </v>
      </c>
      <c r="G568" s="3">
        <v>102237.32771250779</v>
      </c>
      <c r="H568" s="3">
        <v>31661.950641807773</v>
      </c>
      <c r="I568" s="3">
        <v>133899.29279649263</v>
      </c>
      <c r="J568" s="3">
        <v>588.1759286550664</v>
      </c>
      <c r="K568" s="3">
        <v>175.06421490306371</v>
      </c>
      <c r="L568" s="3">
        <v>763.24014355813006</v>
      </c>
      <c r="M568" s="3">
        <v>0</v>
      </c>
      <c r="N568" s="3">
        <v>0</v>
      </c>
      <c r="O568" s="3">
        <v>0</v>
      </c>
      <c r="P568" s="3">
        <v>0</v>
      </c>
      <c r="Q568" s="3">
        <v>0</v>
      </c>
      <c r="R568" s="3">
        <v>0</v>
      </c>
      <c r="S568" s="67"/>
      <c r="T568">
        <f>VLOOKUP(A568,'Groupe de branches'!$Z$27:$AM$86,14,FALSE)</f>
        <v>0</v>
      </c>
      <c r="U568">
        <f>VLOOKUP(D568,'Groupe de branches'!$Z$27:$AM$86,14,FALSE)</f>
        <v>0</v>
      </c>
      <c r="V568">
        <v>2017</v>
      </c>
      <c r="W568" t="str">
        <f>VLOOKUP(D568,'Table corresp.'!$M$4:$S$63,7,FALSE)</f>
        <v>Construction</v>
      </c>
      <c r="X568" s="167">
        <f>IFERROR(G568/SUMIFS('Comp2016-2017 (3)'!$I$5:$I$289,'Comp2016-2017 (3)'!$A$5:$A$289,A568,'Comp2016-2017 (3)'!$R$5:$R$289,V568),0)</f>
        <v>0.14729481254825449</v>
      </c>
      <c r="Y568" s="190">
        <f>IFERROR(IF(RIGHT(F568,3)="Exp",VLOOKUP(F568,#REF!,2,FALSE),VLOOKUP(F568,#REF!,9,FALSE)),1)</f>
        <v>1</v>
      </c>
      <c r="Z568" s="167">
        <f t="shared" ref="Z568:Z599" si="65">Y568/SUMIFS($Y$4:$Y$1116,$V$4:$V$1116,V568,$A$4:$A$1116,A568)</f>
        <v>0.1</v>
      </c>
      <c r="AA568" s="189">
        <f t="shared" si="63"/>
        <v>1.472948125482545E-2</v>
      </c>
      <c r="AB568" s="2">
        <f>IFERROR(SUMIFS('Comp2016-2017 (3)'!$G$5:$G$289,'Comp2016-2017 (3)'!$A$5:$A$289,A568,'Comp2016-2017 (3)'!$R$5:$R$289,V568)*AA568/SUMIFS($AA$4:$AA$1116,$A$4:$A$1116,A568,$V$4:$V$1116,V568),0)</f>
        <v>18112.221916845923</v>
      </c>
      <c r="AC568" s="2" t="str">
        <f>IF($W568=AC$3,$AB568,IF(NOT($W568=0),"",SUMIFS('Val-Vol (2)'!AC$4:AC$1116,'Val-Vol (2)'!$A$4:$A$1116,$D568,'Val-Vol (2)'!$V$4:$V$1116,$V568)/SUMIFS('Comp2016-2017 (3)'!$G$5:$G$289,'Comp2016-2017 (3)'!$A$5:$A$289,$D568,'Comp2016-2017 (3)'!$R$5:$R$289,$V568)*$AB568))</f>
        <v/>
      </c>
      <c r="AD568" s="2">
        <f>IF($W568=AD$3,$AB568,IF(NOT($W568=0),"",SUMIFS('Val-Vol (2)'!AD$4:AD$1116,'Val-Vol (2)'!$A$4:$A$1116,$D568,'Val-Vol (2)'!$V$4:$V$1116,$V568)/SUMIFS('Comp2016-2017 (3)'!$G$5:$G$289,'Comp2016-2017 (3)'!$A$5:$A$289,$D568,'Comp2016-2017 (3)'!$R$5:$R$289,$V568)*$AB568))</f>
        <v>18112.221916845923</v>
      </c>
      <c r="AE568" s="2" t="str">
        <f>IF($W568=AE$3,$AB568,IF(NOT($W568=0),"",SUMIFS('Val-Vol (2)'!AE$4:AE$1116,'Val-Vol (2)'!$A$4:$A$1116,$D568,'Val-Vol (2)'!$V$4:$V$1116,$V568)/SUMIFS('Comp2016-2017 (3)'!$G$5:$G$289,'Comp2016-2017 (3)'!$A$5:$A$289,$D568,'Comp2016-2017 (3)'!$R$5:$R$289,$V568)*$AB568))</f>
        <v/>
      </c>
      <c r="AF568" s="2" t="str">
        <f>IF($W568=AF$3,$AB568,IF(NOT($W568=0),"",SUMIFS('Val-Vol (2)'!AF$4:AF$1116,'Val-Vol (2)'!$A$4:$A$1116,$D568,'Val-Vol (2)'!$V$4:$V$1116,$V568)/SUMIFS('Comp2016-2017 (3)'!$G$5:$G$289,'Comp2016-2017 (3)'!$A$5:$A$289,$D568,'Comp2016-2017 (3)'!$R$5:$R$289,$V568)*$AB568))</f>
        <v/>
      </c>
      <c r="AG568" s="2" t="str">
        <f>IF($W568=AG$3,$AB568,IF(NOT($W568=0),"",SUMIFS('Val-Vol (2)'!AG$4:AG$1116,'Val-Vol (2)'!$A$4:$A$1116,$D568,'Val-Vol (2)'!$V$4:$V$1116,$V568)/SUMIFS('Comp2016-2017 (3)'!$G$5:$G$289,'Comp2016-2017 (3)'!$A$5:$A$289,$D568,'Comp2016-2017 (3)'!$R$5:$R$289,$V568)*$AB568))</f>
        <v/>
      </c>
      <c r="AH568" s="2" t="str">
        <f>IF($W568=AH$3,$AB568,IF(NOT($W568=0),"",SUMIFS('Val-Vol (2)'!AH$4:AH$1116,'Val-Vol (2)'!$A$4:$A$1116,$D568,'Val-Vol (2)'!$V$4:$V$1116,$V568)/SUMIFS('Comp2016-2017 (3)'!$G$5:$G$289,'Comp2016-2017 (3)'!$A$5:$A$289,$D568,'Comp2016-2017 (3)'!$R$5:$R$289,$V568)*$AB568))</f>
        <v/>
      </c>
      <c r="AI568" s="2" t="str">
        <f>IF($W568=AI$3,$AB568,IF(NOT($W568=0),"",SUMIFS('Val-Vol (2)'!AI$4:AI$1116,'Val-Vol (2)'!$A$4:$A$1116,$D568,'Val-Vol (2)'!$V$4:$V$1116,$V568)/SUMIFS('Comp2016-2017 (3)'!$G$5:$G$289,'Comp2016-2017 (3)'!$A$5:$A$289,$D568,'Comp2016-2017 (3)'!$R$5:$R$289,$V568)*$AB568))</f>
        <v/>
      </c>
      <c r="AJ568" s="2" t="str">
        <f>IF($W568=AJ$3,$AB568,IF(NOT($W568=0),"",SUMIFS('Val-Vol (2)'!AJ$4:AJ$1116,'Val-Vol (2)'!$A$4:$A$1116,$D568,'Val-Vol (2)'!$V$4:$V$1116,$V568)/SUMIFS('Comp2016-2017 (3)'!$G$5:$G$289,'Comp2016-2017 (3)'!$A$5:$A$289,$D568,'Comp2016-2017 (3)'!$R$5:$R$289,$V568)*$AB568))</f>
        <v/>
      </c>
      <c r="AK568" s="2">
        <f t="shared" ref="AK568:AK631" si="66">SUM(AC568:AJ568)-AB568</f>
        <v>0</v>
      </c>
      <c r="AL568" t="str">
        <f t="shared" si="62"/>
        <v/>
      </c>
      <c r="AM568" t="str">
        <f>VLOOKUP(A568,'Table corresp.'!$M$4:$U$63,8,FALSE)</f>
        <v>Production intermédiaire</v>
      </c>
      <c r="AN568" t="str">
        <f>VLOOKUP(D568,'Table corresp.'!$M$4:$U$63,9,FALSE)</f>
        <v xml:space="preserve">Mise en œuvre </v>
      </c>
    </row>
    <row r="569" spans="1:40" x14ac:dyDescent="0.25">
      <c r="A569" t="s">
        <v>13</v>
      </c>
      <c r="B569" t="str">
        <f>VLOOKUP(LEFT(A569,3),'Table corresp.'!$A$4:$D$63,3,FALSE)</f>
        <v>Transformation</v>
      </c>
      <c r="C569" t="str">
        <f>VLOOKUP(A569,'Table corresp.'!$M$4:$P$63,4,FALSE)</f>
        <v>Production et transformation de produits bois</v>
      </c>
      <c r="D569" t="s">
        <v>25</v>
      </c>
      <c r="E569" t="str">
        <f>VLOOKUP(LEFT(D569,3),'Table corresp.'!$A$4:$D$63,4,FALSE)</f>
        <v>Transformation</v>
      </c>
      <c r="F569" t="str">
        <f t="shared" si="61"/>
        <v xml:space="preserve">20  - 58 </v>
      </c>
      <c r="G569" s="3">
        <v>9465.91066378098</v>
      </c>
      <c r="H569" s="3">
        <v>2913.3370544632467</v>
      </c>
      <c r="I569" s="3">
        <v>12379.24905345148</v>
      </c>
      <c r="J569" s="3">
        <v>63.534109701172085</v>
      </c>
      <c r="K569" s="3">
        <v>16.913743674714318</v>
      </c>
      <c r="L569" s="3">
        <v>80.44785337588641</v>
      </c>
      <c r="M569" s="3">
        <v>0</v>
      </c>
      <c r="N569" s="3">
        <v>0</v>
      </c>
      <c r="O569" s="3">
        <v>0</v>
      </c>
      <c r="P569" s="3">
        <v>0</v>
      </c>
      <c r="Q569" s="3">
        <v>0</v>
      </c>
      <c r="R569" s="3">
        <v>0</v>
      </c>
      <c r="S569" s="67"/>
      <c r="T569">
        <f>VLOOKUP(A569,'Groupe de branches'!$Z$27:$AM$86,14,FALSE)</f>
        <v>0</v>
      </c>
      <c r="U569">
        <f>VLOOKUP(D569,'Groupe de branches'!$Z$27:$AM$86,14,FALSE)</f>
        <v>0</v>
      </c>
      <c r="V569">
        <v>2017</v>
      </c>
      <c r="W569" t="str">
        <f>VLOOKUP(D569,'Table corresp.'!$M$4:$S$63,7,FALSE)</f>
        <v>Construction</v>
      </c>
      <c r="X569" s="167">
        <f>IFERROR(G569/SUMIFS('Comp2016-2017 (3)'!$I$5:$I$289,'Comp2016-2017 (3)'!$A$5:$A$289,A569,'Comp2016-2017 (3)'!$R$5:$R$289,V569),0)</f>
        <v>1.3637675866693897E-2</v>
      </c>
      <c r="Y569" s="190">
        <f>IFERROR(IF(RIGHT(F569,3)="Exp",VLOOKUP(F569,#REF!,2,FALSE),VLOOKUP(F569,#REF!,9,FALSE)),1)</f>
        <v>1</v>
      </c>
      <c r="Z569" s="167">
        <f t="shared" si="65"/>
        <v>0.1</v>
      </c>
      <c r="AA569" s="189">
        <f t="shared" si="63"/>
        <v>1.3637675866693898E-3</v>
      </c>
      <c r="AB569" s="2">
        <f>IFERROR(SUMIFS('Comp2016-2017 (3)'!$G$5:$G$289,'Comp2016-2017 (3)'!$A$5:$A$289,A569,'Comp2016-2017 (3)'!$R$5:$R$289,V569)*AA569/SUMIFS($AA$4:$AA$1116,$A$4:$A$1116,A569,$V$4:$V$1116,V569),0)</f>
        <v>1676.9674875457865</v>
      </c>
      <c r="AC569" s="2" t="str">
        <f>IF($W569=AC$3,$AB569,IF(NOT($W569=0),"",SUMIFS('Val-Vol (2)'!AC$4:AC$1116,'Val-Vol (2)'!$A$4:$A$1116,$D569,'Val-Vol (2)'!$V$4:$V$1116,$V569)/SUMIFS('Comp2016-2017 (3)'!$G$5:$G$289,'Comp2016-2017 (3)'!$A$5:$A$289,$D569,'Comp2016-2017 (3)'!$R$5:$R$289,$V569)*$AB569))</f>
        <v/>
      </c>
      <c r="AD569" s="2">
        <f>IF($W569=AD$3,$AB569,IF(NOT($W569=0),"",SUMIFS('Val-Vol (2)'!AD$4:AD$1116,'Val-Vol (2)'!$A$4:$A$1116,$D569,'Val-Vol (2)'!$V$4:$V$1116,$V569)/SUMIFS('Comp2016-2017 (3)'!$G$5:$G$289,'Comp2016-2017 (3)'!$A$5:$A$289,$D569,'Comp2016-2017 (3)'!$R$5:$R$289,$V569)*$AB569))</f>
        <v>1676.9674875457865</v>
      </c>
      <c r="AE569" s="2" t="str">
        <f>IF($W569=AE$3,$AB569,IF(NOT($W569=0),"",SUMIFS('Val-Vol (2)'!AE$4:AE$1116,'Val-Vol (2)'!$A$4:$A$1116,$D569,'Val-Vol (2)'!$V$4:$V$1116,$V569)/SUMIFS('Comp2016-2017 (3)'!$G$5:$G$289,'Comp2016-2017 (3)'!$A$5:$A$289,$D569,'Comp2016-2017 (3)'!$R$5:$R$289,$V569)*$AB569))</f>
        <v/>
      </c>
      <c r="AF569" s="2" t="str">
        <f>IF($W569=AF$3,$AB569,IF(NOT($W569=0),"",SUMIFS('Val-Vol (2)'!AF$4:AF$1116,'Val-Vol (2)'!$A$4:$A$1116,$D569,'Val-Vol (2)'!$V$4:$V$1116,$V569)/SUMIFS('Comp2016-2017 (3)'!$G$5:$G$289,'Comp2016-2017 (3)'!$A$5:$A$289,$D569,'Comp2016-2017 (3)'!$R$5:$R$289,$V569)*$AB569))</f>
        <v/>
      </c>
      <c r="AG569" s="2" t="str">
        <f>IF($W569=AG$3,$AB569,IF(NOT($W569=0),"",SUMIFS('Val-Vol (2)'!AG$4:AG$1116,'Val-Vol (2)'!$A$4:$A$1116,$D569,'Val-Vol (2)'!$V$4:$V$1116,$V569)/SUMIFS('Comp2016-2017 (3)'!$G$5:$G$289,'Comp2016-2017 (3)'!$A$5:$A$289,$D569,'Comp2016-2017 (3)'!$R$5:$R$289,$V569)*$AB569))</f>
        <v/>
      </c>
      <c r="AH569" s="2" t="str">
        <f>IF($W569=AH$3,$AB569,IF(NOT($W569=0),"",SUMIFS('Val-Vol (2)'!AH$4:AH$1116,'Val-Vol (2)'!$A$4:$A$1116,$D569,'Val-Vol (2)'!$V$4:$V$1116,$V569)/SUMIFS('Comp2016-2017 (3)'!$G$5:$G$289,'Comp2016-2017 (3)'!$A$5:$A$289,$D569,'Comp2016-2017 (3)'!$R$5:$R$289,$V569)*$AB569))</f>
        <v/>
      </c>
      <c r="AI569" s="2" t="str">
        <f>IF($W569=AI$3,$AB569,IF(NOT($W569=0),"",SUMIFS('Val-Vol (2)'!AI$4:AI$1116,'Val-Vol (2)'!$A$4:$A$1116,$D569,'Val-Vol (2)'!$V$4:$V$1116,$V569)/SUMIFS('Comp2016-2017 (3)'!$G$5:$G$289,'Comp2016-2017 (3)'!$A$5:$A$289,$D569,'Comp2016-2017 (3)'!$R$5:$R$289,$V569)*$AB569))</f>
        <v/>
      </c>
      <c r="AJ569" s="2" t="str">
        <f>IF($W569=AJ$3,$AB569,IF(NOT($W569=0),"",SUMIFS('Val-Vol (2)'!AJ$4:AJ$1116,'Val-Vol (2)'!$A$4:$A$1116,$D569,'Val-Vol (2)'!$V$4:$V$1116,$V569)/SUMIFS('Comp2016-2017 (3)'!$G$5:$G$289,'Comp2016-2017 (3)'!$A$5:$A$289,$D569,'Comp2016-2017 (3)'!$R$5:$R$289,$V569)*$AB569))</f>
        <v/>
      </c>
      <c r="AK569" s="2">
        <f t="shared" si="66"/>
        <v>0</v>
      </c>
      <c r="AL569" t="str">
        <f t="shared" si="62"/>
        <v/>
      </c>
      <c r="AM569" t="str">
        <f>VLOOKUP(A569,'Table corresp.'!$M$4:$U$63,8,FALSE)</f>
        <v>Production intermédiaire</v>
      </c>
      <c r="AN569" t="str">
        <f>VLOOKUP(D569,'Table corresp.'!$M$4:$U$63,9,FALSE)</f>
        <v xml:space="preserve">Mise en œuvre </v>
      </c>
    </row>
    <row r="570" spans="1:40" x14ac:dyDescent="0.25">
      <c r="A570" t="s">
        <v>13</v>
      </c>
      <c r="B570" t="str">
        <f>VLOOKUP(LEFT(A570,3),'Table corresp.'!$A$4:$D$63,3,FALSE)</f>
        <v>Transformation</v>
      </c>
      <c r="C570" t="str">
        <f>VLOOKUP(A570,'Table corresp.'!$M$4:$P$63,4,FALSE)</f>
        <v>Production et transformation de produits bois</v>
      </c>
      <c r="D570" t="s">
        <v>54</v>
      </c>
      <c r="E570" t="str">
        <f>VLOOKUP(LEFT(D570,3),'Table corresp.'!$A$4:$D$63,4,FALSE)</f>
        <v>Consommation finale</v>
      </c>
      <c r="F570" t="str">
        <f t="shared" si="61"/>
        <v>20  - Con</v>
      </c>
      <c r="G570" s="3">
        <v>235466.54977818337</v>
      </c>
      <c r="H570" s="3">
        <v>156959.36146421079</v>
      </c>
      <c r="I570" s="3">
        <v>392425.95356886945</v>
      </c>
      <c r="J570" s="3">
        <v>395.10613759025392</v>
      </c>
      <c r="K570" s="3">
        <v>227.81181489843163</v>
      </c>
      <c r="L570" s="3">
        <v>622.91795248868561</v>
      </c>
      <c r="M570" s="3">
        <v>0</v>
      </c>
      <c r="N570" s="3">
        <v>0</v>
      </c>
      <c r="O570" s="3">
        <v>0</v>
      </c>
      <c r="P570" s="3">
        <v>0</v>
      </c>
      <c r="Q570" s="3">
        <v>0</v>
      </c>
      <c r="R570" s="3">
        <v>0</v>
      </c>
      <c r="S570" s="67"/>
      <c r="T570">
        <f>VLOOKUP(A570,'Groupe de branches'!$Z$27:$AM$86,14,FALSE)</f>
        <v>0</v>
      </c>
      <c r="U570">
        <f>VLOOKUP(D570,'Groupe de branches'!$Z$27:$AM$86,14,FALSE)</f>
        <v>0</v>
      </c>
      <c r="V570">
        <v>2017</v>
      </c>
      <c r="W570" t="str">
        <f>VLOOKUP(D570,'Table corresp.'!$M$4:$S$63,7,FALSE)</f>
        <v>Consommation finale</v>
      </c>
      <c r="X570" s="167">
        <f>IFERROR(G570/SUMIFS('Comp2016-2017 (3)'!$I$5:$I$289,'Comp2016-2017 (3)'!$A$5:$A$289,A570,'Comp2016-2017 (3)'!$R$5:$R$289,V570),0)</f>
        <v>0.33924010033292967</v>
      </c>
      <c r="Y570" s="190">
        <f>IFERROR(IF(RIGHT(F570,3)="Exp",VLOOKUP(F570,#REF!,2,FALSE),VLOOKUP(F570,#REF!,9,FALSE)),1)</f>
        <v>1</v>
      </c>
      <c r="Z570" s="167">
        <f t="shared" si="65"/>
        <v>0.1</v>
      </c>
      <c r="AA570" s="189">
        <f t="shared" si="63"/>
        <v>3.392401003329297E-2</v>
      </c>
      <c r="AB570" s="2">
        <f>IFERROR(SUMIFS('Comp2016-2017 (3)'!$G$5:$G$289,'Comp2016-2017 (3)'!$A$5:$A$289,A570,'Comp2016-2017 (3)'!$R$5:$R$289,V570)*AA570/SUMIFS($AA$4:$AA$1116,$A$4:$A$1116,A570,$V$4:$V$1116,V570),0)</f>
        <v>41714.924470338468</v>
      </c>
      <c r="AC570" s="2" t="str">
        <f>IF($W570=AC$3,$AB570,IF(NOT($W570=0),"",SUMIFS('Val-Vol (2)'!AC$4:AC$1116,'Val-Vol (2)'!$A$4:$A$1116,$D570,'Val-Vol (2)'!$V$4:$V$1116,$V570)/SUMIFS('Comp2016-2017 (3)'!$G$5:$G$289,'Comp2016-2017 (3)'!$A$5:$A$289,$D570,'Comp2016-2017 (3)'!$R$5:$R$289,$V570)*$AB570))</f>
        <v/>
      </c>
      <c r="AD570" s="2" t="str">
        <f>IF($W570=AD$3,$AB570,IF(NOT($W570=0),"",SUMIFS('Val-Vol (2)'!AD$4:AD$1116,'Val-Vol (2)'!$A$4:$A$1116,$D570,'Val-Vol (2)'!$V$4:$V$1116,$V570)/SUMIFS('Comp2016-2017 (3)'!$G$5:$G$289,'Comp2016-2017 (3)'!$A$5:$A$289,$D570,'Comp2016-2017 (3)'!$R$5:$R$289,$V570)*$AB570))</f>
        <v/>
      </c>
      <c r="AE570" s="2" t="str">
        <f>IF($W570=AE$3,$AB570,IF(NOT($W570=0),"",SUMIFS('Val-Vol (2)'!AE$4:AE$1116,'Val-Vol (2)'!$A$4:$A$1116,$D570,'Val-Vol (2)'!$V$4:$V$1116,$V570)/SUMIFS('Comp2016-2017 (3)'!$G$5:$G$289,'Comp2016-2017 (3)'!$A$5:$A$289,$D570,'Comp2016-2017 (3)'!$R$5:$R$289,$V570)*$AB570))</f>
        <v/>
      </c>
      <c r="AF570" s="2" t="str">
        <f>IF($W570=AF$3,$AB570,IF(NOT($W570=0),"",SUMIFS('Val-Vol (2)'!AF$4:AF$1116,'Val-Vol (2)'!$A$4:$A$1116,$D570,'Val-Vol (2)'!$V$4:$V$1116,$V570)/SUMIFS('Comp2016-2017 (3)'!$G$5:$G$289,'Comp2016-2017 (3)'!$A$5:$A$289,$D570,'Comp2016-2017 (3)'!$R$5:$R$289,$V570)*$AB570))</f>
        <v/>
      </c>
      <c r="AG570" s="2" t="str">
        <f>IF($W570=AG$3,$AB570,IF(NOT($W570=0),"",SUMIFS('Val-Vol (2)'!AG$4:AG$1116,'Val-Vol (2)'!$A$4:$A$1116,$D570,'Val-Vol (2)'!$V$4:$V$1116,$V570)/SUMIFS('Comp2016-2017 (3)'!$G$5:$G$289,'Comp2016-2017 (3)'!$A$5:$A$289,$D570,'Comp2016-2017 (3)'!$R$5:$R$289,$V570)*$AB570))</f>
        <v/>
      </c>
      <c r="AH570" s="2" t="str">
        <f>IF($W570=AH$3,$AB570,IF(NOT($W570=0),"",SUMIFS('Val-Vol (2)'!AH$4:AH$1116,'Val-Vol (2)'!$A$4:$A$1116,$D570,'Val-Vol (2)'!$V$4:$V$1116,$V570)/SUMIFS('Comp2016-2017 (3)'!$G$5:$G$289,'Comp2016-2017 (3)'!$A$5:$A$289,$D570,'Comp2016-2017 (3)'!$R$5:$R$289,$V570)*$AB570))</f>
        <v/>
      </c>
      <c r="AI570" s="2" t="str">
        <f>IF($W570=AI$3,$AB570,IF(NOT($W570=0),"",SUMIFS('Val-Vol (2)'!AI$4:AI$1116,'Val-Vol (2)'!$A$4:$A$1116,$D570,'Val-Vol (2)'!$V$4:$V$1116,$V570)/SUMIFS('Comp2016-2017 (3)'!$G$5:$G$289,'Comp2016-2017 (3)'!$A$5:$A$289,$D570,'Comp2016-2017 (3)'!$R$5:$R$289,$V570)*$AB570))</f>
        <v/>
      </c>
      <c r="AJ570" s="2">
        <f>IF($W570=AJ$3,$AB570,IF(NOT($W570=0),"",SUMIFS('Val-Vol (2)'!AJ$4:AJ$1116,'Val-Vol (2)'!$A$4:$A$1116,$D570,'Val-Vol (2)'!$V$4:$V$1116,$V570)/SUMIFS('Comp2016-2017 (3)'!$G$5:$G$289,'Comp2016-2017 (3)'!$A$5:$A$289,$D570,'Comp2016-2017 (3)'!$R$5:$R$289,$V570)*$AB570))</f>
        <v>41714.924470338468</v>
      </c>
      <c r="AK570" s="2">
        <f t="shared" si="66"/>
        <v>0</v>
      </c>
      <c r="AL570" t="str">
        <f t="shared" si="62"/>
        <v/>
      </c>
      <c r="AM570" t="str">
        <f>VLOOKUP(A570,'Table corresp.'!$M$4:$U$63,8,FALSE)</f>
        <v>Production intermédiaire</v>
      </c>
      <c r="AN570" t="str">
        <f>VLOOKUP(D570,'Table corresp.'!$M$4:$U$63,9,FALSE)</f>
        <v>Consommation finale française</v>
      </c>
    </row>
    <row r="571" spans="1:40" x14ac:dyDescent="0.25">
      <c r="A571" t="s">
        <v>13</v>
      </c>
      <c r="B571" t="str">
        <f>VLOOKUP(LEFT(A571,3),'Table corresp.'!$A$4:$D$63,3,FALSE)</f>
        <v>Transformation</v>
      </c>
      <c r="C571" t="str">
        <f>VLOOKUP(A571,'Table corresp.'!$M$4:$P$63,4,FALSE)</f>
        <v>Production et transformation de produits bois</v>
      </c>
      <c r="D571" t="s">
        <v>53</v>
      </c>
      <c r="E571" t="str">
        <f>VLOOKUP(LEFT(D571,3),'Table corresp.'!$A$4:$D$63,4,FALSE)</f>
        <v>Exportation</v>
      </c>
      <c r="F571" t="str">
        <f t="shared" si="61"/>
        <v>20  - Exp</v>
      </c>
      <c r="G571" s="3">
        <v>77699.87861940662</v>
      </c>
      <c r="H571" s="3">
        <v>0</v>
      </c>
      <c r="I571" s="3">
        <v>77699.887000000002</v>
      </c>
      <c r="J571" s="3">
        <v>246.15974276717685</v>
      </c>
      <c r="K571" s="3">
        <v>0</v>
      </c>
      <c r="L571" s="3">
        <v>246.15974276717685</v>
      </c>
      <c r="M571" s="3">
        <v>0</v>
      </c>
      <c r="N571" s="3">
        <v>0</v>
      </c>
      <c r="O571" s="3">
        <v>0</v>
      </c>
      <c r="P571" s="3">
        <v>0</v>
      </c>
      <c r="Q571" s="3">
        <v>0</v>
      </c>
      <c r="R571" s="3">
        <v>0</v>
      </c>
      <c r="S571" s="67"/>
      <c r="T571">
        <f>VLOOKUP(A571,'Groupe de branches'!$Z$27:$AM$86,14,FALSE)</f>
        <v>0</v>
      </c>
      <c r="U571">
        <f>VLOOKUP(D571,'Groupe de branches'!$Z$27:$AM$86,14,FALSE)</f>
        <v>0</v>
      </c>
      <c r="V571">
        <v>2017</v>
      </c>
      <c r="W571" t="str">
        <f>VLOOKUP(D571,'Table corresp.'!$M$4:$S$63,7,FALSE)</f>
        <v>Exportation</v>
      </c>
      <c r="X571" s="167">
        <f>IFERROR(G571/SUMIFS('Comp2016-2017 (3)'!$I$5:$I$289,'Comp2016-2017 (3)'!$A$5:$A$289,A571,'Comp2016-2017 (3)'!$R$5:$R$289,V571),0)</f>
        <v>0.11194335094957163</v>
      </c>
      <c r="Y571" s="190">
        <f>IFERROR(IF(RIGHT(F571,3)="Exp",VLOOKUP(F571,#REF!,2,FALSE),VLOOKUP(F571,#REF!,9,FALSE)),1)</f>
        <v>1</v>
      </c>
      <c r="Z571" s="167">
        <f t="shared" si="65"/>
        <v>0.1</v>
      </c>
      <c r="AA571" s="189">
        <f t="shared" si="63"/>
        <v>1.1194335094957163E-2</v>
      </c>
      <c r="AB571" s="2">
        <f>IFERROR(SUMIFS('Comp2016-2017 (3)'!$G$5:$G$289,'Comp2016-2017 (3)'!$A$5:$A$289,A571,'Comp2016-2017 (3)'!$R$5:$R$289,V571)*AA571/SUMIFS($AA$4:$AA$1116,$A$4:$A$1116,A571,$V$4:$V$1116,V571),0)</f>
        <v>13765.201770766866</v>
      </c>
      <c r="AC571" s="2">
        <f>IF($W571=AC$3,$AB571,IF(NOT($W571=0),"",SUMIFS('Val-Vol (2)'!AC$4:AC$1116,'Val-Vol (2)'!$A$4:$A$1116,$D571,'Val-Vol (2)'!$V$4:$V$1116,$V571)/SUMIFS('Comp2016-2017 (3)'!$G$5:$G$289,'Comp2016-2017 (3)'!$A$5:$A$289,$D571,'Comp2016-2017 (3)'!$R$5:$R$289,$V571)*$AB571))</f>
        <v>13765.201770766866</v>
      </c>
      <c r="AD571" s="2" t="str">
        <f>IF($W571=AD$3,$AB571,IF(NOT($W571=0),"",SUMIFS('Val-Vol (2)'!AD$4:AD$1116,'Val-Vol (2)'!$A$4:$A$1116,$D571,'Val-Vol (2)'!$V$4:$V$1116,$V571)/SUMIFS('Comp2016-2017 (3)'!$G$5:$G$289,'Comp2016-2017 (3)'!$A$5:$A$289,$D571,'Comp2016-2017 (3)'!$R$5:$R$289,$V571)*$AB571))</f>
        <v/>
      </c>
      <c r="AE571" s="2" t="str">
        <f>IF($W571=AE$3,$AB571,IF(NOT($W571=0),"",SUMIFS('Val-Vol (2)'!AE$4:AE$1116,'Val-Vol (2)'!$A$4:$A$1116,$D571,'Val-Vol (2)'!$V$4:$V$1116,$V571)/SUMIFS('Comp2016-2017 (3)'!$G$5:$G$289,'Comp2016-2017 (3)'!$A$5:$A$289,$D571,'Comp2016-2017 (3)'!$R$5:$R$289,$V571)*$AB571))</f>
        <v/>
      </c>
      <c r="AF571" s="2" t="str">
        <f>IF($W571=AF$3,$AB571,IF(NOT($W571=0),"",SUMIFS('Val-Vol (2)'!AF$4:AF$1116,'Val-Vol (2)'!$A$4:$A$1116,$D571,'Val-Vol (2)'!$V$4:$V$1116,$V571)/SUMIFS('Comp2016-2017 (3)'!$G$5:$G$289,'Comp2016-2017 (3)'!$A$5:$A$289,$D571,'Comp2016-2017 (3)'!$R$5:$R$289,$V571)*$AB571))</f>
        <v/>
      </c>
      <c r="AG571" s="2" t="str">
        <f>IF($W571=AG$3,$AB571,IF(NOT($W571=0),"",SUMIFS('Val-Vol (2)'!AG$4:AG$1116,'Val-Vol (2)'!$A$4:$A$1116,$D571,'Val-Vol (2)'!$V$4:$V$1116,$V571)/SUMIFS('Comp2016-2017 (3)'!$G$5:$G$289,'Comp2016-2017 (3)'!$A$5:$A$289,$D571,'Comp2016-2017 (3)'!$R$5:$R$289,$V571)*$AB571))</f>
        <v/>
      </c>
      <c r="AH571" s="2" t="str">
        <f>IF($W571=AH$3,$AB571,IF(NOT($W571=0),"",SUMIFS('Val-Vol (2)'!AH$4:AH$1116,'Val-Vol (2)'!$A$4:$A$1116,$D571,'Val-Vol (2)'!$V$4:$V$1116,$V571)/SUMIFS('Comp2016-2017 (3)'!$G$5:$G$289,'Comp2016-2017 (3)'!$A$5:$A$289,$D571,'Comp2016-2017 (3)'!$R$5:$R$289,$V571)*$AB571))</f>
        <v/>
      </c>
      <c r="AI571" s="2" t="str">
        <f>IF($W571=AI$3,$AB571,IF(NOT($W571=0),"",SUMIFS('Val-Vol (2)'!AI$4:AI$1116,'Val-Vol (2)'!$A$4:$A$1116,$D571,'Val-Vol (2)'!$V$4:$V$1116,$V571)/SUMIFS('Comp2016-2017 (3)'!$G$5:$G$289,'Comp2016-2017 (3)'!$A$5:$A$289,$D571,'Comp2016-2017 (3)'!$R$5:$R$289,$V571)*$AB571))</f>
        <v/>
      </c>
      <c r="AJ571" s="2" t="str">
        <f>IF($W571=AJ$3,$AB571,IF(NOT($W571=0),"",SUMIFS('Val-Vol (2)'!AJ$4:AJ$1116,'Val-Vol (2)'!$A$4:$A$1116,$D571,'Val-Vol (2)'!$V$4:$V$1116,$V571)/SUMIFS('Comp2016-2017 (3)'!$G$5:$G$289,'Comp2016-2017 (3)'!$A$5:$A$289,$D571,'Comp2016-2017 (3)'!$R$5:$R$289,$V571)*$AB571))</f>
        <v/>
      </c>
      <c r="AK571" s="2">
        <f t="shared" si="66"/>
        <v>0</v>
      </c>
      <c r="AL571" t="str">
        <f t="shared" si="62"/>
        <v/>
      </c>
      <c r="AM571" t="str">
        <f>VLOOKUP(A571,'Table corresp.'!$M$4:$U$63,8,FALSE)</f>
        <v>Production intermédiaire</v>
      </c>
      <c r="AN571" t="str">
        <f>VLOOKUP(D571,'Table corresp.'!$M$4:$U$63,9,FALSE)</f>
        <v>Exportation</v>
      </c>
    </row>
    <row r="572" spans="1:40" x14ac:dyDescent="0.25">
      <c r="A572" t="s">
        <v>14</v>
      </c>
      <c r="B572" t="str">
        <f>VLOOKUP(LEFT(A572,3),'Table corresp.'!$A$4:$D$63,3,FALSE)</f>
        <v>Transformation</v>
      </c>
      <c r="C572" t="str">
        <f>VLOOKUP(A572,'Table corresp.'!$M$4:$P$63,4,FALSE)</f>
        <v>Production et transformation de produits bois</v>
      </c>
      <c r="D572" t="s">
        <v>85</v>
      </c>
      <c r="E572" t="str">
        <f>VLOOKUP(LEFT(D572,3),'Table corresp.'!$A$4:$D$63,4,FALSE)</f>
        <v>Transformation</v>
      </c>
      <c r="F572" t="str">
        <f t="shared" si="61"/>
        <v xml:space="preserve">20b - 29 </v>
      </c>
      <c r="G572" s="3">
        <v>4582.7882499083444</v>
      </c>
      <c r="H572" s="3">
        <v>5367.3516452004851</v>
      </c>
      <c r="I572" s="3">
        <v>9950.1403930602628</v>
      </c>
      <c r="J572" s="3">
        <v>17.543197346605169</v>
      </c>
      <c r="K572" s="3">
        <v>18.556094644479913</v>
      </c>
      <c r="L572" s="3">
        <v>36.099291991085082</v>
      </c>
      <c r="M572" s="3">
        <v>0</v>
      </c>
      <c r="N572" s="3">
        <v>0</v>
      </c>
      <c r="O572" s="3">
        <v>0</v>
      </c>
      <c r="P572" s="3">
        <v>0</v>
      </c>
      <c r="Q572" s="3">
        <v>0</v>
      </c>
      <c r="R572" s="3">
        <v>0</v>
      </c>
      <c r="S572" s="67"/>
      <c r="T572">
        <f>VLOOKUP(A572,'Groupe de branches'!$Z$27:$AM$86,14,FALSE)</f>
        <v>0</v>
      </c>
      <c r="U572">
        <f>VLOOKUP(D572,'Groupe de branches'!$Z$27:$AM$86,14,FALSE)</f>
        <v>0</v>
      </c>
      <c r="V572">
        <v>2017</v>
      </c>
      <c r="W572" t="str">
        <f>VLOOKUP(D572,'Table corresp.'!$M$4:$S$63,7,FALSE)</f>
        <v>Construction</v>
      </c>
      <c r="X572" s="167">
        <f>IFERROR(G572/SUMIFS('Comp2016-2017 (3)'!$I$5:$I$289,'Comp2016-2017 (3)'!$A$5:$A$289,A572,'Comp2016-2017 (3)'!$R$5:$R$289,V572),0)</f>
        <v>2.5123261973275267E-2</v>
      </c>
      <c r="Y572" s="190">
        <f>IFERROR(IF(RIGHT(F572,3)="Exp",VLOOKUP(F572,#REF!,2,FALSE),VLOOKUP(F572,#REF!,9,FALSE)),1)</f>
        <v>1</v>
      </c>
      <c r="Z572" s="167">
        <f t="shared" si="65"/>
        <v>7.1428571428571425E-2</v>
      </c>
      <c r="AA572" s="189">
        <f t="shared" si="63"/>
        <v>1.7945187123768046E-3</v>
      </c>
      <c r="AB572" s="2">
        <f>IFERROR(SUMIFS('Comp2016-2017 (3)'!$G$5:$G$289,'Comp2016-2017 (3)'!$A$5:$A$289,A572,'Comp2016-2017 (3)'!$R$5:$R$289,V572)*AA572/SUMIFS($AA$4:$AA$1116,$A$4:$A$1116,A572,$V$4:$V$1116,V572),0)</f>
        <v>1157.8391366073338</v>
      </c>
      <c r="AC572" s="2" t="str">
        <f>IF($W572=AC$3,$AB572,IF(NOT($W572=0),"",SUMIFS('Val-Vol (2)'!AC$4:AC$1116,'Val-Vol (2)'!$A$4:$A$1116,$D572,'Val-Vol (2)'!$V$4:$V$1116,$V572)/SUMIFS('Comp2016-2017 (3)'!$G$5:$G$289,'Comp2016-2017 (3)'!$A$5:$A$289,$D572,'Comp2016-2017 (3)'!$R$5:$R$289,$V572)*$AB572))</f>
        <v/>
      </c>
      <c r="AD572" s="2">
        <f>IF($W572=AD$3,$AB572,IF(NOT($W572=0),"",SUMIFS('Val-Vol (2)'!AD$4:AD$1116,'Val-Vol (2)'!$A$4:$A$1116,$D572,'Val-Vol (2)'!$V$4:$V$1116,$V572)/SUMIFS('Comp2016-2017 (3)'!$G$5:$G$289,'Comp2016-2017 (3)'!$A$5:$A$289,$D572,'Comp2016-2017 (3)'!$R$5:$R$289,$V572)*$AB572))</f>
        <v>1157.8391366073338</v>
      </c>
      <c r="AE572" s="2" t="str">
        <f>IF($W572=AE$3,$AB572,IF(NOT($W572=0),"",SUMIFS('Val-Vol (2)'!AE$4:AE$1116,'Val-Vol (2)'!$A$4:$A$1116,$D572,'Val-Vol (2)'!$V$4:$V$1116,$V572)/SUMIFS('Comp2016-2017 (3)'!$G$5:$G$289,'Comp2016-2017 (3)'!$A$5:$A$289,$D572,'Comp2016-2017 (3)'!$R$5:$R$289,$V572)*$AB572))</f>
        <v/>
      </c>
      <c r="AF572" s="2" t="str">
        <f>IF($W572=AF$3,$AB572,IF(NOT($W572=0),"",SUMIFS('Val-Vol (2)'!AF$4:AF$1116,'Val-Vol (2)'!$A$4:$A$1116,$D572,'Val-Vol (2)'!$V$4:$V$1116,$V572)/SUMIFS('Comp2016-2017 (3)'!$G$5:$G$289,'Comp2016-2017 (3)'!$A$5:$A$289,$D572,'Comp2016-2017 (3)'!$R$5:$R$289,$V572)*$AB572))</f>
        <v/>
      </c>
      <c r="AG572" s="2" t="str">
        <f>IF($W572=AG$3,$AB572,IF(NOT($W572=0),"",SUMIFS('Val-Vol (2)'!AG$4:AG$1116,'Val-Vol (2)'!$A$4:$A$1116,$D572,'Val-Vol (2)'!$V$4:$V$1116,$V572)/SUMIFS('Comp2016-2017 (3)'!$G$5:$G$289,'Comp2016-2017 (3)'!$A$5:$A$289,$D572,'Comp2016-2017 (3)'!$R$5:$R$289,$V572)*$AB572))</f>
        <v/>
      </c>
      <c r="AH572" s="2" t="str">
        <f>IF($W572=AH$3,$AB572,IF(NOT($W572=0),"",SUMIFS('Val-Vol (2)'!AH$4:AH$1116,'Val-Vol (2)'!$A$4:$A$1116,$D572,'Val-Vol (2)'!$V$4:$V$1116,$V572)/SUMIFS('Comp2016-2017 (3)'!$G$5:$G$289,'Comp2016-2017 (3)'!$A$5:$A$289,$D572,'Comp2016-2017 (3)'!$R$5:$R$289,$V572)*$AB572))</f>
        <v/>
      </c>
      <c r="AI572" s="2" t="str">
        <f>IF($W572=AI$3,$AB572,IF(NOT($W572=0),"",SUMIFS('Val-Vol (2)'!AI$4:AI$1116,'Val-Vol (2)'!$A$4:$A$1116,$D572,'Val-Vol (2)'!$V$4:$V$1116,$V572)/SUMIFS('Comp2016-2017 (3)'!$G$5:$G$289,'Comp2016-2017 (3)'!$A$5:$A$289,$D572,'Comp2016-2017 (3)'!$R$5:$R$289,$V572)*$AB572))</f>
        <v/>
      </c>
      <c r="AJ572" s="2" t="str">
        <f>IF($W572=AJ$3,$AB572,IF(NOT($W572=0),"",SUMIFS('Val-Vol (2)'!AJ$4:AJ$1116,'Val-Vol (2)'!$A$4:$A$1116,$D572,'Val-Vol (2)'!$V$4:$V$1116,$V572)/SUMIFS('Comp2016-2017 (3)'!$G$5:$G$289,'Comp2016-2017 (3)'!$A$5:$A$289,$D572,'Comp2016-2017 (3)'!$R$5:$R$289,$V572)*$AB572))</f>
        <v/>
      </c>
      <c r="AK572" s="2">
        <f t="shared" si="66"/>
        <v>0</v>
      </c>
      <c r="AL572" t="str">
        <f t="shared" si="62"/>
        <v/>
      </c>
      <c r="AM572" t="str">
        <f>VLOOKUP(A572,'Table corresp.'!$M$4:$U$63,8,FALSE)</f>
        <v>Production intermédiaire</v>
      </c>
      <c r="AN572" t="str">
        <f>VLOOKUP(D572,'Table corresp.'!$M$4:$U$63,9,FALSE)</f>
        <v>Production intermédiaire</v>
      </c>
    </row>
    <row r="573" spans="1:40" x14ac:dyDescent="0.25">
      <c r="A573" t="s">
        <v>14</v>
      </c>
      <c r="B573" t="str">
        <f>VLOOKUP(LEFT(A573,3),'Table corresp.'!$A$4:$D$63,3,FALSE)</f>
        <v>Transformation</v>
      </c>
      <c r="C573" t="str">
        <f>VLOOKUP(A573,'Table corresp.'!$M$4:$P$63,4,FALSE)</f>
        <v>Production et transformation de produits bois</v>
      </c>
      <c r="D573" t="s">
        <v>90</v>
      </c>
      <c r="E573" t="str">
        <f>VLOOKUP(LEFT(D573,3),'Table corresp.'!$A$4:$D$63,4,FALSE)</f>
        <v>Transformation</v>
      </c>
      <c r="F573" t="str">
        <f t="shared" si="61"/>
        <v xml:space="preserve">20b - 34 </v>
      </c>
      <c r="G573" s="3">
        <v>3069.9797519464491</v>
      </c>
      <c r="H573" s="3">
        <v>7441.6786827695314</v>
      </c>
      <c r="I573" s="3">
        <v>10511.659068643999</v>
      </c>
      <c r="J573" s="3">
        <v>9.9440615074174996</v>
      </c>
      <c r="K573" s="3">
        <v>23.154742370435805</v>
      </c>
      <c r="L573" s="3">
        <v>33.098803877853307</v>
      </c>
      <c r="M573" s="3">
        <v>0</v>
      </c>
      <c r="N573" s="3">
        <v>0</v>
      </c>
      <c r="O573" s="3">
        <v>0</v>
      </c>
      <c r="P573" s="3">
        <v>0</v>
      </c>
      <c r="Q573" s="3">
        <v>0</v>
      </c>
      <c r="R573" s="3">
        <v>0</v>
      </c>
      <c r="S573" s="67"/>
      <c r="T573">
        <f>VLOOKUP(A573,'Groupe de branches'!$Z$27:$AM$86,14,FALSE)</f>
        <v>0</v>
      </c>
      <c r="U573">
        <f>VLOOKUP(D573,'Groupe de branches'!$Z$27:$AM$86,14,FALSE)</f>
        <v>0</v>
      </c>
      <c r="V573">
        <v>2017</v>
      </c>
      <c r="W573" t="str">
        <f>VLOOKUP(D573,'Table corresp.'!$M$4:$S$63,7,FALSE)</f>
        <v>Construction</v>
      </c>
      <c r="X573" s="167">
        <f>IFERROR(G573/SUMIFS('Comp2016-2017 (3)'!$I$5:$I$289,'Comp2016-2017 (3)'!$A$5:$A$289,A573,'Comp2016-2017 (3)'!$R$5:$R$289,V573),0)</f>
        <v>1.6829908203230604E-2</v>
      </c>
      <c r="Y573" s="190">
        <f>IFERROR(IF(RIGHT(F573,3)="Exp",VLOOKUP(F573,#REF!,2,FALSE),VLOOKUP(F573,#REF!,9,FALSE)),1)</f>
        <v>1</v>
      </c>
      <c r="Z573" s="167">
        <f t="shared" si="65"/>
        <v>7.1428571428571425E-2</v>
      </c>
      <c r="AA573" s="189">
        <f t="shared" si="63"/>
        <v>1.2021363002307573E-3</v>
      </c>
      <c r="AB573" s="2">
        <f>IFERROR(SUMIFS('Comp2016-2017 (3)'!$G$5:$G$289,'Comp2016-2017 (3)'!$A$5:$A$289,A573,'Comp2016-2017 (3)'!$R$5:$R$289,V573)*AA573/SUMIFS($AA$4:$AA$1116,$A$4:$A$1116,A573,$V$4:$V$1116,V573),0)</f>
        <v>775.62883370549878</v>
      </c>
      <c r="AC573" s="2" t="str">
        <f>IF($W573=AC$3,$AB573,IF(NOT($W573=0),"",SUMIFS('Val-Vol (2)'!AC$4:AC$1116,'Val-Vol (2)'!$A$4:$A$1116,$D573,'Val-Vol (2)'!$V$4:$V$1116,$V573)/SUMIFS('Comp2016-2017 (3)'!$G$5:$G$289,'Comp2016-2017 (3)'!$A$5:$A$289,$D573,'Comp2016-2017 (3)'!$R$5:$R$289,$V573)*$AB573))</f>
        <v/>
      </c>
      <c r="AD573" s="2">
        <f>IF($W573=AD$3,$AB573,IF(NOT($W573=0),"",SUMIFS('Val-Vol (2)'!AD$4:AD$1116,'Val-Vol (2)'!$A$4:$A$1116,$D573,'Val-Vol (2)'!$V$4:$V$1116,$V573)/SUMIFS('Comp2016-2017 (3)'!$G$5:$G$289,'Comp2016-2017 (3)'!$A$5:$A$289,$D573,'Comp2016-2017 (3)'!$R$5:$R$289,$V573)*$AB573))</f>
        <v>775.62883370549878</v>
      </c>
      <c r="AE573" s="2" t="str">
        <f>IF($W573=AE$3,$AB573,IF(NOT($W573=0),"",SUMIFS('Val-Vol (2)'!AE$4:AE$1116,'Val-Vol (2)'!$A$4:$A$1116,$D573,'Val-Vol (2)'!$V$4:$V$1116,$V573)/SUMIFS('Comp2016-2017 (3)'!$G$5:$G$289,'Comp2016-2017 (3)'!$A$5:$A$289,$D573,'Comp2016-2017 (3)'!$R$5:$R$289,$V573)*$AB573))</f>
        <v/>
      </c>
      <c r="AF573" s="2" t="str">
        <f>IF($W573=AF$3,$AB573,IF(NOT($W573=0),"",SUMIFS('Val-Vol (2)'!AF$4:AF$1116,'Val-Vol (2)'!$A$4:$A$1116,$D573,'Val-Vol (2)'!$V$4:$V$1116,$V573)/SUMIFS('Comp2016-2017 (3)'!$G$5:$G$289,'Comp2016-2017 (3)'!$A$5:$A$289,$D573,'Comp2016-2017 (3)'!$R$5:$R$289,$V573)*$AB573))</f>
        <v/>
      </c>
      <c r="AG573" s="2" t="str">
        <f>IF($W573=AG$3,$AB573,IF(NOT($W573=0),"",SUMIFS('Val-Vol (2)'!AG$4:AG$1116,'Val-Vol (2)'!$A$4:$A$1116,$D573,'Val-Vol (2)'!$V$4:$V$1116,$V573)/SUMIFS('Comp2016-2017 (3)'!$G$5:$G$289,'Comp2016-2017 (3)'!$A$5:$A$289,$D573,'Comp2016-2017 (3)'!$R$5:$R$289,$V573)*$AB573))</f>
        <v/>
      </c>
      <c r="AH573" s="2" t="str">
        <f>IF($W573=AH$3,$AB573,IF(NOT($W573=0),"",SUMIFS('Val-Vol (2)'!AH$4:AH$1116,'Val-Vol (2)'!$A$4:$A$1116,$D573,'Val-Vol (2)'!$V$4:$V$1116,$V573)/SUMIFS('Comp2016-2017 (3)'!$G$5:$G$289,'Comp2016-2017 (3)'!$A$5:$A$289,$D573,'Comp2016-2017 (3)'!$R$5:$R$289,$V573)*$AB573))</f>
        <v/>
      </c>
      <c r="AI573" s="2" t="str">
        <f>IF($W573=AI$3,$AB573,IF(NOT($W573=0),"",SUMIFS('Val-Vol (2)'!AI$4:AI$1116,'Val-Vol (2)'!$A$4:$A$1116,$D573,'Val-Vol (2)'!$V$4:$V$1116,$V573)/SUMIFS('Comp2016-2017 (3)'!$G$5:$G$289,'Comp2016-2017 (3)'!$A$5:$A$289,$D573,'Comp2016-2017 (3)'!$R$5:$R$289,$V573)*$AB573))</f>
        <v/>
      </c>
      <c r="AJ573" s="2" t="str">
        <f>IF($W573=AJ$3,$AB573,IF(NOT($W573=0),"",SUMIFS('Val-Vol (2)'!AJ$4:AJ$1116,'Val-Vol (2)'!$A$4:$A$1116,$D573,'Val-Vol (2)'!$V$4:$V$1116,$V573)/SUMIFS('Comp2016-2017 (3)'!$G$5:$G$289,'Comp2016-2017 (3)'!$A$5:$A$289,$D573,'Comp2016-2017 (3)'!$R$5:$R$289,$V573)*$AB573))</f>
        <v/>
      </c>
      <c r="AK573" s="2">
        <f t="shared" si="66"/>
        <v>0</v>
      </c>
      <c r="AL573" t="str">
        <f t="shared" si="62"/>
        <v/>
      </c>
      <c r="AM573" t="str">
        <f>VLOOKUP(A573,'Table corresp.'!$M$4:$U$63,8,FALSE)</f>
        <v>Production intermédiaire</v>
      </c>
      <c r="AN573" t="str">
        <f>VLOOKUP(D573,'Table corresp.'!$M$4:$U$63,9,FALSE)</f>
        <v>Production finale</v>
      </c>
    </row>
    <row r="574" spans="1:40" x14ac:dyDescent="0.25">
      <c r="A574" t="s">
        <v>14</v>
      </c>
      <c r="B574" t="str">
        <f>VLOOKUP(LEFT(A574,3),'Table corresp.'!$A$4:$D$63,3,FALSE)</f>
        <v>Transformation</v>
      </c>
      <c r="C574" t="str">
        <f>VLOOKUP(A574,'Table corresp.'!$M$4:$P$63,4,FALSE)</f>
        <v>Production et transformation de produits bois</v>
      </c>
      <c r="D574" t="s">
        <v>15</v>
      </c>
      <c r="E574" t="str">
        <f>VLOOKUP(LEFT(D574,3),'Table corresp.'!$A$4:$D$63,4,FALSE)</f>
        <v>Transformation</v>
      </c>
      <c r="F574" t="str">
        <f t="shared" si="61"/>
        <v xml:space="preserve">20b - 35 </v>
      </c>
      <c r="G574" s="3">
        <v>61437.524024887207</v>
      </c>
      <c r="H574" s="3">
        <v>69993.262765358959</v>
      </c>
      <c r="I574" s="3">
        <v>131430.79331261967</v>
      </c>
      <c r="J574" s="3">
        <v>184.78950939414355</v>
      </c>
      <c r="K574" s="3">
        <v>171.11572725286146</v>
      </c>
      <c r="L574" s="3">
        <v>355.90523664700504</v>
      </c>
      <c r="M574" s="3">
        <v>0</v>
      </c>
      <c r="N574" s="3">
        <v>0</v>
      </c>
      <c r="O574" s="3">
        <v>0</v>
      </c>
      <c r="P574" s="3">
        <v>0</v>
      </c>
      <c r="Q574" s="3">
        <v>0</v>
      </c>
      <c r="R574" s="3">
        <v>0</v>
      </c>
      <c r="S574" s="67"/>
      <c r="T574">
        <f>VLOOKUP(A574,'Groupe de branches'!$Z$27:$AM$86,14,FALSE)</f>
        <v>0</v>
      </c>
      <c r="U574">
        <f>VLOOKUP(D574,'Groupe de branches'!$Z$27:$AM$86,14,FALSE)</f>
        <v>0</v>
      </c>
      <c r="V574">
        <v>2017</v>
      </c>
      <c r="W574" t="str">
        <f>VLOOKUP(D574,'Table corresp.'!$M$4:$S$63,7,FALSE)</f>
        <v>Construction</v>
      </c>
      <c r="X574" s="167">
        <f>IFERROR(G574/SUMIFS('Comp2016-2017 (3)'!$I$5:$I$289,'Comp2016-2017 (3)'!$A$5:$A$289,A574,'Comp2016-2017 (3)'!$R$5:$R$289,V574),0)</f>
        <v>0.33680609421513302</v>
      </c>
      <c r="Y574" s="190">
        <f>IFERROR(IF(RIGHT(F574,3)="Exp",VLOOKUP(F574,#REF!,2,FALSE),VLOOKUP(F574,#REF!,9,FALSE)),1)</f>
        <v>1</v>
      </c>
      <c r="Z574" s="167">
        <f t="shared" si="65"/>
        <v>7.1428571428571425E-2</v>
      </c>
      <c r="AA574" s="189">
        <f t="shared" si="63"/>
        <v>2.4057578158223784E-2</v>
      </c>
      <c r="AB574" s="2">
        <f>IFERROR(SUMIFS('Comp2016-2017 (3)'!$G$5:$G$289,'Comp2016-2017 (3)'!$A$5:$A$289,A574,'Comp2016-2017 (3)'!$R$5:$R$289,V574)*AA574/SUMIFS($AA$4:$AA$1116,$A$4:$A$1116,A574,$V$4:$V$1116,V574),0)</f>
        <v>15522.159413254672</v>
      </c>
      <c r="AC574" s="2" t="str">
        <f>IF($W574=AC$3,$AB574,IF(NOT($W574=0),"",SUMIFS('Val-Vol (2)'!AC$4:AC$1116,'Val-Vol (2)'!$A$4:$A$1116,$D574,'Val-Vol (2)'!$V$4:$V$1116,$V574)/SUMIFS('Comp2016-2017 (3)'!$G$5:$G$289,'Comp2016-2017 (3)'!$A$5:$A$289,$D574,'Comp2016-2017 (3)'!$R$5:$R$289,$V574)*$AB574))</f>
        <v/>
      </c>
      <c r="AD574" s="2">
        <f>IF($W574=AD$3,$AB574,IF(NOT($W574=0),"",SUMIFS('Val-Vol (2)'!AD$4:AD$1116,'Val-Vol (2)'!$A$4:$A$1116,$D574,'Val-Vol (2)'!$V$4:$V$1116,$V574)/SUMIFS('Comp2016-2017 (3)'!$G$5:$G$289,'Comp2016-2017 (3)'!$A$5:$A$289,$D574,'Comp2016-2017 (3)'!$R$5:$R$289,$V574)*$AB574))</f>
        <v>15522.159413254672</v>
      </c>
      <c r="AE574" s="2" t="str">
        <f>IF($W574=AE$3,$AB574,IF(NOT($W574=0),"",SUMIFS('Val-Vol (2)'!AE$4:AE$1116,'Val-Vol (2)'!$A$4:$A$1116,$D574,'Val-Vol (2)'!$V$4:$V$1116,$V574)/SUMIFS('Comp2016-2017 (3)'!$G$5:$G$289,'Comp2016-2017 (3)'!$A$5:$A$289,$D574,'Comp2016-2017 (3)'!$R$5:$R$289,$V574)*$AB574))</f>
        <v/>
      </c>
      <c r="AF574" s="2" t="str">
        <f>IF($W574=AF$3,$AB574,IF(NOT($W574=0),"",SUMIFS('Val-Vol (2)'!AF$4:AF$1116,'Val-Vol (2)'!$A$4:$A$1116,$D574,'Val-Vol (2)'!$V$4:$V$1116,$V574)/SUMIFS('Comp2016-2017 (3)'!$G$5:$G$289,'Comp2016-2017 (3)'!$A$5:$A$289,$D574,'Comp2016-2017 (3)'!$R$5:$R$289,$V574)*$AB574))</f>
        <v/>
      </c>
      <c r="AG574" s="2" t="str">
        <f>IF($W574=AG$3,$AB574,IF(NOT($W574=0),"",SUMIFS('Val-Vol (2)'!AG$4:AG$1116,'Val-Vol (2)'!$A$4:$A$1116,$D574,'Val-Vol (2)'!$V$4:$V$1116,$V574)/SUMIFS('Comp2016-2017 (3)'!$G$5:$G$289,'Comp2016-2017 (3)'!$A$5:$A$289,$D574,'Comp2016-2017 (3)'!$R$5:$R$289,$V574)*$AB574))</f>
        <v/>
      </c>
      <c r="AH574" s="2" t="str">
        <f>IF($W574=AH$3,$AB574,IF(NOT($W574=0),"",SUMIFS('Val-Vol (2)'!AH$4:AH$1116,'Val-Vol (2)'!$A$4:$A$1116,$D574,'Val-Vol (2)'!$V$4:$V$1116,$V574)/SUMIFS('Comp2016-2017 (3)'!$G$5:$G$289,'Comp2016-2017 (3)'!$A$5:$A$289,$D574,'Comp2016-2017 (3)'!$R$5:$R$289,$V574)*$AB574))</f>
        <v/>
      </c>
      <c r="AI574" s="2" t="str">
        <f>IF($W574=AI$3,$AB574,IF(NOT($W574=0),"",SUMIFS('Val-Vol (2)'!AI$4:AI$1116,'Val-Vol (2)'!$A$4:$A$1116,$D574,'Val-Vol (2)'!$V$4:$V$1116,$V574)/SUMIFS('Comp2016-2017 (3)'!$G$5:$G$289,'Comp2016-2017 (3)'!$A$5:$A$289,$D574,'Comp2016-2017 (3)'!$R$5:$R$289,$V574)*$AB574))</f>
        <v/>
      </c>
      <c r="AJ574" s="2" t="str">
        <f>IF($W574=AJ$3,$AB574,IF(NOT($W574=0),"",SUMIFS('Val-Vol (2)'!AJ$4:AJ$1116,'Val-Vol (2)'!$A$4:$A$1116,$D574,'Val-Vol (2)'!$V$4:$V$1116,$V574)/SUMIFS('Comp2016-2017 (3)'!$G$5:$G$289,'Comp2016-2017 (3)'!$A$5:$A$289,$D574,'Comp2016-2017 (3)'!$R$5:$R$289,$V574)*$AB574))</f>
        <v/>
      </c>
      <c r="AK574" s="2">
        <f t="shared" si="66"/>
        <v>0</v>
      </c>
      <c r="AL574" t="str">
        <f t="shared" si="62"/>
        <v/>
      </c>
      <c r="AM574" t="str">
        <f>VLOOKUP(A574,'Table corresp.'!$M$4:$U$63,8,FALSE)</f>
        <v>Production intermédiaire</v>
      </c>
      <c r="AN574" t="str">
        <f>VLOOKUP(D574,'Table corresp.'!$M$4:$U$63,9,FALSE)</f>
        <v>Production finale</v>
      </c>
    </row>
    <row r="575" spans="1:40" x14ac:dyDescent="0.25">
      <c r="A575" t="s">
        <v>14</v>
      </c>
      <c r="B575" t="str">
        <f>VLOOKUP(LEFT(A575,3),'Table corresp.'!$A$4:$D$63,3,FALSE)</f>
        <v>Transformation</v>
      </c>
      <c r="C575" t="str">
        <f>VLOOKUP(A575,'Table corresp.'!$M$4:$P$63,4,FALSE)</f>
        <v>Production et transformation de produits bois</v>
      </c>
      <c r="D575" t="s">
        <v>16</v>
      </c>
      <c r="E575" t="str">
        <f>VLOOKUP(LEFT(D575,3),'Table corresp.'!$A$4:$D$63,4,FALSE)</f>
        <v>Transformation</v>
      </c>
      <c r="F575" t="str">
        <f t="shared" si="61"/>
        <v xml:space="preserve">20b - 36 </v>
      </c>
      <c r="G575" s="3">
        <v>4234.0596681880697</v>
      </c>
      <c r="H575" s="3">
        <v>22144.365251867097</v>
      </c>
      <c r="I575" s="3">
        <v>26378.426722169574</v>
      </c>
      <c r="J575" s="3">
        <v>14.857555836157088</v>
      </c>
      <c r="K575" s="3">
        <v>63.160231676638951</v>
      </c>
      <c r="L575" s="3">
        <v>78.017787512796033</v>
      </c>
      <c r="M575" s="3">
        <v>0</v>
      </c>
      <c r="N575" s="3">
        <v>0</v>
      </c>
      <c r="O575" s="3">
        <v>0</v>
      </c>
      <c r="P575" s="3">
        <v>0</v>
      </c>
      <c r="Q575" s="3">
        <v>0</v>
      </c>
      <c r="R575" s="3">
        <v>0</v>
      </c>
      <c r="S575" s="67"/>
      <c r="T575">
        <f>VLOOKUP(A575,'Groupe de branches'!$Z$27:$AM$86,14,FALSE)</f>
        <v>0</v>
      </c>
      <c r="U575">
        <f>VLOOKUP(D575,'Groupe de branches'!$Z$27:$AM$86,14,FALSE)</f>
        <v>0</v>
      </c>
      <c r="V575">
        <v>2017</v>
      </c>
      <c r="W575" t="str">
        <f>VLOOKUP(D575,'Table corresp.'!$M$4:$S$63,7,FALSE)</f>
        <v>Construction</v>
      </c>
      <c r="X575" s="167">
        <f>IFERROR(G575/SUMIFS('Comp2016-2017 (3)'!$I$5:$I$289,'Comp2016-2017 (3)'!$A$5:$A$289,A575,'Comp2016-2017 (3)'!$R$5:$R$289,V575),0)</f>
        <v>2.3211500172737699E-2</v>
      </c>
      <c r="Y575" s="190">
        <f>IFERROR(IF(RIGHT(F575,3)="Exp",VLOOKUP(F575,#REF!,2,FALSE),VLOOKUP(F575,#REF!,9,FALSE)),1)</f>
        <v>1</v>
      </c>
      <c r="Z575" s="167">
        <f t="shared" si="65"/>
        <v>7.1428571428571425E-2</v>
      </c>
      <c r="AA575" s="189">
        <f t="shared" si="63"/>
        <v>1.6579642980526926E-3</v>
      </c>
      <c r="AB575" s="2">
        <f>IFERROR(SUMIFS('Comp2016-2017 (3)'!$G$5:$G$289,'Comp2016-2017 (3)'!$A$5:$A$289,A575,'Comp2016-2017 (3)'!$R$5:$R$289,V575)*AA575/SUMIFS($AA$4:$AA$1116,$A$4:$A$1116,A575,$V$4:$V$1116,V575),0)</f>
        <v>1069.7330365759001</v>
      </c>
      <c r="AC575" s="2" t="str">
        <f>IF($W575=AC$3,$AB575,IF(NOT($W575=0),"",SUMIFS('Val-Vol (2)'!AC$4:AC$1116,'Val-Vol (2)'!$A$4:$A$1116,$D575,'Val-Vol (2)'!$V$4:$V$1116,$V575)/SUMIFS('Comp2016-2017 (3)'!$G$5:$G$289,'Comp2016-2017 (3)'!$A$5:$A$289,$D575,'Comp2016-2017 (3)'!$R$5:$R$289,$V575)*$AB575))</f>
        <v/>
      </c>
      <c r="AD575" s="2">
        <f>IF($W575=AD$3,$AB575,IF(NOT($W575=0),"",SUMIFS('Val-Vol (2)'!AD$4:AD$1116,'Val-Vol (2)'!$A$4:$A$1116,$D575,'Val-Vol (2)'!$V$4:$V$1116,$V575)/SUMIFS('Comp2016-2017 (3)'!$G$5:$G$289,'Comp2016-2017 (3)'!$A$5:$A$289,$D575,'Comp2016-2017 (3)'!$R$5:$R$289,$V575)*$AB575))</f>
        <v>1069.7330365759001</v>
      </c>
      <c r="AE575" s="2" t="str">
        <f>IF($W575=AE$3,$AB575,IF(NOT($W575=0),"",SUMIFS('Val-Vol (2)'!AE$4:AE$1116,'Val-Vol (2)'!$A$4:$A$1116,$D575,'Val-Vol (2)'!$V$4:$V$1116,$V575)/SUMIFS('Comp2016-2017 (3)'!$G$5:$G$289,'Comp2016-2017 (3)'!$A$5:$A$289,$D575,'Comp2016-2017 (3)'!$R$5:$R$289,$V575)*$AB575))</f>
        <v/>
      </c>
      <c r="AF575" s="2" t="str">
        <f>IF($W575=AF$3,$AB575,IF(NOT($W575=0),"",SUMIFS('Val-Vol (2)'!AF$4:AF$1116,'Val-Vol (2)'!$A$4:$A$1116,$D575,'Val-Vol (2)'!$V$4:$V$1116,$V575)/SUMIFS('Comp2016-2017 (3)'!$G$5:$G$289,'Comp2016-2017 (3)'!$A$5:$A$289,$D575,'Comp2016-2017 (3)'!$R$5:$R$289,$V575)*$AB575))</f>
        <v/>
      </c>
      <c r="AG575" s="2" t="str">
        <f>IF($W575=AG$3,$AB575,IF(NOT($W575=0),"",SUMIFS('Val-Vol (2)'!AG$4:AG$1116,'Val-Vol (2)'!$A$4:$A$1116,$D575,'Val-Vol (2)'!$V$4:$V$1116,$V575)/SUMIFS('Comp2016-2017 (3)'!$G$5:$G$289,'Comp2016-2017 (3)'!$A$5:$A$289,$D575,'Comp2016-2017 (3)'!$R$5:$R$289,$V575)*$AB575))</f>
        <v/>
      </c>
      <c r="AH575" s="2" t="str">
        <f>IF($W575=AH$3,$AB575,IF(NOT($W575=0),"",SUMIFS('Val-Vol (2)'!AH$4:AH$1116,'Val-Vol (2)'!$A$4:$A$1116,$D575,'Val-Vol (2)'!$V$4:$V$1116,$V575)/SUMIFS('Comp2016-2017 (3)'!$G$5:$G$289,'Comp2016-2017 (3)'!$A$5:$A$289,$D575,'Comp2016-2017 (3)'!$R$5:$R$289,$V575)*$AB575))</f>
        <v/>
      </c>
      <c r="AI575" s="2" t="str">
        <f>IF($W575=AI$3,$AB575,IF(NOT($W575=0),"",SUMIFS('Val-Vol (2)'!AI$4:AI$1116,'Val-Vol (2)'!$A$4:$A$1116,$D575,'Val-Vol (2)'!$V$4:$V$1116,$V575)/SUMIFS('Comp2016-2017 (3)'!$G$5:$G$289,'Comp2016-2017 (3)'!$A$5:$A$289,$D575,'Comp2016-2017 (3)'!$R$5:$R$289,$V575)*$AB575))</f>
        <v/>
      </c>
      <c r="AJ575" s="2" t="str">
        <f>IF($W575=AJ$3,$AB575,IF(NOT($W575=0),"",SUMIFS('Val-Vol (2)'!AJ$4:AJ$1116,'Val-Vol (2)'!$A$4:$A$1116,$D575,'Val-Vol (2)'!$V$4:$V$1116,$V575)/SUMIFS('Comp2016-2017 (3)'!$G$5:$G$289,'Comp2016-2017 (3)'!$A$5:$A$289,$D575,'Comp2016-2017 (3)'!$R$5:$R$289,$V575)*$AB575))</f>
        <v/>
      </c>
      <c r="AK575" s="2">
        <f t="shared" si="66"/>
        <v>0</v>
      </c>
      <c r="AL575" t="str">
        <f t="shared" si="62"/>
        <v/>
      </c>
      <c r="AM575" t="str">
        <f>VLOOKUP(A575,'Table corresp.'!$M$4:$U$63,8,FALSE)</f>
        <v>Production intermédiaire</v>
      </c>
      <c r="AN575" t="str">
        <f>VLOOKUP(D575,'Table corresp.'!$M$4:$U$63,9,FALSE)</f>
        <v>Production finale</v>
      </c>
    </row>
    <row r="576" spans="1:40" x14ac:dyDescent="0.25">
      <c r="A576" t="s">
        <v>14</v>
      </c>
      <c r="B576" t="str">
        <f>VLOOKUP(LEFT(A576,3),'Table corresp.'!$A$4:$D$63,3,FALSE)</f>
        <v>Transformation</v>
      </c>
      <c r="C576" t="str">
        <f>VLOOKUP(A576,'Table corresp.'!$M$4:$P$63,4,FALSE)</f>
        <v>Production et transformation de produits bois</v>
      </c>
      <c r="D576" t="s">
        <v>92</v>
      </c>
      <c r="E576" t="str">
        <f>VLOOKUP(LEFT(D576,3),'Table corresp.'!$A$4:$D$63,4,FALSE)</f>
        <v>Transformation</v>
      </c>
      <c r="F576" t="str">
        <f t="shared" si="61"/>
        <v xml:space="preserve">20b - 40 </v>
      </c>
      <c r="G576" s="3">
        <v>2054.1401012947244</v>
      </c>
      <c r="H576" s="3">
        <v>5290.0254952538053</v>
      </c>
      <c r="I576" s="3">
        <v>7344.1660449810779</v>
      </c>
      <c r="J576" s="3">
        <v>7.8633755716969072</v>
      </c>
      <c r="K576" s="3">
        <v>18.288761432170837</v>
      </c>
      <c r="L576" s="3">
        <v>26.152137003867743</v>
      </c>
      <c r="M576" s="3">
        <v>0</v>
      </c>
      <c r="N576" s="3">
        <v>0</v>
      </c>
      <c r="O576" s="3">
        <v>0</v>
      </c>
      <c r="P576" s="3">
        <v>0</v>
      </c>
      <c r="Q576" s="3">
        <v>0</v>
      </c>
      <c r="R576" s="3">
        <v>0</v>
      </c>
      <c r="S576" s="67"/>
      <c r="T576">
        <f>VLOOKUP(A576,'Groupe de branches'!$Z$27:$AM$86,14,FALSE)</f>
        <v>0</v>
      </c>
      <c r="U576">
        <f>VLOOKUP(D576,'Groupe de branches'!$Z$27:$AM$86,14,FALSE)</f>
        <v>0</v>
      </c>
      <c r="V576">
        <v>2017</v>
      </c>
      <c r="W576" t="str">
        <f>VLOOKUP(D576,'Table corresp.'!$M$4:$S$63,7,FALSE)</f>
        <v>Construction</v>
      </c>
      <c r="X576" s="167">
        <f>IFERROR(G576/SUMIFS('Comp2016-2017 (3)'!$I$5:$I$289,'Comp2016-2017 (3)'!$A$5:$A$289,A576,'Comp2016-2017 (3)'!$R$5:$R$289,V576),0)</f>
        <v>1.1260982851579426E-2</v>
      </c>
      <c r="Y576" s="190">
        <f>IFERROR(IF(RIGHT(F576,3)="Exp",VLOOKUP(F576,#REF!,2,FALSE),VLOOKUP(F576,#REF!,9,FALSE)),1)</f>
        <v>1</v>
      </c>
      <c r="Z576" s="167">
        <f t="shared" si="65"/>
        <v>7.1428571428571425E-2</v>
      </c>
      <c r="AA576" s="189">
        <f t="shared" si="63"/>
        <v>8.0435591796995892E-4</v>
      </c>
      <c r="AB576" s="2">
        <f>IFERROR(SUMIFS('Comp2016-2017 (3)'!$G$5:$G$289,'Comp2016-2017 (3)'!$A$5:$A$289,A576,'Comp2016-2017 (3)'!$R$5:$R$289,V576)*AA576/SUMIFS($AA$4:$AA$1116,$A$4:$A$1116,A576,$V$4:$V$1116,V576),0)</f>
        <v>518.97745906133707</v>
      </c>
      <c r="AC576" s="2" t="str">
        <f>IF($W576=AC$3,$AB576,IF(NOT($W576=0),"",SUMIFS('Val-Vol (2)'!AC$4:AC$1116,'Val-Vol (2)'!$A$4:$A$1116,$D576,'Val-Vol (2)'!$V$4:$V$1116,$V576)/SUMIFS('Comp2016-2017 (3)'!$G$5:$G$289,'Comp2016-2017 (3)'!$A$5:$A$289,$D576,'Comp2016-2017 (3)'!$R$5:$R$289,$V576)*$AB576))</f>
        <v/>
      </c>
      <c r="AD576" s="2">
        <f>IF($W576=AD$3,$AB576,IF(NOT($W576=0),"",SUMIFS('Val-Vol (2)'!AD$4:AD$1116,'Val-Vol (2)'!$A$4:$A$1116,$D576,'Val-Vol (2)'!$V$4:$V$1116,$V576)/SUMIFS('Comp2016-2017 (3)'!$G$5:$G$289,'Comp2016-2017 (3)'!$A$5:$A$289,$D576,'Comp2016-2017 (3)'!$R$5:$R$289,$V576)*$AB576))</f>
        <v>518.97745906133707</v>
      </c>
      <c r="AE576" s="2" t="str">
        <f>IF($W576=AE$3,$AB576,IF(NOT($W576=0),"",SUMIFS('Val-Vol (2)'!AE$4:AE$1116,'Val-Vol (2)'!$A$4:$A$1116,$D576,'Val-Vol (2)'!$V$4:$V$1116,$V576)/SUMIFS('Comp2016-2017 (3)'!$G$5:$G$289,'Comp2016-2017 (3)'!$A$5:$A$289,$D576,'Comp2016-2017 (3)'!$R$5:$R$289,$V576)*$AB576))</f>
        <v/>
      </c>
      <c r="AF576" s="2" t="str">
        <f>IF($W576=AF$3,$AB576,IF(NOT($W576=0),"",SUMIFS('Val-Vol (2)'!AF$4:AF$1116,'Val-Vol (2)'!$A$4:$A$1116,$D576,'Val-Vol (2)'!$V$4:$V$1116,$V576)/SUMIFS('Comp2016-2017 (3)'!$G$5:$G$289,'Comp2016-2017 (3)'!$A$5:$A$289,$D576,'Comp2016-2017 (3)'!$R$5:$R$289,$V576)*$AB576))</f>
        <v/>
      </c>
      <c r="AG576" s="2" t="str">
        <f>IF($W576=AG$3,$AB576,IF(NOT($W576=0),"",SUMIFS('Val-Vol (2)'!AG$4:AG$1116,'Val-Vol (2)'!$A$4:$A$1116,$D576,'Val-Vol (2)'!$V$4:$V$1116,$V576)/SUMIFS('Comp2016-2017 (3)'!$G$5:$G$289,'Comp2016-2017 (3)'!$A$5:$A$289,$D576,'Comp2016-2017 (3)'!$R$5:$R$289,$V576)*$AB576))</f>
        <v/>
      </c>
      <c r="AH576" s="2" t="str">
        <f>IF($W576=AH$3,$AB576,IF(NOT($W576=0),"",SUMIFS('Val-Vol (2)'!AH$4:AH$1116,'Val-Vol (2)'!$A$4:$A$1116,$D576,'Val-Vol (2)'!$V$4:$V$1116,$V576)/SUMIFS('Comp2016-2017 (3)'!$G$5:$G$289,'Comp2016-2017 (3)'!$A$5:$A$289,$D576,'Comp2016-2017 (3)'!$R$5:$R$289,$V576)*$AB576))</f>
        <v/>
      </c>
      <c r="AI576" s="2" t="str">
        <f>IF($W576=AI$3,$AB576,IF(NOT($W576=0),"",SUMIFS('Val-Vol (2)'!AI$4:AI$1116,'Val-Vol (2)'!$A$4:$A$1116,$D576,'Val-Vol (2)'!$V$4:$V$1116,$V576)/SUMIFS('Comp2016-2017 (3)'!$G$5:$G$289,'Comp2016-2017 (3)'!$A$5:$A$289,$D576,'Comp2016-2017 (3)'!$R$5:$R$289,$V576)*$AB576))</f>
        <v/>
      </c>
      <c r="AJ576" s="2" t="str">
        <f>IF($W576=AJ$3,$AB576,IF(NOT($W576=0),"",SUMIFS('Val-Vol (2)'!AJ$4:AJ$1116,'Val-Vol (2)'!$A$4:$A$1116,$D576,'Val-Vol (2)'!$V$4:$V$1116,$V576)/SUMIFS('Comp2016-2017 (3)'!$G$5:$G$289,'Comp2016-2017 (3)'!$A$5:$A$289,$D576,'Comp2016-2017 (3)'!$R$5:$R$289,$V576)*$AB576))</f>
        <v/>
      </c>
      <c r="AK576" s="2">
        <f t="shared" si="66"/>
        <v>0</v>
      </c>
      <c r="AL576" t="str">
        <f t="shared" si="62"/>
        <v/>
      </c>
      <c r="AM576" t="str">
        <f>VLOOKUP(A576,'Table corresp.'!$M$4:$U$63,8,FALSE)</f>
        <v>Production intermédiaire</v>
      </c>
      <c r="AN576" t="str">
        <f>VLOOKUP(D576,'Table corresp.'!$M$4:$U$63,9,FALSE)</f>
        <v>Production finale</v>
      </c>
    </row>
    <row r="577" spans="1:40" x14ac:dyDescent="0.25">
      <c r="A577" t="s">
        <v>14</v>
      </c>
      <c r="B577" t="str">
        <f>VLOOKUP(LEFT(A577,3),'Table corresp.'!$A$4:$D$63,3,FALSE)</f>
        <v>Transformation</v>
      </c>
      <c r="C577" t="str">
        <f>VLOOKUP(A577,'Table corresp.'!$M$4:$P$63,4,FALSE)</f>
        <v>Production et transformation de produits bois</v>
      </c>
      <c r="D577" t="s">
        <v>99</v>
      </c>
      <c r="E577" t="str">
        <f>VLOOKUP(LEFT(D577,3),'Table corresp.'!$A$4:$D$63,4,FALSE)</f>
        <v>Transformation</v>
      </c>
      <c r="F577" t="str">
        <f t="shared" si="61"/>
        <v xml:space="preserve">20b - 47 </v>
      </c>
      <c r="G577" s="3">
        <v>355.6275764788324</v>
      </c>
      <c r="H577" s="3">
        <v>6879.7060360329115</v>
      </c>
      <c r="I577" s="3">
        <v>7235.3341558804141</v>
      </c>
      <c r="J577" s="3">
        <v>1.2479173626461</v>
      </c>
      <c r="K577" s="3">
        <v>19.622320267968547</v>
      </c>
      <c r="L577" s="3">
        <v>20.870237630614646</v>
      </c>
      <c r="M577" s="3">
        <v>0</v>
      </c>
      <c r="N577" s="3">
        <v>0</v>
      </c>
      <c r="O577" s="3">
        <v>0</v>
      </c>
      <c r="P577" s="3">
        <v>0</v>
      </c>
      <c r="Q577" s="3">
        <v>0</v>
      </c>
      <c r="R577" s="3">
        <v>0</v>
      </c>
      <c r="S577" s="67"/>
      <c r="T577">
        <f>VLOOKUP(A577,'Groupe de branches'!$Z$27:$AM$86,14,FALSE)</f>
        <v>0</v>
      </c>
      <c r="U577">
        <f>VLOOKUP(D577,'Groupe de branches'!$Z$27:$AM$86,14,FALSE)</f>
        <v>0</v>
      </c>
      <c r="V577">
        <v>2017</v>
      </c>
      <c r="W577" t="str">
        <f>VLOOKUP(D577,'Table corresp.'!$M$4:$S$63,7,FALSE)</f>
        <v>Meuble</v>
      </c>
      <c r="X577" s="167">
        <f>IFERROR(G577/SUMIFS('Comp2016-2017 (3)'!$I$5:$I$289,'Comp2016-2017 (3)'!$A$5:$A$289,A577,'Comp2016-2017 (3)'!$R$5:$R$289,V577),0)</f>
        <v>1.9495827172414919E-3</v>
      </c>
      <c r="Y577" s="190">
        <f>IFERROR(IF(RIGHT(F577,3)="Exp",VLOOKUP(F577,#REF!,2,FALSE),VLOOKUP(F577,#REF!,9,FALSE)),1)</f>
        <v>1</v>
      </c>
      <c r="Z577" s="167">
        <f t="shared" si="65"/>
        <v>7.1428571428571425E-2</v>
      </c>
      <c r="AA577" s="189">
        <f t="shared" si="63"/>
        <v>1.3925590837439227E-4</v>
      </c>
      <c r="AB577" s="2">
        <f>IFERROR(SUMIFS('Comp2016-2017 (3)'!$G$5:$G$289,'Comp2016-2017 (3)'!$A$5:$A$289,A577,'Comp2016-2017 (3)'!$R$5:$R$289,V577)*AA577/SUMIFS($AA$4:$AA$1116,$A$4:$A$1116,A577,$V$4:$V$1116,V577),0)</f>
        <v>89.84912757255259</v>
      </c>
      <c r="AC577" s="2" t="str">
        <f>IF($W577=AC$3,$AB577,IF(NOT($W577=0),"",SUMIFS('Val-Vol (2)'!AC$4:AC$1116,'Val-Vol (2)'!$A$4:$A$1116,$D577,'Val-Vol (2)'!$V$4:$V$1116,$V577)/SUMIFS('Comp2016-2017 (3)'!$G$5:$G$289,'Comp2016-2017 (3)'!$A$5:$A$289,$D577,'Comp2016-2017 (3)'!$R$5:$R$289,$V577)*$AB577))</f>
        <v/>
      </c>
      <c r="AD577" s="2" t="str">
        <f>IF($W577=AD$3,$AB577,IF(NOT($W577=0),"",SUMIFS('Val-Vol (2)'!AD$4:AD$1116,'Val-Vol (2)'!$A$4:$A$1116,$D577,'Val-Vol (2)'!$V$4:$V$1116,$V577)/SUMIFS('Comp2016-2017 (3)'!$G$5:$G$289,'Comp2016-2017 (3)'!$A$5:$A$289,$D577,'Comp2016-2017 (3)'!$R$5:$R$289,$V577)*$AB577))</f>
        <v/>
      </c>
      <c r="AE577" s="2">
        <f>IF($W577=AE$3,$AB577,IF(NOT($W577=0),"",SUMIFS('Val-Vol (2)'!AE$4:AE$1116,'Val-Vol (2)'!$A$4:$A$1116,$D577,'Val-Vol (2)'!$V$4:$V$1116,$V577)/SUMIFS('Comp2016-2017 (3)'!$G$5:$G$289,'Comp2016-2017 (3)'!$A$5:$A$289,$D577,'Comp2016-2017 (3)'!$R$5:$R$289,$V577)*$AB577))</f>
        <v>89.84912757255259</v>
      </c>
      <c r="AF577" s="2" t="str">
        <f>IF($W577=AF$3,$AB577,IF(NOT($W577=0),"",SUMIFS('Val-Vol (2)'!AF$4:AF$1116,'Val-Vol (2)'!$A$4:$A$1116,$D577,'Val-Vol (2)'!$V$4:$V$1116,$V577)/SUMIFS('Comp2016-2017 (3)'!$G$5:$G$289,'Comp2016-2017 (3)'!$A$5:$A$289,$D577,'Comp2016-2017 (3)'!$R$5:$R$289,$V577)*$AB577))</f>
        <v/>
      </c>
      <c r="AG577" s="2" t="str">
        <f>IF($W577=AG$3,$AB577,IF(NOT($W577=0),"",SUMIFS('Val-Vol (2)'!AG$4:AG$1116,'Val-Vol (2)'!$A$4:$A$1116,$D577,'Val-Vol (2)'!$V$4:$V$1116,$V577)/SUMIFS('Comp2016-2017 (3)'!$G$5:$G$289,'Comp2016-2017 (3)'!$A$5:$A$289,$D577,'Comp2016-2017 (3)'!$R$5:$R$289,$V577)*$AB577))</f>
        <v/>
      </c>
      <c r="AH577" s="2" t="str">
        <f>IF($W577=AH$3,$AB577,IF(NOT($W577=0),"",SUMIFS('Val-Vol (2)'!AH$4:AH$1116,'Val-Vol (2)'!$A$4:$A$1116,$D577,'Val-Vol (2)'!$V$4:$V$1116,$V577)/SUMIFS('Comp2016-2017 (3)'!$G$5:$G$289,'Comp2016-2017 (3)'!$A$5:$A$289,$D577,'Comp2016-2017 (3)'!$R$5:$R$289,$V577)*$AB577))</f>
        <v/>
      </c>
      <c r="AI577" s="2" t="str">
        <f>IF($W577=AI$3,$AB577,IF(NOT($W577=0),"",SUMIFS('Val-Vol (2)'!AI$4:AI$1116,'Val-Vol (2)'!$A$4:$A$1116,$D577,'Val-Vol (2)'!$V$4:$V$1116,$V577)/SUMIFS('Comp2016-2017 (3)'!$G$5:$G$289,'Comp2016-2017 (3)'!$A$5:$A$289,$D577,'Comp2016-2017 (3)'!$R$5:$R$289,$V577)*$AB577))</f>
        <v/>
      </c>
      <c r="AJ577" s="2" t="str">
        <f>IF($W577=AJ$3,$AB577,IF(NOT($W577=0),"",SUMIFS('Val-Vol (2)'!AJ$4:AJ$1116,'Val-Vol (2)'!$A$4:$A$1116,$D577,'Val-Vol (2)'!$V$4:$V$1116,$V577)/SUMIFS('Comp2016-2017 (3)'!$G$5:$G$289,'Comp2016-2017 (3)'!$A$5:$A$289,$D577,'Comp2016-2017 (3)'!$R$5:$R$289,$V577)*$AB577))</f>
        <v/>
      </c>
      <c r="AK577" s="2">
        <f t="shared" si="66"/>
        <v>0</v>
      </c>
      <c r="AL577" t="str">
        <f t="shared" si="62"/>
        <v/>
      </c>
      <c r="AM577" t="str">
        <f>VLOOKUP(A577,'Table corresp.'!$M$4:$U$63,8,FALSE)</f>
        <v>Production intermédiaire</v>
      </c>
      <c r="AN577" t="str">
        <f>VLOOKUP(D577,'Table corresp.'!$M$4:$U$63,9,FALSE)</f>
        <v>Production finale</v>
      </c>
    </row>
    <row r="578" spans="1:40" x14ac:dyDescent="0.25">
      <c r="A578" t="s">
        <v>14</v>
      </c>
      <c r="B578" t="str">
        <f>VLOOKUP(LEFT(A578,3),'Table corresp.'!$A$4:$D$63,3,FALSE)</f>
        <v>Transformation</v>
      </c>
      <c r="C578" t="str">
        <f>VLOOKUP(A578,'Table corresp.'!$M$4:$P$63,4,FALSE)</f>
        <v>Production et transformation de produits bois</v>
      </c>
      <c r="D578" t="s">
        <v>19</v>
      </c>
      <c r="E578" t="str">
        <f>VLOOKUP(LEFT(D578,3),'Table corresp.'!$A$4:$D$63,4,FALSE)</f>
        <v>Transformation</v>
      </c>
      <c r="F578" t="str">
        <f t="shared" si="61"/>
        <v xml:space="preserve">20b - 52 </v>
      </c>
      <c r="G578" s="3">
        <v>5071.8443128860617</v>
      </c>
      <c r="H578" s="3">
        <v>0</v>
      </c>
      <c r="I578" s="3">
        <v>5071.8444000967993</v>
      </c>
      <c r="J578" s="3">
        <v>16.428359754297297</v>
      </c>
      <c r="K578" s="3">
        <v>0</v>
      </c>
      <c r="L578" s="3">
        <v>16.428359754297297</v>
      </c>
      <c r="M578" s="3">
        <v>0</v>
      </c>
      <c r="N578" s="3">
        <v>0</v>
      </c>
      <c r="O578" s="3">
        <v>0</v>
      </c>
      <c r="P578" s="3">
        <v>0</v>
      </c>
      <c r="Q578" s="3">
        <v>0</v>
      </c>
      <c r="R578" s="3">
        <v>0</v>
      </c>
      <c r="S578" s="67"/>
      <c r="T578">
        <f>VLOOKUP(A578,'Groupe de branches'!$Z$27:$AM$86,14,FALSE)</f>
        <v>0</v>
      </c>
      <c r="U578">
        <f>VLOOKUP(D578,'Groupe de branches'!$Z$27:$AM$86,14,FALSE)</f>
        <v>0</v>
      </c>
      <c r="V578">
        <v>2017</v>
      </c>
      <c r="W578" t="str">
        <f>VLOOKUP(D578,'Table corresp.'!$M$4:$S$63,7,FALSE)</f>
        <v>Construction</v>
      </c>
      <c r="X578" s="167">
        <f>IFERROR(G578/SUMIFS('Comp2016-2017 (3)'!$I$5:$I$289,'Comp2016-2017 (3)'!$A$5:$A$289,A578,'Comp2016-2017 (3)'!$R$5:$R$289,V578),0)</f>
        <v>2.7804311788320407E-2</v>
      </c>
      <c r="Y578" s="190">
        <f>IFERROR(IF(RIGHT(F578,3)="Exp",VLOOKUP(F578,#REF!,2,FALSE),VLOOKUP(F578,#REF!,9,FALSE)),1)</f>
        <v>1</v>
      </c>
      <c r="Z578" s="167">
        <f t="shared" si="65"/>
        <v>7.1428571428571425E-2</v>
      </c>
      <c r="AA578" s="189">
        <f t="shared" si="63"/>
        <v>1.9860222705943148E-3</v>
      </c>
      <c r="AB578" s="2">
        <f>IFERROR(SUMIFS('Comp2016-2017 (3)'!$G$5:$G$289,'Comp2016-2017 (3)'!$A$5:$A$289,A578,'Comp2016-2017 (3)'!$R$5:$R$289,V578)*AA578/SUMIFS($AA$4:$AA$1116,$A$4:$A$1116,A578,$V$4:$V$1116,V578),0)</f>
        <v>1281.3989039001008</v>
      </c>
      <c r="AC578" s="2" t="str">
        <f>IF($W578=AC$3,$AB578,IF(NOT($W578=0),"",SUMIFS('Val-Vol (2)'!AC$4:AC$1116,'Val-Vol (2)'!$A$4:$A$1116,$D578,'Val-Vol (2)'!$V$4:$V$1116,$V578)/SUMIFS('Comp2016-2017 (3)'!$G$5:$G$289,'Comp2016-2017 (3)'!$A$5:$A$289,$D578,'Comp2016-2017 (3)'!$R$5:$R$289,$V578)*$AB578))</f>
        <v/>
      </c>
      <c r="AD578" s="2">
        <f>IF($W578=AD$3,$AB578,IF(NOT($W578=0),"",SUMIFS('Val-Vol (2)'!AD$4:AD$1116,'Val-Vol (2)'!$A$4:$A$1116,$D578,'Val-Vol (2)'!$V$4:$V$1116,$V578)/SUMIFS('Comp2016-2017 (3)'!$G$5:$G$289,'Comp2016-2017 (3)'!$A$5:$A$289,$D578,'Comp2016-2017 (3)'!$R$5:$R$289,$V578)*$AB578))</f>
        <v>1281.3989039001008</v>
      </c>
      <c r="AE578" s="2" t="str">
        <f>IF($W578=AE$3,$AB578,IF(NOT($W578=0),"",SUMIFS('Val-Vol (2)'!AE$4:AE$1116,'Val-Vol (2)'!$A$4:$A$1116,$D578,'Val-Vol (2)'!$V$4:$V$1116,$V578)/SUMIFS('Comp2016-2017 (3)'!$G$5:$G$289,'Comp2016-2017 (3)'!$A$5:$A$289,$D578,'Comp2016-2017 (3)'!$R$5:$R$289,$V578)*$AB578))</f>
        <v/>
      </c>
      <c r="AF578" s="2" t="str">
        <f>IF($W578=AF$3,$AB578,IF(NOT($W578=0),"",SUMIFS('Val-Vol (2)'!AF$4:AF$1116,'Val-Vol (2)'!$A$4:$A$1116,$D578,'Val-Vol (2)'!$V$4:$V$1116,$V578)/SUMIFS('Comp2016-2017 (3)'!$G$5:$G$289,'Comp2016-2017 (3)'!$A$5:$A$289,$D578,'Comp2016-2017 (3)'!$R$5:$R$289,$V578)*$AB578))</f>
        <v/>
      </c>
      <c r="AG578" s="2" t="str">
        <f>IF($W578=AG$3,$AB578,IF(NOT($W578=0),"",SUMIFS('Val-Vol (2)'!AG$4:AG$1116,'Val-Vol (2)'!$A$4:$A$1116,$D578,'Val-Vol (2)'!$V$4:$V$1116,$V578)/SUMIFS('Comp2016-2017 (3)'!$G$5:$G$289,'Comp2016-2017 (3)'!$A$5:$A$289,$D578,'Comp2016-2017 (3)'!$R$5:$R$289,$V578)*$AB578))</f>
        <v/>
      </c>
      <c r="AH578" s="2" t="str">
        <f>IF($W578=AH$3,$AB578,IF(NOT($W578=0),"",SUMIFS('Val-Vol (2)'!AH$4:AH$1116,'Val-Vol (2)'!$A$4:$A$1116,$D578,'Val-Vol (2)'!$V$4:$V$1116,$V578)/SUMIFS('Comp2016-2017 (3)'!$G$5:$G$289,'Comp2016-2017 (3)'!$A$5:$A$289,$D578,'Comp2016-2017 (3)'!$R$5:$R$289,$V578)*$AB578))</f>
        <v/>
      </c>
      <c r="AI578" s="2" t="str">
        <f>IF($W578=AI$3,$AB578,IF(NOT($W578=0),"",SUMIFS('Val-Vol (2)'!AI$4:AI$1116,'Val-Vol (2)'!$A$4:$A$1116,$D578,'Val-Vol (2)'!$V$4:$V$1116,$V578)/SUMIFS('Comp2016-2017 (3)'!$G$5:$G$289,'Comp2016-2017 (3)'!$A$5:$A$289,$D578,'Comp2016-2017 (3)'!$R$5:$R$289,$V578)*$AB578))</f>
        <v/>
      </c>
      <c r="AJ578" s="2" t="str">
        <f>IF($W578=AJ$3,$AB578,IF(NOT($W578=0),"",SUMIFS('Val-Vol (2)'!AJ$4:AJ$1116,'Val-Vol (2)'!$A$4:$A$1116,$D578,'Val-Vol (2)'!$V$4:$V$1116,$V578)/SUMIFS('Comp2016-2017 (3)'!$G$5:$G$289,'Comp2016-2017 (3)'!$A$5:$A$289,$D578,'Comp2016-2017 (3)'!$R$5:$R$289,$V578)*$AB578))</f>
        <v/>
      </c>
      <c r="AK578" s="2">
        <f t="shared" si="66"/>
        <v>0</v>
      </c>
      <c r="AL578" t="str">
        <f t="shared" si="62"/>
        <v/>
      </c>
      <c r="AM578" t="str">
        <f>VLOOKUP(A578,'Table corresp.'!$M$4:$U$63,8,FALSE)</f>
        <v>Production intermédiaire</v>
      </c>
      <c r="AN578" t="str">
        <f>VLOOKUP(D578,'Table corresp.'!$M$4:$U$63,9,FALSE)</f>
        <v xml:space="preserve">Mise en œuvre </v>
      </c>
    </row>
    <row r="579" spans="1:40" x14ac:dyDescent="0.25">
      <c r="A579" t="s">
        <v>14</v>
      </c>
      <c r="B579" t="str">
        <f>VLOOKUP(LEFT(A579,3),'Table corresp.'!$A$4:$D$63,3,FALSE)</f>
        <v>Transformation</v>
      </c>
      <c r="C579" t="str">
        <f>VLOOKUP(A579,'Table corresp.'!$M$4:$P$63,4,FALSE)</f>
        <v>Production et transformation de produits bois</v>
      </c>
      <c r="D579" t="s">
        <v>20</v>
      </c>
      <c r="E579" t="str">
        <f>VLOOKUP(LEFT(D579,3),'Table corresp.'!$A$4:$D$63,4,FALSE)</f>
        <v>Transformation</v>
      </c>
      <c r="F579" t="str">
        <f t="shared" si="61"/>
        <v xml:space="preserve">20b - 53 </v>
      </c>
      <c r="G579" s="3">
        <v>1227.3243509237536</v>
      </c>
      <c r="H579" s="3">
        <v>5063.2114634671798</v>
      </c>
      <c r="I579" s="3">
        <v>6290.5362308938429</v>
      </c>
      <c r="J579" s="3">
        <v>8.6135016990577533</v>
      </c>
      <c r="K579" s="3">
        <v>32.091796558438311</v>
      </c>
      <c r="L579" s="3">
        <v>40.705298257496068</v>
      </c>
      <c r="M579" s="3">
        <v>0</v>
      </c>
      <c r="N579" s="3">
        <v>0</v>
      </c>
      <c r="O579" s="3">
        <v>0</v>
      </c>
      <c r="P579" s="3">
        <v>0</v>
      </c>
      <c r="Q579" s="3">
        <v>0</v>
      </c>
      <c r="R579" s="3">
        <v>0</v>
      </c>
      <c r="S579" s="67"/>
      <c r="T579">
        <f>VLOOKUP(A579,'Groupe de branches'!$Z$27:$AM$86,14,FALSE)</f>
        <v>0</v>
      </c>
      <c r="U579">
        <f>VLOOKUP(D579,'Groupe de branches'!$Z$27:$AM$86,14,FALSE)</f>
        <v>0</v>
      </c>
      <c r="V579">
        <v>2017</v>
      </c>
      <c r="W579" t="str">
        <f>VLOOKUP(D579,'Table corresp.'!$M$4:$S$63,7,FALSE)</f>
        <v>Construction</v>
      </c>
      <c r="X579" s="167">
        <f>IFERROR(G579/SUMIFS('Comp2016-2017 (3)'!$I$5:$I$289,'Comp2016-2017 (3)'!$A$5:$A$289,A579,'Comp2016-2017 (3)'!$R$5:$R$289,V579),0)</f>
        <v>6.7283037122769481E-3</v>
      </c>
      <c r="Y579" s="190">
        <f>IFERROR(IF(RIGHT(F579,3)="Exp",VLOOKUP(F579,#REF!,2,FALSE),VLOOKUP(F579,#REF!,9,FALSE)),1)</f>
        <v>1</v>
      </c>
      <c r="Z579" s="167">
        <f t="shared" si="65"/>
        <v>7.1428571428571425E-2</v>
      </c>
      <c r="AA579" s="189">
        <f t="shared" si="63"/>
        <v>4.8059312230549627E-4</v>
      </c>
      <c r="AB579" s="2">
        <f>IFERROR(SUMIFS('Comp2016-2017 (3)'!$G$5:$G$289,'Comp2016-2017 (3)'!$A$5:$A$289,A579,'Comp2016-2017 (3)'!$R$5:$R$289,V579)*AA579/SUMIFS($AA$4:$AA$1116,$A$4:$A$1116,A579,$V$4:$V$1116,V579),0)</f>
        <v>310.08287734855213</v>
      </c>
      <c r="AC579" s="2" t="str">
        <f>IF($W579=AC$3,$AB579,IF(NOT($W579=0),"",SUMIFS('Val-Vol (2)'!AC$4:AC$1116,'Val-Vol (2)'!$A$4:$A$1116,$D579,'Val-Vol (2)'!$V$4:$V$1116,$V579)/SUMIFS('Comp2016-2017 (3)'!$G$5:$G$289,'Comp2016-2017 (3)'!$A$5:$A$289,$D579,'Comp2016-2017 (3)'!$R$5:$R$289,$V579)*$AB579))</f>
        <v/>
      </c>
      <c r="AD579" s="2">
        <f>IF($W579=AD$3,$AB579,IF(NOT($W579=0),"",SUMIFS('Val-Vol (2)'!AD$4:AD$1116,'Val-Vol (2)'!$A$4:$A$1116,$D579,'Val-Vol (2)'!$V$4:$V$1116,$V579)/SUMIFS('Comp2016-2017 (3)'!$G$5:$G$289,'Comp2016-2017 (3)'!$A$5:$A$289,$D579,'Comp2016-2017 (3)'!$R$5:$R$289,$V579)*$AB579))</f>
        <v>310.08287734855213</v>
      </c>
      <c r="AE579" s="2" t="str">
        <f>IF($W579=AE$3,$AB579,IF(NOT($W579=0),"",SUMIFS('Val-Vol (2)'!AE$4:AE$1116,'Val-Vol (2)'!$A$4:$A$1116,$D579,'Val-Vol (2)'!$V$4:$V$1116,$V579)/SUMIFS('Comp2016-2017 (3)'!$G$5:$G$289,'Comp2016-2017 (3)'!$A$5:$A$289,$D579,'Comp2016-2017 (3)'!$R$5:$R$289,$V579)*$AB579))</f>
        <v/>
      </c>
      <c r="AF579" s="2" t="str">
        <f>IF($W579=AF$3,$AB579,IF(NOT($W579=0),"",SUMIFS('Val-Vol (2)'!AF$4:AF$1116,'Val-Vol (2)'!$A$4:$A$1116,$D579,'Val-Vol (2)'!$V$4:$V$1116,$V579)/SUMIFS('Comp2016-2017 (3)'!$G$5:$G$289,'Comp2016-2017 (3)'!$A$5:$A$289,$D579,'Comp2016-2017 (3)'!$R$5:$R$289,$V579)*$AB579))</f>
        <v/>
      </c>
      <c r="AG579" s="2" t="str">
        <f>IF($W579=AG$3,$AB579,IF(NOT($W579=0),"",SUMIFS('Val-Vol (2)'!AG$4:AG$1116,'Val-Vol (2)'!$A$4:$A$1116,$D579,'Val-Vol (2)'!$V$4:$V$1116,$V579)/SUMIFS('Comp2016-2017 (3)'!$G$5:$G$289,'Comp2016-2017 (3)'!$A$5:$A$289,$D579,'Comp2016-2017 (3)'!$R$5:$R$289,$V579)*$AB579))</f>
        <v/>
      </c>
      <c r="AH579" s="2" t="str">
        <f>IF($W579=AH$3,$AB579,IF(NOT($W579=0),"",SUMIFS('Val-Vol (2)'!AH$4:AH$1116,'Val-Vol (2)'!$A$4:$A$1116,$D579,'Val-Vol (2)'!$V$4:$V$1116,$V579)/SUMIFS('Comp2016-2017 (3)'!$G$5:$G$289,'Comp2016-2017 (3)'!$A$5:$A$289,$D579,'Comp2016-2017 (3)'!$R$5:$R$289,$V579)*$AB579))</f>
        <v/>
      </c>
      <c r="AI579" s="2" t="str">
        <f>IF($W579=AI$3,$AB579,IF(NOT($W579=0),"",SUMIFS('Val-Vol (2)'!AI$4:AI$1116,'Val-Vol (2)'!$A$4:$A$1116,$D579,'Val-Vol (2)'!$V$4:$V$1116,$V579)/SUMIFS('Comp2016-2017 (3)'!$G$5:$G$289,'Comp2016-2017 (3)'!$A$5:$A$289,$D579,'Comp2016-2017 (3)'!$R$5:$R$289,$V579)*$AB579))</f>
        <v/>
      </c>
      <c r="AJ579" s="2" t="str">
        <f>IF($W579=AJ$3,$AB579,IF(NOT($W579=0),"",SUMIFS('Val-Vol (2)'!AJ$4:AJ$1116,'Val-Vol (2)'!$A$4:$A$1116,$D579,'Val-Vol (2)'!$V$4:$V$1116,$V579)/SUMIFS('Comp2016-2017 (3)'!$G$5:$G$289,'Comp2016-2017 (3)'!$A$5:$A$289,$D579,'Comp2016-2017 (3)'!$R$5:$R$289,$V579)*$AB579))</f>
        <v/>
      </c>
      <c r="AK579" s="2">
        <f t="shared" si="66"/>
        <v>0</v>
      </c>
      <c r="AL579" t="str">
        <f t="shared" si="62"/>
        <v/>
      </c>
      <c r="AM579" t="str">
        <f>VLOOKUP(A579,'Table corresp.'!$M$4:$U$63,8,FALSE)</f>
        <v>Production intermédiaire</v>
      </c>
      <c r="AN579" t="str">
        <f>VLOOKUP(D579,'Table corresp.'!$M$4:$U$63,9,FALSE)</f>
        <v xml:space="preserve">Mise en œuvre </v>
      </c>
    </row>
    <row r="580" spans="1:40" x14ac:dyDescent="0.25">
      <c r="A580" t="s">
        <v>14</v>
      </c>
      <c r="B580" t="str">
        <f>VLOOKUP(LEFT(A580,3),'Table corresp.'!$A$4:$D$63,3,FALSE)</f>
        <v>Transformation</v>
      </c>
      <c r="C580" t="str">
        <f>VLOOKUP(A580,'Table corresp.'!$M$4:$P$63,4,FALSE)</f>
        <v>Production et transformation de produits bois</v>
      </c>
      <c r="D580" t="s">
        <v>21</v>
      </c>
      <c r="E580" t="str">
        <f>VLOOKUP(LEFT(D580,3),'Table corresp.'!$A$4:$D$63,4,FALSE)</f>
        <v>Transformation</v>
      </c>
      <c r="F580" t="str">
        <f t="shared" ref="F580:F643" si="67">LEFT(A580,3)&amp;" - "&amp;LEFT(D580,3)</f>
        <v xml:space="preserve">20b - 54 </v>
      </c>
      <c r="G580" s="3">
        <v>22494.847549631948</v>
      </c>
      <c r="H580" s="3">
        <v>7271.8908450391473</v>
      </c>
      <c r="I580" s="3">
        <v>29766.739349351992</v>
      </c>
      <c r="J580" s="3">
        <v>67.659169352408995</v>
      </c>
      <c r="K580" s="3">
        <v>17.777923778517508</v>
      </c>
      <c r="L580" s="3">
        <v>85.437093130926499</v>
      </c>
      <c r="M580" s="3">
        <v>0</v>
      </c>
      <c r="N580" s="3">
        <v>0</v>
      </c>
      <c r="O580" s="3">
        <v>0</v>
      </c>
      <c r="P580" s="3">
        <v>0</v>
      </c>
      <c r="Q580" s="3">
        <v>0</v>
      </c>
      <c r="R580" s="3">
        <v>0</v>
      </c>
      <c r="S580" s="67"/>
      <c r="T580">
        <f>VLOOKUP(A580,'Groupe de branches'!$Z$27:$AM$86,14,FALSE)</f>
        <v>0</v>
      </c>
      <c r="U580">
        <f>VLOOKUP(D580,'Groupe de branches'!$Z$27:$AM$86,14,FALSE)</f>
        <v>0</v>
      </c>
      <c r="V580">
        <v>2017</v>
      </c>
      <c r="W580" t="str">
        <f>VLOOKUP(D580,'Table corresp.'!$M$4:$S$63,7,FALSE)</f>
        <v>Construction</v>
      </c>
      <c r="X580" s="167">
        <f>IFERROR(G580/SUMIFS('Comp2016-2017 (3)'!$I$5:$I$289,'Comp2016-2017 (3)'!$A$5:$A$289,A580,'Comp2016-2017 (3)'!$R$5:$R$289,V580),0)</f>
        <v>0.12331880008848227</v>
      </c>
      <c r="Y580" s="190">
        <f>IFERROR(IF(RIGHT(F580,3)="Exp",VLOOKUP(F580,#REF!,2,FALSE),VLOOKUP(F580,#REF!,9,FALSE)),1)</f>
        <v>1</v>
      </c>
      <c r="Z580" s="167">
        <f t="shared" si="65"/>
        <v>7.1428571428571425E-2</v>
      </c>
      <c r="AA580" s="189">
        <f t="shared" si="63"/>
        <v>8.8084857206058766E-3</v>
      </c>
      <c r="AB580" s="2">
        <f>IFERROR(SUMIFS('Comp2016-2017 (3)'!$G$5:$G$289,'Comp2016-2017 (3)'!$A$5:$A$289,A580,'Comp2016-2017 (3)'!$R$5:$R$289,V580)*AA580/SUMIFS($AA$4:$AA$1116,$A$4:$A$1116,A580,$V$4:$V$1116,V580),0)</f>
        <v>5683.3118714355523</v>
      </c>
      <c r="AC580" s="2" t="str">
        <f>IF($W580=AC$3,$AB580,IF(NOT($W580=0),"",SUMIFS('Val-Vol (2)'!AC$4:AC$1116,'Val-Vol (2)'!$A$4:$A$1116,$D580,'Val-Vol (2)'!$V$4:$V$1116,$V580)/SUMIFS('Comp2016-2017 (3)'!$G$5:$G$289,'Comp2016-2017 (3)'!$A$5:$A$289,$D580,'Comp2016-2017 (3)'!$R$5:$R$289,$V580)*$AB580))</f>
        <v/>
      </c>
      <c r="AD580" s="2">
        <f>IF($W580=AD$3,$AB580,IF(NOT($W580=0),"",SUMIFS('Val-Vol (2)'!AD$4:AD$1116,'Val-Vol (2)'!$A$4:$A$1116,$D580,'Val-Vol (2)'!$V$4:$V$1116,$V580)/SUMIFS('Comp2016-2017 (3)'!$G$5:$G$289,'Comp2016-2017 (3)'!$A$5:$A$289,$D580,'Comp2016-2017 (3)'!$R$5:$R$289,$V580)*$AB580))</f>
        <v>5683.3118714355523</v>
      </c>
      <c r="AE580" s="2" t="str">
        <f>IF($W580=AE$3,$AB580,IF(NOT($W580=0),"",SUMIFS('Val-Vol (2)'!AE$4:AE$1116,'Val-Vol (2)'!$A$4:$A$1116,$D580,'Val-Vol (2)'!$V$4:$V$1116,$V580)/SUMIFS('Comp2016-2017 (3)'!$G$5:$G$289,'Comp2016-2017 (3)'!$A$5:$A$289,$D580,'Comp2016-2017 (3)'!$R$5:$R$289,$V580)*$AB580))</f>
        <v/>
      </c>
      <c r="AF580" s="2" t="str">
        <f>IF($W580=AF$3,$AB580,IF(NOT($W580=0),"",SUMIFS('Val-Vol (2)'!AF$4:AF$1116,'Val-Vol (2)'!$A$4:$A$1116,$D580,'Val-Vol (2)'!$V$4:$V$1116,$V580)/SUMIFS('Comp2016-2017 (3)'!$G$5:$G$289,'Comp2016-2017 (3)'!$A$5:$A$289,$D580,'Comp2016-2017 (3)'!$R$5:$R$289,$V580)*$AB580))</f>
        <v/>
      </c>
      <c r="AG580" s="2" t="str">
        <f>IF($W580=AG$3,$AB580,IF(NOT($W580=0),"",SUMIFS('Val-Vol (2)'!AG$4:AG$1116,'Val-Vol (2)'!$A$4:$A$1116,$D580,'Val-Vol (2)'!$V$4:$V$1116,$V580)/SUMIFS('Comp2016-2017 (3)'!$G$5:$G$289,'Comp2016-2017 (3)'!$A$5:$A$289,$D580,'Comp2016-2017 (3)'!$R$5:$R$289,$V580)*$AB580))</f>
        <v/>
      </c>
      <c r="AH580" s="2" t="str">
        <f>IF($W580=AH$3,$AB580,IF(NOT($W580=0),"",SUMIFS('Val-Vol (2)'!AH$4:AH$1116,'Val-Vol (2)'!$A$4:$A$1116,$D580,'Val-Vol (2)'!$V$4:$V$1116,$V580)/SUMIFS('Comp2016-2017 (3)'!$G$5:$G$289,'Comp2016-2017 (3)'!$A$5:$A$289,$D580,'Comp2016-2017 (3)'!$R$5:$R$289,$V580)*$AB580))</f>
        <v/>
      </c>
      <c r="AI580" s="2" t="str">
        <f>IF($W580=AI$3,$AB580,IF(NOT($W580=0),"",SUMIFS('Val-Vol (2)'!AI$4:AI$1116,'Val-Vol (2)'!$A$4:$A$1116,$D580,'Val-Vol (2)'!$V$4:$V$1116,$V580)/SUMIFS('Comp2016-2017 (3)'!$G$5:$G$289,'Comp2016-2017 (3)'!$A$5:$A$289,$D580,'Comp2016-2017 (3)'!$R$5:$R$289,$V580)*$AB580))</f>
        <v/>
      </c>
      <c r="AJ580" s="2" t="str">
        <f>IF($W580=AJ$3,$AB580,IF(NOT($W580=0),"",SUMIFS('Val-Vol (2)'!AJ$4:AJ$1116,'Val-Vol (2)'!$A$4:$A$1116,$D580,'Val-Vol (2)'!$V$4:$V$1116,$V580)/SUMIFS('Comp2016-2017 (3)'!$G$5:$G$289,'Comp2016-2017 (3)'!$A$5:$A$289,$D580,'Comp2016-2017 (3)'!$R$5:$R$289,$V580)*$AB580))</f>
        <v/>
      </c>
      <c r="AK580" s="2">
        <f t="shared" si="66"/>
        <v>0</v>
      </c>
      <c r="AL580" t="str">
        <f t="shared" ref="AL580:AL643" si="68">IF(A580=D580,"remplir à la main","")</f>
        <v/>
      </c>
      <c r="AM580" t="str">
        <f>VLOOKUP(A580,'Table corresp.'!$M$4:$U$63,8,FALSE)</f>
        <v>Production intermédiaire</v>
      </c>
      <c r="AN580" t="str">
        <f>VLOOKUP(D580,'Table corresp.'!$M$4:$U$63,9,FALSE)</f>
        <v xml:space="preserve">Mise en œuvre </v>
      </c>
    </row>
    <row r="581" spans="1:40" x14ac:dyDescent="0.25">
      <c r="A581" t="s">
        <v>14</v>
      </c>
      <c r="B581" t="str">
        <f>VLOOKUP(LEFT(A581,3),'Table corresp.'!$A$4:$D$63,3,FALSE)</f>
        <v>Transformation</v>
      </c>
      <c r="C581" t="str">
        <f>VLOOKUP(A581,'Table corresp.'!$M$4:$P$63,4,FALSE)</f>
        <v>Production et transformation de produits bois</v>
      </c>
      <c r="D581" t="s">
        <v>22</v>
      </c>
      <c r="E581" t="str">
        <f>VLOOKUP(LEFT(D581,3),'Table corresp.'!$A$4:$D$63,4,FALSE)</f>
        <v>Transformation</v>
      </c>
      <c r="F581" t="str">
        <f t="shared" si="67"/>
        <v xml:space="preserve">20b - 55 </v>
      </c>
      <c r="G581" s="3">
        <v>68.992823143399249</v>
      </c>
      <c r="H581" s="3">
        <v>6831.4591138447886</v>
      </c>
      <c r="I581" s="3">
        <v>6900.4524716604265</v>
      </c>
      <c r="J581" s="3">
        <v>0.32279964619576978</v>
      </c>
      <c r="K581" s="3">
        <v>25.979613649634484</v>
      </c>
      <c r="L581" s="3">
        <v>26.302413295830252</v>
      </c>
      <c r="M581" s="3">
        <v>0</v>
      </c>
      <c r="N581" s="3">
        <v>0</v>
      </c>
      <c r="O581" s="3">
        <v>0</v>
      </c>
      <c r="P581" s="3">
        <v>0</v>
      </c>
      <c r="Q581" s="3">
        <v>0</v>
      </c>
      <c r="R581" s="3">
        <v>0</v>
      </c>
      <c r="S581" s="67"/>
      <c r="T581">
        <f>VLOOKUP(A581,'Groupe de branches'!$Z$27:$AM$86,14,FALSE)</f>
        <v>0</v>
      </c>
      <c r="U581">
        <f>VLOOKUP(D581,'Groupe de branches'!$Z$27:$AM$86,14,FALSE)</f>
        <v>0</v>
      </c>
      <c r="V581">
        <v>2017</v>
      </c>
      <c r="W581" t="str">
        <f>VLOOKUP(D581,'Table corresp.'!$M$4:$S$63,7,FALSE)</f>
        <v>Construction</v>
      </c>
      <c r="X581" s="167">
        <f>IFERROR(G581/SUMIFS('Comp2016-2017 (3)'!$I$5:$I$289,'Comp2016-2017 (3)'!$A$5:$A$289,A581,'Comp2016-2017 (3)'!$R$5:$R$289,V581),0)</f>
        <v>3.7822493110872721E-4</v>
      </c>
      <c r="Y581" s="190">
        <f>IFERROR(IF(RIGHT(F581,3)="Exp",VLOOKUP(F581,#REF!,2,FALSE),VLOOKUP(F581,#REF!,9,FALSE)),1)</f>
        <v>1</v>
      </c>
      <c r="Z581" s="167">
        <f t="shared" si="65"/>
        <v>7.1428571428571425E-2</v>
      </c>
      <c r="AA581" s="189">
        <f t="shared" ref="AA581:AA644" si="69">X581*Z581</f>
        <v>2.7016066507766227E-5</v>
      </c>
      <c r="AB581" s="2">
        <f>IFERROR(SUMIFS('Comp2016-2017 (3)'!$G$5:$G$289,'Comp2016-2017 (3)'!$A$5:$A$289,A581,'Comp2016-2017 (3)'!$R$5:$R$289,V581)*AA581/SUMIFS($AA$4:$AA$1116,$A$4:$A$1116,A581,$V$4:$V$1116,V581),0)</f>
        <v>17.431001919421764</v>
      </c>
      <c r="AC581" s="2" t="str">
        <f>IF($W581=AC$3,$AB581,IF(NOT($W581=0),"",SUMIFS('Val-Vol (2)'!AC$4:AC$1116,'Val-Vol (2)'!$A$4:$A$1116,$D581,'Val-Vol (2)'!$V$4:$V$1116,$V581)/SUMIFS('Comp2016-2017 (3)'!$G$5:$G$289,'Comp2016-2017 (3)'!$A$5:$A$289,$D581,'Comp2016-2017 (3)'!$R$5:$R$289,$V581)*$AB581))</f>
        <v/>
      </c>
      <c r="AD581" s="2">
        <f>IF($W581=AD$3,$AB581,IF(NOT($W581=0),"",SUMIFS('Val-Vol (2)'!AD$4:AD$1116,'Val-Vol (2)'!$A$4:$A$1116,$D581,'Val-Vol (2)'!$V$4:$V$1116,$V581)/SUMIFS('Comp2016-2017 (3)'!$G$5:$G$289,'Comp2016-2017 (3)'!$A$5:$A$289,$D581,'Comp2016-2017 (3)'!$R$5:$R$289,$V581)*$AB581))</f>
        <v>17.431001919421764</v>
      </c>
      <c r="AE581" s="2" t="str">
        <f>IF($W581=AE$3,$AB581,IF(NOT($W581=0),"",SUMIFS('Val-Vol (2)'!AE$4:AE$1116,'Val-Vol (2)'!$A$4:$A$1116,$D581,'Val-Vol (2)'!$V$4:$V$1116,$V581)/SUMIFS('Comp2016-2017 (3)'!$G$5:$G$289,'Comp2016-2017 (3)'!$A$5:$A$289,$D581,'Comp2016-2017 (3)'!$R$5:$R$289,$V581)*$AB581))</f>
        <v/>
      </c>
      <c r="AF581" s="2" t="str">
        <f>IF($W581=AF$3,$AB581,IF(NOT($W581=0),"",SUMIFS('Val-Vol (2)'!AF$4:AF$1116,'Val-Vol (2)'!$A$4:$A$1116,$D581,'Val-Vol (2)'!$V$4:$V$1116,$V581)/SUMIFS('Comp2016-2017 (3)'!$G$5:$G$289,'Comp2016-2017 (3)'!$A$5:$A$289,$D581,'Comp2016-2017 (3)'!$R$5:$R$289,$V581)*$AB581))</f>
        <v/>
      </c>
      <c r="AG581" s="2" t="str">
        <f>IF($W581=AG$3,$AB581,IF(NOT($W581=0),"",SUMIFS('Val-Vol (2)'!AG$4:AG$1116,'Val-Vol (2)'!$A$4:$A$1116,$D581,'Val-Vol (2)'!$V$4:$V$1116,$V581)/SUMIFS('Comp2016-2017 (3)'!$G$5:$G$289,'Comp2016-2017 (3)'!$A$5:$A$289,$D581,'Comp2016-2017 (3)'!$R$5:$R$289,$V581)*$AB581))</f>
        <v/>
      </c>
      <c r="AH581" s="2" t="str">
        <f>IF($W581=AH$3,$AB581,IF(NOT($W581=0),"",SUMIFS('Val-Vol (2)'!AH$4:AH$1116,'Val-Vol (2)'!$A$4:$A$1116,$D581,'Val-Vol (2)'!$V$4:$V$1116,$V581)/SUMIFS('Comp2016-2017 (3)'!$G$5:$G$289,'Comp2016-2017 (3)'!$A$5:$A$289,$D581,'Comp2016-2017 (3)'!$R$5:$R$289,$V581)*$AB581))</f>
        <v/>
      </c>
      <c r="AI581" s="2" t="str">
        <f>IF($W581=AI$3,$AB581,IF(NOT($W581=0),"",SUMIFS('Val-Vol (2)'!AI$4:AI$1116,'Val-Vol (2)'!$A$4:$A$1116,$D581,'Val-Vol (2)'!$V$4:$V$1116,$V581)/SUMIFS('Comp2016-2017 (3)'!$G$5:$G$289,'Comp2016-2017 (3)'!$A$5:$A$289,$D581,'Comp2016-2017 (3)'!$R$5:$R$289,$V581)*$AB581))</f>
        <v/>
      </c>
      <c r="AJ581" s="2" t="str">
        <f>IF($W581=AJ$3,$AB581,IF(NOT($W581=0),"",SUMIFS('Val-Vol (2)'!AJ$4:AJ$1116,'Val-Vol (2)'!$A$4:$A$1116,$D581,'Val-Vol (2)'!$V$4:$V$1116,$V581)/SUMIFS('Comp2016-2017 (3)'!$G$5:$G$289,'Comp2016-2017 (3)'!$A$5:$A$289,$D581,'Comp2016-2017 (3)'!$R$5:$R$289,$V581)*$AB581))</f>
        <v/>
      </c>
      <c r="AK581" s="2">
        <f t="shared" si="66"/>
        <v>0</v>
      </c>
      <c r="AL581" t="str">
        <f t="shared" si="68"/>
        <v/>
      </c>
      <c r="AM581" t="str">
        <f>VLOOKUP(A581,'Table corresp.'!$M$4:$U$63,8,FALSE)</f>
        <v>Production intermédiaire</v>
      </c>
      <c r="AN581" t="str">
        <f>VLOOKUP(D581,'Table corresp.'!$M$4:$U$63,9,FALSE)</f>
        <v xml:space="preserve">Mise en œuvre </v>
      </c>
    </row>
    <row r="582" spans="1:40" x14ac:dyDescent="0.25">
      <c r="A582" t="s">
        <v>14</v>
      </c>
      <c r="B582" t="str">
        <f>VLOOKUP(LEFT(A582,3),'Table corresp.'!$A$4:$D$63,3,FALSE)</f>
        <v>Transformation</v>
      </c>
      <c r="C582" t="str">
        <f>VLOOKUP(A582,'Table corresp.'!$M$4:$P$63,4,FALSE)</f>
        <v>Production et transformation de produits bois</v>
      </c>
      <c r="D582" t="s">
        <v>24</v>
      </c>
      <c r="E582" t="str">
        <f>VLOOKUP(LEFT(D582,3),'Table corresp.'!$A$4:$D$63,4,FALSE)</f>
        <v>Transformation</v>
      </c>
      <c r="F582" t="str">
        <f t="shared" si="67"/>
        <v xml:space="preserve">20b - 57 </v>
      </c>
      <c r="G582" s="3">
        <v>17385.392123473066</v>
      </c>
      <c r="H582" s="3">
        <v>184489.48322924745</v>
      </c>
      <c r="I582" s="3">
        <v>201874.89005891353</v>
      </c>
      <c r="J582" s="3">
        <v>61.006328311505804</v>
      </c>
      <c r="K582" s="3">
        <v>584.6683479135321</v>
      </c>
      <c r="L582" s="3">
        <v>645.67467622503796</v>
      </c>
      <c r="M582" s="3">
        <v>0</v>
      </c>
      <c r="N582" s="3">
        <v>0</v>
      </c>
      <c r="O582" s="3">
        <v>0</v>
      </c>
      <c r="P582" s="3">
        <v>0</v>
      </c>
      <c r="Q582" s="3">
        <v>0</v>
      </c>
      <c r="R582" s="3">
        <v>0</v>
      </c>
      <c r="S582" s="67"/>
      <c r="T582">
        <f>VLOOKUP(A582,'Groupe de branches'!$Z$27:$AM$86,14,FALSE)</f>
        <v>0</v>
      </c>
      <c r="U582">
        <f>VLOOKUP(D582,'Groupe de branches'!$Z$27:$AM$86,14,FALSE)</f>
        <v>0</v>
      </c>
      <c r="V582">
        <v>2017</v>
      </c>
      <c r="W582" t="str">
        <f>VLOOKUP(D582,'Table corresp.'!$M$4:$S$63,7,FALSE)</f>
        <v>Construction</v>
      </c>
      <c r="X582" s="167">
        <f>IFERROR(G582/SUMIFS('Comp2016-2017 (3)'!$I$5:$I$289,'Comp2016-2017 (3)'!$A$5:$A$289,A582,'Comp2016-2017 (3)'!$R$5:$R$289,V582),0)</f>
        <v>9.5308300756611605E-2</v>
      </c>
      <c r="Y582" s="190">
        <f>IFERROR(IF(RIGHT(F582,3)="Exp",VLOOKUP(F582,#REF!,2,FALSE),VLOOKUP(F582,#REF!,9,FALSE)),1)</f>
        <v>1</v>
      </c>
      <c r="Z582" s="167">
        <f t="shared" si="65"/>
        <v>7.1428571428571425E-2</v>
      </c>
      <c r="AA582" s="189">
        <f t="shared" si="69"/>
        <v>6.8077357683293998E-3</v>
      </c>
      <c r="AB582" s="2">
        <f>IFERROR(SUMIFS('Comp2016-2017 (3)'!$G$5:$G$289,'Comp2016-2017 (3)'!$A$5:$A$289,A582,'Comp2016-2017 (3)'!$R$5:$R$289,V582)*AA582/SUMIFS($AA$4:$AA$1116,$A$4:$A$1116,A582,$V$4:$V$1116,V582),0)</f>
        <v>4392.4105387641648</v>
      </c>
      <c r="AC582" s="2" t="str">
        <f>IF($W582=AC$3,$AB582,IF(NOT($W582=0),"",SUMIFS('Val-Vol (2)'!AC$4:AC$1116,'Val-Vol (2)'!$A$4:$A$1116,$D582,'Val-Vol (2)'!$V$4:$V$1116,$V582)/SUMIFS('Comp2016-2017 (3)'!$G$5:$G$289,'Comp2016-2017 (3)'!$A$5:$A$289,$D582,'Comp2016-2017 (3)'!$R$5:$R$289,$V582)*$AB582))</f>
        <v/>
      </c>
      <c r="AD582" s="2">
        <f>IF($W582=AD$3,$AB582,IF(NOT($W582=0),"",SUMIFS('Val-Vol (2)'!AD$4:AD$1116,'Val-Vol (2)'!$A$4:$A$1116,$D582,'Val-Vol (2)'!$V$4:$V$1116,$V582)/SUMIFS('Comp2016-2017 (3)'!$G$5:$G$289,'Comp2016-2017 (3)'!$A$5:$A$289,$D582,'Comp2016-2017 (3)'!$R$5:$R$289,$V582)*$AB582))</f>
        <v>4392.4105387641648</v>
      </c>
      <c r="AE582" s="2" t="str">
        <f>IF($W582=AE$3,$AB582,IF(NOT($W582=0),"",SUMIFS('Val-Vol (2)'!AE$4:AE$1116,'Val-Vol (2)'!$A$4:$A$1116,$D582,'Val-Vol (2)'!$V$4:$V$1116,$V582)/SUMIFS('Comp2016-2017 (3)'!$G$5:$G$289,'Comp2016-2017 (3)'!$A$5:$A$289,$D582,'Comp2016-2017 (3)'!$R$5:$R$289,$V582)*$AB582))</f>
        <v/>
      </c>
      <c r="AF582" s="2" t="str">
        <f>IF($W582=AF$3,$AB582,IF(NOT($W582=0),"",SUMIFS('Val-Vol (2)'!AF$4:AF$1116,'Val-Vol (2)'!$A$4:$A$1116,$D582,'Val-Vol (2)'!$V$4:$V$1116,$V582)/SUMIFS('Comp2016-2017 (3)'!$G$5:$G$289,'Comp2016-2017 (3)'!$A$5:$A$289,$D582,'Comp2016-2017 (3)'!$R$5:$R$289,$V582)*$AB582))</f>
        <v/>
      </c>
      <c r="AG582" s="2" t="str">
        <f>IF($W582=AG$3,$AB582,IF(NOT($W582=0),"",SUMIFS('Val-Vol (2)'!AG$4:AG$1116,'Val-Vol (2)'!$A$4:$A$1116,$D582,'Val-Vol (2)'!$V$4:$V$1116,$V582)/SUMIFS('Comp2016-2017 (3)'!$G$5:$G$289,'Comp2016-2017 (3)'!$A$5:$A$289,$D582,'Comp2016-2017 (3)'!$R$5:$R$289,$V582)*$AB582))</f>
        <v/>
      </c>
      <c r="AH582" s="2" t="str">
        <f>IF($W582=AH$3,$AB582,IF(NOT($W582=0),"",SUMIFS('Val-Vol (2)'!AH$4:AH$1116,'Val-Vol (2)'!$A$4:$A$1116,$D582,'Val-Vol (2)'!$V$4:$V$1116,$V582)/SUMIFS('Comp2016-2017 (3)'!$G$5:$G$289,'Comp2016-2017 (3)'!$A$5:$A$289,$D582,'Comp2016-2017 (3)'!$R$5:$R$289,$V582)*$AB582))</f>
        <v/>
      </c>
      <c r="AI582" s="2" t="str">
        <f>IF($W582=AI$3,$AB582,IF(NOT($W582=0),"",SUMIFS('Val-Vol (2)'!AI$4:AI$1116,'Val-Vol (2)'!$A$4:$A$1116,$D582,'Val-Vol (2)'!$V$4:$V$1116,$V582)/SUMIFS('Comp2016-2017 (3)'!$G$5:$G$289,'Comp2016-2017 (3)'!$A$5:$A$289,$D582,'Comp2016-2017 (3)'!$R$5:$R$289,$V582)*$AB582))</f>
        <v/>
      </c>
      <c r="AJ582" s="2" t="str">
        <f>IF($W582=AJ$3,$AB582,IF(NOT($W582=0),"",SUMIFS('Val-Vol (2)'!AJ$4:AJ$1116,'Val-Vol (2)'!$A$4:$A$1116,$D582,'Val-Vol (2)'!$V$4:$V$1116,$V582)/SUMIFS('Comp2016-2017 (3)'!$G$5:$G$289,'Comp2016-2017 (3)'!$A$5:$A$289,$D582,'Comp2016-2017 (3)'!$R$5:$R$289,$V582)*$AB582))</f>
        <v/>
      </c>
      <c r="AK582" s="2">
        <f t="shared" si="66"/>
        <v>0</v>
      </c>
      <c r="AL582" t="str">
        <f t="shared" si="68"/>
        <v/>
      </c>
      <c r="AM582" t="str">
        <f>VLOOKUP(A582,'Table corresp.'!$M$4:$U$63,8,FALSE)</f>
        <v>Production intermédiaire</v>
      </c>
      <c r="AN582" t="str">
        <f>VLOOKUP(D582,'Table corresp.'!$M$4:$U$63,9,FALSE)</f>
        <v xml:space="preserve">Mise en œuvre </v>
      </c>
    </row>
    <row r="583" spans="1:40" x14ac:dyDescent="0.25">
      <c r="A583" t="s">
        <v>14</v>
      </c>
      <c r="B583" t="str">
        <f>VLOOKUP(LEFT(A583,3),'Table corresp.'!$A$4:$D$63,3,FALSE)</f>
        <v>Transformation</v>
      </c>
      <c r="C583" t="str">
        <f>VLOOKUP(A583,'Table corresp.'!$M$4:$P$63,4,FALSE)</f>
        <v>Production et transformation de produits bois</v>
      </c>
      <c r="D583" t="s">
        <v>26</v>
      </c>
      <c r="E583" t="str">
        <f>VLOOKUP(LEFT(D583,3),'Table corresp.'!$A$4:$D$63,4,FALSE)</f>
        <v>Transformation</v>
      </c>
      <c r="F583" t="str">
        <f t="shared" si="67"/>
        <v xml:space="preserve">20b - 59 </v>
      </c>
      <c r="G583" s="3">
        <v>5460.7818759475194</v>
      </c>
      <c r="H583" s="3">
        <v>0</v>
      </c>
      <c r="I583" s="3">
        <v>5460.7819698460671</v>
      </c>
      <c r="J583" s="3">
        <v>22.994632477350649</v>
      </c>
      <c r="K583" s="3">
        <v>0</v>
      </c>
      <c r="L583" s="3">
        <v>22.994632477350649</v>
      </c>
      <c r="M583" s="3">
        <v>0</v>
      </c>
      <c r="N583" s="3">
        <v>0</v>
      </c>
      <c r="O583" s="3">
        <v>0</v>
      </c>
      <c r="P583" s="3">
        <v>0</v>
      </c>
      <c r="Q583" s="3">
        <v>0</v>
      </c>
      <c r="R583" s="3">
        <v>0</v>
      </c>
      <c r="S583" s="67"/>
      <c r="T583">
        <f>VLOOKUP(A583,'Groupe de branches'!$Z$27:$AM$86,14,FALSE)</f>
        <v>0</v>
      </c>
      <c r="U583">
        <f>VLOOKUP(D583,'Groupe de branches'!$Z$27:$AM$86,14,FALSE)</f>
        <v>0</v>
      </c>
      <c r="V583">
        <v>2017</v>
      </c>
      <c r="W583" t="str">
        <f>VLOOKUP(D583,'Table corresp.'!$M$4:$S$63,7,FALSE)</f>
        <v>Construction</v>
      </c>
      <c r="X583" s="167">
        <f>IFERROR(G583/SUMIFS('Comp2016-2017 (3)'!$I$5:$I$289,'Comp2016-2017 (3)'!$A$5:$A$289,A583,'Comp2016-2017 (3)'!$R$5:$R$289,V583),0)</f>
        <v>2.9936502881425287E-2</v>
      </c>
      <c r="Y583" s="190">
        <f>IFERROR(IF(RIGHT(F583,3)="Exp",VLOOKUP(F583,#REF!,2,FALSE),VLOOKUP(F583,#REF!,9,FALSE)),1)</f>
        <v>1</v>
      </c>
      <c r="Z583" s="167">
        <f t="shared" si="65"/>
        <v>7.1428571428571425E-2</v>
      </c>
      <c r="AA583" s="189">
        <f t="shared" si="69"/>
        <v>2.1383216343875203E-3</v>
      </c>
      <c r="AB583" s="2">
        <f>IFERROR(SUMIFS('Comp2016-2017 (3)'!$G$5:$G$289,'Comp2016-2017 (3)'!$A$5:$A$289,A583,'Comp2016-2017 (3)'!$R$5:$R$289,V583)*AA583/SUMIFS($AA$4:$AA$1116,$A$4:$A$1116,A583,$V$4:$V$1116,V583),0)</f>
        <v>1379.6637827581289</v>
      </c>
      <c r="AC583" s="2" t="str">
        <f>IF($W583=AC$3,$AB583,IF(NOT($W583=0),"",SUMIFS('Val-Vol (2)'!AC$4:AC$1116,'Val-Vol (2)'!$A$4:$A$1116,$D583,'Val-Vol (2)'!$V$4:$V$1116,$V583)/SUMIFS('Comp2016-2017 (3)'!$G$5:$G$289,'Comp2016-2017 (3)'!$A$5:$A$289,$D583,'Comp2016-2017 (3)'!$R$5:$R$289,$V583)*$AB583))</f>
        <v/>
      </c>
      <c r="AD583" s="2">
        <f>IF($W583=AD$3,$AB583,IF(NOT($W583=0),"",SUMIFS('Val-Vol (2)'!AD$4:AD$1116,'Val-Vol (2)'!$A$4:$A$1116,$D583,'Val-Vol (2)'!$V$4:$V$1116,$V583)/SUMIFS('Comp2016-2017 (3)'!$G$5:$G$289,'Comp2016-2017 (3)'!$A$5:$A$289,$D583,'Comp2016-2017 (3)'!$R$5:$R$289,$V583)*$AB583))</f>
        <v>1379.6637827581289</v>
      </c>
      <c r="AE583" s="2" t="str">
        <f>IF($W583=AE$3,$AB583,IF(NOT($W583=0),"",SUMIFS('Val-Vol (2)'!AE$4:AE$1116,'Val-Vol (2)'!$A$4:$A$1116,$D583,'Val-Vol (2)'!$V$4:$V$1116,$V583)/SUMIFS('Comp2016-2017 (3)'!$G$5:$G$289,'Comp2016-2017 (3)'!$A$5:$A$289,$D583,'Comp2016-2017 (3)'!$R$5:$R$289,$V583)*$AB583))</f>
        <v/>
      </c>
      <c r="AF583" s="2" t="str">
        <f>IF($W583=AF$3,$AB583,IF(NOT($W583=0),"",SUMIFS('Val-Vol (2)'!AF$4:AF$1116,'Val-Vol (2)'!$A$4:$A$1116,$D583,'Val-Vol (2)'!$V$4:$V$1116,$V583)/SUMIFS('Comp2016-2017 (3)'!$G$5:$G$289,'Comp2016-2017 (3)'!$A$5:$A$289,$D583,'Comp2016-2017 (3)'!$R$5:$R$289,$V583)*$AB583))</f>
        <v/>
      </c>
      <c r="AG583" s="2" t="str">
        <f>IF($W583=AG$3,$AB583,IF(NOT($W583=0),"",SUMIFS('Val-Vol (2)'!AG$4:AG$1116,'Val-Vol (2)'!$A$4:$A$1116,$D583,'Val-Vol (2)'!$V$4:$V$1116,$V583)/SUMIFS('Comp2016-2017 (3)'!$G$5:$G$289,'Comp2016-2017 (3)'!$A$5:$A$289,$D583,'Comp2016-2017 (3)'!$R$5:$R$289,$V583)*$AB583))</f>
        <v/>
      </c>
      <c r="AH583" s="2" t="str">
        <f>IF($W583=AH$3,$AB583,IF(NOT($W583=0),"",SUMIFS('Val-Vol (2)'!AH$4:AH$1116,'Val-Vol (2)'!$A$4:$A$1116,$D583,'Val-Vol (2)'!$V$4:$V$1116,$V583)/SUMIFS('Comp2016-2017 (3)'!$G$5:$G$289,'Comp2016-2017 (3)'!$A$5:$A$289,$D583,'Comp2016-2017 (3)'!$R$5:$R$289,$V583)*$AB583))</f>
        <v/>
      </c>
      <c r="AI583" s="2" t="str">
        <f>IF($W583=AI$3,$AB583,IF(NOT($W583=0),"",SUMIFS('Val-Vol (2)'!AI$4:AI$1116,'Val-Vol (2)'!$A$4:$A$1116,$D583,'Val-Vol (2)'!$V$4:$V$1116,$V583)/SUMIFS('Comp2016-2017 (3)'!$G$5:$G$289,'Comp2016-2017 (3)'!$A$5:$A$289,$D583,'Comp2016-2017 (3)'!$R$5:$R$289,$V583)*$AB583))</f>
        <v/>
      </c>
      <c r="AJ583" s="2" t="str">
        <f>IF($W583=AJ$3,$AB583,IF(NOT($W583=0),"",SUMIFS('Val-Vol (2)'!AJ$4:AJ$1116,'Val-Vol (2)'!$A$4:$A$1116,$D583,'Val-Vol (2)'!$V$4:$V$1116,$V583)/SUMIFS('Comp2016-2017 (3)'!$G$5:$G$289,'Comp2016-2017 (3)'!$A$5:$A$289,$D583,'Comp2016-2017 (3)'!$R$5:$R$289,$V583)*$AB583))</f>
        <v/>
      </c>
      <c r="AK583" s="2">
        <f t="shared" si="66"/>
        <v>0</v>
      </c>
      <c r="AL583" t="str">
        <f t="shared" si="68"/>
        <v/>
      </c>
      <c r="AM583" t="str">
        <f>VLOOKUP(A583,'Table corresp.'!$M$4:$U$63,8,FALSE)</f>
        <v>Production intermédiaire</v>
      </c>
      <c r="AN583" t="str">
        <f>VLOOKUP(D583,'Table corresp.'!$M$4:$U$63,9,FALSE)</f>
        <v xml:space="preserve">Mise en œuvre </v>
      </c>
    </row>
    <row r="584" spans="1:40" x14ac:dyDescent="0.25">
      <c r="A584" t="s">
        <v>14</v>
      </c>
      <c r="B584" t="str">
        <f>VLOOKUP(LEFT(A584,3),'Table corresp.'!$A$4:$D$63,3,FALSE)</f>
        <v>Transformation</v>
      </c>
      <c r="C584" t="str">
        <f>VLOOKUP(A584,'Table corresp.'!$M$4:$P$63,4,FALSE)</f>
        <v>Production et transformation de produits bois</v>
      </c>
      <c r="D584" t="s">
        <v>54</v>
      </c>
      <c r="E584" t="str">
        <f>VLOOKUP(LEFT(D584,3),'Table corresp.'!$A$4:$D$63,4,FALSE)</f>
        <v>Consommation finale</v>
      </c>
      <c r="F584" t="str">
        <f t="shared" si="67"/>
        <v>20b - Con</v>
      </c>
      <c r="G584" s="3">
        <v>0</v>
      </c>
      <c r="H584" s="3">
        <v>79867.602432475556</v>
      </c>
      <c r="I584" s="3">
        <v>79867.608669538429</v>
      </c>
      <c r="J584" s="3">
        <v>0</v>
      </c>
      <c r="K584" s="3">
        <v>390.51195312870408</v>
      </c>
      <c r="L584" s="3">
        <v>390.51195312870408</v>
      </c>
      <c r="M584" s="3">
        <v>0</v>
      </c>
      <c r="N584" s="3">
        <v>0</v>
      </c>
      <c r="O584" s="3">
        <v>0</v>
      </c>
      <c r="P584" s="3">
        <v>0</v>
      </c>
      <c r="Q584" s="3">
        <v>0</v>
      </c>
      <c r="R584" s="3">
        <v>0</v>
      </c>
      <c r="S584" s="67"/>
      <c r="T584">
        <f>VLOOKUP(A584,'Groupe de branches'!$Z$27:$AM$86,14,FALSE)</f>
        <v>0</v>
      </c>
      <c r="U584">
        <f>VLOOKUP(D584,'Groupe de branches'!$Z$27:$AM$86,14,FALSE)</f>
        <v>0</v>
      </c>
      <c r="V584">
        <v>2017</v>
      </c>
      <c r="W584" t="str">
        <f>VLOOKUP(D584,'Table corresp.'!$M$4:$S$63,7,FALSE)</f>
        <v>Consommation finale</v>
      </c>
      <c r="X584" s="167">
        <f>IFERROR(G584/SUMIFS('Comp2016-2017 (3)'!$I$5:$I$289,'Comp2016-2017 (3)'!$A$5:$A$289,A584,'Comp2016-2017 (3)'!$R$5:$R$289,V584),0)</f>
        <v>0</v>
      </c>
      <c r="Y584" s="190">
        <f>IFERROR(IF(RIGHT(F584,3)="Exp",VLOOKUP(F584,#REF!,2,FALSE),VLOOKUP(F584,#REF!,9,FALSE)),1)</f>
        <v>1</v>
      </c>
      <c r="Z584" s="167">
        <f t="shared" si="65"/>
        <v>7.1428571428571425E-2</v>
      </c>
      <c r="AA584" s="189">
        <f t="shared" si="69"/>
        <v>0</v>
      </c>
      <c r="AB584" s="2">
        <f>IFERROR(SUMIFS('Comp2016-2017 (3)'!$G$5:$G$289,'Comp2016-2017 (3)'!$A$5:$A$289,A584,'Comp2016-2017 (3)'!$R$5:$R$289,V584)*AA584/SUMIFS($AA$4:$AA$1116,$A$4:$A$1116,A584,$V$4:$V$1116,V584),0)</f>
        <v>0</v>
      </c>
      <c r="AC584" s="2" t="str">
        <f>IF($W584=AC$3,$AB584,IF(NOT($W584=0),"",SUMIFS('Val-Vol (2)'!AC$4:AC$1116,'Val-Vol (2)'!$A$4:$A$1116,$D584,'Val-Vol (2)'!$V$4:$V$1116,$V584)/SUMIFS('Comp2016-2017 (3)'!$G$5:$G$289,'Comp2016-2017 (3)'!$A$5:$A$289,$D584,'Comp2016-2017 (3)'!$R$5:$R$289,$V584)*$AB584))</f>
        <v/>
      </c>
      <c r="AD584" s="2" t="str">
        <f>IF($W584=AD$3,$AB584,IF(NOT($W584=0),"",SUMIFS('Val-Vol (2)'!AD$4:AD$1116,'Val-Vol (2)'!$A$4:$A$1116,$D584,'Val-Vol (2)'!$V$4:$V$1116,$V584)/SUMIFS('Comp2016-2017 (3)'!$G$5:$G$289,'Comp2016-2017 (3)'!$A$5:$A$289,$D584,'Comp2016-2017 (3)'!$R$5:$R$289,$V584)*$AB584))</f>
        <v/>
      </c>
      <c r="AE584" s="2" t="str">
        <f>IF($W584=AE$3,$AB584,IF(NOT($W584=0),"",SUMIFS('Val-Vol (2)'!AE$4:AE$1116,'Val-Vol (2)'!$A$4:$A$1116,$D584,'Val-Vol (2)'!$V$4:$V$1116,$V584)/SUMIFS('Comp2016-2017 (3)'!$G$5:$G$289,'Comp2016-2017 (3)'!$A$5:$A$289,$D584,'Comp2016-2017 (3)'!$R$5:$R$289,$V584)*$AB584))</f>
        <v/>
      </c>
      <c r="AF584" s="2" t="str">
        <f>IF($W584=AF$3,$AB584,IF(NOT($W584=0),"",SUMIFS('Val-Vol (2)'!AF$4:AF$1116,'Val-Vol (2)'!$A$4:$A$1116,$D584,'Val-Vol (2)'!$V$4:$V$1116,$V584)/SUMIFS('Comp2016-2017 (3)'!$G$5:$G$289,'Comp2016-2017 (3)'!$A$5:$A$289,$D584,'Comp2016-2017 (3)'!$R$5:$R$289,$V584)*$AB584))</f>
        <v/>
      </c>
      <c r="AG584" s="2" t="str">
        <f>IF($W584=AG$3,$AB584,IF(NOT($W584=0),"",SUMIFS('Val-Vol (2)'!AG$4:AG$1116,'Val-Vol (2)'!$A$4:$A$1116,$D584,'Val-Vol (2)'!$V$4:$V$1116,$V584)/SUMIFS('Comp2016-2017 (3)'!$G$5:$G$289,'Comp2016-2017 (3)'!$A$5:$A$289,$D584,'Comp2016-2017 (3)'!$R$5:$R$289,$V584)*$AB584))</f>
        <v/>
      </c>
      <c r="AH584" s="2" t="str">
        <f>IF($W584=AH$3,$AB584,IF(NOT($W584=0),"",SUMIFS('Val-Vol (2)'!AH$4:AH$1116,'Val-Vol (2)'!$A$4:$A$1116,$D584,'Val-Vol (2)'!$V$4:$V$1116,$V584)/SUMIFS('Comp2016-2017 (3)'!$G$5:$G$289,'Comp2016-2017 (3)'!$A$5:$A$289,$D584,'Comp2016-2017 (3)'!$R$5:$R$289,$V584)*$AB584))</f>
        <v/>
      </c>
      <c r="AI584" s="2" t="str">
        <f>IF($W584=AI$3,$AB584,IF(NOT($W584=0),"",SUMIFS('Val-Vol (2)'!AI$4:AI$1116,'Val-Vol (2)'!$A$4:$A$1116,$D584,'Val-Vol (2)'!$V$4:$V$1116,$V584)/SUMIFS('Comp2016-2017 (3)'!$G$5:$G$289,'Comp2016-2017 (3)'!$A$5:$A$289,$D584,'Comp2016-2017 (3)'!$R$5:$R$289,$V584)*$AB584))</f>
        <v/>
      </c>
      <c r="AJ584" s="2">
        <f>IF($W584=AJ$3,$AB584,IF(NOT($W584=0),"",SUMIFS('Val-Vol (2)'!AJ$4:AJ$1116,'Val-Vol (2)'!$A$4:$A$1116,$D584,'Val-Vol (2)'!$V$4:$V$1116,$V584)/SUMIFS('Comp2016-2017 (3)'!$G$5:$G$289,'Comp2016-2017 (3)'!$A$5:$A$289,$D584,'Comp2016-2017 (3)'!$R$5:$R$289,$V584)*$AB584))</f>
        <v>0</v>
      </c>
      <c r="AK584" s="2">
        <f t="shared" si="66"/>
        <v>0</v>
      </c>
      <c r="AL584" t="str">
        <f t="shared" si="68"/>
        <v/>
      </c>
      <c r="AM584" t="str">
        <f>VLOOKUP(A584,'Table corresp.'!$M$4:$U$63,8,FALSE)</f>
        <v>Production intermédiaire</v>
      </c>
      <c r="AN584" t="str">
        <f>VLOOKUP(D584,'Table corresp.'!$M$4:$U$63,9,FALSE)</f>
        <v>Consommation finale française</v>
      </c>
    </row>
    <row r="585" spans="1:40" x14ac:dyDescent="0.25">
      <c r="A585" t="s">
        <v>14</v>
      </c>
      <c r="B585" t="str">
        <f>VLOOKUP(LEFT(A585,3),'Table corresp.'!$A$4:$D$63,3,FALSE)</f>
        <v>Transformation</v>
      </c>
      <c r="C585" t="str">
        <f>VLOOKUP(A585,'Table corresp.'!$M$4:$P$63,4,FALSE)</f>
        <v>Production et transformation de produits bois</v>
      </c>
      <c r="D585" t="s">
        <v>53</v>
      </c>
      <c r="E585" t="str">
        <f>VLOOKUP(LEFT(D585,3),'Table corresp.'!$A$4:$D$63,4,FALSE)</f>
        <v>Exportation</v>
      </c>
      <c r="F585" t="str">
        <f t="shared" si="67"/>
        <v>20b - Exp</v>
      </c>
      <c r="G585" s="3">
        <v>54968.848321687758</v>
      </c>
      <c r="H585" s="3">
        <v>0</v>
      </c>
      <c r="I585" s="3">
        <v>54968.84926688116</v>
      </c>
      <c r="J585" s="3">
        <v>177.56569026078768</v>
      </c>
      <c r="K585" s="3">
        <v>0</v>
      </c>
      <c r="L585" s="3">
        <v>177.56569026078768</v>
      </c>
      <c r="M585" s="3">
        <v>0</v>
      </c>
      <c r="N585" s="3">
        <v>0</v>
      </c>
      <c r="O585" s="3">
        <v>0</v>
      </c>
      <c r="P585" s="3">
        <v>0</v>
      </c>
      <c r="Q585" s="3">
        <v>0</v>
      </c>
      <c r="R585" s="3">
        <v>0</v>
      </c>
      <c r="S585" s="67"/>
      <c r="T585">
        <f>VLOOKUP(A585,'Groupe de branches'!$Z$27:$AM$86,14,FALSE)</f>
        <v>0</v>
      </c>
      <c r="U585">
        <f>VLOOKUP(D585,'Groupe de branches'!$Z$27:$AM$86,14,FALSE)</f>
        <v>0</v>
      </c>
      <c r="V585">
        <v>2017</v>
      </c>
      <c r="W585" t="str">
        <f>VLOOKUP(D585,'Table corresp.'!$M$4:$S$63,7,FALSE)</f>
        <v>Exportation</v>
      </c>
      <c r="X585" s="167">
        <f>IFERROR(G585/SUMIFS('Comp2016-2017 (3)'!$I$5:$I$289,'Comp2016-2017 (3)'!$A$5:$A$289,A585,'Comp2016-2017 (3)'!$R$5:$R$289,V585),0)</f>
        <v>0.30134422570857688</v>
      </c>
      <c r="Y585" s="190">
        <f>IFERROR(IF(RIGHT(F585,3)="Exp",VLOOKUP(F585,#REF!,2,FALSE),VLOOKUP(F585,#REF!,9,FALSE)),1)</f>
        <v>1</v>
      </c>
      <c r="Z585" s="167">
        <f t="shared" si="65"/>
        <v>7.1428571428571425E-2</v>
      </c>
      <c r="AA585" s="189">
        <f t="shared" si="69"/>
        <v>2.1524587550612633E-2</v>
      </c>
      <c r="AB585" s="2">
        <f>IFERROR(SUMIFS('Comp2016-2017 (3)'!$G$5:$G$289,'Comp2016-2017 (3)'!$A$5:$A$289,A585,'Comp2016-2017 (3)'!$R$5:$R$289,V585)*AA585/SUMIFS($AA$4:$AA$1116,$A$4:$A$1116,A585,$V$4:$V$1116,V585),0)</f>
        <v>13887.851764120967</v>
      </c>
      <c r="AC585" s="2">
        <f>IF($W585=AC$3,$AB585,IF(NOT($W585=0),"",SUMIFS('Val-Vol (2)'!AC$4:AC$1116,'Val-Vol (2)'!$A$4:$A$1116,$D585,'Val-Vol (2)'!$V$4:$V$1116,$V585)/SUMIFS('Comp2016-2017 (3)'!$G$5:$G$289,'Comp2016-2017 (3)'!$A$5:$A$289,$D585,'Comp2016-2017 (3)'!$R$5:$R$289,$V585)*$AB585))</f>
        <v>13887.851764120967</v>
      </c>
      <c r="AD585" s="2" t="str">
        <f>IF($W585=AD$3,$AB585,IF(NOT($W585=0),"",SUMIFS('Val-Vol (2)'!AD$4:AD$1116,'Val-Vol (2)'!$A$4:$A$1116,$D585,'Val-Vol (2)'!$V$4:$V$1116,$V585)/SUMIFS('Comp2016-2017 (3)'!$G$5:$G$289,'Comp2016-2017 (3)'!$A$5:$A$289,$D585,'Comp2016-2017 (3)'!$R$5:$R$289,$V585)*$AB585))</f>
        <v/>
      </c>
      <c r="AE585" s="2" t="str">
        <f>IF($W585=AE$3,$AB585,IF(NOT($W585=0),"",SUMIFS('Val-Vol (2)'!AE$4:AE$1116,'Val-Vol (2)'!$A$4:$A$1116,$D585,'Val-Vol (2)'!$V$4:$V$1116,$V585)/SUMIFS('Comp2016-2017 (3)'!$G$5:$G$289,'Comp2016-2017 (3)'!$A$5:$A$289,$D585,'Comp2016-2017 (3)'!$R$5:$R$289,$V585)*$AB585))</f>
        <v/>
      </c>
      <c r="AF585" s="2" t="str">
        <f>IF($W585=AF$3,$AB585,IF(NOT($W585=0),"",SUMIFS('Val-Vol (2)'!AF$4:AF$1116,'Val-Vol (2)'!$A$4:$A$1116,$D585,'Val-Vol (2)'!$V$4:$V$1116,$V585)/SUMIFS('Comp2016-2017 (3)'!$G$5:$G$289,'Comp2016-2017 (3)'!$A$5:$A$289,$D585,'Comp2016-2017 (3)'!$R$5:$R$289,$V585)*$AB585))</f>
        <v/>
      </c>
      <c r="AG585" s="2" t="str">
        <f>IF($W585=AG$3,$AB585,IF(NOT($W585=0),"",SUMIFS('Val-Vol (2)'!AG$4:AG$1116,'Val-Vol (2)'!$A$4:$A$1116,$D585,'Val-Vol (2)'!$V$4:$V$1116,$V585)/SUMIFS('Comp2016-2017 (3)'!$G$5:$G$289,'Comp2016-2017 (3)'!$A$5:$A$289,$D585,'Comp2016-2017 (3)'!$R$5:$R$289,$V585)*$AB585))</f>
        <v/>
      </c>
      <c r="AH585" s="2" t="str">
        <f>IF($W585=AH$3,$AB585,IF(NOT($W585=0),"",SUMIFS('Val-Vol (2)'!AH$4:AH$1116,'Val-Vol (2)'!$A$4:$A$1116,$D585,'Val-Vol (2)'!$V$4:$V$1116,$V585)/SUMIFS('Comp2016-2017 (3)'!$G$5:$G$289,'Comp2016-2017 (3)'!$A$5:$A$289,$D585,'Comp2016-2017 (3)'!$R$5:$R$289,$V585)*$AB585))</f>
        <v/>
      </c>
      <c r="AI585" s="2" t="str">
        <f>IF($W585=AI$3,$AB585,IF(NOT($W585=0),"",SUMIFS('Val-Vol (2)'!AI$4:AI$1116,'Val-Vol (2)'!$A$4:$A$1116,$D585,'Val-Vol (2)'!$V$4:$V$1116,$V585)/SUMIFS('Comp2016-2017 (3)'!$G$5:$G$289,'Comp2016-2017 (3)'!$A$5:$A$289,$D585,'Comp2016-2017 (3)'!$R$5:$R$289,$V585)*$AB585))</f>
        <v/>
      </c>
      <c r="AJ585" s="2" t="str">
        <f>IF($W585=AJ$3,$AB585,IF(NOT($W585=0),"",SUMIFS('Val-Vol (2)'!AJ$4:AJ$1116,'Val-Vol (2)'!$A$4:$A$1116,$D585,'Val-Vol (2)'!$V$4:$V$1116,$V585)/SUMIFS('Comp2016-2017 (3)'!$G$5:$G$289,'Comp2016-2017 (3)'!$A$5:$A$289,$D585,'Comp2016-2017 (3)'!$R$5:$R$289,$V585)*$AB585))</f>
        <v/>
      </c>
      <c r="AK585" s="2">
        <f t="shared" si="66"/>
        <v>0</v>
      </c>
      <c r="AL585" t="str">
        <f t="shared" si="68"/>
        <v/>
      </c>
      <c r="AM585" t="str">
        <f>VLOOKUP(A585,'Table corresp.'!$M$4:$U$63,8,FALSE)</f>
        <v>Production intermédiaire</v>
      </c>
      <c r="AN585" t="str">
        <f>VLOOKUP(D585,'Table corresp.'!$M$4:$U$63,9,FALSE)</f>
        <v>Exportation</v>
      </c>
    </row>
    <row r="586" spans="1:40" x14ac:dyDescent="0.25">
      <c r="A586" t="s">
        <v>85</v>
      </c>
      <c r="B586" t="str">
        <f>VLOOKUP(LEFT(A586,3),'Table corresp.'!$A$4:$D$63,3,FALSE)</f>
        <v>Transformation</v>
      </c>
      <c r="C586" t="str">
        <f>VLOOKUP(A586,'Table corresp.'!$M$4:$P$63,4,FALSE)</f>
        <v>Production et transformation de produits bois</v>
      </c>
      <c r="D586" t="s">
        <v>19</v>
      </c>
      <c r="E586" t="str">
        <f>VLOOKUP(LEFT(D586,3),'Table corresp.'!$A$4:$D$63,4,FALSE)</f>
        <v>Transformation</v>
      </c>
      <c r="F586" t="str">
        <f t="shared" si="67"/>
        <v xml:space="preserve">29  - 52 </v>
      </c>
      <c r="G586" s="3">
        <v>63698.173546965321</v>
      </c>
      <c r="H586" s="3">
        <v>19488.892132703284</v>
      </c>
      <c r="I586" s="3">
        <v>83187.151194020422</v>
      </c>
      <c r="J586" s="3">
        <v>368.08528290704976</v>
      </c>
      <c r="K586" s="3">
        <v>100.4509744885043</v>
      </c>
      <c r="L586" s="3">
        <v>468.53625739555406</v>
      </c>
      <c r="M586" s="3">
        <v>0</v>
      </c>
      <c r="N586" s="3">
        <v>0</v>
      </c>
      <c r="O586" s="3">
        <v>0</v>
      </c>
      <c r="P586" s="3">
        <v>0</v>
      </c>
      <c r="Q586" s="3">
        <v>0</v>
      </c>
      <c r="R586" s="3">
        <v>0</v>
      </c>
      <c r="S586" s="67"/>
      <c r="T586">
        <f>VLOOKUP(A586,'Groupe de branches'!$Z$27:$AM$86,14,FALSE)</f>
        <v>0</v>
      </c>
      <c r="U586">
        <f>VLOOKUP(D586,'Groupe de branches'!$Z$27:$AM$86,14,FALSE)</f>
        <v>0</v>
      </c>
      <c r="V586">
        <v>2017</v>
      </c>
      <c r="W586" t="str">
        <f>VLOOKUP(D586,'Table corresp.'!$M$4:$S$63,7,FALSE)</f>
        <v>Construction</v>
      </c>
      <c r="X586" s="167">
        <f>IFERROR(G586/SUMIFS('Comp2016-2017 (3)'!$I$5:$I$289,'Comp2016-2017 (3)'!$A$5:$A$289,A586,'Comp2016-2017 (3)'!$R$5:$R$289,V586),0)</f>
        <v>0.23343594242533885</v>
      </c>
      <c r="Y586" s="190">
        <f>IFERROR(IF(RIGHT(F586,3)="Exp",VLOOKUP(F586,#REF!,2,FALSE),VLOOKUP(F586,#REF!,9,FALSE)),1)</f>
        <v>1</v>
      </c>
      <c r="Z586" s="167">
        <f t="shared" si="65"/>
        <v>0.25</v>
      </c>
      <c r="AA586" s="189">
        <f t="shared" si="69"/>
        <v>5.8358985606334714E-2</v>
      </c>
      <c r="AB586" s="2">
        <f>IFERROR(SUMIFS('Comp2016-2017 (3)'!$G$5:$G$289,'Comp2016-2017 (3)'!$A$5:$A$289,A586,'Comp2016-2017 (3)'!$R$5:$R$289,V586)*AA586/SUMIFS($AA$4:$AA$1116,$A$4:$A$1116,A586,$V$4:$V$1116,V586),0)</f>
        <v>2817.0001937362349</v>
      </c>
      <c r="AC586" s="2" t="str">
        <f>IF($W586=AC$3,$AB586,IF(NOT($W586=0),"",SUMIFS('Val-Vol (2)'!AC$4:AC$1116,'Val-Vol (2)'!$A$4:$A$1116,$D586,'Val-Vol (2)'!$V$4:$V$1116,$V586)/SUMIFS('Comp2016-2017 (3)'!$G$5:$G$289,'Comp2016-2017 (3)'!$A$5:$A$289,$D586,'Comp2016-2017 (3)'!$R$5:$R$289,$V586)*$AB586))</f>
        <v/>
      </c>
      <c r="AD586" s="2">
        <f>IF($W586=AD$3,$AB586,IF(NOT($W586=0),"",SUMIFS('Val-Vol (2)'!AD$4:AD$1116,'Val-Vol (2)'!$A$4:$A$1116,$D586,'Val-Vol (2)'!$V$4:$V$1116,$V586)/SUMIFS('Comp2016-2017 (3)'!$G$5:$G$289,'Comp2016-2017 (3)'!$A$5:$A$289,$D586,'Comp2016-2017 (3)'!$R$5:$R$289,$V586)*$AB586))</f>
        <v>2817.0001937362349</v>
      </c>
      <c r="AE586" s="2" t="str">
        <f>IF($W586=AE$3,$AB586,IF(NOT($W586=0),"",SUMIFS('Val-Vol (2)'!AE$4:AE$1116,'Val-Vol (2)'!$A$4:$A$1116,$D586,'Val-Vol (2)'!$V$4:$V$1116,$V586)/SUMIFS('Comp2016-2017 (3)'!$G$5:$G$289,'Comp2016-2017 (3)'!$A$5:$A$289,$D586,'Comp2016-2017 (3)'!$R$5:$R$289,$V586)*$AB586))</f>
        <v/>
      </c>
      <c r="AF586" s="2" t="str">
        <f>IF($W586=AF$3,$AB586,IF(NOT($W586=0),"",SUMIFS('Val-Vol (2)'!AF$4:AF$1116,'Val-Vol (2)'!$A$4:$A$1116,$D586,'Val-Vol (2)'!$V$4:$V$1116,$V586)/SUMIFS('Comp2016-2017 (3)'!$G$5:$G$289,'Comp2016-2017 (3)'!$A$5:$A$289,$D586,'Comp2016-2017 (3)'!$R$5:$R$289,$V586)*$AB586))</f>
        <v/>
      </c>
      <c r="AG586" s="2" t="str">
        <f>IF($W586=AG$3,$AB586,IF(NOT($W586=0),"",SUMIFS('Val-Vol (2)'!AG$4:AG$1116,'Val-Vol (2)'!$A$4:$A$1116,$D586,'Val-Vol (2)'!$V$4:$V$1116,$V586)/SUMIFS('Comp2016-2017 (3)'!$G$5:$G$289,'Comp2016-2017 (3)'!$A$5:$A$289,$D586,'Comp2016-2017 (3)'!$R$5:$R$289,$V586)*$AB586))</f>
        <v/>
      </c>
      <c r="AH586" s="2" t="str">
        <f>IF($W586=AH$3,$AB586,IF(NOT($W586=0),"",SUMIFS('Val-Vol (2)'!AH$4:AH$1116,'Val-Vol (2)'!$A$4:$A$1116,$D586,'Val-Vol (2)'!$V$4:$V$1116,$V586)/SUMIFS('Comp2016-2017 (3)'!$G$5:$G$289,'Comp2016-2017 (3)'!$A$5:$A$289,$D586,'Comp2016-2017 (3)'!$R$5:$R$289,$V586)*$AB586))</f>
        <v/>
      </c>
      <c r="AI586" s="2" t="str">
        <f>IF($W586=AI$3,$AB586,IF(NOT($W586=0),"",SUMIFS('Val-Vol (2)'!AI$4:AI$1116,'Val-Vol (2)'!$A$4:$A$1116,$D586,'Val-Vol (2)'!$V$4:$V$1116,$V586)/SUMIFS('Comp2016-2017 (3)'!$G$5:$G$289,'Comp2016-2017 (3)'!$A$5:$A$289,$D586,'Comp2016-2017 (3)'!$R$5:$R$289,$V586)*$AB586))</f>
        <v/>
      </c>
      <c r="AJ586" s="2" t="str">
        <f>IF($W586=AJ$3,$AB586,IF(NOT($W586=0),"",SUMIFS('Val-Vol (2)'!AJ$4:AJ$1116,'Val-Vol (2)'!$A$4:$A$1116,$D586,'Val-Vol (2)'!$V$4:$V$1116,$V586)/SUMIFS('Comp2016-2017 (3)'!$G$5:$G$289,'Comp2016-2017 (3)'!$A$5:$A$289,$D586,'Comp2016-2017 (3)'!$R$5:$R$289,$V586)*$AB586))</f>
        <v/>
      </c>
      <c r="AK586" s="2">
        <f t="shared" si="66"/>
        <v>0</v>
      </c>
      <c r="AL586" t="str">
        <f t="shared" si="68"/>
        <v/>
      </c>
      <c r="AM586" t="str">
        <f>VLOOKUP(A586,'Table corresp.'!$M$4:$U$63,8,FALSE)</f>
        <v>Production intermédiaire</v>
      </c>
      <c r="AN586" t="str">
        <f>VLOOKUP(D586,'Table corresp.'!$M$4:$U$63,9,FALSE)</f>
        <v xml:space="preserve">Mise en œuvre </v>
      </c>
    </row>
    <row r="587" spans="1:40" x14ac:dyDescent="0.25">
      <c r="A587" t="s">
        <v>85</v>
      </c>
      <c r="B587" t="str">
        <f>VLOOKUP(LEFT(A587,3),'Table corresp.'!$A$4:$D$63,3,FALSE)</f>
        <v>Transformation</v>
      </c>
      <c r="C587" t="str">
        <f>VLOOKUP(A587,'Table corresp.'!$M$4:$P$63,4,FALSE)</f>
        <v>Production et transformation de produits bois</v>
      </c>
      <c r="D587" t="s">
        <v>24</v>
      </c>
      <c r="E587" t="str">
        <f>VLOOKUP(LEFT(D587,3),'Table corresp.'!$A$4:$D$63,4,FALSE)</f>
        <v>Transformation</v>
      </c>
      <c r="F587" t="str">
        <f t="shared" si="67"/>
        <v xml:space="preserve">29  - 57 </v>
      </c>
      <c r="G587" s="3">
        <v>117333.11136333183</v>
      </c>
      <c r="H587" s="3">
        <v>138536.37146396638</v>
      </c>
      <c r="I587" s="3">
        <v>255869.74585512344</v>
      </c>
      <c r="J587" s="3">
        <v>565.01608923282777</v>
      </c>
      <c r="K587" s="3">
        <v>617.55986708790078</v>
      </c>
      <c r="L587" s="3">
        <v>1182.5759563207284</v>
      </c>
      <c r="M587" s="3">
        <v>0</v>
      </c>
      <c r="N587" s="3">
        <v>0</v>
      </c>
      <c r="O587" s="3">
        <v>0</v>
      </c>
      <c r="P587" s="3">
        <v>0</v>
      </c>
      <c r="Q587" s="3">
        <v>0</v>
      </c>
      <c r="R587" s="3">
        <v>0</v>
      </c>
      <c r="S587" s="67"/>
      <c r="T587">
        <f>VLOOKUP(A587,'Groupe de branches'!$Z$27:$AM$86,14,FALSE)</f>
        <v>0</v>
      </c>
      <c r="U587">
        <f>VLOOKUP(D587,'Groupe de branches'!$Z$27:$AM$86,14,FALSE)</f>
        <v>0</v>
      </c>
      <c r="V587">
        <v>2017</v>
      </c>
      <c r="W587" t="str">
        <f>VLOOKUP(D587,'Table corresp.'!$M$4:$S$63,7,FALSE)</f>
        <v>Construction</v>
      </c>
      <c r="X587" s="167">
        <f>IFERROR(G587/SUMIFS('Comp2016-2017 (3)'!$I$5:$I$289,'Comp2016-2017 (3)'!$A$5:$A$289,A587,'Comp2016-2017 (3)'!$R$5:$R$289,V587),0)</f>
        <v>0.42999294804900245</v>
      </c>
      <c r="Y587" s="190">
        <f>IFERROR(IF(RIGHT(F587,3)="Exp",VLOOKUP(F587,#REF!,2,FALSE),VLOOKUP(F587,#REF!,9,FALSE)),1)</f>
        <v>1</v>
      </c>
      <c r="Z587" s="167">
        <f t="shared" si="65"/>
        <v>0.25</v>
      </c>
      <c r="AA587" s="189">
        <f t="shared" si="69"/>
        <v>0.10749823701225061</v>
      </c>
      <c r="AB587" s="2">
        <f>IFERROR(SUMIFS('Comp2016-2017 (3)'!$G$5:$G$289,'Comp2016-2017 (3)'!$A$5:$A$289,A587,'Comp2016-2017 (3)'!$R$5:$R$289,V587)*AA587/SUMIFS($AA$4:$AA$1116,$A$4:$A$1116,A587,$V$4:$V$1116,V587),0)</f>
        <v>5188.961928374285</v>
      </c>
      <c r="AC587" s="2" t="str">
        <f>IF($W587=AC$3,$AB587,IF(NOT($W587=0),"",SUMIFS('Val-Vol (2)'!AC$4:AC$1116,'Val-Vol (2)'!$A$4:$A$1116,$D587,'Val-Vol (2)'!$V$4:$V$1116,$V587)/SUMIFS('Comp2016-2017 (3)'!$G$5:$G$289,'Comp2016-2017 (3)'!$A$5:$A$289,$D587,'Comp2016-2017 (3)'!$R$5:$R$289,$V587)*$AB587))</f>
        <v/>
      </c>
      <c r="AD587" s="2">
        <f>IF($W587=AD$3,$AB587,IF(NOT($W587=0),"",SUMIFS('Val-Vol (2)'!AD$4:AD$1116,'Val-Vol (2)'!$A$4:$A$1116,$D587,'Val-Vol (2)'!$V$4:$V$1116,$V587)/SUMIFS('Comp2016-2017 (3)'!$G$5:$G$289,'Comp2016-2017 (3)'!$A$5:$A$289,$D587,'Comp2016-2017 (3)'!$R$5:$R$289,$V587)*$AB587))</f>
        <v>5188.961928374285</v>
      </c>
      <c r="AE587" s="2" t="str">
        <f>IF($W587=AE$3,$AB587,IF(NOT($W587=0),"",SUMIFS('Val-Vol (2)'!AE$4:AE$1116,'Val-Vol (2)'!$A$4:$A$1116,$D587,'Val-Vol (2)'!$V$4:$V$1116,$V587)/SUMIFS('Comp2016-2017 (3)'!$G$5:$G$289,'Comp2016-2017 (3)'!$A$5:$A$289,$D587,'Comp2016-2017 (3)'!$R$5:$R$289,$V587)*$AB587))</f>
        <v/>
      </c>
      <c r="AF587" s="2" t="str">
        <f>IF($W587=AF$3,$AB587,IF(NOT($W587=0),"",SUMIFS('Val-Vol (2)'!AF$4:AF$1116,'Val-Vol (2)'!$A$4:$A$1116,$D587,'Val-Vol (2)'!$V$4:$V$1116,$V587)/SUMIFS('Comp2016-2017 (3)'!$G$5:$G$289,'Comp2016-2017 (3)'!$A$5:$A$289,$D587,'Comp2016-2017 (3)'!$R$5:$R$289,$V587)*$AB587))</f>
        <v/>
      </c>
      <c r="AG587" s="2" t="str">
        <f>IF($W587=AG$3,$AB587,IF(NOT($W587=0),"",SUMIFS('Val-Vol (2)'!AG$4:AG$1116,'Val-Vol (2)'!$A$4:$A$1116,$D587,'Val-Vol (2)'!$V$4:$V$1116,$V587)/SUMIFS('Comp2016-2017 (3)'!$G$5:$G$289,'Comp2016-2017 (3)'!$A$5:$A$289,$D587,'Comp2016-2017 (3)'!$R$5:$R$289,$V587)*$AB587))</f>
        <v/>
      </c>
      <c r="AH587" s="2" t="str">
        <f>IF($W587=AH$3,$AB587,IF(NOT($W587=0),"",SUMIFS('Val-Vol (2)'!AH$4:AH$1116,'Val-Vol (2)'!$A$4:$A$1116,$D587,'Val-Vol (2)'!$V$4:$V$1116,$V587)/SUMIFS('Comp2016-2017 (3)'!$G$5:$G$289,'Comp2016-2017 (3)'!$A$5:$A$289,$D587,'Comp2016-2017 (3)'!$R$5:$R$289,$V587)*$AB587))</f>
        <v/>
      </c>
      <c r="AI587" s="2" t="str">
        <f>IF($W587=AI$3,$AB587,IF(NOT($W587=0),"",SUMIFS('Val-Vol (2)'!AI$4:AI$1116,'Val-Vol (2)'!$A$4:$A$1116,$D587,'Val-Vol (2)'!$V$4:$V$1116,$V587)/SUMIFS('Comp2016-2017 (3)'!$G$5:$G$289,'Comp2016-2017 (3)'!$A$5:$A$289,$D587,'Comp2016-2017 (3)'!$R$5:$R$289,$V587)*$AB587))</f>
        <v/>
      </c>
      <c r="AJ587" s="2" t="str">
        <f>IF($W587=AJ$3,$AB587,IF(NOT($W587=0),"",SUMIFS('Val-Vol (2)'!AJ$4:AJ$1116,'Val-Vol (2)'!$A$4:$A$1116,$D587,'Val-Vol (2)'!$V$4:$V$1116,$V587)/SUMIFS('Comp2016-2017 (3)'!$G$5:$G$289,'Comp2016-2017 (3)'!$A$5:$A$289,$D587,'Comp2016-2017 (3)'!$R$5:$R$289,$V587)*$AB587))</f>
        <v/>
      </c>
      <c r="AK587" s="2">
        <f t="shared" si="66"/>
        <v>0</v>
      </c>
      <c r="AL587" t="str">
        <f t="shared" si="68"/>
        <v/>
      </c>
      <c r="AM587" t="str">
        <f>VLOOKUP(A587,'Table corresp.'!$M$4:$U$63,8,FALSE)</f>
        <v>Production intermédiaire</v>
      </c>
      <c r="AN587" t="str">
        <f>VLOOKUP(D587,'Table corresp.'!$M$4:$U$63,9,FALSE)</f>
        <v xml:space="preserve">Mise en œuvre </v>
      </c>
    </row>
    <row r="588" spans="1:40" x14ac:dyDescent="0.25">
      <c r="A588" t="s">
        <v>85</v>
      </c>
      <c r="B588" t="str">
        <f>VLOOKUP(LEFT(A588,3),'Table corresp.'!$A$4:$D$63,3,FALSE)</f>
        <v>Transformation</v>
      </c>
      <c r="C588" t="str">
        <f>VLOOKUP(A588,'Table corresp.'!$M$4:$P$63,4,FALSE)</f>
        <v>Production et transformation de produits bois</v>
      </c>
      <c r="D588" t="s">
        <v>54</v>
      </c>
      <c r="E588" t="str">
        <f>VLOOKUP(LEFT(D588,3),'Table corresp.'!$A$4:$D$63,4,FALSE)</f>
        <v>Consommation finale</v>
      </c>
      <c r="F588" t="str">
        <f t="shared" si="67"/>
        <v>29  - Con</v>
      </c>
      <c r="G588" s="3">
        <v>79390.903805543974</v>
      </c>
      <c r="H588" s="3">
        <v>36764.73640333012</v>
      </c>
      <c r="I588" s="3">
        <v>116155.75961414701</v>
      </c>
      <c r="J588" s="3">
        <v>314.84013363482137</v>
      </c>
      <c r="K588" s="3">
        <v>126.33020469235674</v>
      </c>
      <c r="L588" s="3">
        <v>441.17033832717811</v>
      </c>
      <c r="M588" s="3">
        <v>0</v>
      </c>
      <c r="N588" s="3">
        <v>0</v>
      </c>
      <c r="O588" s="3">
        <v>0</v>
      </c>
      <c r="P588" s="3">
        <v>0</v>
      </c>
      <c r="Q588" s="3">
        <v>0</v>
      </c>
      <c r="R588" s="3">
        <v>0</v>
      </c>
      <c r="S588" s="67"/>
      <c r="T588">
        <f>VLOOKUP(A588,'Groupe de branches'!$Z$27:$AM$86,14,FALSE)</f>
        <v>0</v>
      </c>
      <c r="U588">
        <f>VLOOKUP(D588,'Groupe de branches'!$Z$27:$AM$86,14,FALSE)</f>
        <v>0</v>
      </c>
      <c r="V588">
        <v>2017</v>
      </c>
      <c r="W588" t="str">
        <f>VLOOKUP(D588,'Table corresp.'!$M$4:$S$63,7,FALSE)</f>
        <v>Consommation finale</v>
      </c>
      <c r="X588" s="167">
        <f>IFERROR(G588/SUMIFS('Comp2016-2017 (3)'!$I$5:$I$289,'Comp2016-2017 (3)'!$A$5:$A$289,A588,'Comp2016-2017 (3)'!$R$5:$R$289,V588),0)</f>
        <v>0.29094539792702589</v>
      </c>
      <c r="Y588" s="190">
        <f>IFERROR(IF(RIGHT(F588,3)="Exp",VLOOKUP(F588,#REF!,2,FALSE),VLOOKUP(F588,#REF!,9,FALSE)),1)</f>
        <v>1</v>
      </c>
      <c r="Z588" s="167">
        <f t="shared" si="65"/>
        <v>0.25</v>
      </c>
      <c r="AA588" s="189">
        <f t="shared" si="69"/>
        <v>7.2736349481756474E-2</v>
      </c>
      <c r="AB588" s="2">
        <f>IFERROR(SUMIFS('Comp2016-2017 (3)'!$G$5:$G$289,'Comp2016-2017 (3)'!$A$5:$A$289,A588,'Comp2016-2017 (3)'!$R$5:$R$289,V588)*AA588/SUMIFS($AA$4:$AA$1116,$A$4:$A$1116,A588,$V$4:$V$1116,V588),0)</f>
        <v>3510.998494112504</v>
      </c>
      <c r="AC588" s="2" t="str">
        <f>IF($W588=AC$3,$AB588,IF(NOT($W588=0),"",SUMIFS('Val-Vol (2)'!AC$4:AC$1116,'Val-Vol (2)'!$A$4:$A$1116,$D588,'Val-Vol (2)'!$V$4:$V$1116,$V588)/SUMIFS('Comp2016-2017 (3)'!$G$5:$G$289,'Comp2016-2017 (3)'!$A$5:$A$289,$D588,'Comp2016-2017 (3)'!$R$5:$R$289,$V588)*$AB588))</f>
        <v/>
      </c>
      <c r="AD588" s="2" t="str">
        <f>IF($W588=AD$3,$AB588,IF(NOT($W588=0),"",SUMIFS('Val-Vol (2)'!AD$4:AD$1116,'Val-Vol (2)'!$A$4:$A$1116,$D588,'Val-Vol (2)'!$V$4:$V$1116,$V588)/SUMIFS('Comp2016-2017 (3)'!$G$5:$G$289,'Comp2016-2017 (3)'!$A$5:$A$289,$D588,'Comp2016-2017 (3)'!$R$5:$R$289,$V588)*$AB588))</f>
        <v/>
      </c>
      <c r="AE588" s="2" t="str">
        <f>IF($W588=AE$3,$AB588,IF(NOT($W588=0),"",SUMIFS('Val-Vol (2)'!AE$4:AE$1116,'Val-Vol (2)'!$A$4:$A$1116,$D588,'Val-Vol (2)'!$V$4:$V$1116,$V588)/SUMIFS('Comp2016-2017 (3)'!$G$5:$G$289,'Comp2016-2017 (3)'!$A$5:$A$289,$D588,'Comp2016-2017 (3)'!$R$5:$R$289,$V588)*$AB588))</f>
        <v/>
      </c>
      <c r="AF588" s="2" t="str">
        <f>IF($W588=AF$3,$AB588,IF(NOT($W588=0),"",SUMIFS('Val-Vol (2)'!AF$4:AF$1116,'Val-Vol (2)'!$A$4:$A$1116,$D588,'Val-Vol (2)'!$V$4:$V$1116,$V588)/SUMIFS('Comp2016-2017 (3)'!$G$5:$G$289,'Comp2016-2017 (3)'!$A$5:$A$289,$D588,'Comp2016-2017 (3)'!$R$5:$R$289,$V588)*$AB588))</f>
        <v/>
      </c>
      <c r="AG588" s="2" t="str">
        <f>IF($W588=AG$3,$AB588,IF(NOT($W588=0),"",SUMIFS('Val-Vol (2)'!AG$4:AG$1116,'Val-Vol (2)'!$A$4:$A$1116,$D588,'Val-Vol (2)'!$V$4:$V$1116,$V588)/SUMIFS('Comp2016-2017 (3)'!$G$5:$G$289,'Comp2016-2017 (3)'!$A$5:$A$289,$D588,'Comp2016-2017 (3)'!$R$5:$R$289,$V588)*$AB588))</f>
        <v/>
      </c>
      <c r="AH588" s="2" t="str">
        <f>IF($W588=AH$3,$AB588,IF(NOT($W588=0),"",SUMIFS('Val-Vol (2)'!AH$4:AH$1116,'Val-Vol (2)'!$A$4:$A$1116,$D588,'Val-Vol (2)'!$V$4:$V$1116,$V588)/SUMIFS('Comp2016-2017 (3)'!$G$5:$G$289,'Comp2016-2017 (3)'!$A$5:$A$289,$D588,'Comp2016-2017 (3)'!$R$5:$R$289,$V588)*$AB588))</f>
        <v/>
      </c>
      <c r="AI588" s="2" t="str">
        <f>IF($W588=AI$3,$AB588,IF(NOT($W588=0),"",SUMIFS('Val-Vol (2)'!AI$4:AI$1116,'Val-Vol (2)'!$A$4:$A$1116,$D588,'Val-Vol (2)'!$V$4:$V$1116,$V588)/SUMIFS('Comp2016-2017 (3)'!$G$5:$G$289,'Comp2016-2017 (3)'!$A$5:$A$289,$D588,'Comp2016-2017 (3)'!$R$5:$R$289,$V588)*$AB588))</f>
        <v/>
      </c>
      <c r="AJ588" s="2">
        <f>IF($W588=AJ$3,$AB588,IF(NOT($W588=0),"",SUMIFS('Val-Vol (2)'!AJ$4:AJ$1116,'Val-Vol (2)'!$A$4:$A$1116,$D588,'Val-Vol (2)'!$V$4:$V$1116,$V588)/SUMIFS('Comp2016-2017 (3)'!$G$5:$G$289,'Comp2016-2017 (3)'!$A$5:$A$289,$D588,'Comp2016-2017 (3)'!$R$5:$R$289,$V588)*$AB588))</f>
        <v>3510.998494112504</v>
      </c>
      <c r="AK588" s="2">
        <f t="shared" si="66"/>
        <v>0</v>
      </c>
      <c r="AL588" t="str">
        <f t="shared" si="68"/>
        <v/>
      </c>
      <c r="AM588" t="str">
        <f>VLOOKUP(A588,'Table corresp.'!$M$4:$U$63,8,FALSE)</f>
        <v>Production intermédiaire</v>
      </c>
      <c r="AN588" t="str">
        <f>VLOOKUP(D588,'Table corresp.'!$M$4:$U$63,9,FALSE)</f>
        <v>Consommation finale française</v>
      </c>
    </row>
    <row r="589" spans="1:40" x14ac:dyDescent="0.25">
      <c r="A589" t="s">
        <v>85</v>
      </c>
      <c r="B589" t="str">
        <f>VLOOKUP(LEFT(A589,3),'Table corresp.'!$A$4:$D$63,3,FALSE)</f>
        <v>Transformation</v>
      </c>
      <c r="C589" t="str">
        <f>VLOOKUP(A589,'Table corresp.'!$M$4:$P$63,4,FALSE)</f>
        <v>Production et transformation de produits bois</v>
      </c>
      <c r="D589" t="s">
        <v>53</v>
      </c>
      <c r="E589" t="str">
        <f>VLOOKUP(LEFT(D589,3),'Table corresp.'!$A$4:$D$63,4,FALSE)</f>
        <v>Exportation</v>
      </c>
      <c r="F589" t="str">
        <f t="shared" si="67"/>
        <v>29  - Exp</v>
      </c>
      <c r="G589" s="3">
        <v>12449.987201705255</v>
      </c>
      <c r="H589" s="3">
        <v>0</v>
      </c>
      <c r="I589" s="3">
        <v>12450</v>
      </c>
      <c r="J589" s="3">
        <v>60.675075630804635</v>
      </c>
      <c r="K589" s="3">
        <v>0</v>
      </c>
      <c r="L589" s="3">
        <v>60.675075630804635</v>
      </c>
      <c r="M589" s="3">
        <v>0</v>
      </c>
      <c r="N589" s="3">
        <v>0</v>
      </c>
      <c r="O589" s="3">
        <v>0</v>
      </c>
      <c r="P589" s="3">
        <v>0</v>
      </c>
      <c r="Q589" s="3">
        <v>0</v>
      </c>
      <c r="R589" s="3">
        <v>0</v>
      </c>
      <c r="S589" s="67"/>
      <c r="T589">
        <f>VLOOKUP(A589,'Groupe de branches'!$Z$27:$AM$86,14,FALSE)</f>
        <v>0</v>
      </c>
      <c r="U589">
        <f>VLOOKUP(D589,'Groupe de branches'!$Z$27:$AM$86,14,FALSE)</f>
        <v>0</v>
      </c>
      <c r="V589">
        <v>2017</v>
      </c>
      <c r="W589" t="str">
        <f>VLOOKUP(D589,'Table corresp.'!$M$4:$S$63,7,FALSE)</f>
        <v>Exportation</v>
      </c>
      <c r="X589" s="167">
        <f>IFERROR(G589/SUMIFS('Comp2016-2017 (3)'!$I$5:$I$289,'Comp2016-2017 (3)'!$A$5:$A$289,A589,'Comp2016-2017 (3)'!$R$5:$R$289,V589),0)</f>
        <v>4.5625711598632372E-2</v>
      </c>
      <c r="Y589" s="190">
        <f>IFERROR(IF(RIGHT(F589,3)="Exp",VLOOKUP(F589,#REF!,2,FALSE),VLOOKUP(F589,#REF!,9,FALSE)),1)</f>
        <v>1</v>
      </c>
      <c r="Z589" s="167">
        <f t="shared" si="65"/>
        <v>0.25</v>
      </c>
      <c r="AA589" s="189">
        <f t="shared" si="69"/>
        <v>1.1406427899658093E-2</v>
      </c>
      <c r="AB589" s="2">
        <f>IFERROR(SUMIFS('Comp2016-2017 (3)'!$G$5:$G$289,'Comp2016-2017 (3)'!$A$5:$A$289,A589,'Comp2016-2017 (3)'!$R$5:$R$289,V589)*AA589/SUMIFS($AA$4:$AA$1116,$A$4:$A$1116,A589,$V$4:$V$1116,V589),0)</f>
        <v>550.59061204256795</v>
      </c>
      <c r="AC589" s="2">
        <f>IF($W589=AC$3,$AB589,IF(NOT($W589=0),"",SUMIFS('Val-Vol (2)'!AC$4:AC$1116,'Val-Vol (2)'!$A$4:$A$1116,$D589,'Val-Vol (2)'!$V$4:$V$1116,$V589)/SUMIFS('Comp2016-2017 (3)'!$G$5:$G$289,'Comp2016-2017 (3)'!$A$5:$A$289,$D589,'Comp2016-2017 (3)'!$R$5:$R$289,$V589)*$AB589))</f>
        <v>550.59061204256795</v>
      </c>
      <c r="AD589" s="2" t="str">
        <f>IF($W589=AD$3,$AB589,IF(NOT($W589=0),"",SUMIFS('Val-Vol (2)'!AD$4:AD$1116,'Val-Vol (2)'!$A$4:$A$1116,$D589,'Val-Vol (2)'!$V$4:$V$1116,$V589)/SUMIFS('Comp2016-2017 (3)'!$G$5:$G$289,'Comp2016-2017 (3)'!$A$5:$A$289,$D589,'Comp2016-2017 (3)'!$R$5:$R$289,$V589)*$AB589))</f>
        <v/>
      </c>
      <c r="AE589" s="2" t="str">
        <f>IF($W589=AE$3,$AB589,IF(NOT($W589=0),"",SUMIFS('Val-Vol (2)'!AE$4:AE$1116,'Val-Vol (2)'!$A$4:$A$1116,$D589,'Val-Vol (2)'!$V$4:$V$1116,$V589)/SUMIFS('Comp2016-2017 (3)'!$G$5:$G$289,'Comp2016-2017 (3)'!$A$5:$A$289,$D589,'Comp2016-2017 (3)'!$R$5:$R$289,$V589)*$AB589))</f>
        <v/>
      </c>
      <c r="AF589" s="2" t="str">
        <f>IF($W589=AF$3,$AB589,IF(NOT($W589=0),"",SUMIFS('Val-Vol (2)'!AF$4:AF$1116,'Val-Vol (2)'!$A$4:$A$1116,$D589,'Val-Vol (2)'!$V$4:$V$1116,$V589)/SUMIFS('Comp2016-2017 (3)'!$G$5:$G$289,'Comp2016-2017 (3)'!$A$5:$A$289,$D589,'Comp2016-2017 (3)'!$R$5:$R$289,$V589)*$AB589))</f>
        <v/>
      </c>
      <c r="AG589" s="2" t="str">
        <f>IF($W589=AG$3,$AB589,IF(NOT($W589=0),"",SUMIFS('Val-Vol (2)'!AG$4:AG$1116,'Val-Vol (2)'!$A$4:$A$1116,$D589,'Val-Vol (2)'!$V$4:$V$1116,$V589)/SUMIFS('Comp2016-2017 (3)'!$G$5:$G$289,'Comp2016-2017 (3)'!$A$5:$A$289,$D589,'Comp2016-2017 (3)'!$R$5:$R$289,$V589)*$AB589))</f>
        <v/>
      </c>
      <c r="AH589" s="2" t="str">
        <f>IF($W589=AH$3,$AB589,IF(NOT($W589=0),"",SUMIFS('Val-Vol (2)'!AH$4:AH$1116,'Val-Vol (2)'!$A$4:$A$1116,$D589,'Val-Vol (2)'!$V$4:$V$1116,$V589)/SUMIFS('Comp2016-2017 (3)'!$G$5:$G$289,'Comp2016-2017 (3)'!$A$5:$A$289,$D589,'Comp2016-2017 (3)'!$R$5:$R$289,$V589)*$AB589))</f>
        <v/>
      </c>
      <c r="AI589" s="2" t="str">
        <f>IF($W589=AI$3,$AB589,IF(NOT($W589=0),"",SUMIFS('Val-Vol (2)'!AI$4:AI$1116,'Val-Vol (2)'!$A$4:$A$1116,$D589,'Val-Vol (2)'!$V$4:$V$1116,$V589)/SUMIFS('Comp2016-2017 (3)'!$G$5:$G$289,'Comp2016-2017 (3)'!$A$5:$A$289,$D589,'Comp2016-2017 (3)'!$R$5:$R$289,$V589)*$AB589))</f>
        <v/>
      </c>
      <c r="AJ589" s="2" t="str">
        <f>IF($W589=AJ$3,$AB589,IF(NOT($W589=0),"",SUMIFS('Val-Vol (2)'!AJ$4:AJ$1116,'Val-Vol (2)'!$A$4:$A$1116,$D589,'Val-Vol (2)'!$V$4:$V$1116,$V589)/SUMIFS('Comp2016-2017 (3)'!$G$5:$G$289,'Comp2016-2017 (3)'!$A$5:$A$289,$D589,'Comp2016-2017 (3)'!$R$5:$R$289,$V589)*$AB589))</f>
        <v/>
      </c>
      <c r="AK589" s="2">
        <f t="shared" si="66"/>
        <v>0</v>
      </c>
      <c r="AL589" t="str">
        <f t="shared" si="68"/>
        <v/>
      </c>
      <c r="AM589" t="str">
        <f>VLOOKUP(A589,'Table corresp.'!$M$4:$U$63,8,FALSE)</f>
        <v>Production intermédiaire</v>
      </c>
      <c r="AN589" t="str">
        <f>VLOOKUP(D589,'Table corresp.'!$M$4:$U$63,9,FALSE)</f>
        <v>Exportation</v>
      </c>
    </row>
    <row r="590" spans="1:40" x14ac:dyDescent="0.25">
      <c r="A590" t="s">
        <v>86</v>
      </c>
      <c r="B590" t="str">
        <f>VLOOKUP(LEFT(A590,3),'Table corresp.'!$A$4:$D$63,3,FALSE)</f>
        <v>Transformation</v>
      </c>
      <c r="C590" t="str">
        <f>VLOOKUP(A590,'Table corresp.'!$M$4:$P$63,4,FALSE)</f>
        <v>Production et transformation de produits bois</v>
      </c>
      <c r="D590" t="s">
        <v>101</v>
      </c>
      <c r="E590" t="str">
        <f>VLOOKUP(LEFT(D590,3),'Table corresp.'!$A$4:$D$63,4,FALSE)</f>
        <v>Transformation</v>
      </c>
      <c r="F590" t="str">
        <f t="shared" si="67"/>
        <v xml:space="preserve">30  - 49 </v>
      </c>
      <c r="G590" s="3">
        <v>178018.23111386641</v>
      </c>
      <c r="H590" s="3">
        <v>28012.761078387237</v>
      </c>
      <c r="I590" s="3">
        <v>206030.99239177731</v>
      </c>
      <c r="J590" s="3">
        <v>0</v>
      </c>
      <c r="K590" s="3">
        <v>0</v>
      </c>
      <c r="L590" s="3">
        <v>0</v>
      </c>
      <c r="M590" s="3">
        <v>0</v>
      </c>
      <c r="N590" s="3">
        <v>0</v>
      </c>
      <c r="O590" s="3">
        <v>0</v>
      </c>
      <c r="P590" s="3">
        <v>2430.8589145497112</v>
      </c>
      <c r="Q590" s="3">
        <v>338.91359416081411</v>
      </c>
      <c r="R590" s="3">
        <v>2769.7725087105255</v>
      </c>
      <c r="S590" s="67" t="s">
        <v>198</v>
      </c>
      <c r="T590">
        <f>VLOOKUP(A590,'Groupe de branches'!$Z$27:$AM$86,14,FALSE)</f>
        <v>1</v>
      </c>
      <c r="U590">
        <f>VLOOKUP(D590,'Groupe de branches'!$Z$27:$AM$86,14,FALSE)</f>
        <v>1</v>
      </c>
      <c r="V590">
        <v>2017</v>
      </c>
      <c r="W590" t="str">
        <f>VLOOKUP(D590,'Table corresp.'!$M$4:$S$63,7,FALSE)</f>
        <v>Energie</v>
      </c>
      <c r="X590" s="167">
        <f>IFERROR(G590/SUMIFS('Comp2016-2017 (3)'!$I$5:$I$289,'Comp2016-2017 (3)'!$A$5:$A$289,A590,'Comp2016-2017 (3)'!$R$5:$R$289,V590),0)</f>
        <v>0.42827157312507563</v>
      </c>
      <c r="Y590" s="190">
        <f>IFERROR(IF(RIGHT(F590,3)="Exp",VLOOKUP(F590,#REF!,2,FALSE),VLOOKUP(F590,#REF!,9,FALSE)),1)</f>
        <v>1</v>
      </c>
      <c r="Z590" s="167">
        <f t="shared" si="65"/>
        <v>0.33333333333333331</v>
      </c>
      <c r="AA590" s="189">
        <f t="shared" si="69"/>
        <v>0.14275719104169188</v>
      </c>
      <c r="AB590" s="2">
        <f>IFERROR(SUMIFS('Comp2016-2017 (3)'!$G$5:$G$289,'Comp2016-2017 (3)'!$A$5:$A$289,A590,'Comp2016-2017 (3)'!$R$5:$R$289,V590)*AA590/SUMIFS($AA$4:$AA$1116,$A$4:$A$1116,A590,$V$4:$V$1116,V590),0)</f>
        <v>32644.898161840974</v>
      </c>
      <c r="AC590" s="2" t="str">
        <f>IF($W590=AC$3,$AB590,IF(NOT($W590=0),"",SUMIFS('Val-Vol (2)'!AC$4:AC$1116,'Val-Vol (2)'!$A$4:$A$1116,$D590,'Val-Vol (2)'!$V$4:$V$1116,$V590)/SUMIFS('Comp2016-2017 (3)'!$G$5:$G$289,'Comp2016-2017 (3)'!$A$5:$A$289,$D590,'Comp2016-2017 (3)'!$R$5:$R$289,$V590)*$AB590))</f>
        <v/>
      </c>
      <c r="AD590" s="2" t="str">
        <f>IF($W590=AD$3,$AB590,IF(NOT($W590=0),"",SUMIFS('Val-Vol (2)'!AD$4:AD$1116,'Val-Vol (2)'!$A$4:$A$1116,$D590,'Val-Vol (2)'!$V$4:$V$1116,$V590)/SUMIFS('Comp2016-2017 (3)'!$G$5:$G$289,'Comp2016-2017 (3)'!$A$5:$A$289,$D590,'Comp2016-2017 (3)'!$R$5:$R$289,$V590)*$AB590))</f>
        <v/>
      </c>
      <c r="AE590" s="2" t="str">
        <f>IF($W590=AE$3,$AB590,IF(NOT($W590=0),"",SUMIFS('Val-Vol (2)'!AE$4:AE$1116,'Val-Vol (2)'!$A$4:$A$1116,$D590,'Val-Vol (2)'!$V$4:$V$1116,$V590)/SUMIFS('Comp2016-2017 (3)'!$G$5:$G$289,'Comp2016-2017 (3)'!$A$5:$A$289,$D590,'Comp2016-2017 (3)'!$R$5:$R$289,$V590)*$AB590))</f>
        <v/>
      </c>
      <c r="AF590" s="2" t="str">
        <f>IF($W590=AF$3,$AB590,IF(NOT($W590=0),"",SUMIFS('Val-Vol (2)'!AF$4:AF$1116,'Val-Vol (2)'!$A$4:$A$1116,$D590,'Val-Vol (2)'!$V$4:$V$1116,$V590)/SUMIFS('Comp2016-2017 (3)'!$G$5:$G$289,'Comp2016-2017 (3)'!$A$5:$A$289,$D590,'Comp2016-2017 (3)'!$R$5:$R$289,$V590)*$AB590))</f>
        <v/>
      </c>
      <c r="AG590" s="2" t="str">
        <f>IF($W590=AG$3,$AB590,IF(NOT($W590=0),"",SUMIFS('Val-Vol (2)'!AG$4:AG$1116,'Val-Vol (2)'!$A$4:$A$1116,$D590,'Val-Vol (2)'!$V$4:$V$1116,$V590)/SUMIFS('Comp2016-2017 (3)'!$G$5:$G$289,'Comp2016-2017 (3)'!$A$5:$A$289,$D590,'Comp2016-2017 (3)'!$R$5:$R$289,$V590)*$AB590))</f>
        <v/>
      </c>
      <c r="AH590" s="2">
        <f>IF($W590=AH$3,$AB590,IF(NOT($W590=0),"",SUMIFS('Val-Vol (2)'!AH$4:AH$1116,'Val-Vol (2)'!$A$4:$A$1116,$D590,'Val-Vol (2)'!$V$4:$V$1116,$V590)/SUMIFS('Comp2016-2017 (3)'!$G$5:$G$289,'Comp2016-2017 (3)'!$A$5:$A$289,$D590,'Comp2016-2017 (3)'!$R$5:$R$289,$V590)*$AB590))</f>
        <v>32644.898161840974</v>
      </c>
      <c r="AI590" s="2" t="str">
        <f>IF($W590=AI$3,$AB590,IF(NOT($W590=0),"",SUMIFS('Val-Vol (2)'!AI$4:AI$1116,'Val-Vol (2)'!$A$4:$A$1116,$D590,'Val-Vol (2)'!$V$4:$V$1116,$V590)/SUMIFS('Comp2016-2017 (3)'!$G$5:$G$289,'Comp2016-2017 (3)'!$A$5:$A$289,$D590,'Comp2016-2017 (3)'!$R$5:$R$289,$V590)*$AB590))</f>
        <v/>
      </c>
      <c r="AJ590" s="2" t="str">
        <f>IF($W590=AJ$3,$AB590,IF(NOT($W590=0),"",SUMIFS('Val-Vol (2)'!AJ$4:AJ$1116,'Val-Vol (2)'!$A$4:$A$1116,$D590,'Val-Vol (2)'!$V$4:$V$1116,$V590)/SUMIFS('Comp2016-2017 (3)'!$G$5:$G$289,'Comp2016-2017 (3)'!$A$5:$A$289,$D590,'Comp2016-2017 (3)'!$R$5:$R$289,$V590)*$AB590))</f>
        <v/>
      </c>
      <c r="AK590" s="2">
        <f t="shared" si="66"/>
        <v>0</v>
      </c>
      <c r="AL590" t="str">
        <f t="shared" si="68"/>
        <v/>
      </c>
      <c r="AM590" t="str">
        <f>VLOOKUP(A590,'Table corresp.'!$M$4:$U$63,8,FALSE)</f>
        <v>Production intermédiaire</v>
      </c>
      <c r="AN590" t="str">
        <f>VLOOKUP(D590,'Table corresp.'!$M$4:$U$63,9,FALSE)</f>
        <v>Production finale</v>
      </c>
    </row>
    <row r="591" spans="1:40" x14ac:dyDescent="0.25">
      <c r="A591" t="s">
        <v>86</v>
      </c>
      <c r="B591" t="str">
        <f>VLOOKUP(LEFT(A591,3),'Table corresp.'!$A$4:$D$63,3,FALSE)</f>
        <v>Transformation</v>
      </c>
      <c r="C591" t="str">
        <f>VLOOKUP(A591,'Table corresp.'!$M$4:$P$63,4,FALSE)</f>
        <v>Production et transformation de produits bois</v>
      </c>
      <c r="D591" t="s">
        <v>54</v>
      </c>
      <c r="E591" t="str">
        <f>VLOOKUP(LEFT(D591,3),'Table corresp.'!$A$4:$D$63,4,FALSE)</f>
        <v>Consommation finale</v>
      </c>
      <c r="F591" t="str">
        <f t="shared" si="67"/>
        <v>30  - Con</v>
      </c>
      <c r="G591" s="3">
        <v>191530.98101818989</v>
      </c>
      <c r="H591" s="3">
        <v>70080.538921612751</v>
      </c>
      <c r="I591" s="3">
        <v>261611.5201931514</v>
      </c>
      <c r="J591" s="3">
        <v>0</v>
      </c>
      <c r="K591" s="3">
        <v>0</v>
      </c>
      <c r="L591" s="3">
        <v>0</v>
      </c>
      <c r="M591" s="3">
        <v>0</v>
      </c>
      <c r="N591" s="3">
        <v>0</v>
      </c>
      <c r="O591" s="3">
        <v>0</v>
      </c>
      <c r="P591" s="3">
        <v>2615.37703024762</v>
      </c>
      <c r="Q591" s="3">
        <v>847.87241286884296</v>
      </c>
      <c r="R591" s="3">
        <v>3463.2494431164632</v>
      </c>
      <c r="S591" s="67" t="s">
        <v>198</v>
      </c>
      <c r="T591">
        <f>VLOOKUP(A591,'Groupe de branches'!$Z$27:$AM$86,14,FALSE)</f>
        <v>1</v>
      </c>
      <c r="U591">
        <f>VLOOKUP(D591,'Groupe de branches'!$Z$27:$AM$86,14,FALSE)</f>
        <v>0</v>
      </c>
      <c r="V591">
        <v>2017</v>
      </c>
      <c r="W591" t="str">
        <f>VLOOKUP(D591,'Table corresp.'!$M$4:$S$63,7,FALSE)</f>
        <v>Consommation finale</v>
      </c>
      <c r="X591" s="167">
        <f>IFERROR(G591/SUMIFS('Comp2016-2017 (3)'!$I$5:$I$289,'Comp2016-2017 (3)'!$A$5:$A$289,A591,'Comp2016-2017 (3)'!$R$5:$R$289,V591),0)</f>
        <v>0.46078019104898194</v>
      </c>
      <c r="Y591" s="190">
        <f>IFERROR(IF(RIGHT(F591,3)="Exp",VLOOKUP(F591,#REF!,2,FALSE),VLOOKUP(F591,#REF!,9,FALSE)),1)</f>
        <v>1</v>
      </c>
      <c r="Z591" s="167">
        <f t="shared" si="65"/>
        <v>0.33333333333333331</v>
      </c>
      <c r="AA591" s="189">
        <f t="shared" si="69"/>
        <v>0.15359339701632729</v>
      </c>
      <c r="AB591" s="2">
        <f>IFERROR(SUMIFS('Comp2016-2017 (3)'!$G$5:$G$289,'Comp2016-2017 (3)'!$A$5:$A$289,A591,'Comp2016-2017 (3)'!$R$5:$R$289,V591)*AA591/SUMIFS($AA$4:$AA$1116,$A$4:$A$1116,A591,$V$4:$V$1116,V591),0)</f>
        <v>35122.859782698273</v>
      </c>
      <c r="AC591" s="2" t="str">
        <f>IF($W591=AC$3,$AB591,IF(NOT($W591=0),"",SUMIFS('Val-Vol (2)'!AC$4:AC$1116,'Val-Vol (2)'!$A$4:$A$1116,$D591,'Val-Vol (2)'!$V$4:$V$1116,$V591)/SUMIFS('Comp2016-2017 (3)'!$G$5:$G$289,'Comp2016-2017 (3)'!$A$5:$A$289,$D591,'Comp2016-2017 (3)'!$R$5:$R$289,$V591)*$AB591))</f>
        <v/>
      </c>
      <c r="AD591" s="2" t="str">
        <f>IF($W591=AD$3,$AB591,IF(NOT($W591=0),"",SUMIFS('Val-Vol (2)'!AD$4:AD$1116,'Val-Vol (2)'!$A$4:$A$1116,$D591,'Val-Vol (2)'!$V$4:$V$1116,$V591)/SUMIFS('Comp2016-2017 (3)'!$G$5:$G$289,'Comp2016-2017 (3)'!$A$5:$A$289,$D591,'Comp2016-2017 (3)'!$R$5:$R$289,$V591)*$AB591))</f>
        <v/>
      </c>
      <c r="AE591" s="2" t="str">
        <f>IF($W591=AE$3,$AB591,IF(NOT($W591=0),"",SUMIFS('Val-Vol (2)'!AE$4:AE$1116,'Val-Vol (2)'!$A$4:$A$1116,$D591,'Val-Vol (2)'!$V$4:$V$1116,$V591)/SUMIFS('Comp2016-2017 (3)'!$G$5:$G$289,'Comp2016-2017 (3)'!$A$5:$A$289,$D591,'Comp2016-2017 (3)'!$R$5:$R$289,$V591)*$AB591))</f>
        <v/>
      </c>
      <c r="AF591" s="2" t="str">
        <f>IF($W591=AF$3,$AB591,IF(NOT($W591=0),"",SUMIFS('Val-Vol (2)'!AF$4:AF$1116,'Val-Vol (2)'!$A$4:$A$1116,$D591,'Val-Vol (2)'!$V$4:$V$1116,$V591)/SUMIFS('Comp2016-2017 (3)'!$G$5:$G$289,'Comp2016-2017 (3)'!$A$5:$A$289,$D591,'Comp2016-2017 (3)'!$R$5:$R$289,$V591)*$AB591))</f>
        <v/>
      </c>
      <c r="AG591" s="2" t="str">
        <f>IF($W591=AG$3,$AB591,IF(NOT($W591=0),"",SUMIFS('Val-Vol (2)'!AG$4:AG$1116,'Val-Vol (2)'!$A$4:$A$1116,$D591,'Val-Vol (2)'!$V$4:$V$1116,$V591)/SUMIFS('Comp2016-2017 (3)'!$G$5:$G$289,'Comp2016-2017 (3)'!$A$5:$A$289,$D591,'Comp2016-2017 (3)'!$R$5:$R$289,$V591)*$AB591))</f>
        <v/>
      </c>
      <c r="AH591" s="2" t="str">
        <f>IF($W591=AH$3,$AB591,IF(NOT($W591=0),"",SUMIFS('Val-Vol (2)'!AH$4:AH$1116,'Val-Vol (2)'!$A$4:$A$1116,$D591,'Val-Vol (2)'!$V$4:$V$1116,$V591)/SUMIFS('Comp2016-2017 (3)'!$G$5:$G$289,'Comp2016-2017 (3)'!$A$5:$A$289,$D591,'Comp2016-2017 (3)'!$R$5:$R$289,$V591)*$AB591))</f>
        <v/>
      </c>
      <c r="AI591" s="2" t="str">
        <f>IF($W591=AI$3,$AB591,IF(NOT($W591=0),"",SUMIFS('Val-Vol (2)'!AI$4:AI$1116,'Val-Vol (2)'!$A$4:$A$1116,$D591,'Val-Vol (2)'!$V$4:$V$1116,$V591)/SUMIFS('Comp2016-2017 (3)'!$G$5:$G$289,'Comp2016-2017 (3)'!$A$5:$A$289,$D591,'Comp2016-2017 (3)'!$R$5:$R$289,$V591)*$AB591))</f>
        <v/>
      </c>
      <c r="AJ591" s="2">
        <f>IF($W591=AJ$3,$AB591,IF(NOT($W591=0),"",SUMIFS('Val-Vol (2)'!AJ$4:AJ$1116,'Val-Vol (2)'!$A$4:$A$1116,$D591,'Val-Vol (2)'!$V$4:$V$1116,$V591)/SUMIFS('Comp2016-2017 (3)'!$G$5:$G$289,'Comp2016-2017 (3)'!$A$5:$A$289,$D591,'Comp2016-2017 (3)'!$R$5:$R$289,$V591)*$AB591))</f>
        <v>35122.859782698273</v>
      </c>
      <c r="AK591" s="2">
        <f t="shared" si="66"/>
        <v>0</v>
      </c>
      <c r="AL591" t="str">
        <f t="shared" si="68"/>
        <v/>
      </c>
      <c r="AM591" t="str">
        <f>VLOOKUP(A591,'Table corresp.'!$M$4:$U$63,8,FALSE)</f>
        <v>Production intermédiaire</v>
      </c>
      <c r="AN591" t="str">
        <f>VLOOKUP(D591,'Table corresp.'!$M$4:$U$63,9,FALSE)</f>
        <v>Consommation finale française</v>
      </c>
    </row>
    <row r="592" spans="1:40" x14ac:dyDescent="0.25">
      <c r="A592" t="s">
        <v>86</v>
      </c>
      <c r="B592" t="str">
        <f>VLOOKUP(LEFT(A592,3),'Table corresp.'!$A$4:$D$63,3,FALSE)</f>
        <v>Transformation</v>
      </c>
      <c r="C592" t="str">
        <f>VLOOKUP(A592,'Table corresp.'!$M$4:$P$63,4,FALSE)</f>
        <v>Production et transformation de produits bois</v>
      </c>
      <c r="D592" t="s">
        <v>53</v>
      </c>
      <c r="E592" t="str">
        <f>VLOOKUP(LEFT(D592,3),'Table corresp.'!$A$4:$D$63,4,FALSE)</f>
        <v>Exportation</v>
      </c>
      <c r="F592" t="str">
        <f t="shared" si="67"/>
        <v>30  - Exp</v>
      </c>
      <c r="G592" s="3">
        <v>46117.486955339096</v>
      </c>
      <c r="H592" s="3">
        <v>0</v>
      </c>
      <c r="I592" s="3">
        <v>46117.487000000001</v>
      </c>
      <c r="J592" s="3">
        <v>0</v>
      </c>
      <c r="K592" s="3">
        <v>0</v>
      </c>
      <c r="L592" s="3">
        <v>0</v>
      </c>
      <c r="M592" s="3">
        <v>0</v>
      </c>
      <c r="N592" s="3">
        <v>0</v>
      </c>
      <c r="O592" s="3">
        <v>0</v>
      </c>
      <c r="P592" s="3">
        <v>532.58482848549522</v>
      </c>
      <c r="Q592" s="3">
        <v>0</v>
      </c>
      <c r="R592" s="3">
        <v>532.58482848549522</v>
      </c>
      <c r="S592" s="67" t="s">
        <v>198</v>
      </c>
      <c r="T592">
        <f>VLOOKUP(A592,'Groupe de branches'!$Z$27:$AM$86,14,FALSE)</f>
        <v>1</v>
      </c>
      <c r="U592">
        <f>VLOOKUP(D592,'Groupe de branches'!$Z$27:$AM$86,14,FALSE)</f>
        <v>0</v>
      </c>
      <c r="V592">
        <v>2017</v>
      </c>
      <c r="W592" t="str">
        <f>VLOOKUP(D592,'Table corresp.'!$M$4:$S$63,7,FALSE)</f>
        <v>Exportation</v>
      </c>
      <c r="X592" s="167">
        <f>IFERROR(G592/SUMIFS('Comp2016-2017 (3)'!$I$5:$I$289,'Comp2016-2017 (3)'!$A$5:$A$289,A592,'Comp2016-2017 (3)'!$R$5:$R$289,V592),0)</f>
        <v>0.11094823582594163</v>
      </c>
      <c r="Y592" s="190">
        <f>IFERROR(IF(RIGHT(F592,3)="Exp",VLOOKUP(F592,#REF!,2,FALSE),VLOOKUP(F592,#REF!,9,FALSE)),1)</f>
        <v>1</v>
      </c>
      <c r="Z592" s="167">
        <f t="shared" si="65"/>
        <v>0.33333333333333331</v>
      </c>
      <c r="AA592" s="189">
        <f t="shared" si="69"/>
        <v>3.6982745275313873E-2</v>
      </c>
      <c r="AB592" s="2">
        <f>IFERROR(SUMIFS('Comp2016-2017 (3)'!$G$5:$G$289,'Comp2016-2017 (3)'!$A$5:$A$289,A592,'Comp2016-2017 (3)'!$R$5:$R$289,V592)*AA592/SUMIFS($AA$4:$AA$1116,$A$4:$A$1116,A592,$V$4:$V$1116,V592),0)</f>
        <v>8457.0027222330154</v>
      </c>
      <c r="AC592" s="2">
        <f>IF($W592=AC$3,$AB592,IF(NOT($W592=0),"",SUMIFS('Val-Vol (2)'!AC$4:AC$1116,'Val-Vol (2)'!$A$4:$A$1116,$D592,'Val-Vol (2)'!$V$4:$V$1116,$V592)/SUMIFS('Comp2016-2017 (3)'!$G$5:$G$289,'Comp2016-2017 (3)'!$A$5:$A$289,$D592,'Comp2016-2017 (3)'!$R$5:$R$289,$V592)*$AB592))</f>
        <v>8457.0027222330154</v>
      </c>
      <c r="AD592" s="2" t="str">
        <f>IF($W592=AD$3,$AB592,IF(NOT($W592=0),"",SUMIFS('Val-Vol (2)'!AD$4:AD$1116,'Val-Vol (2)'!$A$4:$A$1116,$D592,'Val-Vol (2)'!$V$4:$V$1116,$V592)/SUMIFS('Comp2016-2017 (3)'!$G$5:$G$289,'Comp2016-2017 (3)'!$A$5:$A$289,$D592,'Comp2016-2017 (3)'!$R$5:$R$289,$V592)*$AB592))</f>
        <v/>
      </c>
      <c r="AE592" s="2" t="str">
        <f>IF($W592=AE$3,$AB592,IF(NOT($W592=0),"",SUMIFS('Val-Vol (2)'!AE$4:AE$1116,'Val-Vol (2)'!$A$4:$A$1116,$D592,'Val-Vol (2)'!$V$4:$V$1116,$V592)/SUMIFS('Comp2016-2017 (3)'!$G$5:$G$289,'Comp2016-2017 (3)'!$A$5:$A$289,$D592,'Comp2016-2017 (3)'!$R$5:$R$289,$V592)*$AB592))</f>
        <v/>
      </c>
      <c r="AF592" s="2" t="str">
        <f>IF($W592=AF$3,$AB592,IF(NOT($W592=0),"",SUMIFS('Val-Vol (2)'!AF$4:AF$1116,'Val-Vol (2)'!$A$4:$A$1116,$D592,'Val-Vol (2)'!$V$4:$V$1116,$V592)/SUMIFS('Comp2016-2017 (3)'!$G$5:$G$289,'Comp2016-2017 (3)'!$A$5:$A$289,$D592,'Comp2016-2017 (3)'!$R$5:$R$289,$V592)*$AB592))</f>
        <v/>
      </c>
      <c r="AG592" s="2" t="str">
        <f>IF($W592=AG$3,$AB592,IF(NOT($W592=0),"",SUMIFS('Val-Vol (2)'!AG$4:AG$1116,'Val-Vol (2)'!$A$4:$A$1116,$D592,'Val-Vol (2)'!$V$4:$V$1116,$V592)/SUMIFS('Comp2016-2017 (3)'!$G$5:$G$289,'Comp2016-2017 (3)'!$A$5:$A$289,$D592,'Comp2016-2017 (3)'!$R$5:$R$289,$V592)*$AB592))</f>
        <v/>
      </c>
      <c r="AH592" s="2" t="str">
        <f>IF($W592=AH$3,$AB592,IF(NOT($W592=0),"",SUMIFS('Val-Vol (2)'!AH$4:AH$1116,'Val-Vol (2)'!$A$4:$A$1116,$D592,'Val-Vol (2)'!$V$4:$V$1116,$V592)/SUMIFS('Comp2016-2017 (3)'!$G$5:$G$289,'Comp2016-2017 (3)'!$A$5:$A$289,$D592,'Comp2016-2017 (3)'!$R$5:$R$289,$V592)*$AB592))</f>
        <v/>
      </c>
      <c r="AI592" s="2" t="str">
        <f>IF($W592=AI$3,$AB592,IF(NOT($W592=0),"",SUMIFS('Val-Vol (2)'!AI$4:AI$1116,'Val-Vol (2)'!$A$4:$A$1116,$D592,'Val-Vol (2)'!$V$4:$V$1116,$V592)/SUMIFS('Comp2016-2017 (3)'!$G$5:$G$289,'Comp2016-2017 (3)'!$A$5:$A$289,$D592,'Comp2016-2017 (3)'!$R$5:$R$289,$V592)*$AB592))</f>
        <v/>
      </c>
      <c r="AJ592" s="2" t="str">
        <f>IF($W592=AJ$3,$AB592,IF(NOT($W592=0),"",SUMIFS('Val-Vol (2)'!AJ$4:AJ$1116,'Val-Vol (2)'!$A$4:$A$1116,$D592,'Val-Vol (2)'!$V$4:$V$1116,$V592)/SUMIFS('Comp2016-2017 (3)'!$G$5:$G$289,'Comp2016-2017 (3)'!$A$5:$A$289,$D592,'Comp2016-2017 (3)'!$R$5:$R$289,$V592)*$AB592))</f>
        <v/>
      </c>
      <c r="AK592" s="2">
        <f t="shared" si="66"/>
        <v>0</v>
      </c>
      <c r="AL592" t="str">
        <f t="shared" si="68"/>
        <v/>
      </c>
      <c r="AM592" t="str">
        <f>VLOOKUP(A592,'Table corresp.'!$M$4:$U$63,8,FALSE)</f>
        <v>Production intermédiaire</v>
      </c>
      <c r="AN592" t="str">
        <f>VLOOKUP(D592,'Table corresp.'!$M$4:$U$63,9,FALSE)</f>
        <v>Exportation</v>
      </c>
    </row>
    <row r="593" spans="1:40" x14ac:dyDescent="0.25">
      <c r="A593" t="s">
        <v>87</v>
      </c>
      <c r="B593" t="str">
        <f>VLOOKUP(LEFT(A593,3),'Table corresp.'!$A$4:$D$63,3,FALSE)</f>
        <v>Transformation</v>
      </c>
      <c r="C593" t="str">
        <f>VLOOKUP(A593,'Table corresp.'!$M$4:$P$63,4,FALSE)</f>
        <v>Production et transformation de produits bois</v>
      </c>
      <c r="D593" t="s">
        <v>87</v>
      </c>
      <c r="E593" t="str">
        <f>VLOOKUP(LEFT(D593,3),'Table corresp.'!$A$4:$D$63,4,FALSE)</f>
        <v>Transformation</v>
      </c>
      <c r="F593" t="str">
        <f t="shared" si="67"/>
        <v xml:space="preserve">31  - 31 </v>
      </c>
      <c r="G593" s="3">
        <v>0</v>
      </c>
      <c r="H593" s="3">
        <v>58224.130230011826</v>
      </c>
      <c r="I593" s="3">
        <v>58224.130393943589</v>
      </c>
      <c r="J593" s="3">
        <v>0</v>
      </c>
      <c r="K593" s="3">
        <v>0</v>
      </c>
      <c r="L593" s="3">
        <v>0</v>
      </c>
      <c r="M593" s="3">
        <v>0</v>
      </c>
      <c r="N593" s="3">
        <v>0</v>
      </c>
      <c r="O593" s="3">
        <v>0</v>
      </c>
      <c r="P593" s="3">
        <v>0</v>
      </c>
      <c r="Q593" s="3">
        <v>0</v>
      </c>
      <c r="R593" s="3">
        <v>0</v>
      </c>
      <c r="S593" s="67"/>
      <c r="T593">
        <f>VLOOKUP(A593,'Groupe de branches'!$Z$27:$AM$86,14,FALSE)</f>
        <v>0</v>
      </c>
      <c r="U593">
        <f>VLOOKUP(D593,'Groupe de branches'!$Z$27:$AM$86,14,FALSE)</f>
        <v>0</v>
      </c>
      <c r="V593">
        <v>2017</v>
      </c>
      <c r="W593">
        <f>VLOOKUP(D593,'Table corresp.'!$M$4:$S$63,7,FALSE)</f>
        <v>0</v>
      </c>
      <c r="X593" s="167">
        <f>IFERROR(G593/SUMIFS('Comp2016-2017 (3)'!$I$5:$I$289,'Comp2016-2017 (3)'!$A$5:$A$289,A593,'Comp2016-2017 (3)'!$R$5:$R$289,V593),0)</f>
        <v>0</v>
      </c>
      <c r="Y593" s="190">
        <f>IFERROR(IF(RIGHT(F593,3)="Exp",VLOOKUP(F593,#REF!,2,FALSE),VLOOKUP(F593,#REF!,9,FALSE)),1)</f>
        <v>1</v>
      </c>
      <c r="Z593" s="167">
        <f t="shared" si="65"/>
        <v>5.8823529411764705E-2</v>
      </c>
      <c r="AA593" s="189">
        <f t="shared" si="69"/>
        <v>0</v>
      </c>
      <c r="AB593" s="2">
        <f>IFERROR(SUMIFS('Comp2016-2017 (3)'!$G$5:$G$289,'Comp2016-2017 (3)'!$A$5:$A$289,A593,'Comp2016-2017 (3)'!$R$5:$R$289,V593)*AA593/SUMIFS($AA$4:$AA$1116,$A$4:$A$1116,A593,$V$4:$V$1116,V593),0)</f>
        <v>0</v>
      </c>
      <c r="AC593" s="191"/>
      <c r="AD593" s="191"/>
      <c r="AE593" s="191"/>
      <c r="AF593" s="191"/>
      <c r="AG593" s="191"/>
      <c r="AH593" s="191"/>
      <c r="AI593" s="191"/>
      <c r="AJ593" s="198">
        <v>0</v>
      </c>
      <c r="AK593" s="2">
        <f t="shared" si="66"/>
        <v>0</v>
      </c>
      <c r="AL593" t="str">
        <f t="shared" si="68"/>
        <v>remplir à la main</v>
      </c>
      <c r="AM593" t="str">
        <f>VLOOKUP(A593,'Table corresp.'!$M$4:$U$63,8,FALSE)</f>
        <v>Production intermédiaire</v>
      </c>
      <c r="AN593" t="str">
        <f>VLOOKUP(D593,'Table corresp.'!$M$4:$U$63,9,FALSE)</f>
        <v>Production intermédiaire</v>
      </c>
    </row>
    <row r="594" spans="1:40" x14ac:dyDescent="0.25">
      <c r="A594" t="s">
        <v>87</v>
      </c>
      <c r="B594" t="str">
        <f>VLOOKUP(LEFT(A594,3),'Table corresp.'!$A$4:$D$63,3,FALSE)</f>
        <v>Transformation</v>
      </c>
      <c r="C594" t="str">
        <f>VLOOKUP(A594,'Table corresp.'!$M$4:$P$63,4,FALSE)</f>
        <v>Production et transformation de produits bois</v>
      </c>
      <c r="D594" t="s">
        <v>89</v>
      </c>
      <c r="E594" t="str">
        <f>VLOOKUP(LEFT(D594,3),'Table corresp.'!$A$4:$D$63,4,FALSE)</f>
        <v>Transformation</v>
      </c>
      <c r="F594" t="str">
        <f t="shared" si="67"/>
        <v xml:space="preserve">31  - 33 </v>
      </c>
      <c r="G594" s="3">
        <v>4448.4433260561345</v>
      </c>
      <c r="H594" s="3">
        <v>5270.1850817998629</v>
      </c>
      <c r="I594" s="3">
        <v>9718.6284352309958</v>
      </c>
      <c r="J594" s="3">
        <v>0.89080430930308641</v>
      </c>
      <c r="K594" s="3">
        <v>0.69006369453590821</v>
      </c>
      <c r="L594" s="3">
        <v>1.5808680038389946</v>
      </c>
      <c r="M594" s="3">
        <v>10.735448918912954</v>
      </c>
      <c r="N594" s="3">
        <v>9.1429348856422692</v>
      </c>
      <c r="O594" s="3">
        <v>19.878383804555224</v>
      </c>
      <c r="P594" s="3">
        <v>2.6479190679286067</v>
      </c>
      <c r="Q594" s="3">
        <v>3.149156513099435</v>
      </c>
      <c r="R594" s="3">
        <v>5.7970755810280412</v>
      </c>
      <c r="S594" s="67" t="s">
        <v>192</v>
      </c>
      <c r="T594">
        <f>VLOOKUP(A594,'Groupe de branches'!$Z$27:$AM$86,14,FALSE)</f>
        <v>0</v>
      </c>
      <c r="U594">
        <f>VLOOKUP(D594,'Groupe de branches'!$Z$27:$AM$86,14,FALSE)</f>
        <v>0</v>
      </c>
      <c r="V594">
        <v>2017</v>
      </c>
      <c r="W594" t="str">
        <f>VLOOKUP(D594,'Table corresp.'!$M$4:$S$63,7,FALSE)</f>
        <v>Construction</v>
      </c>
      <c r="X594" s="167">
        <f>IFERROR(G594/SUMIFS('Comp2016-2017 (3)'!$I$5:$I$289,'Comp2016-2017 (3)'!$A$5:$A$289,A594,'Comp2016-2017 (3)'!$R$5:$R$289,V594),0)</f>
        <v>2.8439731982997604E-3</v>
      </c>
      <c r="Y594" s="190">
        <f>IFERROR(IF(RIGHT(F594,3)="Exp",VLOOKUP(F594,#REF!,2,FALSE),VLOOKUP(F594,#REF!,9,FALSE)),1)</f>
        <v>1</v>
      </c>
      <c r="Z594" s="167">
        <f t="shared" si="65"/>
        <v>5.8823529411764705E-2</v>
      </c>
      <c r="AA594" s="189">
        <f t="shared" si="69"/>
        <v>1.6729254107645649E-4</v>
      </c>
      <c r="AB594" s="2">
        <f>IFERROR(SUMIFS('Comp2016-2017 (3)'!$G$5:$G$289,'Comp2016-2017 (3)'!$A$5:$A$289,A594,'Comp2016-2017 (3)'!$R$5:$R$289,V594)*AA594/SUMIFS($AA$4:$AA$1116,$A$4:$A$1116,A594,$V$4:$V$1116,V594),0)</f>
        <v>1158.4949540979449</v>
      </c>
      <c r="AC594" s="2" t="str">
        <f>IF($W594=AC$3,$AB594,IF(NOT($W594=0),"",SUMIFS('Val-Vol (2)'!AC$4:AC$1116,'Val-Vol (2)'!$A$4:$A$1116,$D594,'Val-Vol (2)'!$V$4:$V$1116,$V594)/SUMIFS('Comp2016-2017 (3)'!$G$5:$G$289,'Comp2016-2017 (3)'!$A$5:$A$289,$D594,'Comp2016-2017 (3)'!$R$5:$R$289,$V594)*$AB594))</f>
        <v/>
      </c>
      <c r="AD594" s="2">
        <f>IF($W594=AD$3,$AB594,IF(NOT($W594=0),"",SUMIFS('Val-Vol (2)'!AD$4:AD$1116,'Val-Vol (2)'!$A$4:$A$1116,$D594,'Val-Vol (2)'!$V$4:$V$1116,$V594)/SUMIFS('Comp2016-2017 (3)'!$G$5:$G$289,'Comp2016-2017 (3)'!$A$5:$A$289,$D594,'Comp2016-2017 (3)'!$R$5:$R$289,$V594)*$AB594))</f>
        <v>1158.4949540979449</v>
      </c>
      <c r="AE594" s="2" t="str">
        <f>IF($W594=AE$3,$AB594,IF(NOT($W594=0),"",SUMIFS('Val-Vol (2)'!AE$4:AE$1116,'Val-Vol (2)'!$A$4:$A$1116,$D594,'Val-Vol (2)'!$V$4:$V$1116,$V594)/SUMIFS('Comp2016-2017 (3)'!$G$5:$G$289,'Comp2016-2017 (3)'!$A$5:$A$289,$D594,'Comp2016-2017 (3)'!$R$5:$R$289,$V594)*$AB594))</f>
        <v/>
      </c>
      <c r="AF594" s="2" t="str">
        <f>IF($W594=AF$3,$AB594,IF(NOT($W594=0),"",SUMIFS('Val-Vol (2)'!AF$4:AF$1116,'Val-Vol (2)'!$A$4:$A$1116,$D594,'Val-Vol (2)'!$V$4:$V$1116,$V594)/SUMIFS('Comp2016-2017 (3)'!$G$5:$G$289,'Comp2016-2017 (3)'!$A$5:$A$289,$D594,'Comp2016-2017 (3)'!$R$5:$R$289,$V594)*$AB594))</f>
        <v/>
      </c>
      <c r="AG594" s="2" t="str">
        <f>IF($W594=AG$3,$AB594,IF(NOT($W594=0),"",SUMIFS('Val-Vol (2)'!AG$4:AG$1116,'Val-Vol (2)'!$A$4:$A$1116,$D594,'Val-Vol (2)'!$V$4:$V$1116,$V594)/SUMIFS('Comp2016-2017 (3)'!$G$5:$G$289,'Comp2016-2017 (3)'!$A$5:$A$289,$D594,'Comp2016-2017 (3)'!$R$5:$R$289,$V594)*$AB594))</f>
        <v/>
      </c>
      <c r="AH594" s="2" t="str">
        <f>IF($W594=AH$3,$AB594,IF(NOT($W594=0),"",SUMIFS('Val-Vol (2)'!AH$4:AH$1116,'Val-Vol (2)'!$A$4:$A$1116,$D594,'Val-Vol (2)'!$V$4:$V$1116,$V594)/SUMIFS('Comp2016-2017 (3)'!$G$5:$G$289,'Comp2016-2017 (3)'!$A$5:$A$289,$D594,'Comp2016-2017 (3)'!$R$5:$R$289,$V594)*$AB594))</f>
        <v/>
      </c>
      <c r="AI594" s="2" t="str">
        <f>IF($W594=AI$3,$AB594,IF(NOT($W594=0),"",SUMIFS('Val-Vol (2)'!AI$4:AI$1116,'Val-Vol (2)'!$A$4:$A$1116,$D594,'Val-Vol (2)'!$V$4:$V$1116,$V594)/SUMIFS('Comp2016-2017 (3)'!$G$5:$G$289,'Comp2016-2017 (3)'!$A$5:$A$289,$D594,'Comp2016-2017 (3)'!$R$5:$R$289,$V594)*$AB594))</f>
        <v/>
      </c>
      <c r="AJ594" s="2" t="str">
        <f>IF($W594=AJ$3,$AB594,IF(NOT($W594=0),"",SUMIFS('Val-Vol (2)'!AJ$4:AJ$1116,'Val-Vol (2)'!$A$4:$A$1116,$D594,'Val-Vol (2)'!$V$4:$V$1116,$V594)/SUMIFS('Comp2016-2017 (3)'!$G$5:$G$289,'Comp2016-2017 (3)'!$A$5:$A$289,$D594,'Comp2016-2017 (3)'!$R$5:$R$289,$V594)*$AB594))</f>
        <v/>
      </c>
      <c r="AK594" s="2">
        <f t="shared" si="66"/>
        <v>0</v>
      </c>
      <c r="AL594" t="str">
        <f t="shared" si="68"/>
        <v/>
      </c>
      <c r="AM594" t="str">
        <f>VLOOKUP(A594,'Table corresp.'!$M$4:$U$63,8,FALSE)</f>
        <v>Production intermédiaire</v>
      </c>
      <c r="AN594" t="str">
        <f>VLOOKUP(D594,'Table corresp.'!$M$4:$U$63,9,FALSE)</f>
        <v>Production finale</v>
      </c>
    </row>
    <row r="595" spans="1:40" x14ac:dyDescent="0.25">
      <c r="A595" t="s">
        <v>87</v>
      </c>
      <c r="B595" t="str">
        <f>VLOOKUP(LEFT(A595,3),'Table corresp.'!$A$4:$D$63,3,FALSE)</f>
        <v>Transformation</v>
      </c>
      <c r="C595" t="str">
        <f>VLOOKUP(A595,'Table corresp.'!$M$4:$P$63,4,FALSE)</f>
        <v>Production et transformation de produits bois</v>
      </c>
      <c r="D595" t="s">
        <v>90</v>
      </c>
      <c r="E595" t="str">
        <f>VLOOKUP(LEFT(D595,3),'Table corresp.'!$A$4:$D$63,4,FALSE)</f>
        <v>Transformation</v>
      </c>
      <c r="F595" t="str">
        <f t="shared" si="67"/>
        <v xml:space="preserve">31  - 34 </v>
      </c>
      <c r="G595" s="3">
        <v>12990.984144856146</v>
      </c>
      <c r="H595" s="3">
        <v>12525.215398297141</v>
      </c>
      <c r="I595" s="3">
        <v>25516.199615029695</v>
      </c>
      <c r="J595" s="3">
        <v>3.7634380790356166</v>
      </c>
      <c r="K595" s="3">
        <v>2.3725588284844719</v>
      </c>
      <c r="L595" s="3">
        <v>6.135996907520088</v>
      </c>
      <c r="M595" s="3">
        <v>45.354739346273576</v>
      </c>
      <c r="N595" s="3">
        <v>31.434998034171251</v>
      </c>
      <c r="O595" s="3">
        <v>76.789737380444819</v>
      </c>
      <c r="P595" s="3">
        <v>7.7328341864748564</v>
      </c>
      <c r="Q595" s="3">
        <v>7.484341258855749</v>
      </c>
      <c r="R595" s="3">
        <v>15.217175445330605</v>
      </c>
      <c r="S595" s="67" t="s">
        <v>192</v>
      </c>
      <c r="T595">
        <f>VLOOKUP(A595,'Groupe de branches'!$Z$27:$AM$86,14,FALSE)</f>
        <v>0</v>
      </c>
      <c r="U595">
        <f>VLOOKUP(D595,'Groupe de branches'!$Z$27:$AM$86,14,FALSE)</f>
        <v>0</v>
      </c>
      <c r="V595">
        <v>2017</v>
      </c>
      <c r="W595" t="str">
        <f>VLOOKUP(D595,'Table corresp.'!$M$4:$S$63,7,FALSE)</f>
        <v>Construction</v>
      </c>
      <c r="X595" s="167">
        <f>IFERROR(G595/SUMIFS('Comp2016-2017 (3)'!$I$5:$I$289,'Comp2016-2017 (3)'!$A$5:$A$289,A595,'Comp2016-2017 (3)'!$R$5:$R$289,V595),0)</f>
        <v>8.3053796619374509E-3</v>
      </c>
      <c r="Y595" s="190">
        <f>IFERROR(IF(RIGHT(F595,3)="Exp",VLOOKUP(F595,#REF!,2,FALSE),VLOOKUP(F595,#REF!,9,FALSE)),1)</f>
        <v>1</v>
      </c>
      <c r="Z595" s="167">
        <f t="shared" si="65"/>
        <v>5.8823529411764705E-2</v>
      </c>
      <c r="AA595" s="189">
        <f t="shared" si="69"/>
        <v>4.8855174481985005E-4</v>
      </c>
      <c r="AB595" s="2">
        <f>IFERROR(SUMIFS('Comp2016-2017 (3)'!$G$5:$G$289,'Comp2016-2017 (3)'!$A$5:$A$289,A595,'Comp2016-2017 (3)'!$R$5:$R$289,V595)*AA595/SUMIFS($AA$4:$AA$1116,$A$4:$A$1116,A595,$V$4:$V$1116,V595),0)</f>
        <v>3383.2036237101274</v>
      </c>
      <c r="AC595" s="2" t="str">
        <f>IF($W595=AC$3,$AB595,IF(NOT($W595=0),"",SUMIFS('Val-Vol (2)'!AC$4:AC$1116,'Val-Vol (2)'!$A$4:$A$1116,$D595,'Val-Vol (2)'!$V$4:$V$1116,$V595)/SUMIFS('Comp2016-2017 (3)'!$G$5:$G$289,'Comp2016-2017 (3)'!$A$5:$A$289,$D595,'Comp2016-2017 (3)'!$R$5:$R$289,$V595)*$AB595))</f>
        <v/>
      </c>
      <c r="AD595" s="2">
        <f>IF($W595=AD$3,$AB595,IF(NOT($W595=0),"",SUMIFS('Val-Vol (2)'!AD$4:AD$1116,'Val-Vol (2)'!$A$4:$A$1116,$D595,'Val-Vol (2)'!$V$4:$V$1116,$V595)/SUMIFS('Comp2016-2017 (3)'!$G$5:$G$289,'Comp2016-2017 (3)'!$A$5:$A$289,$D595,'Comp2016-2017 (3)'!$R$5:$R$289,$V595)*$AB595))</f>
        <v>3383.2036237101274</v>
      </c>
      <c r="AE595" s="2" t="str">
        <f>IF($W595=AE$3,$AB595,IF(NOT($W595=0),"",SUMIFS('Val-Vol (2)'!AE$4:AE$1116,'Val-Vol (2)'!$A$4:$A$1116,$D595,'Val-Vol (2)'!$V$4:$V$1116,$V595)/SUMIFS('Comp2016-2017 (3)'!$G$5:$G$289,'Comp2016-2017 (3)'!$A$5:$A$289,$D595,'Comp2016-2017 (3)'!$R$5:$R$289,$V595)*$AB595))</f>
        <v/>
      </c>
      <c r="AF595" s="2" t="str">
        <f>IF($W595=AF$3,$AB595,IF(NOT($W595=0),"",SUMIFS('Val-Vol (2)'!AF$4:AF$1116,'Val-Vol (2)'!$A$4:$A$1116,$D595,'Val-Vol (2)'!$V$4:$V$1116,$V595)/SUMIFS('Comp2016-2017 (3)'!$G$5:$G$289,'Comp2016-2017 (3)'!$A$5:$A$289,$D595,'Comp2016-2017 (3)'!$R$5:$R$289,$V595)*$AB595))</f>
        <v/>
      </c>
      <c r="AG595" s="2" t="str">
        <f>IF($W595=AG$3,$AB595,IF(NOT($W595=0),"",SUMIFS('Val-Vol (2)'!AG$4:AG$1116,'Val-Vol (2)'!$A$4:$A$1116,$D595,'Val-Vol (2)'!$V$4:$V$1116,$V595)/SUMIFS('Comp2016-2017 (3)'!$G$5:$G$289,'Comp2016-2017 (3)'!$A$5:$A$289,$D595,'Comp2016-2017 (3)'!$R$5:$R$289,$V595)*$AB595))</f>
        <v/>
      </c>
      <c r="AH595" s="2" t="str">
        <f>IF($W595=AH$3,$AB595,IF(NOT($W595=0),"",SUMIFS('Val-Vol (2)'!AH$4:AH$1116,'Val-Vol (2)'!$A$4:$A$1116,$D595,'Val-Vol (2)'!$V$4:$V$1116,$V595)/SUMIFS('Comp2016-2017 (3)'!$G$5:$G$289,'Comp2016-2017 (3)'!$A$5:$A$289,$D595,'Comp2016-2017 (3)'!$R$5:$R$289,$V595)*$AB595))</f>
        <v/>
      </c>
      <c r="AI595" s="2" t="str">
        <f>IF($W595=AI$3,$AB595,IF(NOT($W595=0),"",SUMIFS('Val-Vol (2)'!AI$4:AI$1116,'Val-Vol (2)'!$A$4:$A$1116,$D595,'Val-Vol (2)'!$V$4:$V$1116,$V595)/SUMIFS('Comp2016-2017 (3)'!$G$5:$G$289,'Comp2016-2017 (3)'!$A$5:$A$289,$D595,'Comp2016-2017 (3)'!$R$5:$R$289,$V595)*$AB595))</f>
        <v/>
      </c>
      <c r="AJ595" s="2" t="str">
        <f>IF($W595=AJ$3,$AB595,IF(NOT($W595=0),"",SUMIFS('Val-Vol (2)'!AJ$4:AJ$1116,'Val-Vol (2)'!$A$4:$A$1116,$D595,'Val-Vol (2)'!$V$4:$V$1116,$V595)/SUMIFS('Comp2016-2017 (3)'!$G$5:$G$289,'Comp2016-2017 (3)'!$A$5:$A$289,$D595,'Comp2016-2017 (3)'!$R$5:$R$289,$V595)*$AB595))</f>
        <v/>
      </c>
      <c r="AK595" s="2">
        <f t="shared" si="66"/>
        <v>0</v>
      </c>
      <c r="AL595" t="str">
        <f t="shared" si="68"/>
        <v/>
      </c>
      <c r="AM595" t="str">
        <f>VLOOKUP(A595,'Table corresp.'!$M$4:$U$63,8,FALSE)</f>
        <v>Production intermédiaire</v>
      </c>
      <c r="AN595" t="str">
        <f>VLOOKUP(D595,'Table corresp.'!$M$4:$U$63,9,FALSE)</f>
        <v>Production finale</v>
      </c>
    </row>
    <row r="596" spans="1:40" x14ac:dyDescent="0.25">
      <c r="A596" t="s">
        <v>87</v>
      </c>
      <c r="B596" t="str">
        <f>VLOOKUP(LEFT(A596,3),'Table corresp.'!$A$4:$D$63,3,FALSE)</f>
        <v>Transformation</v>
      </c>
      <c r="C596" t="str">
        <f>VLOOKUP(A596,'Table corresp.'!$M$4:$P$63,4,FALSE)</f>
        <v>Production et transformation de produits bois</v>
      </c>
      <c r="D596" t="s">
        <v>15</v>
      </c>
      <c r="E596" t="str">
        <f>VLOOKUP(LEFT(D596,3),'Table corresp.'!$A$4:$D$63,4,FALSE)</f>
        <v>Transformation</v>
      </c>
      <c r="F596" t="str">
        <f t="shared" si="67"/>
        <v xml:space="preserve">31  - 35 </v>
      </c>
      <c r="G596" s="3">
        <v>13382.182759994548</v>
      </c>
      <c r="H596" s="3">
        <v>3896.8264113120067</v>
      </c>
      <c r="I596" s="3">
        <v>17279.009219991953</v>
      </c>
      <c r="J596" s="3">
        <v>1.6614714905793981</v>
      </c>
      <c r="K596" s="3">
        <v>0.31634870520538882</v>
      </c>
      <c r="L596" s="3">
        <v>1.977820195784787</v>
      </c>
      <c r="M596" s="3">
        <v>20.023075922589161</v>
      </c>
      <c r="N596" s="3">
        <v>4.1914328137423889</v>
      </c>
      <c r="O596" s="3">
        <v>24.214508736331549</v>
      </c>
      <c r="P596" s="3">
        <v>7.9656936828080607</v>
      </c>
      <c r="Q596" s="3">
        <v>2.3285171361401393</v>
      </c>
      <c r="R596" s="3">
        <v>10.2942108189482</v>
      </c>
      <c r="S596" s="67" t="s">
        <v>192</v>
      </c>
      <c r="T596">
        <f>VLOOKUP(A596,'Groupe de branches'!$Z$27:$AM$86,14,FALSE)</f>
        <v>0</v>
      </c>
      <c r="U596">
        <f>VLOOKUP(D596,'Groupe de branches'!$Z$27:$AM$86,14,FALSE)</f>
        <v>0</v>
      </c>
      <c r="V596">
        <v>2017</v>
      </c>
      <c r="W596" t="str">
        <f>VLOOKUP(D596,'Table corresp.'!$M$4:$S$63,7,FALSE)</f>
        <v>Construction</v>
      </c>
      <c r="X596" s="167">
        <f>IFERROR(G596/SUMIFS('Comp2016-2017 (3)'!$I$5:$I$289,'Comp2016-2017 (3)'!$A$5:$A$289,A596,'Comp2016-2017 (3)'!$R$5:$R$289,V596),0)</f>
        <v>8.5554802690754467E-3</v>
      </c>
      <c r="Y596" s="190">
        <f>IFERROR(IF(RIGHT(F596,3)="Exp",VLOOKUP(F596,#REF!,2,FALSE),VLOOKUP(F596,#REF!,9,FALSE)),1)</f>
        <v>1</v>
      </c>
      <c r="Z596" s="167">
        <f t="shared" si="65"/>
        <v>5.8823529411764705E-2</v>
      </c>
      <c r="AA596" s="189">
        <f t="shared" si="69"/>
        <v>5.0326354523973216E-4</v>
      </c>
      <c r="AB596" s="2">
        <f>IFERROR(SUMIFS('Comp2016-2017 (3)'!$G$5:$G$289,'Comp2016-2017 (3)'!$A$5:$A$289,A596,'Comp2016-2017 (3)'!$R$5:$R$289,V596)*AA596/SUMIFS($AA$4:$AA$1116,$A$4:$A$1116,A596,$V$4:$V$1116,V596),0)</f>
        <v>3485.0823233966853</v>
      </c>
      <c r="AC596" s="2" t="str">
        <f>IF($W596=AC$3,$AB596,IF(NOT($W596=0),"",SUMIFS('Val-Vol (2)'!AC$4:AC$1116,'Val-Vol (2)'!$A$4:$A$1116,$D596,'Val-Vol (2)'!$V$4:$V$1116,$V596)/SUMIFS('Comp2016-2017 (3)'!$G$5:$G$289,'Comp2016-2017 (3)'!$A$5:$A$289,$D596,'Comp2016-2017 (3)'!$R$5:$R$289,$V596)*$AB596))</f>
        <v/>
      </c>
      <c r="AD596" s="2">
        <f>IF($W596=AD$3,$AB596,IF(NOT($W596=0),"",SUMIFS('Val-Vol (2)'!AD$4:AD$1116,'Val-Vol (2)'!$A$4:$A$1116,$D596,'Val-Vol (2)'!$V$4:$V$1116,$V596)/SUMIFS('Comp2016-2017 (3)'!$G$5:$G$289,'Comp2016-2017 (3)'!$A$5:$A$289,$D596,'Comp2016-2017 (3)'!$R$5:$R$289,$V596)*$AB596))</f>
        <v>3485.0823233966853</v>
      </c>
      <c r="AE596" s="2" t="str">
        <f>IF($W596=AE$3,$AB596,IF(NOT($W596=0),"",SUMIFS('Val-Vol (2)'!AE$4:AE$1116,'Val-Vol (2)'!$A$4:$A$1116,$D596,'Val-Vol (2)'!$V$4:$V$1116,$V596)/SUMIFS('Comp2016-2017 (3)'!$G$5:$G$289,'Comp2016-2017 (3)'!$A$5:$A$289,$D596,'Comp2016-2017 (3)'!$R$5:$R$289,$V596)*$AB596))</f>
        <v/>
      </c>
      <c r="AF596" s="2" t="str">
        <f>IF($W596=AF$3,$AB596,IF(NOT($W596=0),"",SUMIFS('Val-Vol (2)'!AF$4:AF$1116,'Val-Vol (2)'!$A$4:$A$1116,$D596,'Val-Vol (2)'!$V$4:$V$1116,$V596)/SUMIFS('Comp2016-2017 (3)'!$G$5:$G$289,'Comp2016-2017 (3)'!$A$5:$A$289,$D596,'Comp2016-2017 (3)'!$R$5:$R$289,$V596)*$AB596))</f>
        <v/>
      </c>
      <c r="AG596" s="2" t="str">
        <f>IF($W596=AG$3,$AB596,IF(NOT($W596=0),"",SUMIFS('Val-Vol (2)'!AG$4:AG$1116,'Val-Vol (2)'!$A$4:$A$1116,$D596,'Val-Vol (2)'!$V$4:$V$1116,$V596)/SUMIFS('Comp2016-2017 (3)'!$G$5:$G$289,'Comp2016-2017 (3)'!$A$5:$A$289,$D596,'Comp2016-2017 (3)'!$R$5:$R$289,$V596)*$AB596))</f>
        <v/>
      </c>
      <c r="AH596" s="2" t="str">
        <f>IF($W596=AH$3,$AB596,IF(NOT($W596=0),"",SUMIFS('Val-Vol (2)'!AH$4:AH$1116,'Val-Vol (2)'!$A$4:$A$1116,$D596,'Val-Vol (2)'!$V$4:$V$1116,$V596)/SUMIFS('Comp2016-2017 (3)'!$G$5:$G$289,'Comp2016-2017 (3)'!$A$5:$A$289,$D596,'Comp2016-2017 (3)'!$R$5:$R$289,$V596)*$AB596))</f>
        <v/>
      </c>
      <c r="AI596" s="2" t="str">
        <f>IF($W596=AI$3,$AB596,IF(NOT($W596=0),"",SUMIFS('Val-Vol (2)'!AI$4:AI$1116,'Val-Vol (2)'!$A$4:$A$1116,$D596,'Val-Vol (2)'!$V$4:$V$1116,$V596)/SUMIFS('Comp2016-2017 (3)'!$G$5:$G$289,'Comp2016-2017 (3)'!$A$5:$A$289,$D596,'Comp2016-2017 (3)'!$R$5:$R$289,$V596)*$AB596))</f>
        <v/>
      </c>
      <c r="AJ596" s="2" t="str">
        <f>IF($W596=AJ$3,$AB596,IF(NOT($W596=0),"",SUMIFS('Val-Vol (2)'!AJ$4:AJ$1116,'Val-Vol (2)'!$A$4:$A$1116,$D596,'Val-Vol (2)'!$V$4:$V$1116,$V596)/SUMIFS('Comp2016-2017 (3)'!$G$5:$G$289,'Comp2016-2017 (3)'!$A$5:$A$289,$D596,'Comp2016-2017 (3)'!$R$5:$R$289,$V596)*$AB596))</f>
        <v/>
      </c>
      <c r="AK596" s="2">
        <f t="shared" si="66"/>
        <v>0</v>
      </c>
      <c r="AL596" t="str">
        <f t="shared" si="68"/>
        <v/>
      </c>
      <c r="AM596" t="str">
        <f>VLOOKUP(A596,'Table corresp.'!$M$4:$U$63,8,FALSE)</f>
        <v>Production intermédiaire</v>
      </c>
      <c r="AN596" t="str">
        <f>VLOOKUP(D596,'Table corresp.'!$M$4:$U$63,9,FALSE)</f>
        <v>Production finale</v>
      </c>
    </row>
    <row r="597" spans="1:40" x14ac:dyDescent="0.25">
      <c r="A597" t="s">
        <v>87</v>
      </c>
      <c r="B597" t="str">
        <f>VLOOKUP(LEFT(A597,3),'Table corresp.'!$A$4:$D$63,3,FALSE)</f>
        <v>Transformation</v>
      </c>
      <c r="C597" t="str">
        <f>VLOOKUP(A597,'Table corresp.'!$M$4:$P$63,4,FALSE)</f>
        <v>Production et transformation de produits bois</v>
      </c>
      <c r="D597" t="s">
        <v>16</v>
      </c>
      <c r="E597" t="str">
        <f>VLOOKUP(LEFT(D597,3),'Table corresp.'!$A$4:$D$63,4,FALSE)</f>
        <v>Transformation</v>
      </c>
      <c r="F597" t="str">
        <f t="shared" si="67"/>
        <v xml:space="preserve">31  - 36 </v>
      </c>
      <c r="G597" s="3">
        <v>36616.034708396335</v>
      </c>
      <c r="H597" s="3">
        <v>84517.076821125287</v>
      </c>
      <c r="I597" s="3">
        <v>121133.11187067354</v>
      </c>
      <c r="J597" s="3">
        <v>6.2054016852116467</v>
      </c>
      <c r="K597" s="3">
        <v>9.3655248456804934</v>
      </c>
      <c r="L597" s="3">
        <v>15.570926530892141</v>
      </c>
      <c r="M597" s="3">
        <v>65.439280882937993</v>
      </c>
      <c r="N597" s="3">
        <v>108.58236245715813</v>
      </c>
      <c r="O597" s="3">
        <v>174.02164334009612</v>
      </c>
      <c r="P597" s="3">
        <v>21.795556195667455</v>
      </c>
      <c r="Q597" s="3">
        <v>50.502496365549732</v>
      </c>
      <c r="R597" s="3">
        <v>72.29805256121719</v>
      </c>
      <c r="S597" s="67" t="s">
        <v>192</v>
      </c>
      <c r="T597">
        <f>VLOOKUP(A597,'Groupe de branches'!$Z$27:$AM$86,14,FALSE)</f>
        <v>0</v>
      </c>
      <c r="U597">
        <f>VLOOKUP(D597,'Groupe de branches'!$Z$27:$AM$86,14,FALSE)</f>
        <v>0</v>
      </c>
      <c r="V597">
        <v>2017</v>
      </c>
      <c r="W597" t="str">
        <f>VLOOKUP(D597,'Table corresp.'!$M$4:$S$63,7,FALSE)</f>
        <v>Construction</v>
      </c>
      <c r="X597" s="167">
        <f>IFERROR(G597/SUMIFS('Comp2016-2017 (3)'!$I$5:$I$289,'Comp2016-2017 (3)'!$A$5:$A$289,A597,'Comp2016-2017 (3)'!$R$5:$R$289,V597),0)</f>
        <v>2.3409317306289291E-2</v>
      </c>
      <c r="Y597" s="190">
        <f>IFERROR(IF(RIGHT(F597,3)="Exp",VLOOKUP(F597,#REF!,2,FALSE),VLOOKUP(F597,#REF!,9,FALSE)),1)</f>
        <v>1</v>
      </c>
      <c r="Z597" s="167">
        <f t="shared" si="65"/>
        <v>5.8823529411764705E-2</v>
      </c>
      <c r="AA597" s="189">
        <f t="shared" si="69"/>
        <v>1.3770186650758406E-3</v>
      </c>
      <c r="AB597" s="2">
        <f>IFERROR(SUMIFS('Comp2016-2017 (3)'!$G$5:$G$289,'Comp2016-2017 (3)'!$A$5:$A$289,A597,'Comp2016-2017 (3)'!$R$5:$R$289,V597)*AA597/SUMIFS($AA$4:$AA$1116,$A$4:$A$1116,A597,$V$4:$V$1116,V597),0)</f>
        <v>9535.8057503590353</v>
      </c>
      <c r="AC597" s="2" t="str">
        <f>IF($W597=AC$3,$AB597,IF(NOT($W597=0),"",SUMIFS('Val-Vol (2)'!AC$4:AC$1116,'Val-Vol (2)'!$A$4:$A$1116,$D597,'Val-Vol (2)'!$V$4:$V$1116,$V597)/SUMIFS('Comp2016-2017 (3)'!$G$5:$G$289,'Comp2016-2017 (3)'!$A$5:$A$289,$D597,'Comp2016-2017 (3)'!$R$5:$R$289,$V597)*$AB597))</f>
        <v/>
      </c>
      <c r="AD597" s="2">
        <f>IF($W597=AD$3,$AB597,IF(NOT($W597=0),"",SUMIFS('Val-Vol (2)'!AD$4:AD$1116,'Val-Vol (2)'!$A$4:$A$1116,$D597,'Val-Vol (2)'!$V$4:$V$1116,$V597)/SUMIFS('Comp2016-2017 (3)'!$G$5:$G$289,'Comp2016-2017 (3)'!$A$5:$A$289,$D597,'Comp2016-2017 (3)'!$R$5:$R$289,$V597)*$AB597))</f>
        <v>9535.8057503590353</v>
      </c>
      <c r="AE597" s="2" t="str">
        <f>IF($W597=AE$3,$AB597,IF(NOT($W597=0),"",SUMIFS('Val-Vol (2)'!AE$4:AE$1116,'Val-Vol (2)'!$A$4:$A$1116,$D597,'Val-Vol (2)'!$V$4:$V$1116,$V597)/SUMIFS('Comp2016-2017 (3)'!$G$5:$G$289,'Comp2016-2017 (3)'!$A$5:$A$289,$D597,'Comp2016-2017 (3)'!$R$5:$R$289,$V597)*$AB597))</f>
        <v/>
      </c>
      <c r="AF597" s="2" t="str">
        <f>IF($W597=AF$3,$AB597,IF(NOT($W597=0),"",SUMIFS('Val-Vol (2)'!AF$4:AF$1116,'Val-Vol (2)'!$A$4:$A$1116,$D597,'Val-Vol (2)'!$V$4:$V$1116,$V597)/SUMIFS('Comp2016-2017 (3)'!$G$5:$G$289,'Comp2016-2017 (3)'!$A$5:$A$289,$D597,'Comp2016-2017 (3)'!$R$5:$R$289,$V597)*$AB597))</f>
        <v/>
      </c>
      <c r="AG597" s="2" t="str">
        <f>IF($W597=AG$3,$AB597,IF(NOT($W597=0),"",SUMIFS('Val-Vol (2)'!AG$4:AG$1116,'Val-Vol (2)'!$A$4:$A$1116,$D597,'Val-Vol (2)'!$V$4:$V$1116,$V597)/SUMIFS('Comp2016-2017 (3)'!$G$5:$G$289,'Comp2016-2017 (3)'!$A$5:$A$289,$D597,'Comp2016-2017 (3)'!$R$5:$R$289,$V597)*$AB597))</f>
        <v/>
      </c>
      <c r="AH597" s="2" t="str">
        <f>IF($W597=AH$3,$AB597,IF(NOT($W597=0),"",SUMIFS('Val-Vol (2)'!AH$4:AH$1116,'Val-Vol (2)'!$A$4:$A$1116,$D597,'Val-Vol (2)'!$V$4:$V$1116,$V597)/SUMIFS('Comp2016-2017 (3)'!$G$5:$G$289,'Comp2016-2017 (3)'!$A$5:$A$289,$D597,'Comp2016-2017 (3)'!$R$5:$R$289,$V597)*$AB597))</f>
        <v/>
      </c>
      <c r="AI597" s="2" t="str">
        <f>IF($W597=AI$3,$AB597,IF(NOT($W597=0),"",SUMIFS('Val-Vol (2)'!AI$4:AI$1116,'Val-Vol (2)'!$A$4:$A$1116,$D597,'Val-Vol (2)'!$V$4:$V$1116,$V597)/SUMIFS('Comp2016-2017 (3)'!$G$5:$G$289,'Comp2016-2017 (3)'!$A$5:$A$289,$D597,'Comp2016-2017 (3)'!$R$5:$R$289,$V597)*$AB597))</f>
        <v/>
      </c>
      <c r="AJ597" s="2" t="str">
        <f>IF($W597=AJ$3,$AB597,IF(NOT($W597=0),"",SUMIFS('Val-Vol (2)'!AJ$4:AJ$1116,'Val-Vol (2)'!$A$4:$A$1116,$D597,'Val-Vol (2)'!$V$4:$V$1116,$V597)/SUMIFS('Comp2016-2017 (3)'!$G$5:$G$289,'Comp2016-2017 (3)'!$A$5:$A$289,$D597,'Comp2016-2017 (3)'!$R$5:$R$289,$V597)*$AB597))</f>
        <v/>
      </c>
      <c r="AK597" s="2">
        <f t="shared" si="66"/>
        <v>0</v>
      </c>
      <c r="AL597" t="str">
        <f t="shared" si="68"/>
        <v/>
      </c>
      <c r="AM597" t="str">
        <f>VLOOKUP(A597,'Table corresp.'!$M$4:$U$63,8,FALSE)</f>
        <v>Production intermédiaire</v>
      </c>
      <c r="AN597" t="str">
        <f>VLOOKUP(D597,'Table corresp.'!$M$4:$U$63,9,FALSE)</f>
        <v>Production finale</v>
      </c>
    </row>
    <row r="598" spans="1:40" x14ac:dyDescent="0.25">
      <c r="A598" t="s">
        <v>87</v>
      </c>
      <c r="B598" t="str">
        <f>VLOOKUP(LEFT(A598,3),'Table corresp.'!$A$4:$D$63,3,FALSE)</f>
        <v>Transformation</v>
      </c>
      <c r="C598" t="str">
        <f>VLOOKUP(A598,'Table corresp.'!$M$4:$P$63,4,FALSE)</f>
        <v>Production et transformation de produits bois</v>
      </c>
      <c r="D598" t="s">
        <v>91</v>
      </c>
      <c r="E598" t="str">
        <f>VLOOKUP(LEFT(D598,3),'Table corresp.'!$A$4:$D$63,4,FALSE)</f>
        <v>Transformation</v>
      </c>
      <c r="F598" t="str">
        <f t="shared" si="67"/>
        <v xml:space="preserve">31  - 37 </v>
      </c>
      <c r="G598" s="3">
        <v>141878.49986211277</v>
      </c>
      <c r="H598" s="3">
        <v>43380.882360706957</v>
      </c>
      <c r="I598" s="3">
        <v>185259.38274480298</v>
      </c>
      <c r="J598" s="3">
        <v>20.313041037914687</v>
      </c>
      <c r="K598" s="3">
        <v>4.061119824579543</v>
      </c>
      <c r="L598" s="3">
        <v>24.374160862494229</v>
      </c>
      <c r="M598" s="3">
        <v>460.31789287340013</v>
      </c>
      <c r="N598" s="3">
        <v>101.17827284817875</v>
      </c>
      <c r="O598" s="3">
        <v>561.4961657215789</v>
      </c>
      <c r="P598" s="3">
        <v>2.4129325864461729E-3</v>
      </c>
      <c r="Q598" s="3">
        <v>7.406255926218539E-4</v>
      </c>
      <c r="R598" s="3">
        <v>3.1535581790680268E-3</v>
      </c>
      <c r="S598" s="67"/>
      <c r="T598">
        <f>VLOOKUP(A598,'Groupe de branches'!$Z$27:$AM$86,14,FALSE)</f>
        <v>0</v>
      </c>
      <c r="U598">
        <f>VLOOKUP(D598,'Groupe de branches'!$Z$27:$AM$86,14,FALSE)</f>
        <v>0</v>
      </c>
      <c r="V598">
        <v>2017</v>
      </c>
      <c r="W598" t="str">
        <f>VLOOKUP(D598,'Table corresp.'!$M$4:$S$63,7,FALSE)</f>
        <v>Emballage bois et carton</v>
      </c>
      <c r="X598" s="167">
        <f>IFERROR(G598/SUMIFS('Comp2016-2017 (3)'!$I$5:$I$289,'Comp2016-2017 (3)'!$A$5:$A$289,A598,'Comp2016-2017 (3)'!$R$5:$R$289,V598),0)</f>
        <v>9.0705584279198989E-2</v>
      </c>
      <c r="Y598" s="190">
        <f>IFERROR(IF(RIGHT(F598,3)="Exp",VLOOKUP(F598,#REF!,2,FALSE),VLOOKUP(F598,#REF!,9,FALSE)),1)</f>
        <v>1</v>
      </c>
      <c r="Z598" s="167">
        <f t="shared" si="65"/>
        <v>5.8823529411764705E-2</v>
      </c>
      <c r="AA598" s="189">
        <f t="shared" si="69"/>
        <v>5.335622604658764E-3</v>
      </c>
      <c r="AB598" s="2">
        <f>IFERROR(SUMIFS('Comp2016-2017 (3)'!$G$5:$G$289,'Comp2016-2017 (3)'!$A$5:$A$289,A598,'Comp2016-2017 (3)'!$R$5:$R$289,V598)*AA598/SUMIFS($AA$4:$AA$1116,$A$4:$A$1116,A598,$V$4:$V$1116,V598),0)</f>
        <v>36948.998590697003</v>
      </c>
      <c r="AC598" s="2" t="str">
        <f>IF($W598=AC$3,$AB598,IF(NOT($W598=0),"",SUMIFS('Val-Vol (2)'!AC$4:AC$1116,'Val-Vol (2)'!$A$4:$A$1116,$D598,'Val-Vol (2)'!$V$4:$V$1116,$V598)/SUMIFS('Comp2016-2017 (3)'!$G$5:$G$289,'Comp2016-2017 (3)'!$A$5:$A$289,$D598,'Comp2016-2017 (3)'!$R$5:$R$289,$V598)*$AB598))</f>
        <v/>
      </c>
      <c r="AD598" s="2" t="str">
        <f>IF($W598=AD$3,$AB598,IF(NOT($W598=0),"",SUMIFS('Val-Vol (2)'!AD$4:AD$1116,'Val-Vol (2)'!$A$4:$A$1116,$D598,'Val-Vol (2)'!$V$4:$V$1116,$V598)/SUMIFS('Comp2016-2017 (3)'!$G$5:$G$289,'Comp2016-2017 (3)'!$A$5:$A$289,$D598,'Comp2016-2017 (3)'!$R$5:$R$289,$V598)*$AB598))</f>
        <v/>
      </c>
      <c r="AE598" s="2" t="str">
        <f>IF($W598=AE$3,$AB598,IF(NOT($W598=0),"",SUMIFS('Val-Vol (2)'!AE$4:AE$1116,'Val-Vol (2)'!$A$4:$A$1116,$D598,'Val-Vol (2)'!$V$4:$V$1116,$V598)/SUMIFS('Comp2016-2017 (3)'!$G$5:$G$289,'Comp2016-2017 (3)'!$A$5:$A$289,$D598,'Comp2016-2017 (3)'!$R$5:$R$289,$V598)*$AB598))</f>
        <v/>
      </c>
      <c r="AF598" s="2" t="str">
        <f>IF($W598=AF$3,$AB598,IF(NOT($W598=0),"",SUMIFS('Val-Vol (2)'!AF$4:AF$1116,'Val-Vol (2)'!$A$4:$A$1116,$D598,'Val-Vol (2)'!$V$4:$V$1116,$V598)/SUMIFS('Comp2016-2017 (3)'!$G$5:$G$289,'Comp2016-2017 (3)'!$A$5:$A$289,$D598,'Comp2016-2017 (3)'!$R$5:$R$289,$V598)*$AB598))</f>
        <v/>
      </c>
      <c r="AG598" s="2">
        <f>IF($W598=AG$3,$AB598,IF(NOT($W598=0),"",SUMIFS('Val-Vol (2)'!AG$4:AG$1116,'Val-Vol (2)'!$A$4:$A$1116,$D598,'Val-Vol (2)'!$V$4:$V$1116,$V598)/SUMIFS('Comp2016-2017 (3)'!$G$5:$G$289,'Comp2016-2017 (3)'!$A$5:$A$289,$D598,'Comp2016-2017 (3)'!$R$5:$R$289,$V598)*$AB598))</f>
        <v>36948.998590697003</v>
      </c>
      <c r="AH598" s="2" t="str">
        <f>IF($W598=AH$3,$AB598,IF(NOT($W598=0),"",SUMIFS('Val-Vol (2)'!AH$4:AH$1116,'Val-Vol (2)'!$A$4:$A$1116,$D598,'Val-Vol (2)'!$V$4:$V$1116,$V598)/SUMIFS('Comp2016-2017 (3)'!$G$5:$G$289,'Comp2016-2017 (3)'!$A$5:$A$289,$D598,'Comp2016-2017 (3)'!$R$5:$R$289,$V598)*$AB598))</f>
        <v/>
      </c>
      <c r="AI598" s="2" t="str">
        <f>IF($W598=AI$3,$AB598,IF(NOT($W598=0),"",SUMIFS('Val-Vol (2)'!AI$4:AI$1116,'Val-Vol (2)'!$A$4:$A$1116,$D598,'Val-Vol (2)'!$V$4:$V$1116,$V598)/SUMIFS('Comp2016-2017 (3)'!$G$5:$G$289,'Comp2016-2017 (3)'!$A$5:$A$289,$D598,'Comp2016-2017 (3)'!$R$5:$R$289,$V598)*$AB598))</f>
        <v/>
      </c>
      <c r="AJ598" s="2" t="str">
        <f>IF($W598=AJ$3,$AB598,IF(NOT($W598=0),"",SUMIFS('Val-Vol (2)'!AJ$4:AJ$1116,'Val-Vol (2)'!$A$4:$A$1116,$D598,'Val-Vol (2)'!$V$4:$V$1116,$V598)/SUMIFS('Comp2016-2017 (3)'!$G$5:$G$289,'Comp2016-2017 (3)'!$A$5:$A$289,$D598,'Comp2016-2017 (3)'!$R$5:$R$289,$V598)*$AB598))</f>
        <v/>
      </c>
      <c r="AK598" s="2">
        <f t="shared" si="66"/>
        <v>0</v>
      </c>
      <c r="AL598" t="str">
        <f t="shared" si="68"/>
        <v/>
      </c>
      <c r="AM598" t="str">
        <f>VLOOKUP(A598,'Table corresp.'!$M$4:$U$63,8,FALSE)</f>
        <v>Production intermédiaire</v>
      </c>
      <c r="AN598" t="str">
        <f>VLOOKUP(D598,'Table corresp.'!$M$4:$U$63,9,FALSE)</f>
        <v>Production finale</v>
      </c>
    </row>
    <row r="599" spans="1:40" x14ac:dyDescent="0.25">
      <c r="A599" t="s">
        <v>87</v>
      </c>
      <c r="B599" t="str">
        <f>VLOOKUP(LEFT(A599,3),'Table corresp.'!$A$4:$D$63,3,FALSE)</f>
        <v>Transformation</v>
      </c>
      <c r="C599" t="str">
        <f>VLOOKUP(A599,'Table corresp.'!$M$4:$P$63,4,FALSE)</f>
        <v>Production et transformation de produits bois</v>
      </c>
      <c r="D599" t="s">
        <v>18</v>
      </c>
      <c r="E599" t="str">
        <f>VLOOKUP(LEFT(D599,3),'Table corresp.'!$A$4:$D$63,4,FALSE)</f>
        <v>Transformation</v>
      </c>
      <c r="F599" t="str">
        <f t="shared" si="67"/>
        <v xml:space="preserve">31  - 39 </v>
      </c>
      <c r="G599" s="3">
        <v>3756.1494821013785</v>
      </c>
      <c r="H599" s="3">
        <v>0</v>
      </c>
      <c r="I599" s="3">
        <v>3756.1494926869882</v>
      </c>
      <c r="J599" s="3">
        <v>0.4663465886538643</v>
      </c>
      <c r="K599" s="3">
        <v>0</v>
      </c>
      <c r="L599" s="3">
        <v>0.4663465886538643</v>
      </c>
      <c r="M599" s="3">
        <v>5.6201344433544769</v>
      </c>
      <c r="N599" s="3">
        <v>0</v>
      </c>
      <c r="O599" s="3">
        <v>5.6201344433544769</v>
      </c>
      <c r="P599" s="3">
        <v>2.2358337752420527</v>
      </c>
      <c r="Q599" s="3">
        <v>0</v>
      </c>
      <c r="R599" s="3">
        <v>2.2358337752420527</v>
      </c>
      <c r="S599" s="67" t="s">
        <v>192</v>
      </c>
      <c r="T599">
        <f>VLOOKUP(A599,'Groupe de branches'!$Z$27:$AM$86,14,FALSE)</f>
        <v>0</v>
      </c>
      <c r="U599">
        <f>VLOOKUP(D599,'Groupe de branches'!$Z$27:$AM$86,14,FALSE)</f>
        <v>0</v>
      </c>
      <c r="V599">
        <v>2017</v>
      </c>
      <c r="W599" t="str">
        <f>VLOOKUP(D599,'Table corresp.'!$M$4:$S$63,7,FALSE)</f>
        <v>Construction</v>
      </c>
      <c r="X599" s="167">
        <f>IFERROR(G599/SUMIFS('Comp2016-2017 (3)'!$I$5:$I$289,'Comp2016-2017 (3)'!$A$5:$A$289,A599,'Comp2016-2017 (3)'!$R$5:$R$289,V599),0)</f>
        <v>2.4013767677635118E-3</v>
      </c>
      <c r="Y599" s="190">
        <f>IFERROR(IF(RIGHT(F599,3)="Exp",VLOOKUP(F599,#REF!,2,FALSE),VLOOKUP(F599,#REF!,9,FALSE)),1)</f>
        <v>1</v>
      </c>
      <c r="Z599" s="167">
        <f t="shared" si="65"/>
        <v>5.8823529411764705E-2</v>
      </c>
      <c r="AA599" s="189">
        <f t="shared" si="69"/>
        <v>1.4125745692726541E-4</v>
      </c>
      <c r="AB599" s="2">
        <f>IFERROR(SUMIFS('Comp2016-2017 (3)'!$G$5:$G$289,'Comp2016-2017 (3)'!$A$5:$A$289,A599,'Comp2016-2017 (3)'!$R$5:$R$289,V599)*AA599/SUMIFS($AA$4:$AA$1116,$A$4:$A$1116,A599,$V$4:$V$1116,V599),0)</f>
        <v>978.20291344701855</v>
      </c>
      <c r="AC599" s="2" t="str">
        <f>IF($W599=AC$3,$AB599,IF(NOT($W599=0),"",SUMIFS('Val-Vol (2)'!AC$4:AC$1116,'Val-Vol (2)'!$A$4:$A$1116,$D599,'Val-Vol (2)'!$V$4:$V$1116,$V599)/SUMIFS('Comp2016-2017 (3)'!$G$5:$G$289,'Comp2016-2017 (3)'!$A$5:$A$289,$D599,'Comp2016-2017 (3)'!$R$5:$R$289,$V599)*$AB599))</f>
        <v/>
      </c>
      <c r="AD599" s="2">
        <f>IF($W599=AD$3,$AB599,IF(NOT($W599=0),"",SUMIFS('Val-Vol (2)'!AD$4:AD$1116,'Val-Vol (2)'!$A$4:$A$1116,$D599,'Val-Vol (2)'!$V$4:$V$1116,$V599)/SUMIFS('Comp2016-2017 (3)'!$G$5:$G$289,'Comp2016-2017 (3)'!$A$5:$A$289,$D599,'Comp2016-2017 (3)'!$R$5:$R$289,$V599)*$AB599))</f>
        <v>978.20291344701855</v>
      </c>
      <c r="AE599" s="2" t="str">
        <f>IF($W599=AE$3,$AB599,IF(NOT($W599=0),"",SUMIFS('Val-Vol (2)'!AE$4:AE$1116,'Val-Vol (2)'!$A$4:$A$1116,$D599,'Val-Vol (2)'!$V$4:$V$1116,$V599)/SUMIFS('Comp2016-2017 (3)'!$G$5:$G$289,'Comp2016-2017 (3)'!$A$5:$A$289,$D599,'Comp2016-2017 (3)'!$R$5:$R$289,$V599)*$AB599))</f>
        <v/>
      </c>
      <c r="AF599" s="2" t="str">
        <f>IF($W599=AF$3,$AB599,IF(NOT($W599=0),"",SUMIFS('Val-Vol (2)'!AF$4:AF$1116,'Val-Vol (2)'!$A$4:$A$1116,$D599,'Val-Vol (2)'!$V$4:$V$1116,$V599)/SUMIFS('Comp2016-2017 (3)'!$G$5:$G$289,'Comp2016-2017 (3)'!$A$5:$A$289,$D599,'Comp2016-2017 (3)'!$R$5:$R$289,$V599)*$AB599))</f>
        <v/>
      </c>
      <c r="AG599" s="2" t="str">
        <f>IF($W599=AG$3,$AB599,IF(NOT($W599=0),"",SUMIFS('Val-Vol (2)'!AG$4:AG$1116,'Val-Vol (2)'!$A$4:$A$1116,$D599,'Val-Vol (2)'!$V$4:$V$1116,$V599)/SUMIFS('Comp2016-2017 (3)'!$G$5:$G$289,'Comp2016-2017 (3)'!$A$5:$A$289,$D599,'Comp2016-2017 (3)'!$R$5:$R$289,$V599)*$AB599))</f>
        <v/>
      </c>
      <c r="AH599" s="2" t="str">
        <f>IF($W599=AH$3,$AB599,IF(NOT($W599=0),"",SUMIFS('Val-Vol (2)'!AH$4:AH$1116,'Val-Vol (2)'!$A$4:$A$1116,$D599,'Val-Vol (2)'!$V$4:$V$1116,$V599)/SUMIFS('Comp2016-2017 (3)'!$G$5:$G$289,'Comp2016-2017 (3)'!$A$5:$A$289,$D599,'Comp2016-2017 (3)'!$R$5:$R$289,$V599)*$AB599))</f>
        <v/>
      </c>
      <c r="AI599" s="2" t="str">
        <f>IF($W599=AI$3,$AB599,IF(NOT($W599=0),"",SUMIFS('Val-Vol (2)'!AI$4:AI$1116,'Val-Vol (2)'!$A$4:$A$1116,$D599,'Val-Vol (2)'!$V$4:$V$1116,$V599)/SUMIFS('Comp2016-2017 (3)'!$G$5:$G$289,'Comp2016-2017 (3)'!$A$5:$A$289,$D599,'Comp2016-2017 (3)'!$R$5:$R$289,$V599)*$AB599))</f>
        <v/>
      </c>
      <c r="AJ599" s="2" t="str">
        <f>IF($W599=AJ$3,$AB599,IF(NOT($W599=0),"",SUMIFS('Val-Vol (2)'!AJ$4:AJ$1116,'Val-Vol (2)'!$A$4:$A$1116,$D599,'Val-Vol (2)'!$V$4:$V$1116,$V599)/SUMIFS('Comp2016-2017 (3)'!$G$5:$G$289,'Comp2016-2017 (3)'!$A$5:$A$289,$D599,'Comp2016-2017 (3)'!$R$5:$R$289,$V599)*$AB599))</f>
        <v/>
      </c>
      <c r="AK599" s="2">
        <f t="shared" si="66"/>
        <v>0</v>
      </c>
      <c r="AL599" t="str">
        <f t="shared" si="68"/>
        <v/>
      </c>
      <c r="AM599" t="str">
        <f>VLOOKUP(A599,'Table corresp.'!$M$4:$U$63,8,FALSE)</f>
        <v>Production intermédiaire</v>
      </c>
      <c r="AN599" t="str">
        <f>VLOOKUP(D599,'Table corresp.'!$M$4:$U$63,9,FALSE)</f>
        <v>Production finale</v>
      </c>
    </row>
    <row r="600" spans="1:40" x14ac:dyDescent="0.25">
      <c r="A600" t="s">
        <v>87</v>
      </c>
      <c r="B600" t="str">
        <f>VLOOKUP(LEFT(A600,3),'Table corresp.'!$A$4:$D$63,3,FALSE)</f>
        <v>Transformation</v>
      </c>
      <c r="C600" t="str">
        <f>VLOOKUP(A600,'Table corresp.'!$M$4:$P$63,4,FALSE)</f>
        <v>Production et transformation de produits bois</v>
      </c>
      <c r="D600" t="s">
        <v>99</v>
      </c>
      <c r="E600" t="str">
        <f>VLOOKUP(LEFT(D600,3),'Table corresp.'!$A$4:$D$63,4,FALSE)</f>
        <v>Transformation</v>
      </c>
      <c r="F600" t="str">
        <f t="shared" si="67"/>
        <v xml:space="preserve">31  - 47 </v>
      </c>
      <c r="G600" s="3">
        <v>306556.18913309061</v>
      </c>
      <c r="H600" s="3">
        <v>248775.26165637458</v>
      </c>
      <c r="I600" s="3">
        <v>555331.45235383825</v>
      </c>
      <c r="J600" s="3">
        <v>65.476390396266808</v>
      </c>
      <c r="K600" s="3">
        <v>34.743286442206411</v>
      </c>
      <c r="L600" s="3">
        <v>100.21967683847322</v>
      </c>
      <c r="M600" s="3">
        <v>795.8128031440599</v>
      </c>
      <c r="N600" s="3">
        <v>464.25398102066373</v>
      </c>
      <c r="O600" s="3">
        <v>1260.0667841647237</v>
      </c>
      <c r="P600" s="3">
        <v>182.47641233112017</v>
      </c>
      <c r="Q600" s="3">
        <v>148.65364752534117</v>
      </c>
      <c r="R600" s="3">
        <v>331.13005985646134</v>
      </c>
      <c r="S600" s="67" t="s">
        <v>192</v>
      </c>
      <c r="T600">
        <f>VLOOKUP(A600,'Groupe de branches'!$Z$27:$AM$86,14,FALSE)</f>
        <v>0</v>
      </c>
      <c r="U600">
        <f>VLOOKUP(D600,'Groupe de branches'!$Z$27:$AM$86,14,FALSE)</f>
        <v>0</v>
      </c>
      <c r="V600">
        <v>2017</v>
      </c>
      <c r="W600" t="str">
        <f>VLOOKUP(D600,'Table corresp.'!$M$4:$S$63,7,FALSE)</f>
        <v>Meuble</v>
      </c>
      <c r="X600" s="167">
        <f>IFERROR(G600/SUMIFS('Comp2016-2017 (3)'!$I$5:$I$289,'Comp2016-2017 (3)'!$A$5:$A$289,A600,'Comp2016-2017 (3)'!$R$5:$R$289,V600),0)</f>
        <v>0.1959871176869345</v>
      </c>
      <c r="Y600" s="190">
        <f>IFERROR(IF(RIGHT(F600,3)="Exp",VLOOKUP(F600,#REF!,2,FALSE),VLOOKUP(F600,#REF!,9,FALSE)),1)</f>
        <v>1</v>
      </c>
      <c r="Z600" s="167">
        <f t="shared" ref="Z600:Z609" si="70">Y600/SUMIFS($Y$4:$Y$1116,$V$4:$V$1116,V600,$A$4:$A$1116,A600)</f>
        <v>5.8823529411764705E-2</v>
      </c>
      <c r="AA600" s="189">
        <f t="shared" si="69"/>
        <v>1.1528653981584381E-2</v>
      </c>
      <c r="AB600" s="2">
        <f>IFERROR(SUMIFS('Comp2016-2017 (3)'!$G$5:$G$289,'Comp2016-2017 (3)'!$A$5:$A$289,A600,'Comp2016-2017 (3)'!$R$5:$R$289,V600)*AA600/SUMIFS($AA$4:$AA$1116,$A$4:$A$1116,A600,$V$4:$V$1116,V600),0)</f>
        <v>79835.522727237098</v>
      </c>
      <c r="AC600" s="2" t="str">
        <f>IF($W600=AC$3,$AB600,IF(NOT($W600=0),"",SUMIFS('Val-Vol (2)'!AC$4:AC$1116,'Val-Vol (2)'!$A$4:$A$1116,$D600,'Val-Vol (2)'!$V$4:$V$1116,$V600)/SUMIFS('Comp2016-2017 (3)'!$G$5:$G$289,'Comp2016-2017 (3)'!$A$5:$A$289,$D600,'Comp2016-2017 (3)'!$R$5:$R$289,$V600)*$AB600))</f>
        <v/>
      </c>
      <c r="AD600" s="2" t="str">
        <f>IF($W600=AD$3,$AB600,IF(NOT($W600=0),"",SUMIFS('Val-Vol (2)'!AD$4:AD$1116,'Val-Vol (2)'!$A$4:$A$1116,$D600,'Val-Vol (2)'!$V$4:$V$1116,$V600)/SUMIFS('Comp2016-2017 (3)'!$G$5:$G$289,'Comp2016-2017 (3)'!$A$5:$A$289,$D600,'Comp2016-2017 (3)'!$R$5:$R$289,$V600)*$AB600))</f>
        <v/>
      </c>
      <c r="AE600" s="2">
        <f>IF($W600=AE$3,$AB600,IF(NOT($W600=0),"",SUMIFS('Val-Vol (2)'!AE$4:AE$1116,'Val-Vol (2)'!$A$4:$A$1116,$D600,'Val-Vol (2)'!$V$4:$V$1116,$V600)/SUMIFS('Comp2016-2017 (3)'!$G$5:$G$289,'Comp2016-2017 (3)'!$A$5:$A$289,$D600,'Comp2016-2017 (3)'!$R$5:$R$289,$V600)*$AB600))</f>
        <v>79835.522727237098</v>
      </c>
      <c r="AF600" s="2" t="str">
        <f>IF($W600=AF$3,$AB600,IF(NOT($W600=0),"",SUMIFS('Val-Vol (2)'!AF$4:AF$1116,'Val-Vol (2)'!$A$4:$A$1116,$D600,'Val-Vol (2)'!$V$4:$V$1116,$V600)/SUMIFS('Comp2016-2017 (3)'!$G$5:$G$289,'Comp2016-2017 (3)'!$A$5:$A$289,$D600,'Comp2016-2017 (3)'!$R$5:$R$289,$V600)*$AB600))</f>
        <v/>
      </c>
      <c r="AG600" s="2" t="str">
        <f>IF($W600=AG$3,$AB600,IF(NOT($W600=0),"",SUMIFS('Val-Vol (2)'!AG$4:AG$1116,'Val-Vol (2)'!$A$4:$A$1116,$D600,'Val-Vol (2)'!$V$4:$V$1116,$V600)/SUMIFS('Comp2016-2017 (3)'!$G$5:$G$289,'Comp2016-2017 (3)'!$A$5:$A$289,$D600,'Comp2016-2017 (3)'!$R$5:$R$289,$V600)*$AB600))</f>
        <v/>
      </c>
      <c r="AH600" s="2" t="str">
        <f>IF($W600=AH$3,$AB600,IF(NOT($W600=0),"",SUMIFS('Val-Vol (2)'!AH$4:AH$1116,'Val-Vol (2)'!$A$4:$A$1116,$D600,'Val-Vol (2)'!$V$4:$V$1116,$V600)/SUMIFS('Comp2016-2017 (3)'!$G$5:$G$289,'Comp2016-2017 (3)'!$A$5:$A$289,$D600,'Comp2016-2017 (3)'!$R$5:$R$289,$V600)*$AB600))</f>
        <v/>
      </c>
      <c r="AI600" s="2" t="str">
        <f>IF($W600=AI$3,$AB600,IF(NOT($W600=0),"",SUMIFS('Val-Vol (2)'!AI$4:AI$1116,'Val-Vol (2)'!$A$4:$A$1116,$D600,'Val-Vol (2)'!$V$4:$V$1116,$V600)/SUMIFS('Comp2016-2017 (3)'!$G$5:$G$289,'Comp2016-2017 (3)'!$A$5:$A$289,$D600,'Comp2016-2017 (3)'!$R$5:$R$289,$V600)*$AB600))</f>
        <v/>
      </c>
      <c r="AJ600" s="2" t="str">
        <f>IF($W600=AJ$3,$AB600,IF(NOT($W600=0),"",SUMIFS('Val-Vol (2)'!AJ$4:AJ$1116,'Val-Vol (2)'!$A$4:$A$1116,$D600,'Val-Vol (2)'!$V$4:$V$1116,$V600)/SUMIFS('Comp2016-2017 (3)'!$G$5:$G$289,'Comp2016-2017 (3)'!$A$5:$A$289,$D600,'Comp2016-2017 (3)'!$R$5:$R$289,$V600)*$AB600))</f>
        <v/>
      </c>
      <c r="AK600" s="2">
        <f t="shared" si="66"/>
        <v>0</v>
      </c>
      <c r="AL600" t="str">
        <f t="shared" si="68"/>
        <v/>
      </c>
      <c r="AM600" t="str">
        <f>VLOOKUP(A600,'Table corresp.'!$M$4:$U$63,8,FALSE)</f>
        <v>Production intermédiaire</v>
      </c>
      <c r="AN600" t="str">
        <f>VLOOKUP(D600,'Table corresp.'!$M$4:$U$63,9,FALSE)</f>
        <v>Production finale</v>
      </c>
    </row>
    <row r="601" spans="1:40" x14ac:dyDescent="0.25">
      <c r="A601" t="s">
        <v>87</v>
      </c>
      <c r="B601" t="str">
        <f>VLOOKUP(LEFT(A601,3),'Table corresp.'!$A$4:$D$63,3,FALSE)</f>
        <v>Transformation</v>
      </c>
      <c r="C601" t="str">
        <f>VLOOKUP(A601,'Table corresp.'!$M$4:$P$63,4,FALSE)</f>
        <v>Production et transformation de produits bois</v>
      </c>
      <c r="D601" t="s">
        <v>19</v>
      </c>
      <c r="E601" t="str">
        <f>VLOOKUP(LEFT(D601,3),'Table corresp.'!$A$4:$D$63,4,FALSE)</f>
        <v>Transformation</v>
      </c>
      <c r="F601" t="str">
        <f t="shared" si="67"/>
        <v xml:space="preserve">31  - 52 </v>
      </c>
      <c r="G601" s="3">
        <v>3257.1196903664136</v>
      </c>
      <c r="H601" s="3">
        <v>1657.3686668665218</v>
      </c>
      <c r="I601" s="3">
        <v>4914.4883710785462</v>
      </c>
      <c r="J601" s="3">
        <v>0.4043892991154156</v>
      </c>
      <c r="K601" s="3">
        <v>0.13454703301363607</v>
      </c>
      <c r="L601" s="3">
        <v>0.53893633212905168</v>
      </c>
      <c r="M601" s="3">
        <v>4.873461678025488</v>
      </c>
      <c r="N601" s="3">
        <v>1.7826684284953673</v>
      </c>
      <c r="O601" s="3">
        <v>6.6561301065208553</v>
      </c>
      <c r="P601" s="3">
        <v>1.9387881788061949</v>
      </c>
      <c r="Q601" s="3">
        <v>0.99034725552506508</v>
      </c>
      <c r="R601" s="3">
        <v>2.9291354343312599</v>
      </c>
      <c r="S601" s="67" t="s">
        <v>192</v>
      </c>
      <c r="T601">
        <f>VLOOKUP(A601,'Groupe de branches'!$Z$27:$AM$86,14,FALSE)</f>
        <v>0</v>
      </c>
      <c r="U601">
        <f>VLOOKUP(D601,'Groupe de branches'!$Z$27:$AM$86,14,FALSE)</f>
        <v>0</v>
      </c>
      <c r="V601">
        <v>2017</v>
      </c>
      <c r="W601" t="str">
        <f>VLOOKUP(D601,'Table corresp.'!$M$4:$S$63,7,FALSE)</f>
        <v>Construction</v>
      </c>
      <c r="X601" s="167">
        <f>IFERROR(G601/SUMIFS('Comp2016-2017 (3)'!$I$5:$I$289,'Comp2016-2017 (3)'!$A$5:$A$289,A601,'Comp2016-2017 (3)'!$R$5:$R$289,V601),0)</f>
        <v>2.0823376682802329E-3</v>
      </c>
      <c r="Y601" s="190">
        <f>IFERROR(IF(RIGHT(F601,3)="Exp",VLOOKUP(F601,#REF!,2,FALSE),VLOOKUP(F601,#REF!,9,FALSE)),1)</f>
        <v>1</v>
      </c>
      <c r="Z601" s="167">
        <f t="shared" si="70"/>
        <v>5.8823529411764705E-2</v>
      </c>
      <c r="AA601" s="189">
        <f t="shared" si="69"/>
        <v>1.224904510753078E-4</v>
      </c>
      <c r="AB601" s="2">
        <f>IFERROR(SUMIFS('Comp2016-2017 (3)'!$G$5:$G$289,'Comp2016-2017 (3)'!$A$5:$A$289,A601,'Comp2016-2017 (3)'!$R$5:$R$289,V601)*AA601/SUMIFS($AA$4:$AA$1116,$A$4:$A$1116,A601,$V$4:$V$1116,V601),0)</f>
        <v>848.2420589873858</v>
      </c>
      <c r="AC601" s="2" t="str">
        <f>IF($W601=AC$3,$AB601,IF(NOT($W601=0),"",SUMIFS('Val-Vol (2)'!AC$4:AC$1116,'Val-Vol (2)'!$A$4:$A$1116,$D601,'Val-Vol (2)'!$V$4:$V$1116,$V601)/SUMIFS('Comp2016-2017 (3)'!$G$5:$G$289,'Comp2016-2017 (3)'!$A$5:$A$289,$D601,'Comp2016-2017 (3)'!$R$5:$R$289,$V601)*$AB601))</f>
        <v/>
      </c>
      <c r="AD601" s="2">
        <f>IF($W601=AD$3,$AB601,IF(NOT($W601=0),"",SUMIFS('Val-Vol (2)'!AD$4:AD$1116,'Val-Vol (2)'!$A$4:$A$1116,$D601,'Val-Vol (2)'!$V$4:$V$1116,$V601)/SUMIFS('Comp2016-2017 (3)'!$G$5:$G$289,'Comp2016-2017 (3)'!$A$5:$A$289,$D601,'Comp2016-2017 (3)'!$R$5:$R$289,$V601)*$AB601))</f>
        <v>848.2420589873858</v>
      </c>
      <c r="AE601" s="2" t="str">
        <f>IF($W601=AE$3,$AB601,IF(NOT($W601=0),"",SUMIFS('Val-Vol (2)'!AE$4:AE$1116,'Val-Vol (2)'!$A$4:$A$1116,$D601,'Val-Vol (2)'!$V$4:$V$1116,$V601)/SUMIFS('Comp2016-2017 (3)'!$G$5:$G$289,'Comp2016-2017 (3)'!$A$5:$A$289,$D601,'Comp2016-2017 (3)'!$R$5:$R$289,$V601)*$AB601))</f>
        <v/>
      </c>
      <c r="AF601" s="2" t="str">
        <f>IF($W601=AF$3,$AB601,IF(NOT($W601=0),"",SUMIFS('Val-Vol (2)'!AF$4:AF$1116,'Val-Vol (2)'!$A$4:$A$1116,$D601,'Val-Vol (2)'!$V$4:$V$1116,$V601)/SUMIFS('Comp2016-2017 (3)'!$G$5:$G$289,'Comp2016-2017 (3)'!$A$5:$A$289,$D601,'Comp2016-2017 (3)'!$R$5:$R$289,$V601)*$AB601))</f>
        <v/>
      </c>
      <c r="AG601" s="2" t="str">
        <f>IF($W601=AG$3,$AB601,IF(NOT($W601=0),"",SUMIFS('Val-Vol (2)'!AG$4:AG$1116,'Val-Vol (2)'!$A$4:$A$1116,$D601,'Val-Vol (2)'!$V$4:$V$1116,$V601)/SUMIFS('Comp2016-2017 (3)'!$G$5:$G$289,'Comp2016-2017 (3)'!$A$5:$A$289,$D601,'Comp2016-2017 (3)'!$R$5:$R$289,$V601)*$AB601))</f>
        <v/>
      </c>
      <c r="AH601" s="2" t="str">
        <f>IF($W601=AH$3,$AB601,IF(NOT($W601=0),"",SUMIFS('Val-Vol (2)'!AH$4:AH$1116,'Val-Vol (2)'!$A$4:$A$1116,$D601,'Val-Vol (2)'!$V$4:$V$1116,$V601)/SUMIFS('Comp2016-2017 (3)'!$G$5:$G$289,'Comp2016-2017 (3)'!$A$5:$A$289,$D601,'Comp2016-2017 (3)'!$R$5:$R$289,$V601)*$AB601))</f>
        <v/>
      </c>
      <c r="AI601" s="2" t="str">
        <f>IF($W601=AI$3,$AB601,IF(NOT($W601=0),"",SUMIFS('Val-Vol (2)'!AI$4:AI$1116,'Val-Vol (2)'!$A$4:$A$1116,$D601,'Val-Vol (2)'!$V$4:$V$1116,$V601)/SUMIFS('Comp2016-2017 (3)'!$G$5:$G$289,'Comp2016-2017 (3)'!$A$5:$A$289,$D601,'Comp2016-2017 (3)'!$R$5:$R$289,$V601)*$AB601))</f>
        <v/>
      </c>
      <c r="AJ601" s="2" t="str">
        <f>IF($W601=AJ$3,$AB601,IF(NOT($W601=0),"",SUMIFS('Val-Vol (2)'!AJ$4:AJ$1116,'Val-Vol (2)'!$A$4:$A$1116,$D601,'Val-Vol (2)'!$V$4:$V$1116,$V601)/SUMIFS('Comp2016-2017 (3)'!$G$5:$G$289,'Comp2016-2017 (3)'!$A$5:$A$289,$D601,'Comp2016-2017 (3)'!$R$5:$R$289,$V601)*$AB601))</f>
        <v/>
      </c>
      <c r="AK601" s="2">
        <f t="shared" si="66"/>
        <v>0</v>
      </c>
      <c r="AL601" t="str">
        <f t="shared" si="68"/>
        <v/>
      </c>
      <c r="AM601" t="str">
        <f>VLOOKUP(A601,'Table corresp.'!$M$4:$U$63,8,FALSE)</f>
        <v>Production intermédiaire</v>
      </c>
      <c r="AN601" t="str">
        <f>VLOOKUP(D601,'Table corresp.'!$M$4:$U$63,9,FALSE)</f>
        <v xml:space="preserve">Mise en œuvre </v>
      </c>
    </row>
    <row r="602" spans="1:40" x14ac:dyDescent="0.25">
      <c r="A602" t="s">
        <v>87</v>
      </c>
      <c r="B602" t="str">
        <f>VLOOKUP(LEFT(A602,3),'Table corresp.'!$A$4:$D$63,3,FALSE)</f>
        <v>Transformation</v>
      </c>
      <c r="C602" t="str">
        <f>VLOOKUP(A602,'Table corresp.'!$M$4:$P$63,4,FALSE)</f>
        <v>Production et transformation de produits bois</v>
      </c>
      <c r="D602" t="s">
        <v>20</v>
      </c>
      <c r="E602" t="str">
        <f>VLOOKUP(LEFT(D602,3),'Table corresp.'!$A$4:$D$63,4,FALSE)</f>
        <v>Transformation</v>
      </c>
      <c r="F602" t="str">
        <f t="shared" si="67"/>
        <v xml:space="preserve">31  - 53 </v>
      </c>
      <c r="G602" s="3">
        <v>4835.8407787407532</v>
      </c>
      <c r="H602" s="3">
        <v>10017.264450618464</v>
      </c>
      <c r="I602" s="3">
        <v>14853.105271191525</v>
      </c>
      <c r="J602" s="3">
        <v>2.6769257025159847</v>
      </c>
      <c r="K602" s="3">
        <v>3.6257890067688447</v>
      </c>
      <c r="L602" s="3">
        <v>6.3027147092848299</v>
      </c>
      <c r="M602" s="3">
        <v>32.260732058613939</v>
      </c>
      <c r="N602" s="3">
        <v>48.039554986673863</v>
      </c>
      <c r="O602" s="3">
        <v>80.300287045287803</v>
      </c>
      <c r="P602" s="3">
        <v>2.8785159366853934</v>
      </c>
      <c r="Q602" s="3">
        <v>5.9857354340449582</v>
      </c>
      <c r="R602" s="3">
        <v>8.8642513707303507</v>
      </c>
      <c r="S602" s="67" t="s">
        <v>192</v>
      </c>
      <c r="T602">
        <f>VLOOKUP(A602,'Groupe de branches'!$Z$27:$AM$86,14,FALSE)</f>
        <v>0</v>
      </c>
      <c r="U602">
        <f>VLOOKUP(D602,'Groupe de branches'!$Z$27:$AM$86,14,FALSE)</f>
        <v>0</v>
      </c>
      <c r="V602">
        <v>2017</v>
      </c>
      <c r="W602" t="str">
        <f>VLOOKUP(D602,'Table corresp.'!$M$4:$S$63,7,FALSE)</f>
        <v>Construction</v>
      </c>
      <c r="X602" s="167">
        <f>IFERROR(G602/SUMIFS('Comp2016-2017 (3)'!$I$5:$I$289,'Comp2016-2017 (3)'!$A$5:$A$289,A602,'Comp2016-2017 (3)'!$R$5:$R$289,V602),0)</f>
        <v>3.0916436510334887E-3</v>
      </c>
      <c r="Y602" s="190">
        <f>IFERROR(IF(RIGHT(F602,3)="Exp",VLOOKUP(F602,#REF!,2,FALSE),VLOOKUP(F602,#REF!,9,FALSE)),1)</f>
        <v>1</v>
      </c>
      <c r="Z602" s="167">
        <f t="shared" si="70"/>
        <v>5.8823529411764705E-2</v>
      </c>
      <c r="AA602" s="189">
        <f t="shared" si="69"/>
        <v>1.8186139123726403E-4</v>
      </c>
      <c r="AB602" s="2">
        <f>IFERROR(SUMIFS('Comp2016-2017 (3)'!$G$5:$G$289,'Comp2016-2017 (3)'!$A$5:$A$289,A602,'Comp2016-2017 (3)'!$R$5:$R$289,V602)*AA602/SUMIFS($AA$4:$AA$1116,$A$4:$A$1116,A602,$V$4:$V$1116,V602),0)</f>
        <v>1259.3837282758143</v>
      </c>
      <c r="AC602" s="2" t="str">
        <f>IF($W602=AC$3,$AB602,IF(NOT($W602=0),"",SUMIFS('Val-Vol (2)'!AC$4:AC$1116,'Val-Vol (2)'!$A$4:$A$1116,$D602,'Val-Vol (2)'!$V$4:$V$1116,$V602)/SUMIFS('Comp2016-2017 (3)'!$G$5:$G$289,'Comp2016-2017 (3)'!$A$5:$A$289,$D602,'Comp2016-2017 (3)'!$R$5:$R$289,$V602)*$AB602))</f>
        <v/>
      </c>
      <c r="AD602" s="2">
        <f>IF($W602=AD$3,$AB602,IF(NOT($W602=0),"",SUMIFS('Val-Vol (2)'!AD$4:AD$1116,'Val-Vol (2)'!$A$4:$A$1116,$D602,'Val-Vol (2)'!$V$4:$V$1116,$V602)/SUMIFS('Comp2016-2017 (3)'!$G$5:$G$289,'Comp2016-2017 (3)'!$A$5:$A$289,$D602,'Comp2016-2017 (3)'!$R$5:$R$289,$V602)*$AB602))</f>
        <v>1259.3837282758143</v>
      </c>
      <c r="AE602" s="2" t="str">
        <f>IF($W602=AE$3,$AB602,IF(NOT($W602=0),"",SUMIFS('Val-Vol (2)'!AE$4:AE$1116,'Val-Vol (2)'!$A$4:$A$1116,$D602,'Val-Vol (2)'!$V$4:$V$1116,$V602)/SUMIFS('Comp2016-2017 (3)'!$G$5:$G$289,'Comp2016-2017 (3)'!$A$5:$A$289,$D602,'Comp2016-2017 (3)'!$R$5:$R$289,$V602)*$AB602))</f>
        <v/>
      </c>
      <c r="AF602" s="2" t="str">
        <f>IF($W602=AF$3,$AB602,IF(NOT($W602=0),"",SUMIFS('Val-Vol (2)'!AF$4:AF$1116,'Val-Vol (2)'!$A$4:$A$1116,$D602,'Val-Vol (2)'!$V$4:$V$1116,$V602)/SUMIFS('Comp2016-2017 (3)'!$G$5:$G$289,'Comp2016-2017 (3)'!$A$5:$A$289,$D602,'Comp2016-2017 (3)'!$R$5:$R$289,$V602)*$AB602))</f>
        <v/>
      </c>
      <c r="AG602" s="2" t="str">
        <f>IF($W602=AG$3,$AB602,IF(NOT($W602=0),"",SUMIFS('Val-Vol (2)'!AG$4:AG$1116,'Val-Vol (2)'!$A$4:$A$1116,$D602,'Val-Vol (2)'!$V$4:$V$1116,$V602)/SUMIFS('Comp2016-2017 (3)'!$G$5:$G$289,'Comp2016-2017 (3)'!$A$5:$A$289,$D602,'Comp2016-2017 (3)'!$R$5:$R$289,$V602)*$AB602))</f>
        <v/>
      </c>
      <c r="AH602" s="2" t="str">
        <f>IF($W602=AH$3,$AB602,IF(NOT($W602=0),"",SUMIFS('Val-Vol (2)'!AH$4:AH$1116,'Val-Vol (2)'!$A$4:$A$1116,$D602,'Val-Vol (2)'!$V$4:$V$1116,$V602)/SUMIFS('Comp2016-2017 (3)'!$G$5:$G$289,'Comp2016-2017 (3)'!$A$5:$A$289,$D602,'Comp2016-2017 (3)'!$R$5:$R$289,$V602)*$AB602))</f>
        <v/>
      </c>
      <c r="AI602" s="2" t="str">
        <f>IF($W602=AI$3,$AB602,IF(NOT($W602=0),"",SUMIFS('Val-Vol (2)'!AI$4:AI$1116,'Val-Vol (2)'!$A$4:$A$1116,$D602,'Val-Vol (2)'!$V$4:$V$1116,$V602)/SUMIFS('Comp2016-2017 (3)'!$G$5:$G$289,'Comp2016-2017 (3)'!$A$5:$A$289,$D602,'Comp2016-2017 (3)'!$R$5:$R$289,$V602)*$AB602))</f>
        <v/>
      </c>
      <c r="AJ602" s="2" t="str">
        <f>IF($W602=AJ$3,$AB602,IF(NOT($W602=0),"",SUMIFS('Val-Vol (2)'!AJ$4:AJ$1116,'Val-Vol (2)'!$A$4:$A$1116,$D602,'Val-Vol (2)'!$V$4:$V$1116,$V602)/SUMIFS('Comp2016-2017 (3)'!$G$5:$G$289,'Comp2016-2017 (3)'!$A$5:$A$289,$D602,'Comp2016-2017 (3)'!$R$5:$R$289,$V602)*$AB602))</f>
        <v/>
      </c>
      <c r="AK602" s="2">
        <f t="shared" si="66"/>
        <v>0</v>
      </c>
      <c r="AL602" t="str">
        <f t="shared" si="68"/>
        <v/>
      </c>
      <c r="AM602" t="str">
        <f>VLOOKUP(A602,'Table corresp.'!$M$4:$U$63,8,FALSE)</f>
        <v>Production intermédiaire</v>
      </c>
      <c r="AN602" t="str">
        <f>VLOOKUP(D602,'Table corresp.'!$M$4:$U$63,9,FALSE)</f>
        <v xml:space="preserve">Mise en œuvre </v>
      </c>
    </row>
    <row r="603" spans="1:40" x14ac:dyDescent="0.25">
      <c r="A603" t="s">
        <v>87</v>
      </c>
      <c r="B603" t="str">
        <f>VLOOKUP(LEFT(A603,3),'Table corresp.'!$A$4:$D$63,3,FALSE)</f>
        <v>Transformation</v>
      </c>
      <c r="C603" t="str">
        <f>VLOOKUP(A603,'Table corresp.'!$M$4:$P$63,4,FALSE)</f>
        <v>Production et transformation de produits bois</v>
      </c>
      <c r="D603" t="s">
        <v>21</v>
      </c>
      <c r="E603" t="str">
        <f>VLOOKUP(LEFT(D603,3),'Table corresp.'!$A$4:$D$63,4,FALSE)</f>
        <v>Transformation</v>
      </c>
      <c r="F603" t="str">
        <f t="shared" si="67"/>
        <v xml:space="preserve">31  - 54 </v>
      </c>
      <c r="G603" s="3">
        <v>113049.41260410058</v>
      </c>
      <c r="H603" s="3">
        <v>360541.66470505833</v>
      </c>
      <c r="I603" s="3">
        <v>473591.07864287141</v>
      </c>
      <c r="J603" s="3">
        <v>24.528372973750479</v>
      </c>
      <c r="K603" s="3">
        <v>51.149919580043779</v>
      </c>
      <c r="L603" s="3">
        <v>75.67829255379425</v>
      </c>
      <c r="M603" s="3">
        <v>257.40226007661352</v>
      </c>
      <c r="N603" s="3">
        <v>590.12921712592356</v>
      </c>
      <c r="O603" s="3">
        <v>847.53147720253708</v>
      </c>
      <c r="P603" s="3">
        <v>67.292235353241651</v>
      </c>
      <c r="Q603" s="3">
        <v>215.43875860653586</v>
      </c>
      <c r="R603" s="3">
        <v>282.73099395977749</v>
      </c>
      <c r="S603" s="67" t="s">
        <v>192</v>
      </c>
      <c r="T603">
        <f>VLOOKUP(A603,'Groupe de branches'!$Z$27:$AM$86,14,FALSE)</f>
        <v>0</v>
      </c>
      <c r="U603">
        <f>VLOOKUP(D603,'Groupe de branches'!$Z$27:$AM$86,14,FALSE)</f>
        <v>0</v>
      </c>
      <c r="V603">
        <v>2017</v>
      </c>
      <c r="W603" t="str">
        <f>VLOOKUP(D603,'Table corresp.'!$M$4:$S$63,7,FALSE)</f>
        <v>Construction</v>
      </c>
      <c r="X603" s="167">
        <f>IFERROR(G603/SUMIFS('Comp2016-2017 (3)'!$I$5:$I$289,'Comp2016-2017 (3)'!$A$5:$A$289,A603,'Comp2016-2017 (3)'!$R$5:$R$289,V603),0)</f>
        <v>7.2274608433560622E-2</v>
      </c>
      <c r="Y603" s="190">
        <f>IFERROR(IF(RIGHT(F603,3)="Exp",VLOOKUP(F603,#REF!,2,FALSE),VLOOKUP(F603,#REF!,9,FALSE)),1)</f>
        <v>1</v>
      </c>
      <c r="Z603" s="167">
        <f t="shared" si="70"/>
        <v>5.8823529411764705E-2</v>
      </c>
      <c r="AA603" s="189">
        <f t="shared" si="69"/>
        <v>4.2514475549153309E-3</v>
      </c>
      <c r="AB603" s="2">
        <f>IFERROR(SUMIFS('Comp2016-2017 (3)'!$G$5:$G$289,'Comp2016-2017 (3)'!$A$5:$A$289,A603,'Comp2016-2017 (3)'!$R$5:$R$289,V603)*AA603/SUMIFS($AA$4:$AA$1116,$A$4:$A$1116,A603,$V$4:$V$1116,V603),0)</f>
        <v>29441.124561139226</v>
      </c>
      <c r="AC603" s="2" t="str">
        <f>IF($W603=AC$3,$AB603,IF(NOT($W603=0),"",SUMIFS('Val-Vol (2)'!AC$4:AC$1116,'Val-Vol (2)'!$A$4:$A$1116,$D603,'Val-Vol (2)'!$V$4:$V$1116,$V603)/SUMIFS('Comp2016-2017 (3)'!$G$5:$G$289,'Comp2016-2017 (3)'!$A$5:$A$289,$D603,'Comp2016-2017 (3)'!$R$5:$R$289,$V603)*$AB603))</f>
        <v/>
      </c>
      <c r="AD603" s="2">
        <f>IF($W603=AD$3,$AB603,IF(NOT($W603=0),"",SUMIFS('Val-Vol (2)'!AD$4:AD$1116,'Val-Vol (2)'!$A$4:$A$1116,$D603,'Val-Vol (2)'!$V$4:$V$1116,$V603)/SUMIFS('Comp2016-2017 (3)'!$G$5:$G$289,'Comp2016-2017 (3)'!$A$5:$A$289,$D603,'Comp2016-2017 (3)'!$R$5:$R$289,$V603)*$AB603))</f>
        <v>29441.124561139226</v>
      </c>
      <c r="AE603" s="2" t="str">
        <f>IF($W603=AE$3,$AB603,IF(NOT($W603=0),"",SUMIFS('Val-Vol (2)'!AE$4:AE$1116,'Val-Vol (2)'!$A$4:$A$1116,$D603,'Val-Vol (2)'!$V$4:$V$1116,$V603)/SUMIFS('Comp2016-2017 (3)'!$G$5:$G$289,'Comp2016-2017 (3)'!$A$5:$A$289,$D603,'Comp2016-2017 (3)'!$R$5:$R$289,$V603)*$AB603))</f>
        <v/>
      </c>
      <c r="AF603" s="2" t="str">
        <f>IF($W603=AF$3,$AB603,IF(NOT($W603=0),"",SUMIFS('Val-Vol (2)'!AF$4:AF$1116,'Val-Vol (2)'!$A$4:$A$1116,$D603,'Val-Vol (2)'!$V$4:$V$1116,$V603)/SUMIFS('Comp2016-2017 (3)'!$G$5:$G$289,'Comp2016-2017 (3)'!$A$5:$A$289,$D603,'Comp2016-2017 (3)'!$R$5:$R$289,$V603)*$AB603))</f>
        <v/>
      </c>
      <c r="AG603" s="2" t="str">
        <f>IF($W603=AG$3,$AB603,IF(NOT($W603=0),"",SUMIFS('Val-Vol (2)'!AG$4:AG$1116,'Val-Vol (2)'!$A$4:$A$1116,$D603,'Val-Vol (2)'!$V$4:$V$1116,$V603)/SUMIFS('Comp2016-2017 (3)'!$G$5:$G$289,'Comp2016-2017 (3)'!$A$5:$A$289,$D603,'Comp2016-2017 (3)'!$R$5:$R$289,$V603)*$AB603))</f>
        <v/>
      </c>
      <c r="AH603" s="2" t="str">
        <f>IF($W603=AH$3,$AB603,IF(NOT($W603=0),"",SUMIFS('Val-Vol (2)'!AH$4:AH$1116,'Val-Vol (2)'!$A$4:$A$1116,$D603,'Val-Vol (2)'!$V$4:$V$1116,$V603)/SUMIFS('Comp2016-2017 (3)'!$G$5:$G$289,'Comp2016-2017 (3)'!$A$5:$A$289,$D603,'Comp2016-2017 (3)'!$R$5:$R$289,$V603)*$AB603))</f>
        <v/>
      </c>
      <c r="AI603" s="2" t="str">
        <f>IF($W603=AI$3,$AB603,IF(NOT($W603=0),"",SUMIFS('Val-Vol (2)'!AI$4:AI$1116,'Val-Vol (2)'!$A$4:$A$1116,$D603,'Val-Vol (2)'!$V$4:$V$1116,$V603)/SUMIFS('Comp2016-2017 (3)'!$G$5:$G$289,'Comp2016-2017 (3)'!$A$5:$A$289,$D603,'Comp2016-2017 (3)'!$R$5:$R$289,$V603)*$AB603))</f>
        <v/>
      </c>
      <c r="AJ603" s="2" t="str">
        <f>IF($W603=AJ$3,$AB603,IF(NOT($W603=0),"",SUMIFS('Val-Vol (2)'!AJ$4:AJ$1116,'Val-Vol (2)'!$A$4:$A$1116,$D603,'Val-Vol (2)'!$V$4:$V$1116,$V603)/SUMIFS('Comp2016-2017 (3)'!$G$5:$G$289,'Comp2016-2017 (3)'!$A$5:$A$289,$D603,'Comp2016-2017 (3)'!$R$5:$R$289,$V603)*$AB603))</f>
        <v/>
      </c>
      <c r="AK603" s="2">
        <f t="shared" si="66"/>
        <v>0</v>
      </c>
      <c r="AL603" t="str">
        <f t="shared" si="68"/>
        <v/>
      </c>
      <c r="AM603" t="str">
        <f>VLOOKUP(A603,'Table corresp.'!$M$4:$U$63,8,FALSE)</f>
        <v>Production intermédiaire</v>
      </c>
      <c r="AN603" t="str">
        <f>VLOOKUP(D603,'Table corresp.'!$M$4:$U$63,9,FALSE)</f>
        <v xml:space="preserve">Mise en œuvre </v>
      </c>
    </row>
    <row r="604" spans="1:40" x14ac:dyDescent="0.25">
      <c r="A604" t="s">
        <v>87</v>
      </c>
      <c r="B604" t="str">
        <f>VLOOKUP(LEFT(A604,3),'Table corresp.'!$A$4:$D$63,3,FALSE)</f>
        <v>Transformation</v>
      </c>
      <c r="C604" t="str">
        <f>VLOOKUP(A604,'Table corresp.'!$M$4:$P$63,4,FALSE)</f>
        <v>Production et transformation de produits bois</v>
      </c>
      <c r="D604" t="s">
        <v>22</v>
      </c>
      <c r="E604" t="str">
        <f>VLOOKUP(LEFT(D604,3),'Table corresp.'!$A$4:$D$63,4,FALSE)</f>
        <v>Transformation</v>
      </c>
      <c r="F604" t="str">
        <f t="shared" si="67"/>
        <v xml:space="preserve">31  - 55 </v>
      </c>
      <c r="G604" s="3">
        <v>34622.097862514049</v>
      </c>
      <c r="H604" s="3">
        <v>30288.131495070007</v>
      </c>
      <c r="I604" s="3">
        <v>64910.229540433451</v>
      </c>
      <c r="J604" s="3">
        <v>6.016496333049183</v>
      </c>
      <c r="K604" s="3">
        <v>3.4415320882080289</v>
      </c>
      <c r="L604" s="3">
        <v>9.458028421257211</v>
      </c>
      <c r="M604" s="3">
        <v>80.582872278503004</v>
      </c>
      <c r="N604" s="3">
        <v>50.676831960148121</v>
      </c>
      <c r="O604" s="3">
        <v>131.25970423865112</v>
      </c>
      <c r="P604" s="3">
        <v>20.608672828281041</v>
      </c>
      <c r="Q604" s="3">
        <v>18.098428250025929</v>
      </c>
      <c r="R604" s="3">
        <v>38.70710107830697</v>
      </c>
      <c r="S604" s="67" t="s">
        <v>192</v>
      </c>
      <c r="T604">
        <f>VLOOKUP(A604,'Groupe de branches'!$Z$27:$AM$86,14,FALSE)</f>
        <v>0</v>
      </c>
      <c r="U604">
        <f>VLOOKUP(D604,'Groupe de branches'!$Z$27:$AM$86,14,FALSE)</f>
        <v>0</v>
      </c>
      <c r="V604">
        <v>2017</v>
      </c>
      <c r="W604" t="str">
        <f>VLOOKUP(D604,'Table corresp.'!$M$4:$S$63,7,FALSE)</f>
        <v>Construction</v>
      </c>
      <c r="X604" s="167">
        <f>IFERROR(G604/SUMIFS('Comp2016-2017 (3)'!$I$5:$I$289,'Comp2016-2017 (3)'!$A$5:$A$289,A604,'Comp2016-2017 (3)'!$R$5:$R$289,V604),0)</f>
        <v>2.2134556107112888E-2</v>
      </c>
      <c r="Y604" s="190">
        <f>IFERROR(IF(RIGHT(F604,3)="Exp",VLOOKUP(F604,#REF!,2,FALSE),VLOOKUP(F604,#REF!,9,FALSE)),1)</f>
        <v>1</v>
      </c>
      <c r="Z604" s="167">
        <f t="shared" si="70"/>
        <v>5.8823529411764705E-2</v>
      </c>
      <c r="AA604" s="189">
        <f t="shared" si="69"/>
        <v>1.3020327121831109E-3</v>
      </c>
      <c r="AB604" s="2">
        <f>IFERROR(SUMIFS('Comp2016-2017 (3)'!$G$5:$G$289,'Comp2016-2017 (3)'!$A$5:$A$289,A604,'Comp2016-2017 (3)'!$R$5:$R$289,V604)*AA604/SUMIFS($AA$4:$AA$1116,$A$4:$A$1116,A604,$V$4:$V$1116,V604),0)</f>
        <v>9016.5306679466557</v>
      </c>
      <c r="AC604" s="2" t="str">
        <f>IF($W604=AC$3,$AB604,IF(NOT($W604=0),"",SUMIFS('Val-Vol (2)'!AC$4:AC$1116,'Val-Vol (2)'!$A$4:$A$1116,$D604,'Val-Vol (2)'!$V$4:$V$1116,$V604)/SUMIFS('Comp2016-2017 (3)'!$G$5:$G$289,'Comp2016-2017 (3)'!$A$5:$A$289,$D604,'Comp2016-2017 (3)'!$R$5:$R$289,$V604)*$AB604))</f>
        <v/>
      </c>
      <c r="AD604" s="2">
        <f>IF($W604=AD$3,$AB604,IF(NOT($W604=0),"",SUMIFS('Val-Vol (2)'!AD$4:AD$1116,'Val-Vol (2)'!$A$4:$A$1116,$D604,'Val-Vol (2)'!$V$4:$V$1116,$V604)/SUMIFS('Comp2016-2017 (3)'!$G$5:$G$289,'Comp2016-2017 (3)'!$A$5:$A$289,$D604,'Comp2016-2017 (3)'!$R$5:$R$289,$V604)*$AB604))</f>
        <v>9016.5306679466557</v>
      </c>
      <c r="AE604" s="2" t="str">
        <f>IF($W604=AE$3,$AB604,IF(NOT($W604=0),"",SUMIFS('Val-Vol (2)'!AE$4:AE$1116,'Val-Vol (2)'!$A$4:$A$1116,$D604,'Val-Vol (2)'!$V$4:$V$1116,$V604)/SUMIFS('Comp2016-2017 (3)'!$G$5:$G$289,'Comp2016-2017 (3)'!$A$5:$A$289,$D604,'Comp2016-2017 (3)'!$R$5:$R$289,$V604)*$AB604))</f>
        <v/>
      </c>
      <c r="AF604" s="2" t="str">
        <f>IF($W604=AF$3,$AB604,IF(NOT($W604=0),"",SUMIFS('Val-Vol (2)'!AF$4:AF$1116,'Val-Vol (2)'!$A$4:$A$1116,$D604,'Val-Vol (2)'!$V$4:$V$1116,$V604)/SUMIFS('Comp2016-2017 (3)'!$G$5:$G$289,'Comp2016-2017 (3)'!$A$5:$A$289,$D604,'Comp2016-2017 (3)'!$R$5:$R$289,$V604)*$AB604))</f>
        <v/>
      </c>
      <c r="AG604" s="2" t="str">
        <f>IF($W604=AG$3,$AB604,IF(NOT($W604=0),"",SUMIFS('Val-Vol (2)'!AG$4:AG$1116,'Val-Vol (2)'!$A$4:$A$1116,$D604,'Val-Vol (2)'!$V$4:$V$1116,$V604)/SUMIFS('Comp2016-2017 (3)'!$G$5:$G$289,'Comp2016-2017 (3)'!$A$5:$A$289,$D604,'Comp2016-2017 (3)'!$R$5:$R$289,$V604)*$AB604))</f>
        <v/>
      </c>
      <c r="AH604" s="2" t="str">
        <f>IF($W604=AH$3,$AB604,IF(NOT($W604=0),"",SUMIFS('Val-Vol (2)'!AH$4:AH$1116,'Val-Vol (2)'!$A$4:$A$1116,$D604,'Val-Vol (2)'!$V$4:$V$1116,$V604)/SUMIFS('Comp2016-2017 (3)'!$G$5:$G$289,'Comp2016-2017 (3)'!$A$5:$A$289,$D604,'Comp2016-2017 (3)'!$R$5:$R$289,$V604)*$AB604))</f>
        <v/>
      </c>
      <c r="AI604" s="2" t="str">
        <f>IF($W604=AI$3,$AB604,IF(NOT($W604=0),"",SUMIFS('Val-Vol (2)'!AI$4:AI$1116,'Val-Vol (2)'!$A$4:$A$1116,$D604,'Val-Vol (2)'!$V$4:$V$1116,$V604)/SUMIFS('Comp2016-2017 (3)'!$G$5:$G$289,'Comp2016-2017 (3)'!$A$5:$A$289,$D604,'Comp2016-2017 (3)'!$R$5:$R$289,$V604)*$AB604))</f>
        <v/>
      </c>
      <c r="AJ604" s="2" t="str">
        <f>IF($W604=AJ$3,$AB604,IF(NOT($W604=0),"",SUMIFS('Val-Vol (2)'!AJ$4:AJ$1116,'Val-Vol (2)'!$A$4:$A$1116,$D604,'Val-Vol (2)'!$V$4:$V$1116,$V604)/SUMIFS('Comp2016-2017 (3)'!$G$5:$G$289,'Comp2016-2017 (3)'!$A$5:$A$289,$D604,'Comp2016-2017 (3)'!$R$5:$R$289,$V604)*$AB604))</f>
        <v/>
      </c>
      <c r="AK604" s="2">
        <f t="shared" si="66"/>
        <v>0</v>
      </c>
      <c r="AL604" t="str">
        <f t="shared" si="68"/>
        <v/>
      </c>
      <c r="AM604" t="str">
        <f>VLOOKUP(A604,'Table corresp.'!$M$4:$U$63,8,FALSE)</f>
        <v>Production intermédiaire</v>
      </c>
      <c r="AN604" t="str">
        <f>VLOOKUP(D604,'Table corresp.'!$M$4:$U$63,9,FALSE)</f>
        <v xml:space="preserve">Mise en œuvre </v>
      </c>
    </row>
    <row r="605" spans="1:40" x14ac:dyDescent="0.25">
      <c r="A605" t="s">
        <v>87</v>
      </c>
      <c r="B605" t="str">
        <f>VLOOKUP(LEFT(A605,3),'Table corresp.'!$A$4:$D$63,3,FALSE)</f>
        <v>Transformation</v>
      </c>
      <c r="C605" t="str">
        <f>VLOOKUP(A605,'Table corresp.'!$M$4:$P$63,4,FALSE)</f>
        <v>Production et transformation de produits bois</v>
      </c>
      <c r="D605" t="s">
        <v>24</v>
      </c>
      <c r="E605" t="str">
        <f>VLOOKUP(LEFT(D605,3),'Table corresp.'!$A$4:$D$63,4,FALSE)</f>
        <v>Transformation</v>
      </c>
      <c r="F605" t="str">
        <f t="shared" si="67"/>
        <v xml:space="preserve">31  - 57 </v>
      </c>
      <c r="G605" s="3">
        <v>9683.2817377627907</v>
      </c>
      <c r="H605" s="3">
        <v>35592.447068838643</v>
      </c>
      <c r="I605" s="3">
        <v>45275.728934102524</v>
      </c>
      <c r="J605" s="3">
        <v>2.8539956804706326</v>
      </c>
      <c r="K605" s="3">
        <v>6.8592661698266459</v>
      </c>
      <c r="L605" s="3">
        <v>9.713261850297279</v>
      </c>
      <c r="M605" s="3">
        <v>33.806731987018807</v>
      </c>
      <c r="N605" s="3">
        <v>89.327685637438179</v>
      </c>
      <c r="O605" s="3">
        <v>123.13441762445699</v>
      </c>
      <c r="P605" s="3">
        <v>5.763936836816832</v>
      </c>
      <c r="Q605" s="3">
        <v>21.267979162830585</v>
      </c>
      <c r="R605" s="3">
        <v>27.031915999647417</v>
      </c>
      <c r="S605" s="67" t="s">
        <v>192</v>
      </c>
      <c r="T605">
        <f>VLOOKUP(A605,'Groupe de branches'!$Z$27:$AM$86,14,FALSE)</f>
        <v>0</v>
      </c>
      <c r="U605">
        <f>VLOOKUP(D605,'Groupe de branches'!$Z$27:$AM$86,14,FALSE)</f>
        <v>0</v>
      </c>
      <c r="V605">
        <v>2017</v>
      </c>
      <c r="W605" t="str">
        <f>VLOOKUP(D605,'Table corresp.'!$M$4:$S$63,7,FALSE)</f>
        <v>Construction</v>
      </c>
      <c r="X605" s="167">
        <f>IFERROR(G605/SUMIFS('Comp2016-2017 (3)'!$I$5:$I$289,'Comp2016-2017 (3)'!$A$5:$A$289,A605,'Comp2016-2017 (3)'!$R$5:$R$289,V605),0)</f>
        <v>6.1907035147502282E-3</v>
      </c>
      <c r="Y605" s="190">
        <f>IFERROR(IF(RIGHT(F605,3)="Exp",VLOOKUP(F605,#REF!,2,FALSE),VLOOKUP(F605,#REF!,9,FALSE)),1)</f>
        <v>1</v>
      </c>
      <c r="Z605" s="167">
        <f t="shared" si="70"/>
        <v>5.8823529411764705E-2</v>
      </c>
      <c r="AA605" s="189">
        <f t="shared" si="69"/>
        <v>3.641590302794252E-4</v>
      </c>
      <c r="AB605" s="2">
        <f>IFERROR(SUMIFS('Comp2016-2017 (3)'!$G$5:$G$289,'Comp2016-2017 (3)'!$A$5:$A$289,A605,'Comp2016-2017 (3)'!$R$5:$R$289,V605)*AA605/SUMIFS($AA$4:$AA$1116,$A$4:$A$1116,A605,$V$4:$V$1116,V605),0)</f>
        <v>2521.788457233773</v>
      </c>
      <c r="AC605" s="2" t="str">
        <f>IF($W605=AC$3,$AB605,IF(NOT($W605=0),"",SUMIFS('Val-Vol (2)'!AC$4:AC$1116,'Val-Vol (2)'!$A$4:$A$1116,$D605,'Val-Vol (2)'!$V$4:$V$1116,$V605)/SUMIFS('Comp2016-2017 (3)'!$G$5:$G$289,'Comp2016-2017 (3)'!$A$5:$A$289,$D605,'Comp2016-2017 (3)'!$R$5:$R$289,$V605)*$AB605))</f>
        <v/>
      </c>
      <c r="AD605" s="2">
        <f>IF($W605=AD$3,$AB605,IF(NOT($W605=0),"",SUMIFS('Val-Vol (2)'!AD$4:AD$1116,'Val-Vol (2)'!$A$4:$A$1116,$D605,'Val-Vol (2)'!$V$4:$V$1116,$V605)/SUMIFS('Comp2016-2017 (3)'!$G$5:$G$289,'Comp2016-2017 (3)'!$A$5:$A$289,$D605,'Comp2016-2017 (3)'!$R$5:$R$289,$V605)*$AB605))</f>
        <v>2521.788457233773</v>
      </c>
      <c r="AE605" s="2" t="str">
        <f>IF($W605=AE$3,$AB605,IF(NOT($W605=0),"",SUMIFS('Val-Vol (2)'!AE$4:AE$1116,'Val-Vol (2)'!$A$4:$A$1116,$D605,'Val-Vol (2)'!$V$4:$V$1116,$V605)/SUMIFS('Comp2016-2017 (3)'!$G$5:$G$289,'Comp2016-2017 (3)'!$A$5:$A$289,$D605,'Comp2016-2017 (3)'!$R$5:$R$289,$V605)*$AB605))</f>
        <v/>
      </c>
      <c r="AF605" s="2" t="str">
        <f>IF($W605=AF$3,$AB605,IF(NOT($W605=0),"",SUMIFS('Val-Vol (2)'!AF$4:AF$1116,'Val-Vol (2)'!$A$4:$A$1116,$D605,'Val-Vol (2)'!$V$4:$V$1116,$V605)/SUMIFS('Comp2016-2017 (3)'!$G$5:$G$289,'Comp2016-2017 (3)'!$A$5:$A$289,$D605,'Comp2016-2017 (3)'!$R$5:$R$289,$V605)*$AB605))</f>
        <v/>
      </c>
      <c r="AG605" s="2" t="str">
        <f>IF($W605=AG$3,$AB605,IF(NOT($W605=0),"",SUMIFS('Val-Vol (2)'!AG$4:AG$1116,'Val-Vol (2)'!$A$4:$A$1116,$D605,'Val-Vol (2)'!$V$4:$V$1116,$V605)/SUMIFS('Comp2016-2017 (3)'!$G$5:$G$289,'Comp2016-2017 (3)'!$A$5:$A$289,$D605,'Comp2016-2017 (3)'!$R$5:$R$289,$V605)*$AB605))</f>
        <v/>
      </c>
      <c r="AH605" s="2" t="str">
        <f>IF($W605=AH$3,$AB605,IF(NOT($W605=0),"",SUMIFS('Val-Vol (2)'!AH$4:AH$1116,'Val-Vol (2)'!$A$4:$A$1116,$D605,'Val-Vol (2)'!$V$4:$V$1116,$V605)/SUMIFS('Comp2016-2017 (3)'!$G$5:$G$289,'Comp2016-2017 (3)'!$A$5:$A$289,$D605,'Comp2016-2017 (3)'!$R$5:$R$289,$V605)*$AB605))</f>
        <v/>
      </c>
      <c r="AI605" s="2" t="str">
        <f>IF($W605=AI$3,$AB605,IF(NOT($W605=0),"",SUMIFS('Val-Vol (2)'!AI$4:AI$1116,'Val-Vol (2)'!$A$4:$A$1116,$D605,'Val-Vol (2)'!$V$4:$V$1116,$V605)/SUMIFS('Comp2016-2017 (3)'!$G$5:$G$289,'Comp2016-2017 (3)'!$A$5:$A$289,$D605,'Comp2016-2017 (3)'!$R$5:$R$289,$V605)*$AB605))</f>
        <v/>
      </c>
      <c r="AJ605" s="2" t="str">
        <f>IF($W605=AJ$3,$AB605,IF(NOT($W605=0),"",SUMIFS('Val-Vol (2)'!AJ$4:AJ$1116,'Val-Vol (2)'!$A$4:$A$1116,$D605,'Val-Vol (2)'!$V$4:$V$1116,$V605)/SUMIFS('Comp2016-2017 (3)'!$G$5:$G$289,'Comp2016-2017 (3)'!$A$5:$A$289,$D605,'Comp2016-2017 (3)'!$R$5:$R$289,$V605)*$AB605))</f>
        <v/>
      </c>
      <c r="AK605" s="2">
        <f t="shared" si="66"/>
        <v>0</v>
      </c>
      <c r="AL605" t="str">
        <f t="shared" si="68"/>
        <v/>
      </c>
      <c r="AM605" t="str">
        <f>VLOOKUP(A605,'Table corresp.'!$M$4:$U$63,8,FALSE)</f>
        <v>Production intermédiaire</v>
      </c>
      <c r="AN605" t="str">
        <f>VLOOKUP(D605,'Table corresp.'!$M$4:$U$63,9,FALSE)</f>
        <v xml:space="preserve">Mise en œuvre </v>
      </c>
    </row>
    <row r="606" spans="1:40" x14ac:dyDescent="0.25">
      <c r="A606" t="s">
        <v>87</v>
      </c>
      <c r="B606" t="str">
        <f>VLOOKUP(LEFT(A606,3),'Table corresp.'!$A$4:$D$63,3,FALSE)</f>
        <v>Transformation</v>
      </c>
      <c r="C606" t="str">
        <f>VLOOKUP(A606,'Table corresp.'!$M$4:$P$63,4,FALSE)</f>
        <v>Production et transformation de produits bois</v>
      </c>
      <c r="D606" t="s">
        <v>25</v>
      </c>
      <c r="E606" t="str">
        <f>VLOOKUP(LEFT(D606,3),'Table corresp.'!$A$4:$D$63,4,FALSE)</f>
        <v>Transformation</v>
      </c>
      <c r="F606" t="str">
        <f t="shared" si="67"/>
        <v xml:space="preserve">31  - 58 </v>
      </c>
      <c r="G606" s="3">
        <v>1643.0438676725855</v>
      </c>
      <c r="H606" s="3">
        <v>2872.5651168567042</v>
      </c>
      <c r="I606" s="3">
        <v>4515.6089972475202</v>
      </c>
      <c r="J606" s="3">
        <v>0.48426145475807608</v>
      </c>
      <c r="K606" s="3">
        <v>0.55359185302912173</v>
      </c>
      <c r="L606" s="3">
        <v>1.0378533077871979</v>
      </c>
      <c r="M606" s="3">
        <v>5.7362725965830608</v>
      </c>
      <c r="N606" s="3">
        <v>7.2093833063897623</v>
      </c>
      <c r="O606" s="3">
        <v>12.945655902972824</v>
      </c>
      <c r="P606" s="3">
        <v>0.97801564901818527</v>
      </c>
      <c r="Q606" s="3">
        <v>1.7164780755597495</v>
      </c>
      <c r="R606" s="3">
        <v>2.694493724577935</v>
      </c>
      <c r="S606" s="67" t="s">
        <v>192</v>
      </c>
      <c r="T606">
        <f>VLOOKUP(A606,'Groupe de branches'!$Z$27:$AM$86,14,FALSE)</f>
        <v>0</v>
      </c>
      <c r="U606">
        <f>VLOOKUP(D606,'Groupe de branches'!$Z$27:$AM$86,14,FALSE)</f>
        <v>0</v>
      </c>
      <c r="V606">
        <v>2017</v>
      </c>
      <c r="W606" t="str">
        <f>VLOOKUP(D606,'Table corresp.'!$M$4:$S$63,7,FALSE)</f>
        <v>Construction</v>
      </c>
      <c r="X606" s="167">
        <f>IFERROR(G606/SUMIFS('Comp2016-2017 (3)'!$I$5:$I$289,'Comp2016-2017 (3)'!$A$5:$A$289,A606,'Comp2016-2017 (3)'!$R$5:$R$289,V606),0)</f>
        <v>1.0504287412006574E-3</v>
      </c>
      <c r="Y606" s="190">
        <f>IFERROR(IF(RIGHT(F606,3)="Exp",VLOOKUP(F606,#REF!,2,FALSE),VLOOKUP(F606,#REF!,9,FALSE)),1)</f>
        <v>1</v>
      </c>
      <c r="Z606" s="167">
        <f t="shared" si="70"/>
        <v>5.8823529411764705E-2</v>
      </c>
      <c r="AA606" s="189">
        <f t="shared" si="69"/>
        <v>6.1789925952979846E-5</v>
      </c>
      <c r="AB606" s="2">
        <f>IFERROR(SUMIFS('Comp2016-2017 (3)'!$G$5:$G$289,'Comp2016-2017 (3)'!$A$5:$A$289,A606,'Comp2016-2017 (3)'!$R$5:$R$289,V606)*AA606/SUMIFS($AA$4:$AA$1116,$A$4:$A$1116,A606,$V$4:$V$1116,V606),0)</f>
        <v>427.89306068282855</v>
      </c>
      <c r="AC606" s="2" t="str">
        <f>IF($W606=AC$3,$AB606,IF(NOT($W606=0),"",SUMIFS('Val-Vol (2)'!AC$4:AC$1116,'Val-Vol (2)'!$A$4:$A$1116,$D606,'Val-Vol (2)'!$V$4:$V$1116,$V606)/SUMIFS('Comp2016-2017 (3)'!$G$5:$G$289,'Comp2016-2017 (3)'!$A$5:$A$289,$D606,'Comp2016-2017 (3)'!$R$5:$R$289,$V606)*$AB606))</f>
        <v/>
      </c>
      <c r="AD606" s="2">
        <f>IF($W606=AD$3,$AB606,IF(NOT($W606=0),"",SUMIFS('Val-Vol (2)'!AD$4:AD$1116,'Val-Vol (2)'!$A$4:$A$1116,$D606,'Val-Vol (2)'!$V$4:$V$1116,$V606)/SUMIFS('Comp2016-2017 (3)'!$G$5:$G$289,'Comp2016-2017 (3)'!$A$5:$A$289,$D606,'Comp2016-2017 (3)'!$R$5:$R$289,$V606)*$AB606))</f>
        <v>427.89306068282855</v>
      </c>
      <c r="AE606" s="2" t="str">
        <f>IF($W606=AE$3,$AB606,IF(NOT($W606=0),"",SUMIFS('Val-Vol (2)'!AE$4:AE$1116,'Val-Vol (2)'!$A$4:$A$1116,$D606,'Val-Vol (2)'!$V$4:$V$1116,$V606)/SUMIFS('Comp2016-2017 (3)'!$G$5:$G$289,'Comp2016-2017 (3)'!$A$5:$A$289,$D606,'Comp2016-2017 (3)'!$R$5:$R$289,$V606)*$AB606))</f>
        <v/>
      </c>
      <c r="AF606" s="2" t="str">
        <f>IF($W606=AF$3,$AB606,IF(NOT($W606=0),"",SUMIFS('Val-Vol (2)'!AF$4:AF$1116,'Val-Vol (2)'!$A$4:$A$1116,$D606,'Val-Vol (2)'!$V$4:$V$1116,$V606)/SUMIFS('Comp2016-2017 (3)'!$G$5:$G$289,'Comp2016-2017 (3)'!$A$5:$A$289,$D606,'Comp2016-2017 (3)'!$R$5:$R$289,$V606)*$AB606))</f>
        <v/>
      </c>
      <c r="AG606" s="2" t="str">
        <f>IF($W606=AG$3,$AB606,IF(NOT($W606=0),"",SUMIFS('Val-Vol (2)'!AG$4:AG$1116,'Val-Vol (2)'!$A$4:$A$1116,$D606,'Val-Vol (2)'!$V$4:$V$1116,$V606)/SUMIFS('Comp2016-2017 (3)'!$G$5:$G$289,'Comp2016-2017 (3)'!$A$5:$A$289,$D606,'Comp2016-2017 (3)'!$R$5:$R$289,$V606)*$AB606))</f>
        <v/>
      </c>
      <c r="AH606" s="2" t="str">
        <f>IF($W606=AH$3,$AB606,IF(NOT($W606=0),"",SUMIFS('Val-Vol (2)'!AH$4:AH$1116,'Val-Vol (2)'!$A$4:$A$1116,$D606,'Val-Vol (2)'!$V$4:$V$1116,$V606)/SUMIFS('Comp2016-2017 (3)'!$G$5:$G$289,'Comp2016-2017 (3)'!$A$5:$A$289,$D606,'Comp2016-2017 (3)'!$R$5:$R$289,$V606)*$AB606))</f>
        <v/>
      </c>
      <c r="AI606" s="2" t="str">
        <f>IF($W606=AI$3,$AB606,IF(NOT($W606=0),"",SUMIFS('Val-Vol (2)'!AI$4:AI$1116,'Val-Vol (2)'!$A$4:$A$1116,$D606,'Val-Vol (2)'!$V$4:$V$1116,$V606)/SUMIFS('Comp2016-2017 (3)'!$G$5:$G$289,'Comp2016-2017 (3)'!$A$5:$A$289,$D606,'Comp2016-2017 (3)'!$R$5:$R$289,$V606)*$AB606))</f>
        <v/>
      </c>
      <c r="AJ606" s="2" t="str">
        <f>IF($W606=AJ$3,$AB606,IF(NOT($W606=0),"",SUMIFS('Val-Vol (2)'!AJ$4:AJ$1116,'Val-Vol (2)'!$A$4:$A$1116,$D606,'Val-Vol (2)'!$V$4:$V$1116,$V606)/SUMIFS('Comp2016-2017 (3)'!$G$5:$G$289,'Comp2016-2017 (3)'!$A$5:$A$289,$D606,'Comp2016-2017 (3)'!$R$5:$R$289,$V606)*$AB606))</f>
        <v/>
      </c>
      <c r="AK606" s="2">
        <f t="shared" si="66"/>
        <v>0</v>
      </c>
      <c r="AL606" t="str">
        <f t="shared" si="68"/>
        <v/>
      </c>
      <c r="AM606" t="str">
        <f>VLOOKUP(A606,'Table corresp.'!$M$4:$U$63,8,FALSE)</f>
        <v>Production intermédiaire</v>
      </c>
      <c r="AN606" t="str">
        <f>VLOOKUP(D606,'Table corresp.'!$M$4:$U$63,9,FALSE)</f>
        <v xml:space="preserve">Mise en œuvre </v>
      </c>
    </row>
    <row r="607" spans="1:40" x14ac:dyDescent="0.25">
      <c r="A607" t="s">
        <v>87</v>
      </c>
      <c r="B607" t="str">
        <f>VLOOKUP(LEFT(A607,3),'Table corresp.'!$A$4:$D$63,3,FALSE)</f>
        <v>Transformation</v>
      </c>
      <c r="C607" t="str">
        <f>VLOOKUP(A607,'Table corresp.'!$M$4:$P$63,4,FALSE)</f>
        <v>Production et transformation de produits bois</v>
      </c>
      <c r="D607" t="s">
        <v>26</v>
      </c>
      <c r="E607" t="str">
        <f>VLOOKUP(LEFT(D607,3),'Table corresp.'!$A$4:$D$63,4,FALSE)</f>
        <v>Transformation</v>
      </c>
      <c r="F607" t="str">
        <f t="shared" si="67"/>
        <v xml:space="preserve">31  - 59 </v>
      </c>
      <c r="G607" s="3">
        <v>1318.0568823426381</v>
      </c>
      <c r="H607" s="3">
        <v>3660.430200630411</v>
      </c>
      <c r="I607" s="3">
        <v>4978.4870969936574</v>
      </c>
      <c r="J607" s="3">
        <v>0.165462267981177</v>
      </c>
      <c r="K607" s="3">
        <v>0.30045955102320637</v>
      </c>
      <c r="L607" s="3">
        <v>0.46592181900438334</v>
      </c>
      <c r="M607" s="3">
        <v>1.9721411296469662</v>
      </c>
      <c r="N607" s="3">
        <v>3.937164665790271</v>
      </c>
      <c r="O607" s="3">
        <v>5.9093057954372377</v>
      </c>
      <c r="P607" s="3">
        <v>0.78456837494743037</v>
      </c>
      <c r="Q607" s="3">
        <v>2.1872604905033737</v>
      </c>
      <c r="R607" s="3">
        <v>2.9718288654508038</v>
      </c>
      <c r="S607" s="67" t="s">
        <v>192</v>
      </c>
      <c r="T607">
        <f>VLOOKUP(A607,'Groupe de branches'!$Z$27:$AM$86,14,FALSE)</f>
        <v>0</v>
      </c>
      <c r="U607">
        <f>VLOOKUP(D607,'Groupe de branches'!$Z$27:$AM$86,14,FALSE)</f>
        <v>0</v>
      </c>
      <c r="V607">
        <v>2017</v>
      </c>
      <c r="W607" t="str">
        <f>VLOOKUP(D607,'Table corresp.'!$M$4:$S$63,7,FALSE)</f>
        <v>Construction</v>
      </c>
      <c r="X607" s="167">
        <f>IFERROR(G607/SUMIFS('Comp2016-2017 (3)'!$I$5:$I$289,'Comp2016-2017 (3)'!$A$5:$A$289,A607,'Comp2016-2017 (3)'!$R$5:$R$289,V607),0)</f>
        <v>8.4265847004514618E-4</v>
      </c>
      <c r="Y607" s="190">
        <f>IFERROR(IF(RIGHT(F607,3)="Exp",VLOOKUP(F607,#REF!,2,FALSE),VLOOKUP(F607,#REF!,9,FALSE)),1)</f>
        <v>1</v>
      </c>
      <c r="Z607" s="167">
        <f t="shared" si="70"/>
        <v>5.8823529411764705E-2</v>
      </c>
      <c r="AA607" s="189">
        <f t="shared" si="69"/>
        <v>4.9568145296773301E-5</v>
      </c>
      <c r="AB607" s="2">
        <f>IFERROR(SUMIFS('Comp2016-2017 (3)'!$G$5:$G$289,'Comp2016-2017 (3)'!$A$5:$A$289,A607,'Comp2016-2017 (3)'!$R$5:$R$289,V607)*AA607/SUMIFS($AA$4:$AA$1116,$A$4:$A$1116,A607,$V$4:$V$1116,V607),0)</f>
        <v>343.25766014912381</v>
      </c>
      <c r="AC607" s="2" t="str">
        <f>IF($W607=AC$3,$AB607,IF(NOT($W607=0),"",SUMIFS('Val-Vol (2)'!AC$4:AC$1116,'Val-Vol (2)'!$A$4:$A$1116,$D607,'Val-Vol (2)'!$V$4:$V$1116,$V607)/SUMIFS('Comp2016-2017 (3)'!$G$5:$G$289,'Comp2016-2017 (3)'!$A$5:$A$289,$D607,'Comp2016-2017 (3)'!$R$5:$R$289,$V607)*$AB607))</f>
        <v/>
      </c>
      <c r="AD607" s="2">
        <f>IF($W607=AD$3,$AB607,IF(NOT($W607=0),"",SUMIFS('Val-Vol (2)'!AD$4:AD$1116,'Val-Vol (2)'!$A$4:$A$1116,$D607,'Val-Vol (2)'!$V$4:$V$1116,$V607)/SUMIFS('Comp2016-2017 (3)'!$G$5:$G$289,'Comp2016-2017 (3)'!$A$5:$A$289,$D607,'Comp2016-2017 (3)'!$R$5:$R$289,$V607)*$AB607))</f>
        <v>343.25766014912381</v>
      </c>
      <c r="AE607" s="2" t="str">
        <f>IF($W607=AE$3,$AB607,IF(NOT($W607=0),"",SUMIFS('Val-Vol (2)'!AE$4:AE$1116,'Val-Vol (2)'!$A$4:$A$1116,$D607,'Val-Vol (2)'!$V$4:$V$1116,$V607)/SUMIFS('Comp2016-2017 (3)'!$G$5:$G$289,'Comp2016-2017 (3)'!$A$5:$A$289,$D607,'Comp2016-2017 (3)'!$R$5:$R$289,$V607)*$AB607))</f>
        <v/>
      </c>
      <c r="AF607" s="2" t="str">
        <f>IF($W607=AF$3,$AB607,IF(NOT($W607=0),"",SUMIFS('Val-Vol (2)'!AF$4:AF$1116,'Val-Vol (2)'!$A$4:$A$1116,$D607,'Val-Vol (2)'!$V$4:$V$1116,$V607)/SUMIFS('Comp2016-2017 (3)'!$G$5:$G$289,'Comp2016-2017 (3)'!$A$5:$A$289,$D607,'Comp2016-2017 (3)'!$R$5:$R$289,$V607)*$AB607))</f>
        <v/>
      </c>
      <c r="AG607" s="2" t="str">
        <f>IF($W607=AG$3,$AB607,IF(NOT($W607=0),"",SUMIFS('Val-Vol (2)'!AG$4:AG$1116,'Val-Vol (2)'!$A$4:$A$1116,$D607,'Val-Vol (2)'!$V$4:$V$1116,$V607)/SUMIFS('Comp2016-2017 (3)'!$G$5:$G$289,'Comp2016-2017 (3)'!$A$5:$A$289,$D607,'Comp2016-2017 (3)'!$R$5:$R$289,$V607)*$AB607))</f>
        <v/>
      </c>
      <c r="AH607" s="2" t="str">
        <f>IF($W607=AH$3,$AB607,IF(NOT($W607=0),"",SUMIFS('Val-Vol (2)'!AH$4:AH$1116,'Val-Vol (2)'!$A$4:$A$1116,$D607,'Val-Vol (2)'!$V$4:$V$1116,$V607)/SUMIFS('Comp2016-2017 (3)'!$G$5:$G$289,'Comp2016-2017 (3)'!$A$5:$A$289,$D607,'Comp2016-2017 (3)'!$R$5:$R$289,$V607)*$AB607))</f>
        <v/>
      </c>
      <c r="AI607" s="2" t="str">
        <f>IF($W607=AI$3,$AB607,IF(NOT($W607=0),"",SUMIFS('Val-Vol (2)'!AI$4:AI$1116,'Val-Vol (2)'!$A$4:$A$1116,$D607,'Val-Vol (2)'!$V$4:$V$1116,$V607)/SUMIFS('Comp2016-2017 (3)'!$G$5:$G$289,'Comp2016-2017 (3)'!$A$5:$A$289,$D607,'Comp2016-2017 (3)'!$R$5:$R$289,$V607)*$AB607))</f>
        <v/>
      </c>
      <c r="AJ607" s="2" t="str">
        <f>IF($W607=AJ$3,$AB607,IF(NOT($W607=0),"",SUMIFS('Val-Vol (2)'!AJ$4:AJ$1116,'Val-Vol (2)'!$A$4:$A$1116,$D607,'Val-Vol (2)'!$V$4:$V$1116,$V607)/SUMIFS('Comp2016-2017 (3)'!$G$5:$G$289,'Comp2016-2017 (3)'!$A$5:$A$289,$D607,'Comp2016-2017 (3)'!$R$5:$R$289,$V607)*$AB607))</f>
        <v/>
      </c>
      <c r="AK607" s="2">
        <f t="shared" si="66"/>
        <v>0</v>
      </c>
      <c r="AL607" t="str">
        <f t="shared" si="68"/>
        <v/>
      </c>
      <c r="AM607" t="str">
        <f>VLOOKUP(A607,'Table corresp.'!$M$4:$U$63,8,FALSE)</f>
        <v>Production intermédiaire</v>
      </c>
      <c r="AN607" t="str">
        <f>VLOOKUP(D607,'Table corresp.'!$M$4:$U$63,9,FALSE)</f>
        <v xml:space="preserve">Mise en œuvre </v>
      </c>
    </row>
    <row r="608" spans="1:40" x14ac:dyDescent="0.25">
      <c r="A608" t="s">
        <v>87</v>
      </c>
      <c r="B608" t="str">
        <f>VLOOKUP(LEFT(A608,3),'Table corresp.'!$A$4:$D$63,3,FALSE)</f>
        <v>Transformation</v>
      </c>
      <c r="C608" t="str">
        <f>VLOOKUP(A608,'Table corresp.'!$M$4:$P$63,4,FALSE)</f>
        <v>Production et transformation de produits bois</v>
      </c>
      <c r="D608" t="s">
        <v>54</v>
      </c>
      <c r="E608" t="str">
        <f>VLOOKUP(LEFT(D608,3),'Table corresp.'!$A$4:$D$63,4,FALSE)</f>
        <v>Consommation finale</v>
      </c>
      <c r="F608" t="str">
        <f t="shared" si="67"/>
        <v>31  - Con</v>
      </c>
      <c r="G608" s="3">
        <v>45758.224399300118</v>
      </c>
      <c r="H608" s="3">
        <v>176799.64533643203</v>
      </c>
      <c r="I608" s="3">
        <v>222557.87036247298</v>
      </c>
      <c r="J608" s="3">
        <v>10.339665488486046</v>
      </c>
      <c r="K608" s="3">
        <v>25.795095778254332</v>
      </c>
      <c r="L608" s="3">
        <v>36.134761266740377</v>
      </c>
      <c r="M608" s="3">
        <v>117.46564779518198</v>
      </c>
      <c r="N608" s="3">
        <v>357.20193837453996</v>
      </c>
      <c r="O608" s="3">
        <v>474.66758616972197</v>
      </c>
      <c r="P608" s="3">
        <v>27.237410037745377</v>
      </c>
      <c r="Q608" s="3">
        <v>105.64519954861778</v>
      </c>
      <c r="R608" s="3">
        <v>132.88260958636317</v>
      </c>
      <c r="S608" s="67" t="s">
        <v>192</v>
      </c>
      <c r="T608">
        <f>VLOOKUP(A608,'Groupe de branches'!$Z$27:$AM$86,14,FALSE)</f>
        <v>0</v>
      </c>
      <c r="U608">
        <f>VLOOKUP(D608,'Groupe de branches'!$Z$27:$AM$86,14,FALSE)</f>
        <v>0</v>
      </c>
      <c r="V608">
        <v>2017</v>
      </c>
      <c r="W608" t="str">
        <f>VLOOKUP(D608,'Table corresp.'!$M$4:$S$63,7,FALSE)</f>
        <v>Consommation finale</v>
      </c>
      <c r="X608" s="167">
        <f>IFERROR(G608/SUMIFS('Comp2016-2017 (3)'!$I$5:$I$289,'Comp2016-2017 (3)'!$A$5:$A$289,A608,'Comp2016-2017 (3)'!$R$5:$R$289,V608),0)</f>
        <v>2.9254090533456317E-2</v>
      </c>
      <c r="Y608" s="190">
        <f>IFERROR(IF(RIGHT(F608,3)="Exp",VLOOKUP(F608,#REF!,2,FALSE),VLOOKUP(F608,#REF!,9,FALSE)),1)</f>
        <v>1</v>
      </c>
      <c r="Z608" s="167">
        <f t="shared" si="70"/>
        <v>5.8823529411764705E-2</v>
      </c>
      <c r="AA608" s="189">
        <f t="shared" si="69"/>
        <v>1.7208288549091951E-3</v>
      </c>
      <c r="AB608" s="2">
        <f>IFERROR(SUMIFS('Comp2016-2017 (3)'!$G$5:$G$289,'Comp2016-2017 (3)'!$A$5:$A$289,A608,'Comp2016-2017 (3)'!$R$5:$R$289,V608)*AA608/SUMIFS($AA$4:$AA$1116,$A$4:$A$1116,A608,$V$4:$V$1116,V608),0)</f>
        <v>11916.679204288846</v>
      </c>
      <c r="AC608" s="2" t="str">
        <f>IF($W608=AC$3,$AB608,IF(NOT($W608=0),"",SUMIFS('Val-Vol (2)'!AC$4:AC$1116,'Val-Vol (2)'!$A$4:$A$1116,$D608,'Val-Vol (2)'!$V$4:$V$1116,$V608)/SUMIFS('Comp2016-2017 (3)'!$G$5:$G$289,'Comp2016-2017 (3)'!$A$5:$A$289,$D608,'Comp2016-2017 (3)'!$R$5:$R$289,$V608)*$AB608))</f>
        <v/>
      </c>
      <c r="AD608" s="2" t="str">
        <f>IF($W608=AD$3,$AB608,IF(NOT($W608=0),"",SUMIFS('Val-Vol (2)'!AD$4:AD$1116,'Val-Vol (2)'!$A$4:$A$1116,$D608,'Val-Vol (2)'!$V$4:$V$1116,$V608)/SUMIFS('Comp2016-2017 (3)'!$G$5:$G$289,'Comp2016-2017 (3)'!$A$5:$A$289,$D608,'Comp2016-2017 (3)'!$R$5:$R$289,$V608)*$AB608))</f>
        <v/>
      </c>
      <c r="AE608" s="2" t="str">
        <f>IF($W608=AE$3,$AB608,IF(NOT($W608=0),"",SUMIFS('Val-Vol (2)'!AE$4:AE$1116,'Val-Vol (2)'!$A$4:$A$1116,$D608,'Val-Vol (2)'!$V$4:$V$1116,$V608)/SUMIFS('Comp2016-2017 (3)'!$G$5:$G$289,'Comp2016-2017 (3)'!$A$5:$A$289,$D608,'Comp2016-2017 (3)'!$R$5:$R$289,$V608)*$AB608))</f>
        <v/>
      </c>
      <c r="AF608" s="2" t="str">
        <f>IF($W608=AF$3,$AB608,IF(NOT($W608=0),"",SUMIFS('Val-Vol (2)'!AF$4:AF$1116,'Val-Vol (2)'!$A$4:$A$1116,$D608,'Val-Vol (2)'!$V$4:$V$1116,$V608)/SUMIFS('Comp2016-2017 (3)'!$G$5:$G$289,'Comp2016-2017 (3)'!$A$5:$A$289,$D608,'Comp2016-2017 (3)'!$R$5:$R$289,$V608)*$AB608))</f>
        <v/>
      </c>
      <c r="AG608" s="2" t="str">
        <f>IF($W608=AG$3,$AB608,IF(NOT($W608=0),"",SUMIFS('Val-Vol (2)'!AG$4:AG$1116,'Val-Vol (2)'!$A$4:$A$1116,$D608,'Val-Vol (2)'!$V$4:$V$1116,$V608)/SUMIFS('Comp2016-2017 (3)'!$G$5:$G$289,'Comp2016-2017 (3)'!$A$5:$A$289,$D608,'Comp2016-2017 (3)'!$R$5:$R$289,$V608)*$AB608))</f>
        <v/>
      </c>
      <c r="AH608" s="2" t="str">
        <f>IF($W608=AH$3,$AB608,IF(NOT($W608=0),"",SUMIFS('Val-Vol (2)'!AH$4:AH$1116,'Val-Vol (2)'!$A$4:$A$1116,$D608,'Val-Vol (2)'!$V$4:$V$1116,$V608)/SUMIFS('Comp2016-2017 (3)'!$G$5:$G$289,'Comp2016-2017 (3)'!$A$5:$A$289,$D608,'Comp2016-2017 (3)'!$R$5:$R$289,$V608)*$AB608))</f>
        <v/>
      </c>
      <c r="AI608" s="2" t="str">
        <f>IF($W608=AI$3,$AB608,IF(NOT($W608=0),"",SUMIFS('Val-Vol (2)'!AI$4:AI$1116,'Val-Vol (2)'!$A$4:$A$1116,$D608,'Val-Vol (2)'!$V$4:$V$1116,$V608)/SUMIFS('Comp2016-2017 (3)'!$G$5:$G$289,'Comp2016-2017 (3)'!$A$5:$A$289,$D608,'Comp2016-2017 (3)'!$R$5:$R$289,$V608)*$AB608))</f>
        <v/>
      </c>
      <c r="AJ608" s="2">
        <f>IF($W608=AJ$3,$AB608,IF(NOT($W608=0),"",SUMIFS('Val-Vol (2)'!AJ$4:AJ$1116,'Val-Vol (2)'!$A$4:$A$1116,$D608,'Val-Vol (2)'!$V$4:$V$1116,$V608)/SUMIFS('Comp2016-2017 (3)'!$G$5:$G$289,'Comp2016-2017 (3)'!$A$5:$A$289,$D608,'Comp2016-2017 (3)'!$R$5:$R$289,$V608)*$AB608))</f>
        <v>11916.679204288846</v>
      </c>
      <c r="AK608" s="2">
        <f t="shared" si="66"/>
        <v>0</v>
      </c>
      <c r="AL608" t="str">
        <f t="shared" si="68"/>
        <v/>
      </c>
      <c r="AM608" t="str">
        <f>VLOOKUP(A608,'Table corresp.'!$M$4:$U$63,8,FALSE)</f>
        <v>Production intermédiaire</v>
      </c>
      <c r="AN608" t="str">
        <f>VLOOKUP(D608,'Table corresp.'!$M$4:$U$63,9,FALSE)</f>
        <v>Consommation finale française</v>
      </c>
    </row>
    <row r="609" spans="1:40" x14ac:dyDescent="0.25">
      <c r="A609" t="s">
        <v>87</v>
      </c>
      <c r="B609" t="str">
        <f>VLOOKUP(LEFT(A609,3),'Table corresp.'!$A$4:$D$63,3,FALSE)</f>
        <v>Transformation</v>
      </c>
      <c r="C609" t="str">
        <f>VLOOKUP(A609,'Table corresp.'!$M$4:$P$63,4,FALSE)</f>
        <v>Production et transformation de produits bois</v>
      </c>
      <c r="D609" t="s">
        <v>53</v>
      </c>
      <c r="E609" t="str">
        <f>VLOOKUP(LEFT(D609,3),'Table corresp.'!$A$4:$D$63,4,FALSE)</f>
        <v>Exportation</v>
      </c>
      <c r="F609" t="str">
        <f t="shared" si="67"/>
        <v>31  - Exp</v>
      </c>
      <c r="G609" s="3">
        <v>830369.43465984659</v>
      </c>
      <c r="H609" s="3">
        <v>0</v>
      </c>
      <c r="I609" s="3">
        <v>830369.43700000003</v>
      </c>
      <c r="J609" s="3">
        <v>178.94295395880371</v>
      </c>
      <c r="K609" s="3">
        <v>0</v>
      </c>
      <c r="L609" s="3">
        <v>178.94295395880371</v>
      </c>
      <c r="M609" s="3">
        <v>2156.5150971564499</v>
      </c>
      <c r="N609" s="3">
        <v>0</v>
      </c>
      <c r="O609" s="3">
        <v>2156.5150971564499</v>
      </c>
      <c r="P609" s="3">
        <v>494.2742659172543</v>
      </c>
      <c r="Q609" s="3">
        <v>0</v>
      </c>
      <c r="R609" s="3">
        <v>494.2742659172543</v>
      </c>
      <c r="S609" s="67" t="s">
        <v>192</v>
      </c>
      <c r="T609">
        <f>VLOOKUP(A609,'Groupe de branches'!$Z$27:$AM$86,14,FALSE)</f>
        <v>0</v>
      </c>
      <c r="U609">
        <f>VLOOKUP(D609,'Groupe de branches'!$Z$27:$AM$86,14,FALSE)</f>
        <v>0</v>
      </c>
      <c r="V609">
        <v>2017</v>
      </c>
      <c r="W609" t="str">
        <f>VLOOKUP(D609,'Table corresp.'!$M$4:$S$63,7,FALSE)</f>
        <v>Exportation</v>
      </c>
      <c r="X609" s="167">
        <f>IFERROR(G609/SUMIFS('Comp2016-2017 (3)'!$I$5:$I$289,'Comp2016-2017 (3)'!$A$5:$A$289,A609,'Comp2016-2017 (3)'!$R$5:$R$289,V609),0)</f>
        <v>0.53087074371106147</v>
      </c>
      <c r="Y609" s="190">
        <f>IFERROR(IF(RIGHT(F609,3)="Exp",VLOOKUP(F609,#REF!,2,FALSE),VLOOKUP(F609,#REF!,9,FALSE)),1)</f>
        <v>1</v>
      </c>
      <c r="Z609" s="167">
        <f t="shared" si="70"/>
        <v>5.8823529411764705E-2</v>
      </c>
      <c r="AA609" s="189">
        <f t="shared" si="69"/>
        <v>3.1227690806533027E-2</v>
      </c>
      <c r="AB609" s="2">
        <f>IFERROR(SUMIFS('Comp2016-2017 (3)'!$G$5:$G$289,'Comp2016-2017 (3)'!$A$5:$A$289,A609,'Comp2016-2017 (3)'!$R$5:$R$289,V609)*AA609/SUMIFS($AA$4:$AA$1116,$A$4:$A$1116,A609,$V$4:$V$1116,V609),0)</f>
        <v>216250.65884417121</v>
      </c>
      <c r="AC609" s="2">
        <f>IF($W609=AC$3,$AB609,IF(NOT($W609=0),"",SUMIFS('Val-Vol (2)'!AC$4:AC$1116,'Val-Vol (2)'!$A$4:$A$1116,$D609,'Val-Vol (2)'!$V$4:$V$1116,$V609)/SUMIFS('Comp2016-2017 (3)'!$G$5:$G$289,'Comp2016-2017 (3)'!$A$5:$A$289,$D609,'Comp2016-2017 (3)'!$R$5:$R$289,$V609)*$AB609))</f>
        <v>216250.65884417121</v>
      </c>
      <c r="AD609" s="2" t="str">
        <f>IF($W609=AD$3,$AB609,IF(NOT($W609=0),"",SUMIFS('Val-Vol (2)'!AD$4:AD$1116,'Val-Vol (2)'!$A$4:$A$1116,$D609,'Val-Vol (2)'!$V$4:$V$1116,$V609)/SUMIFS('Comp2016-2017 (3)'!$G$5:$G$289,'Comp2016-2017 (3)'!$A$5:$A$289,$D609,'Comp2016-2017 (3)'!$R$5:$R$289,$V609)*$AB609))</f>
        <v/>
      </c>
      <c r="AE609" s="2" t="str">
        <f>IF($W609=AE$3,$AB609,IF(NOT($W609=0),"",SUMIFS('Val-Vol (2)'!AE$4:AE$1116,'Val-Vol (2)'!$A$4:$A$1116,$D609,'Val-Vol (2)'!$V$4:$V$1116,$V609)/SUMIFS('Comp2016-2017 (3)'!$G$5:$G$289,'Comp2016-2017 (3)'!$A$5:$A$289,$D609,'Comp2016-2017 (3)'!$R$5:$R$289,$V609)*$AB609))</f>
        <v/>
      </c>
      <c r="AF609" s="2" t="str">
        <f>IF($W609=AF$3,$AB609,IF(NOT($W609=0),"",SUMIFS('Val-Vol (2)'!AF$4:AF$1116,'Val-Vol (2)'!$A$4:$A$1116,$D609,'Val-Vol (2)'!$V$4:$V$1116,$V609)/SUMIFS('Comp2016-2017 (3)'!$G$5:$G$289,'Comp2016-2017 (3)'!$A$5:$A$289,$D609,'Comp2016-2017 (3)'!$R$5:$R$289,$V609)*$AB609))</f>
        <v/>
      </c>
      <c r="AG609" s="2" t="str">
        <f>IF($W609=AG$3,$AB609,IF(NOT($W609=0),"",SUMIFS('Val-Vol (2)'!AG$4:AG$1116,'Val-Vol (2)'!$A$4:$A$1116,$D609,'Val-Vol (2)'!$V$4:$V$1116,$V609)/SUMIFS('Comp2016-2017 (3)'!$G$5:$G$289,'Comp2016-2017 (3)'!$A$5:$A$289,$D609,'Comp2016-2017 (3)'!$R$5:$R$289,$V609)*$AB609))</f>
        <v/>
      </c>
      <c r="AH609" s="2" t="str">
        <f>IF($W609=AH$3,$AB609,IF(NOT($W609=0),"",SUMIFS('Val-Vol (2)'!AH$4:AH$1116,'Val-Vol (2)'!$A$4:$A$1116,$D609,'Val-Vol (2)'!$V$4:$V$1116,$V609)/SUMIFS('Comp2016-2017 (3)'!$G$5:$G$289,'Comp2016-2017 (3)'!$A$5:$A$289,$D609,'Comp2016-2017 (3)'!$R$5:$R$289,$V609)*$AB609))</f>
        <v/>
      </c>
      <c r="AI609" s="2" t="str">
        <f>IF($W609=AI$3,$AB609,IF(NOT($W609=0),"",SUMIFS('Val-Vol (2)'!AI$4:AI$1116,'Val-Vol (2)'!$A$4:$A$1116,$D609,'Val-Vol (2)'!$V$4:$V$1116,$V609)/SUMIFS('Comp2016-2017 (3)'!$G$5:$G$289,'Comp2016-2017 (3)'!$A$5:$A$289,$D609,'Comp2016-2017 (3)'!$R$5:$R$289,$V609)*$AB609))</f>
        <v/>
      </c>
      <c r="AJ609" s="2" t="str">
        <f>IF($W609=AJ$3,$AB609,IF(NOT($W609=0),"",SUMIFS('Val-Vol (2)'!AJ$4:AJ$1116,'Val-Vol (2)'!$A$4:$A$1116,$D609,'Val-Vol (2)'!$V$4:$V$1116,$V609)/SUMIFS('Comp2016-2017 (3)'!$G$5:$G$289,'Comp2016-2017 (3)'!$A$5:$A$289,$D609,'Comp2016-2017 (3)'!$R$5:$R$289,$V609)*$AB609))</f>
        <v/>
      </c>
      <c r="AK609" s="2">
        <f t="shared" si="66"/>
        <v>0</v>
      </c>
      <c r="AL609" t="str">
        <f t="shared" si="68"/>
        <v/>
      </c>
      <c r="AM609" t="str">
        <f>VLOOKUP(A609,'Table corresp.'!$M$4:$U$63,8,FALSE)</f>
        <v>Production intermédiaire</v>
      </c>
      <c r="AN609" t="str">
        <f>VLOOKUP(D609,'Table corresp.'!$M$4:$U$63,9,FALSE)</f>
        <v>Exportation</v>
      </c>
    </row>
    <row r="610" spans="1:40" x14ac:dyDescent="0.25">
      <c r="A610" t="s">
        <v>88</v>
      </c>
      <c r="B610" t="str">
        <f>VLOOKUP(LEFT(A610,3),'Table corresp.'!$A$4:$D$63,3,FALSE)</f>
        <v>Transformation</v>
      </c>
      <c r="C610" t="str">
        <f>VLOOKUP(A610,'Table corresp.'!$M$4:$P$63,4,FALSE)</f>
        <v>Production et transformation de produits bois</v>
      </c>
      <c r="D610" t="s">
        <v>54</v>
      </c>
      <c r="E610" t="str">
        <f>VLOOKUP(LEFT(D610,3),'Table corresp.'!$A$4:$D$63,4,FALSE)</f>
        <v>Consommation finale</v>
      </c>
      <c r="F610" t="str">
        <f t="shared" si="67"/>
        <v>32  - Con</v>
      </c>
      <c r="G610" s="3">
        <v>1</v>
      </c>
      <c r="H610" s="3">
        <v>0</v>
      </c>
      <c r="I610" s="3">
        <v>1</v>
      </c>
      <c r="J610" s="3">
        <v>0</v>
      </c>
      <c r="K610" s="3">
        <v>0</v>
      </c>
      <c r="L610" s="3">
        <v>0</v>
      </c>
      <c r="M610" s="3">
        <v>0</v>
      </c>
      <c r="N610" s="3">
        <v>0</v>
      </c>
      <c r="O610" s="3">
        <v>0</v>
      </c>
      <c r="P610" s="3">
        <v>0</v>
      </c>
      <c r="Q610" s="3">
        <v>0</v>
      </c>
      <c r="R610" s="3">
        <v>0</v>
      </c>
      <c r="S610" s="67"/>
      <c r="T610">
        <f>VLOOKUP(A610,'Groupe de branches'!$Z$27:$AM$86,14,FALSE)</f>
        <v>0</v>
      </c>
      <c r="U610">
        <f>VLOOKUP(D610,'Groupe de branches'!$Z$27:$AM$86,14,FALSE)</f>
        <v>0</v>
      </c>
      <c r="V610">
        <v>2017</v>
      </c>
      <c r="W610" t="str">
        <f>VLOOKUP(D610,'Table corresp.'!$M$4:$S$63,7,FALSE)</f>
        <v>Consommation finale</v>
      </c>
      <c r="X610" s="167">
        <f>IFERROR(G610/SUMIFS('Comp2016-2017 (3)'!$I$5:$I$289,'Comp2016-2017 (3)'!$A$5:$A$289,A610,'Comp2016-2017 (3)'!$R$5:$R$289,V610),0)</f>
        <v>1</v>
      </c>
      <c r="Y610" s="232"/>
      <c r="Z610" s="233"/>
      <c r="AA610" s="189">
        <f t="shared" si="69"/>
        <v>0</v>
      </c>
      <c r="AB610" s="2">
        <f>IFERROR(SUMIFS('Comp2016-2017 (3)'!$G$5:$G$289,'Comp2016-2017 (3)'!$A$5:$A$289,A610,'Comp2016-2017 (3)'!$R$5:$R$289,V610)*AA610/SUMIFS($AA$4:$AA$1116,$A$4:$A$1116,A610,$V$4:$V$1116,V610),0)</f>
        <v>0</v>
      </c>
      <c r="AC610" s="2" t="str">
        <f>IF($W610=AC$3,$AB610,IF(NOT($W610=0),"",SUMIFS('Val-Vol (2)'!AC$4:AC$1116,'Val-Vol (2)'!$A$4:$A$1116,$D610,'Val-Vol (2)'!$V$4:$V$1116,$V610)/SUMIFS('Comp2016-2017 (3)'!$G$5:$G$289,'Comp2016-2017 (3)'!$A$5:$A$289,$D610,'Comp2016-2017 (3)'!$R$5:$R$289,$V610)*$AB610))</f>
        <v/>
      </c>
      <c r="AD610" s="2" t="str">
        <f>IF($W610=AD$3,$AB610,IF(NOT($W610=0),"",SUMIFS('Val-Vol (2)'!AD$4:AD$1116,'Val-Vol (2)'!$A$4:$A$1116,$D610,'Val-Vol (2)'!$V$4:$V$1116,$V610)/SUMIFS('Comp2016-2017 (3)'!$G$5:$G$289,'Comp2016-2017 (3)'!$A$5:$A$289,$D610,'Comp2016-2017 (3)'!$R$5:$R$289,$V610)*$AB610))</f>
        <v/>
      </c>
      <c r="AE610" s="2" t="str">
        <f>IF($W610=AE$3,$AB610,IF(NOT($W610=0),"",SUMIFS('Val-Vol (2)'!AE$4:AE$1116,'Val-Vol (2)'!$A$4:$A$1116,$D610,'Val-Vol (2)'!$V$4:$V$1116,$V610)/SUMIFS('Comp2016-2017 (3)'!$G$5:$G$289,'Comp2016-2017 (3)'!$A$5:$A$289,$D610,'Comp2016-2017 (3)'!$R$5:$R$289,$V610)*$AB610))</f>
        <v/>
      </c>
      <c r="AF610" s="2" t="str">
        <f>IF($W610=AF$3,$AB610,IF(NOT($W610=0),"",SUMIFS('Val-Vol (2)'!AF$4:AF$1116,'Val-Vol (2)'!$A$4:$A$1116,$D610,'Val-Vol (2)'!$V$4:$V$1116,$V610)/SUMIFS('Comp2016-2017 (3)'!$G$5:$G$289,'Comp2016-2017 (3)'!$A$5:$A$289,$D610,'Comp2016-2017 (3)'!$R$5:$R$289,$V610)*$AB610))</f>
        <v/>
      </c>
      <c r="AG610" s="2" t="str">
        <f>IF($W610=AG$3,$AB610,IF(NOT($W610=0),"",SUMIFS('Val-Vol (2)'!AG$4:AG$1116,'Val-Vol (2)'!$A$4:$A$1116,$D610,'Val-Vol (2)'!$V$4:$V$1116,$V610)/SUMIFS('Comp2016-2017 (3)'!$G$5:$G$289,'Comp2016-2017 (3)'!$A$5:$A$289,$D610,'Comp2016-2017 (3)'!$R$5:$R$289,$V610)*$AB610))</f>
        <v/>
      </c>
      <c r="AH610" s="2" t="str">
        <f>IF($W610=AH$3,$AB610,IF(NOT($W610=0),"",SUMIFS('Val-Vol (2)'!AH$4:AH$1116,'Val-Vol (2)'!$A$4:$A$1116,$D610,'Val-Vol (2)'!$V$4:$V$1116,$V610)/SUMIFS('Comp2016-2017 (3)'!$G$5:$G$289,'Comp2016-2017 (3)'!$A$5:$A$289,$D610,'Comp2016-2017 (3)'!$R$5:$R$289,$V610)*$AB610))</f>
        <v/>
      </c>
      <c r="AI610" s="2" t="str">
        <f>IF($W610=AI$3,$AB610,IF(NOT($W610=0),"",SUMIFS('Val-Vol (2)'!AI$4:AI$1116,'Val-Vol (2)'!$A$4:$A$1116,$D610,'Val-Vol (2)'!$V$4:$V$1116,$V610)/SUMIFS('Comp2016-2017 (3)'!$G$5:$G$289,'Comp2016-2017 (3)'!$A$5:$A$289,$D610,'Comp2016-2017 (3)'!$R$5:$R$289,$V610)*$AB610))</f>
        <v/>
      </c>
      <c r="AJ610" s="2">
        <f>IF($W610=AJ$3,$AB610,IF(NOT($W610=0),"",SUMIFS('Val-Vol (2)'!AJ$4:AJ$1116,'Val-Vol (2)'!$A$4:$A$1116,$D610,'Val-Vol (2)'!$V$4:$V$1116,$V610)/SUMIFS('Comp2016-2017 (3)'!$G$5:$G$289,'Comp2016-2017 (3)'!$A$5:$A$289,$D610,'Comp2016-2017 (3)'!$R$5:$R$289,$V610)*$AB610))</f>
        <v>0</v>
      </c>
      <c r="AK610" s="2">
        <f t="shared" si="66"/>
        <v>0</v>
      </c>
      <c r="AL610" t="str">
        <f t="shared" si="68"/>
        <v/>
      </c>
      <c r="AM610" t="str">
        <f>VLOOKUP(A610,'Table corresp.'!$M$4:$U$63,8,FALSE)</f>
        <v>Production finale</v>
      </c>
      <c r="AN610" t="str">
        <f>VLOOKUP(D610,'Table corresp.'!$M$4:$U$63,9,FALSE)</f>
        <v>Consommation finale française</v>
      </c>
    </row>
    <row r="611" spans="1:40" x14ac:dyDescent="0.25">
      <c r="A611" t="s">
        <v>89</v>
      </c>
      <c r="B611" t="str">
        <f>VLOOKUP(LEFT(A611,3),'Table corresp.'!$A$4:$D$63,3,FALSE)</f>
        <v>Transformation</v>
      </c>
      <c r="C611" t="str">
        <f>VLOOKUP(A611,'Table corresp.'!$M$4:$P$63,4,FALSE)</f>
        <v>Production et transformation de produits bois</v>
      </c>
      <c r="D611" t="s">
        <v>22</v>
      </c>
      <c r="E611" t="str">
        <f>VLOOKUP(LEFT(D611,3),'Table corresp.'!$A$4:$D$63,4,FALSE)</f>
        <v>Transformation</v>
      </c>
      <c r="F611" t="str">
        <f t="shared" si="67"/>
        <v xml:space="preserve">33  - 55 </v>
      </c>
      <c r="G611" s="3">
        <v>5022.579134175231</v>
      </c>
      <c r="H611" s="3">
        <v>0</v>
      </c>
      <c r="I611" s="3">
        <v>5022.5793613788801</v>
      </c>
      <c r="J611" s="3">
        <v>0.62811901457372432</v>
      </c>
      <c r="K611" s="3">
        <v>0</v>
      </c>
      <c r="L611" s="3">
        <v>0.62811901457372432</v>
      </c>
      <c r="M611" s="3">
        <v>0.80638179834299784</v>
      </c>
      <c r="N611" s="3">
        <v>0</v>
      </c>
      <c r="O611" s="3">
        <v>0.80638179834299784</v>
      </c>
      <c r="P611" s="3">
        <v>0.23516279181049177</v>
      </c>
      <c r="Q611" s="3">
        <v>0</v>
      </c>
      <c r="R611" s="3">
        <v>0.23516279181049177</v>
      </c>
      <c r="S611" s="67"/>
      <c r="T611">
        <f>VLOOKUP(A611,'Groupe de branches'!$Z$27:$AM$86,14,FALSE)</f>
        <v>0</v>
      </c>
      <c r="U611">
        <f>VLOOKUP(D611,'Groupe de branches'!$Z$27:$AM$86,14,FALSE)</f>
        <v>0</v>
      </c>
      <c r="V611">
        <v>2017</v>
      </c>
      <c r="W611" t="str">
        <f>VLOOKUP(D611,'Table corresp.'!$M$4:$S$63,7,FALSE)</f>
        <v>Construction</v>
      </c>
      <c r="X611" s="167">
        <f>IFERROR(G611/SUMIFS('Comp2016-2017 (3)'!$I$5:$I$289,'Comp2016-2017 (3)'!$A$5:$A$289,A611,'Comp2016-2017 (3)'!$R$5:$R$289,V611),0)</f>
        <v>6.2334990805776008E-2</v>
      </c>
      <c r="Y611" s="190">
        <f>IFERROR(IF(RIGHT(F611,3)="Exp",VLOOKUP(F611,#REF!,2,FALSE),VLOOKUP(F611,#REF!,9,FALSE)),1)</f>
        <v>1</v>
      </c>
      <c r="Z611" s="167">
        <f t="shared" ref="Z611:Z642" si="71">Y611/SUMIFS($Y$4:$Y$1116,$V$4:$V$1116,V611,$A$4:$A$1116,A611)</f>
        <v>0.25</v>
      </c>
      <c r="AA611" s="189">
        <f t="shared" si="69"/>
        <v>1.5583747701444002E-2</v>
      </c>
      <c r="AB611" s="2">
        <f>IFERROR(SUMIFS('Comp2016-2017 (3)'!$G$5:$G$289,'Comp2016-2017 (3)'!$A$5:$A$289,A611,'Comp2016-2017 (3)'!$R$5:$R$289,V611)*AA611/SUMIFS($AA$4:$AA$1116,$A$4:$A$1116,A611,$V$4:$V$1116,V611),0)</f>
        <v>1336.4732690442172</v>
      </c>
      <c r="AC611" s="2" t="str">
        <f>IF($W611=AC$3,$AB611,IF(NOT($W611=0),"",SUMIFS('Val-Vol (2)'!AC$4:AC$1116,'Val-Vol (2)'!$A$4:$A$1116,$D611,'Val-Vol (2)'!$V$4:$V$1116,$V611)/SUMIFS('Comp2016-2017 (3)'!$G$5:$G$289,'Comp2016-2017 (3)'!$A$5:$A$289,$D611,'Comp2016-2017 (3)'!$R$5:$R$289,$V611)*$AB611))</f>
        <v/>
      </c>
      <c r="AD611" s="2">
        <f>IF($W611=AD$3,$AB611,IF(NOT($W611=0),"",SUMIFS('Val-Vol (2)'!AD$4:AD$1116,'Val-Vol (2)'!$A$4:$A$1116,$D611,'Val-Vol (2)'!$V$4:$V$1116,$V611)/SUMIFS('Comp2016-2017 (3)'!$G$5:$G$289,'Comp2016-2017 (3)'!$A$5:$A$289,$D611,'Comp2016-2017 (3)'!$R$5:$R$289,$V611)*$AB611))</f>
        <v>1336.4732690442172</v>
      </c>
      <c r="AE611" s="2" t="str">
        <f>IF($W611=AE$3,$AB611,IF(NOT($W611=0),"",SUMIFS('Val-Vol (2)'!AE$4:AE$1116,'Val-Vol (2)'!$A$4:$A$1116,$D611,'Val-Vol (2)'!$V$4:$V$1116,$V611)/SUMIFS('Comp2016-2017 (3)'!$G$5:$G$289,'Comp2016-2017 (3)'!$A$5:$A$289,$D611,'Comp2016-2017 (3)'!$R$5:$R$289,$V611)*$AB611))</f>
        <v/>
      </c>
      <c r="AF611" s="2" t="str">
        <f>IF($W611=AF$3,$AB611,IF(NOT($W611=0),"",SUMIFS('Val-Vol (2)'!AF$4:AF$1116,'Val-Vol (2)'!$A$4:$A$1116,$D611,'Val-Vol (2)'!$V$4:$V$1116,$V611)/SUMIFS('Comp2016-2017 (3)'!$G$5:$G$289,'Comp2016-2017 (3)'!$A$5:$A$289,$D611,'Comp2016-2017 (3)'!$R$5:$R$289,$V611)*$AB611))</f>
        <v/>
      </c>
      <c r="AG611" s="2" t="str">
        <f>IF($W611=AG$3,$AB611,IF(NOT($W611=0),"",SUMIFS('Val-Vol (2)'!AG$4:AG$1116,'Val-Vol (2)'!$A$4:$A$1116,$D611,'Val-Vol (2)'!$V$4:$V$1116,$V611)/SUMIFS('Comp2016-2017 (3)'!$G$5:$G$289,'Comp2016-2017 (3)'!$A$5:$A$289,$D611,'Comp2016-2017 (3)'!$R$5:$R$289,$V611)*$AB611))</f>
        <v/>
      </c>
      <c r="AH611" s="2" t="str">
        <f>IF($W611=AH$3,$AB611,IF(NOT($W611=0),"",SUMIFS('Val-Vol (2)'!AH$4:AH$1116,'Val-Vol (2)'!$A$4:$A$1116,$D611,'Val-Vol (2)'!$V$4:$V$1116,$V611)/SUMIFS('Comp2016-2017 (3)'!$G$5:$G$289,'Comp2016-2017 (3)'!$A$5:$A$289,$D611,'Comp2016-2017 (3)'!$R$5:$R$289,$V611)*$AB611))</f>
        <v/>
      </c>
      <c r="AI611" s="2" t="str">
        <f>IF($W611=AI$3,$AB611,IF(NOT($W611=0),"",SUMIFS('Val-Vol (2)'!AI$4:AI$1116,'Val-Vol (2)'!$A$4:$A$1116,$D611,'Val-Vol (2)'!$V$4:$V$1116,$V611)/SUMIFS('Comp2016-2017 (3)'!$G$5:$G$289,'Comp2016-2017 (3)'!$A$5:$A$289,$D611,'Comp2016-2017 (3)'!$R$5:$R$289,$V611)*$AB611))</f>
        <v/>
      </c>
      <c r="AJ611" s="2" t="str">
        <f>IF($W611=AJ$3,$AB611,IF(NOT($W611=0),"",SUMIFS('Val-Vol (2)'!AJ$4:AJ$1116,'Val-Vol (2)'!$A$4:$A$1116,$D611,'Val-Vol (2)'!$V$4:$V$1116,$V611)/SUMIFS('Comp2016-2017 (3)'!$G$5:$G$289,'Comp2016-2017 (3)'!$A$5:$A$289,$D611,'Comp2016-2017 (3)'!$R$5:$R$289,$V611)*$AB611))</f>
        <v/>
      </c>
      <c r="AK611" s="2">
        <f t="shared" si="66"/>
        <v>0</v>
      </c>
      <c r="AL611" t="str">
        <f t="shared" si="68"/>
        <v/>
      </c>
      <c r="AM611" t="str">
        <f>VLOOKUP(A611,'Table corresp.'!$M$4:$U$63,8,FALSE)</f>
        <v>Production finale</v>
      </c>
      <c r="AN611" t="str">
        <f>VLOOKUP(D611,'Table corresp.'!$M$4:$U$63,9,FALSE)</f>
        <v xml:space="preserve">Mise en œuvre </v>
      </c>
    </row>
    <row r="612" spans="1:40" x14ac:dyDescent="0.25">
      <c r="A612" t="s">
        <v>89</v>
      </c>
      <c r="B612" t="str">
        <f>VLOOKUP(LEFT(A612,3),'Table corresp.'!$A$4:$D$63,3,FALSE)</f>
        <v>Transformation</v>
      </c>
      <c r="C612" t="str">
        <f>VLOOKUP(A612,'Table corresp.'!$M$4:$P$63,4,FALSE)</f>
        <v>Production et transformation de produits bois</v>
      </c>
      <c r="D612" t="s">
        <v>23</v>
      </c>
      <c r="E612" t="str">
        <f>VLOOKUP(LEFT(D612,3),'Table corresp.'!$A$4:$D$63,4,FALSE)</f>
        <v>Transformation</v>
      </c>
      <c r="F612" t="str">
        <f t="shared" si="67"/>
        <v xml:space="preserve">33  - 56 </v>
      </c>
      <c r="G612" s="3">
        <v>22124.265528275468</v>
      </c>
      <c r="H612" s="3">
        <v>25967.105705199432</v>
      </c>
      <c r="I612" s="3">
        <v>48091.373408957799</v>
      </c>
      <c r="J612" s="3">
        <v>3.3202077635126734</v>
      </c>
      <c r="K612" s="3">
        <v>4.0256561495256271</v>
      </c>
      <c r="L612" s="3">
        <v>7.3458639130383006</v>
      </c>
      <c r="M612" s="3">
        <v>4.2624965095679066</v>
      </c>
      <c r="N612" s="3">
        <v>5.1681540759724998</v>
      </c>
      <c r="O612" s="3">
        <v>9.4306505855404055</v>
      </c>
      <c r="P612" s="3">
        <v>1.2430595300293454</v>
      </c>
      <c r="Q612" s="3">
        <v>1.5071738269760746</v>
      </c>
      <c r="R612" s="3">
        <v>2.75023335700542</v>
      </c>
      <c r="S612" s="67" t="s">
        <v>192</v>
      </c>
      <c r="T612">
        <f>VLOOKUP(A612,'Groupe de branches'!$Z$27:$AM$86,14,FALSE)</f>
        <v>0</v>
      </c>
      <c r="U612">
        <f>VLOOKUP(D612,'Groupe de branches'!$Z$27:$AM$86,14,FALSE)</f>
        <v>0</v>
      </c>
      <c r="V612">
        <v>2017</v>
      </c>
      <c r="W612" t="str">
        <f>VLOOKUP(D612,'Table corresp.'!$M$4:$S$63,7,FALSE)</f>
        <v>Construction</v>
      </c>
      <c r="X612" s="167">
        <f>IFERROR(G612/SUMIFS('Comp2016-2017 (3)'!$I$5:$I$289,'Comp2016-2017 (3)'!$A$5:$A$289,A612,'Comp2016-2017 (3)'!$R$5:$R$289,V612),0)</f>
        <v>0.27458320744130316</v>
      </c>
      <c r="Y612" s="190">
        <f>IFERROR(IF(RIGHT(F612,3)="Exp",VLOOKUP(F612,#REF!,2,FALSE),VLOOKUP(F612,#REF!,9,FALSE)),1)</f>
        <v>1</v>
      </c>
      <c r="Z612" s="167">
        <f t="shared" si="71"/>
        <v>0.25</v>
      </c>
      <c r="AA612" s="189">
        <f t="shared" si="69"/>
        <v>6.8645801860325789E-2</v>
      </c>
      <c r="AB612" s="2">
        <f>IFERROR(SUMIFS('Comp2016-2017 (3)'!$G$5:$G$289,'Comp2016-2017 (3)'!$A$5:$A$289,A612,'Comp2016-2017 (3)'!$R$5:$R$289,V612)*AA612/SUMIFS($AA$4:$AA$1116,$A$4:$A$1116,A612,$V$4:$V$1116,V612),0)</f>
        <v>5887.1127135823826</v>
      </c>
      <c r="AC612" s="2" t="str">
        <f>IF($W612=AC$3,$AB612,IF(NOT($W612=0),"",SUMIFS('Val-Vol (2)'!AC$4:AC$1116,'Val-Vol (2)'!$A$4:$A$1116,$D612,'Val-Vol (2)'!$V$4:$V$1116,$V612)/SUMIFS('Comp2016-2017 (3)'!$G$5:$G$289,'Comp2016-2017 (3)'!$A$5:$A$289,$D612,'Comp2016-2017 (3)'!$R$5:$R$289,$V612)*$AB612))</f>
        <v/>
      </c>
      <c r="AD612" s="2">
        <f>IF($W612=AD$3,$AB612,IF(NOT($W612=0),"",SUMIFS('Val-Vol (2)'!AD$4:AD$1116,'Val-Vol (2)'!$A$4:$A$1116,$D612,'Val-Vol (2)'!$V$4:$V$1116,$V612)/SUMIFS('Comp2016-2017 (3)'!$G$5:$G$289,'Comp2016-2017 (3)'!$A$5:$A$289,$D612,'Comp2016-2017 (3)'!$R$5:$R$289,$V612)*$AB612))</f>
        <v>5887.1127135823826</v>
      </c>
      <c r="AE612" s="2" t="str">
        <f>IF($W612=AE$3,$AB612,IF(NOT($W612=0),"",SUMIFS('Val-Vol (2)'!AE$4:AE$1116,'Val-Vol (2)'!$A$4:$A$1116,$D612,'Val-Vol (2)'!$V$4:$V$1116,$V612)/SUMIFS('Comp2016-2017 (3)'!$G$5:$G$289,'Comp2016-2017 (3)'!$A$5:$A$289,$D612,'Comp2016-2017 (3)'!$R$5:$R$289,$V612)*$AB612))</f>
        <v/>
      </c>
      <c r="AF612" s="2" t="str">
        <f>IF($W612=AF$3,$AB612,IF(NOT($W612=0),"",SUMIFS('Val-Vol (2)'!AF$4:AF$1116,'Val-Vol (2)'!$A$4:$A$1116,$D612,'Val-Vol (2)'!$V$4:$V$1116,$V612)/SUMIFS('Comp2016-2017 (3)'!$G$5:$G$289,'Comp2016-2017 (3)'!$A$5:$A$289,$D612,'Comp2016-2017 (3)'!$R$5:$R$289,$V612)*$AB612))</f>
        <v/>
      </c>
      <c r="AG612" s="2" t="str">
        <f>IF($W612=AG$3,$AB612,IF(NOT($W612=0),"",SUMIFS('Val-Vol (2)'!AG$4:AG$1116,'Val-Vol (2)'!$A$4:$A$1116,$D612,'Val-Vol (2)'!$V$4:$V$1116,$V612)/SUMIFS('Comp2016-2017 (3)'!$G$5:$G$289,'Comp2016-2017 (3)'!$A$5:$A$289,$D612,'Comp2016-2017 (3)'!$R$5:$R$289,$V612)*$AB612))</f>
        <v/>
      </c>
      <c r="AH612" s="2" t="str">
        <f>IF($W612=AH$3,$AB612,IF(NOT($W612=0),"",SUMIFS('Val-Vol (2)'!AH$4:AH$1116,'Val-Vol (2)'!$A$4:$A$1116,$D612,'Val-Vol (2)'!$V$4:$V$1116,$V612)/SUMIFS('Comp2016-2017 (3)'!$G$5:$G$289,'Comp2016-2017 (3)'!$A$5:$A$289,$D612,'Comp2016-2017 (3)'!$R$5:$R$289,$V612)*$AB612))</f>
        <v/>
      </c>
      <c r="AI612" s="2" t="str">
        <f>IF($W612=AI$3,$AB612,IF(NOT($W612=0),"",SUMIFS('Val-Vol (2)'!AI$4:AI$1116,'Val-Vol (2)'!$A$4:$A$1116,$D612,'Val-Vol (2)'!$V$4:$V$1116,$V612)/SUMIFS('Comp2016-2017 (3)'!$G$5:$G$289,'Comp2016-2017 (3)'!$A$5:$A$289,$D612,'Comp2016-2017 (3)'!$R$5:$R$289,$V612)*$AB612))</f>
        <v/>
      </c>
      <c r="AJ612" s="2" t="str">
        <f>IF($W612=AJ$3,$AB612,IF(NOT($W612=0),"",SUMIFS('Val-Vol (2)'!AJ$4:AJ$1116,'Val-Vol (2)'!$A$4:$A$1116,$D612,'Val-Vol (2)'!$V$4:$V$1116,$V612)/SUMIFS('Comp2016-2017 (3)'!$G$5:$G$289,'Comp2016-2017 (3)'!$A$5:$A$289,$D612,'Comp2016-2017 (3)'!$R$5:$R$289,$V612)*$AB612))</f>
        <v/>
      </c>
      <c r="AK612" s="2">
        <f t="shared" si="66"/>
        <v>0</v>
      </c>
      <c r="AL612" t="str">
        <f t="shared" si="68"/>
        <v/>
      </c>
      <c r="AM612" t="str">
        <f>VLOOKUP(A612,'Table corresp.'!$M$4:$U$63,8,FALSE)</f>
        <v>Production finale</v>
      </c>
      <c r="AN612" t="str">
        <f>VLOOKUP(D612,'Table corresp.'!$M$4:$U$63,9,FALSE)</f>
        <v xml:space="preserve">Mise en œuvre </v>
      </c>
    </row>
    <row r="613" spans="1:40" x14ac:dyDescent="0.25">
      <c r="A613" t="s">
        <v>89</v>
      </c>
      <c r="B613" t="str">
        <f>VLOOKUP(LEFT(A613,3),'Table corresp.'!$A$4:$D$63,3,FALSE)</f>
        <v>Transformation</v>
      </c>
      <c r="C613" t="str">
        <f>VLOOKUP(A613,'Table corresp.'!$M$4:$P$63,4,FALSE)</f>
        <v>Production et transformation de produits bois</v>
      </c>
      <c r="D613" t="s">
        <v>54</v>
      </c>
      <c r="E613" t="str">
        <f>VLOOKUP(LEFT(D613,3),'Table corresp.'!$A$4:$D$63,4,FALSE)</f>
        <v>Consommation finale</v>
      </c>
      <c r="F613" t="str">
        <f t="shared" si="67"/>
        <v>33  - Con</v>
      </c>
      <c r="G613" s="3">
        <v>33170.369596166864</v>
      </c>
      <c r="H613" s="3">
        <v>66965.806294800612</v>
      </c>
      <c r="I613" s="3">
        <v>100136.18042077258</v>
      </c>
      <c r="J613" s="3">
        <v>7.4668593073310401</v>
      </c>
      <c r="K613" s="3">
        <v>15.572469626329633</v>
      </c>
      <c r="L613" s="3">
        <v>23.039328933660673</v>
      </c>
      <c r="M613" s="3">
        <v>9.5859849750067312</v>
      </c>
      <c r="N613" s="3">
        <v>19.992001150360821</v>
      </c>
      <c r="O613" s="3">
        <v>29.577986125367552</v>
      </c>
      <c r="P613" s="3">
        <v>2.7955330757814898</v>
      </c>
      <c r="Q613" s="3">
        <v>5.8302094790062018</v>
      </c>
      <c r="R613" s="3">
        <v>8.625742554787692</v>
      </c>
      <c r="S613" s="67" t="s">
        <v>192</v>
      </c>
      <c r="T613">
        <f>VLOOKUP(A613,'Groupe de branches'!$Z$27:$AM$86,14,FALSE)</f>
        <v>0</v>
      </c>
      <c r="U613">
        <f>VLOOKUP(D613,'Groupe de branches'!$Z$27:$AM$86,14,FALSE)</f>
        <v>0</v>
      </c>
      <c r="V613">
        <v>2017</v>
      </c>
      <c r="W613" t="str">
        <f>VLOOKUP(D613,'Table corresp.'!$M$4:$S$63,7,FALSE)</f>
        <v>Consommation finale</v>
      </c>
      <c r="X613" s="167">
        <f>IFERROR(G613/SUMIFS('Comp2016-2017 (3)'!$I$5:$I$289,'Comp2016-2017 (3)'!$A$5:$A$289,A613,'Comp2016-2017 (3)'!$R$5:$R$289,V613),0)</f>
        <v>0.4116758797750214</v>
      </c>
      <c r="Y613" s="190">
        <f>IFERROR(IF(RIGHT(F613,3)="Exp",VLOOKUP(F613,#REF!,2,FALSE),VLOOKUP(F613,#REF!,9,FALSE)),1)</f>
        <v>1</v>
      </c>
      <c r="Z613" s="167">
        <f t="shared" si="71"/>
        <v>0.25</v>
      </c>
      <c r="AA613" s="189">
        <f t="shared" si="69"/>
        <v>0.10291896994375535</v>
      </c>
      <c r="AB613" s="2">
        <f>IFERROR(SUMIFS('Comp2016-2017 (3)'!$G$5:$G$289,'Comp2016-2017 (3)'!$A$5:$A$289,A613,'Comp2016-2017 (3)'!$R$5:$R$289,V613)*AA613/SUMIFS($AA$4:$AA$1116,$A$4:$A$1116,A613,$V$4:$V$1116,V613),0)</f>
        <v>8826.4039461219527</v>
      </c>
      <c r="AC613" s="2" t="str">
        <f>IF($W613=AC$3,$AB613,IF(NOT($W613=0),"",SUMIFS('Val-Vol (2)'!AC$4:AC$1116,'Val-Vol (2)'!$A$4:$A$1116,$D613,'Val-Vol (2)'!$V$4:$V$1116,$V613)/SUMIFS('Comp2016-2017 (3)'!$G$5:$G$289,'Comp2016-2017 (3)'!$A$5:$A$289,$D613,'Comp2016-2017 (3)'!$R$5:$R$289,$V613)*$AB613))</f>
        <v/>
      </c>
      <c r="AD613" s="2" t="str">
        <f>IF($W613=AD$3,$AB613,IF(NOT($W613=0),"",SUMIFS('Val-Vol (2)'!AD$4:AD$1116,'Val-Vol (2)'!$A$4:$A$1116,$D613,'Val-Vol (2)'!$V$4:$V$1116,$V613)/SUMIFS('Comp2016-2017 (3)'!$G$5:$G$289,'Comp2016-2017 (3)'!$A$5:$A$289,$D613,'Comp2016-2017 (3)'!$R$5:$R$289,$V613)*$AB613))</f>
        <v/>
      </c>
      <c r="AE613" s="2" t="str">
        <f>IF($W613=AE$3,$AB613,IF(NOT($W613=0),"",SUMIFS('Val-Vol (2)'!AE$4:AE$1116,'Val-Vol (2)'!$A$4:$A$1116,$D613,'Val-Vol (2)'!$V$4:$V$1116,$V613)/SUMIFS('Comp2016-2017 (3)'!$G$5:$G$289,'Comp2016-2017 (3)'!$A$5:$A$289,$D613,'Comp2016-2017 (3)'!$R$5:$R$289,$V613)*$AB613))</f>
        <v/>
      </c>
      <c r="AF613" s="2" t="str">
        <f>IF($W613=AF$3,$AB613,IF(NOT($W613=0),"",SUMIFS('Val-Vol (2)'!AF$4:AF$1116,'Val-Vol (2)'!$A$4:$A$1116,$D613,'Val-Vol (2)'!$V$4:$V$1116,$V613)/SUMIFS('Comp2016-2017 (3)'!$G$5:$G$289,'Comp2016-2017 (3)'!$A$5:$A$289,$D613,'Comp2016-2017 (3)'!$R$5:$R$289,$V613)*$AB613))</f>
        <v/>
      </c>
      <c r="AG613" s="2" t="str">
        <f>IF($W613=AG$3,$AB613,IF(NOT($W613=0),"",SUMIFS('Val-Vol (2)'!AG$4:AG$1116,'Val-Vol (2)'!$A$4:$A$1116,$D613,'Val-Vol (2)'!$V$4:$V$1116,$V613)/SUMIFS('Comp2016-2017 (3)'!$G$5:$G$289,'Comp2016-2017 (3)'!$A$5:$A$289,$D613,'Comp2016-2017 (3)'!$R$5:$R$289,$V613)*$AB613))</f>
        <v/>
      </c>
      <c r="AH613" s="2" t="str">
        <f>IF($W613=AH$3,$AB613,IF(NOT($W613=0),"",SUMIFS('Val-Vol (2)'!AH$4:AH$1116,'Val-Vol (2)'!$A$4:$A$1116,$D613,'Val-Vol (2)'!$V$4:$V$1116,$V613)/SUMIFS('Comp2016-2017 (3)'!$G$5:$G$289,'Comp2016-2017 (3)'!$A$5:$A$289,$D613,'Comp2016-2017 (3)'!$R$5:$R$289,$V613)*$AB613))</f>
        <v/>
      </c>
      <c r="AI613" s="2" t="str">
        <f>IF($W613=AI$3,$AB613,IF(NOT($W613=0),"",SUMIFS('Val-Vol (2)'!AI$4:AI$1116,'Val-Vol (2)'!$A$4:$A$1116,$D613,'Val-Vol (2)'!$V$4:$V$1116,$V613)/SUMIFS('Comp2016-2017 (3)'!$G$5:$G$289,'Comp2016-2017 (3)'!$A$5:$A$289,$D613,'Comp2016-2017 (3)'!$R$5:$R$289,$V613)*$AB613))</f>
        <v/>
      </c>
      <c r="AJ613" s="2">
        <f>IF($W613=AJ$3,$AB613,IF(NOT($W613=0),"",SUMIFS('Val-Vol (2)'!AJ$4:AJ$1116,'Val-Vol (2)'!$A$4:$A$1116,$D613,'Val-Vol (2)'!$V$4:$V$1116,$V613)/SUMIFS('Comp2016-2017 (3)'!$G$5:$G$289,'Comp2016-2017 (3)'!$A$5:$A$289,$D613,'Comp2016-2017 (3)'!$R$5:$R$289,$V613)*$AB613))</f>
        <v>8826.4039461219527</v>
      </c>
      <c r="AK613" s="2">
        <f t="shared" si="66"/>
        <v>0</v>
      </c>
      <c r="AL613" t="str">
        <f t="shared" si="68"/>
        <v/>
      </c>
      <c r="AM613" t="str">
        <f>VLOOKUP(A613,'Table corresp.'!$M$4:$U$63,8,FALSE)</f>
        <v>Production finale</v>
      </c>
      <c r="AN613" t="str">
        <f>VLOOKUP(D613,'Table corresp.'!$M$4:$U$63,9,FALSE)</f>
        <v>Consommation finale française</v>
      </c>
    </row>
    <row r="614" spans="1:40" x14ac:dyDescent="0.25">
      <c r="A614" t="s">
        <v>89</v>
      </c>
      <c r="B614" t="str">
        <f>VLOOKUP(LEFT(A614,3),'Table corresp.'!$A$4:$D$63,3,FALSE)</f>
        <v>Transformation</v>
      </c>
      <c r="C614" t="str">
        <f>VLOOKUP(A614,'Table corresp.'!$M$4:$P$63,4,FALSE)</f>
        <v>Production et transformation de produits bois</v>
      </c>
      <c r="D614" t="s">
        <v>53</v>
      </c>
      <c r="E614" t="str">
        <f>VLOOKUP(LEFT(D614,3),'Table corresp.'!$A$4:$D$63,4,FALSE)</f>
        <v>Exportation</v>
      </c>
      <c r="F614" t="str">
        <f t="shared" si="67"/>
        <v>33  - Exp</v>
      </c>
      <c r="G614" s="3">
        <v>20256.779083655227</v>
      </c>
      <c r="H614" s="3">
        <v>0</v>
      </c>
      <c r="I614" s="3">
        <v>20256.78</v>
      </c>
      <c r="J614" s="3">
        <v>4.0687830124620969</v>
      </c>
      <c r="K614" s="3">
        <v>0</v>
      </c>
      <c r="L614" s="3">
        <v>4.0687830124620969</v>
      </c>
      <c r="M614" s="3">
        <v>5.2235205216375853</v>
      </c>
      <c r="N614" s="3">
        <v>0</v>
      </c>
      <c r="O614" s="3">
        <v>5.2235205216375853</v>
      </c>
      <c r="P614" s="3">
        <v>1.5233201834067132</v>
      </c>
      <c r="Q614" s="3">
        <v>0</v>
      </c>
      <c r="R614" s="3">
        <v>1.5233201834067132</v>
      </c>
      <c r="S614" s="67" t="s">
        <v>192</v>
      </c>
      <c r="T614">
        <f>VLOOKUP(A614,'Groupe de branches'!$Z$27:$AM$86,14,FALSE)</f>
        <v>0</v>
      </c>
      <c r="U614">
        <f>VLOOKUP(D614,'Groupe de branches'!$Z$27:$AM$86,14,FALSE)</f>
        <v>0</v>
      </c>
      <c r="V614">
        <v>2017</v>
      </c>
      <c r="W614" t="str">
        <f>VLOOKUP(D614,'Table corresp.'!$M$4:$S$63,7,FALSE)</f>
        <v>Exportation</v>
      </c>
      <c r="X614" s="167">
        <f>IFERROR(G614/SUMIFS('Comp2016-2017 (3)'!$I$5:$I$289,'Comp2016-2017 (3)'!$A$5:$A$289,A614,'Comp2016-2017 (3)'!$R$5:$R$289,V614),0)</f>
        <v>0.25140592197789952</v>
      </c>
      <c r="Y614" s="190">
        <f>IFERROR(IF(RIGHT(F614,3)="Exp",VLOOKUP(F614,#REF!,2,FALSE),VLOOKUP(F614,#REF!,9,FALSE)),1)</f>
        <v>1</v>
      </c>
      <c r="Z614" s="167">
        <f t="shared" si="71"/>
        <v>0.25</v>
      </c>
      <c r="AA614" s="189">
        <f t="shared" si="69"/>
        <v>6.2851480494474879E-2</v>
      </c>
      <c r="AB614" s="2">
        <f>IFERROR(SUMIFS('Comp2016-2017 (3)'!$G$5:$G$289,'Comp2016-2017 (3)'!$A$5:$A$289,A614,'Comp2016-2017 (3)'!$R$5:$R$289,V614)*AA614/SUMIFS($AA$4:$AA$1116,$A$4:$A$1116,A614,$V$4:$V$1116,V614),0)</f>
        <v>5390.1875986439545</v>
      </c>
      <c r="AC614" s="2">
        <f>IF($W614=AC$3,$AB614,IF(NOT($W614=0),"",SUMIFS('Val-Vol (2)'!AC$4:AC$1116,'Val-Vol (2)'!$A$4:$A$1116,$D614,'Val-Vol (2)'!$V$4:$V$1116,$V614)/SUMIFS('Comp2016-2017 (3)'!$G$5:$G$289,'Comp2016-2017 (3)'!$A$5:$A$289,$D614,'Comp2016-2017 (3)'!$R$5:$R$289,$V614)*$AB614))</f>
        <v>5390.1875986439545</v>
      </c>
      <c r="AD614" s="2" t="str">
        <f>IF($W614=AD$3,$AB614,IF(NOT($W614=0),"",SUMIFS('Val-Vol (2)'!AD$4:AD$1116,'Val-Vol (2)'!$A$4:$A$1116,$D614,'Val-Vol (2)'!$V$4:$V$1116,$V614)/SUMIFS('Comp2016-2017 (3)'!$G$5:$G$289,'Comp2016-2017 (3)'!$A$5:$A$289,$D614,'Comp2016-2017 (3)'!$R$5:$R$289,$V614)*$AB614))</f>
        <v/>
      </c>
      <c r="AE614" s="2" t="str">
        <f>IF($W614=AE$3,$AB614,IF(NOT($W614=0),"",SUMIFS('Val-Vol (2)'!AE$4:AE$1116,'Val-Vol (2)'!$A$4:$A$1116,$D614,'Val-Vol (2)'!$V$4:$V$1116,$V614)/SUMIFS('Comp2016-2017 (3)'!$G$5:$G$289,'Comp2016-2017 (3)'!$A$5:$A$289,$D614,'Comp2016-2017 (3)'!$R$5:$R$289,$V614)*$AB614))</f>
        <v/>
      </c>
      <c r="AF614" s="2" t="str">
        <f>IF($W614=AF$3,$AB614,IF(NOT($W614=0),"",SUMIFS('Val-Vol (2)'!AF$4:AF$1116,'Val-Vol (2)'!$A$4:$A$1116,$D614,'Val-Vol (2)'!$V$4:$V$1116,$V614)/SUMIFS('Comp2016-2017 (3)'!$G$5:$G$289,'Comp2016-2017 (3)'!$A$5:$A$289,$D614,'Comp2016-2017 (3)'!$R$5:$R$289,$V614)*$AB614))</f>
        <v/>
      </c>
      <c r="AG614" s="2" t="str">
        <f>IF($W614=AG$3,$AB614,IF(NOT($W614=0),"",SUMIFS('Val-Vol (2)'!AG$4:AG$1116,'Val-Vol (2)'!$A$4:$A$1116,$D614,'Val-Vol (2)'!$V$4:$V$1116,$V614)/SUMIFS('Comp2016-2017 (3)'!$G$5:$G$289,'Comp2016-2017 (3)'!$A$5:$A$289,$D614,'Comp2016-2017 (3)'!$R$5:$R$289,$V614)*$AB614))</f>
        <v/>
      </c>
      <c r="AH614" s="2" t="str">
        <f>IF($W614=AH$3,$AB614,IF(NOT($W614=0),"",SUMIFS('Val-Vol (2)'!AH$4:AH$1116,'Val-Vol (2)'!$A$4:$A$1116,$D614,'Val-Vol (2)'!$V$4:$V$1116,$V614)/SUMIFS('Comp2016-2017 (3)'!$G$5:$G$289,'Comp2016-2017 (3)'!$A$5:$A$289,$D614,'Comp2016-2017 (3)'!$R$5:$R$289,$V614)*$AB614))</f>
        <v/>
      </c>
      <c r="AI614" s="2" t="str">
        <f>IF($W614=AI$3,$AB614,IF(NOT($W614=0),"",SUMIFS('Val-Vol (2)'!AI$4:AI$1116,'Val-Vol (2)'!$A$4:$A$1116,$D614,'Val-Vol (2)'!$V$4:$V$1116,$V614)/SUMIFS('Comp2016-2017 (3)'!$G$5:$G$289,'Comp2016-2017 (3)'!$A$5:$A$289,$D614,'Comp2016-2017 (3)'!$R$5:$R$289,$V614)*$AB614))</f>
        <v/>
      </c>
      <c r="AJ614" s="2" t="str">
        <f>IF($W614=AJ$3,$AB614,IF(NOT($W614=0),"",SUMIFS('Val-Vol (2)'!AJ$4:AJ$1116,'Val-Vol (2)'!$A$4:$A$1116,$D614,'Val-Vol (2)'!$V$4:$V$1116,$V614)/SUMIFS('Comp2016-2017 (3)'!$G$5:$G$289,'Comp2016-2017 (3)'!$A$5:$A$289,$D614,'Comp2016-2017 (3)'!$R$5:$R$289,$V614)*$AB614))</f>
        <v/>
      </c>
      <c r="AK614" s="2">
        <f t="shared" si="66"/>
        <v>0</v>
      </c>
      <c r="AL614" t="str">
        <f t="shared" si="68"/>
        <v/>
      </c>
      <c r="AM614" t="str">
        <f>VLOOKUP(A614,'Table corresp.'!$M$4:$U$63,8,FALSE)</f>
        <v>Production finale</v>
      </c>
      <c r="AN614" t="str">
        <f>VLOOKUP(D614,'Table corresp.'!$M$4:$U$63,9,FALSE)</f>
        <v>Exportation</v>
      </c>
    </row>
    <row r="615" spans="1:40" x14ac:dyDescent="0.25">
      <c r="A615" t="s">
        <v>90</v>
      </c>
      <c r="B615" t="str">
        <f>VLOOKUP(LEFT(A615,3),'Table corresp.'!$A$4:$D$63,3,FALSE)</f>
        <v>Transformation</v>
      </c>
      <c r="C615" t="str">
        <f>VLOOKUP(A615,'Table corresp.'!$M$4:$P$63,4,FALSE)</f>
        <v>Production et transformation de produits bois</v>
      </c>
      <c r="D615" t="s">
        <v>24</v>
      </c>
      <c r="E615" t="str">
        <f>VLOOKUP(LEFT(D615,3),'Table corresp.'!$A$4:$D$63,4,FALSE)</f>
        <v>Transformation</v>
      </c>
      <c r="F615" t="str">
        <f t="shared" si="67"/>
        <v xml:space="preserve">34  - 57 </v>
      </c>
      <c r="G615" s="3">
        <v>520288.13829288422</v>
      </c>
      <c r="H615" s="3">
        <v>43631.359557440679</v>
      </c>
      <c r="I615" s="3">
        <v>563919.49882565846</v>
      </c>
      <c r="J615" s="3">
        <v>440.02154454167027</v>
      </c>
      <c r="K615" s="3">
        <v>48.70097949174437</v>
      </c>
      <c r="L615" s="3">
        <v>488.72252403341463</v>
      </c>
      <c r="M615" s="3">
        <v>49.723800840448682</v>
      </c>
      <c r="N615" s="3">
        <v>5.5033619035736701</v>
      </c>
      <c r="O615" s="3">
        <v>55.227162744022351</v>
      </c>
      <c r="P615" s="3">
        <v>9.9203342684863465</v>
      </c>
      <c r="Q615" s="3">
        <v>1.097968955733825</v>
      </c>
      <c r="R615" s="3">
        <v>11.018303224220171</v>
      </c>
      <c r="S615" s="67" t="s">
        <v>192</v>
      </c>
      <c r="T615">
        <f>VLOOKUP(A615,'Groupe de branches'!$Z$27:$AM$86,14,FALSE)</f>
        <v>0</v>
      </c>
      <c r="U615">
        <f>VLOOKUP(D615,'Groupe de branches'!$Z$27:$AM$86,14,FALSE)</f>
        <v>0</v>
      </c>
      <c r="V615">
        <v>2017</v>
      </c>
      <c r="W615" t="str">
        <f>VLOOKUP(D615,'Table corresp.'!$M$4:$S$63,7,FALSE)</f>
        <v>Construction</v>
      </c>
      <c r="X615" s="167">
        <f>IFERROR(G615/SUMIFS('Comp2016-2017 (3)'!$I$5:$I$289,'Comp2016-2017 (3)'!$A$5:$A$289,A615,'Comp2016-2017 (3)'!$R$5:$R$289,V615),0)</f>
        <v>0.66362013328728431</v>
      </c>
      <c r="Y615" s="190">
        <f>IFERROR(IF(RIGHT(F615,3)="Exp",VLOOKUP(F615,#REF!,2,FALSE),VLOOKUP(F615,#REF!,9,FALSE)),1)</f>
        <v>1</v>
      </c>
      <c r="Z615" s="167">
        <f t="shared" si="71"/>
        <v>0.33333333333333331</v>
      </c>
      <c r="AA615" s="189">
        <f t="shared" si="69"/>
        <v>0.22120671109576143</v>
      </c>
      <c r="AB615" s="2">
        <f>IFERROR(SUMIFS('Comp2016-2017 (3)'!$G$5:$G$289,'Comp2016-2017 (3)'!$A$5:$A$289,A615,'Comp2016-2017 (3)'!$R$5:$R$289,V615)*AA615/SUMIFS($AA$4:$AA$1116,$A$4:$A$1116,A615,$V$4:$V$1116,V615),0)</f>
        <v>154578.01287710477</v>
      </c>
      <c r="AC615" s="2" t="str">
        <f>IF($W615=AC$3,$AB615,IF(NOT($W615=0),"",SUMIFS('Val-Vol (2)'!AC$4:AC$1116,'Val-Vol (2)'!$A$4:$A$1116,$D615,'Val-Vol (2)'!$V$4:$V$1116,$V615)/SUMIFS('Comp2016-2017 (3)'!$G$5:$G$289,'Comp2016-2017 (3)'!$A$5:$A$289,$D615,'Comp2016-2017 (3)'!$R$5:$R$289,$V615)*$AB615))</f>
        <v/>
      </c>
      <c r="AD615" s="2">
        <f>IF($W615=AD$3,$AB615,IF(NOT($W615=0),"",SUMIFS('Val-Vol (2)'!AD$4:AD$1116,'Val-Vol (2)'!$A$4:$A$1116,$D615,'Val-Vol (2)'!$V$4:$V$1116,$V615)/SUMIFS('Comp2016-2017 (3)'!$G$5:$G$289,'Comp2016-2017 (3)'!$A$5:$A$289,$D615,'Comp2016-2017 (3)'!$R$5:$R$289,$V615)*$AB615))</f>
        <v>154578.01287710477</v>
      </c>
      <c r="AE615" s="2" t="str">
        <f>IF($W615=AE$3,$AB615,IF(NOT($W615=0),"",SUMIFS('Val-Vol (2)'!AE$4:AE$1116,'Val-Vol (2)'!$A$4:$A$1116,$D615,'Val-Vol (2)'!$V$4:$V$1116,$V615)/SUMIFS('Comp2016-2017 (3)'!$G$5:$G$289,'Comp2016-2017 (3)'!$A$5:$A$289,$D615,'Comp2016-2017 (3)'!$R$5:$R$289,$V615)*$AB615))</f>
        <v/>
      </c>
      <c r="AF615" s="2" t="str">
        <f>IF($W615=AF$3,$AB615,IF(NOT($W615=0),"",SUMIFS('Val-Vol (2)'!AF$4:AF$1116,'Val-Vol (2)'!$A$4:$A$1116,$D615,'Val-Vol (2)'!$V$4:$V$1116,$V615)/SUMIFS('Comp2016-2017 (3)'!$G$5:$G$289,'Comp2016-2017 (3)'!$A$5:$A$289,$D615,'Comp2016-2017 (3)'!$R$5:$R$289,$V615)*$AB615))</f>
        <v/>
      </c>
      <c r="AG615" s="2" t="str">
        <f>IF($W615=AG$3,$AB615,IF(NOT($W615=0),"",SUMIFS('Val-Vol (2)'!AG$4:AG$1116,'Val-Vol (2)'!$A$4:$A$1116,$D615,'Val-Vol (2)'!$V$4:$V$1116,$V615)/SUMIFS('Comp2016-2017 (3)'!$G$5:$G$289,'Comp2016-2017 (3)'!$A$5:$A$289,$D615,'Comp2016-2017 (3)'!$R$5:$R$289,$V615)*$AB615))</f>
        <v/>
      </c>
      <c r="AH615" s="2" t="str">
        <f>IF($W615=AH$3,$AB615,IF(NOT($W615=0),"",SUMIFS('Val-Vol (2)'!AH$4:AH$1116,'Val-Vol (2)'!$A$4:$A$1116,$D615,'Val-Vol (2)'!$V$4:$V$1116,$V615)/SUMIFS('Comp2016-2017 (3)'!$G$5:$G$289,'Comp2016-2017 (3)'!$A$5:$A$289,$D615,'Comp2016-2017 (3)'!$R$5:$R$289,$V615)*$AB615))</f>
        <v/>
      </c>
      <c r="AI615" s="2" t="str">
        <f>IF($W615=AI$3,$AB615,IF(NOT($W615=0),"",SUMIFS('Val-Vol (2)'!AI$4:AI$1116,'Val-Vol (2)'!$A$4:$A$1116,$D615,'Val-Vol (2)'!$V$4:$V$1116,$V615)/SUMIFS('Comp2016-2017 (3)'!$G$5:$G$289,'Comp2016-2017 (3)'!$A$5:$A$289,$D615,'Comp2016-2017 (3)'!$R$5:$R$289,$V615)*$AB615))</f>
        <v/>
      </c>
      <c r="AJ615" s="2" t="str">
        <f>IF($W615=AJ$3,$AB615,IF(NOT($W615=0),"",SUMIFS('Val-Vol (2)'!AJ$4:AJ$1116,'Val-Vol (2)'!$A$4:$A$1116,$D615,'Val-Vol (2)'!$V$4:$V$1116,$V615)/SUMIFS('Comp2016-2017 (3)'!$G$5:$G$289,'Comp2016-2017 (3)'!$A$5:$A$289,$D615,'Comp2016-2017 (3)'!$R$5:$R$289,$V615)*$AB615))</f>
        <v/>
      </c>
      <c r="AK615" s="2">
        <f t="shared" si="66"/>
        <v>0</v>
      </c>
      <c r="AL615" t="str">
        <f t="shared" si="68"/>
        <v/>
      </c>
      <c r="AM615" t="str">
        <f>VLOOKUP(A615,'Table corresp.'!$M$4:$U$63,8,FALSE)</f>
        <v>Production finale</v>
      </c>
      <c r="AN615" t="str">
        <f>VLOOKUP(D615,'Table corresp.'!$M$4:$U$63,9,FALSE)</f>
        <v xml:space="preserve">Mise en œuvre </v>
      </c>
    </row>
    <row r="616" spans="1:40" x14ac:dyDescent="0.25">
      <c r="A616" t="s">
        <v>90</v>
      </c>
      <c r="B616" t="str">
        <f>VLOOKUP(LEFT(A616,3),'Table corresp.'!$A$4:$D$63,3,FALSE)</f>
        <v>Transformation</v>
      </c>
      <c r="C616" t="str">
        <f>VLOOKUP(A616,'Table corresp.'!$M$4:$P$63,4,FALSE)</f>
        <v>Production et transformation de produits bois</v>
      </c>
      <c r="D616" t="s">
        <v>54</v>
      </c>
      <c r="E616" t="str">
        <f>VLOOKUP(LEFT(D616,3),'Table corresp.'!$A$4:$D$63,4,FALSE)</f>
        <v>Consommation finale</v>
      </c>
      <c r="F616" t="str">
        <f t="shared" si="67"/>
        <v>34  - Con</v>
      </c>
      <c r="G616" s="3">
        <v>245022.59997646071</v>
      </c>
      <c r="H616" s="3">
        <v>127452.48144255923</v>
      </c>
      <c r="I616" s="3">
        <v>372475.08206323854</v>
      </c>
      <c r="J616" s="3">
        <v>239.9414285025567</v>
      </c>
      <c r="K616" s="3">
        <v>213.39218217808727</v>
      </c>
      <c r="L616" s="3">
        <v>453.33361068064397</v>
      </c>
      <c r="M616" s="3">
        <v>27.114126460923853</v>
      </c>
      <c r="N616" s="3">
        <v>24.11397918841476</v>
      </c>
      <c r="O616" s="3">
        <v>51.228105649338616</v>
      </c>
      <c r="P616" s="3">
        <v>5.4095059779011887</v>
      </c>
      <c r="Q616" s="3">
        <v>4.8109502903848993</v>
      </c>
      <c r="R616" s="3">
        <v>10.220456268286089</v>
      </c>
      <c r="S616" s="67" t="s">
        <v>192</v>
      </c>
      <c r="T616">
        <f>VLOOKUP(A616,'Groupe de branches'!$Z$27:$AM$86,14,FALSE)</f>
        <v>0</v>
      </c>
      <c r="U616">
        <f>VLOOKUP(D616,'Groupe de branches'!$Z$27:$AM$86,14,FALSE)</f>
        <v>0</v>
      </c>
      <c r="V616">
        <v>2017</v>
      </c>
      <c r="W616" t="str">
        <f>VLOOKUP(D616,'Table corresp.'!$M$4:$S$63,7,FALSE)</f>
        <v>Consommation finale</v>
      </c>
      <c r="X616" s="167">
        <f>IFERROR(G616/SUMIFS('Comp2016-2017 (3)'!$I$5:$I$289,'Comp2016-2017 (3)'!$A$5:$A$289,A616,'Comp2016-2017 (3)'!$R$5:$R$289,V616),0)</f>
        <v>0.31252284741352837</v>
      </c>
      <c r="Y616" s="190">
        <f>IFERROR(IF(RIGHT(F616,3)="Exp",VLOOKUP(F616,#REF!,2,FALSE),VLOOKUP(F616,#REF!,9,FALSE)),1)</f>
        <v>1</v>
      </c>
      <c r="Z616" s="167">
        <f t="shared" si="71"/>
        <v>0.33333333333333331</v>
      </c>
      <c r="AA616" s="189">
        <f t="shared" si="69"/>
        <v>0.10417428247117612</v>
      </c>
      <c r="AB616" s="2">
        <f>IFERROR(SUMIFS('Comp2016-2017 (3)'!$G$5:$G$289,'Comp2016-2017 (3)'!$A$5:$A$289,A616,'Comp2016-2017 (3)'!$R$5:$R$289,V616)*AA616/SUMIFS($AA$4:$AA$1116,$A$4:$A$1116,A616,$V$4:$V$1116,V616),0)</f>
        <v>72796.406119530104</v>
      </c>
      <c r="AC616" s="2" t="str">
        <f>IF($W616=AC$3,$AB616,IF(NOT($W616=0),"",SUMIFS('Val-Vol (2)'!AC$4:AC$1116,'Val-Vol (2)'!$A$4:$A$1116,$D616,'Val-Vol (2)'!$V$4:$V$1116,$V616)/SUMIFS('Comp2016-2017 (3)'!$G$5:$G$289,'Comp2016-2017 (3)'!$A$5:$A$289,$D616,'Comp2016-2017 (3)'!$R$5:$R$289,$V616)*$AB616))</f>
        <v/>
      </c>
      <c r="AD616" s="2" t="str">
        <f>IF($W616=AD$3,$AB616,IF(NOT($W616=0),"",SUMIFS('Val-Vol (2)'!AD$4:AD$1116,'Val-Vol (2)'!$A$4:$A$1116,$D616,'Val-Vol (2)'!$V$4:$V$1116,$V616)/SUMIFS('Comp2016-2017 (3)'!$G$5:$G$289,'Comp2016-2017 (3)'!$A$5:$A$289,$D616,'Comp2016-2017 (3)'!$R$5:$R$289,$V616)*$AB616))</f>
        <v/>
      </c>
      <c r="AE616" s="2" t="str">
        <f>IF($W616=AE$3,$AB616,IF(NOT($W616=0),"",SUMIFS('Val-Vol (2)'!AE$4:AE$1116,'Val-Vol (2)'!$A$4:$A$1116,$D616,'Val-Vol (2)'!$V$4:$V$1116,$V616)/SUMIFS('Comp2016-2017 (3)'!$G$5:$G$289,'Comp2016-2017 (3)'!$A$5:$A$289,$D616,'Comp2016-2017 (3)'!$R$5:$R$289,$V616)*$AB616))</f>
        <v/>
      </c>
      <c r="AF616" s="2" t="str">
        <f>IF($W616=AF$3,$AB616,IF(NOT($W616=0),"",SUMIFS('Val-Vol (2)'!AF$4:AF$1116,'Val-Vol (2)'!$A$4:$A$1116,$D616,'Val-Vol (2)'!$V$4:$V$1116,$V616)/SUMIFS('Comp2016-2017 (3)'!$G$5:$G$289,'Comp2016-2017 (3)'!$A$5:$A$289,$D616,'Comp2016-2017 (3)'!$R$5:$R$289,$V616)*$AB616))</f>
        <v/>
      </c>
      <c r="AG616" s="2" t="str">
        <f>IF($W616=AG$3,$AB616,IF(NOT($W616=0),"",SUMIFS('Val-Vol (2)'!AG$4:AG$1116,'Val-Vol (2)'!$A$4:$A$1116,$D616,'Val-Vol (2)'!$V$4:$V$1116,$V616)/SUMIFS('Comp2016-2017 (3)'!$G$5:$G$289,'Comp2016-2017 (3)'!$A$5:$A$289,$D616,'Comp2016-2017 (3)'!$R$5:$R$289,$V616)*$AB616))</f>
        <v/>
      </c>
      <c r="AH616" s="2" t="str">
        <f>IF($W616=AH$3,$AB616,IF(NOT($W616=0),"",SUMIFS('Val-Vol (2)'!AH$4:AH$1116,'Val-Vol (2)'!$A$4:$A$1116,$D616,'Val-Vol (2)'!$V$4:$V$1116,$V616)/SUMIFS('Comp2016-2017 (3)'!$G$5:$G$289,'Comp2016-2017 (3)'!$A$5:$A$289,$D616,'Comp2016-2017 (3)'!$R$5:$R$289,$V616)*$AB616))</f>
        <v/>
      </c>
      <c r="AI616" s="2" t="str">
        <f>IF($W616=AI$3,$AB616,IF(NOT($W616=0),"",SUMIFS('Val-Vol (2)'!AI$4:AI$1116,'Val-Vol (2)'!$A$4:$A$1116,$D616,'Val-Vol (2)'!$V$4:$V$1116,$V616)/SUMIFS('Comp2016-2017 (3)'!$G$5:$G$289,'Comp2016-2017 (3)'!$A$5:$A$289,$D616,'Comp2016-2017 (3)'!$R$5:$R$289,$V616)*$AB616))</f>
        <v/>
      </c>
      <c r="AJ616" s="2">
        <f>IF($W616=AJ$3,$AB616,IF(NOT($W616=0),"",SUMIFS('Val-Vol (2)'!AJ$4:AJ$1116,'Val-Vol (2)'!$A$4:$A$1116,$D616,'Val-Vol (2)'!$V$4:$V$1116,$V616)/SUMIFS('Comp2016-2017 (3)'!$G$5:$G$289,'Comp2016-2017 (3)'!$A$5:$A$289,$D616,'Comp2016-2017 (3)'!$R$5:$R$289,$V616)*$AB616))</f>
        <v>72796.406119530104</v>
      </c>
      <c r="AK616" s="2">
        <f t="shared" si="66"/>
        <v>0</v>
      </c>
      <c r="AL616" t="str">
        <f t="shared" si="68"/>
        <v/>
      </c>
      <c r="AM616" t="str">
        <f>VLOOKUP(A616,'Table corresp.'!$M$4:$U$63,8,FALSE)</f>
        <v>Production finale</v>
      </c>
      <c r="AN616" t="str">
        <f>VLOOKUP(D616,'Table corresp.'!$M$4:$U$63,9,FALSE)</f>
        <v>Consommation finale française</v>
      </c>
    </row>
    <row r="617" spans="1:40" x14ac:dyDescent="0.25">
      <c r="A617" t="s">
        <v>90</v>
      </c>
      <c r="B617" t="str">
        <f>VLOOKUP(LEFT(A617,3),'Table corresp.'!$A$4:$D$63,3,FALSE)</f>
        <v>Transformation</v>
      </c>
      <c r="C617" t="str">
        <f>VLOOKUP(A617,'Table corresp.'!$M$4:$P$63,4,FALSE)</f>
        <v>Production et transformation de produits bois</v>
      </c>
      <c r="D617" t="s">
        <v>53</v>
      </c>
      <c r="E617" t="str">
        <f>VLOOKUP(LEFT(D617,3),'Table corresp.'!$A$4:$D$63,4,FALSE)</f>
        <v>Exportation</v>
      </c>
      <c r="F617" t="str">
        <f t="shared" si="67"/>
        <v>34  - Exp</v>
      </c>
      <c r="G617" s="3">
        <v>18704.260967649829</v>
      </c>
      <c r="H617" s="3">
        <v>0</v>
      </c>
      <c r="I617" s="3">
        <v>18704.260999999999</v>
      </c>
      <c r="J617" s="3">
        <v>13.984764038434395</v>
      </c>
      <c r="K617" s="3">
        <v>0</v>
      </c>
      <c r="L617" s="3">
        <v>13.984764038434395</v>
      </c>
      <c r="M617" s="3">
        <v>1.5803217603176434</v>
      </c>
      <c r="N617" s="3">
        <v>0</v>
      </c>
      <c r="O617" s="3">
        <v>1.5803217603176434</v>
      </c>
      <c r="P617" s="3">
        <v>0.31528804816064659</v>
      </c>
      <c r="Q617" s="3">
        <v>0</v>
      </c>
      <c r="R617" s="3">
        <v>0.31528804816064659</v>
      </c>
      <c r="S617" s="67" t="s">
        <v>192</v>
      </c>
      <c r="T617">
        <f>VLOOKUP(A617,'Groupe de branches'!$Z$27:$AM$86,14,FALSE)</f>
        <v>0</v>
      </c>
      <c r="U617">
        <f>VLOOKUP(D617,'Groupe de branches'!$Z$27:$AM$86,14,FALSE)</f>
        <v>0</v>
      </c>
      <c r="V617">
        <v>2017</v>
      </c>
      <c r="W617" t="str">
        <f>VLOOKUP(D617,'Table corresp.'!$M$4:$S$63,7,FALSE)</f>
        <v>Exportation</v>
      </c>
      <c r="X617" s="167">
        <f>IFERROR(G617/SUMIFS('Comp2016-2017 (3)'!$I$5:$I$289,'Comp2016-2017 (3)'!$A$5:$A$289,A617,'Comp2016-2017 (3)'!$R$5:$R$289,V617),0)</f>
        <v>2.385701929918799E-2</v>
      </c>
      <c r="Y617" s="190">
        <f>IFERROR(IF(RIGHT(F617,3)="Exp",VLOOKUP(F617,#REF!,2,FALSE),VLOOKUP(F617,#REF!,9,FALSE)),1)</f>
        <v>1</v>
      </c>
      <c r="Z617" s="167">
        <f t="shared" si="71"/>
        <v>0.33333333333333331</v>
      </c>
      <c r="AA617" s="189">
        <f t="shared" si="69"/>
        <v>7.9523397663959963E-3</v>
      </c>
      <c r="AB617" s="2">
        <f>IFERROR(SUMIFS('Comp2016-2017 (3)'!$G$5:$G$289,'Comp2016-2017 (3)'!$A$5:$A$289,A617,'Comp2016-2017 (3)'!$R$5:$R$289,V617)*AA617/SUMIFS($AA$4:$AA$1116,$A$4:$A$1116,A617,$V$4:$V$1116,V617),0)</f>
        <v>5557.0505647132995</v>
      </c>
      <c r="AC617" s="2">
        <f>IF($W617=AC$3,$AB617,IF(NOT($W617=0),"",SUMIFS('Val-Vol (2)'!AC$4:AC$1116,'Val-Vol (2)'!$A$4:$A$1116,$D617,'Val-Vol (2)'!$V$4:$V$1116,$V617)/SUMIFS('Comp2016-2017 (3)'!$G$5:$G$289,'Comp2016-2017 (3)'!$A$5:$A$289,$D617,'Comp2016-2017 (3)'!$R$5:$R$289,$V617)*$AB617))</f>
        <v>5557.0505647132995</v>
      </c>
      <c r="AD617" s="2" t="str">
        <f>IF($W617=AD$3,$AB617,IF(NOT($W617=0),"",SUMIFS('Val-Vol (2)'!AD$4:AD$1116,'Val-Vol (2)'!$A$4:$A$1116,$D617,'Val-Vol (2)'!$V$4:$V$1116,$V617)/SUMIFS('Comp2016-2017 (3)'!$G$5:$G$289,'Comp2016-2017 (3)'!$A$5:$A$289,$D617,'Comp2016-2017 (3)'!$R$5:$R$289,$V617)*$AB617))</f>
        <v/>
      </c>
      <c r="AE617" s="2" t="str">
        <f>IF($W617=AE$3,$AB617,IF(NOT($W617=0),"",SUMIFS('Val-Vol (2)'!AE$4:AE$1116,'Val-Vol (2)'!$A$4:$A$1116,$D617,'Val-Vol (2)'!$V$4:$V$1116,$V617)/SUMIFS('Comp2016-2017 (3)'!$G$5:$G$289,'Comp2016-2017 (3)'!$A$5:$A$289,$D617,'Comp2016-2017 (3)'!$R$5:$R$289,$V617)*$AB617))</f>
        <v/>
      </c>
      <c r="AF617" s="2" t="str">
        <f>IF($W617=AF$3,$AB617,IF(NOT($W617=0),"",SUMIFS('Val-Vol (2)'!AF$4:AF$1116,'Val-Vol (2)'!$A$4:$A$1116,$D617,'Val-Vol (2)'!$V$4:$V$1116,$V617)/SUMIFS('Comp2016-2017 (3)'!$G$5:$G$289,'Comp2016-2017 (3)'!$A$5:$A$289,$D617,'Comp2016-2017 (3)'!$R$5:$R$289,$V617)*$AB617))</f>
        <v/>
      </c>
      <c r="AG617" s="2" t="str">
        <f>IF($W617=AG$3,$AB617,IF(NOT($W617=0),"",SUMIFS('Val-Vol (2)'!AG$4:AG$1116,'Val-Vol (2)'!$A$4:$A$1116,$D617,'Val-Vol (2)'!$V$4:$V$1116,$V617)/SUMIFS('Comp2016-2017 (3)'!$G$5:$G$289,'Comp2016-2017 (3)'!$A$5:$A$289,$D617,'Comp2016-2017 (3)'!$R$5:$R$289,$V617)*$AB617))</f>
        <v/>
      </c>
      <c r="AH617" s="2" t="str">
        <f>IF($W617=AH$3,$AB617,IF(NOT($W617=0),"",SUMIFS('Val-Vol (2)'!AH$4:AH$1116,'Val-Vol (2)'!$A$4:$A$1116,$D617,'Val-Vol (2)'!$V$4:$V$1116,$V617)/SUMIFS('Comp2016-2017 (3)'!$G$5:$G$289,'Comp2016-2017 (3)'!$A$5:$A$289,$D617,'Comp2016-2017 (3)'!$R$5:$R$289,$V617)*$AB617))</f>
        <v/>
      </c>
      <c r="AI617" s="2" t="str">
        <f>IF($W617=AI$3,$AB617,IF(NOT($W617=0),"",SUMIFS('Val-Vol (2)'!AI$4:AI$1116,'Val-Vol (2)'!$A$4:$A$1116,$D617,'Val-Vol (2)'!$V$4:$V$1116,$V617)/SUMIFS('Comp2016-2017 (3)'!$G$5:$G$289,'Comp2016-2017 (3)'!$A$5:$A$289,$D617,'Comp2016-2017 (3)'!$R$5:$R$289,$V617)*$AB617))</f>
        <v/>
      </c>
      <c r="AJ617" s="2" t="str">
        <f>IF($W617=AJ$3,$AB617,IF(NOT($W617=0),"",SUMIFS('Val-Vol (2)'!AJ$4:AJ$1116,'Val-Vol (2)'!$A$4:$A$1116,$D617,'Val-Vol (2)'!$V$4:$V$1116,$V617)/SUMIFS('Comp2016-2017 (3)'!$G$5:$G$289,'Comp2016-2017 (3)'!$A$5:$A$289,$D617,'Comp2016-2017 (3)'!$R$5:$R$289,$V617)*$AB617))</f>
        <v/>
      </c>
      <c r="AK617" s="2">
        <f t="shared" si="66"/>
        <v>0</v>
      </c>
      <c r="AL617" t="str">
        <f t="shared" si="68"/>
        <v/>
      </c>
      <c r="AM617" t="str">
        <f>VLOOKUP(A617,'Table corresp.'!$M$4:$U$63,8,FALSE)</f>
        <v>Production finale</v>
      </c>
      <c r="AN617" t="str">
        <f>VLOOKUP(D617,'Table corresp.'!$M$4:$U$63,9,FALSE)</f>
        <v>Exportation</v>
      </c>
    </row>
    <row r="618" spans="1:40" x14ac:dyDescent="0.25">
      <c r="A618" t="s">
        <v>15</v>
      </c>
      <c r="B618" t="str">
        <f>VLOOKUP(LEFT(A618,3),'Table corresp.'!$A$4:$D$63,3,FALSE)</f>
        <v>Transformation</v>
      </c>
      <c r="C618" t="str">
        <f>VLOOKUP(A618,'Table corresp.'!$M$4:$P$63,4,FALSE)</f>
        <v>Production et transformation de produits bois</v>
      </c>
      <c r="D618" t="s">
        <v>21</v>
      </c>
      <c r="E618" t="str">
        <f>VLOOKUP(LEFT(D618,3),'Table corresp.'!$A$4:$D$63,4,FALSE)</f>
        <v>Transformation</v>
      </c>
      <c r="F618" t="str">
        <f t="shared" si="67"/>
        <v xml:space="preserve">35  - 54 </v>
      </c>
      <c r="G618" s="3">
        <v>557470.3988644107</v>
      </c>
      <c r="H618" s="3">
        <v>51239.604261610373</v>
      </c>
      <c r="I618" s="3">
        <v>608710.0283037551</v>
      </c>
      <c r="J618" s="3">
        <v>447.53509737136574</v>
      </c>
      <c r="K618" s="3">
        <v>11.437031105348451</v>
      </c>
      <c r="L618" s="3">
        <v>458.9721284767142</v>
      </c>
      <c r="M618" s="3">
        <v>21.845697620358219</v>
      </c>
      <c r="N618" s="3">
        <v>0.55828006489231286</v>
      </c>
      <c r="O618" s="3">
        <v>22.403977685250531</v>
      </c>
      <c r="P618" s="3">
        <v>9.2871682527073247</v>
      </c>
      <c r="Q618" s="3">
        <v>0.23733922280218092</v>
      </c>
      <c r="R618" s="3">
        <v>9.5245074755095054</v>
      </c>
      <c r="S618" s="67" t="s">
        <v>192</v>
      </c>
      <c r="T618">
        <f>VLOOKUP(A618,'Groupe de branches'!$Z$27:$AM$86,14,FALSE)</f>
        <v>0</v>
      </c>
      <c r="U618">
        <f>VLOOKUP(D618,'Groupe de branches'!$Z$27:$AM$86,14,FALSE)</f>
        <v>0</v>
      </c>
      <c r="V618">
        <v>2017</v>
      </c>
      <c r="W618" t="str">
        <f>VLOOKUP(D618,'Table corresp.'!$M$4:$S$63,7,FALSE)</f>
        <v>Construction</v>
      </c>
      <c r="X618" s="167">
        <f>IFERROR(G618/SUMIFS('Comp2016-2017 (3)'!$I$5:$I$289,'Comp2016-2017 (3)'!$A$5:$A$289,A618,'Comp2016-2017 (3)'!$R$5:$R$289,V618),0)</f>
        <v>0.89976406939254094</v>
      </c>
      <c r="Y618" s="190">
        <f>IFERROR(IF(RIGHT(F618,3)="Exp",VLOOKUP(F618,#REF!,2,FALSE),VLOOKUP(F618,#REF!,9,FALSE)),1)</f>
        <v>1</v>
      </c>
      <c r="Z618" s="167">
        <f t="shared" si="71"/>
        <v>0.33333333333333331</v>
      </c>
      <c r="AA618" s="189">
        <f t="shared" si="69"/>
        <v>0.29992135646418028</v>
      </c>
      <c r="AB618" s="2">
        <f>IFERROR(SUMIFS('Comp2016-2017 (3)'!$G$5:$G$289,'Comp2016-2017 (3)'!$A$5:$A$289,A618,'Comp2016-2017 (3)'!$R$5:$R$289,V618)*AA618/SUMIFS($AA$4:$AA$1116,$A$4:$A$1116,A618,$V$4:$V$1116,V618),0)</f>
        <v>212243.52729603855</v>
      </c>
      <c r="AC618" s="2" t="str">
        <f>IF($W618=AC$3,$AB618,IF(NOT($W618=0),"",SUMIFS('Val-Vol (2)'!AC$4:AC$1116,'Val-Vol (2)'!$A$4:$A$1116,$D618,'Val-Vol (2)'!$V$4:$V$1116,$V618)/SUMIFS('Comp2016-2017 (3)'!$G$5:$G$289,'Comp2016-2017 (3)'!$A$5:$A$289,$D618,'Comp2016-2017 (3)'!$R$5:$R$289,$V618)*$AB618))</f>
        <v/>
      </c>
      <c r="AD618" s="2">
        <f>IF($W618=AD$3,$AB618,IF(NOT($W618=0),"",SUMIFS('Val-Vol (2)'!AD$4:AD$1116,'Val-Vol (2)'!$A$4:$A$1116,$D618,'Val-Vol (2)'!$V$4:$V$1116,$V618)/SUMIFS('Comp2016-2017 (3)'!$G$5:$G$289,'Comp2016-2017 (3)'!$A$5:$A$289,$D618,'Comp2016-2017 (3)'!$R$5:$R$289,$V618)*$AB618))</f>
        <v>212243.52729603855</v>
      </c>
      <c r="AE618" s="2" t="str">
        <f>IF($W618=AE$3,$AB618,IF(NOT($W618=0),"",SUMIFS('Val-Vol (2)'!AE$4:AE$1116,'Val-Vol (2)'!$A$4:$A$1116,$D618,'Val-Vol (2)'!$V$4:$V$1116,$V618)/SUMIFS('Comp2016-2017 (3)'!$G$5:$G$289,'Comp2016-2017 (3)'!$A$5:$A$289,$D618,'Comp2016-2017 (3)'!$R$5:$R$289,$V618)*$AB618))</f>
        <v/>
      </c>
      <c r="AF618" s="2" t="str">
        <f>IF($W618=AF$3,$AB618,IF(NOT($W618=0),"",SUMIFS('Val-Vol (2)'!AF$4:AF$1116,'Val-Vol (2)'!$A$4:$A$1116,$D618,'Val-Vol (2)'!$V$4:$V$1116,$V618)/SUMIFS('Comp2016-2017 (3)'!$G$5:$G$289,'Comp2016-2017 (3)'!$A$5:$A$289,$D618,'Comp2016-2017 (3)'!$R$5:$R$289,$V618)*$AB618))</f>
        <v/>
      </c>
      <c r="AG618" s="2" t="str">
        <f>IF($W618=AG$3,$AB618,IF(NOT($W618=0),"",SUMIFS('Val-Vol (2)'!AG$4:AG$1116,'Val-Vol (2)'!$A$4:$A$1116,$D618,'Val-Vol (2)'!$V$4:$V$1116,$V618)/SUMIFS('Comp2016-2017 (3)'!$G$5:$G$289,'Comp2016-2017 (3)'!$A$5:$A$289,$D618,'Comp2016-2017 (3)'!$R$5:$R$289,$V618)*$AB618))</f>
        <v/>
      </c>
      <c r="AH618" s="2" t="str">
        <f>IF($W618=AH$3,$AB618,IF(NOT($W618=0),"",SUMIFS('Val-Vol (2)'!AH$4:AH$1116,'Val-Vol (2)'!$A$4:$A$1116,$D618,'Val-Vol (2)'!$V$4:$V$1116,$V618)/SUMIFS('Comp2016-2017 (3)'!$G$5:$G$289,'Comp2016-2017 (3)'!$A$5:$A$289,$D618,'Comp2016-2017 (3)'!$R$5:$R$289,$V618)*$AB618))</f>
        <v/>
      </c>
      <c r="AI618" s="2" t="str">
        <f>IF($W618=AI$3,$AB618,IF(NOT($W618=0),"",SUMIFS('Val-Vol (2)'!AI$4:AI$1116,'Val-Vol (2)'!$A$4:$A$1116,$D618,'Val-Vol (2)'!$V$4:$V$1116,$V618)/SUMIFS('Comp2016-2017 (3)'!$G$5:$G$289,'Comp2016-2017 (3)'!$A$5:$A$289,$D618,'Comp2016-2017 (3)'!$R$5:$R$289,$V618)*$AB618))</f>
        <v/>
      </c>
      <c r="AJ618" s="2" t="str">
        <f>IF($W618=AJ$3,$AB618,IF(NOT($W618=0),"",SUMIFS('Val-Vol (2)'!AJ$4:AJ$1116,'Val-Vol (2)'!$A$4:$A$1116,$D618,'Val-Vol (2)'!$V$4:$V$1116,$V618)/SUMIFS('Comp2016-2017 (3)'!$G$5:$G$289,'Comp2016-2017 (3)'!$A$5:$A$289,$D618,'Comp2016-2017 (3)'!$R$5:$R$289,$V618)*$AB618))</f>
        <v/>
      </c>
      <c r="AK618" s="2">
        <f t="shared" si="66"/>
        <v>0</v>
      </c>
      <c r="AL618" t="str">
        <f t="shared" si="68"/>
        <v/>
      </c>
      <c r="AM618" t="str">
        <f>VLOOKUP(A618,'Table corresp.'!$M$4:$U$63,8,FALSE)</f>
        <v>Production finale</v>
      </c>
      <c r="AN618" t="str">
        <f>VLOOKUP(D618,'Table corresp.'!$M$4:$U$63,9,FALSE)</f>
        <v xml:space="preserve">Mise en œuvre </v>
      </c>
    </row>
    <row r="619" spans="1:40" x14ac:dyDescent="0.25">
      <c r="A619" t="s">
        <v>15</v>
      </c>
      <c r="B619" t="str">
        <f>VLOOKUP(LEFT(A619,3),'Table corresp.'!$A$4:$D$63,3,FALSE)</f>
        <v>Transformation</v>
      </c>
      <c r="C619" t="str">
        <f>VLOOKUP(A619,'Table corresp.'!$M$4:$P$63,4,FALSE)</f>
        <v>Production et transformation de produits bois</v>
      </c>
      <c r="D619" t="s">
        <v>54</v>
      </c>
      <c r="E619" t="str">
        <f>VLOOKUP(LEFT(D619,3),'Table corresp.'!$A$4:$D$63,4,FALSE)</f>
        <v>Consommation finale</v>
      </c>
      <c r="F619" t="str">
        <f t="shared" si="67"/>
        <v>35  - Con</v>
      </c>
      <c r="G619" s="3">
        <v>55497.604995637848</v>
      </c>
      <c r="H619" s="3">
        <v>21319.252738389659</v>
      </c>
      <c r="I619" s="3">
        <v>76816.860911360563</v>
      </c>
      <c r="J619" s="3">
        <v>44.553264363802256</v>
      </c>
      <c r="K619" s="3">
        <v>7.1479261866942094</v>
      </c>
      <c r="L619" s="3">
        <v>51.701190550496463</v>
      </c>
      <c r="M619" s="3">
        <v>2.1747951099438825</v>
      </c>
      <c r="N619" s="3">
        <v>0.34891438683654136</v>
      </c>
      <c r="O619" s="3">
        <v>2.5237094967804237</v>
      </c>
      <c r="P619" s="3">
        <v>0.92456136911789621</v>
      </c>
      <c r="Q619" s="3">
        <v>0.14833248508032923</v>
      </c>
      <c r="R619" s="3">
        <v>1.0728938541982254</v>
      </c>
      <c r="S619" s="67" t="s">
        <v>192</v>
      </c>
      <c r="T619">
        <f>VLOOKUP(A619,'Groupe de branches'!$Z$27:$AM$86,14,FALSE)</f>
        <v>0</v>
      </c>
      <c r="U619">
        <f>VLOOKUP(D619,'Groupe de branches'!$Z$27:$AM$86,14,FALSE)</f>
        <v>0</v>
      </c>
      <c r="V619">
        <v>2017</v>
      </c>
      <c r="W619" t="str">
        <f>VLOOKUP(D619,'Table corresp.'!$M$4:$S$63,7,FALSE)</f>
        <v>Consommation finale</v>
      </c>
      <c r="X619" s="167">
        <f>IFERROR(G619/SUMIFS('Comp2016-2017 (3)'!$I$5:$I$289,'Comp2016-2017 (3)'!$A$5:$A$289,A619,'Comp2016-2017 (3)'!$R$5:$R$289,V619),0)</f>
        <v>8.9573815962486952E-2</v>
      </c>
      <c r="Y619" s="190">
        <f>IFERROR(IF(RIGHT(F619,3)="Exp",VLOOKUP(F619,#REF!,2,FALSE),VLOOKUP(F619,#REF!,9,FALSE)),1)</f>
        <v>1</v>
      </c>
      <c r="Z619" s="167">
        <f t="shared" si="71"/>
        <v>0.33333333333333331</v>
      </c>
      <c r="AA619" s="189">
        <f t="shared" si="69"/>
        <v>2.9857938654162315E-2</v>
      </c>
      <c r="AB619" s="2">
        <f>IFERROR(SUMIFS('Comp2016-2017 (3)'!$G$5:$G$289,'Comp2016-2017 (3)'!$A$5:$A$289,A619,'Comp2016-2017 (3)'!$R$5:$R$289,V619)*AA619/SUMIFS($AA$4:$AA$1116,$A$4:$A$1116,A619,$V$4:$V$1116,V619),0)</f>
        <v>21129.386358003459</v>
      </c>
      <c r="AC619" s="2" t="str">
        <f>IF($W619=AC$3,$AB619,IF(NOT($W619=0),"",SUMIFS('Val-Vol (2)'!AC$4:AC$1116,'Val-Vol (2)'!$A$4:$A$1116,$D619,'Val-Vol (2)'!$V$4:$V$1116,$V619)/SUMIFS('Comp2016-2017 (3)'!$G$5:$G$289,'Comp2016-2017 (3)'!$A$5:$A$289,$D619,'Comp2016-2017 (3)'!$R$5:$R$289,$V619)*$AB619))</f>
        <v/>
      </c>
      <c r="AD619" s="2" t="str">
        <f>IF($W619=AD$3,$AB619,IF(NOT($W619=0),"",SUMIFS('Val-Vol (2)'!AD$4:AD$1116,'Val-Vol (2)'!$A$4:$A$1116,$D619,'Val-Vol (2)'!$V$4:$V$1116,$V619)/SUMIFS('Comp2016-2017 (3)'!$G$5:$G$289,'Comp2016-2017 (3)'!$A$5:$A$289,$D619,'Comp2016-2017 (3)'!$R$5:$R$289,$V619)*$AB619))</f>
        <v/>
      </c>
      <c r="AE619" s="2" t="str">
        <f>IF($W619=AE$3,$AB619,IF(NOT($W619=0),"",SUMIFS('Val-Vol (2)'!AE$4:AE$1116,'Val-Vol (2)'!$A$4:$A$1116,$D619,'Val-Vol (2)'!$V$4:$V$1116,$V619)/SUMIFS('Comp2016-2017 (3)'!$G$5:$G$289,'Comp2016-2017 (3)'!$A$5:$A$289,$D619,'Comp2016-2017 (3)'!$R$5:$R$289,$V619)*$AB619))</f>
        <v/>
      </c>
      <c r="AF619" s="2" t="str">
        <f>IF($W619=AF$3,$AB619,IF(NOT($W619=0),"",SUMIFS('Val-Vol (2)'!AF$4:AF$1116,'Val-Vol (2)'!$A$4:$A$1116,$D619,'Val-Vol (2)'!$V$4:$V$1116,$V619)/SUMIFS('Comp2016-2017 (3)'!$G$5:$G$289,'Comp2016-2017 (3)'!$A$5:$A$289,$D619,'Comp2016-2017 (3)'!$R$5:$R$289,$V619)*$AB619))</f>
        <v/>
      </c>
      <c r="AG619" s="2" t="str">
        <f>IF($W619=AG$3,$AB619,IF(NOT($W619=0),"",SUMIFS('Val-Vol (2)'!AG$4:AG$1116,'Val-Vol (2)'!$A$4:$A$1116,$D619,'Val-Vol (2)'!$V$4:$V$1116,$V619)/SUMIFS('Comp2016-2017 (3)'!$G$5:$G$289,'Comp2016-2017 (3)'!$A$5:$A$289,$D619,'Comp2016-2017 (3)'!$R$5:$R$289,$V619)*$AB619))</f>
        <v/>
      </c>
      <c r="AH619" s="2" t="str">
        <f>IF($W619=AH$3,$AB619,IF(NOT($W619=0),"",SUMIFS('Val-Vol (2)'!AH$4:AH$1116,'Val-Vol (2)'!$A$4:$A$1116,$D619,'Val-Vol (2)'!$V$4:$V$1116,$V619)/SUMIFS('Comp2016-2017 (3)'!$G$5:$G$289,'Comp2016-2017 (3)'!$A$5:$A$289,$D619,'Comp2016-2017 (3)'!$R$5:$R$289,$V619)*$AB619))</f>
        <v/>
      </c>
      <c r="AI619" s="2" t="str">
        <f>IF($W619=AI$3,$AB619,IF(NOT($W619=0),"",SUMIFS('Val-Vol (2)'!AI$4:AI$1116,'Val-Vol (2)'!$A$4:$A$1116,$D619,'Val-Vol (2)'!$V$4:$V$1116,$V619)/SUMIFS('Comp2016-2017 (3)'!$G$5:$G$289,'Comp2016-2017 (3)'!$A$5:$A$289,$D619,'Comp2016-2017 (3)'!$R$5:$R$289,$V619)*$AB619))</f>
        <v/>
      </c>
      <c r="AJ619" s="2">
        <f>IF($W619=AJ$3,$AB619,IF(NOT($W619=0),"",SUMIFS('Val-Vol (2)'!AJ$4:AJ$1116,'Val-Vol (2)'!$A$4:$A$1116,$D619,'Val-Vol (2)'!$V$4:$V$1116,$V619)/SUMIFS('Comp2016-2017 (3)'!$G$5:$G$289,'Comp2016-2017 (3)'!$A$5:$A$289,$D619,'Comp2016-2017 (3)'!$R$5:$R$289,$V619)*$AB619))</f>
        <v>21129.386358003459</v>
      </c>
      <c r="AK619" s="2">
        <f t="shared" si="66"/>
        <v>0</v>
      </c>
      <c r="AL619" t="str">
        <f t="shared" si="68"/>
        <v/>
      </c>
      <c r="AM619" t="str">
        <f>VLOOKUP(A619,'Table corresp.'!$M$4:$U$63,8,FALSE)</f>
        <v>Production finale</v>
      </c>
      <c r="AN619" t="str">
        <f>VLOOKUP(D619,'Table corresp.'!$M$4:$U$63,9,FALSE)</f>
        <v>Consommation finale française</v>
      </c>
    </row>
    <row r="620" spans="1:40" x14ac:dyDescent="0.25">
      <c r="A620" t="s">
        <v>15</v>
      </c>
      <c r="B620" t="str">
        <f>VLOOKUP(LEFT(A620,3),'Table corresp.'!$A$4:$D$63,3,FALSE)</f>
        <v>Transformation</v>
      </c>
      <c r="C620" t="str">
        <f>VLOOKUP(A620,'Table corresp.'!$M$4:$P$63,4,FALSE)</f>
        <v>Production et transformation de produits bois</v>
      </c>
      <c r="D620" t="s">
        <v>53</v>
      </c>
      <c r="E620" t="str">
        <f>VLOOKUP(LEFT(D620,3),'Table corresp.'!$A$4:$D$63,4,FALSE)</f>
        <v>Exportation</v>
      </c>
      <c r="F620" t="str">
        <f t="shared" si="67"/>
        <v>35  - Exp</v>
      </c>
      <c r="G620" s="3">
        <v>6605.9687267609825</v>
      </c>
      <c r="H620" s="3">
        <v>0</v>
      </c>
      <c r="I620" s="3">
        <v>6605.9690000000001</v>
      </c>
      <c r="J620" s="3">
        <v>3.9746486314574567</v>
      </c>
      <c r="K620" s="3">
        <v>0</v>
      </c>
      <c r="L620" s="3">
        <v>3.9746486314574567</v>
      </c>
      <c r="M620" s="3">
        <v>0.19401600602944291</v>
      </c>
      <c r="N620" s="3">
        <v>0</v>
      </c>
      <c r="O620" s="3">
        <v>0.19401600602944291</v>
      </c>
      <c r="P620" s="3">
        <v>8.2481197122976968E-2</v>
      </c>
      <c r="Q620" s="3">
        <v>0</v>
      </c>
      <c r="R620" s="3">
        <v>8.2481197122976968E-2</v>
      </c>
      <c r="S620" s="67"/>
      <c r="T620">
        <f>VLOOKUP(A620,'Groupe de branches'!$Z$27:$AM$86,14,FALSE)</f>
        <v>0</v>
      </c>
      <c r="U620">
        <f>VLOOKUP(D620,'Groupe de branches'!$Z$27:$AM$86,14,FALSE)</f>
        <v>0</v>
      </c>
      <c r="V620">
        <v>2017</v>
      </c>
      <c r="W620" t="str">
        <f>VLOOKUP(D620,'Table corresp.'!$M$4:$S$63,7,FALSE)</f>
        <v>Exportation</v>
      </c>
      <c r="X620" s="167">
        <f>IFERROR(G620/SUMIFS('Comp2016-2017 (3)'!$I$5:$I$289,'Comp2016-2017 (3)'!$A$5:$A$289,A620,'Comp2016-2017 (3)'!$R$5:$R$289,V620),0)</f>
        <v>1.0662114644971478E-2</v>
      </c>
      <c r="Y620" s="190">
        <f>IFERROR(IF(RIGHT(F620,3)="Exp",VLOOKUP(F620,#REF!,2,FALSE),VLOOKUP(F620,#REF!,9,FALSE)),1)</f>
        <v>1</v>
      </c>
      <c r="Z620" s="167">
        <f t="shared" si="71"/>
        <v>0.33333333333333331</v>
      </c>
      <c r="AA620" s="189">
        <f t="shared" si="69"/>
        <v>3.5540382149904922E-3</v>
      </c>
      <c r="AB620" s="2">
        <f>IFERROR(SUMIFS('Comp2016-2017 (3)'!$G$5:$G$289,'Comp2016-2017 (3)'!$A$5:$A$289,A620,'Comp2016-2017 (3)'!$R$5:$R$289,V620)*AA620/SUMIFS($AA$4:$AA$1116,$A$4:$A$1116,A620,$V$4:$V$1116,V620),0)</f>
        <v>2515.0646682427482</v>
      </c>
      <c r="AC620" s="2">
        <f>IF($W620=AC$3,$AB620,IF(NOT($W620=0),"",SUMIFS('Val-Vol (2)'!AC$4:AC$1116,'Val-Vol (2)'!$A$4:$A$1116,$D620,'Val-Vol (2)'!$V$4:$V$1116,$V620)/SUMIFS('Comp2016-2017 (3)'!$G$5:$G$289,'Comp2016-2017 (3)'!$A$5:$A$289,$D620,'Comp2016-2017 (3)'!$R$5:$R$289,$V620)*$AB620))</f>
        <v>2515.0646682427482</v>
      </c>
      <c r="AD620" s="2" t="str">
        <f>IF($W620=AD$3,$AB620,IF(NOT($W620=0),"",SUMIFS('Val-Vol (2)'!AD$4:AD$1116,'Val-Vol (2)'!$A$4:$A$1116,$D620,'Val-Vol (2)'!$V$4:$V$1116,$V620)/SUMIFS('Comp2016-2017 (3)'!$G$5:$G$289,'Comp2016-2017 (3)'!$A$5:$A$289,$D620,'Comp2016-2017 (3)'!$R$5:$R$289,$V620)*$AB620))</f>
        <v/>
      </c>
      <c r="AE620" s="2" t="str">
        <f>IF($W620=AE$3,$AB620,IF(NOT($W620=0),"",SUMIFS('Val-Vol (2)'!AE$4:AE$1116,'Val-Vol (2)'!$A$4:$A$1116,$D620,'Val-Vol (2)'!$V$4:$V$1116,$V620)/SUMIFS('Comp2016-2017 (3)'!$G$5:$G$289,'Comp2016-2017 (3)'!$A$5:$A$289,$D620,'Comp2016-2017 (3)'!$R$5:$R$289,$V620)*$AB620))</f>
        <v/>
      </c>
      <c r="AF620" s="2" t="str">
        <f>IF($W620=AF$3,$AB620,IF(NOT($W620=0),"",SUMIFS('Val-Vol (2)'!AF$4:AF$1116,'Val-Vol (2)'!$A$4:$A$1116,$D620,'Val-Vol (2)'!$V$4:$V$1116,$V620)/SUMIFS('Comp2016-2017 (3)'!$G$5:$G$289,'Comp2016-2017 (3)'!$A$5:$A$289,$D620,'Comp2016-2017 (3)'!$R$5:$R$289,$V620)*$AB620))</f>
        <v/>
      </c>
      <c r="AG620" s="2" t="str">
        <f>IF($W620=AG$3,$AB620,IF(NOT($W620=0),"",SUMIFS('Val-Vol (2)'!AG$4:AG$1116,'Val-Vol (2)'!$A$4:$A$1116,$D620,'Val-Vol (2)'!$V$4:$V$1116,$V620)/SUMIFS('Comp2016-2017 (3)'!$G$5:$G$289,'Comp2016-2017 (3)'!$A$5:$A$289,$D620,'Comp2016-2017 (3)'!$R$5:$R$289,$V620)*$AB620))</f>
        <v/>
      </c>
      <c r="AH620" s="2" t="str">
        <f>IF($W620=AH$3,$AB620,IF(NOT($W620=0),"",SUMIFS('Val-Vol (2)'!AH$4:AH$1116,'Val-Vol (2)'!$A$4:$A$1116,$D620,'Val-Vol (2)'!$V$4:$V$1116,$V620)/SUMIFS('Comp2016-2017 (3)'!$G$5:$G$289,'Comp2016-2017 (3)'!$A$5:$A$289,$D620,'Comp2016-2017 (3)'!$R$5:$R$289,$V620)*$AB620))</f>
        <v/>
      </c>
      <c r="AI620" s="2" t="str">
        <f>IF($W620=AI$3,$AB620,IF(NOT($W620=0),"",SUMIFS('Val-Vol (2)'!AI$4:AI$1116,'Val-Vol (2)'!$A$4:$A$1116,$D620,'Val-Vol (2)'!$V$4:$V$1116,$V620)/SUMIFS('Comp2016-2017 (3)'!$G$5:$G$289,'Comp2016-2017 (3)'!$A$5:$A$289,$D620,'Comp2016-2017 (3)'!$R$5:$R$289,$V620)*$AB620))</f>
        <v/>
      </c>
      <c r="AJ620" s="2" t="str">
        <f>IF($W620=AJ$3,$AB620,IF(NOT($W620=0),"",SUMIFS('Val-Vol (2)'!AJ$4:AJ$1116,'Val-Vol (2)'!$A$4:$A$1116,$D620,'Val-Vol (2)'!$V$4:$V$1116,$V620)/SUMIFS('Comp2016-2017 (3)'!$G$5:$G$289,'Comp2016-2017 (3)'!$A$5:$A$289,$D620,'Comp2016-2017 (3)'!$R$5:$R$289,$V620)*$AB620))</f>
        <v/>
      </c>
      <c r="AK620" s="2">
        <f t="shared" si="66"/>
        <v>0</v>
      </c>
      <c r="AL620" t="str">
        <f t="shared" si="68"/>
        <v/>
      </c>
      <c r="AM620" t="str">
        <f>VLOOKUP(A620,'Table corresp.'!$M$4:$U$63,8,FALSE)</f>
        <v>Production finale</v>
      </c>
      <c r="AN620" t="str">
        <f>VLOOKUP(D620,'Table corresp.'!$M$4:$U$63,9,FALSE)</f>
        <v>Exportation</v>
      </c>
    </row>
    <row r="621" spans="1:40" x14ac:dyDescent="0.25">
      <c r="A621" t="s">
        <v>16</v>
      </c>
      <c r="B621" t="str">
        <f>VLOOKUP(LEFT(A621,3),'Table corresp.'!$A$4:$D$63,3,FALSE)</f>
        <v>Transformation</v>
      </c>
      <c r="C621" t="str">
        <f>VLOOKUP(A621,'Table corresp.'!$M$4:$P$63,4,FALSE)</f>
        <v>Production et transformation de produits bois</v>
      </c>
      <c r="D621" t="s">
        <v>21</v>
      </c>
      <c r="E621" t="str">
        <f>VLOOKUP(LEFT(D621,3),'Table corresp.'!$A$4:$D$63,4,FALSE)</f>
        <v>Transformation</v>
      </c>
      <c r="F621" t="str">
        <f t="shared" si="67"/>
        <v xml:space="preserve">36  - 54 </v>
      </c>
      <c r="G621" s="3">
        <v>102141.00121376659</v>
      </c>
      <c r="H621" s="3">
        <v>44699.066203120325</v>
      </c>
      <c r="I621" s="3">
        <v>146840.06827198662</v>
      </c>
      <c r="J621" s="3">
        <v>47.286304680118519</v>
      </c>
      <c r="K621" s="3">
        <v>35.802013664449156</v>
      </c>
      <c r="L621" s="3">
        <v>83.088318344567682</v>
      </c>
      <c r="M621" s="3">
        <v>31.803542039164142</v>
      </c>
      <c r="N621" s="3">
        <v>24.079505775861019</v>
      </c>
      <c r="O621" s="3">
        <v>55.883047815025165</v>
      </c>
      <c r="P621" s="3">
        <v>13.212920587623154</v>
      </c>
      <c r="Q621" s="3">
        <v>10.003935951972554</v>
      </c>
      <c r="R621" s="3">
        <v>23.21685653959571</v>
      </c>
      <c r="S621" s="67" t="s">
        <v>192</v>
      </c>
      <c r="T621">
        <f>VLOOKUP(A621,'Groupe de branches'!$Z$27:$AM$86,14,FALSE)</f>
        <v>0</v>
      </c>
      <c r="U621">
        <f>VLOOKUP(D621,'Groupe de branches'!$Z$27:$AM$86,14,FALSE)</f>
        <v>0</v>
      </c>
      <c r="V621">
        <v>2017</v>
      </c>
      <c r="W621" t="str">
        <f>VLOOKUP(D621,'Table corresp.'!$M$4:$S$63,7,FALSE)</f>
        <v>Construction</v>
      </c>
      <c r="X621" s="167">
        <f>IFERROR(G621/SUMIFS('Comp2016-2017 (3)'!$I$5:$I$289,'Comp2016-2017 (3)'!$A$5:$A$289,A621,'Comp2016-2017 (3)'!$R$5:$R$289,V621),0)</f>
        <v>0.19091276456087219</v>
      </c>
      <c r="Y621" s="190">
        <f>IFERROR(IF(RIGHT(F621,3)="Exp",VLOOKUP(F621,#REF!,2,FALSE),VLOOKUP(F621,#REF!,9,FALSE)),1)</f>
        <v>1</v>
      </c>
      <c r="Z621" s="167">
        <f t="shared" si="71"/>
        <v>0.25</v>
      </c>
      <c r="AA621" s="189">
        <f t="shared" si="69"/>
        <v>4.7728191140218049E-2</v>
      </c>
      <c r="AB621" s="2">
        <f>IFERROR(SUMIFS('Comp2016-2017 (3)'!$G$5:$G$289,'Comp2016-2017 (3)'!$A$5:$A$289,A621,'Comp2016-2017 (3)'!$R$5:$R$289,V621)*AA621/SUMIFS($AA$4:$AA$1116,$A$4:$A$1116,A621,$V$4:$V$1116,V621),0)</f>
        <v>36333.903625339655</v>
      </c>
      <c r="AC621" s="2" t="str">
        <f>IF($W621=AC$3,$AB621,IF(NOT($W621=0),"",SUMIFS('Val-Vol (2)'!AC$4:AC$1116,'Val-Vol (2)'!$A$4:$A$1116,$D621,'Val-Vol (2)'!$V$4:$V$1116,$V621)/SUMIFS('Comp2016-2017 (3)'!$G$5:$G$289,'Comp2016-2017 (3)'!$A$5:$A$289,$D621,'Comp2016-2017 (3)'!$R$5:$R$289,$V621)*$AB621))</f>
        <v/>
      </c>
      <c r="AD621" s="2">
        <f>IF($W621=AD$3,$AB621,IF(NOT($W621=0),"",SUMIFS('Val-Vol (2)'!AD$4:AD$1116,'Val-Vol (2)'!$A$4:$A$1116,$D621,'Val-Vol (2)'!$V$4:$V$1116,$V621)/SUMIFS('Comp2016-2017 (3)'!$G$5:$G$289,'Comp2016-2017 (3)'!$A$5:$A$289,$D621,'Comp2016-2017 (3)'!$R$5:$R$289,$V621)*$AB621))</f>
        <v>36333.903625339655</v>
      </c>
      <c r="AE621" s="2" t="str">
        <f>IF($W621=AE$3,$AB621,IF(NOT($W621=0),"",SUMIFS('Val-Vol (2)'!AE$4:AE$1116,'Val-Vol (2)'!$A$4:$A$1116,$D621,'Val-Vol (2)'!$V$4:$V$1116,$V621)/SUMIFS('Comp2016-2017 (3)'!$G$5:$G$289,'Comp2016-2017 (3)'!$A$5:$A$289,$D621,'Comp2016-2017 (3)'!$R$5:$R$289,$V621)*$AB621))</f>
        <v/>
      </c>
      <c r="AF621" s="2" t="str">
        <f>IF($W621=AF$3,$AB621,IF(NOT($W621=0),"",SUMIFS('Val-Vol (2)'!AF$4:AF$1116,'Val-Vol (2)'!$A$4:$A$1116,$D621,'Val-Vol (2)'!$V$4:$V$1116,$V621)/SUMIFS('Comp2016-2017 (3)'!$G$5:$G$289,'Comp2016-2017 (3)'!$A$5:$A$289,$D621,'Comp2016-2017 (3)'!$R$5:$R$289,$V621)*$AB621))</f>
        <v/>
      </c>
      <c r="AG621" s="2" t="str">
        <f>IF($W621=AG$3,$AB621,IF(NOT($W621=0),"",SUMIFS('Val-Vol (2)'!AG$4:AG$1116,'Val-Vol (2)'!$A$4:$A$1116,$D621,'Val-Vol (2)'!$V$4:$V$1116,$V621)/SUMIFS('Comp2016-2017 (3)'!$G$5:$G$289,'Comp2016-2017 (3)'!$A$5:$A$289,$D621,'Comp2016-2017 (3)'!$R$5:$R$289,$V621)*$AB621))</f>
        <v/>
      </c>
      <c r="AH621" s="2" t="str">
        <f>IF($W621=AH$3,$AB621,IF(NOT($W621=0),"",SUMIFS('Val-Vol (2)'!AH$4:AH$1116,'Val-Vol (2)'!$A$4:$A$1116,$D621,'Val-Vol (2)'!$V$4:$V$1116,$V621)/SUMIFS('Comp2016-2017 (3)'!$G$5:$G$289,'Comp2016-2017 (3)'!$A$5:$A$289,$D621,'Comp2016-2017 (3)'!$R$5:$R$289,$V621)*$AB621))</f>
        <v/>
      </c>
      <c r="AI621" s="2" t="str">
        <f>IF($W621=AI$3,$AB621,IF(NOT($W621=0),"",SUMIFS('Val-Vol (2)'!AI$4:AI$1116,'Val-Vol (2)'!$A$4:$A$1116,$D621,'Val-Vol (2)'!$V$4:$V$1116,$V621)/SUMIFS('Comp2016-2017 (3)'!$G$5:$G$289,'Comp2016-2017 (3)'!$A$5:$A$289,$D621,'Comp2016-2017 (3)'!$R$5:$R$289,$V621)*$AB621))</f>
        <v/>
      </c>
      <c r="AJ621" s="2" t="str">
        <f>IF($W621=AJ$3,$AB621,IF(NOT($W621=0),"",SUMIFS('Val-Vol (2)'!AJ$4:AJ$1116,'Val-Vol (2)'!$A$4:$A$1116,$D621,'Val-Vol (2)'!$V$4:$V$1116,$V621)/SUMIFS('Comp2016-2017 (3)'!$G$5:$G$289,'Comp2016-2017 (3)'!$A$5:$A$289,$D621,'Comp2016-2017 (3)'!$R$5:$R$289,$V621)*$AB621))</f>
        <v/>
      </c>
      <c r="AK621" s="2">
        <f t="shared" si="66"/>
        <v>0</v>
      </c>
      <c r="AL621" t="str">
        <f t="shared" si="68"/>
        <v/>
      </c>
      <c r="AM621" t="str">
        <f>VLOOKUP(A621,'Table corresp.'!$M$4:$U$63,8,FALSE)</f>
        <v>Production finale</v>
      </c>
      <c r="AN621" t="str">
        <f>VLOOKUP(D621,'Table corresp.'!$M$4:$U$63,9,FALSE)</f>
        <v xml:space="preserve">Mise en œuvre </v>
      </c>
    </row>
    <row r="622" spans="1:40" x14ac:dyDescent="0.25">
      <c r="A622" t="s">
        <v>16</v>
      </c>
      <c r="B622" t="str">
        <f>VLOOKUP(LEFT(A622,3),'Table corresp.'!$A$4:$D$63,3,FALSE)</f>
        <v>Transformation</v>
      </c>
      <c r="C622" t="str">
        <f>VLOOKUP(A622,'Table corresp.'!$M$4:$P$63,4,FALSE)</f>
        <v>Production et transformation de produits bois</v>
      </c>
      <c r="D622" t="s">
        <v>22</v>
      </c>
      <c r="E622" t="str">
        <f>VLOOKUP(LEFT(D622,3),'Table corresp.'!$A$4:$D$63,4,FALSE)</f>
        <v>Transformation</v>
      </c>
      <c r="F622" t="str">
        <f t="shared" si="67"/>
        <v xml:space="preserve">36  - 55 </v>
      </c>
      <c r="G622" s="3">
        <v>287275.2785524755</v>
      </c>
      <c r="H622" s="3">
        <v>18568.140220168742</v>
      </c>
      <c r="I622" s="3">
        <v>305843.42055367463</v>
      </c>
      <c r="J622" s="3">
        <v>109.52484173943905</v>
      </c>
      <c r="K622" s="3">
        <v>12.393562594518711</v>
      </c>
      <c r="L622" s="3">
        <v>121.91840433395777</v>
      </c>
      <c r="M622" s="3">
        <v>73.663567753002908</v>
      </c>
      <c r="N622" s="3">
        <v>8.3355887430026208</v>
      </c>
      <c r="O622" s="3">
        <v>81.999156496005526</v>
      </c>
      <c r="P622" s="3">
        <v>30.603851285584845</v>
      </c>
      <c r="Q622" s="3">
        <v>3.463056787094704</v>
      </c>
      <c r="R622" s="3">
        <v>34.066908072679553</v>
      </c>
      <c r="S622" s="67" t="s">
        <v>192</v>
      </c>
      <c r="T622">
        <f>VLOOKUP(A622,'Groupe de branches'!$Z$27:$AM$86,14,FALSE)</f>
        <v>0</v>
      </c>
      <c r="U622">
        <f>VLOOKUP(D622,'Groupe de branches'!$Z$27:$AM$86,14,FALSE)</f>
        <v>0</v>
      </c>
      <c r="V622">
        <v>2017</v>
      </c>
      <c r="W622" t="str">
        <f>VLOOKUP(D622,'Table corresp.'!$M$4:$S$63,7,FALSE)</f>
        <v>Construction</v>
      </c>
      <c r="X622" s="167">
        <f>IFERROR(G622/SUMIFS('Comp2016-2017 (3)'!$I$5:$I$289,'Comp2016-2017 (3)'!$A$5:$A$289,A622,'Comp2016-2017 (3)'!$R$5:$R$289,V622),0)</f>
        <v>0.53694908965759947</v>
      </c>
      <c r="Y622" s="190">
        <f>IFERROR(IF(RIGHT(F622,3)="Exp",VLOOKUP(F622,#REF!,2,FALSE),VLOOKUP(F622,#REF!,9,FALSE)),1)</f>
        <v>1</v>
      </c>
      <c r="Z622" s="167">
        <f t="shared" si="71"/>
        <v>0.25</v>
      </c>
      <c r="AA622" s="189">
        <f t="shared" si="69"/>
        <v>0.13423727241439987</v>
      </c>
      <c r="AB622" s="2">
        <f>IFERROR(SUMIFS('Comp2016-2017 (3)'!$G$5:$G$289,'Comp2016-2017 (3)'!$A$5:$A$289,A622,'Comp2016-2017 (3)'!$R$5:$R$289,V622)*AA622/SUMIFS($AA$4:$AA$1116,$A$4:$A$1116,A622,$V$4:$V$1116,V622),0)</f>
        <v>102190.42461727343</v>
      </c>
      <c r="AC622" s="2" t="str">
        <f>IF($W622=AC$3,$AB622,IF(NOT($W622=0),"",SUMIFS('Val-Vol (2)'!AC$4:AC$1116,'Val-Vol (2)'!$A$4:$A$1116,$D622,'Val-Vol (2)'!$V$4:$V$1116,$V622)/SUMIFS('Comp2016-2017 (3)'!$G$5:$G$289,'Comp2016-2017 (3)'!$A$5:$A$289,$D622,'Comp2016-2017 (3)'!$R$5:$R$289,$V622)*$AB622))</f>
        <v/>
      </c>
      <c r="AD622" s="2">
        <f>IF($W622=AD$3,$AB622,IF(NOT($W622=0),"",SUMIFS('Val-Vol (2)'!AD$4:AD$1116,'Val-Vol (2)'!$A$4:$A$1116,$D622,'Val-Vol (2)'!$V$4:$V$1116,$V622)/SUMIFS('Comp2016-2017 (3)'!$G$5:$G$289,'Comp2016-2017 (3)'!$A$5:$A$289,$D622,'Comp2016-2017 (3)'!$R$5:$R$289,$V622)*$AB622))</f>
        <v>102190.42461727343</v>
      </c>
      <c r="AE622" s="2" t="str">
        <f>IF($W622=AE$3,$AB622,IF(NOT($W622=0),"",SUMIFS('Val-Vol (2)'!AE$4:AE$1116,'Val-Vol (2)'!$A$4:$A$1116,$D622,'Val-Vol (2)'!$V$4:$V$1116,$V622)/SUMIFS('Comp2016-2017 (3)'!$G$5:$G$289,'Comp2016-2017 (3)'!$A$5:$A$289,$D622,'Comp2016-2017 (3)'!$R$5:$R$289,$V622)*$AB622))</f>
        <v/>
      </c>
      <c r="AF622" s="2" t="str">
        <f>IF($W622=AF$3,$AB622,IF(NOT($W622=0),"",SUMIFS('Val-Vol (2)'!AF$4:AF$1116,'Val-Vol (2)'!$A$4:$A$1116,$D622,'Val-Vol (2)'!$V$4:$V$1116,$V622)/SUMIFS('Comp2016-2017 (3)'!$G$5:$G$289,'Comp2016-2017 (3)'!$A$5:$A$289,$D622,'Comp2016-2017 (3)'!$R$5:$R$289,$V622)*$AB622))</f>
        <v/>
      </c>
      <c r="AG622" s="2" t="str">
        <f>IF($W622=AG$3,$AB622,IF(NOT($W622=0),"",SUMIFS('Val-Vol (2)'!AG$4:AG$1116,'Val-Vol (2)'!$A$4:$A$1116,$D622,'Val-Vol (2)'!$V$4:$V$1116,$V622)/SUMIFS('Comp2016-2017 (3)'!$G$5:$G$289,'Comp2016-2017 (3)'!$A$5:$A$289,$D622,'Comp2016-2017 (3)'!$R$5:$R$289,$V622)*$AB622))</f>
        <v/>
      </c>
      <c r="AH622" s="2" t="str">
        <f>IF($W622=AH$3,$AB622,IF(NOT($W622=0),"",SUMIFS('Val-Vol (2)'!AH$4:AH$1116,'Val-Vol (2)'!$A$4:$A$1116,$D622,'Val-Vol (2)'!$V$4:$V$1116,$V622)/SUMIFS('Comp2016-2017 (3)'!$G$5:$G$289,'Comp2016-2017 (3)'!$A$5:$A$289,$D622,'Comp2016-2017 (3)'!$R$5:$R$289,$V622)*$AB622))</f>
        <v/>
      </c>
      <c r="AI622" s="2" t="str">
        <f>IF($W622=AI$3,$AB622,IF(NOT($W622=0),"",SUMIFS('Val-Vol (2)'!AI$4:AI$1116,'Val-Vol (2)'!$A$4:$A$1116,$D622,'Val-Vol (2)'!$V$4:$V$1116,$V622)/SUMIFS('Comp2016-2017 (3)'!$G$5:$G$289,'Comp2016-2017 (3)'!$A$5:$A$289,$D622,'Comp2016-2017 (3)'!$R$5:$R$289,$V622)*$AB622))</f>
        <v/>
      </c>
      <c r="AJ622" s="2" t="str">
        <f>IF($W622=AJ$3,$AB622,IF(NOT($W622=0),"",SUMIFS('Val-Vol (2)'!AJ$4:AJ$1116,'Val-Vol (2)'!$A$4:$A$1116,$D622,'Val-Vol (2)'!$V$4:$V$1116,$V622)/SUMIFS('Comp2016-2017 (3)'!$G$5:$G$289,'Comp2016-2017 (3)'!$A$5:$A$289,$D622,'Comp2016-2017 (3)'!$R$5:$R$289,$V622)*$AB622))</f>
        <v/>
      </c>
      <c r="AK622" s="2">
        <f t="shared" si="66"/>
        <v>0</v>
      </c>
      <c r="AL622" t="str">
        <f t="shared" si="68"/>
        <v/>
      </c>
      <c r="AM622" t="str">
        <f>VLOOKUP(A622,'Table corresp.'!$M$4:$U$63,8,FALSE)</f>
        <v>Production finale</v>
      </c>
      <c r="AN622" t="str">
        <f>VLOOKUP(D622,'Table corresp.'!$M$4:$U$63,9,FALSE)</f>
        <v xml:space="preserve">Mise en œuvre </v>
      </c>
    </row>
    <row r="623" spans="1:40" x14ac:dyDescent="0.25">
      <c r="A623" t="s">
        <v>16</v>
      </c>
      <c r="B623" t="str">
        <f>VLOOKUP(LEFT(A623,3),'Table corresp.'!$A$4:$D$63,3,FALSE)</f>
        <v>Transformation</v>
      </c>
      <c r="C623" t="str">
        <f>VLOOKUP(A623,'Table corresp.'!$M$4:$P$63,4,FALSE)</f>
        <v>Production et transformation de produits bois</v>
      </c>
      <c r="D623" t="s">
        <v>54</v>
      </c>
      <c r="E623" t="str">
        <f>VLOOKUP(LEFT(D623,3),'Table corresp.'!$A$4:$D$63,4,FALSE)</f>
        <v>Consommation finale</v>
      </c>
      <c r="F623" t="str">
        <f t="shared" si="67"/>
        <v>36  - Con</v>
      </c>
      <c r="G623" s="3">
        <v>112133.12525962669</v>
      </c>
      <c r="H623" s="3">
        <v>29464.741576710945</v>
      </c>
      <c r="I623" s="3">
        <v>141597.86766091021</v>
      </c>
      <c r="J623" s="3">
        <v>80.239136753984013</v>
      </c>
      <c r="K623" s="3">
        <v>30.089974846184063</v>
      </c>
      <c r="L623" s="3">
        <v>110.32911160016808</v>
      </c>
      <c r="M623" s="3">
        <v>53.966762177855486</v>
      </c>
      <c r="N623" s="3">
        <v>20.237736622721602</v>
      </c>
      <c r="O623" s="3">
        <v>74.204498800577085</v>
      </c>
      <c r="P623" s="3">
        <v>22.420727293490163</v>
      </c>
      <c r="Q623" s="3">
        <v>8.4078561608001667</v>
      </c>
      <c r="R623" s="3">
        <v>30.828583454290332</v>
      </c>
      <c r="S623" s="67" t="s">
        <v>192</v>
      </c>
      <c r="T623">
        <f>VLOOKUP(A623,'Groupe de branches'!$Z$27:$AM$86,14,FALSE)</f>
        <v>0</v>
      </c>
      <c r="U623">
        <f>VLOOKUP(D623,'Groupe de branches'!$Z$27:$AM$86,14,FALSE)</f>
        <v>0</v>
      </c>
      <c r="V623">
        <v>2017</v>
      </c>
      <c r="W623" t="str">
        <f>VLOOKUP(D623,'Table corresp.'!$M$4:$S$63,7,FALSE)</f>
        <v>Consommation finale</v>
      </c>
      <c r="X623" s="167">
        <f>IFERROR(G623/SUMIFS('Comp2016-2017 (3)'!$I$5:$I$289,'Comp2016-2017 (3)'!$A$5:$A$289,A623,'Comp2016-2017 (3)'!$R$5:$R$289,V623),0)</f>
        <v>0.20958914331927042</v>
      </c>
      <c r="Y623" s="190">
        <f>IFERROR(IF(RIGHT(F623,3)="Exp",VLOOKUP(F623,#REF!,2,FALSE),VLOOKUP(F623,#REF!,9,FALSE)),1)</f>
        <v>1</v>
      </c>
      <c r="Z623" s="167">
        <f t="shared" si="71"/>
        <v>0.25</v>
      </c>
      <c r="AA623" s="189">
        <f t="shared" si="69"/>
        <v>5.2397285829817605E-2</v>
      </c>
      <c r="AB623" s="2">
        <f>IFERROR(SUMIFS('Comp2016-2017 (3)'!$G$5:$G$289,'Comp2016-2017 (3)'!$A$5:$A$289,A623,'Comp2016-2017 (3)'!$R$5:$R$289,V623)*AA623/SUMIFS($AA$4:$AA$1116,$A$4:$A$1116,A623,$V$4:$V$1116,V623),0)</f>
        <v>39888.331991818086</v>
      </c>
      <c r="AC623" s="2" t="str">
        <f>IF($W623=AC$3,$AB623,IF(NOT($W623=0),"",SUMIFS('Val-Vol (2)'!AC$4:AC$1116,'Val-Vol (2)'!$A$4:$A$1116,$D623,'Val-Vol (2)'!$V$4:$V$1116,$V623)/SUMIFS('Comp2016-2017 (3)'!$G$5:$G$289,'Comp2016-2017 (3)'!$A$5:$A$289,$D623,'Comp2016-2017 (3)'!$R$5:$R$289,$V623)*$AB623))</f>
        <v/>
      </c>
      <c r="AD623" s="2" t="str">
        <f>IF($W623=AD$3,$AB623,IF(NOT($W623=0),"",SUMIFS('Val-Vol (2)'!AD$4:AD$1116,'Val-Vol (2)'!$A$4:$A$1116,$D623,'Val-Vol (2)'!$V$4:$V$1116,$V623)/SUMIFS('Comp2016-2017 (3)'!$G$5:$G$289,'Comp2016-2017 (3)'!$A$5:$A$289,$D623,'Comp2016-2017 (3)'!$R$5:$R$289,$V623)*$AB623))</f>
        <v/>
      </c>
      <c r="AE623" s="2" t="str">
        <f>IF($W623=AE$3,$AB623,IF(NOT($W623=0),"",SUMIFS('Val-Vol (2)'!AE$4:AE$1116,'Val-Vol (2)'!$A$4:$A$1116,$D623,'Val-Vol (2)'!$V$4:$V$1116,$V623)/SUMIFS('Comp2016-2017 (3)'!$G$5:$G$289,'Comp2016-2017 (3)'!$A$5:$A$289,$D623,'Comp2016-2017 (3)'!$R$5:$R$289,$V623)*$AB623))</f>
        <v/>
      </c>
      <c r="AF623" s="2" t="str">
        <f>IF($W623=AF$3,$AB623,IF(NOT($W623=0),"",SUMIFS('Val-Vol (2)'!AF$4:AF$1116,'Val-Vol (2)'!$A$4:$A$1116,$D623,'Val-Vol (2)'!$V$4:$V$1116,$V623)/SUMIFS('Comp2016-2017 (3)'!$G$5:$G$289,'Comp2016-2017 (3)'!$A$5:$A$289,$D623,'Comp2016-2017 (3)'!$R$5:$R$289,$V623)*$AB623))</f>
        <v/>
      </c>
      <c r="AG623" s="2" t="str">
        <f>IF($W623=AG$3,$AB623,IF(NOT($W623=0),"",SUMIFS('Val-Vol (2)'!AG$4:AG$1116,'Val-Vol (2)'!$A$4:$A$1116,$D623,'Val-Vol (2)'!$V$4:$V$1116,$V623)/SUMIFS('Comp2016-2017 (3)'!$G$5:$G$289,'Comp2016-2017 (3)'!$A$5:$A$289,$D623,'Comp2016-2017 (3)'!$R$5:$R$289,$V623)*$AB623))</f>
        <v/>
      </c>
      <c r="AH623" s="2" t="str">
        <f>IF($W623=AH$3,$AB623,IF(NOT($W623=0),"",SUMIFS('Val-Vol (2)'!AH$4:AH$1116,'Val-Vol (2)'!$A$4:$A$1116,$D623,'Val-Vol (2)'!$V$4:$V$1116,$V623)/SUMIFS('Comp2016-2017 (3)'!$G$5:$G$289,'Comp2016-2017 (3)'!$A$5:$A$289,$D623,'Comp2016-2017 (3)'!$R$5:$R$289,$V623)*$AB623))</f>
        <v/>
      </c>
      <c r="AI623" s="2" t="str">
        <f>IF($W623=AI$3,$AB623,IF(NOT($W623=0),"",SUMIFS('Val-Vol (2)'!AI$4:AI$1116,'Val-Vol (2)'!$A$4:$A$1116,$D623,'Val-Vol (2)'!$V$4:$V$1116,$V623)/SUMIFS('Comp2016-2017 (3)'!$G$5:$G$289,'Comp2016-2017 (3)'!$A$5:$A$289,$D623,'Comp2016-2017 (3)'!$R$5:$R$289,$V623)*$AB623))</f>
        <v/>
      </c>
      <c r="AJ623" s="2">
        <f>IF($W623=AJ$3,$AB623,IF(NOT($W623=0),"",SUMIFS('Val-Vol (2)'!AJ$4:AJ$1116,'Val-Vol (2)'!$A$4:$A$1116,$D623,'Val-Vol (2)'!$V$4:$V$1116,$V623)/SUMIFS('Comp2016-2017 (3)'!$G$5:$G$289,'Comp2016-2017 (3)'!$A$5:$A$289,$D623,'Comp2016-2017 (3)'!$R$5:$R$289,$V623)*$AB623))</f>
        <v>39888.331991818086</v>
      </c>
      <c r="AK623" s="2">
        <f t="shared" si="66"/>
        <v>0</v>
      </c>
      <c r="AL623" t="str">
        <f t="shared" si="68"/>
        <v/>
      </c>
      <c r="AM623" t="str">
        <f>VLOOKUP(A623,'Table corresp.'!$M$4:$U$63,8,FALSE)</f>
        <v>Production finale</v>
      </c>
      <c r="AN623" t="str">
        <f>VLOOKUP(D623,'Table corresp.'!$M$4:$U$63,9,FALSE)</f>
        <v>Consommation finale française</v>
      </c>
    </row>
    <row r="624" spans="1:40" x14ac:dyDescent="0.25">
      <c r="A624" t="s">
        <v>16</v>
      </c>
      <c r="B624" t="str">
        <f>VLOOKUP(LEFT(A624,3),'Table corresp.'!$A$4:$D$63,3,FALSE)</f>
        <v>Transformation</v>
      </c>
      <c r="C624" t="str">
        <f>VLOOKUP(A624,'Table corresp.'!$M$4:$P$63,4,FALSE)</f>
        <v>Production et transformation de produits bois</v>
      </c>
      <c r="D624" t="s">
        <v>53</v>
      </c>
      <c r="E624" t="str">
        <f>VLOOKUP(LEFT(D624,3),'Table corresp.'!$A$4:$D$63,4,FALSE)</f>
        <v>Exportation</v>
      </c>
      <c r="F624" t="str">
        <f t="shared" si="67"/>
        <v>36  - Exp</v>
      </c>
      <c r="G624" s="3">
        <v>33464.591805124292</v>
      </c>
      <c r="H624" s="3">
        <v>0</v>
      </c>
      <c r="I624" s="3">
        <v>33464.592000000004</v>
      </c>
      <c r="J624" s="3">
        <v>21.689464675342116</v>
      </c>
      <c r="K624" s="3">
        <v>0</v>
      </c>
      <c r="L624" s="3">
        <v>21.689464675342116</v>
      </c>
      <c r="M624" s="3">
        <v>14.587771370073565</v>
      </c>
      <c r="N624" s="3">
        <v>0</v>
      </c>
      <c r="O624" s="3">
        <v>14.587771370073565</v>
      </c>
      <c r="P624" s="3">
        <v>6.0605533945190206</v>
      </c>
      <c r="Q624" s="3">
        <v>0</v>
      </c>
      <c r="R624" s="3">
        <v>6.0605533945190206</v>
      </c>
      <c r="S624" s="67" t="s">
        <v>192</v>
      </c>
      <c r="T624">
        <f>VLOOKUP(A624,'Groupe de branches'!$Z$27:$AM$86,14,FALSE)</f>
        <v>0</v>
      </c>
      <c r="U624">
        <f>VLOOKUP(D624,'Groupe de branches'!$Z$27:$AM$86,14,FALSE)</f>
        <v>0</v>
      </c>
      <c r="V624">
        <v>2017</v>
      </c>
      <c r="W624" t="str">
        <f>VLOOKUP(D624,'Table corresp.'!$M$4:$S$63,7,FALSE)</f>
        <v>Exportation</v>
      </c>
      <c r="X624" s="167">
        <f>IFERROR(G624/SUMIFS('Comp2016-2017 (3)'!$I$5:$I$289,'Comp2016-2017 (3)'!$A$5:$A$289,A624,'Comp2016-2017 (3)'!$R$5:$R$289,V624),0)</f>
        <v>6.254900246225803E-2</v>
      </c>
      <c r="Y624" s="190">
        <f>IFERROR(IF(RIGHT(F624,3)="Exp",VLOOKUP(F624,#REF!,2,FALSE),VLOOKUP(F624,#REF!,9,FALSE)),1)</f>
        <v>1</v>
      </c>
      <c r="Z624" s="167">
        <f t="shared" si="71"/>
        <v>0.25</v>
      </c>
      <c r="AA624" s="189">
        <f t="shared" si="69"/>
        <v>1.5637250615564507E-2</v>
      </c>
      <c r="AB624" s="2">
        <f>IFERROR(SUMIFS('Comp2016-2017 (3)'!$G$5:$G$289,'Comp2016-2017 (3)'!$A$5:$A$289,A624,'Comp2016-2017 (3)'!$R$5:$R$289,V624)*AA624/SUMIFS($AA$4:$AA$1116,$A$4:$A$1116,A624,$V$4:$V$1116,V624),0)</f>
        <v>11904.125072790435</v>
      </c>
      <c r="AC624" s="2">
        <f>IF($W624=AC$3,$AB624,IF(NOT($W624=0),"",SUMIFS('Val-Vol (2)'!AC$4:AC$1116,'Val-Vol (2)'!$A$4:$A$1116,$D624,'Val-Vol (2)'!$V$4:$V$1116,$V624)/SUMIFS('Comp2016-2017 (3)'!$G$5:$G$289,'Comp2016-2017 (3)'!$A$5:$A$289,$D624,'Comp2016-2017 (3)'!$R$5:$R$289,$V624)*$AB624))</f>
        <v>11904.125072790435</v>
      </c>
      <c r="AD624" s="2" t="str">
        <f>IF($W624=AD$3,$AB624,IF(NOT($W624=0),"",SUMIFS('Val-Vol (2)'!AD$4:AD$1116,'Val-Vol (2)'!$A$4:$A$1116,$D624,'Val-Vol (2)'!$V$4:$V$1116,$V624)/SUMIFS('Comp2016-2017 (3)'!$G$5:$G$289,'Comp2016-2017 (3)'!$A$5:$A$289,$D624,'Comp2016-2017 (3)'!$R$5:$R$289,$V624)*$AB624))</f>
        <v/>
      </c>
      <c r="AE624" s="2" t="str">
        <f>IF($W624=AE$3,$AB624,IF(NOT($W624=0),"",SUMIFS('Val-Vol (2)'!AE$4:AE$1116,'Val-Vol (2)'!$A$4:$A$1116,$D624,'Val-Vol (2)'!$V$4:$V$1116,$V624)/SUMIFS('Comp2016-2017 (3)'!$G$5:$G$289,'Comp2016-2017 (3)'!$A$5:$A$289,$D624,'Comp2016-2017 (3)'!$R$5:$R$289,$V624)*$AB624))</f>
        <v/>
      </c>
      <c r="AF624" s="2" t="str">
        <f>IF($W624=AF$3,$AB624,IF(NOT($W624=0),"",SUMIFS('Val-Vol (2)'!AF$4:AF$1116,'Val-Vol (2)'!$A$4:$A$1116,$D624,'Val-Vol (2)'!$V$4:$V$1116,$V624)/SUMIFS('Comp2016-2017 (3)'!$G$5:$G$289,'Comp2016-2017 (3)'!$A$5:$A$289,$D624,'Comp2016-2017 (3)'!$R$5:$R$289,$V624)*$AB624))</f>
        <v/>
      </c>
      <c r="AG624" s="2" t="str">
        <f>IF($W624=AG$3,$AB624,IF(NOT($W624=0),"",SUMIFS('Val-Vol (2)'!AG$4:AG$1116,'Val-Vol (2)'!$A$4:$A$1116,$D624,'Val-Vol (2)'!$V$4:$V$1116,$V624)/SUMIFS('Comp2016-2017 (3)'!$G$5:$G$289,'Comp2016-2017 (3)'!$A$5:$A$289,$D624,'Comp2016-2017 (3)'!$R$5:$R$289,$V624)*$AB624))</f>
        <v/>
      </c>
      <c r="AH624" s="2" t="str">
        <f>IF($W624=AH$3,$AB624,IF(NOT($W624=0),"",SUMIFS('Val-Vol (2)'!AH$4:AH$1116,'Val-Vol (2)'!$A$4:$A$1116,$D624,'Val-Vol (2)'!$V$4:$V$1116,$V624)/SUMIFS('Comp2016-2017 (3)'!$G$5:$G$289,'Comp2016-2017 (3)'!$A$5:$A$289,$D624,'Comp2016-2017 (3)'!$R$5:$R$289,$V624)*$AB624))</f>
        <v/>
      </c>
      <c r="AI624" s="2" t="str">
        <f>IF($W624=AI$3,$AB624,IF(NOT($W624=0),"",SUMIFS('Val-Vol (2)'!AI$4:AI$1116,'Val-Vol (2)'!$A$4:$A$1116,$D624,'Val-Vol (2)'!$V$4:$V$1116,$V624)/SUMIFS('Comp2016-2017 (3)'!$G$5:$G$289,'Comp2016-2017 (3)'!$A$5:$A$289,$D624,'Comp2016-2017 (3)'!$R$5:$R$289,$V624)*$AB624))</f>
        <v/>
      </c>
      <c r="AJ624" s="2" t="str">
        <f>IF($W624=AJ$3,$AB624,IF(NOT($W624=0),"",SUMIFS('Val-Vol (2)'!AJ$4:AJ$1116,'Val-Vol (2)'!$A$4:$A$1116,$D624,'Val-Vol (2)'!$V$4:$V$1116,$V624)/SUMIFS('Comp2016-2017 (3)'!$G$5:$G$289,'Comp2016-2017 (3)'!$A$5:$A$289,$D624,'Comp2016-2017 (3)'!$R$5:$R$289,$V624)*$AB624))</f>
        <v/>
      </c>
      <c r="AK624" s="2">
        <f t="shared" si="66"/>
        <v>0</v>
      </c>
      <c r="AL624" t="str">
        <f t="shared" si="68"/>
        <v/>
      </c>
      <c r="AM624" t="str">
        <f>VLOOKUP(A624,'Table corresp.'!$M$4:$U$63,8,FALSE)</f>
        <v>Production finale</v>
      </c>
      <c r="AN624" t="str">
        <f>VLOOKUP(D624,'Table corresp.'!$M$4:$U$63,9,FALSE)</f>
        <v>Exportation</v>
      </c>
    </row>
    <row r="625" spans="1:40" x14ac:dyDescent="0.25">
      <c r="A625" t="s">
        <v>91</v>
      </c>
      <c r="B625" t="str">
        <f>VLOOKUP(LEFT(A625,3),'Table corresp.'!$A$4:$D$63,3,FALSE)</f>
        <v>Transformation</v>
      </c>
      <c r="C625" t="str">
        <f>VLOOKUP(A625,'Table corresp.'!$M$4:$P$63,4,FALSE)</f>
        <v>Production et transformation de produits bois</v>
      </c>
      <c r="D625" t="s">
        <v>91</v>
      </c>
      <c r="E625" t="str">
        <f>VLOOKUP(LEFT(D625,3),'Table corresp.'!$A$4:$D$63,4,FALSE)</f>
        <v>Transformation</v>
      </c>
      <c r="F625" t="str">
        <f t="shared" si="67"/>
        <v xml:space="preserve">37  - 37 </v>
      </c>
      <c r="G625" s="3">
        <v>10143.684447278461</v>
      </c>
      <c r="H625" s="3">
        <v>11101.834360028217</v>
      </c>
      <c r="I625" s="3">
        <v>21245.518871606015</v>
      </c>
      <c r="J625" s="3">
        <v>0</v>
      </c>
      <c r="K625" s="3">
        <v>0</v>
      </c>
      <c r="L625" s="3">
        <v>0</v>
      </c>
      <c r="M625" s="3">
        <v>0</v>
      </c>
      <c r="N625" s="3">
        <v>0</v>
      </c>
      <c r="O625" s="3">
        <v>0</v>
      </c>
      <c r="P625" s="3">
        <v>0</v>
      </c>
      <c r="Q625" s="3">
        <v>0</v>
      </c>
      <c r="R625" s="3">
        <v>0</v>
      </c>
      <c r="S625" s="67"/>
      <c r="T625">
        <f>VLOOKUP(A625,'Groupe de branches'!$Z$27:$AM$86,14,FALSE)</f>
        <v>0</v>
      </c>
      <c r="U625">
        <f>VLOOKUP(D625,'Groupe de branches'!$Z$27:$AM$86,14,FALSE)</f>
        <v>0</v>
      </c>
      <c r="V625">
        <v>2017</v>
      </c>
      <c r="W625" t="str">
        <f>VLOOKUP(D625,'Table corresp.'!$M$4:$S$63,7,FALSE)</f>
        <v>Emballage bois et carton</v>
      </c>
      <c r="X625" s="167">
        <f>IFERROR(G625/SUMIFS('Comp2016-2017 (3)'!$I$5:$I$289,'Comp2016-2017 (3)'!$A$5:$A$289,A625,'Comp2016-2017 (3)'!$R$5:$R$289,V625),0)</f>
        <v>7.1644791272253002E-3</v>
      </c>
      <c r="Y625" s="190">
        <f>IFERROR(IF(RIGHT(F625,3)="Exp",VLOOKUP(F625,#REF!,2,FALSE),VLOOKUP(F625,#REF!,9,FALSE)),1)</f>
        <v>1</v>
      </c>
      <c r="Z625" s="167">
        <f t="shared" si="71"/>
        <v>0.33333333333333331</v>
      </c>
      <c r="AA625" s="189">
        <f t="shared" si="69"/>
        <v>2.3881597090750998E-3</v>
      </c>
      <c r="AB625" s="2">
        <f>IFERROR(SUMIFS('Comp2016-2017 (3)'!$G$5:$G$289,'Comp2016-2017 (3)'!$A$5:$A$289,A625,'Comp2016-2017 (3)'!$R$5:$R$289,V625)*AA625/SUMIFS($AA$4:$AA$1116,$A$4:$A$1116,A625,$V$4:$V$1116,V625),0)</f>
        <v>3681.3871721221085</v>
      </c>
      <c r="AG625" s="198">
        <v>3659.9750886828442</v>
      </c>
      <c r="AK625" s="2">
        <f t="shared" si="66"/>
        <v>-21.412083439264279</v>
      </c>
      <c r="AL625" t="str">
        <f t="shared" si="68"/>
        <v>remplir à la main</v>
      </c>
      <c r="AM625" t="str">
        <f>VLOOKUP(A625,'Table corresp.'!$M$4:$U$63,8,FALSE)</f>
        <v>Production finale</v>
      </c>
      <c r="AN625" t="str">
        <f>VLOOKUP(D625,'Table corresp.'!$M$4:$U$63,9,FALSE)</f>
        <v>Production finale</v>
      </c>
    </row>
    <row r="626" spans="1:40" x14ac:dyDescent="0.25">
      <c r="A626" t="s">
        <v>91</v>
      </c>
      <c r="B626" t="str">
        <f>VLOOKUP(LEFT(A626,3),'Table corresp.'!$A$4:$D$63,3,FALSE)</f>
        <v>Transformation</v>
      </c>
      <c r="C626" t="str">
        <f>VLOOKUP(A626,'Table corresp.'!$M$4:$P$63,4,FALSE)</f>
        <v>Production et transformation de produits bois</v>
      </c>
      <c r="D626" t="s">
        <v>54</v>
      </c>
      <c r="E626" t="str">
        <f>VLOOKUP(LEFT(D626,3),'Table corresp.'!$A$4:$D$63,4,FALSE)</f>
        <v>Consommation finale</v>
      </c>
      <c r="F626" t="str">
        <f t="shared" si="67"/>
        <v>37  - Con</v>
      </c>
      <c r="G626" s="3">
        <v>1304092.7799162297</v>
      </c>
      <c r="H626" s="3">
        <v>219399.7746399719</v>
      </c>
      <c r="I626" s="3">
        <v>1523492.5591670356</v>
      </c>
      <c r="J626" s="3">
        <v>5610.0636567867405</v>
      </c>
      <c r="K626" s="3">
        <v>1066.0362697617202</v>
      </c>
      <c r="L626" s="3">
        <v>6676.0999265484606</v>
      </c>
      <c r="M626" s="3">
        <v>519.99573960415842</v>
      </c>
      <c r="N626" s="3">
        <v>94.734383865469667</v>
      </c>
      <c r="O626" s="3">
        <v>614.7301234696281</v>
      </c>
      <c r="P626" s="3">
        <v>2.9204773208056849E-3</v>
      </c>
      <c r="Q626" s="3">
        <v>5.3206131994507522E-4</v>
      </c>
      <c r="R626" s="3">
        <v>3.45253864075076E-3</v>
      </c>
      <c r="S626" s="67"/>
      <c r="T626">
        <f>VLOOKUP(A626,'Groupe de branches'!$Z$27:$AM$86,14,FALSE)</f>
        <v>0</v>
      </c>
      <c r="U626">
        <f>VLOOKUP(D626,'Groupe de branches'!$Z$27:$AM$86,14,FALSE)</f>
        <v>0</v>
      </c>
      <c r="V626">
        <v>2017</v>
      </c>
      <c r="W626" t="str">
        <f>VLOOKUP(D626,'Table corresp.'!$M$4:$S$63,7,FALSE)</f>
        <v>Consommation finale</v>
      </c>
      <c r="X626" s="167">
        <f>IFERROR(G626/SUMIFS('Comp2016-2017 (3)'!$I$5:$I$289,'Comp2016-2017 (3)'!$A$5:$A$289,A626,'Comp2016-2017 (3)'!$R$5:$R$289,V626),0)</f>
        <v>0.921080062203808</v>
      </c>
      <c r="Y626" s="190">
        <f>IFERROR(IF(RIGHT(F626,3)="Exp",VLOOKUP(F626,#REF!,2,FALSE),VLOOKUP(F626,#REF!,9,FALSE)),1)</f>
        <v>1</v>
      </c>
      <c r="Z626" s="167">
        <f t="shared" si="71"/>
        <v>0.33333333333333331</v>
      </c>
      <c r="AA626" s="189">
        <f t="shared" si="69"/>
        <v>0.30702668740126932</v>
      </c>
      <c r="AB626" s="2">
        <f>IFERROR(SUMIFS('Comp2016-2017 (3)'!$G$5:$G$289,'Comp2016-2017 (3)'!$A$5:$A$289,A626,'Comp2016-2017 (3)'!$R$5:$R$289,V626)*AA626/SUMIFS($AA$4:$AA$1116,$A$4:$A$1116,A626,$V$4:$V$1116,V626),0)</f>
        <v>473286.65005236201</v>
      </c>
      <c r="AC626" s="2" t="str">
        <f>IF($W626=AC$3,$AB626,IF(NOT($W626=0),"",SUMIFS('Val-Vol (2)'!AC$4:AC$1116,'Val-Vol (2)'!$A$4:$A$1116,$D626,'Val-Vol (2)'!$V$4:$V$1116,$V626)/SUMIFS('Comp2016-2017 (3)'!$G$5:$G$289,'Comp2016-2017 (3)'!$A$5:$A$289,$D626,'Comp2016-2017 (3)'!$R$5:$R$289,$V626)*$AB626))</f>
        <v/>
      </c>
      <c r="AD626" s="2" t="str">
        <f>IF($W626=AD$3,$AB626,IF(NOT($W626=0),"",SUMIFS('Val-Vol (2)'!AD$4:AD$1116,'Val-Vol (2)'!$A$4:$A$1116,$D626,'Val-Vol (2)'!$V$4:$V$1116,$V626)/SUMIFS('Comp2016-2017 (3)'!$G$5:$G$289,'Comp2016-2017 (3)'!$A$5:$A$289,$D626,'Comp2016-2017 (3)'!$R$5:$R$289,$V626)*$AB626))</f>
        <v/>
      </c>
      <c r="AE626" s="2" t="str">
        <f>IF($W626=AE$3,$AB626,IF(NOT($W626=0),"",SUMIFS('Val-Vol (2)'!AE$4:AE$1116,'Val-Vol (2)'!$A$4:$A$1116,$D626,'Val-Vol (2)'!$V$4:$V$1116,$V626)/SUMIFS('Comp2016-2017 (3)'!$G$5:$G$289,'Comp2016-2017 (3)'!$A$5:$A$289,$D626,'Comp2016-2017 (3)'!$R$5:$R$289,$V626)*$AB626))</f>
        <v/>
      </c>
      <c r="AF626" s="2" t="str">
        <f>IF($W626=AF$3,$AB626,IF(NOT($W626=0),"",SUMIFS('Val-Vol (2)'!AF$4:AF$1116,'Val-Vol (2)'!$A$4:$A$1116,$D626,'Val-Vol (2)'!$V$4:$V$1116,$V626)/SUMIFS('Comp2016-2017 (3)'!$G$5:$G$289,'Comp2016-2017 (3)'!$A$5:$A$289,$D626,'Comp2016-2017 (3)'!$R$5:$R$289,$V626)*$AB626))</f>
        <v/>
      </c>
      <c r="AG626" s="2" t="str">
        <f>IF($W626=AG$3,$AB626,IF(NOT($W626=0),"",SUMIFS('Val-Vol (2)'!AG$4:AG$1116,'Val-Vol (2)'!$A$4:$A$1116,$D626,'Val-Vol (2)'!$V$4:$V$1116,$V626)/SUMIFS('Comp2016-2017 (3)'!$G$5:$G$289,'Comp2016-2017 (3)'!$A$5:$A$289,$D626,'Comp2016-2017 (3)'!$R$5:$R$289,$V626)*$AB626))</f>
        <v/>
      </c>
      <c r="AH626" s="2" t="str">
        <f>IF($W626=AH$3,$AB626,IF(NOT($W626=0),"",SUMIFS('Val-Vol (2)'!AH$4:AH$1116,'Val-Vol (2)'!$A$4:$A$1116,$D626,'Val-Vol (2)'!$V$4:$V$1116,$V626)/SUMIFS('Comp2016-2017 (3)'!$G$5:$G$289,'Comp2016-2017 (3)'!$A$5:$A$289,$D626,'Comp2016-2017 (3)'!$R$5:$R$289,$V626)*$AB626))</f>
        <v/>
      </c>
      <c r="AI626" s="2" t="str">
        <f>IF($W626=AI$3,$AB626,IF(NOT($W626=0),"",SUMIFS('Val-Vol (2)'!AI$4:AI$1116,'Val-Vol (2)'!$A$4:$A$1116,$D626,'Val-Vol (2)'!$V$4:$V$1116,$V626)/SUMIFS('Comp2016-2017 (3)'!$G$5:$G$289,'Comp2016-2017 (3)'!$A$5:$A$289,$D626,'Comp2016-2017 (3)'!$R$5:$R$289,$V626)*$AB626))</f>
        <v/>
      </c>
      <c r="AJ626" s="2">
        <f>IF($W626=AJ$3,$AB626,IF(NOT($W626=0),"",SUMIFS('Val-Vol (2)'!AJ$4:AJ$1116,'Val-Vol (2)'!$A$4:$A$1116,$D626,'Val-Vol (2)'!$V$4:$V$1116,$V626)/SUMIFS('Comp2016-2017 (3)'!$G$5:$G$289,'Comp2016-2017 (3)'!$A$5:$A$289,$D626,'Comp2016-2017 (3)'!$R$5:$R$289,$V626)*$AB626))</f>
        <v>473286.65005236201</v>
      </c>
      <c r="AK626" s="2">
        <f t="shared" si="66"/>
        <v>0</v>
      </c>
      <c r="AL626" t="str">
        <f t="shared" si="68"/>
        <v/>
      </c>
      <c r="AM626" t="str">
        <f>VLOOKUP(A626,'Table corresp.'!$M$4:$U$63,8,FALSE)</f>
        <v>Production finale</v>
      </c>
      <c r="AN626" t="str">
        <f>VLOOKUP(D626,'Table corresp.'!$M$4:$U$63,9,FALSE)</f>
        <v>Consommation finale française</v>
      </c>
    </row>
    <row r="627" spans="1:40" x14ac:dyDescent="0.25">
      <c r="A627" t="s">
        <v>91</v>
      </c>
      <c r="B627" t="str">
        <f>VLOOKUP(LEFT(A627,3),'Table corresp.'!$A$4:$D$63,3,FALSE)</f>
        <v>Transformation</v>
      </c>
      <c r="C627" t="str">
        <f>VLOOKUP(A627,'Table corresp.'!$M$4:$P$63,4,FALSE)</f>
        <v>Production et transformation de produits bois</v>
      </c>
      <c r="D627" t="s">
        <v>53</v>
      </c>
      <c r="E627" t="str">
        <f>VLOOKUP(LEFT(D627,3),'Table corresp.'!$A$4:$D$63,4,FALSE)</f>
        <v>Exportation</v>
      </c>
      <c r="F627" t="str">
        <f t="shared" si="67"/>
        <v>37  - Exp</v>
      </c>
      <c r="G627" s="3">
        <v>101593.53069252823</v>
      </c>
      <c r="H627" s="3">
        <v>0</v>
      </c>
      <c r="I627" s="3">
        <v>101593.53099999999</v>
      </c>
      <c r="J627" s="3">
        <v>404.09748523419978</v>
      </c>
      <c r="K627" s="3">
        <v>0</v>
      </c>
      <c r="L627" s="3">
        <v>404.09748523419978</v>
      </c>
      <c r="M627" s="3">
        <v>37.455719500140781</v>
      </c>
      <c r="N627" s="3">
        <v>0</v>
      </c>
      <c r="O627" s="3">
        <v>37.455719500140781</v>
      </c>
      <c r="P627" s="3">
        <v>2.1036437609641063E-4</v>
      </c>
      <c r="Q627" s="3">
        <v>0</v>
      </c>
      <c r="R627" s="3">
        <v>2.1036437609641063E-4</v>
      </c>
      <c r="S627" s="67"/>
      <c r="T627">
        <f>VLOOKUP(A627,'Groupe de branches'!$Z$27:$AM$86,14,FALSE)</f>
        <v>0</v>
      </c>
      <c r="U627">
        <f>VLOOKUP(D627,'Groupe de branches'!$Z$27:$AM$86,14,FALSE)</f>
        <v>0</v>
      </c>
      <c r="V627">
        <v>2017</v>
      </c>
      <c r="W627" t="str">
        <f>VLOOKUP(D627,'Table corresp.'!$M$4:$S$63,7,FALSE)</f>
        <v>Exportation</v>
      </c>
      <c r="X627" s="167">
        <f>IFERROR(G627/SUMIFS('Comp2016-2017 (3)'!$I$5:$I$289,'Comp2016-2017 (3)'!$A$5:$A$289,A627,'Comp2016-2017 (3)'!$R$5:$R$289,V627),0)</f>
        <v>7.1755458668967834E-2</v>
      </c>
      <c r="Y627" s="190">
        <f>IFERROR(IF(RIGHT(F627,3)="Exp",VLOOKUP(F627,#REF!,2,FALSE),VLOOKUP(F627,#REF!,9,FALSE)),1)</f>
        <v>1</v>
      </c>
      <c r="Z627" s="167">
        <f t="shared" si="71"/>
        <v>0.33333333333333331</v>
      </c>
      <c r="AA627" s="189">
        <f t="shared" si="69"/>
        <v>2.3918486222989276E-2</v>
      </c>
      <c r="AB627" s="2">
        <f>IFERROR(SUMIFS('Comp2016-2017 (3)'!$G$5:$G$289,'Comp2016-2017 (3)'!$A$5:$A$289,A627,'Comp2016-2017 (3)'!$R$5:$R$289,V627)*AA627/SUMIFS($AA$4:$AA$1116,$A$4:$A$1116,A627,$V$4:$V$1116,V627),0)</f>
        <v>36870.736920686868</v>
      </c>
      <c r="AC627" s="2">
        <f>IF($W627=AC$3,$AB627,IF(NOT($W627=0),"",SUMIFS('Val-Vol (2)'!AC$4:AC$1116,'Val-Vol (2)'!$A$4:$A$1116,$D627,'Val-Vol (2)'!$V$4:$V$1116,$V627)/SUMIFS('Comp2016-2017 (3)'!$G$5:$G$289,'Comp2016-2017 (3)'!$A$5:$A$289,$D627,'Comp2016-2017 (3)'!$R$5:$R$289,$V627)*$AB627))</f>
        <v>36870.736920686868</v>
      </c>
      <c r="AD627" s="2" t="str">
        <f>IF($W627=AD$3,$AB627,IF(NOT($W627=0),"",SUMIFS('Val-Vol (2)'!AD$4:AD$1116,'Val-Vol (2)'!$A$4:$A$1116,$D627,'Val-Vol (2)'!$V$4:$V$1116,$V627)/SUMIFS('Comp2016-2017 (3)'!$G$5:$G$289,'Comp2016-2017 (3)'!$A$5:$A$289,$D627,'Comp2016-2017 (3)'!$R$5:$R$289,$V627)*$AB627))</f>
        <v/>
      </c>
      <c r="AE627" s="2" t="str">
        <f>IF($W627=AE$3,$AB627,IF(NOT($W627=0),"",SUMIFS('Val-Vol (2)'!AE$4:AE$1116,'Val-Vol (2)'!$A$4:$A$1116,$D627,'Val-Vol (2)'!$V$4:$V$1116,$V627)/SUMIFS('Comp2016-2017 (3)'!$G$5:$G$289,'Comp2016-2017 (3)'!$A$5:$A$289,$D627,'Comp2016-2017 (3)'!$R$5:$R$289,$V627)*$AB627))</f>
        <v/>
      </c>
      <c r="AF627" s="2" t="str">
        <f>IF($W627=AF$3,$AB627,IF(NOT($W627=0),"",SUMIFS('Val-Vol (2)'!AF$4:AF$1116,'Val-Vol (2)'!$A$4:$A$1116,$D627,'Val-Vol (2)'!$V$4:$V$1116,$V627)/SUMIFS('Comp2016-2017 (3)'!$G$5:$G$289,'Comp2016-2017 (3)'!$A$5:$A$289,$D627,'Comp2016-2017 (3)'!$R$5:$R$289,$V627)*$AB627))</f>
        <v/>
      </c>
      <c r="AG627" s="2" t="str">
        <f>IF($W627=AG$3,$AB627,IF(NOT($W627=0),"",SUMIFS('Val-Vol (2)'!AG$4:AG$1116,'Val-Vol (2)'!$A$4:$A$1116,$D627,'Val-Vol (2)'!$V$4:$V$1116,$V627)/SUMIFS('Comp2016-2017 (3)'!$G$5:$G$289,'Comp2016-2017 (3)'!$A$5:$A$289,$D627,'Comp2016-2017 (3)'!$R$5:$R$289,$V627)*$AB627))</f>
        <v/>
      </c>
      <c r="AH627" s="2" t="str">
        <f>IF($W627=AH$3,$AB627,IF(NOT($W627=0),"",SUMIFS('Val-Vol (2)'!AH$4:AH$1116,'Val-Vol (2)'!$A$4:$A$1116,$D627,'Val-Vol (2)'!$V$4:$V$1116,$V627)/SUMIFS('Comp2016-2017 (3)'!$G$5:$G$289,'Comp2016-2017 (3)'!$A$5:$A$289,$D627,'Comp2016-2017 (3)'!$R$5:$R$289,$V627)*$AB627))</f>
        <v/>
      </c>
      <c r="AI627" s="2" t="str">
        <f>IF($W627=AI$3,$AB627,IF(NOT($W627=0),"",SUMIFS('Val-Vol (2)'!AI$4:AI$1116,'Val-Vol (2)'!$A$4:$A$1116,$D627,'Val-Vol (2)'!$V$4:$V$1116,$V627)/SUMIFS('Comp2016-2017 (3)'!$G$5:$G$289,'Comp2016-2017 (3)'!$A$5:$A$289,$D627,'Comp2016-2017 (3)'!$R$5:$R$289,$V627)*$AB627))</f>
        <v/>
      </c>
      <c r="AJ627" s="2" t="str">
        <f>IF($W627=AJ$3,$AB627,IF(NOT($W627=0),"",SUMIFS('Val-Vol (2)'!AJ$4:AJ$1116,'Val-Vol (2)'!$A$4:$A$1116,$D627,'Val-Vol (2)'!$V$4:$V$1116,$V627)/SUMIFS('Comp2016-2017 (3)'!$G$5:$G$289,'Comp2016-2017 (3)'!$A$5:$A$289,$D627,'Comp2016-2017 (3)'!$R$5:$R$289,$V627)*$AB627))</f>
        <v/>
      </c>
      <c r="AK627" s="2">
        <f t="shared" si="66"/>
        <v>0</v>
      </c>
      <c r="AL627" t="str">
        <f t="shared" si="68"/>
        <v/>
      </c>
      <c r="AM627" t="str">
        <f>VLOOKUP(A627,'Table corresp.'!$M$4:$U$63,8,FALSE)</f>
        <v>Production finale</v>
      </c>
      <c r="AN627" t="str">
        <f>VLOOKUP(D627,'Table corresp.'!$M$4:$U$63,9,FALSE)</f>
        <v>Exportation</v>
      </c>
    </row>
    <row r="628" spans="1:40" x14ac:dyDescent="0.25">
      <c r="A628" t="s">
        <v>17</v>
      </c>
      <c r="B628" t="str">
        <f>VLOOKUP(LEFT(A628,3),'Table corresp.'!$A$4:$D$63,3,FALSE)</f>
        <v>Transformation</v>
      </c>
      <c r="C628" t="str">
        <f>VLOOKUP(A628,'Table corresp.'!$M$4:$P$63,4,FALSE)</f>
        <v>Production et transformation de produits bois</v>
      </c>
      <c r="D628" t="s">
        <v>17</v>
      </c>
      <c r="E628" t="str">
        <f>VLOOKUP(LEFT(D628,3),'Table corresp.'!$A$4:$D$63,4,FALSE)</f>
        <v>Transformation</v>
      </c>
      <c r="F628" t="str">
        <f t="shared" si="67"/>
        <v xml:space="preserve">38  - 38 </v>
      </c>
      <c r="G628" s="3">
        <v>1153.4120705720047</v>
      </c>
      <c r="H628" s="3">
        <v>1979.4674196629267</v>
      </c>
      <c r="I628" s="3">
        <v>3132.8794921891285</v>
      </c>
      <c r="J628" s="3">
        <v>0</v>
      </c>
      <c r="K628" s="3">
        <v>0</v>
      </c>
      <c r="L628" s="3">
        <v>0</v>
      </c>
      <c r="M628" s="3">
        <v>0</v>
      </c>
      <c r="N628" s="3">
        <v>0</v>
      </c>
      <c r="O628" s="3">
        <v>0</v>
      </c>
      <c r="P628" s="3">
        <v>0</v>
      </c>
      <c r="Q628" s="3">
        <v>0</v>
      </c>
      <c r="R628" s="3">
        <v>0</v>
      </c>
      <c r="S628" s="67"/>
      <c r="T628">
        <f>VLOOKUP(A628,'Groupe de branches'!$Z$27:$AM$86,14,FALSE)</f>
        <v>0</v>
      </c>
      <c r="U628">
        <f>VLOOKUP(D628,'Groupe de branches'!$Z$27:$AM$86,14,FALSE)</f>
        <v>0</v>
      </c>
      <c r="V628">
        <v>2017</v>
      </c>
      <c r="W628" t="str">
        <f>VLOOKUP(D628,'Table corresp.'!$M$4:$S$63,7,FALSE)</f>
        <v>Emballage bois et carton</v>
      </c>
      <c r="X628" s="167">
        <f>IFERROR(G628/SUMIFS('Comp2016-2017 (3)'!$I$5:$I$289,'Comp2016-2017 (3)'!$A$5:$A$289,A628,'Comp2016-2017 (3)'!$R$5:$R$289,V628),0)</f>
        <v>1.5720121945157219E-3</v>
      </c>
      <c r="Y628" s="190">
        <f>IFERROR(IF(RIGHT(F628,3)="Exp",VLOOKUP(F628,#REF!,2,FALSE),VLOOKUP(F628,#REF!,9,FALSE)),1)</f>
        <v>1</v>
      </c>
      <c r="Z628" s="167">
        <f t="shared" si="71"/>
        <v>0.33333333333333331</v>
      </c>
      <c r="AA628" s="189">
        <f t="shared" si="69"/>
        <v>5.2400406483857397E-4</v>
      </c>
      <c r="AB628" s="2">
        <f>IFERROR(SUMIFS('Comp2016-2017 (3)'!$G$5:$G$289,'Comp2016-2017 (3)'!$A$5:$A$289,A628,'Comp2016-2017 (3)'!$R$5:$R$289,V628)*AA628/SUMIFS($AA$4:$AA$1116,$A$4:$A$1116,A628,$V$4:$V$1116,V628),0)</f>
        <v>359.35091014281267</v>
      </c>
      <c r="AC628" s="2" t="s">
        <v>277</v>
      </c>
      <c r="AD628" s="2" t="s">
        <v>277</v>
      </c>
      <c r="AE628" s="2" t="s">
        <v>277</v>
      </c>
      <c r="AF628" s="2" t="s">
        <v>277</v>
      </c>
      <c r="AG628" s="198">
        <v>320.17465105623904</v>
      </c>
      <c r="AH628" s="2" t="s">
        <v>277</v>
      </c>
      <c r="AI628" s="2" t="s">
        <v>277</v>
      </c>
      <c r="AJ628" s="2" t="s">
        <v>277</v>
      </c>
      <c r="AK628" s="2">
        <f t="shared" si="66"/>
        <v>-39.176259086573623</v>
      </c>
      <c r="AL628" t="str">
        <f t="shared" si="68"/>
        <v>remplir à la main</v>
      </c>
      <c r="AM628" t="str">
        <f>VLOOKUP(A628,'Table corresp.'!$M$4:$U$63,8,FALSE)</f>
        <v>Production finale</v>
      </c>
      <c r="AN628" t="str">
        <f>VLOOKUP(D628,'Table corresp.'!$M$4:$U$63,9,FALSE)</f>
        <v>Production finale</v>
      </c>
    </row>
    <row r="629" spans="1:40" x14ac:dyDescent="0.25">
      <c r="A629" t="s">
        <v>17</v>
      </c>
      <c r="B629" t="str">
        <f>VLOOKUP(LEFT(A629,3),'Table corresp.'!$A$4:$D$63,3,FALSE)</f>
        <v>Transformation</v>
      </c>
      <c r="C629" t="str">
        <f>VLOOKUP(A629,'Table corresp.'!$M$4:$P$63,4,FALSE)</f>
        <v>Production et transformation de produits bois</v>
      </c>
      <c r="D629" t="s">
        <v>54</v>
      </c>
      <c r="E629" t="str">
        <f>VLOOKUP(LEFT(D629,3),'Table corresp.'!$A$4:$D$63,4,FALSE)</f>
        <v>Consommation finale</v>
      </c>
      <c r="F629" t="str">
        <f t="shared" si="67"/>
        <v>38  - Con</v>
      </c>
      <c r="G629" s="3">
        <v>301770.15572010272</v>
      </c>
      <c r="H629" s="3">
        <v>33319.829580337064</v>
      </c>
      <c r="I629" s="3">
        <v>335089.98550945893</v>
      </c>
      <c r="J629" s="3">
        <v>111.33848848860328</v>
      </c>
      <c r="K629" s="3">
        <v>32.414326778950262</v>
      </c>
      <c r="L629" s="3">
        <v>143.75281526755353</v>
      </c>
      <c r="M629" s="3">
        <v>0</v>
      </c>
      <c r="N629" s="3">
        <v>0</v>
      </c>
      <c r="O629" s="3">
        <v>0</v>
      </c>
      <c r="P629" s="3">
        <v>0</v>
      </c>
      <c r="Q629" s="3">
        <v>0</v>
      </c>
      <c r="R629" s="3">
        <v>0</v>
      </c>
      <c r="S629" s="67"/>
      <c r="T629">
        <f>VLOOKUP(A629,'Groupe de branches'!$Z$27:$AM$86,14,FALSE)</f>
        <v>0</v>
      </c>
      <c r="U629">
        <f>VLOOKUP(D629,'Groupe de branches'!$Z$27:$AM$86,14,FALSE)</f>
        <v>0</v>
      </c>
      <c r="V629">
        <v>2017</v>
      </c>
      <c r="W629" t="str">
        <f>VLOOKUP(D629,'Table corresp.'!$M$4:$S$63,7,FALSE)</f>
        <v>Consommation finale</v>
      </c>
      <c r="X629" s="167">
        <f>IFERROR(G629/SUMIFS('Comp2016-2017 (3)'!$I$5:$I$289,'Comp2016-2017 (3)'!$A$5:$A$289,A629,'Comp2016-2017 (3)'!$R$5:$R$289,V629),0)</f>
        <v>0.41128957883859341</v>
      </c>
      <c r="Y629" s="190">
        <f>IFERROR(IF(RIGHT(F629,3)="Exp",VLOOKUP(F629,#REF!,2,FALSE),VLOOKUP(F629,#REF!,9,FALSE)),1)</f>
        <v>1</v>
      </c>
      <c r="Z629" s="167">
        <f t="shared" si="71"/>
        <v>0.33333333333333331</v>
      </c>
      <c r="AA629" s="189">
        <f t="shared" si="69"/>
        <v>0.13709652627953112</v>
      </c>
      <c r="AB629" s="2">
        <f>IFERROR(SUMIFS('Comp2016-2017 (3)'!$G$5:$G$289,'Comp2016-2017 (3)'!$A$5:$A$289,A629,'Comp2016-2017 (3)'!$R$5:$R$289,V629)*AA629/SUMIFS($AA$4:$AA$1116,$A$4:$A$1116,A629,$V$4:$V$1116,V629),0)</f>
        <v>94017.899481647109</v>
      </c>
      <c r="AC629" s="2" t="str">
        <f>IF($W629=AC$3,$AB629,IF(NOT($W629=0),"",SUMIFS('Val-Vol (2)'!AC$4:AC$1116,'Val-Vol (2)'!$A$4:$A$1116,$D629,'Val-Vol (2)'!$V$4:$V$1116,$V629)/SUMIFS('Comp2016-2017 (3)'!$G$5:$G$289,'Comp2016-2017 (3)'!$A$5:$A$289,$D629,'Comp2016-2017 (3)'!$R$5:$R$289,$V629)*$AB629))</f>
        <v/>
      </c>
      <c r="AD629" s="2" t="str">
        <f>IF($W629=AD$3,$AB629,IF(NOT($W629=0),"",SUMIFS('Val-Vol (2)'!AD$4:AD$1116,'Val-Vol (2)'!$A$4:$A$1116,$D629,'Val-Vol (2)'!$V$4:$V$1116,$V629)/SUMIFS('Comp2016-2017 (3)'!$G$5:$G$289,'Comp2016-2017 (3)'!$A$5:$A$289,$D629,'Comp2016-2017 (3)'!$R$5:$R$289,$V629)*$AB629))</f>
        <v/>
      </c>
      <c r="AE629" s="2" t="str">
        <f>IF($W629=AE$3,$AB629,IF(NOT($W629=0),"",SUMIFS('Val-Vol (2)'!AE$4:AE$1116,'Val-Vol (2)'!$A$4:$A$1116,$D629,'Val-Vol (2)'!$V$4:$V$1116,$V629)/SUMIFS('Comp2016-2017 (3)'!$G$5:$G$289,'Comp2016-2017 (3)'!$A$5:$A$289,$D629,'Comp2016-2017 (3)'!$R$5:$R$289,$V629)*$AB629))</f>
        <v/>
      </c>
      <c r="AF629" s="2" t="str">
        <f>IF($W629=AF$3,$AB629,IF(NOT($W629=0),"",SUMIFS('Val-Vol (2)'!AF$4:AF$1116,'Val-Vol (2)'!$A$4:$A$1116,$D629,'Val-Vol (2)'!$V$4:$V$1116,$V629)/SUMIFS('Comp2016-2017 (3)'!$G$5:$G$289,'Comp2016-2017 (3)'!$A$5:$A$289,$D629,'Comp2016-2017 (3)'!$R$5:$R$289,$V629)*$AB629))</f>
        <v/>
      </c>
      <c r="AG629" s="2" t="str">
        <f>IF($W629=AG$3,$AB629,IF(NOT($W629=0),"",SUMIFS('Val-Vol (2)'!AG$4:AG$1116,'Val-Vol (2)'!$A$4:$A$1116,$D629,'Val-Vol (2)'!$V$4:$V$1116,$V629)/SUMIFS('Comp2016-2017 (3)'!$G$5:$G$289,'Comp2016-2017 (3)'!$A$5:$A$289,$D629,'Comp2016-2017 (3)'!$R$5:$R$289,$V629)*$AB629))</f>
        <v/>
      </c>
      <c r="AH629" s="2" t="str">
        <f>IF($W629=AH$3,$AB629,IF(NOT($W629=0),"",SUMIFS('Val-Vol (2)'!AH$4:AH$1116,'Val-Vol (2)'!$A$4:$A$1116,$D629,'Val-Vol (2)'!$V$4:$V$1116,$V629)/SUMIFS('Comp2016-2017 (3)'!$G$5:$G$289,'Comp2016-2017 (3)'!$A$5:$A$289,$D629,'Comp2016-2017 (3)'!$R$5:$R$289,$V629)*$AB629))</f>
        <v/>
      </c>
      <c r="AI629" s="2" t="str">
        <f>IF($W629=AI$3,$AB629,IF(NOT($W629=0),"",SUMIFS('Val-Vol (2)'!AI$4:AI$1116,'Val-Vol (2)'!$A$4:$A$1116,$D629,'Val-Vol (2)'!$V$4:$V$1116,$V629)/SUMIFS('Comp2016-2017 (3)'!$G$5:$G$289,'Comp2016-2017 (3)'!$A$5:$A$289,$D629,'Comp2016-2017 (3)'!$R$5:$R$289,$V629)*$AB629))</f>
        <v/>
      </c>
      <c r="AJ629" s="2">
        <f>IF($W629=AJ$3,$AB629,IF(NOT($W629=0),"",SUMIFS('Val-Vol (2)'!AJ$4:AJ$1116,'Val-Vol (2)'!$A$4:$A$1116,$D629,'Val-Vol (2)'!$V$4:$V$1116,$V629)/SUMIFS('Comp2016-2017 (3)'!$G$5:$G$289,'Comp2016-2017 (3)'!$A$5:$A$289,$D629,'Comp2016-2017 (3)'!$R$5:$R$289,$V629)*$AB629))</f>
        <v>94017.899481647109</v>
      </c>
      <c r="AK629" s="2">
        <f t="shared" si="66"/>
        <v>0</v>
      </c>
      <c r="AL629" t="str">
        <f t="shared" si="68"/>
        <v/>
      </c>
      <c r="AM629" t="str">
        <f>VLOOKUP(A629,'Table corresp.'!$M$4:$U$63,8,FALSE)</f>
        <v>Production finale</v>
      </c>
      <c r="AN629" t="str">
        <f>VLOOKUP(D629,'Table corresp.'!$M$4:$U$63,9,FALSE)</f>
        <v>Consommation finale française</v>
      </c>
    </row>
    <row r="630" spans="1:40" x14ac:dyDescent="0.25">
      <c r="A630" t="s">
        <v>17</v>
      </c>
      <c r="B630" t="str">
        <f>VLOOKUP(LEFT(A630,3),'Table corresp.'!$A$4:$D$63,3,FALSE)</f>
        <v>Transformation</v>
      </c>
      <c r="C630" t="str">
        <f>VLOOKUP(A630,'Table corresp.'!$M$4:$P$63,4,FALSE)</f>
        <v>Production et transformation de produits bois</v>
      </c>
      <c r="D630" t="s">
        <v>53</v>
      </c>
      <c r="E630" t="str">
        <f>VLOOKUP(LEFT(D630,3),'Table corresp.'!$A$4:$D$63,4,FALSE)</f>
        <v>Exportation</v>
      </c>
      <c r="F630" t="str">
        <f t="shared" si="67"/>
        <v>38  - Exp</v>
      </c>
      <c r="G630" s="3">
        <v>430793.43173128378</v>
      </c>
      <c r="H630" s="3">
        <v>0</v>
      </c>
      <c r="I630" s="3">
        <v>430793.43199999997</v>
      </c>
      <c r="J630" s="3">
        <v>131.53089276573573</v>
      </c>
      <c r="K630" s="3">
        <v>0</v>
      </c>
      <c r="L630" s="3">
        <v>131.53089276573573</v>
      </c>
      <c r="M630" s="3">
        <v>0</v>
      </c>
      <c r="N630" s="3">
        <v>0</v>
      </c>
      <c r="O630" s="3">
        <v>0</v>
      </c>
      <c r="P630" s="3">
        <v>0</v>
      </c>
      <c r="Q630" s="3">
        <v>0</v>
      </c>
      <c r="R630" s="3">
        <v>0</v>
      </c>
      <c r="S630" s="67"/>
      <c r="T630">
        <f>VLOOKUP(A630,'Groupe de branches'!$Z$27:$AM$86,14,FALSE)</f>
        <v>0</v>
      </c>
      <c r="U630">
        <f>VLOOKUP(D630,'Groupe de branches'!$Z$27:$AM$86,14,FALSE)</f>
        <v>0</v>
      </c>
      <c r="V630">
        <v>2017</v>
      </c>
      <c r="W630" t="str">
        <f>VLOOKUP(D630,'Table corresp.'!$M$4:$S$63,7,FALSE)</f>
        <v>Exportation</v>
      </c>
      <c r="X630" s="167">
        <f>IFERROR(G630/SUMIFS('Comp2016-2017 (3)'!$I$5:$I$289,'Comp2016-2017 (3)'!$A$5:$A$289,A630,'Comp2016-2017 (3)'!$R$5:$R$289,V630),0)</f>
        <v>0.58713840896689096</v>
      </c>
      <c r="Y630" s="190">
        <f>IFERROR(IF(RIGHT(F630,3)="Exp",VLOOKUP(F630,#REF!,2,FALSE),VLOOKUP(F630,#REF!,9,FALSE)),1)</f>
        <v>1</v>
      </c>
      <c r="Z630" s="167">
        <f t="shared" si="71"/>
        <v>0.33333333333333331</v>
      </c>
      <c r="AA630" s="189">
        <f t="shared" si="69"/>
        <v>0.19571280298896365</v>
      </c>
      <c r="AB630" s="2">
        <f>IFERROR(SUMIFS('Comp2016-2017 (3)'!$G$5:$G$289,'Comp2016-2017 (3)'!$A$5:$A$289,A630,'Comp2016-2017 (3)'!$R$5:$R$289,V630)*AA630/SUMIFS($AA$4:$AA$1116,$A$4:$A$1116,A630,$V$4:$V$1116,V630),0)</f>
        <v>134215.70289221129</v>
      </c>
      <c r="AC630" s="2">
        <f>IF($W630=AC$3,$AB630,IF(NOT($W630=0),"",SUMIFS('Val-Vol (2)'!AC$4:AC$1116,'Val-Vol (2)'!$A$4:$A$1116,$D630,'Val-Vol (2)'!$V$4:$V$1116,$V630)/SUMIFS('Comp2016-2017 (3)'!$G$5:$G$289,'Comp2016-2017 (3)'!$A$5:$A$289,$D630,'Comp2016-2017 (3)'!$R$5:$R$289,$V630)*$AB630))</f>
        <v>134215.70289221129</v>
      </c>
      <c r="AD630" s="2" t="str">
        <f>IF($W630=AD$3,$AB630,IF(NOT($W630=0),"",SUMIFS('Val-Vol (2)'!AD$4:AD$1116,'Val-Vol (2)'!$A$4:$A$1116,$D630,'Val-Vol (2)'!$V$4:$V$1116,$V630)/SUMIFS('Comp2016-2017 (3)'!$G$5:$G$289,'Comp2016-2017 (3)'!$A$5:$A$289,$D630,'Comp2016-2017 (3)'!$R$5:$R$289,$V630)*$AB630))</f>
        <v/>
      </c>
      <c r="AE630" s="2" t="str">
        <f>IF($W630=AE$3,$AB630,IF(NOT($W630=0),"",SUMIFS('Val-Vol (2)'!AE$4:AE$1116,'Val-Vol (2)'!$A$4:$A$1116,$D630,'Val-Vol (2)'!$V$4:$V$1116,$V630)/SUMIFS('Comp2016-2017 (3)'!$G$5:$G$289,'Comp2016-2017 (3)'!$A$5:$A$289,$D630,'Comp2016-2017 (3)'!$R$5:$R$289,$V630)*$AB630))</f>
        <v/>
      </c>
      <c r="AF630" s="2" t="str">
        <f>IF($W630=AF$3,$AB630,IF(NOT($W630=0),"",SUMIFS('Val-Vol (2)'!AF$4:AF$1116,'Val-Vol (2)'!$A$4:$A$1116,$D630,'Val-Vol (2)'!$V$4:$V$1116,$V630)/SUMIFS('Comp2016-2017 (3)'!$G$5:$G$289,'Comp2016-2017 (3)'!$A$5:$A$289,$D630,'Comp2016-2017 (3)'!$R$5:$R$289,$V630)*$AB630))</f>
        <v/>
      </c>
      <c r="AG630" s="2" t="str">
        <f>IF($W630=AG$3,$AB630,IF(NOT($W630=0),"",SUMIFS('Val-Vol (2)'!AG$4:AG$1116,'Val-Vol (2)'!$A$4:$A$1116,$D630,'Val-Vol (2)'!$V$4:$V$1116,$V630)/SUMIFS('Comp2016-2017 (3)'!$G$5:$G$289,'Comp2016-2017 (3)'!$A$5:$A$289,$D630,'Comp2016-2017 (3)'!$R$5:$R$289,$V630)*$AB630))</f>
        <v/>
      </c>
      <c r="AH630" s="2" t="str">
        <f>IF($W630=AH$3,$AB630,IF(NOT($W630=0),"",SUMIFS('Val-Vol (2)'!AH$4:AH$1116,'Val-Vol (2)'!$A$4:$A$1116,$D630,'Val-Vol (2)'!$V$4:$V$1116,$V630)/SUMIFS('Comp2016-2017 (3)'!$G$5:$G$289,'Comp2016-2017 (3)'!$A$5:$A$289,$D630,'Comp2016-2017 (3)'!$R$5:$R$289,$V630)*$AB630))</f>
        <v/>
      </c>
      <c r="AI630" s="2" t="str">
        <f>IF($W630=AI$3,$AB630,IF(NOT($W630=0),"",SUMIFS('Val-Vol (2)'!AI$4:AI$1116,'Val-Vol (2)'!$A$4:$A$1116,$D630,'Val-Vol (2)'!$V$4:$V$1116,$V630)/SUMIFS('Comp2016-2017 (3)'!$G$5:$G$289,'Comp2016-2017 (3)'!$A$5:$A$289,$D630,'Comp2016-2017 (3)'!$R$5:$R$289,$V630)*$AB630))</f>
        <v/>
      </c>
      <c r="AJ630" s="2" t="str">
        <f>IF($W630=AJ$3,$AB630,IF(NOT($W630=0),"",SUMIFS('Val-Vol (2)'!AJ$4:AJ$1116,'Val-Vol (2)'!$A$4:$A$1116,$D630,'Val-Vol (2)'!$V$4:$V$1116,$V630)/SUMIFS('Comp2016-2017 (3)'!$G$5:$G$289,'Comp2016-2017 (3)'!$A$5:$A$289,$D630,'Comp2016-2017 (3)'!$R$5:$R$289,$V630)*$AB630))</f>
        <v/>
      </c>
      <c r="AK630" s="2">
        <f t="shared" si="66"/>
        <v>0</v>
      </c>
      <c r="AL630" t="str">
        <f t="shared" si="68"/>
        <v/>
      </c>
      <c r="AM630" t="str">
        <f>VLOOKUP(A630,'Table corresp.'!$M$4:$U$63,8,FALSE)</f>
        <v>Production finale</v>
      </c>
      <c r="AN630" t="str">
        <f>VLOOKUP(D630,'Table corresp.'!$M$4:$U$63,9,FALSE)</f>
        <v>Exportation</v>
      </c>
    </row>
    <row r="631" spans="1:40" x14ac:dyDescent="0.25">
      <c r="A631" t="s">
        <v>18</v>
      </c>
      <c r="B631" t="str">
        <f>VLOOKUP(LEFT(A631,3),'Table corresp.'!$A$4:$D$63,3,FALSE)</f>
        <v>Transformation</v>
      </c>
      <c r="C631" t="str">
        <f>VLOOKUP(A631,'Table corresp.'!$M$4:$P$63,4,FALSE)</f>
        <v>Production et transformation de produits bois</v>
      </c>
      <c r="D631" t="s">
        <v>19</v>
      </c>
      <c r="E631" t="str">
        <f>VLOOKUP(LEFT(D631,3),'Table corresp.'!$A$4:$D$63,4,FALSE)</f>
        <v>Transformation</v>
      </c>
      <c r="F631" t="str">
        <f t="shared" si="67"/>
        <v xml:space="preserve">39  - 52 </v>
      </c>
      <c r="G631" s="3">
        <v>8434.478108139403</v>
      </c>
      <c r="H631" s="3">
        <v>3301.0484453117469</v>
      </c>
      <c r="I631" s="3">
        <v>11735.60151589576</v>
      </c>
      <c r="J631" s="3">
        <v>12.287461794965626</v>
      </c>
      <c r="K631" s="3">
        <v>9.8264454711204312</v>
      </c>
      <c r="L631" s="3">
        <v>22.113907266086059</v>
      </c>
      <c r="M631" s="3">
        <v>3.3611744700725477</v>
      </c>
      <c r="N631" s="3">
        <v>2.6879756128822536</v>
      </c>
      <c r="O631" s="3">
        <v>6.0491500829548013</v>
      </c>
      <c r="P631" s="3">
        <v>1.3371615003900215</v>
      </c>
      <c r="Q631" s="3">
        <v>1.0693457110114972</v>
      </c>
      <c r="R631" s="3">
        <v>2.4065072114015189</v>
      </c>
      <c r="S631" s="67" t="s">
        <v>192</v>
      </c>
      <c r="T631">
        <f>VLOOKUP(A631,'Groupe de branches'!$Z$27:$AM$86,14,FALSE)</f>
        <v>0</v>
      </c>
      <c r="U631">
        <f>VLOOKUP(D631,'Groupe de branches'!$Z$27:$AM$86,14,FALSE)</f>
        <v>0</v>
      </c>
      <c r="V631">
        <v>2017</v>
      </c>
      <c r="W631" t="str">
        <f>VLOOKUP(D631,'Table corresp.'!$M$4:$S$63,7,FALSE)</f>
        <v>Construction</v>
      </c>
      <c r="X631" s="167">
        <f>IFERROR(G631/SUMIFS('Comp2016-2017 (3)'!$I$5:$I$289,'Comp2016-2017 (3)'!$A$5:$A$289,A631,'Comp2016-2017 (3)'!$R$5:$R$289,V631),0)</f>
        <v>0.31658577126036175</v>
      </c>
      <c r="Y631" s="190">
        <f>IFERROR(IF(RIGHT(F631,3)="Exp",VLOOKUP(F631,#REF!,2,FALSE),VLOOKUP(F631,#REF!,9,FALSE)),1)</f>
        <v>1</v>
      </c>
      <c r="Z631" s="167">
        <f t="shared" si="71"/>
        <v>0.2</v>
      </c>
      <c r="AA631" s="189">
        <f t="shared" si="69"/>
        <v>6.331715425207235E-2</v>
      </c>
      <c r="AB631" s="2">
        <f>IFERROR(SUMIFS('Comp2016-2017 (3)'!$G$5:$G$289,'Comp2016-2017 (3)'!$A$5:$A$289,A631,'Comp2016-2017 (3)'!$R$5:$R$289,V631)*AA631/SUMIFS($AA$4:$AA$1116,$A$4:$A$1116,A631,$V$4:$V$1116,V631),0)</f>
        <v>3217.3491333364491</v>
      </c>
      <c r="AC631" s="2" t="str">
        <f>IF($W631=AC$3,$AB631,IF(NOT($W631=0),"",SUMIFS('Val-Vol (2)'!AC$4:AC$1116,'Val-Vol (2)'!$A$4:$A$1116,$D631,'Val-Vol (2)'!$V$4:$V$1116,$V631)/SUMIFS('Comp2016-2017 (3)'!$G$5:$G$289,'Comp2016-2017 (3)'!$A$5:$A$289,$D631,'Comp2016-2017 (3)'!$R$5:$R$289,$V631)*$AB631))</f>
        <v/>
      </c>
      <c r="AD631" s="2">
        <f>IF($W631=AD$3,$AB631,IF(NOT($W631=0),"",SUMIFS('Val-Vol (2)'!AD$4:AD$1116,'Val-Vol (2)'!$A$4:$A$1116,$D631,'Val-Vol (2)'!$V$4:$V$1116,$V631)/SUMIFS('Comp2016-2017 (3)'!$G$5:$G$289,'Comp2016-2017 (3)'!$A$5:$A$289,$D631,'Comp2016-2017 (3)'!$R$5:$R$289,$V631)*$AB631))</f>
        <v>3217.3491333364491</v>
      </c>
      <c r="AE631" s="2" t="str">
        <f>IF($W631=AE$3,$AB631,IF(NOT($W631=0),"",SUMIFS('Val-Vol (2)'!AE$4:AE$1116,'Val-Vol (2)'!$A$4:$A$1116,$D631,'Val-Vol (2)'!$V$4:$V$1116,$V631)/SUMIFS('Comp2016-2017 (3)'!$G$5:$G$289,'Comp2016-2017 (3)'!$A$5:$A$289,$D631,'Comp2016-2017 (3)'!$R$5:$R$289,$V631)*$AB631))</f>
        <v/>
      </c>
      <c r="AF631" s="2" t="str">
        <f>IF($W631=AF$3,$AB631,IF(NOT($W631=0),"",SUMIFS('Val-Vol (2)'!AF$4:AF$1116,'Val-Vol (2)'!$A$4:$A$1116,$D631,'Val-Vol (2)'!$V$4:$V$1116,$V631)/SUMIFS('Comp2016-2017 (3)'!$G$5:$G$289,'Comp2016-2017 (3)'!$A$5:$A$289,$D631,'Comp2016-2017 (3)'!$R$5:$R$289,$V631)*$AB631))</f>
        <v/>
      </c>
      <c r="AG631" s="2" t="str">
        <f>IF($W631=AG$3,$AB631,IF(NOT($W631=0),"",SUMIFS('Val-Vol (2)'!AG$4:AG$1116,'Val-Vol (2)'!$A$4:$A$1116,$D631,'Val-Vol (2)'!$V$4:$V$1116,$V631)/SUMIFS('Comp2016-2017 (3)'!$G$5:$G$289,'Comp2016-2017 (3)'!$A$5:$A$289,$D631,'Comp2016-2017 (3)'!$R$5:$R$289,$V631)*$AB631))</f>
        <v/>
      </c>
      <c r="AH631" s="2" t="str">
        <f>IF($W631=AH$3,$AB631,IF(NOT($W631=0),"",SUMIFS('Val-Vol (2)'!AH$4:AH$1116,'Val-Vol (2)'!$A$4:$A$1116,$D631,'Val-Vol (2)'!$V$4:$V$1116,$V631)/SUMIFS('Comp2016-2017 (3)'!$G$5:$G$289,'Comp2016-2017 (3)'!$A$5:$A$289,$D631,'Comp2016-2017 (3)'!$R$5:$R$289,$V631)*$AB631))</f>
        <v/>
      </c>
      <c r="AI631" s="2" t="str">
        <f>IF($W631=AI$3,$AB631,IF(NOT($W631=0),"",SUMIFS('Val-Vol (2)'!AI$4:AI$1116,'Val-Vol (2)'!$A$4:$A$1116,$D631,'Val-Vol (2)'!$V$4:$V$1116,$V631)/SUMIFS('Comp2016-2017 (3)'!$G$5:$G$289,'Comp2016-2017 (3)'!$A$5:$A$289,$D631,'Comp2016-2017 (3)'!$R$5:$R$289,$V631)*$AB631))</f>
        <v/>
      </c>
      <c r="AJ631" s="2" t="str">
        <f>IF($W631=AJ$3,$AB631,IF(NOT($W631=0),"",SUMIFS('Val-Vol (2)'!AJ$4:AJ$1116,'Val-Vol (2)'!$A$4:$A$1116,$D631,'Val-Vol (2)'!$V$4:$V$1116,$V631)/SUMIFS('Comp2016-2017 (3)'!$G$5:$G$289,'Comp2016-2017 (3)'!$A$5:$A$289,$D631,'Comp2016-2017 (3)'!$R$5:$R$289,$V631)*$AB631))</f>
        <v/>
      </c>
      <c r="AK631" s="2">
        <f t="shared" si="66"/>
        <v>0</v>
      </c>
      <c r="AL631" t="str">
        <f t="shared" si="68"/>
        <v/>
      </c>
      <c r="AM631" t="str">
        <f>VLOOKUP(A631,'Table corresp.'!$M$4:$U$63,8,FALSE)</f>
        <v>Production finale</v>
      </c>
      <c r="AN631" t="str">
        <f>VLOOKUP(D631,'Table corresp.'!$M$4:$U$63,9,FALSE)</f>
        <v xml:space="preserve">Mise en œuvre </v>
      </c>
    </row>
    <row r="632" spans="1:40" x14ac:dyDescent="0.25">
      <c r="A632" t="s">
        <v>18</v>
      </c>
      <c r="B632" t="str">
        <f>VLOOKUP(LEFT(A632,3),'Table corresp.'!$A$4:$D$63,3,FALSE)</f>
        <v>Transformation</v>
      </c>
      <c r="C632" t="str">
        <f>VLOOKUP(A632,'Table corresp.'!$M$4:$P$63,4,FALSE)</f>
        <v>Production et transformation de produits bois</v>
      </c>
      <c r="D632" t="s">
        <v>25</v>
      </c>
      <c r="E632" t="str">
        <f>VLOOKUP(LEFT(D632,3),'Table corresp.'!$A$4:$D$63,4,FALSE)</f>
        <v>Transformation</v>
      </c>
      <c r="F632" t="str">
        <f t="shared" si="67"/>
        <v xml:space="preserve">39  - 58 </v>
      </c>
      <c r="G632" s="3">
        <v>934.92431050562334</v>
      </c>
      <c r="H632" s="3">
        <v>3986.2133205132341</v>
      </c>
      <c r="I632" s="3">
        <v>4921.1690655271786</v>
      </c>
      <c r="J632" s="3">
        <v>0.21940902975298518</v>
      </c>
      <c r="K632" s="3">
        <v>2.8672821081885846</v>
      </c>
      <c r="L632" s="3">
        <v>3.0866911379415698</v>
      </c>
      <c r="M632" s="3">
        <v>6.0018256139056821E-2</v>
      </c>
      <c r="N632" s="3">
        <v>0.78433085541619985</v>
      </c>
      <c r="O632" s="3">
        <v>0.84434911155525672</v>
      </c>
      <c r="P632" s="3">
        <v>2.3876803225856238E-2</v>
      </c>
      <c r="Q632" s="3">
        <v>0.31202695152206067</v>
      </c>
      <c r="R632" s="3">
        <v>0.33590375474791689</v>
      </c>
      <c r="S632" s="67"/>
      <c r="T632">
        <f>VLOOKUP(A632,'Groupe de branches'!$Z$27:$AM$86,14,FALSE)</f>
        <v>0</v>
      </c>
      <c r="U632">
        <f>VLOOKUP(D632,'Groupe de branches'!$Z$27:$AM$86,14,FALSE)</f>
        <v>0</v>
      </c>
      <c r="V632">
        <v>2017</v>
      </c>
      <c r="W632" t="str">
        <f>VLOOKUP(D632,'Table corresp.'!$M$4:$S$63,7,FALSE)</f>
        <v>Construction</v>
      </c>
      <c r="X632" s="167">
        <f>IFERROR(G632/SUMIFS('Comp2016-2017 (3)'!$I$5:$I$289,'Comp2016-2017 (3)'!$A$5:$A$289,A632,'Comp2016-2017 (3)'!$R$5:$R$289,V632),0)</f>
        <v>3.5092121897365026E-2</v>
      </c>
      <c r="Y632" s="190">
        <f>IFERROR(IF(RIGHT(F632,3)="Exp",VLOOKUP(F632,#REF!,2,FALSE),VLOOKUP(F632,#REF!,9,FALSE)),1)</f>
        <v>1</v>
      </c>
      <c r="Z632" s="167">
        <f t="shared" si="71"/>
        <v>0.2</v>
      </c>
      <c r="AA632" s="189">
        <f t="shared" si="69"/>
        <v>7.0184243794730056E-3</v>
      </c>
      <c r="AB632" s="2">
        <f>IFERROR(SUMIFS('Comp2016-2017 (3)'!$G$5:$G$289,'Comp2016-2017 (3)'!$A$5:$A$289,A632,'Comp2016-2017 (3)'!$R$5:$R$289,V632)*AA632/SUMIFS($AA$4:$AA$1116,$A$4:$A$1116,A632,$V$4:$V$1116,V632),0)</f>
        <v>356.62881349323777</v>
      </c>
      <c r="AC632" s="2" t="str">
        <f>IF($W632=AC$3,$AB632,IF(NOT($W632=0),"",SUMIFS('Val-Vol (2)'!AC$4:AC$1116,'Val-Vol (2)'!$A$4:$A$1116,$D632,'Val-Vol (2)'!$V$4:$V$1116,$V632)/SUMIFS('Comp2016-2017 (3)'!$G$5:$G$289,'Comp2016-2017 (3)'!$A$5:$A$289,$D632,'Comp2016-2017 (3)'!$R$5:$R$289,$V632)*$AB632))</f>
        <v/>
      </c>
      <c r="AD632" s="2">
        <f>IF($W632=AD$3,$AB632,IF(NOT($W632=0),"",SUMIFS('Val-Vol (2)'!AD$4:AD$1116,'Val-Vol (2)'!$A$4:$A$1116,$D632,'Val-Vol (2)'!$V$4:$V$1116,$V632)/SUMIFS('Comp2016-2017 (3)'!$G$5:$G$289,'Comp2016-2017 (3)'!$A$5:$A$289,$D632,'Comp2016-2017 (3)'!$R$5:$R$289,$V632)*$AB632))</f>
        <v>356.62881349323777</v>
      </c>
      <c r="AE632" s="2" t="str">
        <f>IF($W632=AE$3,$AB632,IF(NOT($W632=0),"",SUMIFS('Val-Vol (2)'!AE$4:AE$1116,'Val-Vol (2)'!$A$4:$A$1116,$D632,'Val-Vol (2)'!$V$4:$V$1116,$V632)/SUMIFS('Comp2016-2017 (3)'!$G$5:$G$289,'Comp2016-2017 (3)'!$A$5:$A$289,$D632,'Comp2016-2017 (3)'!$R$5:$R$289,$V632)*$AB632))</f>
        <v/>
      </c>
      <c r="AF632" s="2" t="str">
        <f>IF($W632=AF$3,$AB632,IF(NOT($W632=0),"",SUMIFS('Val-Vol (2)'!AF$4:AF$1116,'Val-Vol (2)'!$A$4:$A$1116,$D632,'Val-Vol (2)'!$V$4:$V$1116,$V632)/SUMIFS('Comp2016-2017 (3)'!$G$5:$G$289,'Comp2016-2017 (3)'!$A$5:$A$289,$D632,'Comp2016-2017 (3)'!$R$5:$R$289,$V632)*$AB632))</f>
        <v/>
      </c>
      <c r="AG632" s="2" t="str">
        <f>IF($W632=AG$3,$AB632,IF(NOT($W632=0),"",SUMIFS('Val-Vol (2)'!AG$4:AG$1116,'Val-Vol (2)'!$A$4:$A$1116,$D632,'Val-Vol (2)'!$V$4:$V$1116,$V632)/SUMIFS('Comp2016-2017 (3)'!$G$5:$G$289,'Comp2016-2017 (3)'!$A$5:$A$289,$D632,'Comp2016-2017 (3)'!$R$5:$R$289,$V632)*$AB632))</f>
        <v/>
      </c>
      <c r="AH632" s="2" t="str">
        <f>IF($W632=AH$3,$AB632,IF(NOT($W632=0),"",SUMIFS('Val-Vol (2)'!AH$4:AH$1116,'Val-Vol (2)'!$A$4:$A$1116,$D632,'Val-Vol (2)'!$V$4:$V$1116,$V632)/SUMIFS('Comp2016-2017 (3)'!$G$5:$G$289,'Comp2016-2017 (3)'!$A$5:$A$289,$D632,'Comp2016-2017 (3)'!$R$5:$R$289,$V632)*$AB632))</f>
        <v/>
      </c>
      <c r="AI632" s="2" t="str">
        <f>IF($W632=AI$3,$AB632,IF(NOT($W632=0),"",SUMIFS('Val-Vol (2)'!AI$4:AI$1116,'Val-Vol (2)'!$A$4:$A$1116,$D632,'Val-Vol (2)'!$V$4:$V$1116,$V632)/SUMIFS('Comp2016-2017 (3)'!$G$5:$G$289,'Comp2016-2017 (3)'!$A$5:$A$289,$D632,'Comp2016-2017 (3)'!$R$5:$R$289,$V632)*$AB632))</f>
        <v/>
      </c>
      <c r="AJ632" s="2" t="str">
        <f>IF($W632=AJ$3,$AB632,IF(NOT($W632=0),"",SUMIFS('Val-Vol (2)'!AJ$4:AJ$1116,'Val-Vol (2)'!$A$4:$A$1116,$D632,'Val-Vol (2)'!$V$4:$V$1116,$V632)/SUMIFS('Comp2016-2017 (3)'!$G$5:$G$289,'Comp2016-2017 (3)'!$A$5:$A$289,$D632,'Comp2016-2017 (3)'!$R$5:$R$289,$V632)*$AB632))</f>
        <v/>
      </c>
      <c r="AK632" s="2">
        <f t="shared" ref="AK632:AK695" si="72">SUM(AC632:AJ632)-AB632</f>
        <v>0</v>
      </c>
      <c r="AL632" t="str">
        <f t="shared" si="68"/>
        <v/>
      </c>
      <c r="AM632" t="str">
        <f>VLOOKUP(A632,'Table corresp.'!$M$4:$U$63,8,FALSE)</f>
        <v>Production finale</v>
      </c>
      <c r="AN632" t="str">
        <f>VLOOKUP(D632,'Table corresp.'!$M$4:$U$63,9,FALSE)</f>
        <v xml:space="preserve">Mise en œuvre </v>
      </c>
    </row>
    <row r="633" spans="1:40" x14ac:dyDescent="0.25">
      <c r="A633" t="s">
        <v>18</v>
      </c>
      <c r="B633" t="str">
        <f>VLOOKUP(LEFT(A633,3),'Table corresp.'!$A$4:$D$63,3,FALSE)</f>
        <v>Transformation</v>
      </c>
      <c r="C633" t="str">
        <f>VLOOKUP(A633,'Table corresp.'!$M$4:$P$63,4,FALSE)</f>
        <v>Production et transformation de produits bois</v>
      </c>
      <c r="D633" t="s">
        <v>26</v>
      </c>
      <c r="E633" t="str">
        <f>VLOOKUP(LEFT(D633,3),'Table corresp.'!$A$4:$D$63,4,FALSE)</f>
        <v>Transformation</v>
      </c>
      <c r="F633" t="str">
        <f t="shared" si="67"/>
        <v xml:space="preserve">39  - 59 </v>
      </c>
      <c r="G633" s="3">
        <v>14075.532542181159</v>
      </c>
      <c r="H633" s="3">
        <v>3033.9602341750197</v>
      </c>
      <c r="I633" s="3">
        <v>17109.602065819989</v>
      </c>
      <c r="J633" s="3">
        <v>3.963913104366275</v>
      </c>
      <c r="K633" s="3">
        <v>2.1823267339053594</v>
      </c>
      <c r="L633" s="3">
        <v>6.1462398382716348</v>
      </c>
      <c r="M633" s="3">
        <v>1.0843088467172901</v>
      </c>
      <c r="N633" s="3">
        <v>0.59696469667680629</v>
      </c>
      <c r="O633" s="3">
        <v>1.6812735433940964</v>
      </c>
      <c r="P633" s="3">
        <v>0.43136589822169241</v>
      </c>
      <c r="Q633" s="3">
        <v>0.23748788305862714</v>
      </c>
      <c r="R633" s="3">
        <v>0.66885378128031958</v>
      </c>
      <c r="S633" s="67" t="s">
        <v>192</v>
      </c>
      <c r="T633">
        <f>VLOOKUP(A633,'Groupe de branches'!$Z$27:$AM$86,14,FALSE)</f>
        <v>0</v>
      </c>
      <c r="U633">
        <f>VLOOKUP(D633,'Groupe de branches'!$Z$27:$AM$86,14,FALSE)</f>
        <v>0</v>
      </c>
      <c r="V633">
        <v>2017</v>
      </c>
      <c r="W633" t="str">
        <f>VLOOKUP(D633,'Table corresp.'!$M$4:$S$63,7,FALSE)</f>
        <v>Construction</v>
      </c>
      <c r="X633" s="167">
        <f>IFERROR(G633/SUMIFS('Comp2016-2017 (3)'!$I$5:$I$289,'Comp2016-2017 (3)'!$A$5:$A$289,A633,'Comp2016-2017 (3)'!$R$5:$R$289,V633),0)</f>
        <v>0.52832116802419871</v>
      </c>
      <c r="Y633" s="190">
        <f>IFERROR(IF(RIGHT(F633,3)="Exp",VLOOKUP(F633,#REF!,2,FALSE),VLOOKUP(F633,#REF!,9,FALSE)),1)</f>
        <v>1</v>
      </c>
      <c r="Z633" s="167">
        <f t="shared" si="71"/>
        <v>0.2</v>
      </c>
      <c r="AA633" s="189">
        <f t="shared" si="69"/>
        <v>0.10566423360483974</v>
      </c>
      <c r="AB633" s="2">
        <f>IFERROR(SUMIFS('Comp2016-2017 (3)'!$G$5:$G$289,'Comp2016-2017 (3)'!$A$5:$A$289,A633,'Comp2016-2017 (3)'!$R$5:$R$289,V633)*AA633/SUMIFS($AA$4:$AA$1116,$A$4:$A$1116,A633,$V$4:$V$1116,V633),0)</f>
        <v>5369.1410239281959</v>
      </c>
      <c r="AC633" s="2" t="str">
        <f>IF($W633=AC$3,$AB633,IF(NOT($W633=0),"",SUMIFS('Val-Vol (2)'!AC$4:AC$1116,'Val-Vol (2)'!$A$4:$A$1116,$D633,'Val-Vol (2)'!$V$4:$V$1116,$V633)/SUMIFS('Comp2016-2017 (3)'!$G$5:$G$289,'Comp2016-2017 (3)'!$A$5:$A$289,$D633,'Comp2016-2017 (3)'!$R$5:$R$289,$V633)*$AB633))</f>
        <v/>
      </c>
      <c r="AD633" s="2">
        <f>IF($W633=AD$3,$AB633,IF(NOT($W633=0),"",SUMIFS('Val-Vol (2)'!AD$4:AD$1116,'Val-Vol (2)'!$A$4:$A$1116,$D633,'Val-Vol (2)'!$V$4:$V$1116,$V633)/SUMIFS('Comp2016-2017 (3)'!$G$5:$G$289,'Comp2016-2017 (3)'!$A$5:$A$289,$D633,'Comp2016-2017 (3)'!$R$5:$R$289,$V633)*$AB633))</f>
        <v>5369.1410239281959</v>
      </c>
      <c r="AE633" s="2" t="str">
        <f>IF($W633=AE$3,$AB633,IF(NOT($W633=0),"",SUMIFS('Val-Vol (2)'!AE$4:AE$1116,'Val-Vol (2)'!$A$4:$A$1116,$D633,'Val-Vol (2)'!$V$4:$V$1116,$V633)/SUMIFS('Comp2016-2017 (3)'!$G$5:$G$289,'Comp2016-2017 (3)'!$A$5:$A$289,$D633,'Comp2016-2017 (3)'!$R$5:$R$289,$V633)*$AB633))</f>
        <v/>
      </c>
      <c r="AF633" s="2" t="str">
        <f>IF($W633=AF$3,$AB633,IF(NOT($W633=0),"",SUMIFS('Val-Vol (2)'!AF$4:AF$1116,'Val-Vol (2)'!$A$4:$A$1116,$D633,'Val-Vol (2)'!$V$4:$V$1116,$V633)/SUMIFS('Comp2016-2017 (3)'!$G$5:$G$289,'Comp2016-2017 (3)'!$A$5:$A$289,$D633,'Comp2016-2017 (3)'!$R$5:$R$289,$V633)*$AB633))</f>
        <v/>
      </c>
      <c r="AG633" s="2" t="str">
        <f>IF($W633=AG$3,$AB633,IF(NOT($W633=0),"",SUMIFS('Val-Vol (2)'!AG$4:AG$1116,'Val-Vol (2)'!$A$4:$A$1116,$D633,'Val-Vol (2)'!$V$4:$V$1116,$V633)/SUMIFS('Comp2016-2017 (3)'!$G$5:$G$289,'Comp2016-2017 (3)'!$A$5:$A$289,$D633,'Comp2016-2017 (3)'!$R$5:$R$289,$V633)*$AB633))</f>
        <v/>
      </c>
      <c r="AH633" s="2" t="str">
        <f>IF($W633=AH$3,$AB633,IF(NOT($W633=0),"",SUMIFS('Val-Vol (2)'!AH$4:AH$1116,'Val-Vol (2)'!$A$4:$A$1116,$D633,'Val-Vol (2)'!$V$4:$V$1116,$V633)/SUMIFS('Comp2016-2017 (3)'!$G$5:$G$289,'Comp2016-2017 (3)'!$A$5:$A$289,$D633,'Comp2016-2017 (3)'!$R$5:$R$289,$V633)*$AB633))</f>
        <v/>
      </c>
      <c r="AI633" s="2" t="str">
        <f>IF($W633=AI$3,$AB633,IF(NOT($W633=0),"",SUMIFS('Val-Vol (2)'!AI$4:AI$1116,'Val-Vol (2)'!$A$4:$A$1116,$D633,'Val-Vol (2)'!$V$4:$V$1116,$V633)/SUMIFS('Comp2016-2017 (3)'!$G$5:$G$289,'Comp2016-2017 (3)'!$A$5:$A$289,$D633,'Comp2016-2017 (3)'!$R$5:$R$289,$V633)*$AB633))</f>
        <v/>
      </c>
      <c r="AJ633" s="2" t="str">
        <f>IF($W633=AJ$3,$AB633,IF(NOT($W633=0),"",SUMIFS('Val-Vol (2)'!AJ$4:AJ$1116,'Val-Vol (2)'!$A$4:$A$1116,$D633,'Val-Vol (2)'!$V$4:$V$1116,$V633)/SUMIFS('Comp2016-2017 (3)'!$G$5:$G$289,'Comp2016-2017 (3)'!$A$5:$A$289,$D633,'Comp2016-2017 (3)'!$R$5:$R$289,$V633)*$AB633))</f>
        <v/>
      </c>
      <c r="AK633" s="2">
        <f t="shared" si="72"/>
        <v>0</v>
      </c>
      <c r="AL633" t="str">
        <f t="shared" si="68"/>
        <v/>
      </c>
      <c r="AM633" t="str">
        <f>VLOOKUP(A633,'Table corresp.'!$M$4:$U$63,8,FALSE)</f>
        <v>Production finale</v>
      </c>
      <c r="AN633" t="str">
        <f>VLOOKUP(D633,'Table corresp.'!$M$4:$U$63,9,FALSE)</f>
        <v xml:space="preserve">Mise en œuvre </v>
      </c>
    </row>
    <row r="634" spans="1:40" x14ac:dyDescent="0.25">
      <c r="A634" t="s">
        <v>18</v>
      </c>
      <c r="B634" t="str">
        <f>VLOOKUP(LEFT(A634,3),'Table corresp.'!$A$4:$D$63,3,FALSE)</f>
        <v>Transformation</v>
      </c>
      <c r="C634" t="str">
        <f>VLOOKUP(A634,'Table corresp.'!$M$4:$P$63,4,FALSE)</f>
        <v>Production et transformation de produits bois</v>
      </c>
      <c r="D634" t="s">
        <v>54</v>
      </c>
      <c r="E634" t="str">
        <f>VLOOKUP(LEFT(D634,3),'Table corresp.'!$A$4:$D$63,4,FALSE)</f>
        <v>Consommation finale</v>
      </c>
      <c r="F634" t="str">
        <f t="shared" si="67"/>
        <v>39  - Con</v>
      </c>
      <c r="G634" s="3">
        <v>284.14561499605674</v>
      </c>
      <c r="H634" s="3">
        <v>0</v>
      </c>
      <c r="I634" s="3">
        <v>284.14743001899825</v>
      </c>
      <c r="J634" s="3">
        <v>0.33115774028524908</v>
      </c>
      <c r="K634" s="3">
        <v>0</v>
      </c>
      <c r="L634" s="3">
        <v>0.33115774028524908</v>
      </c>
      <c r="M634" s="3">
        <v>9.0586563831249606E-2</v>
      </c>
      <c r="N634" s="3">
        <v>0</v>
      </c>
      <c r="O634" s="3">
        <v>9.0586563831249606E-2</v>
      </c>
      <c r="P634" s="3">
        <v>3.6037660849291088E-2</v>
      </c>
      <c r="Q634" s="3">
        <v>0</v>
      </c>
      <c r="R634" s="3">
        <v>3.6037660849291088E-2</v>
      </c>
      <c r="S634" s="67"/>
      <c r="T634">
        <f>VLOOKUP(A634,'Groupe de branches'!$Z$27:$AM$86,14,FALSE)</f>
        <v>0</v>
      </c>
      <c r="U634">
        <f>VLOOKUP(D634,'Groupe de branches'!$Z$27:$AM$86,14,FALSE)</f>
        <v>0</v>
      </c>
      <c r="V634">
        <v>2017</v>
      </c>
      <c r="W634" t="str">
        <f>VLOOKUP(D634,'Table corresp.'!$M$4:$S$63,7,FALSE)</f>
        <v>Consommation finale</v>
      </c>
      <c r="X634" s="167">
        <f>IFERROR(G634/SUMIFS('Comp2016-2017 (3)'!$I$5:$I$289,'Comp2016-2017 (3)'!$A$5:$A$289,A634,'Comp2016-2017 (3)'!$R$5:$R$289,V634),0)</f>
        <v>1.0665326001257511E-2</v>
      </c>
      <c r="Y634" s="190">
        <f>IFERROR(IF(RIGHT(F634,3)="Exp",VLOOKUP(F634,#REF!,2,FALSE),VLOOKUP(F634,#REF!,9,FALSE)),1)</f>
        <v>1</v>
      </c>
      <c r="Z634" s="167">
        <f t="shared" si="71"/>
        <v>0.2</v>
      </c>
      <c r="AA634" s="189">
        <f t="shared" si="69"/>
        <v>2.1330652002515024E-3</v>
      </c>
      <c r="AB634" s="2">
        <f>IFERROR(SUMIFS('Comp2016-2017 (3)'!$G$5:$G$289,'Comp2016-2017 (3)'!$A$5:$A$289,A634,'Comp2016-2017 (3)'!$R$5:$R$289,V634)*AA634/SUMIFS($AA$4:$AA$1116,$A$4:$A$1116,A634,$V$4:$V$1116,V634),0)</f>
        <v>108.38793300876583</v>
      </c>
      <c r="AC634" s="2" t="str">
        <f>IF($W634=AC$3,$AB634,IF(NOT($W634=0),"",SUMIFS('Val-Vol (2)'!AC$4:AC$1116,'Val-Vol (2)'!$A$4:$A$1116,$D634,'Val-Vol (2)'!$V$4:$V$1116,$V634)/SUMIFS('Comp2016-2017 (3)'!$G$5:$G$289,'Comp2016-2017 (3)'!$A$5:$A$289,$D634,'Comp2016-2017 (3)'!$R$5:$R$289,$V634)*$AB634))</f>
        <v/>
      </c>
      <c r="AD634" s="2" t="str">
        <f>IF($W634=AD$3,$AB634,IF(NOT($W634=0),"",SUMIFS('Val-Vol (2)'!AD$4:AD$1116,'Val-Vol (2)'!$A$4:$A$1116,$D634,'Val-Vol (2)'!$V$4:$V$1116,$V634)/SUMIFS('Comp2016-2017 (3)'!$G$5:$G$289,'Comp2016-2017 (3)'!$A$5:$A$289,$D634,'Comp2016-2017 (3)'!$R$5:$R$289,$V634)*$AB634))</f>
        <v/>
      </c>
      <c r="AE634" s="2" t="str">
        <f>IF($W634=AE$3,$AB634,IF(NOT($W634=0),"",SUMIFS('Val-Vol (2)'!AE$4:AE$1116,'Val-Vol (2)'!$A$4:$A$1116,$D634,'Val-Vol (2)'!$V$4:$V$1116,$V634)/SUMIFS('Comp2016-2017 (3)'!$G$5:$G$289,'Comp2016-2017 (3)'!$A$5:$A$289,$D634,'Comp2016-2017 (3)'!$R$5:$R$289,$V634)*$AB634))</f>
        <v/>
      </c>
      <c r="AF634" s="2" t="str">
        <f>IF($W634=AF$3,$AB634,IF(NOT($W634=0),"",SUMIFS('Val-Vol (2)'!AF$4:AF$1116,'Val-Vol (2)'!$A$4:$A$1116,$D634,'Val-Vol (2)'!$V$4:$V$1116,$V634)/SUMIFS('Comp2016-2017 (3)'!$G$5:$G$289,'Comp2016-2017 (3)'!$A$5:$A$289,$D634,'Comp2016-2017 (3)'!$R$5:$R$289,$V634)*$AB634))</f>
        <v/>
      </c>
      <c r="AG634" s="2" t="str">
        <f>IF($W634=AG$3,$AB634,IF(NOT($W634=0),"",SUMIFS('Val-Vol (2)'!AG$4:AG$1116,'Val-Vol (2)'!$A$4:$A$1116,$D634,'Val-Vol (2)'!$V$4:$V$1116,$V634)/SUMIFS('Comp2016-2017 (3)'!$G$5:$G$289,'Comp2016-2017 (3)'!$A$5:$A$289,$D634,'Comp2016-2017 (3)'!$R$5:$R$289,$V634)*$AB634))</f>
        <v/>
      </c>
      <c r="AH634" s="2" t="str">
        <f>IF($W634=AH$3,$AB634,IF(NOT($W634=0),"",SUMIFS('Val-Vol (2)'!AH$4:AH$1116,'Val-Vol (2)'!$A$4:$A$1116,$D634,'Val-Vol (2)'!$V$4:$V$1116,$V634)/SUMIFS('Comp2016-2017 (3)'!$G$5:$G$289,'Comp2016-2017 (3)'!$A$5:$A$289,$D634,'Comp2016-2017 (3)'!$R$5:$R$289,$V634)*$AB634))</f>
        <v/>
      </c>
      <c r="AI634" s="2" t="str">
        <f>IF($W634=AI$3,$AB634,IF(NOT($W634=0),"",SUMIFS('Val-Vol (2)'!AI$4:AI$1116,'Val-Vol (2)'!$A$4:$A$1116,$D634,'Val-Vol (2)'!$V$4:$V$1116,$V634)/SUMIFS('Comp2016-2017 (3)'!$G$5:$G$289,'Comp2016-2017 (3)'!$A$5:$A$289,$D634,'Comp2016-2017 (3)'!$R$5:$R$289,$V634)*$AB634))</f>
        <v/>
      </c>
      <c r="AJ634" s="2">
        <f>IF($W634=AJ$3,$AB634,IF(NOT($W634=0),"",SUMIFS('Val-Vol (2)'!AJ$4:AJ$1116,'Val-Vol (2)'!$A$4:$A$1116,$D634,'Val-Vol (2)'!$V$4:$V$1116,$V634)/SUMIFS('Comp2016-2017 (3)'!$G$5:$G$289,'Comp2016-2017 (3)'!$A$5:$A$289,$D634,'Comp2016-2017 (3)'!$R$5:$R$289,$V634)*$AB634))</f>
        <v>108.38793300876583</v>
      </c>
      <c r="AK634" s="2">
        <f t="shared" si="72"/>
        <v>0</v>
      </c>
      <c r="AL634" t="str">
        <f t="shared" si="68"/>
        <v/>
      </c>
      <c r="AM634" t="str">
        <f>VLOOKUP(A634,'Table corresp.'!$M$4:$U$63,8,FALSE)</f>
        <v>Production finale</v>
      </c>
      <c r="AN634" t="str">
        <f>VLOOKUP(D634,'Table corresp.'!$M$4:$U$63,9,FALSE)</f>
        <v>Consommation finale française</v>
      </c>
    </row>
    <row r="635" spans="1:40" x14ac:dyDescent="0.25">
      <c r="A635" t="s">
        <v>18</v>
      </c>
      <c r="B635" t="str">
        <f>VLOOKUP(LEFT(A635,3),'Table corresp.'!$A$4:$D$63,3,FALSE)</f>
        <v>Transformation</v>
      </c>
      <c r="C635" t="str">
        <f>VLOOKUP(A635,'Table corresp.'!$M$4:$P$63,4,FALSE)</f>
        <v>Production et transformation de produits bois</v>
      </c>
      <c r="D635" t="s">
        <v>53</v>
      </c>
      <c r="E635" t="str">
        <f>VLOOKUP(LEFT(D635,3),'Table corresp.'!$A$4:$D$63,4,FALSE)</f>
        <v>Exportation</v>
      </c>
      <c r="F635" t="str">
        <f t="shared" si="67"/>
        <v>39  - Exp</v>
      </c>
      <c r="G635" s="3">
        <v>2912.9193932883472</v>
      </c>
      <c r="H635" s="3">
        <v>0</v>
      </c>
      <c r="I635" s="3">
        <v>2912.9380000000001</v>
      </c>
      <c r="J635" s="3">
        <v>3.7436110444697981</v>
      </c>
      <c r="K635" s="3">
        <v>0</v>
      </c>
      <c r="L635" s="3">
        <v>3.7436110444697981</v>
      </c>
      <c r="M635" s="3">
        <v>1.0240463065943319</v>
      </c>
      <c r="N635" s="3">
        <v>0</v>
      </c>
      <c r="O635" s="3">
        <v>1.0240463065943319</v>
      </c>
      <c r="P635" s="3">
        <v>0.4073919125551913</v>
      </c>
      <c r="Q635" s="3">
        <v>0</v>
      </c>
      <c r="R635" s="3">
        <v>0.4073919125551913</v>
      </c>
      <c r="S635" s="67"/>
      <c r="T635">
        <f>VLOOKUP(A635,'Groupe de branches'!$Z$27:$AM$86,14,FALSE)</f>
        <v>0</v>
      </c>
      <c r="U635">
        <f>VLOOKUP(D635,'Groupe de branches'!$Z$27:$AM$86,14,FALSE)</f>
        <v>0</v>
      </c>
      <c r="V635">
        <v>2017</v>
      </c>
      <c r="W635" t="str">
        <f>VLOOKUP(D635,'Table corresp.'!$M$4:$S$63,7,FALSE)</f>
        <v>Exportation</v>
      </c>
      <c r="X635" s="167">
        <f>IFERROR(G635/SUMIFS('Comp2016-2017 (3)'!$I$5:$I$289,'Comp2016-2017 (3)'!$A$5:$A$289,A635,'Comp2016-2017 (3)'!$R$5:$R$289,V635),0)</f>
        <v>0.1093356128168179</v>
      </c>
      <c r="Y635" s="190">
        <f>IFERROR(IF(RIGHT(F635,3)="Exp",VLOOKUP(F635,#REF!,2,FALSE),VLOOKUP(F635,#REF!,9,FALSE)),1)</f>
        <v>1</v>
      </c>
      <c r="Z635" s="167">
        <f t="shared" si="71"/>
        <v>0.2</v>
      </c>
      <c r="AA635" s="189">
        <f t="shared" si="69"/>
        <v>2.1867122563363581E-2</v>
      </c>
      <c r="AB635" s="2">
        <f>IFERROR(SUMIFS('Comp2016-2017 (3)'!$G$5:$G$289,'Comp2016-2017 (3)'!$A$5:$A$289,A635,'Comp2016-2017 (3)'!$R$5:$R$289,V635)*AA635/SUMIFS($AA$4:$AA$1116,$A$4:$A$1116,A635,$V$4:$V$1116,V635),0)</f>
        <v>1111.1391321807084</v>
      </c>
      <c r="AC635" s="2">
        <f>IF($W635=AC$3,$AB635,IF(NOT($W635=0),"",SUMIFS('Val-Vol (2)'!AC$4:AC$1116,'Val-Vol (2)'!$A$4:$A$1116,$D635,'Val-Vol (2)'!$V$4:$V$1116,$V635)/SUMIFS('Comp2016-2017 (3)'!$G$5:$G$289,'Comp2016-2017 (3)'!$A$5:$A$289,$D635,'Comp2016-2017 (3)'!$R$5:$R$289,$V635)*$AB635))</f>
        <v>1111.1391321807084</v>
      </c>
      <c r="AD635" s="2" t="str">
        <f>IF($W635=AD$3,$AB635,IF(NOT($W635=0),"",SUMIFS('Val-Vol (2)'!AD$4:AD$1116,'Val-Vol (2)'!$A$4:$A$1116,$D635,'Val-Vol (2)'!$V$4:$V$1116,$V635)/SUMIFS('Comp2016-2017 (3)'!$G$5:$G$289,'Comp2016-2017 (3)'!$A$5:$A$289,$D635,'Comp2016-2017 (3)'!$R$5:$R$289,$V635)*$AB635))</f>
        <v/>
      </c>
      <c r="AE635" s="2" t="str">
        <f>IF($W635=AE$3,$AB635,IF(NOT($W635=0),"",SUMIFS('Val-Vol (2)'!AE$4:AE$1116,'Val-Vol (2)'!$A$4:$A$1116,$D635,'Val-Vol (2)'!$V$4:$V$1116,$V635)/SUMIFS('Comp2016-2017 (3)'!$G$5:$G$289,'Comp2016-2017 (3)'!$A$5:$A$289,$D635,'Comp2016-2017 (3)'!$R$5:$R$289,$V635)*$AB635))</f>
        <v/>
      </c>
      <c r="AF635" s="2" t="str">
        <f>IF($W635=AF$3,$AB635,IF(NOT($W635=0),"",SUMIFS('Val-Vol (2)'!AF$4:AF$1116,'Val-Vol (2)'!$A$4:$A$1116,$D635,'Val-Vol (2)'!$V$4:$V$1116,$V635)/SUMIFS('Comp2016-2017 (3)'!$G$5:$G$289,'Comp2016-2017 (3)'!$A$5:$A$289,$D635,'Comp2016-2017 (3)'!$R$5:$R$289,$V635)*$AB635))</f>
        <v/>
      </c>
      <c r="AG635" s="2" t="str">
        <f>IF($W635=AG$3,$AB635,IF(NOT($W635=0),"",SUMIFS('Val-Vol (2)'!AG$4:AG$1116,'Val-Vol (2)'!$A$4:$A$1116,$D635,'Val-Vol (2)'!$V$4:$V$1116,$V635)/SUMIFS('Comp2016-2017 (3)'!$G$5:$G$289,'Comp2016-2017 (3)'!$A$5:$A$289,$D635,'Comp2016-2017 (3)'!$R$5:$R$289,$V635)*$AB635))</f>
        <v/>
      </c>
      <c r="AH635" s="2" t="str">
        <f>IF($W635=AH$3,$AB635,IF(NOT($W635=0),"",SUMIFS('Val-Vol (2)'!AH$4:AH$1116,'Val-Vol (2)'!$A$4:$A$1116,$D635,'Val-Vol (2)'!$V$4:$V$1116,$V635)/SUMIFS('Comp2016-2017 (3)'!$G$5:$G$289,'Comp2016-2017 (3)'!$A$5:$A$289,$D635,'Comp2016-2017 (3)'!$R$5:$R$289,$V635)*$AB635))</f>
        <v/>
      </c>
      <c r="AI635" s="2" t="str">
        <f>IF($W635=AI$3,$AB635,IF(NOT($W635=0),"",SUMIFS('Val-Vol (2)'!AI$4:AI$1116,'Val-Vol (2)'!$A$4:$A$1116,$D635,'Val-Vol (2)'!$V$4:$V$1116,$V635)/SUMIFS('Comp2016-2017 (3)'!$G$5:$G$289,'Comp2016-2017 (3)'!$A$5:$A$289,$D635,'Comp2016-2017 (3)'!$R$5:$R$289,$V635)*$AB635))</f>
        <v/>
      </c>
      <c r="AJ635" s="2" t="str">
        <f>IF($W635=AJ$3,$AB635,IF(NOT($W635=0),"",SUMIFS('Val-Vol (2)'!AJ$4:AJ$1116,'Val-Vol (2)'!$A$4:$A$1116,$D635,'Val-Vol (2)'!$V$4:$V$1116,$V635)/SUMIFS('Comp2016-2017 (3)'!$G$5:$G$289,'Comp2016-2017 (3)'!$A$5:$A$289,$D635,'Comp2016-2017 (3)'!$R$5:$R$289,$V635)*$AB635))</f>
        <v/>
      </c>
      <c r="AK635" s="2">
        <f t="shared" si="72"/>
        <v>0</v>
      </c>
      <c r="AL635" t="str">
        <f t="shared" si="68"/>
        <v/>
      </c>
      <c r="AM635" t="str">
        <f>VLOOKUP(A635,'Table corresp.'!$M$4:$U$63,8,FALSE)</f>
        <v>Production finale</v>
      </c>
      <c r="AN635" t="str">
        <f>VLOOKUP(D635,'Table corresp.'!$M$4:$U$63,9,FALSE)</f>
        <v>Exportation</v>
      </c>
    </row>
    <row r="636" spans="1:40" x14ac:dyDescent="0.25">
      <c r="A636" t="s">
        <v>92</v>
      </c>
      <c r="B636" t="str">
        <f>VLOOKUP(LEFT(A636,3),'Table corresp.'!$A$4:$D$63,3,FALSE)</f>
        <v>Transformation</v>
      </c>
      <c r="C636" t="str">
        <f>VLOOKUP(A636,'Table corresp.'!$M$4:$P$63,4,FALSE)</f>
        <v>Production et transformation de produits bois</v>
      </c>
      <c r="D636" t="s">
        <v>54</v>
      </c>
      <c r="E636" t="str">
        <f>VLOOKUP(LEFT(D636,3),'Table corresp.'!$A$4:$D$63,4,FALSE)</f>
        <v>Consommation finale</v>
      </c>
      <c r="F636" t="str">
        <f t="shared" si="67"/>
        <v>40  - Con</v>
      </c>
      <c r="G636" s="3">
        <v>171084.91937949267</v>
      </c>
      <c r="H636" s="3">
        <v>206862.76954545444</v>
      </c>
      <c r="I636" s="3">
        <v>377947.70208145271</v>
      </c>
      <c r="J636" s="3">
        <v>441.67462239338181</v>
      </c>
      <c r="K636" s="3">
        <v>534.0391043142514</v>
      </c>
      <c r="L636" s="3">
        <v>975.71372670763321</v>
      </c>
      <c r="M636" s="3">
        <v>0</v>
      </c>
      <c r="N636" s="3">
        <v>0</v>
      </c>
      <c r="O636" s="3">
        <v>0</v>
      </c>
      <c r="P636" s="3">
        <v>0</v>
      </c>
      <c r="Q636" s="3">
        <v>0</v>
      </c>
      <c r="R636" s="3">
        <v>0</v>
      </c>
      <c r="S636" s="67"/>
      <c r="T636">
        <f>VLOOKUP(A636,'Groupe de branches'!$Z$27:$AM$86,14,FALSE)</f>
        <v>0</v>
      </c>
      <c r="U636">
        <f>VLOOKUP(D636,'Groupe de branches'!$Z$27:$AM$86,14,FALSE)</f>
        <v>0</v>
      </c>
      <c r="V636">
        <v>2017</v>
      </c>
      <c r="W636" t="str">
        <f>VLOOKUP(D636,'Table corresp.'!$M$4:$S$63,7,FALSE)</f>
        <v>Consommation finale</v>
      </c>
      <c r="X636" s="167">
        <f>IFERROR(G636/SUMIFS('Comp2016-2017 (3)'!$I$5:$I$289,'Comp2016-2017 (3)'!$A$5:$A$289,A636,'Comp2016-2017 (3)'!$R$5:$R$289,V636),0)</f>
        <v>0.95831920572907825</v>
      </c>
      <c r="Y636" s="190">
        <f>IFERROR(IF(RIGHT(F636,3)="Exp",VLOOKUP(F636,#REF!,2,FALSE),VLOOKUP(F636,#REF!,9,FALSE)),1)</f>
        <v>1</v>
      </c>
      <c r="Z636" s="167">
        <f t="shared" si="71"/>
        <v>0.5</v>
      </c>
      <c r="AA636" s="189">
        <f t="shared" si="69"/>
        <v>0.47915960286453912</v>
      </c>
      <c r="AB636" s="2">
        <f>IFERROR(SUMIFS('Comp2016-2017 (3)'!$G$5:$G$289,'Comp2016-2017 (3)'!$A$5:$A$289,A636,'Comp2016-2017 (3)'!$R$5:$R$289,V636)*AA636/SUMIFS($AA$4:$AA$1116,$A$4:$A$1116,A636,$V$4:$V$1116,V636),0)</f>
        <v>46566.904417445432</v>
      </c>
      <c r="AC636" s="2" t="str">
        <f>IF($W636=AC$3,$AB636,IF(NOT($W636=0),"",SUMIFS('Val-Vol (2)'!AC$4:AC$1116,'Val-Vol (2)'!$A$4:$A$1116,$D636,'Val-Vol (2)'!$V$4:$V$1116,$V636)/SUMIFS('Comp2016-2017 (3)'!$G$5:$G$289,'Comp2016-2017 (3)'!$A$5:$A$289,$D636,'Comp2016-2017 (3)'!$R$5:$R$289,$V636)*$AB636))</f>
        <v/>
      </c>
      <c r="AD636" s="2" t="str">
        <f>IF($W636=AD$3,$AB636,IF(NOT($W636=0),"",SUMIFS('Val-Vol (2)'!AD$4:AD$1116,'Val-Vol (2)'!$A$4:$A$1116,$D636,'Val-Vol (2)'!$V$4:$V$1116,$V636)/SUMIFS('Comp2016-2017 (3)'!$G$5:$G$289,'Comp2016-2017 (3)'!$A$5:$A$289,$D636,'Comp2016-2017 (3)'!$R$5:$R$289,$V636)*$AB636))</f>
        <v/>
      </c>
      <c r="AE636" s="2" t="str">
        <f>IF($W636=AE$3,$AB636,IF(NOT($W636=0),"",SUMIFS('Val-Vol (2)'!AE$4:AE$1116,'Val-Vol (2)'!$A$4:$A$1116,$D636,'Val-Vol (2)'!$V$4:$V$1116,$V636)/SUMIFS('Comp2016-2017 (3)'!$G$5:$G$289,'Comp2016-2017 (3)'!$A$5:$A$289,$D636,'Comp2016-2017 (3)'!$R$5:$R$289,$V636)*$AB636))</f>
        <v/>
      </c>
      <c r="AF636" s="2" t="str">
        <f>IF($W636=AF$3,$AB636,IF(NOT($W636=0),"",SUMIFS('Val-Vol (2)'!AF$4:AF$1116,'Val-Vol (2)'!$A$4:$A$1116,$D636,'Val-Vol (2)'!$V$4:$V$1116,$V636)/SUMIFS('Comp2016-2017 (3)'!$G$5:$G$289,'Comp2016-2017 (3)'!$A$5:$A$289,$D636,'Comp2016-2017 (3)'!$R$5:$R$289,$V636)*$AB636))</f>
        <v/>
      </c>
      <c r="AG636" s="2" t="str">
        <f>IF($W636=AG$3,$AB636,IF(NOT($W636=0),"",SUMIFS('Val-Vol (2)'!AG$4:AG$1116,'Val-Vol (2)'!$A$4:$A$1116,$D636,'Val-Vol (2)'!$V$4:$V$1116,$V636)/SUMIFS('Comp2016-2017 (3)'!$G$5:$G$289,'Comp2016-2017 (3)'!$A$5:$A$289,$D636,'Comp2016-2017 (3)'!$R$5:$R$289,$V636)*$AB636))</f>
        <v/>
      </c>
      <c r="AH636" s="2" t="str">
        <f>IF($W636=AH$3,$AB636,IF(NOT($W636=0),"",SUMIFS('Val-Vol (2)'!AH$4:AH$1116,'Val-Vol (2)'!$A$4:$A$1116,$D636,'Val-Vol (2)'!$V$4:$V$1116,$V636)/SUMIFS('Comp2016-2017 (3)'!$G$5:$G$289,'Comp2016-2017 (3)'!$A$5:$A$289,$D636,'Comp2016-2017 (3)'!$R$5:$R$289,$V636)*$AB636))</f>
        <v/>
      </c>
      <c r="AI636" s="2" t="str">
        <f>IF($W636=AI$3,$AB636,IF(NOT($W636=0),"",SUMIFS('Val-Vol (2)'!AI$4:AI$1116,'Val-Vol (2)'!$A$4:$A$1116,$D636,'Val-Vol (2)'!$V$4:$V$1116,$V636)/SUMIFS('Comp2016-2017 (3)'!$G$5:$G$289,'Comp2016-2017 (3)'!$A$5:$A$289,$D636,'Comp2016-2017 (3)'!$R$5:$R$289,$V636)*$AB636))</f>
        <v/>
      </c>
      <c r="AJ636" s="2">
        <f>IF($W636=AJ$3,$AB636,IF(NOT($W636=0),"",SUMIFS('Val-Vol (2)'!AJ$4:AJ$1116,'Val-Vol (2)'!$A$4:$A$1116,$D636,'Val-Vol (2)'!$V$4:$V$1116,$V636)/SUMIFS('Comp2016-2017 (3)'!$G$5:$G$289,'Comp2016-2017 (3)'!$A$5:$A$289,$D636,'Comp2016-2017 (3)'!$R$5:$R$289,$V636)*$AB636))</f>
        <v>46566.904417445432</v>
      </c>
      <c r="AK636" s="2">
        <f t="shared" si="72"/>
        <v>0</v>
      </c>
      <c r="AL636" t="str">
        <f t="shared" si="68"/>
        <v/>
      </c>
      <c r="AM636" t="str">
        <f>VLOOKUP(A636,'Table corresp.'!$M$4:$U$63,8,FALSE)</f>
        <v>Production finale</v>
      </c>
      <c r="AN636" t="str">
        <f>VLOOKUP(D636,'Table corresp.'!$M$4:$U$63,9,FALSE)</f>
        <v>Consommation finale française</v>
      </c>
    </row>
    <row r="637" spans="1:40" x14ac:dyDescent="0.25">
      <c r="A637" t="s">
        <v>92</v>
      </c>
      <c r="B637" t="str">
        <f>VLOOKUP(LEFT(A637,3),'Table corresp.'!$A$4:$D$63,3,FALSE)</f>
        <v>Transformation</v>
      </c>
      <c r="C637" t="str">
        <f>VLOOKUP(A637,'Table corresp.'!$M$4:$P$63,4,FALSE)</f>
        <v>Production et transformation de produits bois</v>
      </c>
      <c r="D637" t="s">
        <v>53</v>
      </c>
      <c r="E637" t="str">
        <f>VLOOKUP(LEFT(D637,3),'Table corresp.'!$A$4:$D$63,4,FALSE)</f>
        <v>Exportation</v>
      </c>
      <c r="F637" t="str">
        <f t="shared" si="67"/>
        <v>40  - Exp</v>
      </c>
      <c r="G637" s="3">
        <v>7441.1065591540128</v>
      </c>
      <c r="H637" s="3">
        <v>0</v>
      </c>
      <c r="I637" s="3">
        <v>7441.1068181818173</v>
      </c>
      <c r="J637" s="3">
        <v>19.210038743468655</v>
      </c>
      <c r="K637" s="3">
        <v>0</v>
      </c>
      <c r="L637" s="3">
        <v>19.210038743468655</v>
      </c>
      <c r="M637" s="3">
        <v>0</v>
      </c>
      <c r="N637" s="3">
        <v>0</v>
      </c>
      <c r="O637" s="3">
        <v>0</v>
      </c>
      <c r="P637" s="3">
        <v>0</v>
      </c>
      <c r="Q637" s="3">
        <v>0</v>
      </c>
      <c r="R637" s="3">
        <v>0</v>
      </c>
      <c r="S637" s="67"/>
      <c r="T637">
        <f>VLOOKUP(A637,'Groupe de branches'!$Z$27:$AM$86,14,FALSE)</f>
        <v>0</v>
      </c>
      <c r="U637">
        <f>VLOOKUP(D637,'Groupe de branches'!$Z$27:$AM$86,14,FALSE)</f>
        <v>0</v>
      </c>
      <c r="V637">
        <v>2017</v>
      </c>
      <c r="W637" t="str">
        <f>VLOOKUP(D637,'Table corresp.'!$M$4:$S$63,7,FALSE)</f>
        <v>Exportation</v>
      </c>
      <c r="X637" s="167">
        <f>IFERROR(G637/SUMIFS('Comp2016-2017 (3)'!$I$5:$I$289,'Comp2016-2017 (3)'!$A$5:$A$289,A637,'Comp2016-2017 (3)'!$R$5:$R$289,V637),0)</f>
        <v>4.1680794270921986E-2</v>
      </c>
      <c r="Y637" s="190">
        <f>IFERROR(IF(RIGHT(F637,3)="Exp",VLOOKUP(F637,#REF!,2,FALSE),VLOOKUP(F637,#REF!,9,FALSE)),1)</f>
        <v>1</v>
      </c>
      <c r="Z637" s="167">
        <f t="shared" si="71"/>
        <v>0.5</v>
      </c>
      <c r="AA637" s="189">
        <f t="shared" si="69"/>
        <v>2.0840397135460993E-2</v>
      </c>
      <c r="AB637" s="2">
        <f>IFERROR(SUMIFS('Comp2016-2017 (3)'!$G$5:$G$289,'Comp2016-2017 (3)'!$A$5:$A$289,A637,'Comp2016-2017 (3)'!$R$5:$R$289,V637)*AA637/SUMIFS($AA$4:$AA$1116,$A$4:$A$1116,A637,$V$4:$V$1116,V637),0)</f>
        <v>2025.3643579861075</v>
      </c>
      <c r="AC637" s="2">
        <f>IF($W637=AC$3,$AB637,IF(NOT($W637=0),"",SUMIFS('Val-Vol (2)'!AC$4:AC$1116,'Val-Vol (2)'!$A$4:$A$1116,$D637,'Val-Vol (2)'!$V$4:$V$1116,$V637)/SUMIFS('Comp2016-2017 (3)'!$G$5:$G$289,'Comp2016-2017 (3)'!$A$5:$A$289,$D637,'Comp2016-2017 (3)'!$R$5:$R$289,$V637)*$AB637))</f>
        <v>2025.3643579861075</v>
      </c>
      <c r="AD637" s="2" t="str">
        <f>IF($W637=AD$3,$AB637,IF(NOT($W637=0),"",SUMIFS('Val-Vol (2)'!AD$4:AD$1116,'Val-Vol (2)'!$A$4:$A$1116,$D637,'Val-Vol (2)'!$V$4:$V$1116,$V637)/SUMIFS('Comp2016-2017 (3)'!$G$5:$G$289,'Comp2016-2017 (3)'!$A$5:$A$289,$D637,'Comp2016-2017 (3)'!$R$5:$R$289,$V637)*$AB637))</f>
        <v/>
      </c>
      <c r="AE637" s="2" t="str">
        <f>IF($W637=AE$3,$AB637,IF(NOT($W637=0),"",SUMIFS('Val-Vol (2)'!AE$4:AE$1116,'Val-Vol (2)'!$A$4:$A$1116,$D637,'Val-Vol (2)'!$V$4:$V$1116,$V637)/SUMIFS('Comp2016-2017 (3)'!$G$5:$G$289,'Comp2016-2017 (3)'!$A$5:$A$289,$D637,'Comp2016-2017 (3)'!$R$5:$R$289,$V637)*$AB637))</f>
        <v/>
      </c>
      <c r="AF637" s="2" t="str">
        <f>IF($W637=AF$3,$AB637,IF(NOT($W637=0),"",SUMIFS('Val-Vol (2)'!AF$4:AF$1116,'Val-Vol (2)'!$A$4:$A$1116,$D637,'Val-Vol (2)'!$V$4:$V$1116,$V637)/SUMIFS('Comp2016-2017 (3)'!$G$5:$G$289,'Comp2016-2017 (3)'!$A$5:$A$289,$D637,'Comp2016-2017 (3)'!$R$5:$R$289,$V637)*$AB637))</f>
        <v/>
      </c>
      <c r="AG637" s="2" t="str">
        <f>IF($W637=AG$3,$AB637,IF(NOT($W637=0),"",SUMIFS('Val-Vol (2)'!AG$4:AG$1116,'Val-Vol (2)'!$A$4:$A$1116,$D637,'Val-Vol (2)'!$V$4:$V$1116,$V637)/SUMIFS('Comp2016-2017 (3)'!$G$5:$G$289,'Comp2016-2017 (3)'!$A$5:$A$289,$D637,'Comp2016-2017 (3)'!$R$5:$R$289,$V637)*$AB637))</f>
        <v/>
      </c>
      <c r="AH637" s="2" t="str">
        <f>IF($W637=AH$3,$AB637,IF(NOT($W637=0),"",SUMIFS('Val-Vol (2)'!AH$4:AH$1116,'Val-Vol (2)'!$A$4:$A$1116,$D637,'Val-Vol (2)'!$V$4:$V$1116,$V637)/SUMIFS('Comp2016-2017 (3)'!$G$5:$G$289,'Comp2016-2017 (3)'!$A$5:$A$289,$D637,'Comp2016-2017 (3)'!$R$5:$R$289,$V637)*$AB637))</f>
        <v/>
      </c>
      <c r="AI637" s="2" t="str">
        <f>IF($W637=AI$3,$AB637,IF(NOT($W637=0),"",SUMIFS('Val-Vol (2)'!AI$4:AI$1116,'Val-Vol (2)'!$A$4:$A$1116,$D637,'Val-Vol (2)'!$V$4:$V$1116,$V637)/SUMIFS('Comp2016-2017 (3)'!$G$5:$G$289,'Comp2016-2017 (3)'!$A$5:$A$289,$D637,'Comp2016-2017 (3)'!$R$5:$R$289,$V637)*$AB637))</f>
        <v/>
      </c>
      <c r="AJ637" s="2" t="str">
        <f>IF($W637=AJ$3,$AB637,IF(NOT($W637=0),"",SUMIFS('Val-Vol (2)'!AJ$4:AJ$1116,'Val-Vol (2)'!$A$4:$A$1116,$D637,'Val-Vol (2)'!$V$4:$V$1116,$V637)/SUMIFS('Comp2016-2017 (3)'!$G$5:$G$289,'Comp2016-2017 (3)'!$A$5:$A$289,$D637,'Comp2016-2017 (3)'!$R$5:$R$289,$V637)*$AB637))</f>
        <v/>
      </c>
      <c r="AK637" s="2">
        <f t="shared" si="72"/>
        <v>0</v>
      </c>
      <c r="AL637" t="str">
        <f t="shared" si="68"/>
        <v/>
      </c>
      <c r="AM637" t="str">
        <f>VLOOKUP(A637,'Table corresp.'!$M$4:$U$63,8,FALSE)</f>
        <v>Production finale</v>
      </c>
      <c r="AN637" t="str">
        <f>VLOOKUP(D637,'Table corresp.'!$M$4:$U$63,9,FALSE)</f>
        <v>Exportation</v>
      </c>
    </row>
    <row r="638" spans="1:40" x14ac:dyDescent="0.25">
      <c r="A638" t="s">
        <v>93</v>
      </c>
      <c r="B638" t="str">
        <f>VLOOKUP(LEFT(A638,3),'Table corresp.'!$A$4:$D$63,3,FALSE)</f>
        <v>Transformation</v>
      </c>
      <c r="C638" t="str">
        <f>VLOOKUP(A638,'Table corresp.'!$M$4:$P$63,4,FALSE)</f>
        <v>Production et transformation de produits bois</v>
      </c>
      <c r="D638" t="s">
        <v>54</v>
      </c>
      <c r="E638" t="str">
        <f>VLOOKUP(LEFT(D638,3),'Table corresp.'!$A$4:$D$63,4,FALSE)</f>
        <v>Consommation finale</v>
      </c>
      <c r="F638" t="str">
        <f t="shared" si="67"/>
        <v>41  - Con</v>
      </c>
      <c r="G638" s="3">
        <v>190049.86870870314</v>
      </c>
      <c r="H638" s="3">
        <v>185878.42599999995</v>
      </c>
      <c r="I638" s="3">
        <v>375928.30299999996</v>
      </c>
      <c r="J638" s="3">
        <v>204.87677309177849</v>
      </c>
      <c r="K638" s="3">
        <v>544.97149022056669</v>
      </c>
      <c r="L638" s="3">
        <v>749.84826331234513</v>
      </c>
      <c r="M638" s="3">
        <v>0</v>
      </c>
      <c r="N638" s="3">
        <v>0</v>
      </c>
      <c r="O638" s="3">
        <v>0</v>
      </c>
      <c r="P638" s="3">
        <v>0</v>
      </c>
      <c r="Q638" s="3">
        <v>0</v>
      </c>
      <c r="R638" s="3">
        <v>0</v>
      </c>
      <c r="S638" s="67"/>
      <c r="T638">
        <f>VLOOKUP(A638,'Groupe de branches'!$Z$27:$AM$86,14,FALSE)</f>
        <v>0</v>
      </c>
      <c r="U638">
        <f>VLOOKUP(D638,'Groupe de branches'!$Z$27:$AM$86,14,FALSE)</f>
        <v>0</v>
      </c>
      <c r="V638">
        <v>2017</v>
      </c>
      <c r="W638" t="str">
        <f>VLOOKUP(D638,'Table corresp.'!$M$4:$S$63,7,FALSE)</f>
        <v>Consommation finale</v>
      </c>
      <c r="X638" s="167">
        <f>IFERROR(G638/SUMIFS('Comp2016-2017 (3)'!$I$5:$I$289,'Comp2016-2017 (3)'!$A$5:$A$289,A638,'Comp2016-2017 (3)'!$R$5:$R$289,V638),0)</f>
        <v>0.7843447739859426</v>
      </c>
      <c r="Y638" s="190">
        <f>IFERROR(IF(RIGHT(F638,3)="Exp",VLOOKUP(F638,#REF!,2,FALSE),VLOOKUP(F638,#REF!,9,FALSE)),1)</f>
        <v>1</v>
      </c>
      <c r="Z638" s="167">
        <f t="shared" si="71"/>
        <v>0.5</v>
      </c>
      <c r="AA638" s="189">
        <f t="shared" si="69"/>
        <v>0.3921723869929713</v>
      </c>
      <c r="AB638" s="2">
        <f>IFERROR(SUMIFS('Comp2016-2017 (3)'!$G$5:$G$289,'Comp2016-2017 (3)'!$A$5:$A$289,A638,'Comp2016-2017 (3)'!$R$5:$R$289,V638)*AA638/SUMIFS($AA$4:$AA$1116,$A$4:$A$1116,A638,$V$4:$V$1116,V638),0)</f>
        <v>79165.644487860132</v>
      </c>
      <c r="AC638" s="2" t="str">
        <f>IF($W638=AC$3,$AB638,IF(NOT($W638=0),"",SUMIFS('Val-Vol (2)'!AC$4:AC$1116,'Val-Vol (2)'!$A$4:$A$1116,$D638,'Val-Vol (2)'!$V$4:$V$1116,$V638)/SUMIFS('Comp2016-2017 (3)'!$G$5:$G$289,'Comp2016-2017 (3)'!$A$5:$A$289,$D638,'Comp2016-2017 (3)'!$R$5:$R$289,$V638)*$AB638))</f>
        <v/>
      </c>
      <c r="AD638" s="2" t="str">
        <f>IF($W638=AD$3,$AB638,IF(NOT($W638=0),"",SUMIFS('Val-Vol (2)'!AD$4:AD$1116,'Val-Vol (2)'!$A$4:$A$1116,$D638,'Val-Vol (2)'!$V$4:$V$1116,$V638)/SUMIFS('Comp2016-2017 (3)'!$G$5:$G$289,'Comp2016-2017 (3)'!$A$5:$A$289,$D638,'Comp2016-2017 (3)'!$R$5:$R$289,$V638)*$AB638))</f>
        <v/>
      </c>
      <c r="AE638" s="2" t="str">
        <f>IF($W638=AE$3,$AB638,IF(NOT($W638=0),"",SUMIFS('Val-Vol (2)'!AE$4:AE$1116,'Val-Vol (2)'!$A$4:$A$1116,$D638,'Val-Vol (2)'!$V$4:$V$1116,$V638)/SUMIFS('Comp2016-2017 (3)'!$G$5:$G$289,'Comp2016-2017 (3)'!$A$5:$A$289,$D638,'Comp2016-2017 (3)'!$R$5:$R$289,$V638)*$AB638))</f>
        <v/>
      </c>
      <c r="AF638" s="2" t="str">
        <f>IF($W638=AF$3,$AB638,IF(NOT($W638=0),"",SUMIFS('Val-Vol (2)'!AF$4:AF$1116,'Val-Vol (2)'!$A$4:$A$1116,$D638,'Val-Vol (2)'!$V$4:$V$1116,$V638)/SUMIFS('Comp2016-2017 (3)'!$G$5:$G$289,'Comp2016-2017 (3)'!$A$5:$A$289,$D638,'Comp2016-2017 (3)'!$R$5:$R$289,$V638)*$AB638))</f>
        <v/>
      </c>
      <c r="AG638" s="2" t="str">
        <f>IF($W638=AG$3,$AB638,IF(NOT($W638=0),"",SUMIFS('Val-Vol (2)'!AG$4:AG$1116,'Val-Vol (2)'!$A$4:$A$1116,$D638,'Val-Vol (2)'!$V$4:$V$1116,$V638)/SUMIFS('Comp2016-2017 (3)'!$G$5:$G$289,'Comp2016-2017 (3)'!$A$5:$A$289,$D638,'Comp2016-2017 (3)'!$R$5:$R$289,$V638)*$AB638))</f>
        <v/>
      </c>
      <c r="AH638" s="2" t="str">
        <f>IF($W638=AH$3,$AB638,IF(NOT($W638=0),"",SUMIFS('Val-Vol (2)'!AH$4:AH$1116,'Val-Vol (2)'!$A$4:$A$1116,$D638,'Val-Vol (2)'!$V$4:$V$1116,$V638)/SUMIFS('Comp2016-2017 (3)'!$G$5:$G$289,'Comp2016-2017 (3)'!$A$5:$A$289,$D638,'Comp2016-2017 (3)'!$R$5:$R$289,$V638)*$AB638))</f>
        <v/>
      </c>
      <c r="AI638" s="2" t="str">
        <f>IF($W638=AI$3,$AB638,IF(NOT($W638=0),"",SUMIFS('Val-Vol (2)'!AI$4:AI$1116,'Val-Vol (2)'!$A$4:$A$1116,$D638,'Val-Vol (2)'!$V$4:$V$1116,$V638)/SUMIFS('Comp2016-2017 (3)'!$G$5:$G$289,'Comp2016-2017 (3)'!$A$5:$A$289,$D638,'Comp2016-2017 (3)'!$R$5:$R$289,$V638)*$AB638))</f>
        <v/>
      </c>
      <c r="AJ638" s="2">
        <f>IF($W638=AJ$3,$AB638,IF(NOT($W638=0),"",SUMIFS('Val-Vol (2)'!AJ$4:AJ$1116,'Val-Vol (2)'!$A$4:$A$1116,$D638,'Val-Vol (2)'!$V$4:$V$1116,$V638)/SUMIFS('Comp2016-2017 (3)'!$G$5:$G$289,'Comp2016-2017 (3)'!$A$5:$A$289,$D638,'Comp2016-2017 (3)'!$R$5:$R$289,$V638)*$AB638))</f>
        <v>79165.644487860132</v>
      </c>
      <c r="AK638" s="2">
        <f t="shared" si="72"/>
        <v>0</v>
      </c>
      <c r="AL638" t="str">
        <f t="shared" si="68"/>
        <v/>
      </c>
      <c r="AM638" t="str">
        <f>VLOOKUP(A638,'Table corresp.'!$M$4:$U$63,8,FALSE)</f>
        <v>Production finale</v>
      </c>
      <c r="AN638" t="str">
        <f>VLOOKUP(D638,'Table corresp.'!$M$4:$U$63,9,FALSE)</f>
        <v>Consommation finale française</v>
      </c>
    </row>
    <row r="639" spans="1:40" x14ac:dyDescent="0.25">
      <c r="A639" t="s">
        <v>93</v>
      </c>
      <c r="B639" t="str">
        <f>VLOOKUP(LEFT(A639,3),'Table corresp.'!$A$4:$D$63,3,FALSE)</f>
        <v>Transformation</v>
      </c>
      <c r="C639" t="str">
        <f>VLOOKUP(A639,'Table corresp.'!$M$4:$P$63,4,FALSE)</f>
        <v>Production et transformation de produits bois</v>
      </c>
      <c r="D639" t="s">
        <v>53</v>
      </c>
      <c r="E639" t="str">
        <f>VLOOKUP(LEFT(D639,3),'Table corresp.'!$A$4:$D$63,4,FALSE)</f>
        <v>Exportation</v>
      </c>
      <c r="F639" t="str">
        <f t="shared" si="67"/>
        <v>41  - Exp</v>
      </c>
      <c r="G639" s="3">
        <v>52254.121847507769</v>
      </c>
      <c r="H639" s="3">
        <v>0</v>
      </c>
      <c r="I639" s="3">
        <v>52254.123</v>
      </c>
      <c r="J639" s="3">
        <v>48.60441118547697</v>
      </c>
      <c r="K639" s="3">
        <v>0</v>
      </c>
      <c r="L639" s="3">
        <v>48.60441118547697</v>
      </c>
      <c r="M639" s="3">
        <v>0</v>
      </c>
      <c r="N639" s="3">
        <v>0</v>
      </c>
      <c r="O639" s="3">
        <v>0</v>
      </c>
      <c r="P639" s="3">
        <v>0</v>
      </c>
      <c r="Q639" s="3">
        <v>0</v>
      </c>
      <c r="R639" s="3">
        <v>0</v>
      </c>
      <c r="S639" s="67"/>
      <c r="T639">
        <f>VLOOKUP(A639,'Groupe de branches'!$Z$27:$AM$86,14,FALSE)</f>
        <v>0</v>
      </c>
      <c r="U639">
        <f>VLOOKUP(D639,'Groupe de branches'!$Z$27:$AM$86,14,FALSE)</f>
        <v>0</v>
      </c>
      <c r="V639">
        <v>2017</v>
      </c>
      <c r="W639" t="str">
        <f>VLOOKUP(D639,'Table corresp.'!$M$4:$S$63,7,FALSE)</f>
        <v>Exportation</v>
      </c>
      <c r="X639" s="167">
        <f>IFERROR(G639/SUMIFS('Comp2016-2017 (3)'!$I$5:$I$289,'Comp2016-2017 (3)'!$A$5:$A$289,A639,'Comp2016-2017 (3)'!$R$5:$R$289,V639),0)</f>
        <v>0.21565522601405782</v>
      </c>
      <c r="Y639" s="190">
        <f>IFERROR(IF(RIGHT(F639,3)="Exp",VLOOKUP(F639,#REF!,2,FALSE),VLOOKUP(F639,#REF!,9,FALSE)),1)</f>
        <v>1</v>
      </c>
      <c r="Z639" s="167">
        <f t="shared" si="71"/>
        <v>0.5</v>
      </c>
      <c r="AA639" s="189">
        <f t="shared" si="69"/>
        <v>0.10782761300702891</v>
      </c>
      <c r="AB639" s="2">
        <f>IFERROR(SUMIFS('Comp2016-2017 (3)'!$G$5:$G$289,'Comp2016-2017 (3)'!$A$5:$A$289,A639,'Comp2016-2017 (3)'!$R$5:$R$289,V639)*AA639/SUMIFS($AA$4:$AA$1116,$A$4:$A$1116,A639,$V$4:$V$1116,V639),0)</f>
        <v>21766.556648064063</v>
      </c>
      <c r="AC639" s="2">
        <f>IF($W639=AC$3,$AB639,IF(NOT($W639=0),"",SUMIFS('Val-Vol (2)'!AC$4:AC$1116,'Val-Vol (2)'!$A$4:$A$1116,$D639,'Val-Vol (2)'!$V$4:$V$1116,$V639)/SUMIFS('Comp2016-2017 (3)'!$G$5:$G$289,'Comp2016-2017 (3)'!$A$5:$A$289,$D639,'Comp2016-2017 (3)'!$R$5:$R$289,$V639)*$AB639))</f>
        <v>21766.556648064063</v>
      </c>
      <c r="AD639" s="2" t="str">
        <f>IF($W639=AD$3,$AB639,IF(NOT($W639=0),"",SUMIFS('Val-Vol (2)'!AD$4:AD$1116,'Val-Vol (2)'!$A$4:$A$1116,$D639,'Val-Vol (2)'!$V$4:$V$1116,$V639)/SUMIFS('Comp2016-2017 (3)'!$G$5:$G$289,'Comp2016-2017 (3)'!$A$5:$A$289,$D639,'Comp2016-2017 (3)'!$R$5:$R$289,$V639)*$AB639))</f>
        <v/>
      </c>
      <c r="AE639" s="2" t="str">
        <f>IF($W639=AE$3,$AB639,IF(NOT($W639=0),"",SUMIFS('Val-Vol (2)'!AE$4:AE$1116,'Val-Vol (2)'!$A$4:$A$1116,$D639,'Val-Vol (2)'!$V$4:$V$1116,$V639)/SUMIFS('Comp2016-2017 (3)'!$G$5:$G$289,'Comp2016-2017 (3)'!$A$5:$A$289,$D639,'Comp2016-2017 (3)'!$R$5:$R$289,$V639)*$AB639))</f>
        <v/>
      </c>
      <c r="AF639" s="2" t="str">
        <f>IF($W639=AF$3,$AB639,IF(NOT($W639=0),"",SUMIFS('Val-Vol (2)'!AF$4:AF$1116,'Val-Vol (2)'!$A$4:$A$1116,$D639,'Val-Vol (2)'!$V$4:$V$1116,$V639)/SUMIFS('Comp2016-2017 (3)'!$G$5:$G$289,'Comp2016-2017 (3)'!$A$5:$A$289,$D639,'Comp2016-2017 (3)'!$R$5:$R$289,$V639)*$AB639))</f>
        <v/>
      </c>
      <c r="AG639" s="2" t="str">
        <f>IF($W639=AG$3,$AB639,IF(NOT($W639=0),"",SUMIFS('Val-Vol (2)'!AG$4:AG$1116,'Val-Vol (2)'!$A$4:$A$1116,$D639,'Val-Vol (2)'!$V$4:$V$1116,$V639)/SUMIFS('Comp2016-2017 (3)'!$G$5:$G$289,'Comp2016-2017 (3)'!$A$5:$A$289,$D639,'Comp2016-2017 (3)'!$R$5:$R$289,$V639)*$AB639))</f>
        <v/>
      </c>
      <c r="AH639" s="2" t="str">
        <f>IF($W639=AH$3,$AB639,IF(NOT($W639=0),"",SUMIFS('Val-Vol (2)'!AH$4:AH$1116,'Val-Vol (2)'!$A$4:$A$1116,$D639,'Val-Vol (2)'!$V$4:$V$1116,$V639)/SUMIFS('Comp2016-2017 (3)'!$G$5:$G$289,'Comp2016-2017 (3)'!$A$5:$A$289,$D639,'Comp2016-2017 (3)'!$R$5:$R$289,$V639)*$AB639))</f>
        <v/>
      </c>
      <c r="AI639" s="2" t="str">
        <f>IF($W639=AI$3,$AB639,IF(NOT($W639=0),"",SUMIFS('Val-Vol (2)'!AI$4:AI$1116,'Val-Vol (2)'!$A$4:$A$1116,$D639,'Val-Vol (2)'!$V$4:$V$1116,$V639)/SUMIFS('Comp2016-2017 (3)'!$G$5:$G$289,'Comp2016-2017 (3)'!$A$5:$A$289,$D639,'Comp2016-2017 (3)'!$R$5:$R$289,$V639)*$AB639))</f>
        <v/>
      </c>
      <c r="AJ639" s="2" t="str">
        <f>IF($W639=AJ$3,$AB639,IF(NOT($W639=0),"",SUMIFS('Val-Vol (2)'!AJ$4:AJ$1116,'Val-Vol (2)'!$A$4:$A$1116,$D639,'Val-Vol (2)'!$V$4:$V$1116,$V639)/SUMIFS('Comp2016-2017 (3)'!$G$5:$G$289,'Comp2016-2017 (3)'!$A$5:$A$289,$D639,'Comp2016-2017 (3)'!$R$5:$R$289,$V639)*$AB639))</f>
        <v/>
      </c>
      <c r="AK639" s="2">
        <f t="shared" si="72"/>
        <v>0</v>
      </c>
      <c r="AL639" t="str">
        <f t="shared" si="68"/>
        <v/>
      </c>
      <c r="AM639" t="str">
        <f>VLOOKUP(A639,'Table corresp.'!$M$4:$U$63,8,FALSE)</f>
        <v>Production finale</v>
      </c>
      <c r="AN639" t="str">
        <f>VLOOKUP(D639,'Table corresp.'!$M$4:$U$63,9,FALSE)</f>
        <v>Exportation</v>
      </c>
    </row>
    <row r="640" spans="1:40" x14ac:dyDescent="0.25">
      <c r="A640" t="s">
        <v>94</v>
      </c>
      <c r="B640" t="str">
        <f>VLOOKUP(LEFT(A640,3),'Table corresp.'!$A$4:$D$63,3,FALSE)</f>
        <v>Transformation</v>
      </c>
      <c r="C640" t="str">
        <f>VLOOKUP(A640,'Table corresp.'!$M$4:$P$63,4,FALSE)</f>
        <v>Production et transformation de produits bois</v>
      </c>
      <c r="D640" t="s">
        <v>20</v>
      </c>
      <c r="E640" t="str">
        <f>VLOOKUP(LEFT(D640,3),'Table corresp.'!$A$4:$D$63,4,FALSE)</f>
        <v>Transformation</v>
      </c>
      <c r="F640" t="str">
        <f t="shared" si="67"/>
        <v xml:space="preserve">42  - 53 </v>
      </c>
      <c r="G640" s="3">
        <v>474.4383642028688</v>
      </c>
      <c r="H640" s="3">
        <v>481.87407973466884</v>
      </c>
      <c r="I640" s="3">
        <v>956.31244422863972</v>
      </c>
      <c r="J640" s="3">
        <v>2.997626748418647E-2</v>
      </c>
      <c r="K640" s="3">
        <v>5.7774311852189925E-2</v>
      </c>
      <c r="L640" s="3">
        <v>8.7750579336376394E-2</v>
      </c>
      <c r="M640" s="3">
        <v>0</v>
      </c>
      <c r="N640" s="3">
        <v>0</v>
      </c>
      <c r="O640" s="3">
        <v>0</v>
      </c>
      <c r="P640" s="3">
        <v>0</v>
      </c>
      <c r="Q640" s="3">
        <v>0</v>
      </c>
      <c r="R640" s="3">
        <v>0</v>
      </c>
      <c r="S640" s="67"/>
      <c r="T640">
        <f>VLOOKUP(A640,'Groupe de branches'!$Z$27:$AM$86,14,FALSE)</f>
        <v>0</v>
      </c>
      <c r="U640">
        <f>VLOOKUP(D640,'Groupe de branches'!$Z$27:$AM$86,14,FALSE)</f>
        <v>0</v>
      </c>
      <c r="V640">
        <v>2017</v>
      </c>
      <c r="W640" t="str">
        <f>VLOOKUP(D640,'Table corresp.'!$M$4:$S$63,7,FALSE)</f>
        <v>Construction</v>
      </c>
      <c r="X640" s="167">
        <f>IFERROR(G640/SUMIFS('Comp2016-2017 (3)'!$I$5:$I$289,'Comp2016-2017 (3)'!$A$5:$A$289,A640,'Comp2016-2017 (3)'!$R$5:$R$289,V640),0)</f>
        <v>1.4900967937822379E-3</v>
      </c>
      <c r="Y640" s="190">
        <f>IFERROR(IF(RIGHT(F640,3)="Exp",VLOOKUP(F640,#REF!,2,FALSE),VLOOKUP(F640,#REF!,9,FALSE)),1)</f>
        <v>1</v>
      </c>
      <c r="Z640" s="167">
        <f t="shared" si="71"/>
        <v>0.33333333333333331</v>
      </c>
      <c r="AA640" s="189">
        <f t="shared" si="69"/>
        <v>4.9669893126074588E-4</v>
      </c>
      <c r="AB640" s="2">
        <f>IFERROR(SUMIFS('Comp2016-2017 (3)'!$G$5:$G$289,'Comp2016-2017 (3)'!$A$5:$A$289,A640,'Comp2016-2017 (3)'!$R$5:$R$289,V640)*AA640/SUMIFS($AA$4:$AA$1116,$A$4:$A$1116,A640,$V$4:$V$1116,V640),0)</f>
        <v>99.669028096994211</v>
      </c>
      <c r="AC640" s="2" t="str">
        <f>IF($W640=AC$3,$AB640,IF(NOT($W640=0),"",SUMIFS('Val-Vol (2)'!AC$4:AC$1116,'Val-Vol (2)'!$A$4:$A$1116,$D640,'Val-Vol (2)'!$V$4:$V$1116,$V640)/SUMIFS('Comp2016-2017 (3)'!$G$5:$G$289,'Comp2016-2017 (3)'!$A$5:$A$289,$D640,'Comp2016-2017 (3)'!$R$5:$R$289,$V640)*$AB640))</f>
        <v/>
      </c>
      <c r="AD640" s="2">
        <f>IF($W640=AD$3,$AB640,IF(NOT($W640=0),"",SUMIFS('Val-Vol (2)'!AD$4:AD$1116,'Val-Vol (2)'!$A$4:$A$1116,$D640,'Val-Vol (2)'!$V$4:$V$1116,$V640)/SUMIFS('Comp2016-2017 (3)'!$G$5:$G$289,'Comp2016-2017 (3)'!$A$5:$A$289,$D640,'Comp2016-2017 (3)'!$R$5:$R$289,$V640)*$AB640))</f>
        <v>99.669028096994211</v>
      </c>
      <c r="AE640" s="2" t="str">
        <f>IF($W640=AE$3,$AB640,IF(NOT($W640=0),"",SUMIFS('Val-Vol (2)'!AE$4:AE$1116,'Val-Vol (2)'!$A$4:$A$1116,$D640,'Val-Vol (2)'!$V$4:$V$1116,$V640)/SUMIFS('Comp2016-2017 (3)'!$G$5:$G$289,'Comp2016-2017 (3)'!$A$5:$A$289,$D640,'Comp2016-2017 (3)'!$R$5:$R$289,$V640)*$AB640))</f>
        <v/>
      </c>
      <c r="AF640" s="2" t="str">
        <f>IF($W640=AF$3,$AB640,IF(NOT($W640=0),"",SUMIFS('Val-Vol (2)'!AF$4:AF$1116,'Val-Vol (2)'!$A$4:$A$1116,$D640,'Val-Vol (2)'!$V$4:$V$1116,$V640)/SUMIFS('Comp2016-2017 (3)'!$G$5:$G$289,'Comp2016-2017 (3)'!$A$5:$A$289,$D640,'Comp2016-2017 (3)'!$R$5:$R$289,$V640)*$AB640))</f>
        <v/>
      </c>
      <c r="AG640" s="2" t="str">
        <f>IF($W640=AG$3,$AB640,IF(NOT($W640=0),"",SUMIFS('Val-Vol (2)'!AG$4:AG$1116,'Val-Vol (2)'!$A$4:$A$1116,$D640,'Val-Vol (2)'!$V$4:$V$1116,$V640)/SUMIFS('Comp2016-2017 (3)'!$G$5:$G$289,'Comp2016-2017 (3)'!$A$5:$A$289,$D640,'Comp2016-2017 (3)'!$R$5:$R$289,$V640)*$AB640))</f>
        <v/>
      </c>
      <c r="AH640" s="2" t="str">
        <f>IF($W640=AH$3,$AB640,IF(NOT($W640=0),"",SUMIFS('Val-Vol (2)'!AH$4:AH$1116,'Val-Vol (2)'!$A$4:$A$1116,$D640,'Val-Vol (2)'!$V$4:$V$1116,$V640)/SUMIFS('Comp2016-2017 (3)'!$G$5:$G$289,'Comp2016-2017 (3)'!$A$5:$A$289,$D640,'Comp2016-2017 (3)'!$R$5:$R$289,$V640)*$AB640))</f>
        <v/>
      </c>
      <c r="AI640" s="2" t="str">
        <f>IF($W640=AI$3,$AB640,IF(NOT($W640=0),"",SUMIFS('Val-Vol (2)'!AI$4:AI$1116,'Val-Vol (2)'!$A$4:$A$1116,$D640,'Val-Vol (2)'!$V$4:$V$1116,$V640)/SUMIFS('Comp2016-2017 (3)'!$G$5:$G$289,'Comp2016-2017 (3)'!$A$5:$A$289,$D640,'Comp2016-2017 (3)'!$R$5:$R$289,$V640)*$AB640))</f>
        <v/>
      </c>
      <c r="AJ640" s="2" t="str">
        <f>IF($W640=AJ$3,$AB640,IF(NOT($W640=0),"",SUMIFS('Val-Vol (2)'!AJ$4:AJ$1116,'Val-Vol (2)'!$A$4:$A$1116,$D640,'Val-Vol (2)'!$V$4:$V$1116,$V640)/SUMIFS('Comp2016-2017 (3)'!$G$5:$G$289,'Comp2016-2017 (3)'!$A$5:$A$289,$D640,'Comp2016-2017 (3)'!$R$5:$R$289,$V640)*$AB640))</f>
        <v/>
      </c>
      <c r="AK640" s="2">
        <f t="shared" si="72"/>
        <v>0</v>
      </c>
      <c r="AL640" t="str">
        <f t="shared" si="68"/>
        <v/>
      </c>
      <c r="AM640" t="str">
        <f>VLOOKUP(A640,'Table corresp.'!$M$4:$U$63,8,FALSE)</f>
        <v>Production finale</v>
      </c>
      <c r="AN640" t="str">
        <f>VLOOKUP(D640,'Table corresp.'!$M$4:$U$63,9,FALSE)</f>
        <v xml:space="preserve">Mise en œuvre </v>
      </c>
    </row>
    <row r="641" spans="1:40" x14ac:dyDescent="0.25">
      <c r="A641" t="s">
        <v>94</v>
      </c>
      <c r="B641" t="str">
        <f>VLOOKUP(LEFT(A641,3),'Table corresp.'!$A$4:$D$63,3,FALSE)</f>
        <v>Transformation</v>
      </c>
      <c r="C641" t="str">
        <f>VLOOKUP(A641,'Table corresp.'!$M$4:$P$63,4,FALSE)</f>
        <v>Production et transformation de produits bois</v>
      </c>
      <c r="D641" t="s">
        <v>54</v>
      </c>
      <c r="E641" t="str">
        <f>VLOOKUP(LEFT(D641,3),'Table corresp.'!$A$4:$D$63,4,FALSE)</f>
        <v>Consommation finale</v>
      </c>
      <c r="F641" t="str">
        <f t="shared" si="67"/>
        <v>42  - Con</v>
      </c>
      <c r="G641" s="3">
        <v>237376.3595742879</v>
      </c>
      <c r="H641" s="3">
        <v>261314.14192026533</v>
      </c>
      <c r="I641" s="3">
        <v>498690.50164635485</v>
      </c>
      <c r="J641" s="3">
        <v>14.998064629483974</v>
      </c>
      <c r="K641" s="3">
        <v>31.330269382826575</v>
      </c>
      <c r="L641" s="3">
        <v>46.328334012310549</v>
      </c>
      <c r="M641" s="3">
        <v>0</v>
      </c>
      <c r="N641" s="3">
        <v>0</v>
      </c>
      <c r="O641" s="3">
        <v>0</v>
      </c>
      <c r="P641" s="3">
        <v>0</v>
      </c>
      <c r="Q641" s="3">
        <v>0</v>
      </c>
      <c r="R641" s="3">
        <v>0</v>
      </c>
      <c r="S641" s="67"/>
      <c r="T641">
        <f>VLOOKUP(A641,'Groupe de branches'!$Z$27:$AM$86,14,FALSE)</f>
        <v>0</v>
      </c>
      <c r="U641">
        <f>VLOOKUP(D641,'Groupe de branches'!$Z$27:$AM$86,14,FALSE)</f>
        <v>0</v>
      </c>
      <c r="V641">
        <v>2017</v>
      </c>
      <c r="W641" t="str">
        <f>VLOOKUP(D641,'Table corresp.'!$M$4:$S$63,7,FALSE)</f>
        <v>Consommation finale</v>
      </c>
      <c r="X641" s="167">
        <f>IFERROR(G641/SUMIFS('Comp2016-2017 (3)'!$I$5:$I$289,'Comp2016-2017 (3)'!$A$5:$A$289,A641,'Comp2016-2017 (3)'!$R$5:$R$289,V641),0)</f>
        <v>0.74554205353026382</v>
      </c>
      <c r="Y641" s="190">
        <f>IFERROR(IF(RIGHT(F641,3)="Exp",VLOOKUP(F641,#REF!,2,FALSE),VLOOKUP(F641,#REF!,9,FALSE)),1)</f>
        <v>1</v>
      </c>
      <c r="Z641" s="167">
        <f t="shared" si="71"/>
        <v>0.33333333333333331</v>
      </c>
      <c r="AA641" s="189">
        <f t="shared" si="69"/>
        <v>0.24851401784342125</v>
      </c>
      <c r="AB641" s="2">
        <f>IFERROR(SUMIFS('Comp2016-2017 (3)'!$G$5:$G$289,'Comp2016-2017 (3)'!$A$5:$A$289,A641,'Comp2016-2017 (3)'!$R$5:$R$289,V641)*AA641/SUMIFS($AA$4:$AA$1116,$A$4:$A$1116,A641,$V$4:$V$1116,V641),0)</f>
        <v>49867.533566183825</v>
      </c>
      <c r="AC641" s="2" t="str">
        <f>IF($W641=AC$3,$AB641,IF(NOT($W641=0),"",SUMIFS('Val-Vol (2)'!AC$4:AC$1116,'Val-Vol (2)'!$A$4:$A$1116,$D641,'Val-Vol (2)'!$V$4:$V$1116,$V641)/SUMIFS('Comp2016-2017 (3)'!$G$5:$G$289,'Comp2016-2017 (3)'!$A$5:$A$289,$D641,'Comp2016-2017 (3)'!$R$5:$R$289,$V641)*$AB641))</f>
        <v/>
      </c>
      <c r="AD641" s="2" t="str">
        <f>IF($W641=AD$3,$AB641,IF(NOT($W641=0),"",SUMIFS('Val-Vol (2)'!AD$4:AD$1116,'Val-Vol (2)'!$A$4:$A$1116,$D641,'Val-Vol (2)'!$V$4:$V$1116,$V641)/SUMIFS('Comp2016-2017 (3)'!$G$5:$G$289,'Comp2016-2017 (3)'!$A$5:$A$289,$D641,'Comp2016-2017 (3)'!$R$5:$R$289,$V641)*$AB641))</f>
        <v/>
      </c>
      <c r="AE641" s="2" t="str">
        <f>IF($W641=AE$3,$AB641,IF(NOT($W641=0),"",SUMIFS('Val-Vol (2)'!AE$4:AE$1116,'Val-Vol (2)'!$A$4:$A$1116,$D641,'Val-Vol (2)'!$V$4:$V$1116,$V641)/SUMIFS('Comp2016-2017 (3)'!$G$5:$G$289,'Comp2016-2017 (3)'!$A$5:$A$289,$D641,'Comp2016-2017 (3)'!$R$5:$R$289,$V641)*$AB641))</f>
        <v/>
      </c>
      <c r="AF641" s="2" t="str">
        <f>IF($W641=AF$3,$AB641,IF(NOT($W641=0),"",SUMIFS('Val-Vol (2)'!AF$4:AF$1116,'Val-Vol (2)'!$A$4:$A$1116,$D641,'Val-Vol (2)'!$V$4:$V$1116,$V641)/SUMIFS('Comp2016-2017 (3)'!$G$5:$G$289,'Comp2016-2017 (3)'!$A$5:$A$289,$D641,'Comp2016-2017 (3)'!$R$5:$R$289,$V641)*$AB641))</f>
        <v/>
      </c>
      <c r="AG641" s="2" t="str">
        <f>IF($W641=AG$3,$AB641,IF(NOT($W641=0),"",SUMIFS('Val-Vol (2)'!AG$4:AG$1116,'Val-Vol (2)'!$A$4:$A$1116,$D641,'Val-Vol (2)'!$V$4:$V$1116,$V641)/SUMIFS('Comp2016-2017 (3)'!$G$5:$G$289,'Comp2016-2017 (3)'!$A$5:$A$289,$D641,'Comp2016-2017 (3)'!$R$5:$R$289,$V641)*$AB641))</f>
        <v/>
      </c>
      <c r="AH641" s="2" t="str">
        <f>IF($W641=AH$3,$AB641,IF(NOT($W641=0),"",SUMIFS('Val-Vol (2)'!AH$4:AH$1116,'Val-Vol (2)'!$A$4:$A$1116,$D641,'Val-Vol (2)'!$V$4:$V$1116,$V641)/SUMIFS('Comp2016-2017 (3)'!$G$5:$G$289,'Comp2016-2017 (3)'!$A$5:$A$289,$D641,'Comp2016-2017 (3)'!$R$5:$R$289,$V641)*$AB641))</f>
        <v/>
      </c>
      <c r="AI641" s="2" t="str">
        <f>IF($W641=AI$3,$AB641,IF(NOT($W641=0),"",SUMIFS('Val-Vol (2)'!AI$4:AI$1116,'Val-Vol (2)'!$A$4:$A$1116,$D641,'Val-Vol (2)'!$V$4:$V$1116,$V641)/SUMIFS('Comp2016-2017 (3)'!$G$5:$G$289,'Comp2016-2017 (3)'!$A$5:$A$289,$D641,'Comp2016-2017 (3)'!$R$5:$R$289,$V641)*$AB641))</f>
        <v/>
      </c>
      <c r="AJ641" s="2">
        <f>IF($W641=AJ$3,$AB641,IF(NOT($W641=0),"",SUMIFS('Val-Vol (2)'!AJ$4:AJ$1116,'Val-Vol (2)'!$A$4:$A$1116,$D641,'Val-Vol (2)'!$V$4:$V$1116,$V641)/SUMIFS('Comp2016-2017 (3)'!$G$5:$G$289,'Comp2016-2017 (3)'!$A$5:$A$289,$D641,'Comp2016-2017 (3)'!$R$5:$R$289,$V641)*$AB641))</f>
        <v>49867.533566183825</v>
      </c>
      <c r="AK641" s="2">
        <f t="shared" si="72"/>
        <v>0</v>
      </c>
      <c r="AL641" t="str">
        <f t="shared" si="68"/>
        <v/>
      </c>
      <c r="AM641" t="str">
        <f>VLOOKUP(A641,'Table corresp.'!$M$4:$U$63,8,FALSE)</f>
        <v>Production finale</v>
      </c>
      <c r="AN641" t="str">
        <f>VLOOKUP(D641,'Table corresp.'!$M$4:$U$63,9,FALSE)</f>
        <v>Consommation finale française</v>
      </c>
    </row>
    <row r="642" spans="1:40" x14ac:dyDescent="0.25">
      <c r="A642" t="s">
        <v>94</v>
      </c>
      <c r="B642" t="str">
        <f>VLOOKUP(LEFT(A642,3),'Table corresp.'!$A$4:$D$63,3,FALSE)</f>
        <v>Transformation</v>
      </c>
      <c r="C642" t="str">
        <f>VLOOKUP(A642,'Table corresp.'!$M$4:$P$63,4,FALSE)</f>
        <v>Production et transformation de produits bois</v>
      </c>
      <c r="D642" t="s">
        <v>53</v>
      </c>
      <c r="E642" t="str">
        <f>VLOOKUP(LEFT(D642,3),'Table corresp.'!$A$4:$D$63,4,FALSE)</f>
        <v>Exportation</v>
      </c>
      <c r="F642" t="str">
        <f t="shared" si="67"/>
        <v>42  - Exp</v>
      </c>
      <c r="G642" s="3">
        <v>80543.527975482502</v>
      </c>
      <c r="H642" s="3">
        <v>0</v>
      </c>
      <c r="I642" s="3">
        <v>80543.528000000006</v>
      </c>
      <c r="J642" s="3">
        <v>5.0889525824280293</v>
      </c>
      <c r="K642" s="3">
        <v>0</v>
      </c>
      <c r="L642" s="3">
        <v>5.0889525824280293</v>
      </c>
      <c r="M642" s="3">
        <v>0</v>
      </c>
      <c r="N642" s="3">
        <v>0</v>
      </c>
      <c r="O642" s="3">
        <v>0</v>
      </c>
      <c r="P642" s="3">
        <v>0</v>
      </c>
      <c r="Q642" s="3">
        <v>0</v>
      </c>
      <c r="R642" s="3">
        <v>0</v>
      </c>
      <c r="S642" s="67"/>
      <c r="T642">
        <f>VLOOKUP(A642,'Groupe de branches'!$Z$27:$AM$86,14,FALSE)</f>
        <v>0</v>
      </c>
      <c r="U642">
        <f>VLOOKUP(D642,'Groupe de branches'!$Z$27:$AM$86,14,FALSE)</f>
        <v>0</v>
      </c>
      <c r="V642">
        <v>2017</v>
      </c>
      <c r="W642" t="str">
        <f>VLOOKUP(D642,'Table corresp.'!$M$4:$S$63,7,FALSE)</f>
        <v>Exportation</v>
      </c>
      <c r="X642" s="167">
        <f>IFERROR(G642/SUMIFS('Comp2016-2017 (3)'!$I$5:$I$289,'Comp2016-2017 (3)'!$A$5:$A$289,A642,'Comp2016-2017 (3)'!$R$5:$R$289,V642),0)</f>
        <v>0.2529678496759532</v>
      </c>
      <c r="Y642" s="190">
        <f>IFERROR(IF(RIGHT(F642,3)="Exp",VLOOKUP(F642,#REF!,2,FALSE),VLOOKUP(F642,#REF!,9,FALSE)),1)</f>
        <v>1</v>
      </c>
      <c r="Z642" s="167">
        <f t="shared" si="71"/>
        <v>0.33333333333333331</v>
      </c>
      <c r="AA642" s="189">
        <f t="shared" si="69"/>
        <v>8.4322616558651059E-2</v>
      </c>
      <c r="AB642" s="2">
        <f>IFERROR(SUMIFS('Comp2016-2017 (3)'!$G$5:$G$289,'Comp2016-2017 (3)'!$A$5:$A$289,A642,'Comp2016-2017 (3)'!$R$5:$R$289,V642)*AA642/SUMIFS($AA$4:$AA$1116,$A$4:$A$1116,A642,$V$4:$V$1116,V642),0)</f>
        <v>16920.417399860144</v>
      </c>
      <c r="AC642" s="2">
        <f>IF($W642=AC$3,$AB642,IF(NOT($W642=0),"",SUMIFS('Val-Vol (2)'!AC$4:AC$1116,'Val-Vol (2)'!$A$4:$A$1116,$D642,'Val-Vol (2)'!$V$4:$V$1116,$V642)/SUMIFS('Comp2016-2017 (3)'!$G$5:$G$289,'Comp2016-2017 (3)'!$A$5:$A$289,$D642,'Comp2016-2017 (3)'!$R$5:$R$289,$V642)*$AB642))</f>
        <v>16920.417399860144</v>
      </c>
      <c r="AD642" s="2" t="str">
        <f>IF($W642=AD$3,$AB642,IF(NOT($W642=0),"",SUMIFS('Val-Vol (2)'!AD$4:AD$1116,'Val-Vol (2)'!$A$4:$A$1116,$D642,'Val-Vol (2)'!$V$4:$V$1116,$V642)/SUMIFS('Comp2016-2017 (3)'!$G$5:$G$289,'Comp2016-2017 (3)'!$A$5:$A$289,$D642,'Comp2016-2017 (3)'!$R$5:$R$289,$V642)*$AB642))</f>
        <v/>
      </c>
      <c r="AE642" s="2" t="str">
        <f>IF($W642=AE$3,$AB642,IF(NOT($W642=0),"",SUMIFS('Val-Vol (2)'!AE$4:AE$1116,'Val-Vol (2)'!$A$4:$A$1116,$D642,'Val-Vol (2)'!$V$4:$V$1116,$V642)/SUMIFS('Comp2016-2017 (3)'!$G$5:$G$289,'Comp2016-2017 (3)'!$A$5:$A$289,$D642,'Comp2016-2017 (3)'!$R$5:$R$289,$V642)*$AB642))</f>
        <v/>
      </c>
      <c r="AF642" s="2" t="str">
        <f>IF($W642=AF$3,$AB642,IF(NOT($W642=0),"",SUMIFS('Val-Vol (2)'!AF$4:AF$1116,'Val-Vol (2)'!$A$4:$A$1116,$D642,'Val-Vol (2)'!$V$4:$V$1116,$V642)/SUMIFS('Comp2016-2017 (3)'!$G$5:$G$289,'Comp2016-2017 (3)'!$A$5:$A$289,$D642,'Comp2016-2017 (3)'!$R$5:$R$289,$V642)*$AB642))</f>
        <v/>
      </c>
      <c r="AG642" s="2" t="str">
        <f>IF($W642=AG$3,$AB642,IF(NOT($W642=0),"",SUMIFS('Val-Vol (2)'!AG$4:AG$1116,'Val-Vol (2)'!$A$4:$A$1116,$D642,'Val-Vol (2)'!$V$4:$V$1116,$V642)/SUMIFS('Comp2016-2017 (3)'!$G$5:$G$289,'Comp2016-2017 (3)'!$A$5:$A$289,$D642,'Comp2016-2017 (3)'!$R$5:$R$289,$V642)*$AB642))</f>
        <v/>
      </c>
      <c r="AH642" s="2" t="str">
        <f>IF($W642=AH$3,$AB642,IF(NOT($W642=0),"",SUMIFS('Val-Vol (2)'!AH$4:AH$1116,'Val-Vol (2)'!$A$4:$A$1116,$D642,'Val-Vol (2)'!$V$4:$V$1116,$V642)/SUMIFS('Comp2016-2017 (3)'!$G$5:$G$289,'Comp2016-2017 (3)'!$A$5:$A$289,$D642,'Comp2016-2017 (3)'!$R$5:$R$289,$V642)*$AB642))</f>
        <v/>
      </c>
      <c r="AI642" s="2" t="str">
        <f>IF($W642=AI$3,$AB642,IF(NOT($W642=0),"",SUMIFS('Val-Vol (2)'!AI$4:AI$1116,'Val-Vol (2)'!$A$4:$A$1116,$D642,'Val-Vol (2)'!$V$4:$V$1116,$V642)/SUMIFS('Comp2016-2017 (3)'!$G$5:$G$289,'Comp2016-2017 (3)'!$A$5:$A$289,$D642,'Comp2016-2017 (3)'!$R$5:$R$289,$V642)*$AB642))</f>
        <v/>
      </c>
      <c r="AJ642" s="2" t="str">
        <f>IF($W642=AJ$3,$AB642,IF(NOT($W642=0),"",SUMIFS('Val-Vol (2)'!AJ$4:AJ$1116,'Val-Vol (2)'!$A$4:$A$1116,$D642,'Val-Vol (2)'!$V$4:$V$1116,$V642)/SUMIFS('Comp2016-2017 (3)'!$G$5:$G$289,'Comp2016-2017 (3)'!$A$5:$A$289,$D642,'Comp2016-2017 (3)'!$R$5:$R$289,$V642)*$AB642))</f>
        <v/>
      </c>
      <c r="AK642" s="2">
        <f t="shared" si="72"/>
        <v>0</v>
      </c>
      <c r="AL642" t="str">
        <f t="shared" si="68"/>
        <v/>
      </c>
      <c r="AM642" t="str">
        <f>VLOOKUP(A642,'Table corresp.'!$M$4:$U$63,8,FALSE)</f>
        <v>Production finale</v>
      </c>
      <c r="AN642" t="str">
        <f>VLOOKUP(D642,'Table corresp.'!$M$4:$U$63,9,FALSE)</f>
        <v>Exportation</v>
      </c>
    </row>
    <row r="643" spans="1:40" x14ac:dyDescent="0.25">
      <c r="A643" t="s">
        <v>95</v>
      </c>
      <c r="B643" t="str">
        <f>VLOOKUP(LEFT(A643,3),'Table corresp.'!$A$4:$D$63,3,FALSE)</f>
        <v>Transformation</v>
      </c>
      <c r="C643" t="str">
        <f>VLOOKUP(A643,'Table corresp.'!$M$4:$P$63,4,FALSE)</f>
        <v>Production et transformation de produits bois</v>
      </c>
      <c r="D643" t="s">
        <v>96</v>
      </c>
      <c r="E643" t="str">
        <f>VLOOKUP(LEFT(D643,3),'Table corresp.'!$A$4:$D$63,4,FALSE)</f>
        <v>Transformation</v>
      </c>
      <c r="F643" t="str">
        <f t="shared" si="67"/>
        <v xml:space="preserve">43  - 44 </v>
      </c>
      <c r="G643" s="3">
        <v>285056.05300440989</v>
      </c>
      <c r="H643" s="3">
        <v>1115046.423</v>
      </c>
      <c r="I643" s="3">
        <v>1400102.4837370755</v>
      </c>
      <c r="J643" s="3">
        <v>0</v>
      </c>
      <c r="K643" s="3">
        <v>0</v>
      </c>
      <c r="L643" s="3">
        <v>0</v>
      </c>
      <c r="M643" s="3">
        <v>2533.0305219422999</v>
      </c>
      <c r="N643" s="3">
        <v>5930.7883466589956</v>
      </c>
      <c r="O643" s="3">
        <v>8463.8188686012945</v>
      </c>
      <c r="P643" s="3">
        <v>0</v>
      </c>
      <c r="Q643" s="3">
        <v>0</v>
      </c>
      <c r="R643" s="3">
        <v>0</v>
      </c>
      <c r="S643" s="67"/>
      <c r="T643">
        <f>VLOOKUP(A643,'Groupe de branches'!$Z$27:$AM$86,14,FALSE)</f>
        <v>0</v>
      </c>
      <c r="U643">
        <f>VLOOKUP(D643,'Groupe de branches'!$Z$27:$AM$86,14,FALSE)</f>
        <v>0</v>
      </c>
      <c r="V643">
        <v>2017</v>
      </c>
      <c r="W643" t="str">
        <f>VLOOKUP(D643,'Table corresp.'!$M$4:$S$63,7,FALSE)</f>
        <v>Pate &amp; papier &amp; carton</v>
      </c>
      <c r="X643" s="167">
        <f>IFERROR(G643/SUMIFS('Comp2016-2017 (3)'!$I$5:$I$289,'Comp2016-2017 (3)'!$A$5:$A$289,A643,'Comp2016-2017 (3)'!$R$5:$R$289,V643),0)</f>
        <v>0.4185845181321643</v>
      </c>
      <c r="Y643" s="190">
        <f>IFERROR(IF(RIGHT(F643,3)="Exp",VLOOKUP(F643,#REF!,2,FALSE),VLOOKUP(F643,#REF!,9,FALSE)),1)</f>
        <v>1</v>
      </c>
      <c r="Z643" s="167">
        <f t="shared" ref="Z643:Z674" si="73">Y643/SUMIFS($Y$4:$Y$1116,$V$4:$V$1116,V643,$A$4:$A$1116,A643)</f>
        <v>0.5</v>
      </c>
      <c r="AA643" s="189">
        <f t="shared" si="69"/>
        <v>0.20929225906608215</v>
      </c>
      <c r="AB643" s="2">
        <f>IFERROR(SUMIFS('Comp2016-2017 (3)'!$G$5:$G$289,'Comp2016-2017 (3)'!$A$5:$A$289,A643,'Comp2016-2017 (3)'!$R$5:$R$289,V643)*AA643/SUMIFS($AA$4:$AA$1116,$A$4:$A$1116,A643,$V$4:$V$1116,V643),0)</f>
        <v>49655.346484146576</v>
      </c>
      <c r="AC643" s="2" t="str">
        <f>IF($W643=AC$3,$AB643,IF(NOT($W643=0),"",SUMIFS('Val-Vol (2)'!AC$4:AC$1116,'Val-Vol (2)'!$A$4:$A$1116,$D643,'Val-Vol (2)'!$V$4:$V$1116,$V643)/SUMIFS('Comp2016-2017 (3)'!$G$5:$G$289,'Comp2016-2017 (3)'!$A$5:$A$289,$D643,'Comp2016-2017 (3)'!$R$5:$R$289,$V643)*$AB643))</f>
        <v/>
      </c>
      <c r="AD643" s="2" t="str">
        <f>IF($W643=AD$3,$AB643,IF(NOT($W643=0),"",SUMIFS('Val-Vol (2)'!AD$4:AD$1116,'Val-Vol (2)'!$A$4:$A$1116,$D643,'Val-Vol (2)'!$V$4:$V$1116,$V643)/SUMIFS('Comp2016-2017 (3)'!$G$5:$G$289,'Comp2016-2017 (3)'!$A$5:$A$289,$D643,'Comp2016-2017 (3)'!$R$5:$R$289,$V643)*$AB643))</f>
        <v/>
      </c>
      <c r="AE643" s="2" t="str">
        <f>IF($W643=AE$3,$AB643,IF(NOT($W643=0),"",SUMIFS('Val-Vol (2)'!AE$4:AE$1116,'Val-Vol (2)'!$A$4:$A$1116,$D643,'Val-Vol (2)'!$V$4:$V$1116,$V643)/SUMIFS('Comp2016-2017 (3)'!$G$5:$G$289,'Comp2016-2017 (3)'!$A$5:$A$289,$D643,'Comp2016-2017 (3)'!$R$5:$R$289,$V643)*$AB643))</f>
        <v/>
      </c>
      <c r="AF643" s="2">
        <f>IF($W643=AF$3,$AB643,IF(NOT($W643=0),"",SUMIFS('Val-Vol (2)'!AF$4:AF$1116,'Val-Vol (2)'!$A$4:$A$1116,$D643,'Val-Vol (2)'!$V$4:$V$1116,$V643)/SUMIFS('Comp2016-2017 (3)'!$G$5:$G$289,'Comp2016-2017 (3)'!$A$5:$A$289,$D643,'Comp2016-2017 (3)'!$R$5:$R$289,$V643)*$AB643))</f>
        <v>49655.346484146576</v>
      </c>
      <c r="AG643" s="2" t="str">
        <f>IF($W643=AG$3,$AB643,IF(NOT($W643=0),"",SUMIFS('Val-Vol (2)'!AG$4:AG$1116,'Val-Vol (2)'!$A$4:$A$1116,$D643,'Val-Vol (2)'!$V$4:$V$1116,$V643)/SUMIFS('Comp2016-2017 (3)'!$G$5:$G$289,'Comp2016-2017 (3)'!$A$5:$A$289,$D643,'Comp2016-2017 (3)'!$R$5:$R$289,$V643)*$AB643))</f>
        <v/>
      </c>
      <c r="AH643" s="2" t="str">
        <f>IF($W643=AH$3,$AB643,IF(NOT($W643=0),"",SUMIFS('Val-Vol (2)'!AH$4:AH$1116,'Val-Vol (2)'!$A$4:$A$1116,$D643,'Val-Vol (2)'!$V$4:$V$1116,$V643)/SUMIFS('Comp2016-2017 (3)'!$G$5:$G$289,'Comp2016-2017 (3)'!$A$5:$A$289,$D643,'Comp2016-2017 (3)'!$R$5:$R$289,$V643)*$AB643))</f>
        <v/>
      </c>
      <c r="AI643" s="2" t="str">
        <f>IF($W643=AI$3,$AB643,IF(NOT($W643=0),"",SUMIFS('Val-Vol (2)'!AI$4:AI$1116,'Val-Vol (2)'!$A$4:$A$1116,$D643,'Val-Vol (2)'!$V$4:$V$1116,$V643)/SUMIFS('Comp2016-2017 (3)'!$G$5:$G$289,'Comp2016-2017 (3)'!$A$5:$A$289,$D643,'Comp2016-2017 (3)'!$R$5:$R$289,$V643)*$AB643))</f>
        <v/>
      </c>
      <c r="AJ643" s="2" t="str">
        <f>IF($W643=AJ$3,$AB643,IF(NOT($W643=0),"",SUMIFS('Val-Vol (2)'!AJ$4:AJ$1116,'Val-Vol (2)'!$A$4:$A$1116,$D643,'Val-Vol (2)'!$V$4:$V$1116,$V643)/SUMIFS('Comp2016-2017 (3)'!$G$5:$G$289,'Comp2016-2017 (3)'!$A$5:$A$289,$D643,'Comp2016-2017 (3)'!$R$5:$R$289,$V643)*$AB643))</f>
        <v/>
      </c>
      <c r="AK643" s="2">
        <f t="shared" si="72"/>
        <v>0</v>
      </c>
      <c r="AL643" t="str">
        <f t="shared" si="68"/>
        <v/>
      </c>
      <c r="AM643" t="str">
        <f>VLOOKUP(A643,'Table corresp.'!$M$4:$U$63,8,FALSE)</f>
        <v>Production intermédiaire</v>
      </c>
      <c r="AN643" t="str">
        <f>VLOOKUP(D643,'Table corresp.'!$M$4:$U$63,9,FALSE)</f>
        <v>Production intermédiaire</v>
      </c>
    </row>
    <row r="644" spans="1:40" x14ac:dyDescent="0.25">
      <c r="A644" t="s">
        <v>95</v>
      </c>
      <c r="B644" t="str">
        <f>VLOOKUP(LEFT(A644,3),'Table corresp.'!$A$4:$D$63,3,FALSE)</f>
        <v>Transformation</v>
      </c>
      <c r="C644" t="str">
        <f>VLOOKUP(A644,'Table corresp.'!$M$4:$P$63,4,FALSE)</f>
        <v>Production et transformation de produits bois</v>
      </c>
      <c r="D644" t="s">
        <v>53</v>
      </c>
      <c r="E644" t="str">
        <f>VLOOKUP(LEFT(D644,3),'Table corresp.'!$A$4:$D$63,4,FALSE)</f>
        <v>Exportation</v>
      </c>
      <c r="F644" t="str">
        <f t="shared" ref="F644:F707" si="74">LEFT(A644,3)&amp;" - "&amp;LEFT(D644,3)</f>
        <v>43  - Exp</v>
      </c>
      <c r="G644" s="3">
        <v>395943.93781322963</v>
      </c>
      <c r="H644" s="3">
        <v>0</v>
      </c>
      <c r="I644" s="3">
        <v>395943.94000000006</v>
      </c>
      <c r="J644" s="3">
        <v>0</v>
      </c>
      <c r="K644" s="3">
        <v>0</v>
      </c>
      <c r="L644" s="3">
        <v>0</v>
      </c>
      <c r="M644" s="3">
        <v>2034.690669656818</v>
      </c>
      <c r="N644" s="3">
        <v>0</v>
      </c>
      <c r="O644" s="3">
        <v>2034.690669656818</v>
      </c>
      <c r="P644" s="3">
        <v>0</v>
      </c>
      <c r="Q644" s="3">
        <v>0</v>
      </c>
      <c r="R644" s="3">
        <v>0</v>
      </c>
      <c r="S644" s="67"/>
      <c r="T644">
        <f>VLOOKUP(A644,'Groupe de branches'!$Z$27:$AM$86,14,FALSE)</f>
        <v>0</v>
      </c>
      <c r="U644">
        <f>VLOOKUP(D644,'Groupe de branches'!$Z$27:$AM$86,14,FALSE)</f>
        <v>0</v>
      </c>
      <c r="V644">
        <v>2017</v>
      </c>
      <c r="W644" t="str">
        <f>VLOOKUP(D644,'Table corresp.'!$M$4:$S$63,7,FALSE)</f>
        <v>Exportation</v>
      </c>
      <c r="X644" s="167">
        <f>IFERROR(G644/SUMIFS('Comp2016-2017 (3)'!$I$5:$I$289,'Comp2016-2017 (3)'!$A$5:$A$289,A644,'Comp2016-2017 (3)'!$R$5:$R$289,V644),0)</f>
        <v>0.58141548186783587</v>
      </c>
      <c r="Y644" s="190">
        <f>IFERROR(IF(RIGHT(F644,3)="Exp",VLOOKUP(F644,#REF!,2,FALSE),VLOOKUP(F644,#REF!,9,FALSE)),1)</f>
        <v>1</v>
      </c>
      <c r="Z644" s="167">
        <f t="shared" si="73"/>
        <v>0.5</v>
      </c>
      <c r="AA644" s="189">
        <f t="shared" si="69"/>
        <v>0.29070774093391794</v>
      </c>
      <c r="AB644" s="2">
        <f>IFERROR(SUMIFS('Comp2016-2017 (3)'!$G$5:$G$289,'Comp2016-2017 (3)'!$A$5:$A$289,A644,'Comp2016-2017 (3)'!$R$5:$R$289,V644)*AA644/SUMIFS($AA$4:$AA$1116,$A$4:$A$1116,A644,$V$4:$V$1116,V644),0)</f>
        <v>68971.464430222593</v>
      </c>
      <c r="AC644" s="2">
        <f>IF($W644=AC$3,$AB644,IF(NOT($W644=0),"",SUMIFS('Val-Vol (2)'!AC$4:AC$1116,'Val-Vol (2)'!$A$4:$A$1116,$D644,'Val-Vol (2)'!$V$4:$V$1116,$V644)/SUMIFS('Comp2016-2017 (3)'!$G$5:$G$289,'Comp2016-2017 (3)'!$A$5:$A$289,$D644,'Comp2016-2017 (3)'!$R$5:$R$289,$V644)*$AB644))</f>
        <v>68971.464430222593</v>
      </c>
      <c r="AD644" s="2" t="str">
        <f>IF($W644=AD$3,$AB644,IF(NOT($W644=0),"",SUMIFS('Val-Vol (2)'!AD$4:AD$1116,'Val-Vol (2)'!$A$4:$A$1116,$D644,'Val-Vol (2)'!$V$4:$V$1116,$V644)/SUMIFS('Comp2016-2017 (3)'!$G$5:$G$289,'Comp2016-2017 (3)'!$A$5:$A$289,$D644,'Comp2016-2017 (3)'!$R$5:$R$289,$V644)*$AB644))</f>
        <v/>
      </c>
      <c r="AE644" s="2" t="str">
        <f>IF($W644=AE$3,$AB644,IF(NOT($W644=0),"",SUMIFS('Val-Vol (2)'!AE$4:AE$1116,'Val-Vol (2)'!$A$4:$A$1116,$D644,'Val-Vol (2)'!$V$4:$V$1116,$V644)/SUMIFS('Comp2016-2017 (3)'!$G$5:$G$289,'Comp2016-2017 (3)'!$A$5:$A$289,$D644,'Comp2016-2017 (3)'!$R$5:$R$289,$V644)*$AB644))</f>
        <v/>
      </c>
      <c r="AF644" s="2" t="str">
        <f>IF($W644=AF$3,$AB644,IF(NOT($W644=0),"",SUMIFS('Val-Vol (2)'!AF$4:AF$1116,'Val-Vol (2)'!$A$4:$A$1116,$D644,'Val-Vol (2)'!$V$4:$V$1116,$V644)/SUMIFS('Comp2016-2017 (3)'!$G$5:$G$289,'Comp2016-2017 (3)'!$A$5:$A$289,$D644,'Comp2016-2017 (3)'!$R$5:$R$289,$V644)*$AB644))</f>
        <v/>
      </c>
      <c r="AG644" s="2" t="str">
        <f>IF($W644=AG$3,$AB644,IF(NOT($W644=0),"",SUMIFS('Val-Vol (2)'!AG$4:AG$1116,'Val-Vol (2)'!$A$4:$A$1116,$D644,'Val-Vol (2)'!$V$4:$V$1116,$V644)/SUMIFS('Comp2016-2017 (3)'!$G$5:$G$289,'Comp2016-2017 (3)'!$A$5:$A$289,$D644,'Comp2016-2017 (3)'!$R$5:$R$289,$V644)*$AB644))</f>
        <v/>
      </c>
      <c r="AH644" s="2" t="str">
        <f>IF($W644=AH$3,$AB644,IF(NOT($W644=0),"",SUMIFS('Val-Vol (2)'!AH$4:AH$1116,'Val-Vol (2)'!$A$4:$A$1116,$D644,'Val-Vol (2)'!$V$4:$V$1116,$V644)/SUMIFS('Comp2016-2017 (3)'!$G$5:$G$289,'Comp2016-2017 (3)'!$A$5:$A$289,$D644,'Comp2016-2017 (3)'!$R$5:$R$289,$V644)*$AB644))</f>
        <v/>
      </c>
      <c r="AI644" s="2" t="str">
        <f>IF($W644=AI$3,$AB644,IF(NOT($W644=0),"",SUMIFS('Val-Vol (2)'!AI$4:AI$1116,'Val-Vol (2)'!$A$4:$A$1116,$D644,'Val-Vol (2)'!$V$4:$V$1116,$V644)/SUMIFS('Comp2016-2017 (3)'!$G$5:$G$289,'Comp2016-2017 (3)'!$A$5:$A$289,$D644,'Comp2016-2017 (3)'!$R$5:$R$289,$V644)*$AB644))</f>
        <v/>
      </c>
      <c r="AJ644" s="2" t="str">
        <f>IF($W644=AJ$3,$AB644,IF(NOT($W644=0),"",SUMIFS('Val-Vol (2)'!AJ$4:AJ$1116,'Val-Vol (2)'!$A$4:$A$1116,$D644,'Val-Vol (2)'!$V$4:$V$1116,$V644)/SUMIFS('Comp2016-2017 (3)'!$G$5:$G$289,'Comp2016-2017 (3)'!$A$5:$A$289,$D644,'Comp2016-2017 (3)'!$R$5:$R$289,$V644)*$AB644))</f>
        <v/>
      </c>
      <c r="AK644" s="2">
        <f t="shared" si="72"/>
        <v>0</v>
      </c>
      <c r="AL644" t="str">
        <f t="shared" ref="AL644:AL707" si="75">IF(A644=D644,"remplir à la main","")</f>
        <v/>
      </c>
      <c r="AM644" t="str">
        <f>VLOOKUP(A644,'Table corresp.'!$M$4:$U$63,8,FALSE)</f>
        <v>Production intermédiaire</v>
      </c>
      <c r="AN644" t="str">
        <f>VLOOKUP(D644,'Table corresp.'!$M$4:$U$63,9,FALSE)</f>
        <v>Exportation</v>
      </c>
    </row>
    <row r="645" spans="1:40" x14ac:dyDescent="0.25">
      <c r="A645" t="s">
        <v>96</v>
      </c>
      <c r="B645" t="str">
        <f>VLOOKUP(LEFT(A645,3),'Table corresp.'!$A$4:$D$63,3,FALSE)</f>
        <v>Transformation</v>
      </c>
      <c r="C645" t="str">
        <f>VLOOKUP(A645,'Table corresp.'!$M$4:$P$63,4,FALSE)</f>
        <v>Production et transformation de produits bois</v>
      </c>
      <c r="D645" t="s">
        <v>97</v>
      </c>
      <c r="E645" t="str">
        <f>VLOOKUP(LEFT(D645,3),'Table corresp.'!$A$4:$D$63,4,FALSE)</f>
        <v>Transformation</v>
      </c>
      <c r="F645" t="str">
        <f t="shared" si="74"/>
        <v xml:space="preserve">44  - 45 </v>
      </c>
      <c r="G645" s="3">
        <v>483638.54279799428</v>
      </c>
      <c r="H645" s="3">
        <v>2077864.7488459335</v>
      </c>
      <c r="I645" s="3">
        <v>2561503.3166094096</v>
      </c>
      <c r="J645" s="3">
        <v>0</v>
      </c>
      <c r="K645" s="3">
        <v>0</v>
      </c>
      <c r="L645" s="3">
        <v>0</v>
      </c>
      <c r="M645" s="3">
        <v>889.71959750928011</v>
      </c>
      <c r="N645" s="3">
        <v>2728.4737117830355</v>
      </c>
      <c r="O645" s="3">
        <v>3618.1933092923155</v>
      </c>
      <c r="P645" s="3">
        <v>0</v>
      </c>
      <c r="Q645" s="3">
        <v>0</v>
      </c>
      <c r="R645" s="3">
        <v>0</v>
      </c>
      <c r="S645" s="67"/>
      <c r="T645">
        <f>VLOOKUP(A645,'Groupe de branches'!$Z$27:$AM$86,14,FALSE)</f>
        <v>0</v>
      </c>
      <c r="U645">
        <f>VLOOKUP(D645,'Groupe de branches'!$Z$27:$AM$86,14,FALSE)</f>
        <v>0</v>
      </c>
      <c r="V645">
        <v>2017</v>
      </c>
      <c r="W645" t="str">
        <f>VLOOKUP(D645,'Table corresp.'!$M$4:$S$63,7,FALSE)</f>
        <v>Pate &amp; papier &amp; carton</v>
      </c>
      <c r="X645" s="167">
        <f>IFERROR(G645/SUMIFS('Comp2016-2017 (3)'!$I$5:$I$289,'Comp2016-2017 (3)'!$A$5:$A$289,A645,'Comp2016-2017 (3)'!$R$5:$R$289,V645),0)</f>
        <v>8.9153412909062715E-2</v>
      </c>
      <c r="Y645" s="190">
        <f>IFERROR(IF(RIGHT(F645,3)="Exp",VLOOKUP(F645,#REF!,2,FALSE),VLOOKUP(F645,#REF!,9,FALSE)),1)</f>
        <v>1</v>
      </c>
      <c r="Z645" s="167">
        <f t="shared" si="73"/>
        <v>0.33333333333333331</v>
      </c>
      <c r="AA645" s="189">
        <f t="shared" ref="AA645:AA708" si="76">X645*Z645</f>
        <v>2.9717804303020904E-2</v>
      </c>
      <c r="AB645" s="2">
        <f>IFERROR(SUMIFS('Comp2016-2017 (3)'!$G$5:$G$289,'Comp2016-2017 (3)'!$A$5:$A$289,A645,'Comp2016-2017 (3)'!$R$5:$R$289,V645)*AA645/SUMIFS($AA$4:$AA$1116,$A$4:$A$1116,A645,$V$4:$V$1116,V645),0)</f>
        <v>116501.01180993777</v>
      </c>
      <c r="AC645" s="2" t="str">
        <f>IF($W645=AC$3,$AB645,IF(NOT($W645=0),"",SUMIFS('Val-Vol (2)'!AC$4:AC$1116,'Val-Vol (2)'!$A$4:$A$1116,$D645,'Val-Vol (2)'!$V$4:$V$1116,$V645)/SUMIFS('Comp2016-2017 (3)'!$G$5:$G$289,'Comp2016-2017 (3)'!$A$5:$A$289,$D645,'Comp2016-2017 (3)'!$R$5:$R$289,$V645)*$AB645))</f>
        <v/>
      </c>
      <c r="AD645" s="2" t="str">
        <f>IF($W645=AD$3,$AB645,IF(NOT($W645=0),"",SUMIFS('Val-Vol (2)'!AD$4:AD$1116,'Val-Vol (2)'!$A$4:$A$1116,$D645,'Val-Vol (2)'!$V$4:$V$1116,$V645)/SUMIFS('Comp2016-2017 (3)'!$G$5:$G$289,'Comp2016-2017 (3)'!$A$5:$A$289,$D645,'Comp2016-2017 (3)'!$R$5:$R$289,$V645)*$AB645))</f>
        <v/>
      </c>
      <c r="AE645" s="2" t="str">
        <f>IF($W645=AE$3,$AB645,IF(NOT($W645=0),"",SUMIFS('Val-Vol (2)'!AE$4:AE$1116,'Val-Vol (2)'!$A$4:$A$1116,$D645,'Val-Vol (2)'!$V$4:$V$1116,$V645)/SUMIFS('Comp2016-2017 (3)'!$G$5:$G$289,'Comp2016-2017 (3)'!$A$5:$A$289,$D645,'Comp2016-2017 (3)'!$R$5:$R$289,$V645)*$AB645))</f>
        <v/>
      </c>
      <c r="AF645" s="2">
        <f>IF($W645=AF$3,$AB645,IF(NOT($W645=0),"",SUMIFS('Val-Vol (2)'!AF$4:AF$1116,'Val-Vol (2)'!$A$4:$A$1116,$D645,'Val-Vol (2)'!$V$4:$V$1116,$V645)/SUMIFS('Comp2016-2017 (3)'!$G$5:$G$289,'Comp2016-2017 (3)'!$A$5:$A$289,$D645,'Comp2016-2017 (3)'!$R$5:$R$289,$V645)*$AB645))</f>
        <v>116501.01180993777</v>
      </c>
      <c r="AG645" s="2" t="str">
        <f>IF($W645=AG$3,$AB645,IF(NOT($W645=0),"",SUMIFS('Val-Vol (2)'!AG$4:AG$1116,'Val-Vol (2)'!$A$4:$A$1116,$D645,'Val-Vol (2)'!$V$4:$V$1116,$V645)/SUMIFS('Comp2016-2017 (3)'!$G$5:$G$289,'Comp2016-2017 (3)'!$A$5:$A$289,$D645,'Comp2016-2017 (3)'!$R$5:$R$289,$V645)*$AB645))</f>
        <v/>
      </c>
      <c r="AH645" s="2" t="str">
        <f>IF($W645=AH$3,$AB645,IF(NOT($W645=0),"",SUMIFS('Val-Vol (2)'!AH$4:AH$1116,'Val-Vol (2)'!$A$4:$A$1116,$D645,'Val-Vol (2)'!$V$4:$V$1116,$V645)/SUMIFS('Comp2016-2017 (3)'!$G$5:$G$289,'Comp2016-2017 (3)'!$A$5:$A$289,$D645,'Comp2016-2017 (3)'!$R$5:$R$289,$V645)*$AB645))</f>
        <v/>
      </c>
      <c r="AI645" s="2" t="str">
        <f>IF($W645=AI$3,$AB645,IF(NOT($W645=0),"",SUMIFS('Val-Vol (2)'!AI$4:AI$1116,'Val-Vol (2)'!$A$4:$A$1116,$D645,'Val-Vol (2)'!$V$4:$V$1116,$V645)/SUMIFS('Comp2016-2017 (3)'!$G$5:$G$289,'Comp2016-2017 (3)'!$A$5:$A$289,$D645,'Comp2016-2017 (3)'!$R$5:$R$289,$V645)*$AB645))</f>
        <v/>
      </c>
      <c r="AJ645" s="2" t="str">
        <f>IF($W645=AJ$3,$AB645,IF(NOT($W645=0),"",SUMIFS('Val-Vol (2)'!AJ$4:AJ$1116,'Val-Vol (2)'!$A$4:$A$1116,$D645,'Val-Vol (2)'!$V$4:$V$1116,$V645)/SUMIFS('Comp2016-2017 (3)'!$G$5:$G$289,'Comp2016-2017 (3)'!$A$5:$A$289,$D645,'Comp2016-2017 (3)'!$R$5:$R$289,$V645)*$AB645))</f>
        <v/>
      </c>
      <c r="AK645" s="2">
        <f t="shared" si="72"/>
        <v>0</v>
      </c>
      <c r="AL645" t="str">
        <f t="shared" si="75"/>
        <v/>
      </c>
      <c r="AM645" t="str">
        <f>VLOOKUP(A645,'Table corresp.'!$M$4:$U$63,8,FALSE)</f>
        <v>Production intermédiaire</v>
      </c>
      <c r="AN645" t="str">
        <f>VLOOKUP(D645,'Table corresp.'!$M$4:$U$63,9,FALSE)</f>
        <v>Production finale</v>
      </c>
    </row>
    <row r="646" spans="1:40" x14ac:dyDescent="0.25">
      <c r="A646" t="s">
        <v>96</v>
      </c>
      <c r="B646" t="str">
        <f>VLOOKUP(LEFT(A646,3),'Table corresp.'!$A$4:$D$63,3,FALSE)</f>
        <v>Transformation</v>
      </c>
      <c r="C646" t="str">
        <f>VLOOKUP(A646,'Table corresp.'!$M$4:$P$63,4,FALSE)</f>
        <v>Production et transformation de produits bois</v>
      </c>
      <c r="D646" t="s">
        <v>54</v>
      </c>
      <c r="E646" t="str">
        <f>VLOOKUP(LEFT(D646,3),'Table corresp.'!$A$4:$D$63,4,FALSE)</f>
        <v>Consommation finale</v>
      </c>
      <c r="F646" t="str">
        <f t="shared" si="74"/>
        <v>44  - Con</v>
      </c>
      <c r="G646" s="3">
        <v>1257948.5637168302</v>
      </c>
      <c r="H646" s="3">
        <v>2010928.2011540649</v>
      </c>
      <c r="I646" s="3">
        <v>3268876.78039059</v>
      </c>
      <c r="J646" s="3">
        <v>0</v>
      </c>
      <c r="K646" s="3">
        <v>0</v>
      </c>
      <c r="L646" s="3">
        <v>0</v>
      </c>
      <c r="M646" s="3">
        <v>2314.1693449874419</v>
      </c>
      <c r="N646" s="3">
        <v>2640.5783803683162</v>
      </c>
      <c r="O646" s="3">
        <v>4954.7477253557581</v>
      </c>
      <c r="P646" s="3">
        <v>0</v>
      </c>
      <c r="Q646" s="3">
        <v>0</v>
      </c>
      <c r="R646" s="3">
        <v>0</v>
      </c>
      <c r="S646" s="67"/>
      <c r="T646">
        <f>VLOOKUP(A646,'Groupe de branches'!$Z$27:$AM$86,14,FALSE)</f>
        <v>0</v>
      </c>
      <c r="U646">
        <f>VLOOKUP(D646,'Groupe de branches'!$Z$27:$AM$86,14,FALSE)</f>
        <v>0</v>
      </c>
      <c r="V646">
        <v>2017</v>
      </c>
      <c r="W646" t="str">
        <f>VLOOKUP(D646,'Table corresp.'!$M$4:$S$63,7,FALSE)</f>
        <v>Consommation finale</v>
      </c>
      <c r="X646" s="167">
        <f>IFERROR(G646/SUMIFS('Comp2016-2017 (3)'!$I$5:$I$289,'Comp2016-2017 (3)'!$A$5:$A$289,A646,'Comp2016-2017 (3)'!$R$5:$R$289,V646),0)</f>
        <v>0.23188889593162934</v>
      </c>
      <c r="Y646" s="190">
        <f>IFERROR(IF(RIGHT(F646,3)="Exp",VLOOKUP(F646,#REF!,2,FALSE),VLOOKUP(F646,#REF!,9,FALSE)),1)</f>
        <v>1</v>
      </c>
      <c r="Z646" s="167">
        <f t="shared" si="73"/>
        <v>0.33333333333333331</v>
      </c>
      <c r="AA646" s="189">
        <f t="shared" si="76"/>
        <v>7.7296298643876438E-2</v>
      </c>
      <c r="AB646" s="2">
        <f>IFERROR(SUMIFS('Comp2016-2017 (3)'!$G$5:$G$289,'Comp2016-2017 (3)'!$A$5:$A$289,A646,'Comp2016-2017 (3)'!$R$5:$R$289,V646)*AA646/SUMIFS($AA$4:$AA$1116,$A$4:$A$1116,A646,$V$4:$V$1116,V646),0)</f>
        <v>303020.26722274802</v>
      </c>
      <c r="AC646" s="2" t="str">
        <f>IF($W646=AC$3,$AB646,IF(NOT($W646=0),"",SUMIFS('Val-Vol (2)'!AC$4:AC$1116,'Val-Vol (2)'!$A$4:$A$1116,$D646,'Val-Vol (2)'!$V$4:$V$1116,$V646)/SUMIFS('Comp2016-2017 (3)'!$G$5:$G$289,'Comp2016-2017 (3)'!$A$5:$A$289,$D646,'Comp2016-2017 (3)'!$R$5:$R$289,$V646)*$AB646))</f>
        <v/>
      </c>
      <c r="AD646" s="2" t="str">
        <f>IF($W646=AD$3,$AB646,IF(NOT($W646=0),"",SUMIFS('Val-Vol (2)'!AD$4:AD$1116,'Val-Vol (2)'!$A$4:$A$1116,$D646,'Val-Vol (2)'!$V$4:$V$1116,$V646)/SUMIFS('Comp2016-2017 (3)'!$G$5:$G$289,'Comp2016-2017 (3)'!$A$5:$A$289,$D646,'Comp2016-2017 (3)'!$R$5:$R$289,$V646)*$AB646))</f>
        <v/>
      </c>
      <c r="AE646" s="2" t="str">
        <f>IF($W646=AE$3,$AB646,IF(NOT($W646=0),"",SUMIFS('Val-Vol (2)'!AE$4:AE$1116,'Val-Vol (2)'!$A$4:$A$1116,$D646,'Val-Vol (2)'!$V$4:$V$1116,$V646)/SUMIFS('Comp2016-2017 (3)'!$G$5:$G$289,'Comp2016-2017 (3)'!$A$5:$A$289,$D646,'Comp2016-2017 (3)'!$R$5:$R$289,$V646)*$AB646))</f>
        <v/>
      </c>
      <c r="AF646" s="2" t="str">
        <f>IF($W646=AF$3,$AB646,IF(NOT($W646=0),"",SUMIFS('Val-Vol (2)'!AF$4:AF$1116,'Val-Vol (2)'!$A$4:$A$1116,$D646,'Val-Vol (2)'!$V$4:$V$1116,$V646)/SUMIFS('Comp2016-2017 (3)'!$G$5:$G$289,'Comp2016-2017 (3)'!$A$5:$A$289,$D646,'Comp2016-2017 (3)'!$R$5:$R$289,$V646)*$AB646))</f>
        <v/>
      </c>
      <c r="AG646" s="2" t="str">
        <f>IF($W646=AG$3,$AB646,IF(NOT($W646=0),"",SUMIFS('Val-Vol (2)'!AG$4:AG$1116,'Val-Vol (2)'!$A$4:$A$1116,$D646,'Val-Vol (2)'!$V$4:$V$1116,$V646)/SUMIFS('Comp2016-2017 (3)'!$G$5:$G$289,'Comp2016-2017 (3)'!$A$5:$A$289,$D646,'Comp2016-2017 (3)'!$R$5:$R$289,$V646)*$AB646))</f>
        <v/>
      </c>
      <c r="AH646" s="2" t="str">
        <f>IF($W646=AH$3,$AB646,IF(NOT($W646=0),"",SUMIFS('Val-Vol (2)'!AH$4:AH$1116,'Val-Vol (2)'!$A$4:$A$1116,$D646,'Val-Vol (2)'!$V$4:$V$1116,$V646)/SUMIFS('Comp2016-2017 (3)'!$G$5:$G$289,'Comp2016-2017 (3)'!$A$5:$A$289,$D646,'Comp2016-2017 (3)'!$R$5:$R$289,$V646)*$AB646))</f>
        <v/>
      </c>
      <c r="AI646" s="2" t="str">
        <f>IF($W646=AI$3,$AB646,IF(NOT($W646=0),"",SUMIFS('Val-Vol (2)'!AI$4:AI$1116,'Val-Vol (2)'!$A$4:$A$1116,$D646,'Val-Vol (2)'!$V$4:$V$1116,$V646)/SUMIFS('Comp2016-2017 (3)'!$G$5:$G$289,'Comp2016-2017 (3)'!$A$5:$A$289,$D646,'Comp2016-2017 (3)'!$R$5:$R$289,$V646)*$AB646))</f>
        <v/>
      </c>
      <c r="AJ646" s="2">
        <f>IF($W646=AJ$3,$AB646,IF(NOT($W646=0),"",SUMIFS('Val-Vol (2)'!AJ$4:AJ$1116,'Val-Vol (2)'!$A$4:$A$1116,$D646,'Val-Vol (2)'!$V$4:$V$1116,$V646)/SUMIFS('Comp2016-2017 (3)'!$G$5:$G$289,'Comp2016-2017 (3)'!$A$5:$A$289,$D646,'Comp2016-2017 (3)'!$R$5:$R$289,$V646)*$AB646))</f>
        <v>303020.26722274802</v>
      </c>
      <c r="AK646" s="2">
        <f t="shared" si="72"/>
        <v>0</v>
      </c>
      <c r="AL646" t="str">
        <f t="shared" si="75"/>
        <v/>
      </c>
      <c r="AM646" t="str">
        <f>VLOOKUP(A646,'Table corresp.'!$M$4:$U$63,8,FALSE)</f>
        <v>Production intermédiaire</v>
      </c>
      <c r="AN646" t="str">
        <f>VLOOKUP(D646,'Table corresp.'!$M$4:$U$63,9,FALSE)</f>
        <v>Consommation finale française</v>
      </c>
    </row>
    <row r="647" spans="1:40" x14ac:dyDescent="0.25">
      <c r="A647" t="s">
        <v>96</v>
      </c>
      <c r="B647" t="str">
        <f>VLOOKUP(LEFT(A647,3),'Table corresp.'!$A$4:$D$63,3,FALSE)</f>
        <v>Transformation</v>
      </c>
      <c r="C647" t="str">
        <f>VLOOKUP(A647,'Table corresp.'!$M$4:$P$63,4,FALSE)</f>
        <v>Production et transformation de produits bois</v>
      </c>
      <c r="D647" t="s">
        <v>53</v>
      </c>
      <c r="E647" t="str">
        <f>VLOOKUP(LEFT(D647,3),'Table corresp.'!$A$4:$D$63,4,FALSE)</f>
        <v>Exportation</v>
      </c>
      <c r="F647" t="str">
        <f t="shared" si="74"/>
        <v>44  - Exp</v>
      </c>
      <c r="G647" s="3">
        <v>3683202.8932949402</v>
      </c>
      <c r="H647" s="3">
        <v>0</v>
      </c>
      <c r="I647" s="3">
        <v>3683202.8530000001</v>
      </c>
      <c r="J647" s="3">
        <v>0</v>
      </c>
      <c r="K647" s="3">
        <v>0</v>
      </c>
      <c r="L647" s="3">
        <v>0</v>
      </c>
      <c r="M647" s="3">
        <v>5259.9299261045726</v>
      </c>
      <c r="N647" s="3">
        <v>0</v>
      </c>
      <c r="O647" s="3">
        <v>5259.9299261045726</v>
      </c>
      <c r="P647" s="3">
        <v>0</v>
      </c>
      <c r="Q647" s="3">
        <v>0</v>
      </c>
      <c r="R647" s="3">
        <v>0</v>
      </c>
      <c r="S647" s="67"/>
      <c r="T647">
        <f>VLOOKUP(A647,'Groupe de branches'!$Z$27:$AM$86,14,FALSE)</f>
        <v>0</v>
      </c>
      <c r="U647">
        <f>VLOOKUP(D647,'Groupe de branches'!$Z$27:$AM$86,14,FALSE)</f>
        <v>0</v>
      </c>
      <c r="V647">
        <v>2017</v>
      </c>
      <c r="W647" t="str">
        <f>VLOOKUP(D647,'Table corresp.'!$M$4:$S$63,7,FALSE)</f>
        <v>Exportation</v>
      </c>
      <c r="X647" s="167">
        <f>IFERROR(G647/SUMIFS('Comp2016-2017 (3)'!$I$5:$I$289,'Comp2016-2017 (3)'!$A$5:$A$289,A647,'Comp2016-2017 (3)'!$R$5:$R$289,V647),0)</f>
        <v>0.67895769115930782</v>
      </c>
      <c r="Y647" s="190">
        <f>IFERROR(IF(RIGHT(F647,3)="Exp",VLOOKUP(F647,#REF!,2,FALSE),VLOOKUP(F647,#REF!,9,FALSE)),1)</f>
        <v>1</v>
      </c>
      <c r="Z647" s="167">
        <f t="shared" si="73"/>
        <v>0.33333333333333331</v>
      </c>
      <c r="AA647" s="189">
        <f t="shared" si="76"/>
        <v>0.22631923038643592</v>
      </c>
      <c r="AB647" s="2">
        <f>IFERROR(SUMIFS('Comp2016-2017 (3)'!$G$5:$G$289,'Comp2016-2017 (3)'!$A$5:$A$289,A647,'Comp2016-2017 (3)'!$R$5:$R$289,V647)*AA647/SUMIFS($AA$4:$AA$1116,$A$4:$A$1116,A647,$V$4:$V$1116,V647),0)</f>
        <v>887226.35976797168</v>
      </c>
      <c r="AC647" s="2">
        <f>IF($W647=AC$3,$AB647,IF(NOT($W647=0),"",SUMIFS('Val-Vol (2)'!AC$4:AC$1116,'Val-Vol (2)'!$A$4:$A$1116,$D647,'Val-Vol (2)'!$V$4:$V$1116,$V647)/SUMIFS('Comp2016-2017 (3)'!$G$5:$G$289,'Comp2016-2017 (3)'!$A$5:$A$289,$D647,'Comp2016-2017 (3)'!$R$5:$R$289,$V647)*$AB647))</f>
        <v>887226.35976797168</v>
      </c>
      <c r="AD647" s="2" t="str">
        <f>IF($W647=AD$3,$AB647,IF(NOT($W647=0),"",SUMIFS('Val-Vol (2)'!AD$4:AD$1116,'Val-Vol (2)'!$A$4:$A$1116,$D647,'Val-Vol (2)'!$V$4:$V$1116,$V647)/SUMIFS('Comp2016-2017 (3)'!$G$5:$G$289,'Comp2016-2017 (3)'!$A$5:$A$289,$D647,'Comp2016-2017 (3)'!$R$5:$R$289,$V647)*$AB647))</f>
        <v/>
      </c>
      <c r="AE647" s="2" t="str">
        <f>IF($W647=AE$3,$AB647,IF(NOT($W647=0),"",SUMIFS('Val-Vol (2)'!AE$4:AE$1116,'Val-Vol (2)'!$A$4:$A$1116,$D647,'Val-Vol (2)'!$V$4:$V$1116,$V647)/SUMIFS('Comp2016-2017 (3)'!$G$5:$G$289,'Comp2016-2017 (3)'!$A$5:$A$289,$D647,'Comp2016-2017 (3)'!$R$5:$R$289,$V647)*$AB647))</f>
        <v/>
      </c>
      <c r="AF647" s="2" t="str">
        <f>IF($W647=AF$3,$AB647,IF(NOT($W647=0),"",SUMIFS('Val-Vol (2)'!AF$4:AF$1116,'Val-Vol (2)'!$A$4:$A$1116,$D647,'Val-Vol (2)'!$V$4:$V$1116,$V647)/SUMIFS('Comp2016-2017 (3)'!$G$5:$G$289,'Comp2016-2017 (3)'!$A$5:$A$289,$D647,'Comp2016-2017 (3)'!$R$5:$R$289,$V647)*$AB647))</f>
        <v/>
      </c>
      <c r="AG647" s="2" t="str">
        <f>IF($W647=AG$3,$AB647,IF(NOT($W647=0),"",SUMIFS('Val-Vol (2)'!AG$4:AG$1116,'Val-Vol (2)'!$A$4:$A$1116,$D647,'Val-Vol (2)'!$V$4:$V$1116,$V647)/SUMIFS('Comp2016-2017 (3)'!$G$5:$G$289,'Comp2016-2017 (3)'!$A$5:$A$289,$D647,'Comp2016-2017 (3)'!$R$5:$R$289,$V647)*$AB647))</f>
        <v/>
      </c>
      <c r="AH647" s="2" t="str">
        <f>IF($W647=AH$3,$AB647,IF(NOT($W647=0),"",SUMIFS('Val-Vol (2)'!AH$4:AH$1116,'Val-Vol (2)'!$A$4:$A$1116,$D647,'Val-Vol (2)'!$V$4:$V$1116,$V647)/SUMIFS('Comp2016-2017 (3)'!$G$5:$G$289,'Comp2016-2017 (3)'!$A$5:$A$289,$D647,'Comp2016-2017 (3)'!$R$5:$R$289,$V647)*$AB647))</f>
        <v/>
      </c>
      <c r="AI647" s="2" t="str">
        <f>IF($W647=AI$3,$AB647,IF(NOT($W647=0),"",SUMIFS('Val-Vol (2)'!AI$4:AI$1116,'Val-Vol (2)'!$A$4:$A$1116,$D647,'Val-Vol (2)'!$V$4:$V$1116,$V647)/SUMIFS('Comp2016-2017 (3)'!$G$5:$G$289,'Comp2016-2017 (3)'!$A$5:$A$289,$D647,'Comp2016-2017 (3)'!$R$5:$R$289,$V647)*$AB647))</f>
        <v/>
      </c>
      <c r="AJ647" s="2" t="str">
        <f>IF($W647=AJ$3,$AB647,IF(NOT($W647=0),"",SUMIFS('Val-Vol (2)'!AJ$4:AJ$1116,'Val-Vol (2)'!$A$4:$A$1116,$D647,'Val-Vol (2)'!$V$4:$V$1116,$V647)/SUMIFS('Comp2016-2017 (3)'!$G$5:$G$289,'Comp2016-2017 (3)'!$A$5:$A$289,$D647,'Comp2016-2017 (3)'!$R$5:$R$289,$V647)*$AB647))</f>
        <v/>
      </c>
      <c r="AK647" s="2">
        <f t="shared" si="72"/>
        <v>0</v>
      </c>
      <c r="AL647" t="str">
        <f t="shared" si="75"/>
        <v/>
      </c>
      <c r="AM647" t="str">
        <f>VLOOKUP(A647,'Table corresp.'!$M$4:$U$63,8,FALSE)</f>
        <v>Production intermédiaire</v>
      </c>
      <c r="AN647" t="str">
        <f>VLOOKUP(D647,'Table corresp.'!$M$4:$U$63,9,FALSE)</f>
        <v>Exportation</v>
      </c>
    </row>
    <row r="648" spans="1:40" x14ac:dyDescent="0.25">
      <c r="A648" t="s">
        <v>97</v>
      </c>
      <c r="B648" t="str">
        <f>VLOOKUP(LEFT(A648,3),'Table corresp.'!$A$4:$D$63,3,FALSE)</f>
        <v>Transformation</v>
      </c>
      <c r="C648" t="str">
        <f>VLOOKUP(A648,'Table corresp.'!$M$4:$P$63,4,FALSE)</f>
        <v>Production et transformation de produits bois</v>
      </c>
      <c r="D648" t="s">
        <v>97</v>
      </c>
      <c r="E648" t="str">
        <f>VLOOKUP(LEFT(D648,3),'Table corresp.'!$A$4:$D$63,4,FALSE)</f>
        <v>Transformation</v>
      </c>
      <c r="F648" t="str">
        <f t="shared" si="74"/>
        <v xml:space="preserve">45  - 45 </v>
      </c>
      <c r="G648" s="3">
        <v>50914.035232316797</v>
      </c>
      <c r="H648" s="3">
        <v>975569.48591090506</v>
      </c>
      <c r="I648" s="3">
        <v>1026483.5211432119</v>
      </c>
      <c r="J648" s="3">
        <v>0</v>
      </c>
      <c r="K648" s="3">
        <v>0</v>
      </c>
      <c r="L648" s="3">
        <v>0</v>
      </c>
      <c r="M648" s="3">
        <v>0</v>
      </c>
      <c r="N648" s="3">
        <v>0</v>
      </c>
      <c r="O648" s="3">
        <v>0</v>
      </c>
      <c r="P648" s="3">
        <v>0</v>
      </c>
      <c r="Q648" s="3">
        <v>0</v>
      </c>
      <c r="R648" s="3">
        <v>0</v>
      </c>
      <c r="S648" s="67"/>
      <c r="T648">
        <f>VLOOKUP(A648,'Groupe de branches'!$Z$27:$AM$86,14,FALSE)</f>
        <v>0</v>
      </c>
      <c r="U648">
        <f>VLOOKUP(D648,'Groupe de branches'!$Z$27:$AM$86,14,FALSE)</f>
        <v>0</v>
      </c>
      <c r="V648">
        <v>2017</v>
      </c>
      <c r="W648" t="str">
        <f>VLOOKUP(D648,'Table corresp.'!$M$4:$S$63,7,FALSE)</f>
        <v>Pate &amp; papier &amp; carton</v>
      </c>
      <c r="X648" s="167">
        <f>IFERROR(G648/SUMIFS('Comp2016-2017 (3)'!$I$5:$I$289,'Comp2016-2017 (3)'!$A$5:$A$289,A648,'Comp2016-2017 (3)'!$R$5:$R$289,V648),0)</f>
        <v>5.1748295376224602E-3</v>
      </c>
      <c r="Y648" s="190">
        <f>IFERROR(IF(RIGHT(F648,3)="Exp",VLOOKUP(F648,#REF!,2,FALSE),VLOOKUP(F648,#REF!,9,FALSE)),1)</f>
        <v>1</v>
      </c>
      <c r="Z648" s="167">
        <f t="shared" si="73"/>
        <v>0.33333333333333331</v>
      </c>
      <c r="AA648" s="189">
        <f t="shared" si="76"/>
        <v>1.7249431792074866E-3</v>
      </c>
      <c r="AB648" s="2">
        <f>IFERROR(SUMIFS('Comp2016-2017 (3)'!$G$5:$G$289,'Comp2016-2017 (3)'!$A$5:$A$289,A648,'Comp2016-2017 (3)'!$R$5:$R$289,V648)*AA648/SUMIFS($AA$4:$AA$1116,$A$4:$A$1116,A648,$V$4:$V$1116,V648),0)</f>
        <v>15274.803354550342</v>
      </c>
      <c r="AC648" s="2" t="str">
        <f>IF($W648=AC$3,$AB648,IF(NOT($W648=0),"",SUMIFS('Val-Vol (2)'!AC$4:AC$1116,'Val-Vol (2)'!$A$4:$A$1116,$D648,'Val-Vol (2)'!$V$4:$V$1116,$V648)/SUMIFS('Comp2016-2017 (3)'!$G$5:$G$289,'Comp2016-2017 (3)'!$A$5:$A$289,$D648,'Comp2016-2017 (3)'!$R$5:$R$289,$V648)*$AB648))</f>
        <v/>
      </c>
      <c r="AD648" s="2" t="str">
        <f>IF($W648=AD$3,$AB648,IF(NOT($W648=0),"",SUMIFS('Val-Vol (2)'!AD$4:AD$1116,'Val-Vol (2)'!$A$4:$A$1116,$D648,'Val-Vol (2)'!$V$4:$V$1116,$V648)/SUMIFS('Comp2016-2017 (3)'!$G$5:$G$289,'Comp2016-2017 (3)'!$A$5:$A$289,$D648,'Comp2016-2017 (3)'!$R$5:$R$289,$V648)*$AB648))</f>
        <v/>
      </c>
      <c r="AE648" s="2" t="str">
        <f>IF($W648=AE$3,$AB648,IF(NOT($W648=0),"",SUMIFS('Val-Vol (2)'!AE$4:AE$1116,'Val-Vol (2)'!$A$4:$A$1116,$D648,'Val-Vol (2)'!$V$4:$V$1116,$V648)/SUMIFS('Comp2016-2017 (3)'!$G$5:$G$289,'Comp2016-2017 (3)'!$A$5:$A$289,$D648,'Comp2016-2017 (3)'!$R$5:$R$289,$V648)*$AB648))</f>
        <v/>
      </c>
      <c r="AF648" s="198">
        <f>IF($W648=AF$3,$AB648,IF(NOT($W648=0),"",SUMIFS('Val-Vol (2)'!AF$4:AF$1116,'Val-Vol (2)'!$A$4:$A$1116,$D648,'Val-Vol (2)'!$V$4:$V$1116,$V648)/SUMIFS('Comp2016-2017 (3)'!$G$5:$G$289,'Comp2016-2017 (3)'!$A$5:$A$289,$D648,'Comp2016-2017 (3)'!$R$5:$R$289,$V648)*$AB648))</f>
        <v>15274.803354550342</v>
      </c>
      <c r="AG648" s="2" t="str">
        <f>IF($W648=AG$3,$AB648,IF(NOT($W648=0),"",SUMIFS('Val-Vol (2)'!AG$4:AG$1116,'Val-Vol (2)'!$A$4:$A$1116,$D648,'Val-Vol (2)'!$V$4:$V$1116,$V648)/SUMIFS('Comp2016-2017 (3)'!$G$5:$G$289,'Comp2016-2017 (3)'!$A$5:$A$289,$D648,'Comp2016-2017 (3)'!$R$5:$R$289,$V648)*$AB648))</f>
        <v/>
      </c>
      <c r="AH648" s="2" t="str">
        <f>IF($W648=AH$3,$AB648,IF(NOT($W648=0),"",SUMIFS('Val-Vol (2)'!AH$4:AH$1116,'Val-Vol (2)'!$A$4:$A$1116,$D648,'Val-Vol (2)'!$V$4:$V$1116,$V648)/SUMIFS('Comp2016-2017 (3)'!$G$5:$G$289,'Comp2016-2017 (3)'!$A$5:$A$289,$D648,'Comp2016-2017 (3)'!$R$5:$R$289,$V648)*$AB648))</f>
        <v/>
      </c>
      <c r="AI648" s="2" t="str">
        <f>IF($W648=AI$3,$AB648,IF(NOT($W648=0),"",SUMIFS('Val-Vol (2)'!AI$4:AI$1116,'Val-Vol (2)'!$A$4:$A$1116,$D648,'Val-Vol (2)'!$V$4:$V$1116,$V648)/SUMIFS('Comp2016-2017 (3)'!$G$5:$G$289,'Comp2016-2017 (3)'!$A$5:$A$289,$D648,'Comp2016-2017 (3)'!$R$5:$R$289,$V648)*$AB648))</f>
        <v/>
      </c>
      <c r="AJ648" s="2" t="str">
        <f>IF($W648=AJ$3,$AB648,IF(NOT($W648=0),"",SUMIFS('Val-Vol (2)'!AJ$4:AJ$1116,'Val-Vol (2)'!$A$4:$A$1116,$D648,'Val-Vol (2)'!$V$4:$V$1116,$V648)/SUMIFS('Comp2016-2017 (3)'!$G$5:$G$289,'Comp2016-2017 (3)'!$A$5:$A$289,$D648,'Comp2016-2017 (3)'!$R$5:$R$289,$V648)*$AB648))</f>
        <v/>
      </c>
      <c r="AK648" s="2">
        <f t="shared" si="72"/>
        <v>0</v>
      </c>
      <c r="AL648" t="str">
        <f t="shared" si="75"/>
        <v>remplir à la main</v>
      </c>
      <c r="AM648" t="str">
        <f>VLOOKUP(A648,'Table corresp.'!$M$4:$U$63,8,FALSE)</f>
        <v>Production finale</v>
      </c>
      <c r="AN648" t="str">
        <f>VLOOKUP(D648,'Table corresp.'!$M$4:$U$63,9,FALSE)</f>
        <v>Production finale</v>
      </c>
    </row>
    <row r="649" spans="1:40" x14ac:dyDescent="0.25">
      <c r="A649" t="s">
        <v>97</v>
      </c>
      <c r="B649" t="str">
        <f>VLOOKUP(LEFT(A649,3),'Table corresp.'!$A$4:$D$63,3,FALSE)</f>
        <v>Transformation</v>
      </c>
      <c r="C649" t="str">
        <f>VLOOKUP(A649,'Table corresp.'!$M$4:$P$63,4,FALSE)</f>
        <v>Production et transformation de produits bois</v>
      </c>
      <c r="D649" t="s">
        <v>54</v>
      </c>
      <c r="E649" t="str">
        <f>VLOOKUP(LEFT(D649,3),'Table corresp.'!$A$4:$D$63,4,FALSE)</f>
        <v>Consommation finale</v>
      </c>
      <c r="F649" t="str">
        <f t="shared" si="74"/>
        <v>45  - Con</v>
      </c>
      <c r="G649" s="3">
        <v>7729145.1367676873</v>
      </c>
      <c r="H649" s="3">
        <v>2685749.2550890939</v>
      </c>
      <c r="I649" s="3">
        <v>10414894.391856788</v>
      </c>
      <c r="J649" s="3">
        <v>0</v>
      </c>
      <c r="K649" s="3">
        <v>0</v>
      </c>
      <c r="L649" s="3">
        <v>0</v>
      </c>
      <c r="M649" s="3">
        <v>2912.7484235197689</v>
      </c>
      <c r="N649" s="3">
        <v>1206.7800861697501</v>
      </c>
      <c r="O649" s="3">
        <v>4119.5285096895186</v>
      </c>
      <c r="P649" s="3">
        <v>0</v>
      </c>
      <c r="Q649" s="3">
        <v>0</v>
      </c>
      <c r="R649" s="3">
        <v>0</v>
      </c>
      <c r="S649" s="67"/>
      <c r="T649">
        <f>VLOOKUP(A649,'Groupe de branches'!$Z$27:$AM$86,14,FALSE)</f>
        <v>0</v>
      </c>
      <c r="U649">
        <f>VLOOKUP(D649,'Groupe de branches'!$Z$27:$AM$86,14,FALSE)</f>
        <v>0</v>
      </c>
      <c r="V649">
        <v>2017</v>
      </c>
      <c r="W649" t="str">
        <f>VLOOKUP(D649,'Table corresp.'!$M$4:$S$63,7,FALSE)</f>
        <v>Consommation finale</v>
      </c>
      <c r="X649" s="167">
        <f>IFERROR(G649/SUMIFS('Comp2016-2017 (3)'!$I$5:$I$289,'Comp2016-2017 (3)'!$A$5:$A$289,A649,'Comp2016-2017 (3)'!$R$5:$R$289,V649),0)</f>
        <v>0.78557922922064938</v>
      </c>
      <c r="Y649" s="190">
        <f>IFERROR(IF(RIGHT(F649,3)="Exp",VLOOKUP(F649,#REF!,2,FALSE),VLOOKUP(F649,#REF!,9,FALSE)),1)</f>
        <v>1</v>
      </c>
      <c r="Z649" s="167">
        <f t="shared" si="73"/>
        <v>0.33333333333333331</v>
      </c>
      <c r="AA649" s="189">
        <f t="shared" si="76"/>
        <v>0.26185974307354976</v>
      </c>
      <c r="AB649" s="2">
        <f>IFERROR(SUMIFS('Comp2016-2017 (3)'!$G$5:$G$289,'Comp2016-2017 (3)'!$A$5:$A$289,A649,'Comp2016-2017 (3)'!$R$5:$R$289,V649)*AA649/SUMIFS($AA$4:$AA$1116,$A$4:$A$1116,A649,$V$4:$V$1116,V649),0)</f>
        <v>2318833.5303654787</v>
      </c>
      <c r="AC649" s="2" t="str">
        <f>IF($W649=AC$3,$AB649,IF(NOT($W649=0),"",SUMIFS('Val-Vol (2)'!AC$4:AC$1116,'Val-Vol (2)'!$A$4:$A$1116,$D649,'Val-Vol (2)'!$V$4:$V$1116,$V649)/SUMIFS('Comp2016-2017 (3)'!$G$5:$G$289,'Comp2016-2017 (3)'!$A$5:$A$289,$D649,'Comp2016-2017 (3)'!$R$5:$R$289,$V649)*$AB649))</f>
        <v/>
      </c>
      <c r="AD649" s="2" t="str">
        <f>IF($W649=AD$3,$AB649,IF(NOT($W649=0),"",SUMIFS('Val-Vol (2)'!AD$4:AD$1116,'Val-Vol (2)'!$A$4:$A$1116,$D649,'Val-Vol (2)'!$V$4:$V$1116,$V649)/SUMIFS('Comp2016-2017 (3)'!$G$5:$G$289,'Comp2016-2017 (3)'!$A$5:$A$289,$D649,'Comp2016-2017 (3)'!$R$5:$R$289,$V649)*$AB649))</f>
        <v/>
      </c>
      <c r="AE649" s="2" t="str">
        <f>IF($W649=AE$3,$AB649,IF(NOT($W649=0),"",SUMIFS('Val-Vol (2)'!AE$4:AE$1116,'Val-Vol (2)'!$A$4:$A$1116,$D649,'Val-Vol (2)'!$V$4:$V$1116,$V649)/SUMIFS('Comp2016-2017 (3)'!$G$5:$G$289,'Comp2016-2017 (3)'!$A$5:$A$289,$D649,'Comp2016-2017 (3)'!$R$5:$R$289,$V649)*$AB649))</f>
        <v/>
      </c>
      <c r="AF649" s="2" t="str">
        <f>IF($W649=AF$3,$AB649,IF(NOT($W649=0),"",SUMIFS('Val-Vol (2)'!AF$4:AF$1116,'Val-Vol (2)'!$A$4:$A$1116,$D649,'Val-Vol (2)'!$V$4:$V$1116,$V649)/SUMIFS('Comp2016-2017 (3)'!$G$5:$G$289,'Comp2016-2017 (3)'!$A$5:$A$289,$D649,'Comp2016-2017 (3)'!$R$5:$R$289,$V649)*$AB649))</f>
        <v/>
      </c>
      <c r="AG649" s="2" t="str">
        <f>IF($W649=AG$3,$AB649,IF(NOT($W649=0),"",SUMIFS('Val-Vol (2)'!AG$4:AG$1116,'Val-Vol (2)'!$A$4:$A$1116,$D649,'Val-Vol (2)'!$V$4:$V$1116,$V649)/SUMIFS('Comp2016-2017 (3)'!$G$5:$G$289,'Comp2016-2017 (3)'!$A$5:$A$289,$D649,'Comp2016-2017 (3)'!$R$5:$R$289,$V649)*$AB649))</f>
        <v/>
      </c>
      <c r="AH649" s="2" t="str">
        <f>IF($W649=AH$3,$AB649,IF(NOT($W649=0),"",SUMIFS('Val-Vol (2)'!AH$4:AH$1116,'Val-Vol (2)'!$A$4:$A$1116,$D649,'Val-Vol (2)'!$V$4:$V$1116,$V649)/SUMIFS('Comp2016-2017 (3)'!$G$5:$G$289,'Comp2016-2017 (3)'!$A$5:$A$289,$D649,'Comp2016-2017 (3)'!$R$5:$R$289,$V649)*$AB649))</f>
        <v/>
      </c>
      <c r="AI649" s="2" t="str">
        <f>IF($W649=AI$3,$AB649,IF(NOT($W649=0),"",SUMIFS('Val-Vol (2)'!AI$4:AI$1116,'Val-Vol (2)'!$A$4:$A$1116,$D649,'Val-Vol (2)'!$V$4:$V$1116,$V649)/SUMIFS('Comp2016-2017 (3)'!$G$5:$G$289,'Comp2016-2017 (3)'!$A$5:$A$289,$D649,'Comp2016-2017 (3)'!$R$5:$R$289,$V649)*$AB649))</f>
        <v/>
      </c>
      <c r="AJ649" s="2">
        <f>IF($W649=AJ$3,$AB649,IF(NOT($W649=0),"",SUMIFS('Val-Vol (2)'!AJ$4:AJ$1116,'Val-Vol (2)'!$A$4:$A$1116,$D649,'Val-Vol (2)'!$V$4:$V$1116,$V649)/SUMIFS('Comp2016-2017 (3)'!$G$5:$G$289,'Comp2016-2017 (3)'!$A$5:$A$289,$D649,'Comp2016-2017 (3)'!$R$5:$R$289,$V649)*$AB649))</f>
        <v>2318833.5303654787</v>
      </c>
      <c r="AK649" s="2">
        <f t="shared" si="72"/>
        <v>0</v>
      </c>
      <c r="AL649" t="str">
        <f t="shared" si="75"/>
        <v/>
      </c>
      <c r="AM649" t="str">
        <f>VLOOKUP(A649,'Table corresp.'!$M$4:$U$63,8,FALSE)</f>
        <v>Production finale</v>
      </c>
      <c r="AN649" t="str">
        <f>VLOOKUP(D649,'Table corresp.'!$M$4:$U$63,9,FALSE)</f>
        <v>Consommation finale française</v>
      </c>
    </row>
    <row r="650" spans="1:40" x14ac:dyDescent="0.25">
      <c r="A650" t="s">
        <v>97</v>
      </c>
      <c r="B650" t="str">
        <f>VLOOKUP(LEFT(A650,3),'Table corresp.'!$A$4:$D$63,3,FALSE)</f>
        <v>Transformation</v>
      </c>
      <c r="C650" t="str">
        <f>VLOOKUP(A650,'Table corresp.'!$M$4:$P$63,4,FALSE)</f>
        <v>Production et transformation de produits bois</v>
      </c>
      <c r="D650" t="s">
        <v>53</v>
      </c>
      <c r="E650" t="str">
        <f>VLOOKUP(LEFT(D650,3),'Table corresp.'!$A$4:$D$63,4,FALSE)</f>
        <v>Exportation</v>
      </c>
      <c r="F650" t="str">
        <f t="shared" si="74"/>
        <v>45  - Exp</v>
      </c>
      <c r="G650" s="3">
        <v>2058725.8279999907</v>
      </c>
      <c r="H650" s="3">
        <v>0</v>
      </c>
      <c r="I650" s="3">
        <v>2058725.8279999997</v>
      </c>
      <c r="J650" s="3">
        <v>0</v>
      </c>
      <c r="K650" s="3">
        <v>0</v>
      </c>
      <c r="L650" s="3">
        <v>0</v>
      </c>
      <c r="M650" s="3">
        <v>705.44296687201233</v>
      </c>
      <c r="N650" s="3">
        <v>0</v>
      </c>
      <c r="O650" s="3">
        <v>705.44296687201233</v>
      </c>
      <c r="P650" s="3">
        <v>0</v>
      </c>
      <c r="Q650" s="3">
        <v>0</v>
      </c>
      <c r="R650" s="3">
        <v>0</v>
      </c>
      <c r="S650" s="67"/>
      <c r="T650">
        <f>VLOOKUP(A650,'Groupe de branches'!$Z$27:$AM$86,14,FALSE)</f>
        <v>0</v>
      </c>
      <c r="U650">
        <f>VLOOKUP(D650,'Groupe de branches'!$Z$27:$AM$86,14,FALSE)</f>
        <v>0</v>
      </c>
      <c r="V650">
        <v>2017</v>
      </c>
      <c r="W650" t="str">
        <f>VLOOKUP(D650,'Table corresp.'!$M$4:$S$63,7,FALSE)</f>
        <v>Exportation</v>
      </c>
      <c r="X650" s="167">
        <f>IFERROR(G650/SUMIFS('Comp2016-2017 (3)'!$I$5:$I$289,'Comp2016-2017 (3)'!$A$5:$A$289,A650,'Comp2016-2017 (3)'!$R$5:$R$289,V650),0)</f>
        <v>0.20924594124172757</v>
      </c>
      <c r="Y650" s="190">
        <f>IFERROR(IF(RIGHT(F650,3)="Exp",VLOOKUP(F650,#REF!,2,FALSE),VLOOKUP(F650,#REF!,9,FALSE)),1)</f>
        <v>1</v>
      </c>
      <c r="Z650" s="167">
        <f t="shared" si="73"/>
        <v>0.33333333333333331</v>
      </c>
      <c r="AA650" s="189">
        <f t="shared" si="76"/>
        <v>6.9748647080575849E-2</v>
      </c>
      <c r="AB650" s="2">
        <f>IFERROR(SUMIFS('Comp2016-2017 (3)'!$G$5:$G$289,'Comp2016-2017 (3)'!$A$5:$A$289,A650,'Comp2016-2017 (3)'!$R$5:$R$289,V650)*AA650/SUMIFS($AA$4:$AA$1116,$A$4:$A$1116,A650,$V$4:$V$1116,V650),0)</f>
        <v>617641.71785137709</v>
      </c>
      <c r="AC650" s="2">
        <f>IF($W650=AC$3,$AB650,IF(NOT($W650=0),"",SUMIFS('Val-Vol (2)'!AC$4:AC$1116,'Val-Vol (2)'!$A$4:$A$1116,$D650,'Val-Vol (2)'!$V$4:$V$1116,$V650)/SUMIFS('Comp2016-2017 (3)'!$G$5:$G$289,'Comp2016-2017 (3)'!$A$5:$A$289,$D650,'Comp2016-2017 (3)'!$R$5:$R$289,$V650)*$AB650))</f>
        <v>617641.71785137709</v>
      </c>
      <c r="AD650" s="2" t="str">
        <f>IF($W650=AD$3,$AB650,IF(NOT($W650=0),"",SUMIFS('Val-Vol (2)'!AD$4:AD$1116,'Val-Vol (2)'!$A$4:$A$1116,$D650,'Val-Vol (2)'!$V$4:$V$1116,$V650)/SUMIFS('Comp2016-2017 (3)'!$G$5:$G$289,'Comp2016-2017 (3)'!$A$5:$A$289,$D650,'Comp2016-2017 (3)'!$R$5:$R$289,$V650)*$AB650))</f>
        <v/>
      </c>
      <c r="AE650" s="2" t="str">
        <f>IF($W650=AE$3,$AB650,IF(NOT($W650=0),"",SUMIFS('Val-Vol (2)'!AE$4:AE$1116,'Val-Vol (2)'!$A$4:$A$1116,$D650,'Val-Vol (2)'!$V$4:$V$1116,$V650)/SUMIFS('Comp2016-2017 (3)'!$G$5:$G$289,'Comp2016-2017 (3)'!$A$5:$A$289,$D650,'Comp2016-2017 (3)'!$R$5:$R$289,$V650)*$AB650))</f>
        <v/>
      </c>
      <c r="AF650" s="2" t="str">
        <f>IF($W650=AF$3,$AB650,IF(NOT($W650=0),"",SUMIFS('Val-Vol (2)'!AF$4:AF$1116,'Val-Vol (2)'!$A$4:$A$1116,$D650,'Val-Vol (2)'!$V$4:$V$1116,$V650)/SUMIFS('Comp2016-2017 (3)'!$G$5:$G$289,'Comp2016-2017 (3)'!$A$5:$A$289,$D650,'Comp2016-2017 (3)'!$R$5:$R$289,$V650)*$AB650))</f>
        <v/>
      </c>
      <c r="AG650" s="2" t="str">
        <f>IF($W650=AG$3,$AB650,IF(NOT($W650=0),"",SUMIFS('Val-Vol (2)'!AG$4:AG$1116,'Val-Vol (2)'!$A$4:$A$1116,$D650,'Val-Vol (2)'!$V$4:$V$1116,$V650)/SUMIFS('Comp2016-2017 (3)'!$G$5:$G$289,'Comp2016-2017 (3)'!$A$5:$A$289,$D650,'Comp2016-2017 (3)'!$R$5:$R$289,$V650)*$AB650))</f>
        <v/>
      </c>
      <c r="AH650" s="2" t="str">
        <f>IF($W650=AH$3,$AB650,IF(NOT($W650=0),"",SUMIFS('Val-Vol (2)'!AH$4:AH$1116,'Val-Vol (2)'!$A$4:$A$1116,$D650,'Val-Vol (2)'!$V$4:$V$1116,$V650)/SUMIFS('Comp2016-2017 (3)'!$G$5:$G$289,'Comp2016-2017 (3)'!$A$5:$A$289,$D650,'Comp2016-2017 (3)'!$R$5:$R$289,$V650)*$AB650))</f>
        <v/>
      </c>
      <c r="AI650" s="2" t="str">
        <f>IF($W650=AI$3,$AB650,IF(NOT($W650=0),"",SUMIFS('Val-Vol (2)'!AI$4:AI$1116,'Val-Vol (2)'!$A$4:$A$1116,$D650,'Val-Vol (2)'!$V$4:$V$1116,$V650)/SUMIFS('Comp2016-2017 (3)'!$G$5:$G$289,'Comp2016-2017 (3)'!$A$5:$A$289,$D650,'Comp2016-2017 (3)'!$R$5:$R$289,$V650)*$AB650))</f>
        <v/>
      </c>
      <c r="AJ650" s="2" t="str">
        <f>IF($W650=AJ$3,$AB650,IF(NOT($W650=0),"",SUMIFS('Val-Vol (2)'!AJ$4:AJ$1116,'Val-Vol (2)'!$A$4:$A$1116,$D650,'Val-Vol (2)'!$V$4:$V$1116,$V650)/SUMIFS('Comp2016-2017 (3)'!$G$5:$G$289,'Comp2016-2017 (3)'!$A$5:$A$289,$D650,'Comp2016-2017 (3)'!$R$5:$R$289,$V650)*$AB650))</f>
        <v/>
      </c>
      <c r="AK650" s="2">
        <f t="shared" si="72"/>
        <v>0</v>
      </c>
      <c r="AL650" t="str">
        <f t="shared" si="75"/>
        <v/>
      </c>
      <c r="AM650" t="str">
        <f>VLOOKUP(A650,'Table corresp.'!$M$4:$U$63,8,FALSE)</f>
        <v>Production finale</v>
      </c>
      <c r="AN650" t="str">
        <f>VLOOKUP(D650,'Table corresp.'!$M$4:$U$63,9,FALSE)</f>
        <v>Exportation</v>
      </c>
    </row>
    <row r="651" spans="1:40" x14ac:dyDescent="0.25">
      <c r="A651" t="s">
        <v>98</v>
      </c>
      <c r="B651" t="str">
        <f>VLOOKUP(LEFT(A651,3),'Table corresp.'!$A$4:$D$63,3,FALSE)</f>
        <v>Transformation</v>
      </c>
      <c r="C651" t="str">
        <f>VLOOKUP(A651,'Table corresp.'!$M$4:$P$63,4,FALSE)</f>
        <v>Production et transformation de produits bois</v>
      </c>
      <c r="D651" t="s">
        <v>54</v>
      </c>
      <c r="E651" t="str">
        <f>VLOOKUP(LEFT(D651,3),'Table corresp.'!$A$4:$D$63,4,FALSE)</f>
        <v>Consommation finale</v>
      </c>
      <c r="F651" t="str">
        <f t="shared" si="74"/>
        <v>46  - Con</v>
      </c>
      <c r="G651" s="3">
        <v>185553.63116768844</v>
      </c>
      <c r="H651" s="3">
        <v>27833.044982698957</v>
      </c>
      <c r="I651" s="3">
        <v>213386.678200692</v>
      </c>
      <c r="J651" s="3">
        <v>0</v>
      </c>
      <c r="K651" s="3">
        <v>0</v>
      </c>
      <c r="L651" s="3">
        <v>0</v>
      </c>
      <c r="M651" s="3">
        <v>545.65039869539237</v>
      </c>
      <c r="N651" s="3">
        <v>81.847560723996423</v>
      </c>
      <c r="O651" s="3">
        <v>627.49795941938874</v>
      </c>
      <c r="P651" s="3">
        <v>0</v>
      </c>
      <c r="Q651" s="3">
        <v>0</v>
      </c>
      <c r="R651" s="3">
        <v>0</v>
      </c>
      <c r="S651" s="67"/>
      <c r="T651">
        <f>VLOOKUP(A651,'Groupe de branches'!$Z$27:$AM$86,14,FALSE)</f>
        <v>0</v>
      </c>
      <c r="U651">
        <f>VLOOKUP(D651,'Groupe de branches'!$Z$27:$AM$86,14,FALSE)</f>
        <v>0</v>
      </c>
      <c r="V651">
        <v>2017</v>
      </c>
      <c r="W651" t="str">
        <f>VLOOKUP(D651,'Table corresp.'!$M$4:$S$63,7,FALSE)</f>
        <v>Consommation finale</v>
      </c>
      <c r="X651" s="167">
        <f>IFERROR(G651/SUMIFS('Comp2016-2017 (3)'!$I$5:$I$289,'Comp2016-2017 (3)'!$A$5:$A$289,A651,'Comp2016-2017 (3)'!$R$5:$R$289,V651),0)</f>
        <v>1</v>
      </c>
      <c r="Y651" s="190">
        <f>IFERROR(IF(RIGHT(F651,3)="Exp",VLOOKUP(F651,#REF!,2,FALSE),VLOOKUP(F651,#REF!,9,FALSE)),1)</f>
        <v>1</v>
      </c>
      <c r="Z651" s="167">
        <f t="shared" si="73"/>
        <v>1</v>
      </c>
      <c r="AA651" s="189">
        <f t="shared" si="76"/>
        <v>1</v>
      </c>
      <c r="AB651" s="2">
        <f>IFERROR(SUMIFS('Comp2016-2017 (3)'!$G$5:$G$289,'Comp2016-2017 (3)'!$A$5:$A$289,A651,'Comp2016-2017 (3)'!$R$5:$R$289,V651)*AA651/SUMIFS($AA$4:$AA$1116,$A$4:$A$1116,A651,$V$4:$V$1116,V651),0)</f>
        <v>65588.973993791209</v>
      </c>
      <c r="AC651" s="2" t="str">
        <f>IF($W651=AC$3,$AB651,IF(NOT($W651=0),"",SUMIFS('Val-Vol (2)'!AC$4:AC$1116,'Val-Vol (2)'!$A$4:$A$1116,$D651,'Val-Vol (2)'!$V$4:$V$1116,$V651)/SUMIFS('Comp2016-2017 (3)'!$G$5:$G$289,'Comp2016-2017 (3)'!$A$5:$A$289,$D651,'Comp2016-2017 (3)'!$R$5:$R$289,$V651)*$AB651))</f>
        <v/>
      </c>
      <c r="AD651" s="2" t="str">
        <f>IF($W651=AD$3,$AB651,IF(NOT($W651=0),"",SUMIFS('Val-Vol (2)'!AD$4:AD$1116,'Val-Vol (2)'!$A$4:$A$1116,$D651,'Val-Vol (2)'!$V$4:$V$1116,$V651)/SUMIFS('Comp2016-2017 (3)'!$G$5:$G$289,'Comp2016-2017 (3)'!$A$5:$A$289,$D651,'Comp2016-2017 (3)'!$R$5:$R$289,$V651)*$AB651))</f>
        <v/>
      </c>
      <c r="AE651" s="2" t="str">
        <f>IF($W651=AE$3,$AB651,IF(NOT($W651=0),"",SUMIFS('Val-Vol (2)'!AE$4:AE$1116,'Val-Vol (2)'!$A$4:$A$1116,$D651,'Val-Vol (2)'!$V$4:$V$1116,$V651)/SUMIFS('Comp2016-2017 (3)'!$G$5:$G$289,'Comp2016-2017 (3)'!$A$5:$A$289,$D651,'Comp2016-2017 (3)'!$R$5:$R$289,$V651)*$AB651))</f>
        <v/>
      </c>
      <c r="AF651" s="2" t="str">
        <f>IF($W651=AF$3,$AB651,IF(NOT($W651=0),"",SUMIFS('Val-Vol (2)'!AF$4:AF$1116,'Val-Vol (2)'!$A$4:$A$1116,$D651,'Val-Vol (2)'!$V$4:$V$1116,$V651)/SUMIFS('Comp2016-2017 (3)'!$G$5:$G$289,'Comp2016-2017 (3)'!$A$5:$A$289,$D651,'Comp2016-2017 (3)'!$R$5:$R$289,$V651)*$AB651))</f>
        <v/>
      </c>
      <c r="AG651" s="2" t="str">
        <f>IF($W651=AG$3,$AB651,IF(NOT($W651=0),"",SUMIFS('Val-Vol (2)'!AG$4:AG$1116,'Val-Vol (2)'!$A$4:$A$1116,$D651,'Val-Vol (2)'!$V$4:$V$1116,$V651)/SUMIFS('Comp2016-2017 (3)'!$G$5:$G$289,'Comp2016-2017 (3)'!$A$5:$A$289,$D651,'Comp2016-2017 (3)'!$R$5:$R$289,$V651)*$AB651))</f>
        <v/>
      </c>
      <c r="AH651" s="2" t="str">
        <f>IF($W651=AH$3,$AB651,IF(NOT($W651=0),"",SUMIFS('Val-Vol (2)'!AH$4:AH$1116,'Val-Vol (2)'!$A$4:$A$1116,$D651,'Val-Vol (2)'!$V$4:$V$1116,$V651)/SUMIFS('Comp2016-2017 (3)'!$G$5:$G$289,'Comp2016-2017 (3)'!$A$5:$A$289,$D651,'Comp2016-2017 (3)'!$R$5:$R$289,$V651)*$AB651))</f>
        <v/>
      </c>
      <c r="AI651" s="2" t="str">
        <f>IF($W651=AI$3,$AB651,IF(NOT($W651=0),"",SUMIFS('Val-Vol (2)'!AI$4:AI$1116,'Val-Vol (2)'!$A$4:$A$1116,$D651,'Val-Vol (2)'!$V$4:$V$1116,$V651)/SUMIFS('Comp2016-2017 (3)'!$G$5:$G$289,'Comp2016-2017 (3)'!$A$5:$A$289,$D651,'Comp2016-2017 (3)'!$R$5:$R$289,$V651)*$AB651))</f>
        <v/>
      </c>
      <c r="AJ651" s="2">
        <f>IF($W651=AJ$3,$AB651,IF(NOT($W651=0),"",SUMIFS('Val-Vol (2)'!AJ$4:AJ$1116,'Val-Vol (2)'!$A$4:$A$1116,$D651,'Val-Vol (2)'!$V$4:$V$1116,$V651)/SUMIFS('Comp2016-2017 (3)'!$G$5:$G$289,'Comp2016-2017 (3)'!$A$5:$A$289,$D651,'Comp2016-2017 (3)'!$R$5:$R$289,$V651)*$AB651))</f>
        <v>65588.973993791209</v>
      </c>
      <c r="AK651" s="2">
        <f t="shared" si="72"/>
        <v>0</v>
      </c>
      <c r="AL651" t="str">
        <f t="shared" si="75"/>
        <v/>
      </c>
      <c r="AM651" t="str">
        <f>VLOOKUP(A651,'Table corresp.'!$M$4:$U$63,8,FALSE)</f>
        <v>Production intermédiaire</v>
      </c>
      <c r="AN651" t="str">
        <f>VLOOKUP(D651,'Table corresp.'!$M$4:$U$63,9,FALSE)</f>
        <v>Consommation finale française</v>
      </c>
    </row>
    <row r="652" spans="1:40" x14ac:dyDescent="0.25">
      <c r="A652" t="s">
        <v>99</v>
      </c>
      <c r="B652" t="str">
        <f>VLOOKUP(LEFT(A652,3),'Table corresp.'!$A$4:$D$63,3,FALSE)</f>
        <v>Transformation</v>
      </c>
      <c r="C652" t="str">
        <f>VLOOKUP(A652,'Table corresp.'!$M$4:$P$63,4,FALSE)</f>
        <v>Production et transformation de produits bois</v>
      </c>
      <c r="D652" t="s">
        <v>90</v>
      </c>
      <c r="E652" t="str">
        <f>VLOOKUP(LEFT(D652,3),'Table corresp.'!$A$4:$D$63,4,FALSE)</f>
        <v>Transformation</v>
      </c>
      <c r="F652" t="str">
        <f t="shared" si="74"/>
        <v xml:space="preserve">47  - 34 </v>
      </c>
      <c r="G652" s="3">
        <v>1847.0570809629085</v>
      </c>
      <c r="H652" s="3">
        <v>3651.6143884568</v>
      </c>
      <c r="I652" s="3">
        <v>5498.6714715147955</v>
      </c>
      <c r="J652" s="3">
        <v>0.22980688257231646</v>
      </c>
      <c r="K652" s="3">
        <v>0.5002128818790077</v>
      </c>
      <c r="L652" s="3">
        <v>0.73001976445132422</v>
      </c>
      <c r="M652" s="3">
        <v>0.51264802807205523</v>
      </c>
      <c r="N652" s="3">
        <v>1.1158636531733026</v>
      </c>
      <c r="O652" s="3">
        <v>1.6285116812453579</v>
      </c>
      <c r="P652" s="3">
        <v>0.13471759937972091</v>
      </c>
      <c r="Q652" s="3">
        <v>0.29323524983785504</v>
      </c>
      <c r="R652" s="3">
        <v>0.42795284921757593</v>
      </c>
      <c r="S652" s="67"/>
      <c r="T652">
        <f>VLOOKUP(A652,'Groupe de branches'!$Z$27:$AM$86,14,FALSE)</f>
        <v>0</v>
      </c>
      <c r="U652">
        <f>VLOOKUP(D652,'Groupe de branches'!$Z$27:$AM$86,14,FALSE)</f>
        <v>0</v>
      </c>
      <c r="V652">
        <v>2017</v>
      </c>
      <c r="W652" t="str">
        <f>VLOOKUP(D652,'Table corresp.'!$M$4:$S$63,7,FALSE)</f>
        <v>Construction</v>
      </c>
      <c r="X652" s="167">
        <f>IFERROR(G652/SUMIFS('Comp2016-2017 (3)'!$I$5:$I$289,'Comp2016-2017 (3)'!$A$5:$A$289,A652,'Comp2016-2017 (3)'!$R$5:$R$289,V652),0)</f>
        <v>5.369038269420561E-4</v>
      </c>
      <c r="Y652" s="190">
        <f>IFERROR(IF(RIGHT(F652,3)="Exp",VLOOKUP(F652,#REF!,2,FALSE),VLOOKUP(F652,#REF!,9,FALSE)),1)</f>
        <v>1</v>
      </c>
      <c r="Z652" s="167">
        <f t="shared" si="73"/>
        <v>0.25</v>
      </c>
      <c r="AA652" s="189">
        <f t="shared" si="76"/>
        <v>1.3422595673551402E-4</v>
      </c>
      <c r="AB652" s="2">
        <f>IFERROR(SUMIFS('Comp2016-2017 (3)'!$G$5:$G$289,'Comp2016-2017 (3)'!$A$5:$A$289,A652,'Comp2016-2017 (3)'!$R$5:$R$289,V652)*AA652/SUMIFS($AA$4:$AA$1116,$A$4:$A$1116,A652,$V$4:$V$1116,V652),0)</f>
        <v>586.7807054911425</v>
      </c>
      <c r="AC652" s="2" t="str">
        <f>IF($W652=AC$3,$AB652,IF(NOT($W652=0),"",SUMIFS('Val-Vol (2)'!AC$4:AC$1116,'Val-Vol (2)'!$A$4:$A$1116,$D652,'Val-Vol (2)'!$V$4:$V$1116,$V652)/SUMIFS('Comp2016-2017 (3)'!$G$5:$G$289,'Comp2016-2017 (3)'!$A$5:$A$289,$D652,'Comp2016-2017 (3)'!$R$5:$R$289,$V652)*$AB652))</f>
        <v/>
      </c>
      <c r="AD652" s="2">
        <f>IF($W652=AD$3,$AB652,IF(NOT($W652=0),"",SUMIFS('Val-Vol (2)'!AD$4:AD$1116,'Val-Vol (2)'!$A$4:$A$1116,$D652,'Val-Vol (2)'!$V$4:$V$1116,$V652)/SUMIFS('Comp2016-2017 (3)'!$G$5:$G$289,'Comp2016-2017 (3)'!$A$5:$A$289,$D652,'Comp2016-2017 (3)'!$R$5:$R$289,$V652)*$AB652))</f>
        <v>586.7807054911425</v>
      </c>
      <c r="AE652" s="2" t="str">
        <f>IF($W652=AE$3,$AB652,IF(NOT($W652=0),"",SUMIFS('Val-Vol (2)'!AE$4:AE$1116,'Val-Vol (2)'!$A$4:$A$1116,$D652,'Val-Vol (2)'!$V$4:$V$1116,$V652)/SUMIFS('Comp2016-2017 (3)'!$G$5:$G$289,'Comp2016-2017 (3)'!$A$5:$A$289,$D652,'Comp2016-2017 (3)'!$R$5:$R$289,$V652)*$AB652))</f>
        <v/>
      </c>
      <c r="AF652" s="2" t="str">
        <f>IF($W652=AF$3,$AB652,IF(NOT($W652=0),"",SUMIFS('Val-Vol (2)'!AF$4:AF$1116,'Val-Vol (2)'!$A$4:$A$1116,$D652,'Val-Vol (2)'!$V$4:$V$1116,$V652)/SUMIFS('Comp2016-2017 (3)'!$G$5:$G$289,'Comp2016-2017 (3)'!$A$5:$A$289,$D652,'Comp2016-2017 (3)'!$R$5:$R$289,$V652)*$AB652))</f>
        <v/>
      </c>
      <c r="AG652" s="2" t="str">
        <f>IF($W652=AG$3,$AB652,IF(NOT($W652=0),"",SUMIFS('Val-Vol (2)'!AG$4:AG$1116,'Val-Vol (2)'!$A$4:$A$1116,$D652,'Val-Vol (2)'!$V$4:$V$1116,$V652)/SUMIFS('Comp2016-2017 (3)'!$G$5:$G$289,'Comp2016-2017 (3)'!$A$5:$A$289,$D652,'Comp2016-2017 (3)'!$R$5:$R$289,$V652)*$AB652))</f>
        <v/>
      </c>
      <c r="AH652" s="2" t="str">
        <f>IF($W652=AH$3,$AB652,IF(NOT($W652=0),"",SUMIFS('Val-Vol (2)'!AH$4:AH$1116,'Val-Vol (2)'!$A$4:$A$1116,$D652,'Val-Vol (2)'!$V$4:$V$1116,$V652)/SUMIFS('Comp2016-2017 (3)'!$G$5:$G$289,'Comp2016-2017 (3)'!$A$5:$A$289,$D652,'Comp2016-2017 (3)'!$R$5:$R$289,$V652)*$AB652))</f>
        <v/>
      </c>
      <c r="AI652" s="2" t="str">
        <f>IF($W652=AI$3,$AB652,IF(NOT($W652=0),"",SUMIFS('Val-Vol (2)'!AI$4:AI$1116,'Val-Vol (2)'!$A$4:$A$1116,$D652,'Val-Vol (2)'!$V$4:$V$1116,$V652)/SUMIFS('Comp2016-2017 (3)'!$G$5:$G$289,'Comp2016-2017 (3)'!$A$5:$A$289,$D652,'Comp2016-2017 (3)'!$R$5:$R$289,$V652)*$AB652))</f>
        <v/>
      </c>
      <c r="AJ652" s="2" t="str">
        <f>IF($W652=AJ$3,$AB652,IF(NOT($W652=0),"",SUMIFS('Val-Vol (2)'!AJ$4:AJ$1116,'Val-Vol (2)'!$A$4:$A$1116,$D652,'Val-Vol (2)'!$V$4:$V$1116,$V652)/SUMIFS('Comp2016-2017 (3)'!$G$5:$G$289,'Comp2016-2017 (3)'!$A$5:$A$289,$D652,'Comp2016-2017 (3)'!$R$5:$R$289,$V652)*$AB652))</f>
        <v/>
      </c>
      <c r="AK652" s="2">
        <f t="shared" si="72"/>
        <v>0</v>
      </c>
      <c r="AL652" t="str">
        <f t="shared" si="75"/>
        <v/>
      </c>
      <c r="AM652" t="str">
        <f>VLOOKUP(A652,'Table corresp.'!$M$4:$U$63,8,FALSE)</f>
        <v>Production finale</v>
      </c>
      <c r="AN652" t="str">
        <f>VLOOKUP(D652,'Table corresp.'!$M$4:$U$63,9,FALSE)</f>
        <v>Production finale</v>
      </c>
    </row>
    <row r="653" spans="1:40" x14ac:dyDescent="0.25">
      <c r="A653" t="s">
        <v>99</v>
      </c>
      <c r="B653" t="str">
        <f>VLOOKUP(LEFT(A653,3),'Table corresp.'!$A$4:$D$63,3,FALSE)</f>
        <v>Transformation</v>
      </c>
      <c r="C653" t="str">
        <f>VLOOKUP(A653,'Table corresp.'!$M$4:$P$63,4,FALSE)</f>
        <v>Production et transformation de produits bois</v>
      </c>
      <c r="D653" t="s">
        <v>22</v>
      </c>
      <c r="E653" t="str">
        <f>VLOOKUP(LEFT(D653,3),'Table corresp.'!$A$4:$D$63,4,FALSE)</f>
        <v>Transformation</v>
      </c>
      <c r="F653" t="str">
        <f t="shared" si="74"/>
        <v xml:space="preserve">47  - 55 </v>
      </c>
      <c r="G653" s="3">
        <v>17863.326512685817</v>
      </c>
      <c r="H653" s="3">
        <v>33005.643063704825</v>
      </c>
      <c r="I653" s="3">
        <v>50868.969595772578</v>
      </c>
      <c r="J653" s="3">
        <v>1.6668875940118442</v>
      </c>
      <c r="K653" s="3">
        <v>3.3909346823466597</v>
      </c>
      <c r="L653" s="3">
        <v>5.0578222763585039</v>
      </c>
      <c r="M653" s="3">
        <v>3.718455376631459</v>
      </c>
      <c r="N653" s="3">
        <v>7.564420868374663</v>
      </c>
      <c r="O653" s="3">
        <v>11.282876245006122</v>
      </c>
      <c r="P653" s="3">
        <v>0.97716435899368448</v>
      </c>
      <c r="Q653" s="3">
        <v>1.9878368086535672</v>
      </c>
      <c r="R653" s="3">
        <v>2.9650011676472516</v>
      </c>
      <c r="S653" s="67" t="s">
        <v>192</v>
      </c>
      <c r="T653">
        <f>VLOOKUP(A653,'Groupe de branches'!$Z$27:$AM$86,14,FALSE)</f>
        <v>0</v>
      </c>
      <c r="U653">
        <f>VLOOKUP(D653,'Groupe de branches'!$Z$27:$AM$86,14,FALSE)</f>
        <v>0</v>
      </c>
      <c r="V653">
        <v>2017</v>
      </c>
      <c r="W653" t="str">
        <f>VLOOKUP(D653,'Table corresp.'!$M$4:$S$63,7,FALSE)</f>
        <v>Construction</v>
      </c>
      <c r="X653" s="167">
        <f>IFERROR(G653/SUMIFS('Comp2016-2017 (3)'!$I$5:$I$289,'Comp2016-2017 (3)'!$A$5:$A$289,A653,'Comp2016-2017 (3)'!$R$5:$R$289,V653),0)</f>
        <v>5.1925240781278857E-3</v>
      </c>
      <c r="Y653" s="190">
        <f>IFERROR(IF(RIGHT(F653,3)="Exp",VLOOKUP(F653,#REF!,2,FALSE),VLOOKUP(F653,#REF!,9,FALSE)),1)</f>
        <v>1</v>
      </c>
      <c r="Z653" s="167">
        <f t="shared" si="73"/>
        <v>0.25</v>
      </c>
      <c r="AA653" s="189">
        <f t="shared" si="76"/>
        <v>1.2981310195319714E-3</v>
      </c>
      <c r="AB653" s="2">
        <f>IFERROR(SUMIFS('Comp2016-2017 (3)'!$G$5:$G$289,'Comp2016-2017 (3)'!$A$5:$A$289,A653,'Comp2016-2017 (3)'!$R$5:$R$289,V653)*AA653/SUMIFS($AA$4:$AA$1116,$A$4:$A$1116,A653,$V$4:$V$1116,V653),0)</f>
        <v>5674.8951841098551</v>
      </c>
      <c r="AC653" s="2" t="str">
        <f>IF($W653=AC$3,$AB653,IF(NOT($W653=0),"",SUMIFS('Val-Vol (2)'!AC$4:AC$1116,'Val-Vol (2)'!$A$4:$A$1116,$D653,'Val-Vol (2)'!$V$4:$V$1116,$V653)/SUMIFS('Comp2016-2017 (3)'!$G$5:$G$289,'Comp2016-2017 (3)'!$A$5:$A$289,$D653,'Comp2016-2017 (3)'!$R$5:$R$289,$V653)*$AB653))</f>
        <v/>
      </c>
      <c r="AD653" s="2">
        <f>IF($W653=AD$3,$AB653,IF(NOT($W653=0),"",SUMIFS('Val-Vol (2)'!AD$4:AD$1116,'Val-Vol (2)'!$A$4:$A$1116,$D653,'Val-Vol (2)'!$V$4:$V$1116,$V653)/SUMIFS('Comp2016-2017 (3)'!$G$5:$G$289,'Comp2016-2017 (3)'!$A$5:$A$289,$D653,'Comp2016-2017 (3)'!$R$5:$R$289,$V653)*$AB653))</f>
        <v>5674.8951841098551</v>
      </c>
      <c r="AE653" s="2" t="str">
        <f>IF($W653=AE$3,$AB653,IF(NOT($W653=0),"",SUMIFS('Val-Vol (2)'!AE$4:AE$1116,'Val-Vol (2)'!$A$4:$A$1116,$D653,'Val-Vol (2)'!$V$4:$V$1116,$V653)/SUMIFS('Comp2016-2017 (3)'!$G$5:$G$289,'Comp2016-2017 (3)'!$A$5:$A$289,$D653,'Comp2016-2017 (3)'!$R$5:$R$289,$V653)*$AB653))</f>
        <v/>
      </c>
      <c r="AF653" s="2" t="str">
        <f>IF($W653=AF$3,$AB653,IF(NOT($W653=0),"",SUMIFS('Val-Vol (2)'!AF$4:AF$1116,'Val-Vol (2)'!$A$4:$A$1116,$D653,'Val-Vol (2)'!$V$4:$V$1116,$V653)/SUMIFS('Comp2016-2017 (3)'!$G$5:$G$289,'Comp2016-2017 (3)'!$A$5:$A$289,$D653,'Comp2016-2017 (3)'!$R$5:$R$289,$V653)*$AB653))</f>
        <v/>
      </c>
      <c r="AG653" s="2" t="str">
        <f>IF($W653=AG$3,$AB653,IF(NOT($W653=0),"",SUMIFS('Val-Vol (2)'!AG$4:AG$1116,'Val-Vol (2)'!$A$4:$A$1116,$D653,'Val-Vol (2)'!$V$4:$V$1116,$V653)/SUMIFS('Comp2016-2017 (3)'!$G$5:$G$289,'Comp2016-2017 (3)'!$A$5:$A$289,$D653,'Comp2016-2017 (3)'!$R$5:$R$289,$V653)*$AB653))</f>
        <v/>
      </c>
      <c r="AH653" s="2" t="str">
        <f>IF($W653=AH$3,$AB653,IF(NOT($W653=0),"",SUMIFS('Val-Vol (2)'!AH$4:AH$1116,'Val-Vol (2)'!$A$4:$A$1116,$D653,'Val-Vol (2)'!$V$4:$V$1116,$V653)/SUMIFS('Comp2016-2017 (3)'!$G$5:$G$289,'Comp2016-2017 (3)'!$A$5:$A$289,$D653,'Comp2016-2017 (3)'!$R$5:$R$289,$V653)*$AB653))</f>
        <v/>
      </c>
      <c r="AI653" s="2" t="str">
        <f>IF($W653=AI$3,$AB653,IF(NOT($W653=0),"",SUMIFS('Val-Vol (2)'!AI$4:AI$1116,'Val-Vol (2)'!$A$4:$A$1116,$D653,'Val-Vol (2)'!$V$4:$V$1116,$V653)/SUMIFS('Comp2016-2017 (3)'!$G$5:$G$289,'Comp2016-2017 (3)'!$A$5:$A$289,$D653,'Comp2016-2017 (3)'!$R$5:$R$289,$V653)*$AB653))</f>
        <v/>
      </c>
      <c r="AJ653" s="2" t="str">
        <f>IF($W653=AJ$3,$AB653,IF(NOT($W653=0),"",SUMIFS('Val-Vol (2)'!AJ$4:AJ$1116,'Val-Vol (2)'!$A$4:$A$1116,$D653,'Val-Vol (2)'!$V$4:$V$1116,$V653)/SUMIFS('Comp2016-2017 (3)'!$G$5:$G$289,'Comp2016-2017 (3)'!$A$5:$A$289,$D653,'Comp2016-2017 (3)'!$R$5:$R$289,$V653)*$AB653))</f>
        <v/>
      </c>
      <c r="AK653" s="2">
        <f t="shared" si="72"/>
        <v>0</v>
      </c>
      <c r="AL653" t="str">
        <f t="shared" si="75"/>
        <v/>
      </c>
      <c r="AM653" t="str">
        <f>VLOOKUP(A653,'Table corresp.'!$M$4:$U$63,8,FALSE)</f>
        <v>Production finale</v>
      </c>
      <c r="AN653" t="str">
        <f>VLOOKUP(D653,'Table corresp.'!$M$4:$U$63,9,FALSE)</f>
        <v xml:space="preserve">Mise en œuvre </v>
      </c>
    </row>
    <row r="654" spans="1:40" x14ac:dyDescent="0.25">
      <c r="A654" t="s">
        <v>99</v>
      </c>
      <c r="B654" t="str">
        <f>VLOOKUP(LEFT(A654,3),'Table corresp.'!$A$4:$D$63,3,FALSE)</f>
        <v>Transformation</v>
      </c>
      <c r="C654" t="str">
        <f>VLOOKUP(A654,'Table corresp.'!$M$4:$P$63,4,FALSE)</f>
        <v>Production et transformation de produits bois</v>
      </c>
      <c r="D654" t="s">
        <v>54</v>
      </c>
      <c r="E654" t="str">
        <f>VLOOKUP(LEFT(D654,3),'Table corresp.'!$A$4:$D$63,4,FALSE)</f>
        <v>Consommation finale</v>
      </c>
      <c r="F654" t="str">
        <f t="shared" si="74"/>
        <v>47  - Con</v>
      </c>
      <c r="G654" s="3">
        <v>2559774.4031510041</v>
      </c>
      <c r="H654" s="3">
        <v>3323350.5095478371</v>
      </c>
      <c r="I654" s="3">
        <v>5883124.9149404103</v>
      </c>
      <c r="J654" s="3">
        <v>402.32603120804202</v>
      </c>
      <c r="K654" s="3">
        <v>669.21157651834267</v>
      </c>
      <c r="L654" s="3">
        <v>1071.5376077263847</v>
      </c>
      <c r="M654" s="3">
        <v>897.49986698485793</v>
      </c>
      <c r="N654" s="3">
        <v>1492.8621424432804</v>
      </c>
      <c r="O654" s="3">
        <v>2390.3620094281382</v>
      </c>
      <c r="P654" s="3">
        <v>235.85193135049875</v>
      </c>
      <c r="Q654" s="3">
        <v>392.30581807008929</v>
      </c>
      <c r="R654" s="3">
        <v>628.15774942058806</v>
      </c>
      <c r="S654" s="67" t="s">
        <v>192</v>
      </c>
      <c r="T654">
        <f>VLOOKUP(A654,'Groupe de branches'!$Z$27:$AM$86,14,FALSE)</f>
        <v>0</v>
      </c>
      <c r="U654">
        <f>VLOOKUP(D654,'Groupe de branches'!$Z$27:$AM$86,14,FALSE)</f>
        <v>0</v>
      </c>
      <c r="V654">
        <v>2017</v>
      </c>
      <c r="W654" t="str">
        <f>VLOOKUP(D654,'Table corresp.'!$M$4:$S$63,7,FALSE)</f>
        <v>Consommation finale</v>
      </c>
      <c r="X654" s="167">
        <f>IFERROR(G654/SUMIFS('Comp2016-2017 (3)'!$I$5:$I$289,'Comp2016-2017 (3)'!$A$5:$A$289,A654,'Comp2016-2017 (3)'!$R$5:$R$289,V654),0)</f>
        <v>0.74407698999947192</v>
      </c>
      <c r="Y654" s="190">
        <f>IFERROR(IF(RIGHT(F654,3)="Exp",VLOOKUP(F654,#REF!,2,FALSE),VLOOKUP(F654,#REF!,9,FALSE)),1)</f>
        <v>1</v>
      </c>
      <c r="Z654" s="167">
        <f t="shared" si="73"/>
        <v>0.25</v>
      </c>
      <c r="AA654" s="189">
        <f t="shared" si="76"/>
        <v>0.18601924749986798</v>
      </c>
      <c r="AB654" s="2">
        <f>IFERROR(SUMIFS('Comp2016-2017 (3)'!$G$5:$G$289,'Comp2016-2017 (3)'!$A$5:$A$289,A654,'Comp2016-2017 (3)'!$R$5:$R$289,V654)*AA654/SUMIFS($AA$4:$AA$1116,$A$4:$A$1116,A654,$V$4:$V$1116,V654),0)</f>
        <v>813199.68162330845</v>
      </c>
      <c r="AC654" s="2" t="str">
        <f>IF($W654=AC$3,$AB654,IF(NOT($W654=0),"",SUMIFS('Val-Vol (2)'!AC$4:AC$1116,'Val-Vol (2)'!$A$4:$A$1116,$D654,'Val-Vol (2)'!$V$4:$V$1116,$V654)/SUMIFS('Comp2016-2017 (3)'!$G$5:$G$289,'Comp2016-2017 (3)'!$A$5:$A$289,$D654,'Comp2016-2017 (3)'!$R$5:$R$289,$V654)*$AB654))</f>
        <v/>
      </c>
      <c r="AD654" s="2" t="str">
        <f>IF($W654=AD$3,$AB654,IF(NOT($W654=0),"",SUMIFS('Val-Vol (2)'!AD$4:AD$1116,'Val-Vol (2)'!$A$4:$A$1116,$D654,'Val-Vol (2)'!$V$4:$V$1116,$V654)/SUMIFS('Comp2016-2017 (3)'!$G$5:$G$289,'Comp2016-2017 (3)'!$A$5:$A$289,$D654,'Comp2016-2017 (3)'!$R$5:$R$289,$V654)*$AB654))</f>
        <v/>
      </c>
      <c r="AE654" s="2" t="str">
        <f>IF($W654=AE$3,$AB654,IF(NOT($W654=0),"",SUMIFS('Val-Vol (2)'!AE$4:AE$1116,'Val-Vol (2)'!$A$4:$A$1116,$D654,'Val-Vol (2)'!$V$4:$V$1116,$V654)/SUMIFS('Comp2016-2017 (3)'!$G$5:$G$289,'Comp2016-2017 (3)'!$A$5:$A$289,$D654,'Comp2016-2017 (3)'!$R$5:$R$289,$V654)*$AB654))</f>
        <v/>
      </c>
      <c r="AF654" s="2" t="str">
        <f>IF($W654=AF$3,$AB654,IF(NOT($W654=0),"",SUMIFS('Val-Vol (2)'!AF$4:AF$1116,'Val-Vol (2)'!$A$4:$A$1116,$D654,'Val-Vol (2)'!$V$4:$V$1116,$V654)/SUMIFS('Comp2016-2017 (3)'!$G$5:$G$289,'Comp2016-2017 (3)'!$A$5:$A$289,$D654,'Comp2016-2017 (3)'!$R$5:$R$289,$V654)*$AB654))</f>
        <v/>
      </c>
      <c r="AG654" s="2" t="str">
        <f>IF($W654=AG$3,$AB654,IF(NOT($W654=0),"",SUMIFS('Val-Vol (2)'!AG$4:AG$1116,'Val-Vol (2)'!$A$4:$A$1116,$D654,'Val-Vol (2)'!$V$4:$V$1116,$V654)/SUMIFS('Comp2016-2017 (3)'!$G$5:$G$289,'Comp2016-2017 (3)'!$A$5:$A$289,$D654,'Comp2016-2017 (3)'!$R$5:$R$289,$V654)*$AB654))</f>
        <v/>
      </c>
      <c r="AH654" s="2" t="str">
        <f>IF($W654=AH$3,$AB654,IF(NOT($W654=0),"",SUMIFS('Val-Vol (2)'!AH$4:AH$1116,'Val-Vol (2)'!$A$4:$A$1116,$D654,'Val-Vol (2)'!$V$4:$V$1116,$V654)/SUMIFS('Comp2016-2017 (3)'!$G$5:$G$289,'Comp2016-2017 (3)'!$A$5:$A$289,$D654,'Comp2016-2017 (3)'!$R$5:$R$289,$V654)*$AB654))</f>
        <v/>
      </c>
      <c r="AI654" s="2" t="str">
        <f>IF($W654=AI$3,$AB654,IF(NOT($W654=0),"",SUMIFS('Val-Vol (2)'!AI$4:AI$1116,'Val-Vol (2)'!$A$4:$A$1116,$D654,'Val-Vol (2)'!$V$4:$V$1116,$V654)/SUMIFS('Comp2016-2017 (3)'!$G$5:$G$289,'Comp2016-2017 (3)'!$A$5:$A$289,$D654,'Comp2016-2017 (3)'!$R$5:$R$289,$V654)*$AB654))</f>
        <v/>
      </c>
      <c r="AJ654" s="2">
        <f>IF($W654=AJ$3,$AB654,IF(NOT($W654=0),"",SUMIFS('Val-Vol (2)'!AJ$4:AJ$1116,'Val-Vol (2)'!$A$4:$A$1116,$D654,'Val-Vol (2)'!$V$4:$V$1116,$V654)/SUMIFS('Comp2016-2017 (3)'!$G$5:$G$289,'Comp2016-2017 (3)'!$A$5:$A$289,$D654,'Comp2016-2017 (3)'!$R$5:$R$289,$V654)*$AB654))</f>
        <v>813199.68162330845</v>
      </c>
      <c r="AK654" s="2">
        <f t="shared" si="72"/>
        <v>0</v>
      </c>
      <c r="AL654" t="str">
        <f t="shared" si="75"/>
        <v/>
      </c>
      <c r="AM654" t="str">
        <f>VLOOKUP(A654,'Table corresp.'!$M$4:$U$63,8,FALSE)</f>
        <v>Production finale</v>
      </c>
      <c r="AN654" t="str">
        <f>VLOOKUP(D654,'Table corresp.'!$M$4:$U$63,9,FALSE)</f>
        <v>Consommation finale française</v>
      </c>
    </row>
    <row r="655" spans="1:40" x14ac:dyDescent="0.25">
      <c r="A655" t="s">
        <v>99</v>
      </c>
      <c r="B655" t="str">
        <f>VLOOKUP(LEFT(A655,3),'Table corresp.'!$A$4:$D$63,3,FALSE)</f>
        <v>Transformation</v>
      </c>
      <c r="C655" t="str">
        <f>VLOOKUP(A655,'Table corresp.'!$M$4:$P$63,4,FALSE)</f>
        <v>Production et transformation de produits bois</v>
      </c>
      <c r="D655" t="s">
        <v>53</v>
      </c>
      <c r="E655" t="str">
        <f>VLOOKUP(LEFT(D655,3),'Table corresp.'!$A$4:$D$63,4,FALSE)</f>
        <v>Exportation</v>
      </c>
      <c r="F655" t="str">
        <f t="shared" si="74"/>
        <v>47  - Exp</v>
      </c>
      <c r="G655" s="3">
        <v>860716.21067205258</v>
      </c>
      <c r="H655" s="3">
        <v>0</v>
      </c>
      <c r="I655" s="3">
        <v>860716.21099999989</v>
      </c>
      <c r="J655" s="3">
        <v>160.63269878824093</v>
      </c>
      <c r="K655" s="3">
        <v>0</v>
      </c>
      <c r="L655" s="3">
        <v>160.63269878824093</v>
      </c>
      <c r="M655" s="3">
        <v>358.33581377516202</v>
      </c>
      <c r="N655" s="3">
        <v>0</v>
      </c>
      <c r="O655" s="3">
        <v>358.33581377516202</v>
      </c>
      <c r="P655" s="3">
        <v>94.166246547589168</v>
      </c>
      <c r="Q655" s="3">
        <v>0</v>
      </c>
      <c r="R655" s="3">
        <v>94.166246547589168</v>
      </c>
      <c r="S655" s="67" t="s">
        <v>192</v>
      </c>
      <c r="T655">
        <f>VLOOKUP(A655,'Groupe de branches'!$Z$27:$AM$86,14,FALSE)</f>
        <v>0</v>
      </c>
      <c r="U655">
        <f>VLOOKUP(D655,'Groupe de branches'!$Z$27:$AM$86,14,FALSE)</f>
        <v>0</v>
      </c>
      <c r="V655">
        <v>2017</v>
      </c>
      <c r="W655" t="str">
        <f>VLOOKUP(D655,'Table corresp.'!$M$4:$S$63,7,FALSE)</f>
        <v>Exportation</v>
      </c>
      <c r="X655" s="167">
        <f>IFERROR(G655/SUMIFS('Comp2016-2017 (3)'!$I$5:$I$289,'Comp2016-2017 (3)'!$A$5:$A$289,A655,'Comp2016-2017 (3)'!$R$5:$R$289,V655),0)</f>
        <v>0.25019358209545778</v>
      </c>
      <c r="Y655" s="190">
        <f>IFERROR(IF(RIGHT(F655,3)="Exp",VLOOKUP(F655,#REF!,2,FALSE),VLOOKUP(F655,#REF!,9,FALSE)),1)</f>
        <v>1</v>
      </c>
      <c r="Z655" s="167">
        <f t="shared" si="73"/>
        <v>0.25</v>
      </c>
      <c r="AA655" s="189">
        <f t="shared" si="76"/>
        <v>6.2548395523864445E-2</v>
      </c>
      <c r="AB655" s="2">
        <f>IFERROR(SUMIFS('Comp2016-2017 (3)'!$G$5:$G$289,'Comp2016-2017 (3)'!$A$5:$A$289,A655,'Comp2016-2017 (3)'!$R$5:$R$289,V655)*AA655/SUMIFS($AA$4:$AA$1116,$A$4:$A$1116,A655,$V$4:$V$1116,V655),0)</f>
        <v>273435.87295229459</v>
      </c>
      <c r="AC655" s="2">
        <f>IF($W655=AC$3,$AB655,IF(NOT($W655=0),"",SUMIFS('Val-Vol (2)'!AC$4:AC$1116,'Val-Vol (2)'!$A$4:$A$1116,$D655,'Val-Vol (2)'!$V$4:$V$1116,$V655)/SUMIFS('Comp2016-2017 (3)'!$G$5:$G$289,'Comp2016-2017 (3)'!$A$5:$A$289,$D655,'Comp2016-2017 (3)'!$R$5:$R$289,$V655)*$AB655))</f>
        <v>273435.87295229459</v>
      </c>
      <c r="AD655" s="2" t="str">
        <f>IF($W655=AD$3,$AB655,IF(NOT($W655=0),"",SUMIFS('Val-Vol (2)'!AD$4:AD$1116,'Val-Vol (2)'!$A$4:$A$1116,$D655,'Val-Vol (2)'!$V$4:$V$1116,$V655)/SUMIFS('Comp2016-2017 (3)'!$G$5:$G$289,'Comp2016-2017 (3)'!$A$5:$A$289,$D655,'Comp2016-2017 (3)'!$R$5:$R$289,$V655)*$AB655))</f>
        <v/>
      </c>
      <c r="AE655" s="2" t="str">
        <f>IF($W655=AE$3,$AB655,IF(NOT($W655=0),"",SUMIFS('Val-Vol (2)'!AE$4:AE$1116,'Val-Vol (2)'!$A$4:$A$1116,$D655,'Val-Vol (2)'!$V$4:$V$1116,$V655)/SUMIFS('Comp2016-2017 (3)'!$G$5:$G$289,'Comp2016-2017 (3)'!$A$5:$A$289,$D655,'Comp2016-2017 (3)'!$R$5:$R$289,$V655)*$AB655))</f>
        <v/>
      </c>
      <c r="AF655" s="2" t="str">
        <f>IF($W655=AF$3,$AB655,IF(NOT($W655=0),"",SUMIFS('Val-Vol (2)'!AF$4:AF$1116,'Val-Vol (2)'!$A$4:$A$1116,$D655,'Val-Vol (2)'!$V$4:$V$1116,$V655)/SUMIFS('Comp2016-2017 (3)'!$G$5:$G$289,'Comp2016-2017 (3)'!$A$5:$A$289,$D655,'Comp2016-2017 (3)'!$R$5:$R$289,$V655)*$AB655))</f>
        <v/>
      </c>
      <c r="AG655" s="2" t="str">
        <f>IF($W655=AG$3,$AB655,IF(NOT($W655=0),"",SUMIFS('Val-Vol (2)'!AG$4:AG$1116,'Val-Vol (2)'!$A$4:$A$1116,$D655,'Val-Vol (2)'!$V$4:$V$1116,$V655)/SUMIFS('Comp2016-2017 (3)'!$G$5:$G$289,'Comp2016-2017 (3)'!$A$5:$A$289,$D655,'Comp2016-2017 (3)'!$R$5:$R$289,$V655)*$AB655))</f>
        <v/>
      </c>
      <c r="AH655" s="2" t="str">
        <f>IF($W655=AH$3,$AB655,IF(NOT($W655=0),"",SUMIFS('Val-Vol (2)'!AH$4:AH$1116,'Val-Vol (2)'!$A$4:$A$1116,$D655,'Val-Vol (2)'!$V$4:$V$1116,$V655)/SUMIFS('Comp2016-2017 (3)'!$G$5:$G$289,'Comp2016-2017 (3)'!$A$5:$A$289,$D655,'Comp2016-2017 (3)'!$R$5:$R$289,$V655)*$AB655))</f>
        <v/>
      </c>
      <c r="AI655" s="2" t="str">
        <f>IF($W655=AI$3,$AB655,IF(NOT($W655=0),"",SUMIFS('Val-Vol (2)'!AI$4:AI$1116,'Val-Vol (2)'!$A$4:$A$1116,$D655,'Val-Vol (2)'!$V$4:$V$1116,$V655)/SUMIFS('Comp2016-2017 (3)'!$G$5:$G$289,'Comp2016-2017 (3)'!$A$5:$A$289,$D655,'Comp2016-2017 (3)'!$R$5:$R$289,$V655)*$AB655))</f>
        <v/>
      </c>
      <c r="AJ655" s="2" t="str">
        <f>IF($W655=AJ$3,$AB655,IF(NOT($W655=0),"",SUMIFS('Val-Vol (2)'!AJ$4:AJ$1116,'Val-Vol (2)'!$A$4:$A$1116,$D655,'Val-Vol (2)'!$V$4:$V$1116,$V655)/SUMIFS('Comp2016-2017 (3)'!$G$5:$G$289,'Comp2016-2017 (3)'!$A$5:$A$289,$D655,'Comp2016-2017 (3)'!$R$5:$R$289,$V655)*$AB655))</f>
        <v/>
      </c>
      <c r="AK655" s="2">
        <f t="shared" si="72"/>
        <v>0</v>
      </c>
      <c r="AL655" t="str">
        <f t="shared" si="75"/>
        <v/>
      </c>
      <c r="AM655" t="str">
        <f>VLOOKUP(A655,'Table corresp.'!$M$4:$U$63,8,FALSE)</f>
        <v>Production finale</v>
      </c>
      <c r="AN655" t="str">
        <f>VLOOKUP(D655,'Table corresp.'!$M$4:$U$63,9,FALSE)</f>
        <v>Exportation</v>
      </c>
    </row>
    <row r="656" spans="1:40" x14ac:dyDescent="0.25">
      <c r="A656" t="s">
        <v>100</v>
      </c>
      <c r="B656" t="str">
        <f>VLOOKUP(LEFT(A656,3),'Table corresp.'!$A$4:$D$63,3,FALSE)</f>
        <v>Transformation</v>
      </c>
      <c r="C656" t="str">
        <f>VLOOKUP(A656,'Table corresp.'!$M$4:$P$63,4,FALSE)</f>
        <v>Production et transformation de produits bois</v>
      </c>
      <c r="D656" t="s">
        <v>54</v>
      </c>
      <c r="E656" t="str">
        <f>VLOOKUP(LEFT(D656,3),'Table corresp.'!$A$4:$D$63,4,FALSE)</f>
        <v>Consommation finale</v>
      </c>
      <c r="F656" t="str">
        <f t="shared" si="74"/>
        <v>48  - Con</v>
      </c>
      <c r="G656" s="3">
        <v>375818.70820754982</v>
      </c>
      <c r="H656" s="3">
        <v>390797.07399999961</v>
      </c>
      <c r="I656" s="3">
        <v>766615.78899999999</v>
      </c>
      <c r="J656" s="3">
        <v>211.15767978077719</v>
      </c>
      <c r="K656" s="3">
        <v>338.60937283745608</v>
      </c>
      <c r="L656" s="3">
        <v>549.76705261823327</v>
      </c>
      <c r="M656" s="3">
        <v>0</v>
      </c>
      <c r="N656" s="3">
        <v>0</v>
      </c>
      <c r="O656" s="3">
        <v>0</v>
      </c>
      <c r="P656" s="3">
        <v>0</v>
      </c>
      <c r="Q656" s="3">
        <v>0</v>
      </c>
      <c r="R656" s="3">
        <v>0</v>
      </c>
      <c r="S656" s="67"/>
      <c r="T656">
        <f>VLOOKUP(A656,'Groupe de branches'!$Z$27:$AM$86,14,FALSE)</f>
        <v>0</v>
      </c>
      <c r="U656">
        <f>VLOOKUP(D656,'Groupe de branches'!$Z$27:$AM$86,14,FALSE)</f>
        <v>0</v>
      </c>
      <c r="V656">
        <v>2017</v>
      </c>
      <c r="W656" t="str">
        <f>VLOOKUP(D656,'Table corresp.'!$M$4:$S$63,7,FALSE)</f>
        <v>Consommation finale</v>
      </c>
      <c r="X656" s="167">
        <f>IFERROR(G656/SUMIFS('Comp2016-2017 (3)'!$I$5:$I$289,'Comp2016-2017 (3)'!$A$5:$A$289,A656,'Comp2016-2017 (3)'!$R$5:$R$289,V656),0)</f>
        <v>0.78138149653305844</v>
      </c>
      <c r="Y656" s="190">
        <f>IFERROR(IF(RIGHT(F656,3)="Exp",VLOOKUP(F656,#REF!,2,FALSE),VLOOKUP(F656,#REF!,9,FALSE)),1)</f>
        <v>1</v>
      </c>
      <c r="Z656" s="167">
        <f t="shared" si="73"/>
        <v>0.5</v>
      </c>
      <c r="AA656" s="189">
        <f t="shared" si="76"/>
        <v>0.39069074826652922</v>
      </c>
      <c r="AB656" s="2">
        <f>IFERROR(SUMIFS('Comp2016-2017 (3)'!$G$5:$G$289,'Comp2016-2017 (3)'!$A$5:$A$289,A656,'Comp2016-2017 (3)'!$R$5:$R$289,V656)*AA656/SUMIFS($AA$4:$AA$1116,$A$4:$A$1116,A656,$V$4:$V$1116,V656),0)</f>
        <v>141228.81512310734</v>
      </c>
      <c r="AC656" s="2" t="str">
        <f>IF($W656=AC$3,$AB656,IF(NOT($W656=0),"",SUMIFS('Val-Vol (2)'!AC$4:AC$1116,'Val-Vol (2)'!$A$4:$A$1116,$D656,'Val-Vol (2)'!$V$4:$V$1116,$V656)/SUMIFS('Comp2016-2017 (3)'!$G$5:$G$289,'Comp2016-2017 (3)'!$A$5:$A$289,$D656,'Comp2016-2017 (3)'!$R$5:$R$289,$V656)*$AB656))</f>
        <v/>
      </c>
      <c r="AD656" s="2" t="str">
        <f>IF($W656=AD$3,$AB656,IF(NOT($W656=0),"",SUMIFS('Val-Vol (2)'!AD$4:AD$1116,'Val-Vol (2)'!$A$4:$A$1116,$D656,'Val-Vol (2)'!$V$4:$V$1116,$V656)/SUMIFS('Comp2016-2017 (3)'!$G$5:$G$289,'Comp2016-2017 (3)'!$A$5:$A$289,$D656,'Comp2016-2017 (3)'!$R$5:$R$289,$V656)*$AB656))</f>
        <v/>
      </c>
      <c r="AE656" s="2" t="str">
        <f>IF($W656=AE$3,$AB656,IF(NOT($W656=0),"",SUMIFS('Val-Vol (2)'!AE$4:AE$1116,'Val-Vol (2)'!$A$4:$A$1116,$D656,'Val-Vol (2)'!$V$4:$V$1116,$V656)/SUMIFS('Comp2016-2017 (3)'!$G$5:$G$289,'Comp2016-2017 (3)'!$A$5:$A$289,$D656,'Comp2016-2017 (3)'!$R$5:$R$289,$V656)*$AB656))</f>
        <v/>
      </c>
      <c r="AF656" s="2" t="str">
        <f>IF($W656=AF$3,$AB656,IF(NOT($W656=0),"",SUMIFS('Val-Vol (2)'!AF$4:AF$1116,'Val-Vol (2)'!$A$4:$A$1116,$D656,'Val-Vol (2)'!$V$4:$V$1116,$V656)/SUMIFS('Comp2016-2017 (3)'!$G$5:$G$289,'Comp2016-2017 (3)'!$A$5:$A$289,$D656,'Comp2016-2017 (3)'!$R$5:$R$289,$V656)*$AB656))</f>
        <v/>
      </c>
      <c r="AG656" s="2" t="str">
        <f>IF($W656=AG$3,$AB656,IF(NOT($W656=0),"",SUMIFS('Val-Vol (2)'!AG$4:AG$1116,'Val-Vol (2)'!$A$4:$A$1116,$D656,'Val-Vol (2)'!$V$4:$V$1116,$V656)/SUMIFS('Comp2016-2017 (3)'!$G$5:$G$289,'Comp2016-2017 (3)'!$A$5:$A$289,$D656,'Comp2016-2017 (3)'!$R$5:$R$289,$V656)*$AB656))</f>
        <v/>
      </c>
      <c r="AH656" s="2" t="str">
        <f>IF($W656=AH$3,$AB656,IF(NOT($W656=0),"",SUMIFS('Val-Vol (2)'!AH$4:AH$1116,'Val-Vol (2)'!$A$4:$A$1116,$D656,'Val-Vol (2)'!$V$4:$V$1116,$V656)/SUMIFS('Comp2016-2017 (3)'!$G$5:$G$289,'Comp2016-2017 (3)'!$A$5:$A$289,$D656,'Comp2016-2017 (3)'!$R$5:$R$289,$V656)*$AB656))</f>
        <v/>
      </c>
      <c r="AI656" s="2" t="str">
        <f>IF($W656=AI$3,$AB656,IF(NOT($W656=0),"",SUMIFS('Val-Vol (2)'!AI$4:AI$1116,'Val-Vol (2)'!$A$4:$A$1116,$D656,'Val-Vol (2)'!$V$4:$V$1116,$V656)/SUMIFS('Comp2016-2017 (3)'!$G$5:$G$289,'Comp2016-2017 (3)'!$A$5:$A$289,$D656,'Comp2016-2017 (3)'!$R$5:$R$289,$V656)*$AB656))</f>
        <v/>
      </c>
      <c r="AJ656" s="2">
        <f>IF($W656=AJ$3,$AB656,IF(NOT($W656=0),"",SUMIFS('Val-Vol (2)'!AJ$4:AJ$1116,'Val-Vol (2)'!$A$4:$A$1116,$D656,'Val-Vol (2)'!$V$4:$V$1116,$V656)/SUMIFS('Comp2016-2017 (3)'!$G$5:$G$289,'Comp2016-2017 (3)'!$A$5:$A$289,$D656,'Comp2016-2017 (3)'!$R$5:$R$289,$V656)*$AB656))</f>
        <v>141228.81512310734</v>
      </c>
      <c r="AK656" s="2">
        <f t="shared" si="72"/>
        <v>0</v>
      </c>
      <c r="AL656" t="str">
        <f t="shared" si="75"/>
        <v/>
      </c>
      <c r="AM656" t="str">
        <f>VLOOKUP(A656,'Table corresp.'!$M$4:$U$63,8,FALSE)</f>
        <v>Production finale</v>
      </c>
      <c r="AN656" t="str">
        <f>VLOOKUP(D656,'Table corresp.'!$M$4:$U$63,9,FALSE)</f>
        <v>Consommation finale française</v>
      </c>
    </row>
    <row r="657" spans="1:40" x14ac:dyDescent="0.25">
      <c r="A657" t="s">
        <v>100</v>
      </c>
      <c r="B657" t="str">
        <f>VLOOKUP(LEFT(A657,3),'Table corresp.'!$A$4:$D$63,3,FALSE)</f>
        <v>Transformation</v>
      </c>
      <c r="C657" t="str">
        <f>VLOOKUP(A657,'Table corresp.'!$M$4:$P$63,4,FALSE)</f>
        <v>Production et transformation de produits bois</v>
      </c>
      <c r="D657" t="s">
        <v>53</v>
      </c>
      <c r="E657" t="str">
        <f>VLOOKUP(LEFT(D657,3),'Table corresp.'!$A$4:$D$63,4,FALSE)</f>
        <v>Exportation</v>
      </c>
      <c r="F657" t="str">
        <f t="shared" si="74"/>
        <v>48  - Exp</v>
      </c>
      <c r="G657" s="3">
        <v>105148.28406835401</v>
      </c>
      <c r="H657" s="3">
        <v>0</v>
      </c>
      <c r="I657" s="3">
        <v>105148.28500000002</v>
      </c>
      <c r="J657" s="3">
        <v>59.078664386429239</v>
      </c>
      <c r="K657" s="3">
        <v>0</v>
      </c>
      <c r="L657" s="3">
        <v>59.078664386429239</v>
      </c>
      <c r="M657" s="3">
        <v>0</v>
      </c>
      <c r="N657" s="3">
        <v>0</v>
      </c>
      <c r="O657" s="3">
        <v>0</v>
      </c>
      <c r="P657" s="3">
        <v>0</v>
      </c>
      <c r="Q657" s="3">
        <v>0</v>
      </c>
      <c r="R657" s="3">
        <v>0</v>
      </c>
      <c r="S657" s="67"/>
      <c r="T657">
        <f>VLOOKUP(A657,'Groupe de branches'!$Z$27:$AM$86,14,FALSE)</f>
        <v>0</v>
      </c>
      <c r="U657">
        <f>VLOOKUP(D657,'Groupe de branches'!$Z$27:$AM$86,14,FALSE)</f>
        <v>0</v>
      </c>
      <c r="V657">
        <v>2017</v>
      </c>
      <c r="W657" t="str">
        <f>VLOOKUP(D657,'Table corresp.'!$M$4:$S$63,7,FALSE)</f>
        <v>Exportation</v>
      </c>
      <c r="X657" s="167">
        <f>IFERROR(G657/SUMIFS('Comp2016-2017 (3)'!$I$5:$I$289,'Comp2016-2017 (3)'!$A$5:$A$289,A657,'Comp2016-2017 (3)'!$R$5:$R$289,V657),0)</f>
        <v>0.21861850346694123</v>
      </c>
      <c r="Y657" s="190">
        <f>IFERROR(IF(RIGHT(F657,3)="Exp",VLOOKUP(F657,#REF!,2,FALSE),VLOOKUP(F657,#REF!,9,FALSE)),1)</f>
        <v>1</v>
      </c>
      <c r="Z657" s="167">
        <f t="shared" si="73"/>
        <v>0.5</v>
      </c>
      <c r="AA657" s="189">
        <f t="shared" si="76"/>
        <v>0.10930925173347061</v>
      </c>
      <c r="AB657" s="2">
        <f>IFERROR(SUMIFS('Comp2016-2017 (3)'!$G$5:$G$289,'Comp2016-2017 (3)'!$A$5:$A$289,A657,'Comp2016-2017 (3)'!$R$5:$R$289,V657)*AA657/SUMIFS($AA$4:$AA$1116,$A$4:$A$1116,A657,$V$4:$V$1116,V657),0)</f>
        <v>39513.646465413556</v>
      </c>
      <c r="AC657" s="2">
        <f>IF($W657=AC$3,$AB657,IF(NOT($W657=0),"",SUMIFS('Val-Vol (2)'!AC$4:AC$1116,'Val-Vol (2)'!$A$4:$A$1116,$D657,'Val-Vol (2)'!$V$4:$V$1116,$V657)/SUMIFS('Comp2016-2017 (3)'!$G$5:$G$289,'Comp2016-2017 (3)'!$A$5:$A$289,$D657,'Comp2016-2017 (3)'!$R$5:$R$289,$V657)*$AB657))</f>
        <v>39513.646465413556</v>
      </c>
      <c r="AD657" s="2" t="str">
        <f>IF($W657=AD$3,$AB657,IF(NOT($W657=0),"",SUMIFS('Val-Vol (2)'!AD$4:AD$1116,'Val-Vol (2)'!$A$4:$A$1116,$D657,'Val-Vol (2)'!$V$4:$V$1116,$V657)/SUMIFS('Comp2016-2017 (3)'!$G$5:$G$289,'Comp2016-2017 (3)'!$A$5:$A$289,$D657,'Comp2016-2017 (3)'!$R$5:$R$289,$V657)*$AB657))</f>
        <v/>
      </c>
      <c r="AE657" s="2" t="str">
        <f>IF($W657=AE$3,$AB657,IF(NOT($W657=0),"",SUMIFS('Val-Vol (2)'!AE$4:AE$1116,'Val-Vol (2)'!$A$4:$A$1116,$D657,'Val-Vol (2)'!$V$4:$V$1116,$V657)/SUMIFS('Comp2016-2017 (3)'!$G$5:$G$289,'Comp2016-2017 (3)'!$A$5:$A$289,$D657,'Comp2016-2017 (3)'!$R$5:$R$289,$V657)*$AB657))</f>
        <v/>
      </c>
      <c r="AF657" s="2" t="str">
        <f>IF($W657=AF$3,$AB657,IF(NOT($W657=0),"",SUMIFS('Val-Vol (2)'!AF$4:AF$1116,'Val-Vol (2)'!$A$4:$A$1116,$D657,'Val-Vol (2)'!$V$4:$V$1116,$V657)/SUMIFS('Comp2016-2017 (3)'!$G$5:$G$289,'Comp2016-2017 (3)'!$A$5:$A$289,$D657,'Comp2016-2017 (3)'!$R$5:$R$289,$V657)*$AB657))</f>
        <v/>
      </c>
      <c r="AG657" s="2" t="str">
        <f>IF($W657=AG$3,$AB657,IF(NOT($W657=0),"",SUMIFS('Val-Vol (2)'!AG$4:AG$1116,'Val-Vol (2)'!$A$4:$A$1116,$D657,'Val-Vol (2)'!$V$4:$V$1116,$V657)/SUMIFS('Comp2016-2017 (3)'!$G$5:$G$289,'Comp2016-2017 (3)'!$A$5:$A$289,$D657,'Comp2016-2017 (3)'!$R$5:$R$289,$V657)*$AB657))</f>
        <v/>
      </c>
      <c r="AH657" s="2" t="str">
        <f>IF($W657=AH$3,$AB657,IF(NOT($W657=0),"",SUMIFS('Val-Vol (2)'!AH$4:AH$1116,'Val-Vol (2)'!$A$4:$A$1116,$D657,'Val-Vol (2)'!$V$4:$V$1116,$V657)/SUMIFS('Comp2016-2017 (3)'!$G$5:$G$289,'Comp2016-2017 (3)'!$A$5:$A$289,$D657,'Comp2016-2017 (3)'!$R$5:$R$289,$V657)*$AB657))</f>
        <v/>
      </c>
      <c r="AI657" s="2" t="str">
        <f>IF($W657=AI$3,$AB657,IF(NOT($W657=0),"",SUMIFS('Val-Vol (2)'!AI$4:AI$1116,'Val-Vol (2)'!$A$4:$A$1116,$D657,'Val-Vol (2)'!$V$4:$V$1116,$V657)/SUMIFS('Comp2016-2017 (3)'!$G$5:$G$289,'Comp2016-2017 (3)'!$A$5:$A$289,$D657,'Comp2016-2017 (3)'!$R$5:$R$289,$V657)*$AB657))</f>
        <v/>
      </c>
      <c r="AJ657" s="2" t="str">
        <f>IF($W657=AJ$3,$AB657,IF(NOT($W657=0),"",SUMIFS('Val-Vol (2)'!AJ$4:AJ$1116,'Val-Vol (2)'!$A$4:$A$1116,$D657,'Val-Vol (2)'!$V$4:$V$1116,$V657)/SUMIFS('Comp2016-2017 (3)'!$G$5:$G$289,'Comp2016-2017 (3)'!$A$5:$A$289,$D657,'Comp2016-2017 (3)'!$R$5:$R$289,$V657)*$AB657))</f>
        <v/>
      </c>
      <c r="AK657" s="2">
        <f t="shared" si="72"/>
        <v>0</v>
      </c>
      <c r="AL657" t="str">
        <f t="shared" si="75"/>
        <v/>
      </c>
      <c r="AM657" t="str">
        <f>VLOOKUP(A657,'Table corresp.'!$M$4:$U$63,8,FALSE)</f>
        <v>Production finale</v>
      </c>
      <c r="AN657" t="str">
        <f>VLOOKUP(D657,'Table corresp.'!$M$4:$U$63,9,FALSE)</f>
        <v>Exportation</v>
      </c>
    </row>
    <row r="658" spans="1:40" x14ac:dyDescent="0.25">
      <c r="A658" t="s">
        <v>101</v>
      </c>
      <c r="B658" t="str">
        <f>VLOOKUP(LEFT(A658,3),'Table corresp.'!$A$4:$D$63,3,FALSE)</f>
        <v>Transformation</v>
      </c>
      <c r="C658" t="str">
        <f>VLOOKUP(A658,'Table corresp.'!$M$4:$P$63,4,FALSE)</f>
        <v>Production et transformation de produits bois</v>
      </c>
      <c r="D658" t="s">
        <v>54</v>
      </c>
      <c r="E658" t="str">
        <f>VLOOKUP(LEFT(D658,3),'Table corresp.'!$A$4:$D$63,4,FALSE)</f>
        <v>Consommation finale</v>
      </c>
      <c r="F658" t="str">
        <f t="shared" si="74"/>
        <v>49  - Con</v>
      </c>
      <c r="G658" s="3">
        <v>1967057.3842622184</v>
      </c>
      <c r="H658" s="3">
        <v>0</v>
      </c>
      <c r="I658" s="3">
        <v>1967057.3842723635</v>
      </c>
      <c r="J658" s="3">
        <v>0</v>
      </c>
      <c r="K658" s="3">
        <v>0</v>
      </c>
      <c r="L658" s="3">
        <v>0</v>
      </c>
      <c r="M658" s="3">
        <v>0</v>
      </c>
      <c r="N658" s="3">
        <v>0</v>
      </c>
      <c r="O658" s="3">
        <v>0</v>
      </c>
      <c r="P658" s="3">
        <v>5393.1315415117824</v>
      </c>
      <c r="Q658" s="3">
        <v>0</v>
      </c>
      <c r="R658" s="3">
        <v>5393.1315415117824</v>
      </c>
      <c r="S658" s="67" t="s">
        <v>198</v>
      </c>
      <c r="T658">
        <f>VLOOKUP(A658,'Groupe de branches'!$Z$27:$AM$86,14,FALSE)</f>
        <v>1</v>
      </c>
      <c r="U658">
        <f>VLOOKUP(D658,'Groupe de branches'!$Z$27:$AM$86,14,FALSE)</f>
        <v>0</v>
      </c>
      <c r="V658">
        <v>2017</v>
      </c>
      <c r="W658" t="str">
        <f>VLOOKUP(D658,'Table corresp.'!$M$4:$S$63,7,FALSE)</f>
        <v>Consommation finale</v>
      </c>
      <c r="X658" s="167">
        <f>IFERROR(G658/SUMIFS('Comp2016-2017 (3)'!$I$5:$I$289,'Comp2016-2017 (3)'!$A$5:$A$289,A658,'Comp2016-2017 (3)'!$R$5:$R$289,V658),0)</f>
        <v>1</v>
      </c>
      <c r="Y658" s="190">
        <f>IFERROR(IF(RIGHT(F658,3)="Exp",VLOOKUP(F658,#REF!,2,FALSE),VLOOKUP(F658,#REF!,9,FALSE)),1)</f>
        <v>1</v>
      </c>
      <c r="Z658" s="167">
        <f t="shared" si="73"/>
        <v>1</v>
      </c>
      <c r="AA658" s="189">
        <f t="shared" si="76"/>
        <v>1</v>
      </c>
      <c r="AB658" s="2">
        <f>IFERROR(SUMIFS('Comp2016-2017 (3)'!$G$5:$G$289,'Comp2016-2017 (3)'!$A$5:$A$289,A658,'Comp2016-2017 (3)'!$R$5:$R$289,V658)*AA658/SUMIFS($AA$4:$AA$1116,$A$4:$A$1116,A658,$V$4:$V$1116,V658),0)</f>
        <v>512093.51335647533</v>
      </c>
      <c r="AC658" s="2" t="str">
        <f>IF($W658=AC$3,$AB658,IF(NOT($W658=0),"",SUMIFS('Val-Vol (2)'!AC$4:AC$1116,'Val-Vol (2)'!$A$4:$A$1116,$D658,'Val-Vol (2)'!$V$4:$V$1116,$V658)/SUMIFS('Comp2016-2017 (3)'!$G$5:$G$289,'Comp2016-2017 (3)'!$A$5:$A$289,$D658,'Comp2016-2017 (3)'!$R$5:$R$289,$V658)*$AB658))</f>
        <v/>
      </c>
      <c r="AD658" s="2" t="str">
        <f>IF($W658=AD$3,$AB658,IF(NOT($W658=0),"",SUMIFS('Val-Vol (2)'!AD$4:AD$1116,'Val-Vol (2)'!$A$4:$A$1116,$D658,'Val-Vol (2)'!$V$4:$V$1116,$V658)/SUMIFS('Comp2016-2017 (3)'!$G$5:$G$289,'Comp2016-2017 (3)'!$A$5:$A$289,$D658,'Comp2016-2017 (3)'!$R$5:$R$289,$V658)*$AB658))</f>
        <v/>
      </c>
      <c r="AE658" s="2" t="str">
        <f>IF($W658=AE$3,$AB658,IF(NOT($W658=0),"",SUMIFS('Val-Vol (2)'!AE$4:AE$1116,'Val-Vol (2)'!$A$4:$A$1116,$D658,'Val-Vol (2)'!$V$4:$V$1116,$V658)/SUMIFS('Comp2016-2017 (3)'!$G$5:$G$289,'Comp2016-2017 (3)'!$A$5:$A$289,$D658,'Comp2016-2017 (3)'!$R$5:$R$289,$V658)*$AB658))</f>
        <v/>
      </c>
      <c r="AF658" s="2" t="str">
        <f>IF($W658=AF$3,$AB658,IF(NOT($W658=0),"",SUMIFS('Val-Vol (2)'!AF$4:AF$1116,'Val-Vol (2)'!$A$4:$A$1116,$D658,'Val-Vol (2)'!$V$4:$V$1116,$V658)/SUMIFS('Comp2016-2017 (3)'!$G$5:$G$289,'Comp2016-2017 (3)'!$A$5:$A$289,$D658,'Comp2016-2017 (3)'!$R$5:$R$289,$V658)*$AB658))</f>
        <v/>
      </c>
      <c r="AG658" s="2" t="str">
        <f>IF($W658=AG$3,$AB658,IF(NOT($W658=0),"",SUMIFS('Val-Vol (2)'!AG$4:AG$1116,'Val-Vol (2)'!$A$4:$A$1116,$D658,'Val-Vol (2)'!$V$4:$V$1116,$V658)/SUMIFS('Comp2016-2017 (3)'!$G$5:$G$289,'Comp2016-2017 (3)'!$A$5:$A$289,$D658,'Comp2016-2017 (3)'!$R$5:$R$289,$V658)*$AB658))</f>
        <v/>
      </c>
      <c r="AH658" s="2" t="str">
        <f>IF($W658=AH$3,$AB658,IF(NOT($W658=0),"",SUMIFS('Val-Vol (2)'!AH$4:AH$1116,'Val-Vol (2)'!$A$4:$A$1116,$D658,'Val-Vol (2)'!$V$4:$V$1116,$V658)/SUMIFS('Comp2016-2017 (3)'!$G$5:$G$289,'Comp2016-2017 (3)'!$A$5:$A$289,$D658,'Comp2016-2017 (3)'!$R$5:$R$289,$V658)*$AB658))</f>
        <v/>
      </c>
      <c r="AI658" s="2" t="str">
        <f>IF($W658=AI$3,$AB658,IF(NOT($W658=0),"",SUMIFS('Val-Vol (2)'!AI$4:AI$1116,'Val-Vol (2)'!$A$4:$A$1116,$D658,'Val-Vol (2)'!$V$4:$V$1116,$V658)/SUMIFS('Comp2016-2017 (3)'!$G$5:$G$289,'Comp2016-2017 (3)'!$A$5:$A$289,$D658,'Comp2016-2017 (3)'!$R$5:$R$289,$V658)*$AB658))</f>
        <v/>
      </c>
      <c r="AJ658" s="2">
        <f>IF($W658=AJ$3,$AB658,IF(NOT($W658=0),"",SUMIFS('Val-Vol (2)'!AJ$4:AJ$1116,'Val-Vol (2)'!$A$4:$A$1116,$D658,'Val-Vol (2)'!$V$4:$V$1116,$V658)/SUMIFS('Comp2016-2017 (3)'!$G$5:$G$289,'Comp2016-2017 (3)'!$A$5:$A$289,$D658,'Comp2016-2017 (3)'!$R$5:$R$289,$V658)*$AB658))</f>
        <v>512093.51335647533</v>
      </c>
      <c r="AK658" s="2">
        <f t="shared" si="72"/>
        <v>0</v>
      </c>
      <c r="AL658" t="str">
        <f t="shared" si="75"/>
        <v/>
      </c>
      <c r="AM658" t="str">
        <f>VLOOKUP(A658,'Table corresp.'!$M$4:$U$63,8,FALSE)</f>
        <v>Production finale</v>
      </c>
      <c r="AN658" t="str">
        <f>VLOOKUP(D658,'Table corresp.'!$M$4:$U$63,9,FALSE)</f>
        <v>Consommation finale française</v>
      </c>
    </row>
    <row r="659" spans="1:40" x14ac:dyDescent="0.25">
      <c r="A659" t="s">
        <v>102</v>
      </c>
      <c r="B659" t="str">
        <f>VLOOKUP(LEFT(A659,3),'Table corresp.'!$A$4:$D$63,3,FALSE)</f>
        <v>Bois recyclés</v>
      </c>
      <c r="C659" t="str">
        <f>VLOOKUP(A659,'Table corresp.'!$M$4:$P$63,4,FALSE)</f>
        <v>Production et transformation de produits bois</v>
      </c>
      <c r="D659" t="s">
        <v>87</v>
      </c>
      <c r="E659" t="str">
        <f>VLOOKUP(LEFT(D659,3),'Table corresp.'!$A$4:$D$63,4,FALSE)</f>
        <v>Transformation</v>
      </c>
      <c r="F659" t="str">
        <f t="shared" si="74"/>
        <v xml:space="preserve">50  - 31 </v>
      </c>
      <c r="G659" s="3">
        <v>10367.497174314267</v>
      </c>
      <c r="H659" s="3">
        <v>0</v>
      </c>
      <c r="I659" s="3">
        <v>10367.497177165164</v>
      </c>
      <c r="J659" s="3">
        <v>0</v>
      </c>
      <c r="K659" s="3">
        <v>0</v>
      </c>
      <c r="L659" s="3">
        <v>0</v>
      </c>
      <c r="M659" s="3">
        <v>0</v>
      </c>
      <c r="N659" s="3">
        <v>0</v>
      </c>
      <c r="O659" s="3">
        <v>0</v>
      </c>
      <c r="P659" s="3">
        <v>846.61307128462408</v>
      </c>
      <c r="Q659" s="3">
        <v>0</v>
      </c>
      <c r="R659" s="3">
        <v>846.61307128462408</v>
      </c>
      <c r="S659" s="67" t="s">
        <v>192</v>
      </c>
      <c r="T659">
        <f>VLOOKUP(A659,'Groupe de branches'!$Z$27:$AM$86,14,FALSE)</f>
        <v>0</v>
      </c>
      <c r="U659">
        <f>VLOOKUP(D659,'Groupe de branches'!$Z$27:$AM$86,14,FALSE)</f>
        <v>0</v>
      </c>
      <c r="V659">
        <v>2017</v>
      </c>
      <c r="W659">
        <f>VLOOKUP(D659,'Table corresp.'!$M$4:$S$63,7,FALSE)</f>
        <v>0</v>
      </c>
      <c r="X659" s="167">
        <f>IFERROR(G659/SUMIFS('Comp2016-2017 (3)'!$I$5:$I$289,'Comp2016-2017 (3)'!$A$5:$A$289,A659,'Comp2016-2017 (3)'!$R$5:$R$289,V659),0)</f>
        <v>4.8889913016314589E-2</v>
      </c>
      <c r="Y659" s="190">
        <f>IFERROR(IF(RIGHT(F659,3)="Exp",VLOOKUP(F659,#REF!,2,FALSE),VLOOKUP(F659,#REF!,9,FALSE)),1)</f>
        <v>1</v>
      </c>
      <c r="Z659" s="167">
        <f t="shared" si="73"/>
        <v>0.2</v>
      </c>
      <c r="AA659" s="189">
        <f t="shared" si="76"/>
        <v>9.7779826032629181E-3</v>
      </c>
      <c r="AB659" s="2">
        <f>IFERROR(SUMIFS('Comp2016-2017 (3)'!$G$5:$G$289,'Comp2016-2017 (3)'!$A$5:$A$289,A659,'Comp2016-2017 (3)'!$R$5:$R$289,V659)*AA659/SUMIFS($AA$4:$AA$1116,$A$4:$A$1116,A659,$V$4:$V$1116,V659),0)</f>
        <v>4669.7421499675038</v>
      </c>
      <c r="AC659" s="2">
        <f>IF($W659=AC$3,$AB659,IF(NOT($W659=0),"",SUMIFS('Val-Vol (2)'!AC$4:AC$1116,'Val-Vol (2)'!$A$4:$A$1116,$D659,'Val-Vol (2)'!$V$4:$V$1116,$V659)/SUMIFS('Comp2016-2017 (3)'!$G$5:$G$289,'Comp2016-2017 (3)'!$A$5:$A$289,$D659,'Comp2016-2017 (3)'!$R$5:$R$289,$V659)*$AB659))</f>
        <v>2479.0294880921397</v>
      </c>
      <c r="AD659" s="2">
        <f>IF($W659=AD$3,$AB659,IF(NOT($W659=0),"",SUMIFS('Val-Vol (2)'!AD$4:AD$1116,'Val-Vol (2)'!$A$4:$A$1116,$D659,'Val-Vol (2)'!$V$4:$V$1116,$V659)/SUMIFS('Comp2016-2017 (3)'!$G$5:$G$289,'Comp2016-2017 (3)'!$A$5:$A$289,$D659,'Comp2016-2017 (3)'!$R$5:$R$289,$V659)*$AB659))</f>
        <v>715.32260779299259</v>
      </c>
      <c r="AE659" s="2">
        <f>IF($W659=AE$3,$AB659,IF(NOT($W659=0),"",SUMIFS('Val-Vol (2)'!AE$4:AE$1116,'Val-Vol (2)'!$A$4:$A$1116,$D659,'Val-Vol (2)'!$V$4:$V$1116,$V659)/SUMIFS('Comp2016-2017 (3)'!$G$5:$G$289,'Comp2016-2017 (3)'!$A$5:$A$289,$D659,'Comp2016-2017 (3)'!$R$5:$R$289,$V659)*$AB659))</f>
        <v>915.20930431331988</v>
      </c>
      <c r="AF659" s="2">
        <f>IF($W659=AF$3,$AB659,IF(NOT($W659=0),"",SUMIFS('Val-Vol (2)'!AF$4:AF$1116,'Val-Vol (2)'!$A$4:$A$1116,$D659,'Val-Vol (2)'!$V$4:$V$1116,$V659)/SUMIFS('Comp2016-2017 (3)'!$G$5:$G$289,'Comp2016-2017 (3)'!$A$5:$A$289,$D659,'Comp2016-2017 (3)'!$R$5:$R$289,$V659)*$AB659))</f>
        <v>0</v>
      </c>
      <c r="AG659" s="2">
        <f>IF($W659=AG$3,$AB659,IF(NOT($W659=0),"",SUMIFS('Val-Vol (2)'!AG$4:AG$1116,'Val-Vol (2)'!$A$4:$A$1116,$D659,'Val-Vol (2)'!$V$4:$V$1116,$V659)/SUMIFS('Comp2016-2017 (3)'!$G$5:$G$289,'Comp2016-2017 (3)'!$A$5:$A$289,$D659,'Comp2016-2017 (3)'!$R$5:$R$289,$V659)*$AB659))</f>
        <v>423.57169014600532</v>
      </c>
      <c r="AH659" s="2">
        <f>IF($W659=AH$3,$AB659,IF(NOT($W659=0),"",SUMIFS('Val-Vol (2)'!AH$4:AH$1116,'Val-Vol (2)'!$A$4:$A$1116,$D659,'Val-Vol (2)'!$V$4:$V$1116,$V659)/SUMIFS('Comp2016-2017 (3)'!$G$5:$G$289,'Comp2016-2017 (3)'!$A$5:$A$289,$D659,'Comp2016-2017 (3)'!$R$5:$R$289,$V659)*$AB659))</f>
        <v>0</v>
      </c>
      <c r="AI659" s="2">
        <f>IF($W659=AI$3,$AB659,IF(NOT($W659=0),"",SUMIFS('Val-Vol (2)'!AI$4:AI$1116,'Val-Vol (2)'!$A$4:$A$1116,$D659,'Val-Vol (2)'!$V$4:$V$1116,$V659)/SUMIFS('Comp2016-2017 (3)'!$G$5:$G$289,'Comp2016-2017 (3)'!$A$5:$A$289,$D659,'Comp2016-2017 (3)'!$R$5:$R$289,$V659)*$AB659))</f>
        <v>0</v>
      </c>
      <c r="AJ659" s="2">
        <f>IF($W659=AJ$3,$AB659,IF(NOT($W659=0),"",SUMIFS('Val-Vol (2)'!AJ$4:AJ$1116,'Val-Vol (2)'!$A$4:$A$1116,$D659,'Val-Vol (2)'!$V$4:$V$1116,$V659)/SUMIFS('Comp2016-2017 (3)'!$G$5:$G$289,'Comp2016-2017 (3)'!$A$5:$A$289,$D659,'Comp2016-2017 (3)'!$R$5:$R$289,$V659)*$AB659))</f>
        <v>136.60905962304628</v>
      </c>
      <c r="AK659" s="2">
        <f t="shared" si="72"/>
        <v>0</v>
      </c>
      <c r="AL659" t="str">
        <f t="shared" si="75"/>
        <v/>
      </c>
      <c r="AM659" t="str">
        <f>VLOOKUP(A659,'Table corresp.'!$M$4:$U$63,8,FALSE)</f>
        <v>Bois recyclés</v>
      </c>
      <c r="AN659" t="str">
        <f>VLOOKUP(D659,'Table corresp.'!$M$4:$U$63,9,FALSE)</f>
        <v>Production intermédiaire</v>
      </c>
    </row>
    <row r="660" spans="1:40" x14ac:dyDescent="0.25">
      <c r="A660" t="s">
        <v>102</v>
      </c>
      <c r="B660" t="str">
        <f>VLOOKUP(LEFT(A660,3),'Table corresp.'!$A$4:$D$63,3,FALSE)</f>
        <v>Bois recyclés</v>
      </c>
      <c r="C660" t="str">
        <f>VLOOKUP(A660,'Table corresp.'!$M$4:$P$63,4,FALSE)</f>
        <v>Production et transformation de produits bois</v>
      </c>
      <c r="D660" t="s">
        <v>101</v>
      </c>
      <c r="E660" t="str">
        <f>VLOOKUP(LEFT(D660,3),'Table corresp.'!$A$4:$D$63,4,FALSE)</f>
        <v>Transformation</v>
      </c>
      <c r="F660" t="str">
        <f t="shared" si="74"/>
        <v xml:space="preserve">50  - 49 </v>
      </c>
      <c r="G660" s="3">
        <v>64321.70482229047</v>
      </c>
      <c r="H660" s="3">
        <v>0</v>
      </c>
      <c r="I660" s="3">
        <v>64321.704839977931</v>
      </c>
      <c r="J660" s="3">
        <v>0</v>
      </c>
      <c r="K660" s="3">
        <v>0</v>
      </c>
      <c r="L660" s="3">
        <v>0</v>
      </c>
      <c r="M660" s="3">
        <v>0</v>
      </c>
      <c r="N660" s="3">
        <v>0</v>
      </c>
      <c r="O660" s="3">
        <v>0</v>
      </c>
      <c r="P660" s="3">
        <v>1328.610583013307</v>
      </c>
      <c r="Q660" s="3">
        <v>0</v>
      </c>
      <c r="R660" s="3">
        <v>1328.610583013307</v>
      </c>
      <c r="S660" s="67" t="s">
        <v>198</v>
      </c>
      <c r="T660">
        <f>VLOOKUP(A660,'Groupe de branches'!$Z$27:$AM$86,14,FALSE)</f>
        <v>0</v>
      </c>
      <c r="U660">
        <f>VLOOKUP(D660,'Groupe de branches'!$Z$27:$AM$86,14,FALSE)</f>
        <v>1</v>
      </c>
      <c r="V660">
        <v>2017</v>
      </c>
      <c r="W660" t="str">
        <f>VLOOKUP(D660,'Table corresp.'!$M$4:$S$63,7,FALSE)</f>
        <v>Energie</v>
      </c>
      <c r="X660" s="167">
        <f>IFERROR(G660/SUMIFS('Comp2016-2017 (3)'!$I$5:$I$289,'Comp2016-2017 (3)'!$A$5:$A$289,A660,'Comp2016-2017 (3)'!$R$5:$R$289,V660),0)</f>
        <v>0.30332128390773749</v>
      </c>
      <c r="Y660" s="190">
        <f>IFERROR(IF(RIGHT(F660,3)="Exp",VLOOKUP(F660,#REF!,2,FALSE),VLOOKUP(F660,#REF!,9,FALSE)),1)</f>
        <v>1</v>
      </c>
      <c r="Z660" s="167">
        <f t="shared" si="73"/>
        <v>0.2</v>
      </c>
      <c r="AA660" s="189">
        <f t="shared" si="76"/>
        <v>6.06642567815475E-2</v>
      </c>
      <c r="AB660" s="2">
        <f>IFERROR(SUMIFS('Comp2016-2017 (3)'!$G$5:$G$289,'Comp2016-2017 (3)'!$A$5:$A$289,A660,'Comp2016-2017 (3)'!$R$5:$R$289,V660)*AA660/SUMIFS($AA$4:$AA$1116,$A$4:$A$1116,A660,$V$4:$V$1116,V660),0)</f>
        <v>28971.869595545351</v>
      </c>
      <c r="AC660" s="2" t="str">
        <f>IF($W660=AC$3,$AB660,IF(NOT($W660=0),"",SUMIFS('Val-Vol (2)'!AC$4:AC$1116,'Val-Vol (2)'!$A$4:$A$1116,$D660,'Val-Vol (2)'!$V$4:$V$1116,$V660)/SUMIFS('Comp2016-2017 (3)'!$G$5:$G$289,'Comp2016-2017 (3)'!$A$5:$A$289,$D660,'Comp2016-2017 (3)'!$R$5:$R$289,$V660)*$AB660))</f>
        <v/>
      </c>
      <c r="AD660" s="2" t="str">
        <f>IF($W660=AD$3,$AB660,IF(NOT($W660=0),"",SUMIFS('Val-Vol (2)'!AD$4:AD$1116,'Val-Vol (2)'!$A$4:$A$1116,$D660,'Val-Vol (2)'!$V$4:$V$1116,$V660)/SUMIFS('Comp2016-2017 (3)'!$G$5:$G$289,'Comp2016-2017 (3)'!$A$5:$A$289,$D660,'Comp2016-2017 (3)'!$R$5:$R$289,$V660)*$AB660))</f>
        <v/>
      </c>
      <c r="AE660" s="2" t="str">
        <f>IF($W660=AE$3,$AB660,IF(NOT($W660=0),"",SUMIFS('Val-Vol (2)'!AE$4:AE$1116,'Val-Vol (2)'!$A$4:$A$1116,$D660,'Val-Vol (2)'!$V$4:$V$1116,$V660)/SUMIFS('Comp2016-2017 (3)'!$G$5:$G$289,'Comp2016-2017 (3)'!$A$5:$A$289,$D660,'Comp2016-2017 (3)'!$R$5:$R$289,$V660)*$AB660))</f>
        <v/>
      </c>
      <c r="AF660" s="2" t="str">
        <f>IF($W660=AF$3,$AB660,IF(NOT($W660=0),"",SUMIFS('Val-Vol (2)'!AF$4:AF$1116,'Val-Vol (2)'!$A$4:$A$1116,$D660,'Val-Vol (2)'!$V$4:$V$1116,$V660)/SUMIFS('Comp2016-2017 (3)'!$G$5:$G$289,'Comp2016-2017 (3)'!$A$5:$A$289,$D660,'Comp2016-2017 (3)'!$R$5:$R$289,$V660)*$AB660))</f>
        <v/>
      </c>
      <c r="AG660" s="2" t="str">
        <f>IF($W660=AG$3,$AB660,IF(NOT($W660=0),"",SUMIFS('Val-Vol (2)'!AG$4:AG$1116,'Val-Vol (2)'!$A$4:$A$1116,$D660,'Val-Vol (2)'!$V$4:$V$1116,$V660)/SUMIFS('Comp2016-2017 (3)'!$G$5:$G$289,'Comp2016-2017 (3)'!$A$5:$A$289,$D660,'Comp2016-2017 (3)'!$R$5:$R$289,$V660)*$AB660))</f>
        <v/>
      </c>
      <c r="AH660" s="2">
        <f>IF($W660=AH$3,$AB660,IF(NOT($W660=0),"",SUMIFS('Val-Vol (2)'!AH$4:AH$1116,'Val-Vol (2)'!$A$4:$A$1116,$D660,'Val-Vol (2)'!$V$4:$V$1116,$V660)/SUMIFS('Comp2016-2017 (3)'!$G$5:$G$289,'Comp2016-2017 (3)'!$A$5:$A$289,$D660,'Comp2016-2017 (3)'!$R$5:$R$289,$V660)*$AB660))</f>
        <v>28971.869595545351</v>
      </c>
      <c r="AI660" s="2" t="str">
        <f>IF($W660=AI$3,$AB660,IF(NOT($W660=0),"",SUMIFS('Val-Vol (2)'!AI$4:AI$1116,'Val-Vol (2)'!$A$4:$A$1116,$D660,'Val-Vol (2)'!$V$4:$V$1116,$V660)/SUMIFS('Comp2016-2017 (3)'!$G$5:$G$289,'Comp2016-2017 (3)'!$A$5:$A$289,$D660,'Comp2016-2017 (3)'!$R$5:$R$289,$V660)*$AB660))</f>
        <v/>
      </c>
      <c r="AJ660" s="2" t="str">
        <f>IF($W660=AJ$3,$AB660,IF(NOT($W660=0),"",SUMIFS('Val-Vol (2)'!AJ$4:AJ$1116,'Val-Vol (2)'!$A$4:$A$1116,$D660,'Val-Vol (2)'!$V$4:$V$1116,$V660)/SUMIFS('Comp2016-2017 (3)'!$G$5:$G$289,'Comp2016-2017 (3)'!$A$5:$A$289,$D660,'Comp2016-2017 (3)'!$R$5:$R$289,$V660)*$AB660))</f>
        <v/>
      </c>
      <c r="AK660" s="2">
        <f t="shared" si="72"/>
        <v>0</v>
      </c>
      <c r="AL660" t="str">
        <f t="shared" si="75"/>
        <v/>
      </c>
      <c r="AM660" t="str">
        <f>VLOOKUP(A660,'Table corresp.'!$M$4:$U$63,8,FALSE)</f>
        <v>Bois recyclés</v>
      </c>
      <c r="AN660" t="str">
        <f>VLOOKUP(D660,'Table corresp.'!$M$4:$U$63,9,FALSE)</f>
        <v>Production finale</v>
      </c>
    </row>
    <row r="661" spans="1:40" x14ac:dyDescent="0.25">
      <c r="A661" t="s">
        <v>102</v>
      </c>
      <c r="B661" t="str">
        <f>VLOOKUP(LEFT(A661,3),'Table corresp.'!$A$4:$D$63,3,FALSE)</f>
        <v>Bois recyclés</v>
      </c>
      <c r="C661" t="str">
        <f>VLOOKUP(A661,'Table corresp.'!$M$4:$P$63,4,FALSE)</f>
        <v>Production et transformation de produits bois</v>
      </c>
      <c r="D661" t="s">
        <v>102</v>
      </c>
      <c r="E661" t="str">
        <f>VLOOKUP(LEFT(D661,3),'Table corresp.'!$A$4:$D$63,4,FALSE)</f>
        <v>Transformation</v>
      </c>
      <c r="F661" t="str">
        <f t="shared" si="74"/>
        <v xml:space="preserve">50  - 50 </v>
      </c>
      <c r="G661" s="3">
        <v>11957.546068119453</v>
      </c>
      <c r="H661" s="3">
        <v>0</v>
      </c>
      <c r="I661" s="3">
        <v>11957.546071407591</v>
      </c>
      <c r="J661" s="3">
        <v>0</v>
      </c>
      <c r="K661" s="3">
        <v>0</v>
      </c>
      <c r="L661" s="3">
        <v>0</v>
      </c>
      <c r="M661" s="3">
        <v>0</v>
      </c>
      <c r="N661" s="3">
        <v>0</v>
      </c>
      <c r="O661" s="3">
        <v>0</v>
      </c>
      <c r="P661" s="3">
        <v>0</v>
      </c>
      <c r="Q661" s="3">
        <v>0</v>
      </c>
      <c r="R661" s="3">
        <v>0</v>
      </c>
      <c r="S661" s="67"/>
      <c r="T661">
        <f>VLOOKUP(A661,'Groupe de branches'!$Z$27:$AM$86,14,FALSE)</f>
        <v>0</v>
      </c>
      <c r="U661">
        <f>VLOOKUP(D661,'Groupe de branches'!$Z$27:$AM$86,14,FALSE)</f>
        <v>0</v>
      </c>
      <c r="V661">
        <v>2017</v>
      </c>
      <c r="W661">
        <f>VLOOKUP(D661,'Table corresp.'!$M$4:$S$63,7,FALSE)</f>
        <v>0</v>
      </c>
      <c r="X661" s="167">
        <f>IFERROR(G661/SUMIFS('Comp2016-2017 (3)'!$I$5:$I$289,'Comp2016-2017 (3)'!$A$5:$A$289,A661,'Comp2016-2017 (3)'!$R$5:$R$289,V661),0)</f>
        <v>5.6388092258882319E-2</v>
      </c>
      <c r="Y661" s="190">
        <f>IFERROR(IF(RIGHT(F661,3)="Exp",VLOOKUP(F661,#REF!,2,FALSE),VLOOKUP(F661,#REF!,9,FALSE)),1)</f>
        <v>1</v>
      </c>
      <c r="Z661" s="167">
        <f t="shared" si="73"/>
        <v>0.2</v>
      </c>
      <c r="AA661" s="189">
        <f t="shared" si="76"/>
        <v>1.1277618451776465E-2</v>
      </c>
      <c r="AB661" s="2">
        <f>IFERROR(SUMIFS('Comp2016-2017 (3)'!$G$5:$G$289,'Comp2016-2017 (3)'!$A$5:$A$289,A661,'Comp2016-2017 (3)'!$R$5:$R$289,V661)*AA661/SUMIFS($AA$4:$AA$1116,$A$4:$A$1116,A661,$V$4:$V$1116,V661),0)</f>
        <v>5385.934131028006</v>
      </c>
      <c r="AC661" s="191"/>
      <c r="AD661" s="191"/>
      <c r="AE661" s="191"/>
      <c r="AF661" s="191"/>
      <c r="AG661" s="191"/>
      <c r="AH661" s="191"/>
      <c r="AI661" s="191"/>
      <c r="AJ661" s="198">
        <f>AB661</f>
        <v>5385.934131028006</v>
      </c>
      <c r="AK661" s="2">
        <f t="shared" si="72"/>
        <v>0</v>
      </c>
      <c r="AL661" t="str">
        <f t="shared" si="75"/>
        <v>remplir à la main</v>
      </c>
      <c r="AM661" t="str">
        <f>VLOOKUP(A661,'Table corresp.'!$M$4:$U$63,8,FALSE)</f>
        <v>Bois recyclés</v>
      </c>
      <c r="AN661" t="str">
        <f>VLOOKUP(D661,'Table corresp.'!$M$4:$U$63,9,FALSE)</f>
        <v>Production intermédiaire</v>
      </c>
    </row>
    <row r="662" spans="1:40" x14ac:dyDescent="0.25">
      <c r="A662" t="s">
        <v>102</v>
      </c>
      <c r="B662" t="str">
        <f>VLOOKUP(LEFT(A662,3),'Table corresp.'!$A$4:$D$63,3,FALSE)</f>
        <v>Bois recyclés</v>
      </c>
      <c r="C662" t="str">
        <f>VLOOKUP(A662,'Table corresp.'!$M$4:$P$63,4,FALSE)</f>
        <v>Production et transformation de produits bois</v>
      </c>
      <c r="D662" t="s">
        <v>54</v>
      </c>
      <c r="E662" t="str">
        <f>VLOOKUP(LEFT(D662,3),'Table corresp.'!$A$4:$D$63,4,FALSE)</f>
        <v>Consommation finale</v>
      </c>
      <c r="F662" t="str">
        <f t="shared" si="74"/>
        <v>50  - Con</v>
      </c>
      <c r="G662" s="3">
        <v>76411.251946717486</v>
      </c>
      <c r="H662" s="3">
        <v>0</v>
      </c>
      <c r="I662" s="3">
        <v>76411.251967729375</v>
      </c>
      <c r="J662" s="3">
        <v>0</v>
      </c>
      <c r="K662" s="3">
        <v>0</v>
      </c>
      <c r="L662" s="3">
        <v>0</v>
      </c>
      <c r="M662" s="3">
        <v>0</v>
      </c>
      <c r="N662" s="3">
        <v>0</v>
      </c>
      <c r="O662" s="3">
        <v>0</v>
      </c>
      <c r="P662" s="3">
        <v>2508.3862545280313</v>
      </c>
      <c r="Q662" s="3">
        <v>0</v>
      </c>
      <c r="R662" s="3">
        <v>2508.3862545280313</v>
      </c>
      <c r="S662" s="67"/>
      <c r="T662">
        <f>VLOOKUP(A662,'Groupe de branches'!$Z$27:$AM$86,14,FALSE)</f>
        <v>0</v>
      </c>
      <c r="U662">
        <f>VLOOKUP(D662,'Groupe de branches'!$Z$27:$AM$86,14,FALSE)</f>
        <v>0</v>
      </c>
      <c r="V662">
        <v>2017</v>
      </c>
      <c r="W662" t="str">
        <f>VLOOKUP(D662,'Table corresp.'!$M$4:$S$63,7,FALSE)</f>
        <v>Consommation finale</v>
      </c>
      <c r="X662" s="167">
        <f>IFERROR(G662/SUMIFS('Comp2016-2017 (3)'!$I$5:$I$289,'Comp2016-2017 (3)'!$A$5:$A$289,A662,'Comp2016-2017 (3)'!$R$5:$R$289,V662),0)</f>
        <v>0.36033185235855231</v>
      </c>
      <c r="Y662" s="190">
        <f>IFERROR(IF(RIGHT(F662,3)="Exp",VLOOKUP(F662,#REF!,2,FALSE),VLOOKUP(F662,#REF!,9,FALSE)),1)</f>
        <v>1</v>
      </c>
      <c r="Z662" s="167">
        <f t="shared" si="73"/>
        <v>0.2</v>
      </c>
      <c r="AA662" s="189">
        <f t="shared" si="76"/>
        <v>7.2066370471710467E-2</v>
      </c>
      <c r="AB662" s="2">
        <f>IFERROR(SUMIFS('Comp2016-2017 (3)'!$G$5:$G$289,'Comp2016-2017 (3)'!$A$5:$A$289,A662,'Comp2016-2017 (3)'!$R$5:$R$289,V662)*AA662/SUMIFS($AA$4:$AA$1116,$A$4:$A$1116,A662,$V$4:$V$1116,V662),0)</f>
        <v>34417.25982153201</v>
      </c>
      <c r="AC662" s="2" t="str">
        <f>IF($W662=AC$3,$AB662,IF(NOT($W662=0),"",SUMIFS('Val-Vol (2)'!AC$4:AC$1116,'Val-Vol (2)'!$A$4:$A$1116,$D662,'Val-Vol (2)'!$V$4:$V$1116,$V662)/SUMIFS('Comp2016-2017 (3)'!$G$5:$G$289,'Comp2016-2017 (3)'!$A$5:$A$289,$D662,'Comp2016-2017 (3)'!$R$5:$R$289,$V662)*$AB662))</f>
        <v/>
      </c>
      <c r="AD662" s="2" t="str">
        <f>IF($W662=AD$3,$AB662,IF(NOT($W662=0),"",SUMIFS('Val-Vol (2)'!AD$4:AD$1116,'Val-Vol (2)'!$A$4:$A$1116,$D662,'Val-Vol (2)'!$V$4:$V$1116,$V662)/SUMIFS('Comp2016-2017 (3)'!$G$5:$G$289,'Comp2016-2017 (3)'!$A$5:$A$289,$D662,'Comp2016-2017 (3)'!$R$5:$R$289,$V662)*$AB662))</f>
        <v/>
      </c>
      <c r="AE662" s="2" t="str">
        <f>IF($W662=AE$3,$AB662,IF(NOT($W662=0),"",SUMIFS('Val-Vol (2)'!AE$4:AE$1116,'Val-Vol (2)'!$A$4:$A$1116,$D662,'Val-Vol (2)'!$V$4:$V$1116,$V662)/SUMIFS('Comp2016-2017 (3)'!$G$5:$G$289,'Comp2016-2017 (3)'!$A$5:$A$289,$D662,'Comp2016-2017 (3)'!$R$5:$R$289,$V662)*$AB662))</f>
        <v/>
      </c>
      <c r="AF662" s="2" t="str">
        <f>IF($W662=AF$3,$AB662,IF(NOT($W662=0),"",SUMIFS('Val-Vol (2)'!AF$4:AF$1116,'Val-Vol (2)'!$A$4:$A$1116,$D662,'Val-Vol (2)'!$V$4:$V$1116,$V662)/SUMIFS('Comp2016-2017 (3)'!$G$5:$G$289,'Comp2016-2017 (3)'!$A$5:$A$289,$D662,'Comp2016-2017 (3)'!$R$5:$R$289,$V662)*$AB662))</f>
        <v/>
      </c>
      <c r="AG662" s="2" t="str">
        <f>IF($W662=AG$3,$AB662,IF(NOT($W662=0),"",SUMIFS('Val-Vol (2)'!AG$4:AG$1116,'Val-Vol (2)'!$A$4:$A$1116,$D662,'Val-Vol (2)'!$V$4:$V$1116,$V662)/SUMIFS('Comp2016-2017 (3)'!$G$5:$G$289,'Comp2016-2017 (3)'!$A$5:$A$289,$D662,'Comp2016-2017 (3)'!$R$5:$R$289,$V662)*$AB662))</f>
        <v/>
      </c>
      <c r="AH662" s="2" t="str">
        <f>IF($W662=AH$3,$AB662,IF(NOT($W662=0),"",SUMIFS('Val-Vol (2)'!AH$4:AH$1116,'Val-Vol (2)'!$A$4:$A$1116,$D662,'Val-Vol (2)'!$V$4:$V$1116,$V662)/SUMIFS('Comp2016-2017 (3)'!$G$5:$G$289,'Comp2016-2017 (3)'!$A$5:$A$289,$D662,'Comp2016-2017 (3)'!$R$5:$R$289,$V662)*$AB662))</f>
        <v/>
      </c>
      <c r="AI662" s="2" t="str">
        <f>IF($W662=AI$3,$AB662,IF(NOT($W662=0),"",SUMIFS('Val-Vol (2)'!AI$4:AI$1116,'Val-Vol (2)'!$A$4:$A$1116,$D662,'Val-Vol (2)'!$V$4:$V$1116,$V662)/SUMIFS('Comp2016-2017 (3)'!$G$5:$G$289,'Comp2016-2017 (3)'!$A$5:$A$289,$D662,'Comp2016-2017 (3)'!$R$5:$R$289,$V662)*$AB662))</f>
        <v/>
      </c>
      <c r="AJ662" s="2">
        <f>IF($W662=AJ$3,$AB662,IF(NOT($W662=0),"",SUMIFS('Val-Vol (2)'!AJ$4:AJ$1116,'Val-Vol (2)'!$A$4:$A$1116,$D662,'Val-Vol (2)'!$V$4:$V$1116,$V662)/SUMIFS('Comp2016-2017 (3)'!$G$5:$G$289,'Comp2016-2017 (3)'!$A$5:$A$289,$D662,'Comp2016-2017 (3)'!$R$5:$R$289,$V662)*$AB662))</f>
        <v>34417.25982153201</v>
      </c>
      <c r="AK662" s="2">
        <f t="shared" si="72"/>
        <v>0</v>
      </c>
      <c r="AL662" t="str">
        <f t="shared" si="75"/>
        <v/>
      </c>
      <c r="AM662" t="str">
        <f>VLOOKUP(A662,'Table corresp.'!$M$4:$U$63,8,FALSE)</f>
        <v>Bois recyclés</v>
      </c>
      <c r="AN662" t="str">
        <f>VLOOKUP(D662,'Table corresp.'!$M$4:$U$63,9,FALSE)</f>
        <v>Consommation finale française</v>
      </c>
    </row>
    <row r="663" spans="1:40" x14ac:dyDescent="0.25">
      <c r="A663" t="s">
        <v>102</v>
      </c>
      <c r="B663" t="str">
        <f>VLOOKUP(LEFT(A663,3),'Table corresp.'!$A$4:$D$63,3,FALSE)</f>
        <v>Bois recyclés</v>
      </c>
      <c r="C663" t="str">
        <f>VLOOKUP(A663,'Table corresp.'!$M$4:$P$63,4,FALSE)</f>
        <v>Production et transformation de produits bois</v>
      </c>
      <c r="D663" t="s">
        <v>53</v>
      </c>
      <c r="E663" t="str">
        <f>VLOOKUP(LEFT(D663,3),'Table corresp.'!$A$4:$D$63,4,FALSE)</f>
        <v>Exportation</v>
      </c>
      <c r="F663" t="str">
        <f t="shared" si="74"/>
        <v>50  - Exp</v>
      </c>
      <c r="G663" s="3">
        <v>48999.999986525771</v>
      </c>
      <c r="H663" s="3">
        <v>0</v>
      </c>
      <c r="I663" s="3">
        <v>49000</v>
      </c>
      <c r="J663" s="3">
        <v>0</v>
      </c>
      <c r="K663" s="3">
        <v>0</v>
      </c>
      <c r="L663" s="3">
        <v>0</v>
      </c>
      <c r="M663" s="3">
        <v>0</v>
      </c>
      <c r="N663" s="3">
        <v>0</v>
      </c>
      <c r="O663" s="3">
        <v>0</v>
      </c>
      <c r="P663" s="3">
        <v>1219.2287387333511</v>
      </c>
      <c r="Q663" s="3">
        <v>0</v>
      </c>
      <c r="R663" s="3">
        <v>1219.2287387333511</v>
      </c>
      <c r="S663" s="67" t="s">
        <v>198</v>
      </c>
      <c r="T663">
        <f>VLOOKUP(A663,'Groupe de branches'!$Z$27:$AM$86,14,FALSE)</f>
        <v>0</v>
      </c>
      <c r="U663">
        <f>VLOOKUP(D663,'Groupe de branches'!$Z$27:$AM$86,14,FALSE)</f>
        <v>0</v>
      </c>
      <c r="V663">
        <v>2017</v>
      </c>
      <c r="W663" t="str">
        <f>VLOOKUP(D663,'Table corresp.'!$M$4:$S$63,7,FALSE)</f>
        <v>Exportation</v>
      </c>
      <c r="X663" s="167">
        <f>IFERROR(G663/SUMIFS('Comp2016-2017 (3)'!$I$5:$I$289,'Comp2016-2017 (3)'!$A$5:$A$289,A663,'Comp2016-2017 (3)'!$R$5:$R$289,V663),0)</f>
        <v>0.23106885845851341</v>
      </c>
      <c r="Y663" s="190">
        <f>IFERROR(IF(RIGHT(F663,3)="Exp",VLOOKUP(F663,#REF!,2,FALSE),VLOOKUP(F663,#REF!,9,FALSE)),1)</f>
        <v>1</v>
      </c>
      <c r="Z663" s="167">
        <f t="shared" si="73"/>
        <v>0.2</v>
      </c>
      <c r="AA663" s="189">
        <f t="shared" si="76"/>
        <v>4.6213771691702682E-2</v>
      </c>
      <c r="AB663" s="2">
        <f>IFERROR(SUMIFS('Comp2016-2017 (3)'!$G$5:$G$289,'Comp2016-2017 (3)'!$A$5:$A$289,A663,'Comp2016-2017 (3)'!$R$5:$R$289,V663)*AA663/SUMIFS($AA$4:$AA$1116,$A$4:$A$1116,A663,$V$4:$V$1116,V663),0)</f>
        <v>22070.646505926929</v>
      </c>
      <c r="AC663" s="2">
        <f>IF($W663=AC$3,$AB663,IF(NOT($W663=0),"",SUMIFS('Val-Vol (2)'!AC$4:AC$1116,'Val-Vol (2)'!$A$4:$A$1116,$D663,'Val-Vol (2)'!$V$4:$V$1116,$V663)/SUMIFS('Comp2016-2017 (3)'!$G$5:$G$289,'Comp2016-2017 (3)'!$A$5:$A$289,$D663,'Comp2016-2017 (3)'!$R$5:$R$289,$V663)*$AB663))</f>
        <v>22070.646505926929</v>
      </c>
      <c r="AD663" s="2" t="str">
        <f>IF($W663=AD$3,$AB663,IF(NOT($W663=0),"",SUMIFS('Val-Vol (2)'!AD$4:AD$1116,'Val-Vol (2)'!$A$4:$A$1116,$D663,'Val-Vol (2)'!$V$4:$V$1116,$V663)/SUMIFS('Comp2016-2017 (3)'!$G$5:$G$289,'Comp2016-2017 (3)'!$A$5:$A$289,$D663,'Comp2016-2017 (3)'!$R$5:$R$289,$V663)*$AB663))</f>
        <v/>
      </c>
      <c r="AE663" s="2" t="str">
        <f>IF($W663=AE$3,$AB663,IF(NOT($W663=0),"",SUMIFS('Val-Vol (2)'!AE$4:AE$1116,'Val-Vol (2)'!$A$4:$A$1116,$D663,'Val-Vol (2)'!$V$4:$V$1116,$V663)/SUMIFS('Comp2016-2017 (3)'!$G$5:$G$289,'Comp2016-2017 (3)'!$A$5:$A$289,$D663,'Comp2016-2017 (3)'!$R$5:$R$289,$V663)*$AB663))</f>
        <v/>
      </c>
      <c r="AF663" s="2" t="str">
        <f>IF($W663=AF$3,$AB663,IF(NOT($W663=0),"",SUMIFS('Val-Vol (2)'!AF$4:AF$1116,'Val-Vol (2)'!$A$4:$A$1116,$D663,'Val-Vol (2)'!$V$4:$V$1116,$V663)/SUMIFS('Comp2016-2017 (3)'!$G$5:$G$289,'Comp2016-2017 (3)'!$A$5:$A$289,$D663,'Comp2016-2017 (3)'!$R$5:$R$289,$V663)*$AB663))</f>
        <v/>
      </c>
      <c r="AG663" s="2" t="str">
        <f>IF($W663=AG$3,$AB663,IF(NOT($W663=0),"",SUMIFS('Val-Vol (2)'!AG$4:AG$1116,'Val-Vol (2)'!$A$4:$A$1116,$D663,'Val-Vol (2)'!$V$4:$V$1116,$V663)/SUMIFS('Comp2016-2017 (3)'!$G$5:$G$289,'Comp2016-2017 (3)'!$A$5:$A$289,$D663,'Comp2016-2017 (3)'!$R$5:$R$289,$V663)*$AB663))</f>
        <v/>
      </c>
      <c r="AH663" s="2" t="str">
        <f>IF($W663=AH$3,$AB663,IF(NOT($W663=0),"",SUMIFS('Val-Vol (2)'!AH$4:AH$1116,'Val-Vol (2)'!$A$4:$A$1116,$D663,'Val-Vol (2)'!$V$4:$V$1116,$V663)/SUMIFS('Comp2016-2017 (3)'!$G$5:$G$289,'Comp2016-2017 (3)'!$A$5:$A$289,$D663,'Comp2016-2017 (3)'!$R$5:$R$289,$V663)*$AB663))</f>
        <v/>
      </c>
      <c r="AI663" s="2" t="str">
        <f>IF($W663=AI$3,$AB663,IF(NOT($W663=0),"",SUMIFS('Val-Vol (2)'!AI$4:AI$1116,'Val-Vol (2)'!$A$4:$A$1116,$D663,'Val-Vol (2)'!$V$4:$V$1116,$V663)/SUMIFS('Comp2016-2017 (3)'!$G$5:$G$289,'Comp2016-2017 (3)'!$A$5:$A$289,$D663,'Comp2016-2017 (3)'!$R$5:$R$289,$V663)*$AB663))</f>
        <v/>
      </c>
      <c r="AJ663" s="2" t="str">
        <f>IF($W663=AJ$3,$AB663,IF(NOT($W663=0),"",SUMIFS('Val-Vol (2)'!AJ$4:AJ$1116,'Val-Vol (2)'!$A$4:$A$1116,$D663,'Val-Vol (2)'!$V$4:$V$1116,$V663)/SUMIFS('Comp2016-2017 (3)'!$G$5:$G$289,'Comp2016-2017 (3)'!$A$5:$A$289,$D663,'Comp2016-2017 (3)'!$R$5:$R$289,$V663)*$AB663))</f>
        <v/>
      </c>
      <c r="AK663" s="2">
        <f t="shared" si="72"/>
        <v>0</v>
      </c>
      <c r="AL663" t="str">
        <f t="shared" si="75"/>
        <v/>
      </c>
      <c r="AM663" t="str">
        <f>VLOOKUP(A663,'Table corresp.'!$M$4:$U$63,8,FALSE)</f>
        <v>Bois recyclés</v>
      </c>
      <c r="AN663" t="str">
        <f>VLOOKUP(D663,'Table corresp.'!$M$4:$U$63,9,FALSE)</f>
        <v>Exportation</v>
      </c>
    </row>
    <row r="664" spans="1:40" x14ac:dyDescent="0.25">
      <c r="A664" t="s">
        <v>103</v>
      </c>
      <c r="B664" t="str">
        <f>VLOOKUP(LEFT(A664,3),'Table corresp.'!$A$4:$D$63,3,FALSE)</f>
        <v>Transformation</v>
      </c>
      <c r="C664" t="str">
        <f>VLOOKUP(A664,'Table corresp.'!$M$4:$P$63,4,FALSE)</f>
        <v>Commerces et services</v>
      </c>
      <c r="D664" t="s">
        <v>54</v>
      </c>
      <c r="E664" t="str">
        <f>VLOOKUP(LEFT(D664,3),'Table corresp.'!$A$4:$D$63,4,FALSE)</f>
        <v>Consommation finale</v>
      </c>
      <c r="F664" t="str">
        <f t="shared" si="74"/>
        <v>51  - Con</v>
      </c>
      <c r="G664" s="3">
        <v>1759855</v>
      </c>
      <c r="H664" s="3">
        <v>0</v>
      </c>
      <c r="I664" s="3">
        <v>1759855</v>
      </c>
      <c r="J664" s="3">
        <v>0</v>
      </c>
      <c r="K664" s="3">
        <v>0</v>
      </c>
      <c r="L664" s="3">
        <v>0</v>
      </c>
      <c r="M664" s="3">
        <v>0</v>
      </c>
      <c r="N664" s="3">
        <v>0</v>
      </c>
      <c r="O664" s="3">
        <v>0</v>
      </c>
      <c r="P664" s="3">
        <v>0</v>
      </c>
      <c r="Q664" s="3">
        <v>0</v>
      </c>
      <c r="R664" s="3">
        <v>0</v>
      </c>
      <c r="S664" s="67"/>
      <c r="T664">
        <f>VLOOKUP(A664,'Groupe de branches'!$Z$27:$AM$86,14,FALSE)</f>
        <v>0</v>
      </c>
      <c r="U664">
        <f>VLOOKUP(D664,'Groupe de branches'!$Z$27:$AM$86,14,FALSE)</f>
        <v>0</v>
      </c>
      <c r="V664">
        <v>2017</v>
      </c>
      <c r="W664" t="str">
        <f>VLOOKUP(D664,'Table corresp.'!$M$4:$S$63,7,FALSE)</f>
        <v>Consommation finale</v>
      </c>
      <c r="X664" s="167">
        <f>IFERROR(G664/SUMIFS('Comp2016-2017 (3)'!$I$5:$I$289,'Comp2016-2017 (3)'!$A$5:$A$289,A664,'Comp2016-2017 (3)'!$R$5:$R$289,V664),0)</f>
        <v>1</v>
      </c>
      <c r="Y664" s="190">
        <f>IFERROR(IF(RIGHT(F664,3)="Exp",VLOOKUP(F664,#REF!,2,FALSE),VLOOKUP(F664,#REF!,9,FALSE)),1)</f>
        <v>1</v>
      </c>
      <c r="Z664" s="167">
        <f t="shared" si="73"/>
        <v>1</v>
      </c>
      <c r="AA664" s="189">
        <f t="shared" si="76"/>
        <v>1</v>
      </c>
      <c r="AB664" s="2">
        <f>IFERROR(SUMIFS('Comp2016-2017 (3)'!$G$5:$G$289,'Comp2016-2017 (3)'!$A$5:$A$289,A664,'Comp2016-2017 (3)'!$R$5:$R$289,V664)*AA664/SUMIFS($AA$4:$AA$1116,$A$4:$A$1116,A664,$V$4:$V$1116,V664),0)</f>
        <v>227340.02584345132</v>
      </c>
      <c r="AC664" s="2" t="str">
        <f>IF($W664=AC$3,$AB664,IF(NOT($W664=0),"",SUMIFS('Val-Vol (2)'!AC$4:AC$1116,'Val-Vol (2)'!$A$4:$A$1116,$D664,'Val-Vol (2)'!$V$4:$V$1116,$V664)/SUMIFS('Comp2016-2017 (3)'!$G$5:$G$289,'Comp2016-2017 (3)'!$A$5:$A$289,$D664,'Comp2016-2017 (3)'!$R$5:$R$289,$V664)*$AB664))</f>
        <v/>
      </c>
      <c r="AD664" s="2" t="str">
        <f>IF($W664=AD$3,$AB664,IF(NOT($W664=0),"",SUMIFS('Val-Vol (2)'!AD$4:AD$1116,'Val-Vol (2)'!$A$4:$A$1116,$D664,'Val-Vol (2)'!$V$4:$V$1116,$V664)/SUMIFS('Comp2016-2017 (3)'!$G$5:$G$289,'Comp2016-2017 (3)'!$A$5:$A$289,$D664,'Comp2016-2017 (3)'!$R$5:$R$289,$V664)*$AB664))</f>
        <v/>
      </c>
      <c r="AE664" s="2" t="str">
        <f>IF($W664=AE$3,$AB664,IF(NOT($W664=0),"",SUMIFS('Val-Vol (2)'!AE$4:AE$1116,'Val-Vol (2)'!$A$4:$A$1116,$D664,'Val-Vol (2)'!$V$4:$V$1116,$V664)/SUMIFS('Comp2016-2017 (3)'!$G$5:$G$289,'Comp2016-2017 (3)'!$A$5:$A$289,$D664,'Comp2016-2017 (3)'!$R$5:$R$289,$V664)*$AB664))</f>
        <v/>
      </c>
      <c r="AF664" s="2" t="str">
        <f>IF($W664=AF$3,$AB664,IF(NOT($W664=0),"",SUMIFS('Val-Vol (2)'!AF$4:AF$1116,'Val-Vol (2)'!$A$4:$A$1116,$D664,'Val-Vol (2)'!$V$4:$V$1116,$V664)/SUMIFS('Comp2016-2017 (3)'!$G$5:$G$289,'Comp2016-2017 (3)'!$A$5:$A$289,$D664,'Comp2016-2017 (3)'!$R$5:$R$289,$V664)*$AB664))</f>
        <v/>
      </c>
      <c r="AG664" s="2" t="str">
        <f>IF($W664=AG$3,$AB664,IF(NOT($W664=0),"",SUMIFS('Val-Vol (2)'!AG$4:AG$1116,'Val-Vol (2)'!$A$4:$A$1116,$D664,'Val-Vol (2)'!$V$4:$V$1116,$V664)/SUMIFS('Comp2016-2017 (3)'!$G$5:$G$289,'Comp2016-2017 (3)'!$A$5:$A$289,$D664,'Comp2016-2017 (3)'!$R$5:$R$289,$V664)*$AB664))</f>
        <v/>
      </c>
      <c r="AH664" s="2" t="str">
        <f>IF($W664=AH$3,$AB664,IF(NOT($W664=0),"",SUMIFS('Val-Vol (2)'!AH$4:AH$1116,'Val-Vol (2)'!$A$4:$A$1116,$D664,'Val-Vol (2)'!$V$4:$V$1116,$V664)/SUMIFS('Comp2016-2017 (3)'!$G$5:$G$289,'Comp2016-2017 (3)'!$A$5:$A$289,$D664,'Comp2016-2017 (3)'!$R$5:$R$289,$V664)*$AB664))</f>
        <v/>
      </c>
      <c r="AI664" s="2" t="str">
        <f>IF($W664=AI$3,$AB664,IF(NOT($W664=0),"",SUMIFS('Val-Vol (2)'!AI$4:AI$1116,'Val-Vol (2)'!$A$4:$A$1116,$D664,'Val-Vol (2)'!$V$4:$V$1116,$V664)/SUMIFS('Comp2016-2017 (3)'!$G$5:$G$289,'Comp2016-2017 (3)'!$A$5:$A$289,$D664,'Comp2016-2017 (3)'!$R$5:$R$289,$V664)*$AB664))</f>
        <v/>
      </c>
      <c r="AJ664" s="2">
        <f>IF($W664=AJ$3,$AB664,IF(NOT($W664=0),"",SUMIFS('Val-Vol (2)'!AJ$4:AJ$1116,'Val-Vol (2)'!$A$4:$A$1116,$D664,'Val-Vol (2)'!$V$4:$V$1116,$V664)/SUMIFS('Comp2016-2017 (3)'!$G$5:$G$289,'Comp2016-2017 (3)'!$A$5:$A$289,$D664,'Comp2016-2017 (3)'!$R$5:$R$289,$V664)*$AB664))</f>
        <v>227340.02584345132</v>
      </c>
      <c r="AK664" s="2">
        <f t="shared" si="72"/>
        <v>0</v>
      </c>
      <c r="AL664" t="str">
        <f t="shared" si="75"/>
        <v/>
      </c>
      <c r="AM664" t="str">
        <f>VLOOKUP(A664,'Table corresp.'!$M$4:$U$63,8,FALSE)</f>
        <v>Production finale</v>
      </c>
      <c r="AN664" t="str">
        <f>VLOOKUP(D664,'Table corresp.'!$M$4:$U$63,9,FALSE)</f>
        <v>Consommation finale française</v>
      </c>
    </row>
    <row r="665" spans="1:40" x14ac:dyDescent="0.25">
      <c r="A665" t="s">
        <v>19</v>
      </c>
      <c r="B665" t="str">
        <f>VLOOKUP(LEFT(A665,3),'Table corresp.'!$A$4:$D$63,3,FALSE)</f>
        <v>Transformation</v>
      </c>
      <c r="C665" t="str">
        <f>VLOOKUP(A665,'Table corresp.'!$M$4:$P$63,4,FALSE)</f>
        <v>Mise en oeuvre de produits bois</v>
      </c>
      <c r="D665" t="s">
        <v>54</v>
      </c>
      <c r="E665" t="str">
        <f>VLOOKUP(LEFT(D665,3),'Table corresp.'!$A$4:$D$63,4,FALSE)</f>
        <v>Consommation finale</v>
      </c>
      <c r="F665" t="str">
        <f t="shared" si="74"/>
        <v>52  - Con</v>
      </c>
      <c r="G665" s="3">
        <v>514983.17029649595</v>
      </c>
      <c r="H665" s="3">
        <v>0</v>
      </c>
      <c r="I665" s="3">
        <v>514983.17958101881</v>
      </c>
      <c r="J665" s="3">
        <v>899.2927260209749</v>
      </c>
      <c r="K665" s="3">
        <v>0</v>
      </c>
      <c r="L665" s="3">
        <v>899.2927260209749</v>
      </c>
      <c r="M665" s="3">
        <v>12.705280189475657</v>
      </c>
      <c r="N665" s="3">
        <v>0</v>
      </c>
      <c r="O665" s="3">
        <v>12.705280189475657</v>
      </c>
      <c r="P665" s="3">
        <v>5.3356426457327792</v>
      </c>
      <c r="Q665" s="3">
        <v>0</v>
      </c>
      <c r="R665" s="3">
        <v>5.3356426457327792</v>
      </c>
      <c r="S665" s="67" t="s">
        <v>192</v>
      </c>
      <c r="T665">
        <f>VLOOKUP(A665,'Groupe de branches'!$Z$27:$AM$86,14,FALSE)</f>
        <v>0</v>
      </c>
      <c r="U665">
        <f>VLOOKUP(D665,'Groupe de branches'!$Z$27:$AM$86,14,FALSE)</f>
        <v>0</v>
      </c>
      <c r="V665">
        <v>2017</v>
      </c>
      <c r="W665" t="str">
        <f>VLOOKUP(D665,'Table corresp.'!$M$4:$S$63,7,FALSE)</f>
        <v>Consommation finale</v>
      </c>
      <c r="X665" s="167">
        <f>IFERROR(G665/SUMIFS('Comp2016-2017 (3)'!$I$5:$I$289,'Comp2016-2017 (3)'!$A$5:$A$289,A665,'Comp2016-2017 (3)'!$R$5:$R$289,V665),0)</f>
        <v>1.0000000000000002</v>
      </c>
      <c r="Y665" s="190">
        <f>IFERROR(IF(RIGHT(F665,3)="Exp",VLOOKUP(F665,#REF!,2,FALSE),VLOOKUP(F665,#REF!,9,FALSE)),1)</f>
        <v>1</v>
      </c>
      <c r="Z665" s="167">
        <f t="shared" si="73"/>
        <v>1</v>
      </c>
      <c r="AA665" s="189">
        <f t="shared" si="76"/>
        <v>1.0000000000000002</v>
      </c>
      <c r="AB665" s="2">
        <f>IFERROR(SUMIFS('Comp2016-2017 (3)'!$G$5:$G$289,'Comp2016-2017 (3)'!$A$5:$A$289,A665,'Comp2016-2017 (3)'!$R$5:$R$289,V665)*AA665/SUMIFS($AA$4:$AA$1116,$A$4:$A$1116,A665,$V$4:$V$1116,V665),0)</f>
        <v>149413.99456773436</v>
      </c>
      <c r="AC665" s="2" t="str">
        <f>IF($W665=AC$3,$AB665,IF(NOT($W665=0),"",SUMIFS('Val-Vol (2)'!AC$4:AC$1116,'Val-Vol (2)'!$A$4:$A$1116,$D665,'Val-Vol (2)'!$V$4:$V$1116,$V665)/SUMIFS('Comp2016-2017 (3)'!$G$5:$G$289,'Comp2016-2017 (3)'!$A$5:$A$289,$D665,'Comp2016-2017 (3)'!$R$5:$R$289,$V665)*$AB665))</f>
        <v/>
      </c>
      <c r="AD665" s="2" t="str">
        <f>IF($W665=AD$3,$AB665,IF(NOT($W665=0),"",SUMIFS('Val-Vol (2)'!AD$4:AD$1116,'Val-Vol (2)'!$A$4:$A$1116,$D665,'Val-Vol (2)'!$V$4:$V$1116,$V665)/SUMIFS('Comp2016-2017 (3)'!$G$5:$G$289,'Comp2016-2017 (3)'!$A$5:$A$289,$D665,'Comp2016-2017 (3)'!$R$5:$R$289,$V665)*$AB665))</f>
        <v/>
      </c>
      <c r="AE665" s="2" t="str">
        <f>IF($W665=AE$3,$AB665,IF(NOT($W665=0),"",SUMIFS('Val-Vol (2)'!AE$4:AE$1116,'Val-Vol (2)'!$A$4:$A$1116,$D665,'Val-Vol (2)'!$V$4:$V$1116,$V665)/SUMIFS('Comp2016-2017 (3)'!$G$5:$G$289,'Comp2016-2017 (3)'!$A$5:$A$289,$D665,'Comp2016-2017 (3)'!$R$5:$R$289,$V665)*$AB665))</f>
        <v/>
      </c>
      <c r="AF665" s="2" t="str">
        <f>IF($W665=AF$3,$AB665,IF(NOT($W665=0),"",SUMIFS('Val-Vol (2)'!AF$4:AF$1116,'Val-Vol (2)'!$A$4:$A$1116,$D665,'Val-Vol (2)'!$V$4:$V$1116,$V665)/SUMIFS('Comp2016-2017 (3)'!$G$5:$G$289,'Comp2016-2017 (3)'!$A$5:$A$289,$D665,'Comp2016-2017 (3)'!$R$5:$R$289,$V665)*$AB665))</f>
        <v/>
      </c>
      <c r="AG665" s="2" t="str">
        <f>IF($W665=AG$3,$AB665,IF(NOT($W665=0),"",SUMIFS('Val-Vol (2)'!AG$4:AG$1116,'Val-Vol (2)'!$A$4:$A$1116,$D665,'Val-Vol (2)'!$V$4:$V$1116,$V665)/SUMIFS('Comp2016-2017 (3)'!$G$5:$G$289,'Comp2016-2017 (3)'!$A$5:$A$289,$D665,'Comp2016-2017 (3)'!$R$5:$R$289,$V665)*$AB665))</f>
        <v/>
      </c>
      <c r="AH665" s="2" t="str">
        <f>IF($W665=AH$3,$AB665,IF(NOT($W665=0),"",SUMIFS('Val-Vol (2)'!AH$4:AH$1116,'Val-Vol (2)'!$A$4:$A$1116,$D665,'Val-Vol (2)'!$V$4:$V$1116,$V665)/SUMIFS('Comp2016-2017 (3)'!$G$5:$G$289,'Comp2016-2017 (3)'!$A$5:$A$289,$D665,'Comp2016-2017 (3)'!$R$5:$R$289,$V665)*$AB665))</f>
        <v/>
      </c>
      <c r="AI665" s="2" t="str">
        <f>IF($W665=AI$3,$AB665,IF(NOT($W665=0),"",SUMIFS('Val-Vol (2)'!AI$4:AI$1116,'Val-Vol (2)'!$A$4:$A$1116,$D665,'Val-Vol (2)'!$V$4:$V$1116,$V665)/SUMIFS('Comp2016-2017 (3)'!$G$5:$G$289,'Comp2016-2017 (3)'!$A$5:$A$289,$D665,'Comp2016-2017 (3)'!$R$5:$R$289,$V665)*$AB665))</f>
        <v/>
      </c>
      <c r="AJ665" s="2">
        <f>IF($W665=AJ$3,$AB665,IF(NOT($W665=0),"",SUMIFS('Val-Vol (2)'!AJ$4:AJ$1116,'Val-Vol (2)'!$A$4:$A$1116,$D665,'Val-Vol (2)'!$V$4:$V$1116,$V665)/SUMIFS('Comp2016-2017 (3)'!$G$5:$G$289,'Comp2016-2017 (3)'!$A$5:$A$289,$D665,'Comp2016-2017 (3)'!$R$5:$R$289,$V665)*$AB665))</f>
        <v>149413.99456773436</v>
      </c>
      <c r="AK665" s="2">
        <f t="shared" si="72"/>
        <v>0</v>
      </c>
      <c r="AL665" t="str">
        <f t="shared" si="75"/>
        <v/>
      </c>
      <c r="AM665" t="str">
        <f>VLOOKUP(A665,'Table corresp.'!$M$4:$U$63,8,FALSE)</f>
        <v xml:space="preserve">Mise en œuvre </v>
      </c>
      <c r="AN665" t="str">
        <f>VLOOKUP(D665,'Table corresp.'!$M$4:$U$63,9,FALSE)</f>
        <v>Consommation finale française</v>
      </c>
    </row>
    <row r="666" spans="1:40" x14ac:dyDescent="0.25">
      <c r="A666" t="s">
        <v>20</v>
      </c>
      <c r="B666" t="str">
        <f>VLOOKUP(LEFT(A666,3),'Table corresp.'!$A$4:$D$63,3,FALSE)</f>
        <v>Transformation</v>
      </c>
      <c r="C666" t="str">
        <f>VLOOKUP(A666,'Table corresp.'!$M$4:$P$63,4,FALSE)</f>
        <v>Mise en oeuvre de produits bois</v>
      </c>
      <c r="D666" t="s">
        <v>54</v>
      </c>
      <c r="E666" t="str">
        <f>VLOOKUP(LEFT(D666,3),'Table corresp.'!$A$4:$D$63,4,FALSE)</f>
        <v>Consommation finale</v>
      </c>
      <c r="F666" t="str">
        <f t="shared" si="74"/>
        <v>53  - Con</v>
      </c>
      <c r="G666" s="3">
        <v>85180.306595684044</v>
      </c>
      <c r="H666" s="3">
        <v>0</v>
      </c>
      <c r="I666" s="3">
        <v>85180.308066613128</v>
      </c>
      <c r="J666" s="3">
        <v>91.476058107624809</v>
      </c>
      <c r="K666" s="3">
        <v>0</v>
      </c>
      <c r="L666" s="3">
        <v>91.476058107624809</v>
      </c>
      <c r="M666" s="3">
        <v>80.300287045287803</v>
      </c>
      <c r="N666" s="3">
        <v>0</v>
      </c>
      <c r="O666" s="3">
        <v>80.300287045287803</v>
      </c>
      <c r="P666" s="3">
        <v>8.8642513707303507</v>
      </c>
      <c r="Q666" s="3">
        <v>0</v>
      </c>
      <c r="R666" s="3">
        <v>8.8642513707303507</v>
      </c>
      <c r="S666" s="67" t="s">
        <v>192</v>
      </c>
      <c r="T666">
        <f>VLOOKUP(A666,'Groupe de branches'!$Z$27:$AM$86,14,FALSE)</f>
        <v>0</v>
      </c>
      <c r="U666">
        <f>VLOOKUP(D666,'Groupe de branches'!$Z$27:$AM$86,14,FALSE)</f>
        <v>0</v>
      </c>
      <c r="V666">
        <v>2017</v>
      </c>
      <c r="W666" t="str">
        <f>VLOOKUP(D666,'Table corresp.'!$M$4:$S$63,7,FALSE)</f>
        <v>Consommation finale</v>
      </c>
      <c r="X666" s="167">
        <f>IFERROR(G666/SUMIFS('Comp2016-2017 (3)'!$I$5:$I$289,'Comp2016-2017 (3)'!$A$5:$A$289,A666,'Comp2016-2017 (3)'!$R$5:$R$289,V666),0)</f>
        <v>1.0000000000000002</v>
      </c>
      <c r="Y666" s="190">
        <f>IFERROR(IF(RIGHT(F666,3)="Exp",VLOOKUP(F666,#REF!,2,FALSE),VLOOKUP(F666,#REF!,9,FALSE)),1)</f>
        <v>1</v>
      </c>
      <c r="Z666" s="167">
        <f t="shared" si="73"/>
        <v>1</v>
      </c>
      <c r="AA666" s="189">
        <f t="shared" si="76"/>
        <v>1.0000000000000002</v>
      </c>
      <c r="AB666" s="2">
        <f>IFERROR(SUMIFS('Comp2016-2017 (3)'!$G$5:$G$289,'Comp2016-2017 (3)'!$A$5:$A$289,A666,'Comp2016-2017 (3)'!$R$5:$R$289,V666)*AA666/SUMIFS($AA$4:$AA$1116,$A$4:$A$1116,A666,$V$4:$V$1116,V666),0)</f>
        <v>30009.301729840536</v>
      </c>
      <c r="AC666" s="2" t="str">
        <f>IF($W666=AC$3,$AB666,IF(NOT($W666=0),"",SUMIFS('Val-Vol (2)'!AC$4:AC$1116,'Val-Vol (2)'!$A$4:$A$1116,$D666,'Val-Vol (2)'!$V$4:$V$1116,$V666)/SUMIFS('Comp2016-2017 (3)'!$G$5:$G$289,'Comp2016-2017 (3)'!$A$5:$A$289,$D666,'Comp2016-2017 (3)'!$R$5:$R$289,$V666)*$AB666))</f>
        <v/>
      </c>
      <c r="AD666" s="2" t="str">
        <f>IF($W666=AD$3,$AB666,IF(NOT($W666=0),"",SUMIFS('Val-Vol (2)'!AD$4:AD$1116,'Val-Vol (2)'!$A$4:$A$1116,$D666,'Val-Vol (2)'!$V$4:$V$1116,$V666)/SUMIFS('Comp2016-2017 (3)'!$G$5:$G$289,'Comp2016-2017 (3)'!$A$5:$A$289,$D666,'Comp2016-2017 (3)'!$R$5:$R$289,$V666)*$AB666))</f>
        <v/>
      </c>
      <c r="AE666" s="2" t="str">
        <f>IF($W666=AE$3,$AB666,IF(NOT($W666=0),"",SUMIFS('Val-Vol (2)'!AE$4:AE$1116,'Val-Vol (2)'!$A$4:$A$1116,$D666,'Val-Vol (2)'!$V$4:$V$1116,$V666)/SUMIFS('Comp2016-2017 (3)'!$G$5:$G$289,'Comp2016-2017 (3)'!$A$5:$A$289,$D666,'Comp2016-2017 (3)'!$R$5:$R$289,$V666)*$AB666))</f>
        <v/>
      </c>
      <c r="AF666" s="2" t="str">
        <f>IF($W666=AF$3,$AB666,IF(NOT($W666=0),"",SUMIFS('Val-Vol (2)'!AF$4:AF$1116,'Val-Vol (2)'!$A$4:$A$1116,$D666,'Val-Vol (2)'!$V$4:$V$1116,$V666)/SUMIFS('Comp2016-2017 (3)'!$G$5:$G$289,'Comp2016-2017 (3)'!$A$5:$A$289,$D666,'Comp2016-2017 (3)'!$R$5:$R$289,$V666)*$AB666))</f>
        <v/>
      </c>
      <c r="AG666" s="2" t="str">
        <f>IF($W666=AG$3,$AB666,IF(NOT($W666=0),"",SUMIFS('Val-Vol (2)'!AG$4:AG$1116,'Val-Vol (2)'!$A$4:$A$1116,$D666,'Val-Vol (2)'!$V$4:$V$1116,$V666)/SUMIFS('Comp2016-2017 (3)'!$G$5:$G$289,'Comp2016-2017 (3)'!$A$5:$A$289,$D666,'Comp2016-2017 (3)'!$R$5:$R$289,$V666)*$AB666))</f>
        <v/>
      </c>
      <c r="AH666" s="2" t="str">
        <f>IF($W666=AH$3,$AB666,IF(NOT($W666=0),"",SUMIFS('Val-Vol (2)'!AH$4:AH$1116,'Val-Vol (2)'!$A$4:$A$1116,$D666,'Val-Vol (2)'!$V$4:$V$1116,$V666)/SUMIFS('Comp2016-2017 (3)'!$G$5:$G$289,'Comp2016-2017 (3)'!$A$5:$A$289,$D666,'Comp2016-2017 (3)'!$R$5:$R$289,$V666)*$AB666))</f>
        <v/>
      </c>
      <c r="AI666" s="2" t="str">
        <f>IF($W666=AI$3,$AB666,IF(NOT($W666=0),"",SUMIFS('Val-Vol (2)'!AI$4:AI$1116,'Val-Vol (2)'!$A$4:$A$1116,$D666,'Val-Vol (2)'!$V$4:$V$1116,$V666)/SUMIFS('Comp2016-2017 (3)'!$G$5:$G$289,'Comp2016-2017 (3)'!$A$5:$A$289,$D666,'Comp2016-2017 (3)'!$R$5:$R$289,$V666)*$AB666))</f>
        <v/>
      </c>
      <c r="AJ666" s="2">
        <f>IF($W666=AJ$3,$AB666,IF(NOT($W666=0),"",SUMIFS('Val-Vol (2)'!AJ$4:AJ$1116,'Val-Vol (2)'!$A$4:$A$1116,$D666,'Val-Vol (2)'!$V$4:$V$1116,$V666)/SUMIFS('Comp2016-2017 (3)'!$G$5:$G$289,'Comp2016-2017 (3)'!$A$5:$A$289,$D666,'Comp2016-2017 (3)'!$R$5:$R$289,$V666)*$AB666))</f>
        <v>30009.301729840536</v>
      </c>
      <c r="AK666" s="2">
        <f t="shared" si="72"/>
        <v>0</v>
      </c>
      <c r="AL666" t="str">
        <f t="shared" si="75"/>
        <v/>
      </c>
      <c r="AM666" t="str">
        <f>VLOOKUP(A666,'Table corresp.'!$M$4:$U$63,8,FALSE)</f>
        <v xml:space="preserve">Mise en œuvre </v>
      </c>
      <c r="AN666" t="str">
        <f>VLOOKUP(D666,'Table corresp.'!$M$4:$U$63,9,FALSE)</f>
        <v>Consommation finale française</v>
      </c>
    </row>
    <row r="667" spans="1:40" x14ac:dyDescent="0.25">
      <c r="A667" t="s">
        <v>21</v>
      </c>
      <c r="B667" t="str">
        <f>VLOOKUP(LEFT(A667,3),'Table corresp.'!$A$4:$D$63,3,FALSE)</f>
        <v>Transformation</v>
      </c>
      <c r="C667" t="str">
        <f>VLOOKUP(A667,'Table corresp.'!$M$4:$P$63,4,FALSE)</f>
        <v>Mise en oeuvre de produits bois</v>
      </c>
      <c r="D667" t="s">
        <v>54</v>
      </c>
      <c r="E667" t="str">
        <f>VLOOKUP(LEFT(D667,3),'Table corresp.'!$A$4:$D$63,4,FALSE)</f>
        <v>Consommation finale</v>
      </c>
      <c r="F667" t="str">
        <f t="shared" si="74"/>
        <v>54  - Con</v>
      </c>
      <c r="G667" s="3">
        <v>13400551.45330756</v>
      </c>
      <c r="H667" s="3">
        <v>0</v>
      </c>
      <c r="I667" s="3">
        <v>13400551.455404084</v>
      </c>
      <c r="J667" s="3">
        <v>2170.8105551508461</v>
      </c>
      <c r="K667" s="3">
        <v>0</v>
      </c>
      <c r="L667" s="3">
        <v>2170.8105551508461</v>
      </c>
      <c r="M667" s="3">
        <v>925.81850270281279</v>
      </c>
      <c r="N667" s="3">
        <v>0</v>
      </c>
      <c r="O667" s="3">
        <v>925.81850270281279</v>
      </c>
      <c r="P667" s="3">
        <v>315.4723579748827</v>
      </c>
      <c r="Q667" s="3">
        <v>0</v>
      </c>
      <c r="R667" s="3">
        <v>315.4723579748827</v>
      </c>
      <c r="S667" s="67" t="s">
        <v>192</v>
      </c>
      <c r="T667">
        <f>VLOOKUP(A667,'Groupe de branches'!$Z$27:$AM$86,14,FALSE)</f>
        <v>0</v>
      </c>
      <c r="U667">
        <f>VLOOKUP(D667,'Groupe de branches'!$Z$27:$AM$86,14,FALSE)</f>
        <v>0</v>
      </c>
      <c r="V667">
        <v>2017</v>
      </c>
      <c r="W667" t="str">
        <f>VLOOKUP(D667,'Table corresp.'!$M$4:$S$63,7,FALSE)</f>
        <v>Consommation finale</v>
      </c>
      <c r="X667" s="167">
        <f>IFERROR(G667/SUMIFS('Comp2016-2017 (3)'!$I$5:$I$289,'Comp2016-2017 (3)'!$A$5:$A$289,A667,'Comp2016-2017 (3)'!$R$5:$R$289,V667),0)</f>
        <v>1.0000000000000002</v>
      </c>
      <c r="Y667" s="190">
        <f>IFERROR(IF(RIGHT(F667,3)="Exp",VLOOKUP(F667,#REF!,2,FALSE),VLOOKUP(F667,#REF!,9,FALSE)),1)</f>
        <v>1</v>
      </c>
      <c r="Z667" s="167">
        <f t="shared" si="73"/>
        <v>1</v>
      </c>
      <c r="AA667" s="189">
        <f t="shared" si="76"/>
        <v>1.0000000000000002</v>
      </c>
      <c r="AB667" s="2">
        <f>IFERROR(SUMIFS('Comp2016-2017 (3)'!$G$5:$G$289,'Comp2016-2017 (3)'!$A$5:$A$289,A667,'Comp2016-2017 (3)'!$R$5:$R$289,V667)*AA667/SUMIFS($AA$4:$AA$1116,$A$4:$A$1116,A667,$V$4:$V$1116,V667),0)</f>
        <v>4901019.8287246674</v>
      </c>
      <c r="AC667" s="2" t="str">
        <f>IF($W667=AC$3,$AB667,IF(NOT($W667=0),"",SUMIFS('Val-Vol (2)'!AC$4:AC$1116,'Val-Vol (2)'!$A$4:$A$1116,$D667,'Val-Vol (2)'!$V$4:$V$1116,$V667)/SUMIFS('Comp2016-2017 (3)'!$G$5:$G$289,'Comp2016-2017 (3)'!$A$5:$A$289,$D667,'Comp2016-2017 (3)'!$R$5:$R$289,$V667)*$AB667))</f>
        <v/>
      </c>
      <c r="AD667" s="2" t="str">
        <f>IF($W667=AD$3,$AB667,IF(NOT($W667=0),"",SUMIFS('Val-Vol (2)'!AD$4:AD$1116,'Val-Vol (2)'!$A$4:$A$1116,$D667,'Val-Vol (2)'!$V$4:$V$1116,$V667)/SUMIFS('Comp2016-2017 (3)'!$G$5:$G$289,'Comp2016-2017 (3)'!$A$5:$A$289,$D667,'Comp2016-2017 (3)'!$R$5:$R$289,$V667)*$AB667))</f>
        <v/>
      </c>
      <c r="AE667" s="2" t="str">
        <f>IF($W667=AE$3,$AB667,IF(NOT($W667=0),"",SUMIFS('Val-Vol (2)'!AE$4:AE$1116,'Val-Vol (2)'!$A$4:$A$1116,$D667,'Val-Vol (2)'!$V$4:$V$1116,$V667)/SUMIFS('Comp2016-2017 (3)'!$G$5:$G$289,'Comp2016-2017 (3)'!$A$5:$A$289,$D667,'Comp2016-2017 (3)'!$R$5:$R$289,$V667)*$AB667))</f>
        <v/>
      </c>
      <c r="AF667" s="2" t="str">
        <f>IF($W667=AF$3,$AB667,IF(NOT($W667=0),"",SUMIFS('Val-Vol (2)'!AF$4:AF$1116,'Val-Vol (2)'!$A$4:$A$1116,$D667,'Val-Vol (2)'!$V$4:$V$1116,$V667)/SUMIFS('Comp2016-2017 (3)'!$G$5:$G$289,'Comp2016-2017 (3)'!$A$5:$A$289,$D667,'Comp2016-2017 (3)'!$R$5:$R$289,$V667)*$AB667))</f>
        <v/>
      </c>
      <c r="AG667" s="2" t="str">
        <f>IF($W667=AG$3,$AB667,IF(NOT($W667=0),"",SUMIFS('Val-Vol (2)'!AG$4:AG$1116,'Val-Vol (2)'!$A$4:$A$1116,$D667,'Val-Vol (2)'!$V$4:$V$1116,$V667)/SUMIFS('Comp2016-2017 (3)'!$G$5:$G$289,'Comp2016-2017 (3)'!$A$5:$A$289,$D667,'Comp2016-2017 (3)'!$R$5:$R$289,$V667)*$AB667))</f>
        <v/>
      </c>
      <c r="AH667" s="2" t="str">
        <f>IF($W667=AH$3,$AB667,IF(NOT($W667=0),"",SUMIFS('Val-Vol (2)'!AH$4:AH$1116,'Val-Vol (2)'!$A$4:$A$1116,$D667,'Val-Vol (2)'!$V$4:$V$1116,$V667)/SUMIFS('Comp2016-2017 (3)'!$G$5:$G$289,'Comp2016-2017 (3)'!$A$5:$A$289,$D667,'Comp2016-2017 (3)'!$R$5:$R$289,$V667)*$AB667))</f>
        <v/>
      </c>
      <c r="AI667" s="2" t="str">
        <f>IF($W667=AI$3,$AB667,IF(NOT($W667=0),"",SUMIFS('Val-Vol (2)'!AI$4:AI$1116,'Val-Vol (2)'!$A$4:$A$1116,$D667,'Val-Vol (2)'!$V$4:$V$1116,$V667)/SUMIFS('Comp2016-2017 (3)'!$G$5:$G$289,'Comp2016-2017 (3)'!$A$5:$A$289,$D667,'Comp2016-2017 (3)'!$R$5:$R$289,$V667)*$AB667))</f>
        <v/>
      </c>
      <c r="AJ667" s="2">
        <f>IF($W667=AJ$3,$AB667,IF(NOT($W667=0),"",SUMIFS('Val-Vol (2)'!AJ$4:AJ$1116,'Val-Vol (2)'!$A$4:$A$1116,$D667,'Val-Vol (2)'!$V$4:$V$1116,$V667)/SUMIFS('Comp2016-2017 (3)'!$G$5:$G$289,'Comp2016-2017 (3)'!$A$5:$A$289,$D667,'Comp2016-2017 (3)'!$R$5:$R$289,$V667)*$AB667))</f>
        <v>4901019.8287246674</v>
      </c>
      <c r="AK667" s="2">
        <f t="shared" si="72"/>
        <v>0</v>
      </c>
      <c r="AL667" t="str">
        <f t="shared" si="75"/>
        <v/>
      </c>
      <c r="AM667" t="str">
        <f>VLOOKUP(A667,'Table corresp.'!$M$4:$U$63,8,FALSE)</f>
        <v xml:space="preserve">Mise en œuvre </v>
      </c>
      <c r="AN667" t="str">
        <f>VLOOKUP(D667,'Table corresp.'!$M$4:$U$63,9,FALSE)</f>
        <v>Consommation finale française</v>
      </c>
    </row>
    <row r="668" spans="1:40" x14ac:dyDescent="0.25">
      <c r="A668" t="s">
        <v>22</v>
      </c>
      <c r="B668" t="str">
        <f>VLOOKUP(LEFT(A668,3),'Table corresp.'!$A$4:$D$63,3,FALSE)</f>
        <v>Transformation</v>
      </c>
      <c r="C668" t="str">
        <f>VLOOKUP(A668,'Table corresp.'!$M$4:$P$63,4,FALSE)</f>
        <v>Mise en oeuvre de produits bois</v>
      </c>
      <c r="D668" t="s">
        <v>54</v>
      </c>
      <c r="E668" t="str">
        <f>VLOOKUP(LEFT(D668,3),'Table corresp.'!$A$4:$D$63,4,FALSE)</f>
        <v>Consommation finale</v>
      </c>
      <c r="F668" t="str">
        <f t="shared" si="74"/>
        <v>55  - Con</v>
      </c>
      <c r="G668" s="3">
        <v>2008768.3059826302</v>
      </c>
      <c r="H668" s="3">
        <v>0</v>
      </c>
      <c r="I668" s="3">
        <v>2008768.3069934642</v>
      </c>
      <c r="J668" s="3">
        <v>304.82882397247965</v>
      </c>
      <c r="K668" s="3">
        <v>0</v>
      </c>
      <c r="L668" s="3">
        <v>304.82882397247965</v>
      </c>
      <c r="M668" s="3">
        <v>225.34811877800581</v>
      </c>
      <c r="N668" s="3">
        <v>0</v>
      </c>
      <c r="O668" s="3">
        <v>225.34811877800581</v>
      </c>
      <c r="P668" s="3">
        <v>75.974173110444269</v>
      </c>
      <c r="Q668" s="3">
        <v>0</v>
      </c>
      <c r="R668" s="3">
        <v>75.974173110444269</v>
      </c>
      <c r="S668" s="67" t="s">
        <v>192</v>
      </c>
      <c r="T668">
        <f>VLOOKUP(A668,'Groupe de branches'!$Z$27:$AM$86,14,FALSE)</f>
        <v>0</v>
      </c>
      <c r="U668">
        <f>VLOOKUP(D668,'Groupe de branches'!$Z$27:$AM$86,14,FALSE)</f>
        <v>0</v>
      </c>
      <c r="V668">
        <v>2017</v>
      </c>
      <c r="W668" t="str">
        <f>VLOOKUP(D668,'Table corresp.'!$M$4:$S$63,7,FALSE)</f>
        <v>Consommation finale</v>
      </c>
      <c r="X668" s="167">
        <f>IFERROR(G668/SUMIFS('Comp2016-2017 (3)'!$I$5:$I$289,'Comp2016-2017 (3)'!$A$5:$A$289,A668,'Comp2016-2017 (3)'!$R$5:$R$289,V668),0)</f>
        <v>1</v>
      </c>
      <c r="Y668" s="190">
        <f>IFERROR(IF(RIGHT(F668,3)="Exp",VLOOKUP(F668,#REF!,2,FALSE),VLOOKUP(F668,#REF!,9,FALSE)),1)</f>
        <v>1</v>
      </c>
      <c r="Z668" s="167">
        <f t="shared" si="73"/>
        <v>1</v>
      </c>
      <c r="AA668" s="189">
        <f t="shared" si="76"/>
        <v>1</v>
      </c>
      <c r="AB668" s="2">
        <f>IFERROR(SUMIFS('Comp2016-2017 (3)'!$G$5:$G$289,'Comp2016-2017 (3)'!$A$5:$A$289,A668,'Comp2016-2017 (3)'!$R$5:$R$289,V668)*AA668/SUMIFS($AA$4:$AA$1116,$A$4:$A$1116,A668,$V$4:$V$1116,V668),0)</f>
        <v>499194.05826606194</v>
      </c>
      <c r="AC668" s="2" t="str">
        <f>IF($W668=AC$3,$AB668,IF(NOT($W668=0),"",SUMIFS('Val-Vol (2)'!AC$4:AC$1116,'Val-Vol (2)'!$A$4:$A$1116,$D668,'Val-Vol (2)'!$V$4:$V$1116,$V668)/SUMIFS('Comp2016-2017 (3)'!$G$5:$G$289,'Comp2016-2017 (3)'!$A$5:$A$289,$D668,'Comp2016-2017 (3)'!$R$5:$R$289,$V668)*$AB668))</f>
        <v/>
      </c>
      <c r="AD668" s="2" t="str">
        <f>IF($W668=AD$3,$AB668,IF(NOT($W668=0),"",SUMIFS('Val-Vol (2)'!AD$4:AD$1116,'Val-Vol (2)'!$A$4:$A$1116,$D668,'Val-Vol (2)'!$V$4:$V$1116,$V668)/SUMIFS('Comp2016-2017 (3)'!$G$5:$G$289,'Comp2016-2017 (3)'!$A$5:$A$289,$D668,'Comp2016-2017 (3)'!$R$5:$R$289,$V668)*$AB668))</f>
        <v/>
      </c>
      <c r="AE668" s="2" t="str">
        <f>IF($W668=AE$3,$AB668,IF(NOT($W668=0),"",SUMIFS('Val-Vol (2)'!AE$4:AE$1116,'Val-Vol (2)'!$A$4:$A$1116,$D668,'Val-Vol (2)'!$V$4:$V$1116,$V668)/SUMIFS('Comp2016-2017 (3)'!$G$5:$G$289,'Comp2016-2017 (3)'!$A$5:$A$289,$D668,'Comp2016-2017 (3)'!$R$5:$R$289,$V668)*$AB668))</f>
        <v/>
      </c>
      <c r="AF668" s="2" t="str">
        <f>IF($W668=AF$3,$AB668,IF(NOT($W668=0),"",SUMIFS('Val-Vol (2)'!AF$4:AF$1116,'Val-Vol (2)'!$A$4:$A$1116,$D668,'Val-Vol (2)'!$V$4:$V$1116,$V668)/SUMIFS('Comp2016-2017 (3)'!$G$5:$G$289,'Comp2016-2017 (3)'!$A$5:$A$289,$D668,'Comp2016-2017 (3)'!$R$5:$R$289,$V668)*$AB668))</f>
        <v/>
      </c>
      <c r="AG668" s="2" t="str">
        <f>IF($W668=AG$3,$AB668,IF(NOT($W668=0),"",SUMIFS('Val-Vol (2)'!AG$4:AG$1116,'Val-Vol (2)'!$A$4:$A$1116,$D668,'Val-Vol (2)'!$V$4:$V$1116,$V668)/SUMIFS('Comp2016-2017 (3)'!$G$5:$G$289,'Comp2016-2017 (3)'!$A$5:$A$289,$D668,'Comp2016-2017 (3)'!$R$5:$R$289,$V668)*$AB668))</f>
        <v/>
      </c>
      <c r="AH668" s="2" t="str">
        <f>IF($W668=AH$3,$AB668,IF(NOT($W668=0),"",SUMIFS('Val-Vol (2)'!AH$4:AH$1116,'Val-Vol (2)'!$A$4:$A$1116,$D668,'Val-Vol (2)'!$V$4:$V$1116,$V668)/SUMIFS('Comp2016-2017 (3)'!$G$5:$G$289,'Comp2016-2017 (3)'!$A$5:$A$289,$D668,'Comp2016-2017 (3)'!$R$5:$R$289,$V668)*$AB668))</f>
        <v/>
      </c>
      <c r="AI668" s="2" t="str">
        <f>IF($W668=AI$3,$AB668,IF(NOT($W668=0),"",SUMIFS('Val-Vol (2)'!AI$4:AI$1116,'Val-Vol (2)'!$A$4:$A$1116,$D668,'Val-Vol (2)'!$V$4:$V$1116,$V668)/SUMIFS('Comp2016-2017 (3)'!$G$5:$G$289,'Comp2016-2017 (3)'!$A$5:$A$289,$D668,'Comp2016-2017 (3)'!$R$5:$R$289,$V668)*$AB668))</f>
        <v/>
      </c>
      <c r="AJ668" s="2">
        <f>IF($W668=AJ$3,$AB668,IF(NOT($W668=0),"",SUMIFS('Val-Vol (2)'!AJ$4:AJ$1116,'Val-Vol (2)'!$A$4:$A$1116,$D668,'Val-Vol (2)'!$V$4:$V$1116,$V668)/SUMIFS('Comp2016-2017 (3)'!$G$5:$G$289,'Comp2016-2017 (3)'!$A$5:$A$289,$D668,'Comp2016-2017 (3)'!$R$5:$R$289,$V668)*$AB668))</f>
        <v>499194.05826606194</v>
      </c>
      <c r="AK668" s="2">
        <f t="shared" si="72"/>
        <v>0</v>
      </c>
      <c r="AL668" t="str">
        <f t="shared" si="75"/>
        <v/>
      </c>
      <c r="AM668" t="str">
        <f>VLOOKUP(A668,'Table corresp.'!$M$4:$U$63,8,FALSE)</f>
        <v xml:space="preserve">Mise en œuvre </v>
      </c>
      <c r="AN668" t="str">
        <f>VLOOKUP(D668,'Table corresp.'!$M$4:$U$63,9,FALSE)</f>
        <v>Consommation finale française</v>
      </c>
    </row>
    <row r="669" spans="1:40" x14ac:dyDescent="0.25">
      <c r="A669" t="s">
        <v>23</v>
      </c>
      <c r="B669" t="str">
        <f>VLOOKUP(LEFT(A669,3),'Table corresp.'!$A$4:$D$63,3,FALSE)</f>
        <v>Transformation</v>
      </c>
      <c r="C669" t="str">
        <f>VLOOKUP(A669,'Table corresp.'!$M$4:$P$63,4,FALSE)</f>
        <v>Mise en oeuvre de produits bois</v>
      </c>
      <c r="D669" t="s">
        <v>54</v>
      </c>
      <c r="E669" t="str">
        <f>VLOOKUP(LEFT(D669,3),'Table corresp.'!$A$4:$D$63,4,FALSE)</f>
        <v>Consommation finale</v>
      </c>
      <c r="F669" t="str">
        <f t="shared" si="74"/>
        <v>56  - Con</v>
      </c>
      <c r="G669" s="3">
        <v>364770.76580928138</v>
      </c>
      <c r="H669" s="3">
        <v>0</v>
      </c>
      <c r="I669" s="3">
        <v>364770.77447860519</v>
      </c>
      <c r="J669" s="3">
        <v>445.34685502971143</v>
      </c>
      <c r="K669" s="3">
        <v>0</v>
      </c>
      <c r="L669" s="3">
        <v>445.34685502971143</v>
      </c>
      <c r="M669" s="3">
        <v>9.4306505855404055</v>
      </c>
      <c r="N669" s="3">
        <v>0</v>
      </c>
      <c r="O669" s="3">
        <v>9.4306505855404055</v>
      </c>
      <c r="P669" s="3">
        <v>2.75023335700542</v>
      </c>
      <c r="Q669" s="3">
        <v>0</v>
      </c>
      <c r="R669" s="3">
        <v>2.75023335700542</v>
      </c>
      <c r="S669" s="67" t="s">
        <v>192</v>
      </c>
      <c r="T669">
        <f>VLOOKUP(A669,'Groupe de branches'!$Z$27:$AM$86,14,FALSE)</f>
        <v>0</v>
      </c>
      <c r="U669">
        <f>VLOOKUP(D669,'Groupe de branches'!$Z$27:$AM$86,14,FALSE)</f>
        <v>0</v>
      </c>
      <c r="V669">
        <v>2017</v>
      </c>
      <c r="W669" t="str">
        <f>VLOOKUP(D669,'Table corresp.'!$M$4:$S$63,7,FALSE)</f>
        <v>Consommation finale</v>
      </c>
      <c r="X669" s="167">
        <f>IFERROR(G669/SUMIFS('Comp2016-2017 (3)'!$I$5:$I$289,'Comp2016-2017 (3)'!$A$5:$A$289,A669,'Comp2016-2017 (3)'!$R$5:$R$289,V669),0)</f>
        <v>1</v>
      </c>
      <c r="Y669" s="190">
        <f>IFERROR(IF(RIGHT(F669,3)="Exp",VLOOKUP(F669,#REF!,2,FALSE),VLOOKUP(F669,#REF!,9,FALSE)),1)</f>
        <v>1</v>
      </c>
      <c r="Z669" s="167">
        <f t="shared" si="73"/>
        <v>1</v>
      </c>
      <c r="AA669" s="189">
        <f t="shared" si="76"/>
        <v>1</v>
      </c>
      <c r="AB669" s="2">
        <f>IFERROR(SUMIFS('Comp2016-2017 (3)'!$G$5:$G$289,'Comp2016-2017 (3)'!$A$5:$A$289,A669,'Comp2016-2017 (3)'!$R$5:$R$289,V669)*AA669/SUMIFS($AA$4:$AA$1116,$A$4:$A$1116,A669,$V$4:$V$1116,V669),0)</f>
        <v>134059.01581109245</v>
      </c>
      <c r="AC669" s="2" t="str">
        <f>IF($W669=AC$3,$AB669,IF(NOT($W669=0),"",SUMIFS('Val-Vol (2)'!AC$4:AC$1116,'Val-Vol (2)'!$A$4:$A$1116,$D669,'Val-Vol (2)'!$V$4:$V$1116,$V669)/SUMIFS('Comp2016-2017 (3)'!$G$5:$G$289,'Comp2016-2017 (3)'!$A$5:$A$289,$D669,'Comp2016-2017 (3)'!$R$5:$R$289,$V669)*$AB669))</f>
        <v/>
      </c>
      <c r="AD669" s="2" t="str">
        <f>IF($W669=AD$3,$AB669,IF(NOT($W669=0),"",SUMIFS('Val-Vol (2)'!AD$4:AD$1116,'Val-Vol (2)'!$A$4:$A$1116,$D669,'Val-Vol (2)'!$V$4:$V$1116,$V669)/SUMIFS('Comp2016-2017 (3)'!$G$5:$G$289,'Comp2016-2017 (3)'!$A$5:$A$289,$D669,'Comp2016-2017 (3)'!$R$5:$R$289,$V669)*$AB669))</f>
        <v/>
      </c>
      <c r="AE669" s="2" t="str">
        <f>IF($W669=AE$3,$AB669,IF(NOT($W669=0),"",SUMIFS('Val-Vol (2)'!AE$4:AE$1116,'Val-Vol (2)'!$A$4:$A$1116,$D669,'Val-Vol (2)'!$V$4:$V$1116,$V669)/SUMIFS('Comp2016-2017 (3)'!$G$5:$G$289,'Comp2016-2017 (3)'!$A$5:$A$289,$D669,'Comp2016-2017 (3)'!$R$5:$R$289,$V669)*$AB669))</f>
        <v/>
      </c>
      <c r="AF669" s="2" t="str">
        <f>IF($W669=AF$3,$AB669,IF(NOT($W669=0),"",SUMIFS('Val-Vol (2)'!AF$4:AF$1116,'Val-Vol (2)'!$A$4:$A$1116,$D669,'Val-Vol (2)'!$V$4:$V$1116,$V669)/SUMIFS('Comp2016-2017 (3)'!$G$5:$G$289,'Comp2016-2017 (3)'!$A$5:$A$289,$D669,'Comp2016-2017 (3)'!$R$5:$R$289,$V669)*$AB669))</f>
        <v/>
      </c>
      <c r="AG669" s="2" t="str">
        <f>IF($W669=AG$3,$AB669,IF(NOT($W669=0),"",SUMIFS('Val-Vol (2)'!AG$4:AG$1116,'Val-Vol (2)'!$A$4:$A$1116,$D669,'Val-Vol (2)'!$V$4:$V$1116,$V669)/SUMIFS('Comp2016-2017 (3)'!$G$5:$G$289,'Comp2016-2017 (3)'!$A$5:$A$289,$D669,'Comp2016-2017 (3)'!$R$5:$R$289,$V669)*$AB669))</f>
        <v/>
      </c>
      <c r="AH669" s="2" t="str">
        <f>IF($W669=AH$3,$AB669,IF(NOT($W669=0),"",SUMIFS('Val-Vol (2)'!AH$4:AH$1116,'Val-Vol (2)'!$A$4:$A$1116,$D669,'Val-Vol (2)'!$V$4:$V$1116,$V669)/SUMIFS('Comp2016-2017 (3)'!$G$5:$G$289,'Comp2016-2017 (3)'!$A$5:$A$289,$D669,'Comp2016-2017 (3)'!$R$5:$R$289,$V669)*$AB669))</f>
        <v/>
      </c>
      <c r="AI669" s="2" t="str">
        <f>IF($W669=AI$3,$AB669,IF(NOT($W669=0),"",SUMIFS('Val-Vol (2)'!AI$4:AI$1116,'Val-Vol (2)'!$A$4:$A$1116,$D669,'Val-Vol (2)'!$V$4:$V$1116,$V669)/SUMIFS('Comp2016-2017 (3)'!$G$5:$G$289,'Comp2016-2017 (3)'!$A$5:$A$289,$D669,'Comp2016-2017 (3)'!$R$5:$R$289,$V669)*$AB669))</f>
        <v/>
      </c>
      <c r="AJ669" s="2">
        <f>IF($W669=AJ$3,$AB669,IF(NOT($W669=0),"",SUMIFS('Val-Vol (2)'!AJ$4:AJ$1116,'Val-Vol (2)'!$A$4:$A$1116,$D669,'Val-Vol (2)'!$V$4:$V$1116,$V669)/SUMIFS('Comp2016-2017 (3)'!$G$5:$G$289,'Comp2016-2017 (3)'!$A$5:$A$289,$D669,'Comp2016-2017 (3)'!$R$5:$R$289,$V669)*$AB669))</f>
        <v>134059.01581109245</v>
      </c>
      <c r="AK669" s="2">
        <f t="shared" si="72"/>
        <v>0</v>
      </c>
      <c r="AL669" t="str">
        <f t="shared" si="75"/>
        <v/>
      </c>
      <c r="AM669" t="str">
        <f>VLOOKUP(A669,'Table corresp.'!$M$4:$U$63,8,FALSE)</f>
        <v xml:space="preserve">Mise en œuvre </v>
      </c>
      <c r="AN669" t="str">
        <f>VLOOKUP(D669,'Table corresp.'!$M$4:$U$63,9,FALSE)</f>
        <v>Consommation finale française</v>
      </c>
    </row>
    <row r="670" spans="1:40" x14ac:dyDescent="0.25">
      <c r="A670" t="s">
        <v>24</v>
      </c>
      <c r="B670" t="str">
        <f>VLOOKUP(LEFT(A670,3),'Table corresp.'!$A$4:$D$63,3,FALSE)</f>
        <v>Transformation</v>
      </c>
      <c r="C670" t="str">
        <f>VLOOKUP(A670,'Table corresp.'!$M$4:$P$63,4,FALSE)</f>
        <v>Mise en oeuvre de produits bois</v>
      </c>
      <c r="D670" t="s">
        <v>54</v>
      </c>
      <c r="E670" t="str">
        <f>VLOOKUP(LEFT(D670,3),'Table corresp.'!$A$4:$D$63,4,FALSE)</f>
        <v>Consommation finale</v>
      </c>
      <c r="F670" t="str">
        <f t="shared" si="74"/>
        <v>57  - Con</v>
      </c>
      <c r="G670" s="3">
        <v>5662285.9154726658</v>
      </c>
      <c r="H670" s="3">
        <v>0</v>
      </c>
      <c r="I670" s="3">
        <v>5662285.9197262954</v>
      </c>
      <c r="J670" s="3">
        <v>5230.138995390078</v>
      </c>
      <c r="K670" s="3">
        <v>0</v>
      </c>
      <c r="L670" s="3">
        <v>5230.138995390078</v>
      </c>
      <c r="M670" s="3">
        <v>178.36158036847934</v>
      </c>
      <c r="N670" s="3">
        <v>0</v>
      </c>
      <c r="O670" s="3">
        <v>178.36158036847934</v>
      </c>
      <c r="P670" s="3">
        <v>38.050219223867586</v>
      </c>
      <c r="Q670" s="3">
        <v>0</v>
      </c>
      <c r="R670" s="3">
        <v>38.050219223867586</v>
      </c>
      <c r="S670" s="67" t="s">
        <v>192</v>
      </c>
      <c r="T670">
        <f>VLOOKUP(A670,'Groupe de branches'!$Z$27:$AM$86,14,FALSE)</f>
        <v>0</v>
      </c>
      <c r="U670">
        <f>VLOOKUP(D670,'Groupe de branches'!$Z$27:$AM$86,14,FALSE)</f>
        <v>0</v>
      </c>
      <c r="V670">
        <v>2017</v>
      </c>
      <c r="W670" t="str">
        <f>VLOOKUP(D670,'Table corresp.'!$M$4:$S$63,7,FALSE)</f>
        <v>Consommation finale</v>
      </c>
      <c r="X670" s="167">
        <f>IFERROR(G670/SUMIFS('Comp2016-2017 (3)'!$I$5:$I$289,'Comp2016-2017 (3)'!$A$5:$A$289,A670,'Comp2016-2017 (3)'!$R$5:$R$289,V670),0)</f>
        <v>1</v>
      </c>
      <c r="Y670" s="190">
        <f>IFERROR(IF(RIGHT(F670,3)="Exp",VLOOKUP(F670,#REF!,2,FALSE),VLOOKUP(F670,#REF!,9,FALSE)),1)</f>
        <v>1</v>
      </c>
      <c r="Z670" s="167">
        <f t="shared" si="73"/>
        <v>1</v>
      </c>
      <c r="AA670" s="189">
        <f t="shared" si="76"/>
        <v>1</v>
      </c>
      <c r="AB670" s="2">
        <f>IFERROR(SUMIFS('Comp2016-2017 (3)'!$G$5:$G$289,'Comp2016-2017 (3)'!$A$5:$A$289,A670,'Comp2016-2017 (3)'!$R$5:$R$289,V670)*AA670/SUMIFS($AA$4:$AA$1116,$A$4:$A$1116,A670,$V$4:$V$1116,V670),0)</f>
        <v>2195970.0000731633</v>
      </c>
      <c r="AC670" s="2" t="str">
        <f>IF($W670=AC$3,$AB670,IF(NOT($W670=0),"",SUMIFS('Val-Vol (2)'!AC$4:AC$1116,'Val-Vol (2)'!$A$4:$A$1116,$D670,'Val-Vol (2)'!$V$4:$V$1116,$V670)/SUMIFS('Comp2016-2017 (3)'!$G$5:$G$289,'Comp2016-2017 (3)'!$A$5:$A$289,$D670,'Comp2016-2017 (3)'!$R$5:$R$289,$V670)*$AB670))</f>
        <v/>
      </c>
      <c r="AD670" s="2" t="str">
        <f>IF($W670=AD$3,$AB670,IF(NOT($W670=0),"",SUMIFS('Val-Vol (2)'!AD$4:AD$1116,'Val-Vol (2)'!$A$4:$A$1116,$D670,'Val-Vol (2)'!$V$4:$V$1116,$V670)/SUMIFS('Comp2016-2017 (3)'!$G$5:$G$289,'Comp2016-2017 (3)'!$A$5:$A$289,$D670,'Comp2016-2017 (3)'!$R$5:$R$289,$V670)*$AB670))</f>
        <v/>
      </c>
      <c r="AE670" s="2" t="str">
        <f>IF($W670=AE$3,$AB670,IF(NOT($W670=0),"",SUMIFS('Val-Vol (2)'!AE$4:AE$1116,'Val-Vol (2)'!$A$4:$A$1116,$D670,'Val-Vol (2)'!$V$4:$V$1116,$V670)/SUMIFS('Comp2016-2017 (3)'!$G$5:$G$289,'Comp2016-2017 (3)'!$A$5:$A$289,$D670,'Comp2016-2017 (3)'!$R$5:$R$289,$V670)*$AB670))</f>
        <v/>
      </c>
      <c r="AF670" s="2" t="str">
        <f>IF($W670=AF$3,$AB670,IF(NOT($W670=0),"",SUMIFS('Val-Vol (2)'!AF$4:AF$1116,'Val-Vol (2)'!$A$4:$A$1116,$D670,'Val-Vol (2)'!$V$4:$V$1116,$V670)/SUMIFS('Comp2016-2017 (3)'!$G$5:$G$289,'Comp2016-2017 (3)'!$A$5:$A$289,$D670,'Comp2016-2017 (3)'!$R$5:$R$289,$V670)*$AB670))</f>
        <v/>
      </c>
      <c r="AG670" s="2" t="str">
        <f>IF($W670=AG$3,$AB670,IF(NOT($W670=0),"",SUMIFS('Val-Vol (2)'!AG$4:AG$1116,'Val-Vol (2)'!$A$4:$A$1116,$D670,'Val-Vol (2)'!$V$4:$V$1116,$V670)/SUMIFS('Comp2016-2017 (3)'!$G$5:$G$289,'Comp2016-2017 (3)'!$A$5:$A$289,$D670,'Comp2016-2017 (3)'!$R$5:$R$289,$V670)*$AB670))</f>
        <v/>
      </c>
      <c r="AH670" s="2" t="str">
        <f>IF($W670=AH$3,$AB670,IF(NOT($W670=0),"",SUMIFS('Val-Vol (2)'!AH$4:AH$1116,'Val-Vol (2)'!$A$4:$A$1116,$D670,'Val-Vol (2)'!$V$4:$V$1116,$V670)/SUMIFS('Comp2016-2017 (3)'!$G$5:$G$289,'Comp2016-2017 (3)'!$A$5:$A$289,$D670,'Comp2016-2017 (3)'!$R$5:$R$289,$V670)*$AB670))</f>
        <v/>
      </c>
      <c r="AI670" s="2" t="str">
        <f>IF($W670=AI$3,$AB670,IF(NOT($W670=0),"",SUMIFS('Val-Vol (2)'!AI$4:AI$1116,'Val-Vol (2)'!$A$4:$A$1116,$D670,'Val-Vol (2)'!$V$4:$V$1116,$V670)/SUMIFS('Comp2016-2017 (3)'!$G$5:$G$289,'Comp2016-2017 (3)'!$A$5:$A$289,$D670,'Comp2016-2017 (3)'!$R$5:$R$289,$V670)*$AB670))</f>
        <v/>
      </c>
      <c r="AJ670" s="2">
        <f>IF($W670=AJ$3,$AB670,IF(NOT($W670=0),"",SUMIFS('Val-Vol (2)'!AJ$4:AJ$1116,'Val-Vol (2)'!$A$4:$A$1116,$D670,'Val-Vol (2)'!$V$4:$V$1116,$V670)/SUMIFS('Comp2016-2017 (3)'!$G$5:$G$289,'Comp2016-2017 (3)'!$A$5:$A$289,$D670,'Comp2016-2017 (3)'!$R$5:$R$289,$V670)*$AB670))</f>
        <v>2195970.0000731633</v>
      </c>
      <c r="AK670" s="2">
        <f t="shared" si="72"/>
        <v>0</v>
      </c>
      <c r="AL670" t="str">
        <f t="shared" si="75"/>
        <v/>
      </c>
      <c r="AM670" t="str">
        <f>VLOOKUP(A670,'Table corresp.'!$M$4:$U$63,8,FALSE)</f>
        <v xml:space="preserve">Mise en œuvre </v>
      </c>
      <c r="AN670" t="str">
        <f>VLOOKUP(D670,'Table corresp.'!$M$4:$U$63,9,FALSE)</f>
        <v>Consommation finale française</v>
      </c>
    </row>
    <row r="671" spans="1:40" x14ac:dyDescent="0.25">
      <c r="A671" t="s">
        <v>25</v>
      </c>
      <c r="B671" t="str">
        <f>VLOOKUP(LEFT(A671,3),'Table corresp.'!$A$4:$D$63,3,FALSE)</f>
        <v>Transformation</v>
      </c>
      <c r="C671" t="str">
        <f>VLOOKUP(A671,'Table corresp.'!$M$4:$P$63,4,FALSE)</f>
        <v>Mise en oeuvre de produits bois</v>
      </c>
      <c r="D671" t="s">
        <v>54</v>
      </c>
      <c r="E671" t="str">
        <f>VLOOKUP(LEFT(D671,3),'Table corresp.'!$A$4:$D$63,4,FALSE)</f>
        <v>Consommation finale</v>
      </c>
      <c r="F671" t="str">
        <f t="shared" si="74"/>
        <v>58  - Con</v>
      </c>
      <c r="G671" s="3">
        <v>824515.14395044604</v>
      </c>
      <c r="H671" s="3">
        <v>0</v>
      </c>
      <c r="I671" s="3">
        <v>824515.14717124088</v>
      </c>
      <c r="J671" s="3">
        <v>797.43568744851245</v>
      </c>
      <c r="K671" s="3">
        <v>0</v>
      </c>
      <c r="L671" s="3">
        <v>797.43568744851245</v>
      </c>
      <c r="M671" s="3">
        <v>13.790005014528081</v>
      </c>
      <c r="N671" s="3">
        <v>0</v>
      </c>
      <c r="O671" s="3">
        <v>13.790005014528081</v>
      </c>
      <c r="P671" s="3">
        <v>3.0303974793258517</v>
      </c>
      <c r="Q671" s="3">
        <v>0</v>
      </c>
      <c r="R671" s="3">
        <v>3.0303974793258517</v>
      </c>
      <c r="S671" s="67" t="s">
        <v>192</v>
      </c>
      <c r="T671">
        <f>VLOOKUP(A671,'Groupe de branches'!$Z$27:$AM$86,14,FALSE)</f>
        <v>0</v>
      </c>
      <c r="U671">
        <f>VLOOKUP(D671,'Groupe de branches'!$Z$27:$AM$86,14,FALSE)</f>
        <v>0</v>
      </c>
      <c r="V671">
        <v>2017</v>
      </c>
      <c r="W671" t="str">
        <f>VLOOKUP(D671,'Table corresp.'!$M$4:$S$63,7,FALSE)</f>
        <v>Consommation finale</v>
      </c>
      <c r="X671" s="167">
        <f>IFERROR(G671/SUMIFS('Comp2016-2017 (3)'!$I$5:$I$289,'Comp2016-2017 (3)'!$A$5:$A$289,A671,'Comp2016-2017 (3)'!$R$5:$R$289,V671),0)</f>
        <v>1</v>
      </c>
      <c r="Y671" s="190">
        <f>IFERROR(IF(RIGHT(F671,3)="Exp",VLOOKUP(F671,#REF!,2,FALSE),VLOOKUP(F671,#REF!,9,FALSE)),1)</f>
        <v>1</v>
      </c>
      <c r="Z671" s="167">
        <f t="shared" si="73"/>
        <v>1</v>
      </c>
      <c r="AA671" s="189">
        <f t="shared" si="76"/>
        <v>1</v>
      </c>
      <c r="AB671" s="2">
        <f>IFERROR(SUMIFS('Comp2016-2017 (3)'!$G$5:$G$289,'Comp2016-2017 (3)'!$A$5:$A$289,A671,'Comp2016-2017 (3)'!$R$5:$R$289,V671)*AA671/SUMIFS($AA$4:$AA$1116,$A$4:$A$1116,A671,$V$4:$V$1116,V671),0)</f>
        <v>337325.02746290388</v>
      </c>
      <c r="AC671" s="2" t="str">
        <f>IF($W671=AC$3,$AB671,IF(NOT($W671=0),"",SUMIFS('Val-Vol (2)'!AC$4:AC$1116,'Val-Vol (2)'!$A$4:$A$1116,$D671,'Val-Vol (2)'!$V$4:$V$1116,$V671)/SUMIFS('Comp2016-2017 (3)'!$G$5:$G$289,'Comp2016-2017 (3)'!$A$5:$A$289,$D671,'Comp2016-2017 (3)'!$R$5:$R$289,$V671)*$AB671))</f>
        <v/>
      </c>
      <c r="AD671" s="2" t="str">
        <f>IF($W671=AD$3,$AB671,IF(NOT($W671=0),"",SUMIFS('Val-Vol (2)'!AD$4:AD$1116,'Val-Vol (2)'!$A$4:$A$1116,$D671,'Val-Vol (2)'!$V$4:$V$1116,$V671)/SUMIFS('Comp2016-2017 (3)'!$G$5:$G$289,'Comp2016-2017 (3)'!$A$5:$A$289,$D671,'Comp2016-2017 (3)'!$R$5:$R$289,$V671)*$AB671))</f>
        <v/>
      </c>
      <c r="AE671" s="2" t="str">
        <f>IF($W671=AE$3,$AB671,IF(NOT($W671=0),"",SUMIFS('Val-Vol (2)'!AE$4:AE$1116,'Val-Vol (2)'!$A$4:$A$1116,$D671,'Val-Vol (2)'!$V$4:$V$1116,$V671)/SUMIFS('Comp2016-2017 (3)'!$G$5:$G$289,'Comp2016-2017 (3)'!$A$5:$A$289,$D671,'Comp2016-2017 (3)'!$R$5:$R$289,$V671)*$AB671))</f>
        <v/>
      </c>
      <c r="AF671" s="2" t="str">
        <f>IF($W671=AF$3,$AB671,IF(NOT($W671=0),"",SUMIFS('Val-Vol (2)'!AF$4:AF$1116,'Val-Vol (2)'!$A$4:$A$1116,$D671,'Val-Vol (2)'!$V$4:$V$1116,$V671)/SUMIFS('Comp2016-2017 (3)'!$G$5:$G$289,'Comp2016-2017 (3)'!$A$5:$A$289,$D671,'Comp2016-2017 (3)'!$R$5:$R$289,$V671)*$AB671))</f>
        <v/>
      </c>
      <c r="AG671" s="2" t="str">
        <f>IF($W671=AG$3,$AB671,IF(NOT($W671=0),"",SUMIFS('Val-Vol (2)'!AG$4:AG$1116,'Val-Vol (2)'!$A$4:$A$1116,$D671,'Val-Vol (2)'!$V$4:$V$1116,$V671)/SUMIFS('Comp2016-2017 (3)'!$G$5:$G$289,'Comp2016-2017 (3)'!$A$5:$A$289,$D671,'Comp2016-2017 (3)'!$R$5:$R$289,$V671)*$AB671))</f>
        <v/>
      </c>
      <c r="AH671" s="2" t="str">
        <f>IF($W671=AH$3,$AB671,IF(NOT($W671=0),"",SUMIFS('Val-Vol (2)'!AH$4:AH$1116,'Val-Vol (2)'!$A$4:$A$1116,$D671,'Val-Vol (2)'!$V$4:$V$1116,$V671)/SUMIFS('Comp2016-2017 (3)'!$G$5:$G$289,'Comp2016-2017 (3)'!$A$5:$A$289,$D671,'Comp2016-2017 (3)'!$R$5:$R$289,$V671)*$AB671))</f>
        <v/>
      </c>
      <c r="AI671" s="2" t="str">
        <f>IF($W671=AI$3,$AB671,IF(NOT($W671=0),"",SUMIFS('Val-Vol (2)'!AI$4:AI$1116,'Val-Vol (2)'!$A$4:$A$1116,$D671,'Val-Vol (2)'!$V$4:$V$1116,$V671)/SUMIFS('Comp2016-2017 (3)'!$G$5:$G$289,'Comp2016-2017 (3)'!$A$5:$A$289,$D671,'Comp2016-2017 (3)'!$R$5:$R$289,$V671)*$AB671))</f>
        <v/>
      </c>
      <c r="AJ671" s="2">
        <f>IF($W671=AJ$3,$AB671,IF(NOT($W671=0),"",SUMIFS('Val-Vol (2)'!AJ$4:AJ$1116,'Val-Vol (2)'!$A$4:$A$1116,$D671,'Val-Vol (2)'!$V$4:$V$1116,$V671)/SUMIFS('Comp2016-2017 (3)'!$G$5:$G$289,'Comp2016-2017 (3)'!$A$5:$A$289,$D671,'Comp2016-2017 (3)'!$R$5:$R$289,$V671)*$AB671))</f>
        <v>337325.02746290388</v>
      </c>
      <c r="AK671" s="2">
        <f t="shared" si="72"/>
        <v>0</v>
      </c>
      <c r="AL671" t="str">
        <f t="shared" si="75"/>
        <v/>
      </c>
      <c r="AM671" t="str">
        <f>VLOOKUP(A671,'Table corresp.'!$M$4:$U$63,8,FALSE)</f>
        <v xml:space="preserve">Mise en œuvre </v>
      </c>
      <c r="AN671" t="str">
        <f>VLOOKUP(D671,'Table corresp.'!$M$4:$U$63,9,FALSE)</f>
        <v>Consommation finale française</v>
      </c>
    </row>
    <row r="672" spans="1:40" x14ac:dyDescent="0.25">
      <c r="A672" t="s">
        <v>26</v>
      </c>
      <c r="B672" t="str">
        <f>VLOOKUP(LEFT(A672,3),'Table corresp.'!$A$4:$D$63,3,FALSE)</f>
        <v>Transformation</v>
      </c>
      <c r="C672" t="str">
        <f>VLOOKUP(A672,'Table corresp.'!$M$4:$P$63,4,FALSE)</f>
        <v>Mise en oeuvre de produits bois</v>
      </c>
      <c r="D672" t="s">
        <v>54</v>
      </c>
      <c r="E672" t="str">
        <f>VLOOKUP(LEFT(D672,3),'Table corresp.'!$A$4:$D$63,4,FALSE)</f>
        <v>Consommation finale</v>
      </c>
      <c r="F672" t="str">
        <f t="shared" si="74"/>
        <v>59  - Con</v>
      </c>
      <c r="G672" s="3">
        <v>284368.16098526318</v>
      </c>
      <c r="H672" s="3">
        <v>0</v>
      </c>
      <c r="I672" s="3">
        <v>284368.17732564057</v>
      </c>
      <c r="J672" s="3">
        <v>215.71991941488494</v>
      </c>
      <c r="K672" s="3">
        <v>0</v>
      </c>
      <c r="L672" s="3">
        <v>215.71991941488494</v>
      </c>
      <c r="M672" s="3">
        <v>7.5905793388313345</v>
      </c>
      <c r="N672" s="3">
        <v>0</v>
      </c>
      <c r="O672" s="3">
        <v>7.5905793388313345</v>
      </c>
      <c r="P672" s="3">
        <v>3.6406826467311237</v>
      </c>
      <c r="Q672" s="3">
        <v>0</v>
      </c>
      <c r="R672" s="3">
        <v>3.6406826467311237</v>
      </c>
      <c r="S672" s="67" t="s">
        <v>192</v>
      </c>
      <c r="T672">
        <f>VLOOKUP(A672,'Groupe de branches'!$Z$27:$AM$86,14,FALSE)</f>
        <v>0</v>
      </c>
      <c r="U672">
        <f>VLOOKUP(D672,'Groupe de branches'!$Z$27:$AM$86,14,FALSE)</f>
        <v>0</v>
      </c>
      <c r="V672">
        <v>2017</v>
      </c>
      <c r="W672" t="str">
        <f>VLOOKUP(D672,'Table corresp.'!$M$4:$S$63,7,FALSE)</f>
        <v>Consommation finale</v>
      </c>
      <c r="X672" s="167">
        <f>IFERROR(G672/SUMIFS('Comp2016-2017 (3)'!$I$5:$I$289,'Comp2016-2017 (3)'!$A$5:$A$289,A672,'Comp2016-2017 (3)'!$R$5:$R$289,V672),0)</f>
        <v>1</v>
      </c>
      <c r="Y672" s="190">
        <f>IFERROR(IF(RIGHT(F672,3)="Exp",VLOOKUP(F672,#REF!,2,FALSE),VLOOKUP(F672,#REF!,9,FALSE)),1)</f>
        <v>1</v>
      </c>
      <c r="Z672" s="167">
        <f t="shared" si="73"/>
        <v>1</v>
      </c>
      <c r="AA672" s="189">
        <f t="shared" si="76"/>
        <v>1</v>
      </c>
      <c r="AB672" s="2">
        <f>IFERROR(SUMIFS('Comp2016-2017 (3)'!$G$5:$G$289,'Comp2016-2017 (3)'!$A$5:$A$289,A672,'Comp2016-2017 (3)'!$R$5:$R$289,V672)*AA672/SUMIFS($AA$4:$AA$1116,$A$4:$A$1116,A672,$V$4:$V$1116,V672),0)</f>
        <v>97552.347048635973</v>
      </c>
      <c r="AC672" s="2" t="str">
        <f>IF($W672=AC$3,$AB672,IF(NOT($W672=0),"",SUMIFS('Val-Vol (2)'!AC$4:AC$1116,'Val-Vol (2)'!$A$4:$A$1116,$D672,'Val-Vol (2)'!$V$4:$V$1116,$V672)/SUMIFS('Comp2016-2017 (3)'!$G$5:$G$289,'Comp2016-2017 (3)'!$A$5:$A$289,$D672,'Comp2016-2017 (3)'!$R$5:$R$289,$V672)*$AB672))</f>
        <v/>
      </c>
      <c r="AD672" s="2" t="str">
        <f>IF($W672=AD$3,$AB672,IF(NOT($W672=0),"",SUMIFS('Val-Vol (2)'!AD$4:AD$1116,'Val-Vol (2)'!$A$4:$A$1116,$D672,'Val-Vol (2)'!$V$4:$V$1116,$V672)/SUMIFS('Comp2016-2017 (3)'!$G$5:$G$289,'Comp2016-2017 (3)'!$A$5:$A$289,$D672,'Comp2016-2017 (3)'!$R$5:$R$289,$V672)*$AB672))</f>
        <v/>
      </c>
      <c r="AE672" s="2" t="str">
        <f>IF($W672=AE$3,$AB672,IF(NOT($W672=0),"",SUMIFS('Val-Vol (2)'!AE$4:AE$1116,'Val-Vol (2)'!$A$4:$A$1116,$D672,'Val-Vol (2)'!$V$4:$V$1116,$V672)/SUMIFS('Comp2016-2017 (3)'!$G$5:$G$289,'Comp2016-2017 (3)'!$A$5:$A$289,$D672,'Comp2016-2017 (3)'!$R$5:$R$289,$V672)*$AB672))</f>
        <v/>
      </c>
      <c r="AF672" s="2" t="str">
        <f>IF($W672=AF$3,$AB672,IF(NOT($W672=0),"",SUMIFS('Val-Vol (2)'!AF$4:AF$1116,'Val-Vol (2)'!$A$4:$A$1116,$D672,'Val-Vol (2)'!$V$4:$V$1116,$V672)/SUMIFS('Comp2016-2017 (3)'!$G$5:$G$289,'Comp2016-2017 (3)'!$A$5:$A$289,$D672,'Comp2016-2017 (3)'!$R$5:$R$289,$V672)*$AB672))</f>
        <v/>
      </c>
      <c r="AG672" s="2" t="str">
        <f>IF($W672=AG$3,$AB672,IF(NOT($W672=0),"",SUMIFS('Val-Vol (2)'!AG$4:AG$1116,'Val-Vol (2)'!$A$4:$A$1116,$D672,'Val-Vol (2)'!$V$4:$V$1116,$V672)/SUMIFS('Comp2016-2017 (3)'!$G$5:$G$289,'Comp2016-2017 (3)'!$A$5:$A$289,$D672,'Comp2016-2017 (3)'!$R$5:$R$289,$V672)*$AB672))</f>
        <v/>
      </c>
      <c r="AH672" s="2" t="str">
        <f>IF($W672=AH$3,$AB672,IF(NOT($W672=0),"",SUMIFS('Val-Vol (2)'!AH$4:AH$1116,'Val-Vol (2)'!$A$4:$A$1116,$D672,'Val-Vol (2)'!$V$4:$V$1116,$V672)/SUMIFS('Comp2016-2017 (3)'!$G$5:$G$289,'Comp2016-2017 (3)'!$A$5:$A$289,$D672,'Comp2016-2017 (3)'!$R$5:$R$289,$V672)*$AB672))</f>
        <v/>
      </c>
      <c r="AI672" s="2" t="str">
        <f>IF($W672=AI$3,$AB672,IF(NOT($W672=0),"",SUMIFS('Val-Vol (2)'!AI$4:AI$1116,'Val-Vol (2)'!$A$4:$A$1116,$D672,'Val-Vol (2)'!$V$4:$V$1116,$V672)/SUMIFS('Comp2016-2017 (3)'!$G$5:$G$289,'Comp2016-2017 (3)'!$A$5:$A$289,$D672,'Comp2016-2017 (3)'!$R$5:$R$289,$V672)*$AB672))</f>
        <v/>
      </c>
      <c r="AJ672" s="2">
        <f>IF($W672=AJ$3,$AB672,IF(NOT($W672=0),"",SUMIFS('Val-Vol (2)'!AJ$4:AJ$1116,'Val-Vol (2)'!$A$4:$A$1116,$D672,'Val-Vol (2)'!$V$4:$V$1116,$V672)/SUMIFS('Comp2016-2017 (3)'!$G$5:$G$289,'Comp2016-2017 (3)'!$A$5:$A$289,$D672,'Comp2016-2017 (3)'!$R$5:$R$289,$V672)*$AB672))</f>
        <v>97552.347048635973</v>
      </c>
      <c r="AK672" s="2">
        <f t="shared" si="72"/>
        <v>0</v>
      </c>
      <c r="AL672" t="str">
        <f t="shared" si="75"/>
        <v/>
      </c>
      <c r="AM672" t="str">
        <f>VLOOKUP(A672,'Table corresp.'!$M$4:$U$63,8,FALSE)</f>
        <v xml:space="preserve">Mise en œuvre </v>
      </c>
      <c r="AN672" t="str">
        <f>VLOOKUP(D672,'Table corresp.'!$M$4:$U$63,9,FALSE)</f>
        <v>Consommation finale française</v>
      </c>
    </row>
    <row r="673" spans="1:40" x14ac:dyDescent="0.25">
      <c r="A673" t="s">
        <v>27</v>
      </c>
      <c r="B673" t="str">
        <f>VLOOKUP(LEFT(A673,3),'Table corresp.'!$A$4:$D$63,3,FALSE)</f>
        <v>Transformation</v>
      </c>
      <c r="C673" t="str">
        <f>VLOOKUP(A673,'Table corresp.'!$M$4:$P$63,4,FALSE)</f>
        <v>Mise en oeuvre de produits bois</v>
      </c>
      <c r="D673" t="s">
        <v>54</v>
      </c>
      <c r="E673" t="str">
        <f>VLOOKUP(LEFT(D673,3),'Table corresp.'!$A$4:$D$63,4,FALSE)</f>
        <v>Consommation finale</v>
      </c>
      <c r="F673" t="str">
        <f t="shared" si="74"/>
        <v>60  - Con</v>
      </c>
      <c r="G673" s="3">
        <v>1553689</v>
      </c>
      <c r="H673" s="3">
        <v>0</v>
      </c>
      <c r="I673" s="3">
        <v>1553689</v>
      </c>
      <c r="J673" s="3">
        <v>0</v>
      </c>
      <c r="K673" s="3">
        <v>0</v>
      </c>
      <c r="L673" s="3">
        <v>0</v>
      </c>
      <c r="M673" s="3">
        <v>0</v>
      </c>
      <c r="N673" s="3">
        <v>0</v>
      </c>
      <c r="O673" s="3">
        <v>0</v>
      </c>
      <c r="P673" s="3">
        <v>0</v>
      </c>
      <c r="Q673" s="3">
        <v>0</v>
      </c>
      <c r="R673" s="3">
        <v>0</v>
      </c>
      <c r="S673" s="67"/>
      <c r="T673">
        <f>VLOOKUP(A673,'Groupe de branches'!$Z$27:$AM$86,14,FALSE)</f>
        <v>1</v>
      </c>
      <c r="U673">
        <f>VLOOKUP(D673,'Groupe de branches'!$Z$27:$AM$86,14,FALSE)</f>
        <v>0</v>
      </c>
      <c r="V673">
        <v>2017</v>
      </c>
      <c r="W673" t="str">
        <f>VLOOKUP(D673,'Table corresp.'!$M$4:$S$63,7,FALSE)</f>
        <v>Consommation finale</v>
      </c>
      <c r="X673" s="167">
        <f>IFERROR(G673/SUMIFS('Comp2016-2017 (3)'!$I$5:$I$289,'Comp2016-2017 (3)'!$A$5:$A$289,A673,'Comp2016-2017 (3)'!$R$5:$R$289,V673),0)</f>
        <v>1</v>
      </c>
      <c r="Y673" s="190">
        <f>IFERROR(IF(RIGHT(F673,3)="Exp",VLOOKUP(F673,#REF!,2,FALSE),VLOOKUP(F673,#REF!,9,FALSE)),1)</f>
        <v>1</v>
      </c>
      <c r="Z673" s="167">
        <f t="shared" si="73"/>
        <v>1</v>
      </c>
      <c r="AA673" s="189">
        <f t="shared" si="76"/>
        <v>1</v>
      </c>
      <c r="AB673" s="2">
        <f>IFERROR(SUMIFS('Comp2016-2017 (3)'!$G$5:$G$289,'Comp2016-2017 (3)'!$A$5:$A$289,A673,'Comp2016-2017 (3)'!$R$5:$R$289,V673)*AA673/SUMIFS($AA$4:$AA$1116,$A$4:$A$1116,A673,$V$4:$V$1116,V673),0)</f>
        <v>599114</v>
      </c>
      <c r="AC673" s="2" t="str">
        <f>IF($W673=AC$3,$AB673,IF(NOT($W673=0),"",SUMIFS('Val-Vol (2)'!AC$4:AC$1116,'Val-Vol (2)'!$A$4:$A$1116,$D673,'Val-Vol (2)'!$V$4:$V$1116,$V673)/SUMIFS('Comp2016-2017 (3)'!$G$5:$G$289,'Comp2016-2017 (3)'!$A$5:$A$289,$D673,'Comp2016-2017 (3)'!$R$5:$R$289,$V673)*$AB673))</f>
        <v/>
      </c>
      <c r="AD673" s="2" t="str">
        <f>IF($W673=AD$3,$AB673,IF(NOT($W673=0),"",SUMIFS('Val-Vol (2)'!AD$4:AD$1116,'Val-Vol (2)'!$A$4:$A$1116,$D673,'Val-Vol (2)'!$V$4:$V$1116,$V673)/SUMIFS('Comp2016-2017 (3)'!$G$5:$G$289,'Comp2016-2017 (3)'!$A$5:$A$289,$D673,'Comp2016-2017 (3)'!$R$5:$R$289,$V673)*$AB673))</f>
        <v/>
      </c>
      <c r="AE673" s="2" t="str">
        <f>IF($W673=AE$3,$AB673,IF(NOT($W673=0),"",SUMIFS('Val-Vol (2)'!AE$4:AE$1116,'Val-Vol (2)'!$A$4:$A$1116,$D673,'Val-Vol (2)'!$V$4:$V$1116,$V673)/SUMIFS('Comp2016-2017 (3)'!$G$5:$G$289,'Comp2016-2017 (3)'!$A$5:$A$289,$D673,'Comp2016-2017 (3)'!$R$5:$R$289,$V673)*$AB673))</f>
        <v/>
      </c>
      <c r="AF673" s="2" t="str">
        <f>IF($W673=AF$3,$AB673,IF(NOT($W673=0),"",SUMIFS('Val-Vol (2)'!AF$4:AF$1116,'Val-Vol (2)'!$A$4:$A$1116,$D673,'Val-Vol (2)'!$V$4:$V$1116,$V673)/SUMIFS('Comp2016-2017 (3)'!$G$5:$G$289,'Comp2016-2017 (3)'!$A$5:$A$289,$D673,'Comp2016-2017 (3)'!$R$5:$R$289,$V673)*$AB673))</f>
        <v/>
      </c>
      <c r="AG673" s="2" t="str">
        <f>IF($W673=AG$3,$AB673,IF(NOT($W673=0),"",SUMIFS('Val-Vol (2)'!AG$4:AG$1116,'Val-Vol (2)'!$A$4:$A$1116,$D673,'Val-Vol (2)'!$V$4:$V$1116,$V673)/SUMIFS('Comp2016-2017 (3)'!$G$5:$G$289,'Comp2016-2017 (3)'!$A$5:$A$289,$D673,'Comp2016-2017 (3)'!$R$5:$R$289,$V673)*$AB673))</f>
        <v/>
      </c>
      <c r="AH673" s="2" t="str">
        <f>IF($W673=AH$3,$AB673,IF(NOT($W673=0),"",SUMIFS('Val-Vol (2)'!AH$4:AH$1116,'Val-Vol (2)'!$A$4:$A$1116,$D673,'Val-Vol (2)'!$V$4:$V$1116,$V673)/SUMIFS('Comp2016-2017 (3)'!$G$5:$G$289,'Comp2016-2017 (3)'!$A$5:$A$289,$D673,'Comp2016-2017 (3)'!$R$5:$R$289,$V673)*$AB673))</f>
        <v/>
      </c>
      <c r="AI673" s="2" t="str">
        <f>IF($W673=AI$3,$AB673,IF(NOT($W673=0),"",SUMIFS('Val-Vol (2)'!AI$4:AI$1116,'Val-Vol (2)'!$A$4:$A$1116,$D673,'Val-Vol (2)'!$V$4:$V$1116,$V673)/SUMIFS('Comp2016-2017 (3)'!$G$5:$G$289,'Comp2016-2017 (3)'!$A$5:$A$289,$D673,'Comp2016-2017 (3)'!$R$5:$R$289,$V673)*$AB673))</f>
        <v/>
      </c>
      <c r="AJ673" s="2">
        <f>IF($W673=AJ$3,$AB673,IF(NOT($W673=0),"",SUMIFS('Val-Vol (2)'!AJ$4:AJ$1116,'Val-Vol (2)'!$A$4:$A$1116,$D673,'Val-Vol (2)'!$V$4:$V$1116,$V673)/SUMIFS('Comp2016-2017 (3)'!$G$5:$G$289,'Comp2016-2017 (3)'!$A$5:$A$289,$D673,'Comp2016-2017 (3)'!$R$5:$R$289,$V673)*$AB673))</f>
        <v>599114</v>
      </c>
      <c r="AK673" s="2">
        <f t="shared" si="72"/>
        <v>0</v>
      </c>
      <c r="AL673" t="str">
        <f t="shared" si="75"/>
        <v/>
      </c>
      <c r="AM673" t="str">
        <f>VLOOKUP(A673,'Table corresp.'!$M$4:$U$63,8,FALSE)</f>
        <v xml:space="preserve">Mise en œuvre </v>
      </c>
      <c r="AN673" t="str">
        <f>VLOOKUP(D673,'Table corresp.'!$M$4:$U$63,9,FALSE)</f>
        <v>Consommation finale française</v>
      </c>
    </row>
    <row r="674" spans="1:40" x14ac:dyDescent="0.25">
      <c r="A674" t="s">
        <v>104</v>
      </c>
      <c r="B674" t="str">
        <f>VLOOKUP(LEFT(A674,3),'Table corresp.'!$A$4:$D$63,3,FALSE)</f>
        <v>Transformation</v>
      </c>
      <c r="C674" t="str">
        <f>VLOOKUP(A674,'Table corresp.'!$M$4:$P$63,4,FALSE)</f>
        <v>Commerces et services</v>
      </c>
      <c r="D674" t="s">
        <v>19</v>
      </c>
      <c r="E674" t="str">
        <f>VLOOKUP(LEFT(D674,3),'Table corresp.'!$A$4:$D$63,4,FALSE)</f>
        <v>Transformation</v>
      </c>
      <c r="F674" t="str">
        <f t="shared" si="74"/>
        <v xml:space="preserve">61  - 52 </v>
      </c>
      <c r="G674" s="3">
        <v>54501.918768552023</v>
      </c>
      <c r="H674" s="3">
        <v>0</v>
      </c>
      <c r="I674" s="3">
        <v>54501.918857300741</v>
      </c>
      <c r="J674" s="3">
        <v>0</v>
      </c>
      <c r="K674" s="3">
        <v>0</v>
      </c>
      <c r="L674" s="3">
        <v>0</v>
      </c>
      <c r="M674" s="3">
        <v>0</v>
      </c>
      <c r="N674" s="3">
        <v>0</v>
      </c>
      <c r="O674" s="3">
        <v>0</v>
      </c>
      <c r="P674" s="3">
        <v>0</v>
      </c>
      <c r="Q674" s="3">
        <v>0</v>
      </c>
      <c r="R674" s="3">
        <v>0</v>
      </c>
      <c r="S674" s="67"/>
      <c r="T674">
        <f>VLOOKUP(A674,'Groupe de branches'!$Z$27:$AM$86,14,FALSE)</f>
        <v>0</v>
      </c>
      <c r="U674">
        <f>VLOOKUP(D674,'Groupe de branches'!$Z$27:$AM$86,14,FALSE)</f>
        <v>0</v>
      </c>
      <c r="V674">
        <v>2017</v>
      </c>
      <c r="W674" t="str">
        <f>VLOOKUP(D674,'Table corresp.'!$M$4:$S$63,7,FALSE)</f>
        <v>Construction</v>
      </c>
      <c r="X674" s="167">
        <f>IFERROR(G674/SUMIFS('Comp2016-2017 (3)'!$I$5:$I$289,'Comp2016-2017 (3)'!$A$5:$A$289,A674,'Comp2016-2017 (3)'!$R$5:$R$289,V674),0)</f>
        <v>3.4294442959590568E-2</v>
      </c>
      <c r="Y674" s="190">
        <f>IFERROR(IF(RIGHT(F674,3)="Exp",VLOOKUP(F674,#REF!,2,FALSE),VLOOKUP(F674,#REF!,9,FALSE)),1)</f>
        <v>1</v>
      </c>
      <c r="Z674" s="167">
        <f t="shared" si="73"/>
        <v>0.1111111111111111</v>
      </c>
      <c r="AA674" s="189">
        <f t="shared" si="76"/>
        <v>3.8104936621767295E-3</v>
      </c>
      <c r="AB674" s="2">
        <f>IFERROR(SUMIFS('Comp2016-2017 (3)'!$G$5:$G$289,'Comp2016-2017 (3)'!$A$5:$A$289,A674,'Comp2016-2017 (3)'!$R$5:$R$289,V674)*AA674/SUMIFS($AA$4:$AA$1116,$A$4:$A$1116,A674,$V$4:$V$1116,V674),0)</f>
        <v>54501.918768552045</v>
      </c>
      <c r="AC674" s="2" t="str">
        <f>IF($W674=AC$3,$AB674,IF(NOT($W674=0),"",SUMIFS('Val-Vol (2)'!AC$4:AC$1116,'Val-Vol (2)'!$A$4:$A$1116,$D674,'Val-Vol (2)'!$V$4:$V$1116,$V674)/SUMIFS('Comp2016-2017 (3)'!$G$5:$G$289,'Comp2016-2017 (3)'!$A$5:$A$289,$D674,'Comp2016-2017 (3)'!$R$5:$R$289,$V674)*$AB674))</f>
        <v/>
      </c>
      <c r="AD674" s="2">
        <f>IF($W674=AD$3,$AB674,IF(NOT($W674=0),"",SUMIFS('Val-Vol (2)'!AD$4:AD$1116,'Val-Vol (2)'!$A$4:$A$1116,$D674,'Val-Vol (2)'!$V$4:$V$1116,$V674)/SUMIFS('Comp2016-2017 (3)'!$G$5:$G$289,'Comp2016-2017 (3)'!$A$5:$A$289,$D674,'Comp2016-2017 (3)'!$R$5:$R$289,$V674)*$AB674))</f>
        <v>54501.918768552045</v>
      </c>
      <c r="AE674" s="2" t="str">
        <f>IF($W674=AE$3,$AB674,IF(NOT($W674=0),"",SUMIFS('Val-Vol (2)'!AE$4:AE$1116,'Val-Vol (2)'!$A$4:$A$1116,$D674,'Val-Vol (2)'!$V$4:$V$1116,$V674)/SUMIFS('Comp2016-2017 (3)'!$G$5:$G$289,'Comp2016-2017 (3)'!$A$5:$A$289,$D674,'Comp2016-2017 (3)'!$R$5:$R$289,$V674)*$AB674))</f>
        <v/>
      </c>
      <c r="AF674" s="2" t="str">
        <f>IF($W674=AF$3,$AB674,IF(NOT($W674=0),"",SUMIFS('Val-Vol (2)'!AF$4:AF$1116,'Val-Vol (2)'!$A$4:$A$1116,$D674,'Val-Vol (2)'!$V$4:$V$1116,$V674)/SUMIFS('Comp2016-2017 (3)'!$G$5:$G$289,'Comp2016-2017 (3)'!$A$5:$A$289,$D674,'Comp2016-2017 (3)'!$R$5:$R$289,$V674)*$AB674))</f>
        <v/>
      </c>
      <c r="AG674" s="2" t="str">
        <f>IF($W674=AG$3,$AB674,IF(NOT($W674=0),"",SUMIFS('Val-Vol (2)'!AG$4:AG$1116,'Val-Vol (2)'!$A$4:$A$1116,$D674,'Val-Vol (2)'!$V$4:$V$1116,$V674)/SUMIFS('Comp2016-2017 (3)'!$G$5:$G$289,'Comp2016-2017 (3)'!$A$5:$A$289,$D674,'Comp2016-2017 (3)'!$R$5:$R$289,$V674)*$AB674))</f>
        <v/>
      </c>
      <c r="AH674" s="2" t="str">
        <f>IF($W674=AH$3,$AB674,IF(NOT($W674=0),"",SUMIFS('Val-Vol (2)'!AH$4:AH$1116,'Val-Vol (2)'!$A$4:$A$1116,$D674,'Val-Vol (2)'!$V$4:$V$1116,$V674)/SUMIFS('Comp2016-2017 (3)'!$G$5:$G$289,'Comp2016-2017 (3)'!$A$5:$A$289,$D674,'Comp2016-2017 (3)'!$R$5:$R$289,$V674)*$AB674))</f>
        <v/>
      </c>
      <c r="AI674" s="2" t="str">
        <f>IF($W674=AI$3,$AB674,IF(NOT($W674=0),"",SUMIFS('Val-Vol (2)'!AI$4:AI$1116,'Val-Vol (2)'!$A$4:$A$1116,$D674,'Val-Vol (2)'!$V$4:$V$1116,$V674)/SUMIFS('Comp2016-2017 (3)'!$G$5:$G$289,'Comp2016-2017 (3)'!$A$5:$A$289,$D674,'Comp2016-2017 (3)'!$R$5:$R$289,$V674)*$AB674))</f>
        <v/>
      </c>
      <c r="AJ674" s="2" t="str">
        <f>IF($W674=AJ$3,$AB674,IF(NOT($W674=0),"",SUMIFS('Val-Vol (2)'!AJ$4:AJ$1116,'Val-Vol (2)'!$A$4:$A$1116,$D674,'Val-Vol (2)'!$V$4:$V$1116,$V674)/SUMIFS('Comp2016-2017 (3)'!$G$5:$G$289,'Comp2016-2017 (3)'!$A$5:$A$289,$D674,'Comp2016-2017 (3)'!$R$5:$R$289,$V674)*$AB674))</f>
        <v/>
      </c>
      <c r="AK674" s="2">
        <f t="shared" si="72"/>
        <v>0</v>
      </c>
      <c r="AL674" t="str">
        <f t="shared" si="75"/>
        <v/>
      </c>
      <c r="AM674" t="str">
        <f>VLOOKUP(A674,'Table corresp.'!$M$4:$U$63,8,FALSE)</f>
        <v xml:space="preserve">Mise en œuvre </v>
      </c>
      <c r="AN674" t="str">
        <f>VLOOKUP(D674,'Table corresp.'!$M$4:$U$63,9,FALSE)</f>
        <v xml:space="preserve">Mise en œuvre </v>
      </c>
    </row>
    <row r="675" spans="1:40" x14ac:dyDescent="0.25">
      <c r="A675" t="s">
        <v>104</v>
      </c>
      <c r="B675" t="str">
        <f>VLOOKUP(LEFT(A675,3),'Table corresp.'!$A$4:$D$63,3,FALSE)</f>
        <v>Transformation</v>
      </c>
      <c r="C675" t="str">
        <f>VLOOKUP(A675,'Table corresp.'!$M$4:$P$63,4,FALSE)</f>
        <v>Commerces et services</v>
      </c>
      <c r="D675" t="s">
        <v>20</v>
      </c>
      <c r="E675" t="str">
        <f>VLOOKUP(LEFT(D675,3),'Table corresp.'!$A$4:$D$63,4,FALSE)</f>
        <v>Transformation</v>
      </c>
      <c r="F675" t="str">
        <f t="shared" si="74"/>
        <v xml:space="preserve">61  - 53 </v>
      </c>
      <c r="G675" s="3">
        <v>9995.5173704083008</v>
      </c>
      <c r="H675" s="3">
        <v>0</v>
      </c>
      <c r="I675" s="3">
        <v>9995.517386684598</v>
      </c>
      <c r="J675" s="3">
        <v>0</v>
      </c>
      <c r="K675" s="3">
        <v>0</v>
      </c>
      <c r="L675" s="3">
        <v>0</v>
      </c>
      <c r="M675" s="3">
        <v>0</v>
      </c>
      <c r="N675" s="3">
        <v>0</v>
      </c>
      <c r="O675" s="3">
        <v>0</v>
      </c>
      <c r="P675" s="3">
        <v>0</v>
      </c>
      <c r="Q675" s="3">
        <v>0</v>
      </c>
      <c r="R675" s="3">
        <v>0</v>
      </c>
      <c r="S675" s="67"/>
      <c r="T675">
        <f>VLOOKUP(A675,'Groupe de branches'!$Z$27:$AM$86,14,FALSE)</f>
        <v>0</v>
      </c>
      <c r="U675">
        <f>VLOOKUP(D675,'Groupe de branches'!$Z$27:$AM$86,14,FALSE)</f>
        <v>0</v>
      </c>
      <c r="V675">
        <v>2017</v>
      </c>
      <c r="W675" t="str">
        <f>VLOOKUP(D675,'Table corresp.'!$M$4:$S$63,7,FALSE)</f>
        <v>Construction</v>
      </c>
      <c r="X675" s="167">
        <f>IFERROR(G675/SUMIFS('Comp2016-2017 (3)'!$I$5:$I$289,'Comp2016-2017 (3)'!$A$5:$A$289,A675,'Comp2016-2017 (3)'!$R$5:$R$289,V675),0)</f>
        <v>6.2895161868843545E-3</v>
      </c>
      <c r="Y675" s="190">
        <f>IFERROR(IF(RIGHT(F675,3)="Exp",VLOOKUP(F675,#REF!,2,FALSE),VLOOKUP(F675,#REF!,9,FALSE)),1)</f>
        <v>1</v>
      </c>
      <c r="Z675" s="167">
        <f t="shared" ref="Z675:Z706" si="77">Y675/SUMIFS($Y$4:$Y$1116,$V$4:$V$1116,V675,$A$4:$A$1116,A675)</f>
        <v>0.1111111111111111</v>
      </c>
      <c r="AA675" s="189">
        <f t="shared" si="76"/>
        <v>6.9883513187603936E-4</v>
      </c>
      <c r="AB675" s="2">
        <f>IFERROR(SUMIFS('Comp2016-2017 (3)'!$G$5:$G$289,'Comp2016-2017 (3)'!$A$5:$A$289,A675,'Comp2016-2017 (3)'!$R$5:$R$289,V675)*AA675/SUMIFS($AA$4:$AA$1116,$A$4:$A$1116,A675,$V$4:$V$1116,V675),0)</f>
        <v>9995.5173704083027</v>
      </c>
      <c r="AC675" s="2" t="str">
        <f>IF($W675=AC$3,$AB675,IF(NOT($W675=0),"",SUMIFS('Val-Vol (2)'!AC$4:AC$1116,'Val-Vol (2)'!$A$4:$A$1116,$D675,'Val-Vol (2)'!$V$4:$V$1116,$V675)/SUMIFS('Comp2016-2017 (3)'!$G$5:$G$289,'Comp2016-2017 (3)'!$A$5:$A$289,$D675,'Comp2016-2017 (3)'!$R$5:$R$289,$V675)*$AB675))</f>
        <v/>
      </c>
      <c r="AD675" s="2">
        <f>IF($W675=AD$3,$AB675,IF(NOT($W675=0),"",SUMIFS('Val-Vol (2)'!AD$4:AD$1116,'Val-Vol (2)'!$A$4:$A$1116,$D675,'Val-Vol (2)'!$V$4:$V$1116,$V675)/SUMIFS('Comp2016-2017 (3)'!$G$5:$G$289,'Comp2016-2017 (3)'!$A$5:$A$289,$D675,'Comp2016-2017 (3)'!$R$5:$R$289,$V675)*$AB675))</f>
        <v>9995.5173704083027</v>
      </c>
      <c r="AE675" s="2" t="str">
        <f>IF($W675=AE$3,$AB675,IF(NOT($W675=0),"",SUMIFS('Val-Vol (2)'!AE$4:AE$1116,'Val-Vol (2)'!$A$4:$A$1116,$D675,'Val-Vol (2)'!$V$4:$V$1116,$V675)/SUMIFS('Comp2016-2017 (3)'!$G$5:$G$289,'Comp2016-2017 (3)'!$A$5:$A$289,$D675,'Comp2016-2017 (3)'!$R$5:$R$289,$V675)*$AB675))</f>
        <v/>
      </c>
      <c r="AF675" s="2" t="str">
        <f>IF($W675=AF$3,$AB675,IF(NOT($W675=0),"",SUMIFS('Val-Vol (2)'!AF$4:AF$1116,'Val-Vol (2)'!$A$4:$A$1116,$D675,'Val-Vol (2)'!$V$4:$V$1116,$V675)/SUMIFS('Comp2016-2017 (3)'!$G$5:$G$289,'Comp2016-2017 (3)'!$A$5:$A$289,$D675,'Comp2016-2017 (3)'!$R$5:$R$289,$V675)*$AB675))</f>
        <v/>
      </c>
      <c r="AG675" s="2" t="str">
        <f>IF($W675=AG$3,$AB675,IF(NOT($W675=0),"",SUMIFS('Val-Vol (2)'!AG$4:AG$1116,'Val-Vol (2)'!$A$4:$A$1116,$D675,'Val-Vol (2)'!$V$4:$V$1116,$V675)/SUMIFS('Comp2016-2017 (3)'!$G$5:$G$289,'Comp2016-2017 (3)'!$A$5:$A$289,$D675,'Comp2016-2017 (3)'!$R$5:$R$289,$V675)*$AB675))</f>
        <v/>
      </c>
      <c r="AH675" s="2" t="str">
        <f>IF($W675=AH$3,$AB675,IF(NOT($W675=0),"",SUMIFS('Val-Vol (2)'!AH$4:AH$1116,'Val-Vol (2)'!$A$4:$A$1116,$D675,'Val-Vol (2)'!$V$4:$V$1116,$V675)/SUMIFS('Comp2016-2017 (3)'!$G$5:$G$289,'Comp2016-2017 (3)'!$A$5:$A$289,$D675,'Comp2016-2017 (3)'!$R$5:$R$289,$V675)*$AB675))</f>
        <v/>
      </c>
      <c r="AI675" s="2" t="str">
        <f>IF($W675=AI$3,$AB675,IF(NOT($W675=0),"",SUMIFS('Val-Vol (2)'!AI$4:AI$1116,'Val-Vol (2)'!$A$4:$A$1116,$D675,'Val-Vol (2)'!$V$4:$V$1116,$V675)/SUMIFS('Comp2016-2017 (3)'!$G$5:$G$289,'Comp2016-2017 (3)'!$A$5:$A$289,$D675,'Comp2016-2017 (3)'!$R$5:$R$289,$V675)*$AB675))</f>
        <v/>
      </c>
      <c r="AJ675" s="2" t="str">
        <f>IF($W675=AJ$3,$AB675,IF(NOT($W675=0),"",SUMIFS('Val-Vol (2)'!AJ$4:AJ$1116,'Val-Vol (2)'!$A$4:$A$1116,$D675,'Val-Vol (2)'!$V$4:$V$1116,$V675)/SUMIFS('Comp2016-2017 (3)'!$G$5:$G$289,'Comp2016-2017 (3)'!$A$5:$A$289,$D675,'Comp2016-2017 (3)'!$R$5:$R$289,$V675)*$AB675))</f>
        <v/>
      </c>
      <c r="AK675" s="2">
        <f t="shared" si="72"/>
        <v>0</v>
      </c>
      <c r="AL675" t="str">
        <f t="shared" si="75"/>
        <v/>
      </c>
      <c r="AM675" t="str">
        <f>VLOOKUP(A675,'Table corresp.'!$M$4:$U$63,8,FALSE)</f>
        <v xml:space="preserve">Mise en œuvre </v>
      </c>
      <c r="AN675" t="str">
        <f>VLOOKUP(D675,'Table corresp.'!$M$4:$U$63,9,FALSE)</f>
        <v xml:space="preserve">Mise en œuvre </v>
      </c>
    </row>
    <row r="676" spans="1:40" x14ac:dyDescent="0.25">
      <c r="A676" t="s">
        <v>104</v>
      </c>
      <c r="B676" t="str">
        <f>VLOOKUP(LEFT(A676,3),'Table corresp.'!$A$4:$D$63,3,FALSE)</f>
        <v>Transformation</v>
      </c>
      <c r="C676" t="str">
        <f>VLOOKUP(A676,'Table corresp.'!$M$4:$P$63,4,FALSE)</f>
        <v>Commerces et services</v>
      </c>
      <c r="D676" t="s">
        <v>21</v>
      </c>
      <c r="E676" t="str">
        <f>VLOOKUP(LEFT(D676,3),'Table corresp.'!$A$4:$D$63,4,FALSE)</f>
        <v>Transformation</v>
      </c>
      <c r="F676" t="str">
        <f t="shared" si="74"/>
        <v xml:space="preserve">61  - 54 </v>
      </c>
      <c r="G676" s="3">
        <v>581728.56712217152</v>
      </c>
      <c r="H676" s="3">
        <v>0</v>
      </c>
      <c r="I676" s="3">
        <v>581728.56806943472</v>
      </c>
      <c r="J676" s="3">
        <v>0</v>
      </c>
      <c r="K676" s="3">
        <v>0</v>
      </c>
      <c r="L676" s="3">
        <v>0</v>
      </c>
      <c r="M676" s="3">
        <v>0</v>
      </c>
      <c r="N676" s="3">
        <v>0</v>
      </c>
      <c r="O676" s="3">
        <v>0</v>
      </c>
      <c r="P676" s="3">
        <v>0</v>
      </c>
      <c r="Q676" s="3">
        <v>0</v>
      </c>
      <c r="R676" s="3">
        <v>0</v>
      </c>
      <c r="S676" s="67"/>
      <c r="T676">
        <f>VLOOKUP(A676,'Groupe de branches'!$Z$27:$AM$86,14,FALSE)</f>
        <v>0</v>
      </c>
      <c r="U676">
        <f>VLOOKUP(D676,'Groupe de branches'!$Z$27:$AM$86,14,FALSE)</f>
        <v>0</v>
      </c>
      <c r="V676">
        <v>2017</v>
      </c>
      <c r="W676" t="str">
        <f>VLOOKUP(D676,'Table corresp.'!$M$4:$S$63,7,FALSE)</f>
        <v>Construction</v>
      </c>
      <c r="X676" s="167">
        <f>IFERROR(G676/SUMIFS('Comp2016-2017 (3)'!$I$5:$I$289,'Comp2016-2017 (3)'!$A$5:$A$289,A676,'Comp2016-2017 (3)'!$R$5:$R$289,V676),0)</f>
        <v>0.36604320754018999</v>
      </c>
      <c r="Y676" s="190">
        <f>IFERROR(IF(RIGHT(F676,3)="Exp",VLOOKUP(F676,#REF!,2,FALSE),VLOOKUP(F676,#REF!,9,FALSE)),1)</f>
        <v>1</v>
      </c>
      <c r="Z676" s="167">
        <f t="shared" si="77"/>
        <v>0.1111111111111111</v>
      </c>
      <c r="AA676" s="189">
        <f t="shared" si="76"/>
        <v>4.0671467504465549E-2</v>
      </c>
      <c r="AB676" s="2">
        <f>IFERROR(SUMIFS('Comp2016-2017 (3)'!$G$5:$G$289,'Comp2016-2017 (3)'!$A$5:$A$289,A676,'Comp2016-2017 (3)'!$R$5:$R$289,V676)*AA676/SUMIFS($AA$4:$AA$1116,$A$4:$A$1116,A676,$V$4:$V$1116,V676),0)</f>
        <v>581728.56712217163</v>
      </c>
      <c r="AC676" s="2" t="str">
        <f>IF($W676=AC$3,$AB676,IF(NOT($W676=0),"",SUMIFS('Val-Vol (2)'!AC$4:AC$1116,'Val-Vol (2)'!$A$4:$A$1116,$D676,'Val-Vol (2)'!$V$4:$V$1116,$V676)/SUMIFS('Comp2016-2017 (3)'!$G$5:$G$289,'Comp2016-2017 (3)'!$A$5:$A$289,$D676,'Comp2016-2017 (3)'!$R$5:$R$289,$V676)*$AB676))</f>
        <v/>
      </c>
      <c r="AD676" s="2">
        <f>IF($W676=AD$3,$AB676,IF(NOT($W676=0),"",SUMIFS('Val-Vol (2)'!AD$4:AD$1116,'Val-Vol (2)'!$A$4:$A$1116,$D676,'Val-Vol (2)'!$V$4:$V$1116,$V676)/SUMIFS('Comp2016-2017 (3)'!$G$5:$G$289,'Comp2016-2017 (3)'!$A$5:$A$289,$D676,'Comp2016-2017 (3)'!$R$5:$R$289,$V676)*$AB676))</f>
        <v>581728.56712217163</v>
      </c>
      <c r="AE676" s="2" t="str">
        <f>IF($W676=AE$3,$AB676,IF(NOT($W676=0),"",SUMIFS('Val-Vol (2)'!AE$4:AE$1116,'Val-Vol (2)'!$A$4:$A$1116,$D676,'Val-Vol (2)'!$V$4:$V$1116,$V676)/SUMIFS('Comp2016-2017 (3)'!$G$5:$G$289,'Comp2016-2017 (3)'!$A$5:$A$289,$D676,'Comp2016-2017 (3)'!$R$5:$R$289,$V676)*$AB676))</f>
        <v/>
      </c>
      <c r="AF676" s="2" t="str">
        <f>IF($W676=AF$3,$AB676,IF(NOT($W676=0),"",SUMIFS('Val-Vol (2)'!AF$4:AF$1116,'Val-Vol (2)'!$A$4:$A$1116,$D676,'Val-Vol (2)'!$V$4:$V$1116,$V676)/SUMIFS('Comp2016-2017 (3)'!$G$5:$G$289,'Comp2016-2017 (3)'!$A$5:$A$289,$D676,'Comp2016-2017 (3)'!$R$5:$R$289,$V676)*$AB676))</f>
        <v/>
      </c>
      <c r="AG676" s="2" t="str">
        <f>IF($W676=AG$3,$AB676,IF(NOT($W676=0),"",SUMIFS('Val-Vol (2)'!AG$4:AG$1116,'Val-Vol (2)'!$A$4:$A$1116,$D676,'Val-Vol (2)'!$V$4:$V$1116,$V676)/SUMIFS('Comp2016-2017 (3)'!$G$5:$G$289,'Comp2016-2017 (3)'!$A$5:$A$289,$D676,'Comp2016-2017 (3)'!$R$5:$R$289,$V676)*$AB676))</f>
        <v/>
      </c>
      <c r="AH676" s="2" t="str">
        <f>IF($W676=AH$3,$AB676,IF(NOT($W676=0),"",SUMIFS('Val-Vol (2)'!AH$4:AH$1116,'Val-Vol (2)'!$A$4:$A$1116,$D676,'Val-Vol (2)'!$V$4:$V$1116,$V676)/SUMIFS('Comp2016-2017 (3)'!$G$5:$G$289,'Comp2016-2017 (3)'!$A$5:$A$289,$D676,'Comp2016-2017 (3)'!$R$5:$R$289,$V676)*$AB676))</f>
        <v/>
      </c>
      <c r="AI676" s="2" t="str">
        <f>IF($W676=AI$3,$AB676,IF(NOT($W676=0),"",SUMIFS('Val-Vol (2)'!AI$4:AI$1116,'Val-Vol (2)'!$A$4:$A$1116,$D676,'Val-Vol (2)'!$V$4:$V$1116,$V676)/SUMIFS('Comp2016-2017 (3)'!$G$5:$G$289,'Comp2016-2017 (3)'!$A$5:$A$289,$D676,'Comp2016-2017 (3)'!$R$5:$R$289,$V676)*$AB676))</f>
        <v/>
      </c>
      <c r="AJ676" s="2" t="str">
        <f>IF($W676=AJ$3,$AB676,IF(NOT($W676=0),"",SUMIFS('Val-Vol (2)'!AJ$4:AJ$1116,'Val-Vol (2)'!$A$4:$A$1116,$D676,'Val-Vol (2)'!$V$4:$V$1116,$V676)/SUMIFS('Comp2016-2017 (3)'!$G$5:$G$289,'Comp2016-2017 (3)'!$A$5:$A$289,$D676,'Comp2016-2017 (3)'!$R$5:$R$289,$V676)*$AB676))</f>
        <v/>
      </c>
      <c r="AK676" s="2">
        <f t="shared" si="72"/>
        <v>0</v>
      </c>
      <c r="AL676" t="str">
        <f t="shared" si="75"/>
        <v/>
      </c>
      <c r="AM676" t="str">
        <f>VLOOKUP(A676,'Table corresp.'!$M$4:$U$63,8,FALSE)</f>
        <v xml:space="preserve">Mise en œuvre </v>
      </c>
      <c r="AN676" t="str">
        <f>VLOOKUP(D676,'Table corresp.'!$M$4:$U$63,9,FALSE)</f>
        <v xml:space="preserve">Mise en œuvre </v>
      </c>
    </row>
    <row r="677" spans="1:40" x14ac:dyDescent="0.25">
      <c r="A677" t="s">
        <v>104</v>
      </c>
      <c r="B677" t="str">
        <f>VLOOKUP(LEFT(A677,3),'Table corresp.'!$A$4:$D$63,3,FALSE)</f>
        <v>Transformation</v>
      </c>
      <c r="C677" t="str">
        <f>VLOOKUP(A677,'Table corresp.'!$M$4:$P$63,4,FALSE)</f>
        <v>Commerces et services</v>
      </c>
      <c r="D677" t="s">
        <v>22</v>
      </c>
      <c r="E677" t="str">
        <f>VLOOKUP(LEFT(D677,3),'Table corresp.'!$A$4:$D$63,4,FALSE)</f>
        <v>Transformation</v>
      </c>
      <c r="F677" t="str">
        <f t="shared" si="74"/>
        <v xml:space="preserve">61  - 55 </v>
      </c>
      <c r="G677" s="3">
        <v>135021.699086193</v>
      </c>
      <c r="H677" s="3">
        <v>0</v>
      </c>
      <c r="I677" s="3">
        <v>135021.69930605686</v>
      </c>
      <c r="J677" s="3">
        <v>0</v>
      </c>
      <c r="K677" s="3">
        <v>0</v>
      </c>
      <c r="L677" s="3">
        <v>0</v>
      </c>
      <c r="M677" s="3">
        <v>0</v>
      </c>
      <c r="N677" s="3">
        <v>0</v>
      </c>
      <c r="O677" s="3">
        <v>0</v>
      </c>
      <c r="P677" s="3">
        <v>0</v>
      </c>
      <c r="Q677" s="3">
        <v>0</v>
      </c>
      <c r="R677" s="3">
        <v>0</v>
      </c>
      <c r="S677" s="67"/>
      <c r="T677">
        <f>VLOOKUP(A677,'Groupe de branches'!$Z$27:$AM$86,14,FALSE)</f>
        <v>0</v>
      </c>
      <c r="U677">
        <f>VLOOKUP(D677,'Groupe de branches'!$Z$27:$AM$86,14,FALSE)</f>
        <v>0</v>
      </c>
      <c r="V677">
        <v>2017</v>
      </c>
      <c r="W677" t="str">
        <f>VLOOKUP(D677,'Table corresp.'!$M$4:$S$63,7,FALSE)</f>
        <v>Construction</v>
      </c>
      <c r="X677" s="167">
        <f>IFERROR(G677/SUMIFS('Comp2016-2017 (3)'!$I$5:$I$289,'Comp2016-2017 (3)'!$A$5:$A$289,A677,'Comp2016-2017 (3)'!$R$5:$R$289,V677),0)</f>
        <v>8.4960200709305558E-2</v>
      </c>
      <c r="Y677" s="190">
        <f>IFERROR(IF(RIGHT(F677,3)="Exp",VLOOKUP(F677,#REF!,2,FALSE),VLOOKUP(F677,#REF!,9,FALSE)),1)</f>
        <v>1</v>
      </c>
      <c r="Z677" s="167">
        <f t="shared" si="77"/>
        <v>0.1111111111111111</v>
      </c>
      <c r="AA677" s="189">
        <f t="shared" si="76"/>
        <v>9.4400223010339505E-3</v>
      </c>
      <c r="AB677" s="2">
        <f>IFERROR(SUMIFS('Comp2016-2017 (3)'!$G$5:$G$289,'Comp2016-2017 (3)'!$A$5:$A$289,A677,'Comp2016-2017 (3)'!$R$5:$R$289,V677)*AA677/SUMIFS($AA$4:$AA$1116,$A$4:$A$1116,A677,$V$4:$V$1116,V677),0)</f>
        <v>135021.69908619302</v>
      </c>
      <c r="AC677" s="2" t="str">
        <f>IF($W677=AC$3,$AB677,IF(NOT($W677=0),"",SUMIFS('Val-Vol (2)'!AC$4:AC$1116,'Val-Vol (2)'!$A$4:$A$1116,$D677,'Val-Vol (2)'!$V$4:$V$1116,$V677)/SUMIFS('Comp2016-2017 (3)'!$G$5:$G$289,'Comp2016-2017 (3)'!$A$5:$A$289,$D677,'Comp2016-2017 (3)'!$R$5:$R$289,$V677)*$AB677))</f>
        <v/>
      </c>
      <c r="AD677" s="2">
        <f>IF($W677=AD$3,$AB677,IF(NOT($W677=0),"",SUMIFS('Val-Vol (2)'!AD$4:AD$1116,'Val-Vol (2)'!$A$4:$A$1116,$D677,'Val-Vol (2)'!$V$4:$V$1116,$V677)/SUMIFS('Comp2016-2017 (3)'!$G$5:$G$289,'Comp2016-2017 (3)'!$A$5:$A$289,$D677,'Comp2016-2017 (3)'!$R$5:$R$289,$V677)*$AB677))</f>
        <v>135021.69908619302</v>
      </c>
      <c r="AE677" s="2" t="str">
        <f>IF($W677=AE$3,$AB677,IF(NOT($W677=0),"",SUMIFS('Val-Vol (2)'!AE$4:AE$1116,'Val-Vol (2)'!$A$4:$A$1116,$D677,'Val-Vol (2)'!$V$4:$V$1116,$V677)/SUMIFS('Comp2016-2017 (3)'!$G$5:$G$289,'Comp2016-2017 (3)'!$A$5:$A$289,$D677,'Comp2016-2017 (3)'!$R$5:$R$289,$V677)*$AB677))</f>
        <v/>
      </c>
      <c r="AF677" s="2" t="str">
        <f>IF($W677=AF$3,$AB677,IF(NOT($W677=0),"",SUMIFS('Val-Vol (2)'!AF$4:AF$1116,'Val-Vol (2)'!$A$4:$A$1116,$D677,'Val-Vol (2)'!$V$4:$V$1116,$V677)/SUMIFS('Comp2016-2017 (3)'!$G$5:$G$289,'Comp2016-2017 (3)'!$A$5:$A$289,$D677,'Comp2016-2017 (3)'!$R$5:$R$289,$V677)*$AB677))</f>
        <v/>
      </c>
      <c r="AG677" s="2" t="str">
        <f>IF($W677=AG$3,$AB677,IF(NOT($W677=0),"",SUMIFS('Val-Vol (2)'!AG$4:AG$1116,'Val-Vol (2)'!$A$4:$A$1116,$D677,'Val-Vol (2)'!$V$4:$V$1116,$V677)/SUMIFS('Comp2016-2017 (3)'!$G$5:$G$289,'Comp2016-2017 (3)'!$A$5:$A$289,$D677,'Comp2016-2017 (3)'!$R$5:$R$289,$V677)*$AB677))</f>
        <v/>
      </c>
      <c r="AH677" s="2" t="str">
        <f>IF($W677=AH$3,$AB677,IF(NOT($W677=0),"",SUMIFS('Val-Vol (2)'!AH$4:AH$1116,'Val-Vol (2)'!$A$4:$A$1116,$D677,'Val-Vol (2)'!$V$4:$V$1116,$V677)/SUMIFS('Comp2016-2017 (3)'!$G$5:$G$289,'Comp2016-2017 (3)'!$A$5:$A$289,$D677,'Comp2016-2017 (3)'!$R$5:$R$289,$V677)*$AB677))</f>
        <v/>
      </c>
      <c r="AI677" s="2" t="str">
        <f>IF($W677=AI$3,$AB677,IF(NOT($W677=0),"",SUMIFS('Val-Vol (2)'!AI$4:AI$1116,'Val-Vol (2)'!$A$4:$A$1116,$D677,'Val-Vol (2)'!$V$4:$V$1116,$V677)/SUMIFS('Comp2016-2017 (3)'!$G$5:$G$289,'Comp2016-2017 (3)'!$A$5:$A$289,$D677,'Comp2016-2017 (3)'!$R$5:$R$289,$V677)*$AB677))</f>
        <v/>
      </c>
      <c r="AJ677" s="2" t="str">
        <f>IF($W677=AJ$3,$AB677,IF(NOT($W677=0),"",SUMIFS('Val-Vol (2)'!AJ$4:AJ$1116,'Val-Vol (2)'!$A$4:$A$1116,$D677,'Val-Vol (2)'!$V$4:$V$1116,$V677)/SUMIFS('Comp2016-2017 (3)'!$G$5:$G$289,'Comp2016-2017 (3)'!$A$5:$A$289,$D677,'Comp2016-2017 (3)'!$R$5:$R$289,$V677)*$AB677))</f>
        <v/>
      </c>
      <c r="AK677" s="2">
        <f t="shared" si="72"/>
        <v>0</v>
      </c>
      <c r="AL677" t="str">
        <f t="shared" si="75"/>
        <v/>
      </c>
      <c r="AM677" t="str">
        <f>VLOOKUP(A677,'Table corresp.'!$M$4:$U$63,8,FALSE)</f>
        <v xml:space="preserve">Mise en œuvre </v>
      </c>
      <c r="AN677" t="str">
        <f>VLOOKUP(D677,'Table corresp.'!$M$4:$U$63,9,FALSE)</f>
        <v xml:space="preserve">Mise en œuvre </v>
      </c>
    </row>
    <row r="678" spans="1:40" x14ac:dyDescent="0.25">
      <c r="A678" t="s">
        <v>104</v>
      </c>
      <c r="B678" t="str">
        <f>VLOOKUP(LEFT(A678,3),'Table corresp.'!$A$4:$D$63,3,FALSE)</f>
        <v>Transformation</v>
      </c>
      <c r="C678" t="str">
        <f>VLOOKUP(A678,'Table corresp.'!$M$4:$P$63,4,FALSE)</f>
        <v>Commerces et services</v>
      </c>
      <c r="D678" t="s">
        <v>23</v>
      </c>
      <c r="E678" t="str">
        <f>VLOOKUP(LEFT(D678,3),'Table corresp.'!$A$4:$D$63,4,FALSE)</f>
        <v>Transformation</v>
      </c>
      <c r="F678" t="str">
        <f t="shared" si="74"/>
        <v xml:space="preserve">61  - 56 </v>
      </c>
      <c r="G678" s="3">
        <v>12858.324602747398</v>
      </c>
      <c r="H678" s="3">
        <v>0</v>
      </c>
      <c r="I678" s="3">
        <v>12858.324623685374</v>
      </c>
      <c r="J678" s="3">
        <v>0</v>
      </c>
      <c r="K678" s="3">
        <v>0</v>
      </c>
      <c r="L678" s="3">
        <v>0</v>
      </c>
      <c r="M678" s="3">
        <v>0</v>
      </c>
      <c r="N678" s="3">
        <v>0</v>
      </c>
      <c r="O678" s="3">
        <v>0</v>
      </c>
      <c r="P678" s="3">
        <v>0</v>
      </c>
      <c r="Q678" s="3">
        <v>0</v>
      </c>
      <c r="R678" s="3">
        <v>0</v>
      </c>
      <c r="S678" s="67"/>
      <c r="T678">
        <f>VLOOKUP(A678,'Groupe de branches'!$Z$27:$AM$86,14,FALSE)</f>
        <v>0</v>
      </c>
      <c r="U678">
        <f>VLOOKUP(D678,'Groupe de branches'!$Z$27:$AM$86,14,FALSE)</f>
        <v>0</v>
      </c>
      <c r="V678">
        <v>2017</v>
      </c>
      <c r="W678" t="str">
        <f>VLOOKUP(D678,'Table corresp.'!$M$4:$S$63,7,FALSE)</f>
        <v>Construction</v>
      </c>
      <c r="X678" s="167">
        <f>IFERROR(G678/SUMIFS('Comp2016-2017 (3)'!$I$5:$I$289,'Comp2016-2017 (3)'!$A$5:$A$289,A678,'Comp2016-2017 (3)'!$R$5:$R$289,V678),0)</f>
        <v>8.0908909192250831E-3</v>
      </c>
      <c r="Y678" s="190">
        <f>IFERROR(IF(RIGHT(F678,3)="Exp",VLOOKUP(F678,#REF!,2,FALSE),VLOOKUP(F678,#REF!,9,FALSE)),1)</f>
        <v>1</v>
      </c>
      <c r="Z678" s="167">
        <f t="shared" si="77"/>
        <v>0.1111111111111111</v>
      </c>
      <c r="AA678" s="189">
        <f t="shared" si="76"/>
        <v>8.9898787991389811E-4</v>
      </c>
      <c r="AB678" s="2">
        <f>IFERROR(SUMIFS('Comp2016-2017 (3)'!$G$5:$G$289,'Comp2016-2017 (3)'!$A$5:$A$289,A678,'Comp2016-2017 (3)'!$R$5:$R$289,V678)*AA678/SUMIFS($AA$4:$AA$1116,$A$4:$A$1116,A678,$V$4:$V$1116,V678),0)</f>
        <v>12858.324602747402</v>
      </c>
      <c r="AC678" s="2" t="str">
        <f>IF($W678=AC$3,$AB678,IF(NOT($W678=0),"",SUMIFS('Val-Vol (2)'!AC$4:AC$1116,'Val-Vol (2)'!$A$4:$A$1116,$D678,'Val-Vol (2)'!$V$4:$V$1116,$V678)/SUMIFS('Comp2016-2017 (3)'!$G$5:$G$289,'Comp2016-2017 (3)'!$A$5:$A$289,$D678,'Comp2016-2017 (3)'!$R$5:$R$289,$V678)*$AB678))</f>
        <v/>
      </c>
      <c r="AD678" s="2">
        <f>IF($W678=AD$3,$AB678,IF(NOT($W678=0),"",SUMIFS('Val-Vol (2)'!AD$4:AD$1116,'Val-Vol (2)'!$A$4:$A$1116,$D678,'Val-Vol (2)'!$V$4:$V$1116,$V678)/SUMIFS('Comp2016-2017 (3)'!$G$5:$G$289,'Comp2016-2017 (3)'!$A$5:$A$289,$D678,'Comp2016-2017 (3)'!$R$5:$R$289,$V678)*$AB678))</f>
        <v>12858.324602747402</v>
      </c>
      <c r="AE678" s="2" t="str">
        <f>IF($W678=AE$3,$AB678,IF(NOT($W678=0),"",SUMIFS('Val-Vol (2)'!AE$4:AE$1116,'Val-Vol (2)'!$A$4:$A$1116,$D678,'Val-Vol (2)'!$V$4:$V$1116,$V678)/SUMIFS('Comp2016-2017 (3)'!$G$5:$G$289,'Comp2016-2017 (3)'!$A$5:$A$289,$D678,'Comp2016-2017 (3)'!$R$5:$R$289,$V678)*$AB678))</f>
        <v/>
      </c>
      <c r="AF678" s="2" t="str">
        <f>IF($W678=AF$3,$AB678,IF(NOT($W678=0),"",SUMIFS('Val-Vol (2)'!AF$4:AF$1116,'Val-Vol (2)'!$A$4:$A$1116,$D678,'Val-Vol (2)'!$V$4:$V$1116,$V678)/SUMIFS('Comp2016-2017 (3)'!$G$5:$G$289,'Comp2016-2017 (3)'!$A$5:$A$289,$D678,'Comp2016-2017 (3)'!$R$5:$R$289,$V678)*$AB678))</f>
        <v/>
      </c>
      <c r="AG678" s="2" t="str">
        <f>IF($W678=AG$3,$AB678,IF(NOT($W678=0),"",SUMIFS('Val-Vol (2)'!AG$4:AG$1116,'Val-Vol (2)'!$A$4:$A$1116,$D678,'Val-Vol (2)'!$V$4:$V$1116,$V678)/SUMIFS('Comp2016-2017 (3)'!$G$5:$G$289,'Comp2016-2017 (3)'!$A$5:$A$289,$D678,'Comp2016-2017 (3)'!$R$5:$R$289,$V678)*$AB678))</f>
        <v/>
      </c>
      <c r="AH678" s="2" t="str">
        <f>IF($W678=AH$3,$AB678,IF(NOT($W678=0),"",SUMIFS('Val-Vol (2)'!AH$4:AH$1116,'Val-Vol (2)'!$A$4:$A$1116,$D678,'Val-Vol (2)'!$V$4:$V$1116,$V678)/SUMIFS('Comp2016-2017 (3)'!$G$5:$G$289,'Comp2016-2017 (3)'!$A$5:$A$289,$D678,'Comp2016-2017 (3)'!$R$5:$R$289,$V678)*$AB678))</f>
        <v/>
      </c>
      <c r="AI678" s="2" t="str">
        <f>IF($W678=AI$3,$AB678,IF(NOT($W678=0),"",SUMIFS('Val-Vol (2)'!AI$4:AI$1116,'Val-Vol (2)'!$A$4:$A$1116,$D678,'Val-Vol (2)'!$V$4:$V$1116,$V678)/SUMIFS('Comp2016-2017 (3)'!$G$5:$G$289,'Comp2016-2017 (3)'!$A$5:$A$289,$D678,'Comp2016-2017 (3)'!$R$5:$R$289,$V678)*$AB678))</f>
        <v/>
      </c>
      <c r="AJ678" s="2" t="str">
        <f>IF($W678=AJ$3,$AB678,IF(NOT($W678=0),"",SUMIFS('Val-Vol (2)'!AJ$4:AJ$1116,'Val-Vol (2)'!$A$4:$A$1116,$D678,'Val-Vol (2)'!$V$4:$V$1116,$V678)/SUMIFS('Comp2016-2017 (3)'!$G$5:$G$289,'Comp2016-2017 (3)'!$A$5:$A$289,$D678,'Comp2016-2017 (3)'!$R$5:$R$289,$V678)*$AB678))</f>
        <v/>
      </c>
      <c r="AK678" s="2">
        <f t="shared" si="72"/>
        <v>0</v>
      </c>
      <c r="AL678" t="str">
        <f t="shared" si="75"/>
        <v/>
      </c>
      <c r="AM678" t="str">
        <f>VLOOKUP(A678,'Table corresp.'!$M$4:$U$63,8,FALSE)</f>
        <v xml:space="preserve">Mise en œuvre </v>
      </c>
      <c r="AN678" t="str">
        <f>VLOOKUP(D678,'Table corresp.'!$M$4:$U$63,9,FALSE)</f>
        <v xml:space="preserve">Mise en œuvre </v>
      </c>
    </row>
    <row r="679" spans="1:40" x14ac:dyDescent="0.25">
      <c r="A679" t="s">
        <v>104</v>
      </c>
      <c r="B679" t="str">
        <f>VLOOKUP(LEFT(A679,3),'Table corresp.'!$A$4:$D$63,3,FALSE)</f>
        <v>Transformation</v>
      </c>
      <c r="C679" t="str">
        <f>VLOOKUP(A679,'Table corresp.'!$M$4:$P$63,4,FALSE)</f>
        <v>Commerces et services</v>
      </c>
      <c r="D679" t="s">
        <v>24</v>
      </c>
      <c r="E679" t="str">
        <f>VLOOKUP(LEFT(D679,3),'Table corresp.'!$A$4:$D$63,4,FALSE)</f>
        <v>Transformation</v>
      </c>
      <c r="F679" t="str">
        <f t="shared" si="74"/>
        <v xml:space="preserve">61  - 57 </v>
      </c>
      <c r="G679" s="3">
        <v>436454.65938735247</v>
      </c>
      <c r="H679" s="3">
        <v>0</v>
      </c>
      <c r="I679" s="3">
        <v>436454.66009805759</v>
      </c>
      <c r="J679" s="3">
        <v>0</v>
      </c>
      <c r="K679" s="3">
        <v>0</v>
      </c>
      <c r="L679" s="3">
        <v>0</v>
      </c>
      <c r="M679" s="3">
        <v>0</v>
      </c>
      <c r="N679" s="3">
        <v>0</v>
      </c>
      <c r="O679" s="3">
        <v>0</v>
      </c>
      <c r="P679" s="3">
        <v>0</v>
      </c>
      <c r="Q679" s="3">
        <v>0</v>
      </c>
      <c r="R679" s="3">
        <v>0</v>
      </c>
      <c r="S679" s="67"/>
      <c r="T679">
        <f>VLOOKUP(A679,'Groupe de branches'!$Z$27:$AM$86,14,FALSE)</f>
        <v>0</v>
      </c>
      <c r="U679">
        <f>VLOOKUP(D679,'Groupe de branches'!$Z$27:$AM$86,14,FALSE)</f>
        <v>0</v>
      </c>
      <c r="V679">
        <v>2017</v>
      </c>
      <c r="W679" t="str">
        <f>VLOOKUP(D679,'Table corresp.'!$M$4:$S$63,7,FALSE)</f>
        <v>Construction</v>
      </c>
      <c r="X679" s="167">
        <f>IFERROR(G679/SUMIFS('Comp2016-2017 (3)'!$I$5:$I$289,'Comp2016-2017 (3)'!$A$5:$A$289,A679,'Comp2016-2017 (3)'!$R$5:$R$289,V679),0)</f>
        <v>0.2746319718461675</v>
      </c>
      <c r="Y679" s="190">
        <f>IFERROR(IF(RIGHT(F679,3)="Exp",VLOOKUP(F679,#REF!,2,FALSE),VLOOKUP(F679,#REF!,9,FALSE)),1)</f>
        <v>1</v>
      </c>
      <c r="Z679" s="167">
        <f t="shared" si="77"/>
        <v>0.1111111111111111</v>
      </c>
      <c r="AA679" s="189">
        <f t="shared" si="76"/>
        <v>3.0514663538463053E-2</v>
      </c>
      <c r="AB679" s="2">
        <f>IFERROR(SUMIFS('Comp2016-2017 (3)'!$G$5:$G$289,'Comp2016-2017 (3)'!$A$5:$A$289,A679,'Comp2016-2017 (3)'!$R$5:$R$289,V679)*AA679/SUMIFS($AA$4:$AA$1116,$A$4:$A$1116,A679,$V$4:$V$1116,V679),0)</f>
        <v>436454.65938735253</v>
      </c>
      <c r="AC679" s="2" t="str">
        <f>IF($W679=AC$3,$AB679,IF(NOT($W679=0),"",SUMIFS('Val-Vol (2)'!AC$4:AC$1116,'Val-Vol (2)'!$A$4:$A$1116,$D679,'Val-Vol (2)'!$V$4:$V$1116,$V679)/SUMIFS('Comp2016-2017 (3)'!$G$5:$G$289,'Comp2016-2017 (3)'!$A$5:$A$289,$D679,'Comp2016-2017 (3)'!$R$5:$R$289,$V679)*$AB679))</f>
        <v/>
      </c>
      <c r="AD679" s="2">
        <f>IF($W679=AD$3,$AB679,IF(NOT($W679=0),"",SUMIFS('Val-Vol (2)'!AD$4:AD$1116,'Val-Vol (2)'!$A$4:$A$1116,$D679,'Val-Vol (2)'!$V$4:$V$1116,$V679)/SUMIFS('Comp2016-2017 (3)'!$G$5:$G$289,'Comp2016-2017 (3)'!$A$5:$A$289,$D679,'Comp2016-2017 (3)'!$R$5:$R$289,$V679)*$AB679))</f>
        <v>436454.65938735253</v>
      </c>
      <c r="AE679" s="2" t="str">
        <f>IF($W679=AE$3,$AB679,IF(NOT($W679=0),"",SUMIFS('Val-Vol (2)'!AE$4:AE$1116,'Val-Vol (2)'!$A$4:$A$1116,$D679,'Val-Vol (2)'!$V$4:$V$1116,$V679)/SUMIFS('Comp2016-2017 (3)'!$G$5:$G$289,'Comp2016-2017 (3)'!$A$5:$A$289,$D679,'Comp2016-2017 (3)'!$R$5:$R$289,$V679)*$AB679))</f>
        <v/>
      </c>
      <c r="AF679" s="2" t="str">
        <f>IF($W679=AF$3,$AB679,IF(NOT($W679=0),"",SUMIFS('Val-Vol (2)'!AF$4:AF$1116,'Val-Vol (2)'!$A$4:$A$1116,$D679,'Val-Vol (2)'!$V$4:$V$1116,$V679)/SUMIFS('Comp2016-2017 (3)'!$G$5:$G$289,'Comp2016-2017 (3)'!$A$5:$A$289,$D679,'Comp2016-2017 (3)'!$R$5:$R$289,$V679)*$AB679))</f>
        <v/>
      </c>
      <c r="AG679" s="2" t="str">
        <f>IF($W679=AG$3,$AB679,IF(NOT($W679=0),"",SUMIFS('Val-Vol (2)'!AG$4:AG$1116,'Val-Vol (2)'!$A$4:$A$1116,$D679,'Val-Vol (2)'!$V$4:$V$1116,$V679)/SUMIFS('Comp2016-2017 (3)'!$G$5:$G$289,'Comp2016-2017 (3)'!$A$5:$A$289,$D679,'Comp2016-2017 (3)'!$R$5:$R$289,$V679)*$AB679))</f>
        <v/>
      </c>
      <c r="AH679" s="2" t="str">
        <f>IF($W679=AH$3,$AB679,IF(NOT($W679=0),"",SUMIFS('Val-Vol (2)'!AH$4:AH$1116,'Val-Vol (2)'!$A$4:$A$1116,$D679,'Val-Vol (2)'!$V$4:$V$1116,$V679)/SUMIFS('Comp2016-2017 (3)'!$G$5:$G$289,'Comp2016-2017 (3)'!$A$5:$A$289,$D679,'Comp2016-2017 (3)'!$R$5:$R$289,$V679)*$AB679))</f>
        <v/>
      </c>
      <c r="AI679" s="2" t="str">
        <f>IF($W679=AI$3,$AB679,IF(NOT($W679=0),"",SUMIFS('Val-Vol (2)'!AI$4:AI$1116,'Val-Vol (2)'!$A$4:$A$1116,$D679,'Val-Vol (2)'!$V$4:$V$1116,$V679)/SUMIFS('Comp2016-2017 (3)'!$G$5:$G$289,'Comp2016-2017 (3)'!$A$5:$A$289,$D679,'Comp2016-2017 (3)'!$R$5:$R$289,$V679)*$AB679))</f>
        <v/>
      </c>
      <c r="AJ679" s="2" t="str">
        <f>IF($W679=AJ$3,$AB679,IF(NOT($W679=0),"",SUMIFS('Val-Vol (2)'!AJ$4:AJ$1116,'Val-Vol (2)'!$A$4:$A$1116,$D679,'Val-Vol (2)'!$V$4:$V$1116,$V679)/SUMIFS('Comp2016-2017 (3)'!$G$5:$G$289,'Comp2016-2017 (3)'!$A$5:$A$289,$D679,'Comp2016-2017 (3)'!$R$5:$R$289,$V679)*$AB679))</f>
        <v/>
      </c>
      <c r="AK679" s="2">
        <f t="shared" si="72"/>
        <v>0</v>
      </c>
      <c r="AL679" t="str">
        <f t="shared" si="75"/>
        <v/>
      </c>
      <c r="AM679" t="str">
        <f>VLOOKUP(A679,'Table corresp.'!$M$4:$U$63,8,FALSE)</f>
        <v xml:space="preserve">Mise en œuvre </v>
      </c>
      <c r="AN679" t="str">
        <f>VLOOKUP(D679,'Table corresp.'!$M$4:$U$63,9,FALSE)</f>
        <v xml:space="preserve">Mise en œuvre </v>
      </c>
    </row>
    <row r="680" spans="1:40" x14ac:dyDescent="0.25">
      <c r="A680" t="s">
        <v>104</v>
      </c>
      <c r="B680" t="str">
        <f>VLOOKUP(LEFT(A680,3),'Table corresp.'!$A$4:$D$63,3,FALSE)</f>
        <v>Transformation</v>
      </c>
      <c r="C680" t="str">
        <f>VLOOKUP(A680,'Table corresp.'!$M$4:$P$63,4,FALSE)</f>
        <v>Commerces et services</v>
      </c>
      <c r="D680" t="s">
        <v>25</v>
      </c>
      <c r="E680" t="str">
        <f>VLOOKUP(LEFT(D680,3),'Table corresp.'!$A$4:$D$63,4,FALSE)</f>
        <v>Transformation</v>
      </c>
      <c r="F680" t="str">
        <f t="shared" si="74"/>
        <v xml:space="preserve">61  - 58 </v>
      </c>
      <c r="G680" s="3">
        <v>37879.857190756309</v>
      </c>
      <c r="H680" s="3">
        <v>0</v>
      </c>
      <c r="I680" s="3">
        <v>37879.857252438342</v>
      </c>
      <c r="J680" s="3">
        <v>0</v>
      </c>
      <c r="K680" s="3">
        <v>0</v>
      </c>
      <c r="L680" s="3">
        <v>0</v>
      </c>
      <c r="M680" s="3">
        <v>0</v>
      </c>
      <c r="N680" s="3">
        <v>0</v>
      </c>
      <c r="O680" s="3">
        <v>0</v>
      </c>
      <c r="P680" s="3">
        <v>0</v>
      </c>
      <c r="Q680" s="3">
        <v>0</v>
      </c>
      <c r="R680" s="3">
        <v>0</v>
      </c>
      <c r="S680" s="67"/>
      <c r="T680">
        <f>VLOOKUP(A680,'Groupe de branches'!$Z$27:$AM$86,14,FALSE)</f>
        <v>0</v>
      </c>
      <c r="U680">
        <f>VLOOKUP(D680,'Groupe de branches'!$Z$27:$AM$86,14,FALSE)</f>
        <v>0</v>
      </c>
      <c r="V680">
        <v>2017</v>
      </c>
      <c r="W680" t="str">
        <f>VLOOKUP(D680,'Table corresp.'!$M$4:$S$63,7,FALSE)</f>
        <v>Construction</v>
      </c>
      <c r="X680" s="167">
        <f>IFERROR(G680/SUMIFS('Comp2016-2017 (3)'!$I$5:$I$289,'Comp2016-2017 (3)'!$A$5:$A$289,A680,'Comp2016-2017 (3)'!$R$5:$R$289,V680),0)</f>
        <v>2.3835281969841401E-2</v>
      </c>
      <c r="Y680" s="190">
        <f>IFERROR(IF(RIGHT(F680,3)="Exp",VLOOKUP(F680,#REF!,2,FALSE),VLOOKUP(F680,#REF!,9,FALSE)),1)</f>
        <v>1</v>
      </c>
      <c r="Z680" s="167">
        <f t="shared" si="77"/>
        <v>0.1111111111111111</v>
      </c>
      <c r="AA680" s="189">
        <f t="shared" si="76"/>
        <v>2.6483646633157112E-3</v>
      </c>
      <c r="AB680" s="2">
        <f>IFERROR(SUMIFS('Comp2016-2017 (3)'!$G$5:$G$289,'Comp2016-2017 (3)'!$A$5:$A$289,A680,'Comp2016-2017 (3)'!$R$5:$R$289,V680)*AA680/SUMIFS($AA$4:$AA$1116,$A$4:$A$1116,A680,$V$4:$V$1116,V680),0)</f>
        <v>37879.857190756316</v>
      </c>
      <c r="AC680" s="2" t="str">
        <f>IF($W680=AC$3,$AB680,IF(NOT($W680=0),"",SUMIFS('Val-Vol (2)'!AC$4:AC$1116,'Val-Vol (2)'!$A$4:$A$1116,$D680,'Val-Vol (2)'!$V$4:$V$1116,$V680)/SUMIFS('Comp2016-2017 (3)'!$G$5:$G$289,'Comp2016-2017 (3)'!$A$5:$A$289,$D680,'Comp2016-2017 (3)'!$R$5:$R$289,$V680)*$AB680))</f>
        <v/>
      </c>
      <c r="AD680" s="2">
        <f>IF($W680=AD$3,$AB680,IF(NOT($W680=0),"",SUMIFS('Val-Vol (2)'!AD$4:AD$1116,'Val-Vol (2)'!$A$4:$A$1116,$D680,'Val-Vol (2)'!$V$4:$V$1116,$V680)/SUMIFS('Comp2016-2017 (3)'!$G$5:$G$289,'Comp2016-2017 (3)'!$A$5:$A$289,$D680,'Comp2016-2017 (3)'!$R$5:$R$289,$V680)*$AB680))</f>
        <v>37879.857190756316</v>
      </c>
      <c r="AE680" s="2" t="str">
        <f>IF($W680=AE$3,$AB680,IF(NOT($W680=0),"",SUMIFS('Val-Vol (2)'!AE$4:AE$1116,'Val-Vol (2)'!$A$4:$A$1116,$D680,'Val-Vol (2)'!$V$4:$V$1116,$V680)/SUMIFS('Comp2016-2017 (3)'!$G$5:$G$289,'Comp2016-2017 (3)'!$A$5:$A$289,$D680,'Comp2016-2017 (3)'!$R$5:$R$289,$V680)*$AB680))</f>
        <v/>
      </c>
      <c r="AF680" s="2" t="str">
        <f>IF($W680=AF$3,$AB680,IF(NOT($W680=0),"",SUMIFS('Val-Vol (2)'!AF$4:AF$1116,'Val-Vol (2)'!$A$4:$A$1116,$D680,'Val-Vol (2)'!$V$4:$V$1116,$V680)/SUMIFS('Comp2016-2017 (3)'!$G$5:$G$289,'Comp2016-2017 (3)'!$A$5:$A$289,$D680,'Comp2016-2017 (3)'!$R$5:$R$289,$V680)*$AB680))</f>
        <v/>
      </c>
      <c r="AG680" s="2" t="str">
        <f>IF($W680=AG$3,$AB680,IF(NOT($W680=0),"",SUMIFS('Val-Vol (2)'!AG$4:AG$1116,'Val-Vol (2)'!$A$4:$A$1116,$D680,'Val-Vol (2)'!$V$4:$V$1116,$V680)/SUMIFS('Comp2016-2017 (3)'!$G$5:$G$289,'Comp2016-2017 (3)'!$A$5:$A$289,$D680,'Comp2016-2017 (3)'!$R$5:$R$289,$V680)*$AB680))</f>
        <v/>
      </c>
      <c r="AH680" s="2" t="str">
        <f>IF($W680=AH$3,$AB680,IF(NOT($W680=0),"",SUMIFS('Val-Vol (2)'!AH$4:AH$1116,'Val-Vol (2)'!$A$4:$A$1116,$D680,'Val-Vol (2)'!$V$4:$V$1116,$V680)/SUMIFS('Comp2016-2017 (3)'!$G$5:$G$289,'Comp2016-2017 (3)'!$A$5:$A$289,$D680,'Comp2016-2017 (3)'!$R$5:$R$289,$V680)*$AB680))</f>
        <v/>
      </c>
      <c r="AI680" s="2" t="str">
        <f>IF($W680=AI$3,$AB680,IF(NOT($W680=0),"",SUMIFS('Val-Vol (2)'!AI$4:AI$1116,'Val-Vol (2)'!$A$4:$A$1116,$D680,'Val-Vol (2)'!$V$4:$V$1116,$V680)/SUMIFS('Comp2016-2017 (3)'!$G$5:$G$289,'Comp2016-2017 (3)'!$A$5:$A$289,$D680,'Comp2016-2017 (3)'!$R$5:$R$289,$V680)*$AB680))</f>
        <v/>
      </c>
      <c r="AJ680" s="2" t="str">
        <f>IF($W680=AJ$3,$AB680,IF(NOT($W680=0),"",SUMIFS('Val-Vol (2)'!AJ$4:AJ$1116,'Val-Vol (2)'!$A$4:$A$1116,$D680,'Val-Vol (2)'!$V$4:$V$1116,$V680)/SUMIFS('Comp2016-2017 (3)'!$G$5:$G$289,'Comp2016-2017 (3)'!$A$5:$A$289,$D680,'Comp2016-2017 (3)'!$R$5:$R$289,$V680)*$AB680))</f>
        <v/>
      </c>
      <c r="AK680" s="2">
        <f t="shared" si="72"/>
        <v>0</v>
      </c>
      <c r="AL680" t="str">
        <f t="shared" si="75"/>
        <v/>
      </c>
      <c r="AM680" t="str">
        <f>VLOOKUP(A680,'Table corresp.'!$M$4:$U$63,8,FALSE)</f>
        <v xml:space="preserve">Mise en œuvre </v>
      </c>
      <c r="AN680" t="str">
        <f>VLOOKUP(D680,'Table corresp.'!$M$4:$U$63,9,FALSE)</f>
        <v xml:space="preserve">Mise en œuvre </v>
      </c>
    </row>
    <row r="681" spans="1:40" x14ac:dyDescent="0.25">
      <c r="A681" t="s">
        <v>104</v>
      </c>
      <c r="B681" t="str">
        <f>VLOOKUP(LEFT(A681,3),'Table corresp.'!$A$4:$D$63,3,FALSE)</f>
        <v>Transformation</v>
      </c>
      <c r="C681" t="str">
        <f>VLOOKUP(A681,'Table corresp.'!$M$4:$P$63,4,FALSE)</f>
        <v>Commerces et services</v>
      </c>
      <c r="D681" t="s">
        <v>26</v>
      </c>
      <c r="E681" t="str">
        <f>VLOOKUP(LEFT(D681,3),'Table corresp.'!$A$4:$D$63,4,FALSE)</f>
        <v>Transformation</v>
      </c>
      <c r="F681" t="str">
        <f t="shared" si="74"/>
        <v xml:space="preserve">61  - 59 </v>
      </c>
      <c r="G681" s="3">
        <v>8782.5321679547596</v>
      </c>
      <c r="H681" s="3">
        <v>0</v>
      </c>
      <c r="I681" s="3">
        <v>8782.5321822558799</v>
      </c>
      <c r="J681" s="3">
        <v>0</v>
      </c>
      <c r="K681" s="3">
        <v>0</v>
      </c>
      <c r="L681" s="3">
        <v>0</v>
      </c>
      <c r="M681" s="3">
        <v>0</v>
      </c>
      <c r="N681" s="3">
        <v>0</v>
      </c>
      <c r="O681" s="3">
        <v>0</v>
      </c>
      <c r="P681" s="3">
        <v>0</v>
      </c>
      <c r="Q681" s="3">
        <v>0</v>
      </c>
      <c r="R681" s="3">
        <v>0</v>
      </c>
      <c r="S681" s="67"/>
      <c r="T681">
        <f>VLOOKUP(A681,'Groupe de branches'!$Z$27:$AM$86,14,FALSE)</f>
        <v>0</v>
      </c>
      <c r="U681">
        <f>VLOOKUP(D681,'Groupe de branches'!$Z$27:$AM$86,14,FALSE)</f>
        <v>0</v>
      </c>
      <c r="V681">
        <v>2017</v>
      </c>
      <c r="W681" t="str">
        <f>VLOOKUP(D681,'Table corresp.'!$M$4:$S$63,7,FALSE)</f>
        <v>Construction</v>
      </c>
      <c r="X681" s="167">
        <f>IFERROR(G681/SUMIFS('Comp2016-2017 (3)'!$I$5:$I$289,'Comp2016-2017 (3)'!$A$5:$A$289,A681,'Comp2016-2017 (3)'!$R$5:$R$289,V681),0)</f>
        <v>5.5262650431397954E-3</v>
      </c>
      <c r="Y681" s="190">
        <f>IFERROR(IF(RIGHT(F681,3)="Exp",VLOOKUP(F681,#REF!,2,FALSE),VLOOKUP(F681,#REF!,9,FALSE)),1)</f>
        <v>1</v>
      </c>
      <c r="Z681" s="167">
        <f t="shared" si="77"/>
        <v>0.1111111111111111</v>
      </c>
      <c r="AA681" s="189">
        <f t="shared" si="76"/>
        <v>6.1402944923775505E-4</v>
      </c>
      <c r="AB681" s="2">
        <f>IFERROR(SUMIFS('Comp2016-2017 (3)'!$G$5:$G$289,'Comp2016-2017 (3)'!$A$5:$A$289,A681,'Comp2016-2017 (3)'!$R$5:$R$289,V681)*AA681/SUMIFS($AA$4:$AA$1116,$A$4:$A$1116,A681,$V$4:$V$1116,V681),0)</f>
        <v>8782.5321679547615</v>
      </c>
      <c r="AC681" s="2" t="str">
        <f>IF($W681=AC$3,$AB681,IF(NOT($W681=0),"",SUMIFS('Val-Vol (2)'!AC$4:AC$1116,'Val-Vol (2)'!$A$4:$A$1116,$D681,'Val-Vol (2)'!$V$4:$V$1116,$V681)/SUMIFS('Comp2016-2017 (3)'!$G$5:$G$289,'Comp2016-2017 (3)'!$A$5:$A$289,$D681,'Comp2016-2017 (3)'!$R$5:$R$289,$V681)*$AB681))</f>
        <v/>
      </c>
      <c r="AD681" s="2">
        <f>IF($W681=AD$3,$AB681,IF(NOT($W681=0),"",SUMIFS('Val-Vol (2)'!AD$4:AD$1116,'Val-Vol (2)'!$A$4:$A$1116,$D681,'Val-Vol (2)'!$V$4:$V$1116,$V681)/SUMIFS('Comp2016-2017 (3)'!$G$5:$G$289,'Comp2016-2017 (3)'!$A$5:$A$289,$D681,'Comp2016-2017 (3)'!$R$5:$R$289,$V681)*$AB681))</f>
        <v>8782.5321679547615</v>
      </c>
      <c r="AE681" s="2" t="str">
        <f>IF($W681=AE$3,$AB681,IF(NOT($W681=0),"",SUMIFS('Val-Vol (2)'!AE$4:AE$1116,'Val-Vol (2)'!$A$4:$A$1116,$D681,'Val-Vol (2)'!$V$4:$V$1116,$V681)/SUMIFS('Comp2016-2017 (3)'!$G$5:$G$289,'Comp2016-2017 (3)'!$A$5:$A$289,$D681,'Comp2016-2017 (3)'!$R$5:$R$289,$V681)*$AB681))</f>
        <v/>
      </c>
      <c r="AF681" s="2" t="str">
        <f>IF($W681=AF$3,$AB681,IF(NOT($W681=0),"",SUMIFS('Val-Vol (2)'!AF$4:AF$1116,'Val-Vol (2)'!$A$4:$A$1116,$D681,'Val-Vol (2)'!$V$4:$V$1116,$V681)/SUMIFS('Comp2016-2017 (3)'!$G$5:$G$289,'Comp2016-2017 (3)'!$A$5:$A$289,$D681,'Comp2016-2017 (3)'!$R$5:$R$289,$V681)*$AB681))</f>
        <v/>
      </c>
      <c r="AG681" s="2" t="str">
        <f>IF($W681=AG$3,$AB681,IF(NOT($W681=0),"",SUMIFS('Val-Vol (2)'!AG$4:AG$1116,'Val-Vol (2)'!$A$4:$A$1116,$D681,'Val-Vol (2)'!$V$4:$V$1116,$V681)/SUMIFS('Comp2016-2017 (3)'!$G$5:$G$289,'Comp2016-2017 (3)'!$A$5:$A$289,$D681,'Comp2016-2017 (3)'!$R$5:$R$289,$V681)*$AB681))</f>
        <v/>
      </c>
      <c r="AH681" s="2" t="str">
        <f>IF($W681=AH$3,$AB681,IF(NOT($W681=0),"",SUMIFS('Val-Vol (2)'!AH$4:AH$1116,'Val-Vol (2)'!$A$4:$A$1116,$D681,'Val-Vol (2)'!$V$4:$V$1116,$V681)/SUMIFS('Comp2016-2017 (3)'!$G$5:$G$289,'Comp2016-2017 (3)'!$A$5:$A$289,$D681,'Comp2016-2017 (3)'!$R$5:$R$289,$V681)*$AB681))</f>
        <v/>
      </c>
      <c r="AI681" s="2" t="str">
        <f>IF($W681=AI$3,$AB681,IF(NOT($W681=0),"",SUMIFS('Val-Vol (2)'!AI$4:AI$1116,'Val-Vol (2)'!$A$4:$A$1116,$D681,'Val-Vol (2)'!$V$4:$V$1116,$V681)/SUMIFS('Comp2016-2017 (3)'!$G$5:$G$289,'Comp2016-2017 (3)'!$A$5:$A$289,$D681,'Comp2016-2017 (3)'!$R$5:$R$289,$V681)*$AB681))</f>
        <v/>
      </c>
      <c r="AJ681" s="2" t="str">
        <f>IF($W681=AJ$3,$AB681,IF(NOT($W681=0),"",SUMIFS('Val-Vol (2)'!AJ$4:AJ$1116,'Val-Vol (2)'!$A$4:$A$1116,$D681,'Val-Vol (2)'!$V$4:$V$1116,$V681)/SUMIFS('Comp2016-2017 (3)'!$G$5:$G$289,'Comp2016-2017 (3)'!$A$5:$A$289,$D681,'Comp2016-2017 (3)'!$R$5:$R$289,$V681)*$AB681))</f>
        <v/>
      </c>
      <c r="AK681" s="2">
        <f t="shared" si="72"/>
        <v>0</v>
      </c>
      <c r="AL681" t="str">
        <f t="shared" si="75"/>
        <v/>
      </c>
      <c r="AM681" t="str">
        <f>VLOOKUP(A681,'Table corresp.'!$M$4:$U$63,8,FALSE)</f>
        <v xml:space="preserve">Mise en œuvre </v>
      </c>
      <c r="AN681" t="str">
        <f>VLOOKUP(D681,'Table corresp.'!$M$4:$U$63,9,FALSE)</f>
        <v xml:space="preserve">Mise en œuvre </v>
      </c>
    </row>
    <row r="682" spans="1:40" x14ac:dyDescent="0.25">
      <c r="A682" t="s">
        <v>104</v>
      </c>
      <c r="B682" t="str">
        <f>VLOOKUP(LEFT(A682,3),'Table corresp.'!$A$4:$D$63,3,FALSE)</f>
        <v>Transformation</v>
      </c>
      <c r="C682" t="str">
        <f>VLOOKUP(A682,'Table corresp.'!$M$4:$P$63,4,FALSE)</f>
        <v>Commerces et services</v>
      </c>
      <c r="D682" t="s">
        <v>54</v>
      </c>
      <c r="E682" t="str">
        <f>VLOOKUP(LEFT(D682,3),'Table corresp.'!$A$4:$D$63,4,FALSE)</f>
        <v>Consommation finale</v>
      </c>
      <c r="F682" t="str">
        <f t="shared" si="74"/>
        <v>61  - Con</v>
      </c>
      <c r="G682" s="3">
        <v>312011.62430386379</v>
      </c>
      <c r="H682" s="3">
        <v>0</v>
      </c>
      <c r="I682" s="3">
        <v>312011.62481193093</v>
      </c>
      <c r="J682" s="3">
        <v>0</v>
      </c>
      <c r="K682" s="3">
        <v>0</v>
      </c>
      <c r="L682" s="3">
        <v>0</v>
      </c>
      <c r="M682" s="3">
        <v>0</v>
      </c>
      <c r="N682" s="3">
        <v>0</v>
      </c>
      <c r="O682" s="3">
        <v>0</v>
      </c>
      <c r="P682" s="3">
        <v>0</v>
      </c>
      <c r="Q682" s="3">
        <v>0</v>
      </c>
      <c r="R682" s="3">
        <v>0</v>
      </c>
      <c r="S682" s="67"/>
      <c r="T682">
        <f>VLOOKUP(A682,'Groupe de branches'!$Z$27:$AM$86,14,FALSE)</f>
        <v>0</v>
      </c>
      <c r="U682">
        <f>VLOOKUP(D682,'Groupe de branches'!$Z$27:$AM$86,14,FALSE)</f>
        <v>0</v>
      </c>
      <c r="V682">
        <v>2017</v>
      </c>
      <c r="W682" t="str">
        <f>VLOOKUP(D682,'Table corresp.'!$M$4:$S$63,7,FALSE)</f>
        <v>Consommation finale</v>
      </c>
      <c r="X682" s="167">
        <f>IFERROR(G682/SUMIFS('Comp2016-2017 (3)'!$I$5:$I$289,'Comp2016-2017 (3)'!$A$5:$A$289,A682,'Comp2016-2017 (3)'!$R$5:$R$289,V682),0)</f>
        <v>0.19632822282565551</v>
      </c>
      <c r="Y682" s="190">
        <f>IFERROR(IF(RIGHT(F682,3)="Exp",VLOOKUP(F682,#REF!,2,FALSE),VLOOKUP(F682,#REF!,9,FALSE)),1)</f>
        <v>1</v>
      </c>
      <c r="Z682" s="167">
        <f t="shared" si="77"/>
        <v>0.1111111111111111</v>
      </c>
      <c r="AA682" s="189">
        <f t="shared" si="76"/>
        <v>2.181424698062839E-2</v>
      </c>
      <c r="AB682" s="2">
        <f>IFERROR(SUMIFS('Comp2016-2017 (3)'!$G$5:$G$289,'Comp2016-2017 (3)'!$A$5:$A$289,A682,'Comp2016-2017 (3)'!$R$5:$R$289,V682)*AA682/SUMIFS($AA$4:$AA$1116,$A$4:$A$1116,A682,$V$4:$V$1116,V682),0)</f>
        <v>312011.62430386385</v>
      </c>
      <c r="AC682" s="2" t="str">
        <f>IF($W682=AC$3,$AB682,IF(NOT($W682=0),"",SUMIFS('Val-Vol (2)'!AC$4:AC$1116,'Val-Vol (2)'!$A$4:$A$1116,$D682,'Val-Vol (2)'!$V$4:$V$1116,$V682)/SUMIFS('Comp2016-2017 (3)'!$G$5:$G$289,'Comp2016-2017 (3)'!$A$5:$A$289,$D682,'Comp2016-2017 (3)'!$R$5:$R$289,$V682)*$AB682))</f>
        <v/>
      </c>
      <c r="AD682" s="2" t="str">
        <f>IF($W682=AD$3,$AB682,IF(NOT($W682=0),"",SUMIFS('Val-Vol (2)'!AD$4:AD$1116,'Val-Vol (2)'!$A$4:$A$1116,$D682,'Val-Vol (2)'!$V$4:$V$1116,$V682)/SUMIFS('Comp2016-2017 (3)'!$G$5:$G$289,'Comp2016-2017 (3)'!$A$5:$A$289,$D682,'Comp2016-2017 (3)'!$R$5:$R$289,$V682)*$AB682))</f>
        <v/>
      </c>
      <c r="AE682" s="2" t="str">
        <f>IF($W682=AE$3,$AB682,IF(NOT($W682=0),"",SUMIFS('Val-Vol (2)'!AE$4:AE$1116,'Val-Vol (2)'!$A$4:$A$1116,$D682,'Val-Vol (2)'!$V$4:$V$1116,$V682)/SUMIFS('Comp2016-2017 (3)'!$G$5:$G$289,'Comp2016-2017 (3)'!$A$5:$A$289,$D682,'Comp2016-2017 (3)'!$R$5:$R$289,$V682)*$AB682))</f>
        <v/>
      </c>
      <c r="AF682" s="2" t="str">
        <f>IF($W682=AF$3,$AB682,IF(NOT($W682=0),"",SUMIFS('Val-Vol (2)'!AF$4:AF$1116,'Val-Vol (2)'!$A$4:$A$1116,$D682,'Val-Vol (2)'!$V$4:$V$1116,$V682)/SUMIFS('Comp2016-2017 (3)'!$G$5:$G$289,'Comp2016-2017 (3)'!$A$5:$A$289,$D682,'Comp2016-2017 (3)'!$R$5:$R$289,$V682)*$AB682))</f>
        <v/>
      </c>
      <c r="AG682" s="2" t="str">
        <f>IF($W682=AG$3,$AB682,IF(NOT($W682=0),"",SUMIFS('Val-Vol (2)'!AG$4:AG$1116,'Val-Vol (2)'!$A$4:$A$1116,$D682,'Val-Vol (2)'!$V$4:$V$1116,$V682)/SUMIFS('Comp2016-2017 (3)'!$G$5:$G$289,'Comp2016-2017 (3)'!$A$5:$A$289,$D682,'Comp2016-2017 (3)'!$R$5:$R$289,$V682)*$AB682))</f>
        <v/>
      </c>
      <c r="AH682" s="2" t="str">
        <f>IF($W682=AH$3,$AB682,IF(NOT($W682=0),"",SUMIFS('Val-Vol (2)'!AH$4:AH$1116,'Val-Vol (2)'!$A$4:$A$1116,$D682,'Val-Vol (2)'!$V$4:$V$1116,$V682)/SUMIFS('Comp2016-2017 (3)'!$G$5:$G$289,'Comp2016-2017 (3)'!$A$5:$A$289,$D682,'Comp2016-2017 (3)'!$R$5:$R$289,$V682)*$AB682))</f>
        <v/>
      </c>
      <c r="AI682" s="2" t="str">
        <f>IF($W682=AI$3,$AB682,IF(NOT($W682=0),"",SUMIFS('Val-Vol (2)'!AI$4:AI$1116,'Val-Vol (2)'!$A$4:$A$1116,$D682,'Val-Vol (2)'!$V$4:$V$1116,$V682)/SUMIFS('Comp2016-2017 (3)'!$G$5:$G$289,'Comp2016-2017 (3)'!$A$5:$A$289,$D682,'Comp2016-2017 (3)'!$R$5:$R$289,$V682)*$AB682))</f>
        <v/>
      </c>
      <c r="AJ682" s="2">
        <f>IF($W682=AJ$3,$AB682,IF(NOT($W682=0),"",SUMIFS('Val-Vol (2)'!AJ$4:AJ$1116,'Val-Vol (2)'!$A$4:$A$1116,$D682,'Val-Vol (2)'!$V$4:$V$1116,$V682)/SUMIFS('Comp2016-2017 (3)'!$G$5:$G$289,'Comp2016-2017 (3)'!$A$5:$A$289,$D682,'Comp2016-2017 (3)'!$R$5:$R$289,$V682)*$AB682))</f>
        <v>312011.62430386385</v>
      </c>
      <c r="AK682" s="2">
        <f t="shared" si="72"/>
        <v>0</v>
      </c>
      <c r="AL682" t="str">
        <f t="shared" si="75"/>
        <v/>
      </c>
      <c r="AM682" t="str">
        <f>VLOOKUP(A682,'Table corresp.'!$M$4:$U$63,8,FALSE)</f>
        <v xml:space="preserve">Mise en œuvre </v>
      </c>
      <c r="AN682" t="str">
        <f>VLOOKUP(D682,'Table corresp.'!$M$4:$U$63,9,FALSE)</f>
        <v>Consommation finale française</v>
      </c>
    </row>
    <row r="683" spans="1:40" x14ac:dyDescent="0.25">
      <c r="A683" t="s">
        <v>105</v>
      </c>
      <c r="B683" t="str">
        <f>VLOOKUP(LEFT(A683,3),'Table corresp.'!$A$4:$D$63,3,FALSE)</f>
        <v>Transformation</v>
      </c>
      <c r="C683" t="str">
        <f>VLOOKUP(A683,'Table corresp.'!$M$4:$P$63,4,FALSE)</f>
        <v>Commerces et services</v>
      </c>
      <c r="D683" t="s">
        <v>19</v>
      </c>
      <c r="E683" t="str">
        <f>VLOOKUP(LEFT(D683,3),'Table corresp.'!$A$4:$D$63,4,FALSE)</f>
        <v>Transformation</v>
      </c>
      <c r="F683" t="str">
        <f t="shared" si="74"/>
        <v xml:space="preserve">62  - 52 </v>
      </c>
      <c r="G683" s="3">
        <v>8379.3584537412007</v>
      </c>
      <c r="H683" s="3">
        <v>0</v>
      </c>
      <c r="I683" s="3">
        <v>8379.358454277437</v>
      </c>
      <c r="J683" s="3">
        <v>0</v>
      </c>
      <c r="K683" s="3">
        <v>0</v>
      </c>
      <c r="L683" s="3">
        <v>0</v>
      </c>
      <c r="M683" s="3">
        <v>0</v>
      </c>
      <c r="N683" s="3">
        <v>0</v>
      </c>
      <c r="O683" s="3">
        <v>0</v>
      </c>
      <c r="P683" s="3">
        <v>0</v>
      </c>
      <c r="Q683" s="3">
        <v>0</v>
      </c>
      <c r="R683" s="3">
        <v>0</v>
      </c>
      <c r="S683" s="67"/>
      <c r="T683">
        <f>VLOOKUP(A683,'Groupe de branches'!$Z$27:$AM$86,14,FALSE)</f>
        <v>0</v>
      </c>
      <c r="U683">
        <f>VLOOKUP(D683,'Groupe de branches'!$Z$27:$AM$86,14,FALSE)</f>
        <v>0</v>
      </c>
      <c r="V683">
        <v>2017</v>
      </c>
      <c r="W683" t="str">
        <f>VLOOKUP(D683,'Table corresp.'!$M$4:$S$63,7,FALSE)</f>
        <v>Construction</v>
      </c>
      <c r="X683" s="167">
        <f>IFERROR(G683/SUMIFS('Comp2016-2017 (3)'!$I$5:$I$289,'Comp2016-2017 (3)'!$A$5:$A$289,A683,'Comp2016-2017 (3)'!$R$5:$R$289,V683),0)</f>
        <v>4.1711592796688703E-3</v>
      </c>
      <c r="Y683" s="190">
        <f>IFERROR(IF(RIGHT(F683,3)="Exp",VLOOKUP(F683,#REF!,2,FALSE),VLOOKUP(F683,#REF!,9,FALSE)),1)</f>
        <v>1</v>
      </c>
      <c r="Z683" s="167">
        <f t="shared" si="77"/>
        <v>0.1111111111111111</v>
      </c>
      <c r="AA683" s="189">
        <f t="shared" si="76"/>
        <v>4.6346214218543003E-4</v>
      </c>
      <c r="AB683" s="2">
        <f>IFERROR(SUMIFS('Comp2016-2017 (3)'!$G$5:$G$289,'Comp2016-2017 (3)'!$A$5:$A$289,A683,'Comp2016-2017 (3)'!$R$5:$R$289,V683)*AA683/SUMIFS($AA$4:$AA$1116,$A$4:$A$1116,A683,$V$4:$V$1116,V683),0)</f>
        <v>8379.3584537412007</v>
      </c>
      <c r="AC683" s="2" t="str">
        <f>IF($W683=AC$3,$AB683,IF(NOT($W683=0),"",SUMIFS('Val-Vol (2)'!AC$4:AC$1116,'Val-Vol (2)'!$A$4:$A$1116,$D683,'Val-Vol (2)'!$V$4:$V$1116,$V683)/SUMIFS('Comp2016-2017 (3)'!$G$5:$G$289,'Comp2016-2017 (3)'!$A$5:$A$289,$D683,'Comp2016-2017 (3)'!$R$5:$R$289,$V683)*$AB683))</f>
        <v/>
      </c>
      <c r="AD683" s="2">
        <f>IF($W683=AD$3,$AB683,IF(NOT($W683=0),"",SUMIFS('Val-Vol (2)'!AD$4:AD$1116,'Val-Vol (2)'!$A$4:$A$1116,$D683,'Val-Vol (2)'!$V$4:$V$1116,$V683)/SUMIFS('Comp2016-2017 (3)'!$G$5:$G$289,'Comp2016-2017 (3)'!$A$5:$A$289,$D683,'Comp2016-2017 (3)'!$R$5:$R$289,$V683)*$AB683))</f>
        <v>8379.3584537412007</v>
      </c>
      <c r="AE683" s="2" t="str">
        <f>IF($W683=AE$3,$AB683,IF(NOT($W683=0),"",SUMIFS('Val-Vol (2)'!AE$4:AE$1116,'Val-Vol (2)'!$A$4:$A$1116,$D683,'Val-Vol (2)'!$V$4:$V$1116,$V683)/SUMIFS('Comp2016-2017 (3)'!$G$5:$G$289,'Comp2016-2017 (3)'!$A$5:$A$289,$D683,'Comp2016-2017 (3)'!$R$5:$R$289,$V683)*$AB683))</f>
        <v/>
      </c>
      <c r="AF683" s="2" t="str">
        <f>IF($W683=AF$3,$AB683,IF(NOT($W683=0),"",SUMIFS('Val-Vol (2)'!AF$4:AF$1116,'Val-Vol (2)'!$A$4:$A$1116,$D683,'Val-Vol (2)'!$V$4:$V$1116,$V683)/SUMIFS('Comp2016-2017 (3)'!$G$5:$G$289,'Comp2016-2017 (3)'!$A$5:$A$289,$D683,'Comp2016-2017 (3)'!$R$5:$R$289,$V683)*$AB683))</f>
        <v/>
      </c>
      <c r="AG683" s="2" t="str">
        <f>IF($W683=AG$3,$AB683,IF(NOT($W683=0),"",SUMIFS('Val-Vol (2)'!AG$4:AG$1116,'Val-Vol (2)'!$A$4:$A$1116,$D683,'Val-Vol (2)'!$V$4:$V$1116,$V683)/SUMIFS('Comp2016-2017 (3)'!$G$5:$G$289,'Comp2016-2017 (3)'!$A$5:$A$289,$D683,'Comp2016-2017 (3)'!$R$5:$R$289,$V683)*$AB683))</f>
        <v/>
      </c>
      <c r="AH683" s="2" t="str">
        <f>IF($W683=AH$3,$AB683,IF(NOT($W683=0),"",SUMIFS('Val-Vol (2)'!AH$4:AH$1116,'Val-Vol (2)'!$A$4:$A$1116,$D683,'Val-Vol (2)'!$V$4:$V$1116,$V683)/SUMIFS('Comp2016-2017 (3)'!$G$5:$G$289,'Comp2016-2017 (3)'!$A$5:$A$289,$D683,'Comp2016-2017 (3)'!$R$5:$R$289,$V683)*$AB683))</f>
        <v/>
      </c>
      <c r="AI683" s="2" t="str">
        <f>IF($W683=AI$3,$AB683,IF(NOT($W683=0),"",SUMIFS('Val-Vol (2)'!AI$4:AI$1116,'Val-Vol (2)'!$A$4:$A$1116,$D683,'Val-Vol (2)'!$V$4:$V$1116,$V683)/SUMIFS('Comp2016-2017 (3)'!$G$5:$G$289,'Comp2016-2017 (3)'!$A$5:$A$289,$D683,'Comp2016-2017 (3)'!$R$5:$R$289,$V683)*$AB683))</f>
        <v/>
      </c>
      <c r="AJ683" s="2" t="str">
        <f>IF($W683=AJ$3,$AB683,IF(NOT($W683=0),"",SUMIFS('Val-Vol (2)'!AJ$4:AJ$1116,'Val-Vol (2)'!$A$4:$A$1116,$D683,'Val-Vol (2)'!$V$4:$V$1116,$V683)/SUMIFS('Comp2016-2017 (3)'!$G$5:$G$289,'Comp2016-2017 (3)'!$A$5:$A$289,$D683,'Comp2016-2017 (3)'!$R$5:$R$289,$V683)*$AB683))</f>
        <v/>
      </c>
      <c r="AK683" s="2">
        <f t="shared" si="72"/>
        <v>0</v>
      </c>
      <c r="AL683" t="str">
        <f t="shared" si="75"/>
        <v/>
      </c>
      <c r="AM683" t="str">
        <f>VLOOKUP(A683,'Table corresp.'!$M$4:$U$63,8,FALSE)</f>
        <v>Consommation finale française</v>
      </c>
      <c r="AN683" t="str">
        <f>VLOOKUP(D683,'Table corresp.'!$M$4:$U$63,9,FALSE)</f>
        <v xml:space="preserve">Mise en œuvre </v>
      </c>
    </row>
    <row r="684" spans="1:40" x14ac:dyDescent="0.25">
      <c r="A684" t="s">
        <v>105</v>
      </c>
      <c r="B684" t="str">
        <f>VLOOKUP(LEFT(A684,3),'Table corresp.'!$A$4:$D$63,3,FALSE)</f>
        <v>Transformation</v>
      </c>
      <c r="C684" t="str">
        <f>VLOOKUP(A684,'Table corresp.'!$M$4:$P$63,4,FALSE)</f>
        <v>Commerces et services</v>
      </c>
      <c r="D684" t="s">
        <v>20</v>
      </c>
      <c r="E684" t="str">
        <f>VLOOKUP(LEFT(D684,3),'Table corresp.'!$A$4:$D$63,4,FALSE)</f>
        <v>Transformation</v>
      </c>
      <c r="F684" t="str">
        <f t="shared" si="74"/>
        <v xml:space="preserve">62  - 53 </v>
      </c>
      <c r="G684" s="3">
        <v>1542.3869493195314</v>
      </c>
      <c r="H684" s="3">
        <v>0</v>
      </c>
      <c r="I684" s="3">
        <v>1542.3869494182366</v>
      </c>
      <c r="J684" s="3">
        <v>0</v>
      </c>
      <c r="K684" s="3">
        <v>0</v>
      </c>
      <c r="L684" s="3">
        <v>0</v>
      </c>
      <c r="M684" s="3">
        <v>0</v>
      </c>
      <c r="N684" s="3">
        <v>0</v>
      </c>
      <c r="O684" s="3">
        <v>0</v>
      </c>
      <c r="P684" s="3">
        <v>0</v>
      </c>
      <c r="Q684" s="3">
        <v>0</v>
      </c>
      <c r="R684" s="3">
        <v>0</v>
      </c>
      <c r="S684" s="67"/>
      <c r="T684">
        <f>VLOOKUP(A684,'Groupe de branches'!$Z$27:$AM$86,14,FALSE)</f>
        <v>0</v>
      </c>
      <c r="U684">
        <f>VLOOKUP(D684,'Groupe de branches'!$Z$27:$AM$86,14,FALSE)</f>
        <v>0</v>
      </c>
      <c r="V684">
        <v>2017</v>
      </c>
      <c r="W684" t="str">
        <f>VLOOKUP(D684,'Table corresp.'!$M$4:$S$63,7,FALSE)</f>
        <v>Construction</v>
      </c>
      <c r="X684" s="167">
        <f>IFERROR(G684/SUMIFS('Comp2016-2017 (3)'!$I$5:$I$289,'Comp2016-2017 (3)'!$A$5:$A$289,A684,'Comp2016-2017 (3)'!$R$5:$R$289,V684),0)</f>
        <v>7.6778451142902086E-4</v>
      </c>
      <c r="Y684" s="190">
        <f>IFERROR(IF(RIGHT(F684,3)="Exp",VLOOKUP(F684,#REF!,2,FALSE),VLOOKUP(F684,#REF!,9,FALSE)),1)</f>
        <v>1</v>
      </c>
      <c r="Z684" s="167">
        <f t="shared" si="77"/>
        <v>0.1111111111111111</v>
      </c>
      <c r="AA684" s="189">
        <f t="shared" si="76"/>
        <v>8.5309390158780086E-5</v>
      </c>
      <c r="AB684" s="2">
        <f>IFERROR(SUMIFS('Comp2016-2017 (3)'!$G$5:$G$289,'Comp2016-2017 (3)'!$A$5:$A$289,A684,'Comp2016-2017 (3)'!$R$5:$R$289,V684)*AA684/SUMIFS($AA$4:$AA$1116,$A$4:$A$1116,A684,$V$4:$V$1116,V684),0)</f>
        <v>1542.3869493195314</v>
      </c>
      <c r="AC684" s="2" t="str">
        <f>IF($W684=AC$3,$AB684,IF(NOT($W684=0),"",SUMIFS('Val-Vol (2)'!AC$4:AC$1116,'Val-Vol (2)'!$A$4:$A$1116,$D684,'Val-Vol (2)'!$V$4:$V$1116,$V684)/SUMIFS('Comp2016-2017 (3)'!$G$5:$G$289,'Comp2016-2017 (3)'!$A$5:$A$289,$D684,'Comp2016-2017 (3)'!$R$5:$R$289,$V684)*$AB684))</f>
        <v/>
      </c>
      <c r="AD684" s="2">
        <f>IF($W684=AD$3,$AB684,IF(NOT($W684=0),"",SUMIFS('Val-Vol (2)'!AD$4:AD$1116,'Val-Vol (2)'!$A$4:$A$1116,$D684,'Val-Vol (2)'!$V$4:$V$1116,$V684)/SUMIFS('Comp2016-2017 (3)'!$G$5:$G$289,'Comp2016-2017 (3)'!$A$5:$A$289,$D684,'Comp2016-2017 (3)'!$R$5:$R$289,$V684)*$AB684))</f>
        <v>1542.3869493195314</v>
      </c>
      <c r="AE684" s="2" t="str">
        <f>IF($W684=AE$3,$AB684,IF(NOT($W684=0),"",SUMIFS('Val-Vol (2)'!AE$4:AE$1116,'Val-Vol (2)'!$A$4:$A$1116,$D684,'Val-Vol (2)'!$V$4:$V$1116,$V684)/SUMIFS('Comp2016-2017 (3)'!$G$5:$G$289,'Comp2016-2017 (3)'!$A$5:$A$289,$D684,'Comp2016-2017 (3)'!$R$5:$R$289,$V684)*$AB684))</f>
        <v/>
      </c>
      <c r="AF684" s="2" t="str">
        <f>IF($W684=AF$3,$AB684,IF(NOT($W684=0),"",SUMIFS('Val-Vol (2)'!AF$4:AF$1116,'Val-Vol (2)'!$A$4:$A$1116,$D684,'Val-Vol (2)'!$V$4:$V$1116,$V684)/SUMIFS('Comp2016-2017 (3)'!$G$5:$G$289,'Comp2016-2017 (3)'!$A$5:$A$289,$D684,'Comp2016-2017 (3)'!$R$5:$R$289,$V684)*$AB684))</f>
        <v/>
      </c>
      <c r="AG684" s="2" t="str">
        <f>IF($W684=AG$3,$AB684,IF(NOT($W684=0),"",SUMIFS('Val-Vol (2)'!AG$4:AG$1116,'Val-Vol (2)'!$A$4:$A$1116,$D684,'Val-Vol (2)'!$V$4:$V$1116,$V684)/SUMIFS('Comp2016-2017 (3)'!$G$5:$G$289,'Comp2016-2017 (3)'!$A$5:$A$289,$D684,'Comp2016-2017 (3)'!$R$5:$R$289,$V684)*$AB684))</f>
        <v/>
      </c>
      <c r="AH684" s="2" t="str">
        <f>IF($W684=AH$3,$AB684,IF(NOT($W684=0),"",SUMIFS('Val-Vol (2)'!AH$4:AH$1116,'Val-Vol (2)'!$A$4:$A$1116,$D684,'Val-Vol (2)'!$V$4:$V$1116,$V684)/SUMIFS('Comp2016-2017 (3)'!$G$5:$G$289,'Comp2016-2017 (3)'!$A$5:$A$289,$D684,'Comp2016-2017 (3)'!$R$5:$R$289,$V684)*$AB684))</f>
        <v/>
      </c>
      <c r="AI684" s="2" t="str">
        <f>IF($W684=AI$3,$AB684,IF(NOT($W684=0),"",SUMIFS('Val-Vol (2)'!AI$4:AI$1116,'Val-Vol (2)'!$A$4:$A$1116,$D684,'Val-Vol (2)'!$V$4:$V$1116,$V684)/SUMIFS('Comp2016-2017 (3)'!$G$5:$G$289,'Comp2016-2017 (3)'!$A$5:$A$289,$D684,'Comp2016-2017 (3)'!$R$5:$R$289,$V684)*$AB684))</f>
        <v/>
      </c>
      <c r="AJ684" s="2" t="str">
        <f>IF($W684=AJ$3,$AB684,IF(NOT($W684=0),"",SUMIFS('Val-Vol (2)'!AJ$4:AJ$1116,'Val-Vol (2)'!$A$4:$A$1116,$D684,'Val-Vol (2)'!$V$4:$V$1116,$V684)/SUMIFS('Comp2016-2017 (3)'!$G$5:$G$289,'Comp2016-2017 (3)'!$A$5:$A$289,$D684,'Comp2016-2017 (3)'!$R$5:$R$289,$V684)*$AB684))</f>
        <v/>
      </c>
      <c r="AK684" s="2">
        <f t="shared" si="72"/>
        <v>0</v>
      </c>
      <c r="AL684" t="str">
        <f t="shared" si="75"/>
        <v/>
      </c>
      <c r="AM684" t="str">
        <f>VLOOKUP(A684,'Table corresp.'!$M$4:$U$63,8,FALSE)</f>
        <v>Consommation finale française</v>
      </c>
      <c r="AN684" t="str">
        <f>VLOOKUP(D684,'Table corresp.'!$M$4:$U$63,9,FALSE)</f>
        <v xml:space="preserve">Mise en œuvre </v>
      </c>
    </row>
    <row r="685" spans="1:40" x14ac:dyDescent="0.25">
      <c r="A685" t="s">
        <v>105</v>
      </c>
      <c r="B685" t="str">
        <f>VLOOKUP(LEFT(A685,3),'Table corresp.'!$A$4:$D$63,3,FALSE)</f>
        <v>Transformation</v>
      </c>
      <c r="C685" t="str">
        <f>VLOOKUP(A685,'Table corresp.'!$M$4:$P$63,4,FALSE)</f>
        <v>Commerces et services</v>
      </c>
      <c r="D685" t="s">
        <v>21</v>
      </c>
      <c r="E685" t="str">
        <f>VLOOKUP(LEFT(D685,3),'Table corresp.'!$A$4:$D$63,4,FALSE)</f>
        <v>Transformation</v>
      </c>
      <c r="F685" t="str">
        <f t="shared" si="74"/>
        <v xml:space="preserve">62  - 54 </v>
      </c>
      <c r="G685" s="3">
        <v>88403.18200028596</v>
      </c>
      <c r="H685" s="3">
        <v>0</v>
      </c>
      <c r="I685" s="3">
        <v>88403.182005943308</v>
      </c>
      <c r="J685" s="3">
        <v>0</v>
      </c>
      <c r="K685" s="3">
        <v>0</v>
      </c>
      <c r="L685" s="3">
        <v>0</v>
      </c>
      <c r="M685" s="3">
        <v>0</v>
      </c>
      <c r="N685" s="3">
        <v>0</v>
      </c>
      <c r="O685" s="3">
        <v>0</v>
      </c>
      <c r="P685" s="3">
        <v>0</v>
      </c>
      <c r="Q685" s="3">
        <v>0</v>
      </c>
      <c r="R685" s="3">
        <v>0</v>
      </c>
      <c r="S685" s="67"/>
      <c r="T685">
        <f>VLOOKUP(A685,'Groupe de branches'!$Z$27:$AM$86,14,FALSE)</f>
        <v>0</v>
      </c>
      <c r="U685">
        <f>VLOOKUP(D685,'Groupe de branches'!$Z$27:$AM$86,14,FALSE)</f>
        <v>0</v>
      </c>
      <c r="V685">
        <v>2017</v>
      </c>
      <c r="W685" t="str">
        <f>VLOOKUP(D685,'Table corresp.'!$M$4:$S$63,7,FALSE)</f>
        <v>Construction</v>
      </c>
      <c r="X685" s="167">
        <f>IFERROR(G685/SUMIFS('Comp2016-2017 (3)'!$I$5:$I$289,'Comp2016-2017 (3)'!$A$5:$A$289,A685,'Comp2016-2017 (3)'!$R$5:$R$289,V685),0)</f>
        <v>4.4006203456794811E-2</v>
      </c>
      <c r="Y685" s="190">
        <f>IFERROR(IF(RIGHT(F685,3)="Exp",VLOOKUP(F685,#REF!,2,FALSE),VLOOKUP(F685,#REF!,9,FALSE)),1)</f>
        <v>1</v>
      </c>
      <c r="Z685" s="167">
        <f t="shared" si="77"/>
        <v>0.1111111111111111</v>
      </c>
      <c r="AA685" s="189">
        <f t="shared" si="76"/>
        <v>4.8895781618660894E-3</v>
      </c>
      <c r="AB685" s="2">
        <f>IFERROR(SUMIFS('Comp2016-2017 (3)'!$G$5:$G$289,'Comp2016-2017 (3)'!$A$5:$A$289,A685,'Comp2016-2017 (3)'!$R$5:$R$289,V685)*AA685/SUMIFS($AA$4:$AA$1116,$A$4:$A$1116,A685,$V$4:$V$1116,V685),0)</f>
        <v>88403.18200028596</v>
      </c>
      <c r="AC685" s="2" t="str">
        <f>IF($W685=AC$3,$AB685,IF(NOT($W685=0),"",SUMIFS('Val-Vol (2)'!AC$4:AC$1116,'Val-Vol (2)'!$A$4:$A$1116,$D685,'Val-Vol (2)'!$V$4:$V$1116,$V685)/SUMIFS('Comp2016-2017 (3)'!$G$5:$G$289,'Comp2016-2017 (3)'!$A$5:$A$289,$D685,'Comp2016-2017 (3)'!$R$5:$R$289,$V685)*$AB685))</f>
        <v/>
      </c>
      <c r="AD685" s="2">
        <f>IF($W685=AD$3,$AB685,IF(NOT($W685=0),"",SUMIFS('Val-Vol (2)'!AD$4:AD$1116,'Val-Vol (2)'!$A$4:$A$1116,$D685,'Val-Vol (2)'!$V$4:$V$1116,$V685)/SUMIFS('Comp2016-2017 (3)'!$G$5:$G$289,'Comp2016-2017 (3)'!$A$5:$A$289,$D685,'Comp2016-2017 (3)'!$R$5:$R$289,$V685)*$AB685))</f>
        <v>88403.18200028596</v>
      </c>
      <c r="AE685" s="2" t="str">
        <f>IF($W685=AE$3,$AB685,IF(NOT($W685=0),"",SUMIFS('Val-Vol (2)'!AE$4:AE$1116,'Val-Vol (2)'!$A$4:$A$1116,$D685,'Val-Vol (2)'!$V$4:$V$1116,$V685)/SUMIFS('Comp2016-2017 (3)'!$G$5:$G$289,'Comp2016-2017 (3)'!$A$5:$A$289,$D685,'Comp2016-2017 (3)'!$R$5:$R$289,$V685)*$AB685))</f>
        <v/>
      </c>
      <c r="AF685" s="2" t="str">
        <f>IF($W685=AF$3,$AB685,IF(NOT($W685=0),"",SUMIFS('Val-Vol (2)'!AF$4:AF$1116,'Val-Vol (2)'!$A$4:$A$1116,$D685,'Val-Vol (2)'!$V$4:$V$1116,$V685)/SUMIFS('Comp2016-2017 (3)'!$G$5:$G$289,'Comp2016-2017 (3)'!$A$5:$A$289,$D685,'Comp2016-2017 (3)'!$R$5:$R$289,$V685)*$AB685))</f>
        <v/>
      </c>
      <c r="AG685" s="2" t="str">
        <f>IF($W685=AG$3,$AB685,IF(NOT($W685=0),"",SUMIFS('Val-Vol (2)'!AG$4:AG$1116,'Val-Vol (2)'!$A$4:$A$1116,$D685,'Val-Vol (2)'!$V$4:$V$1116,$V685)/SUMIFS('Comp2016-2017 (3)'!$G$5:$G$289,'Comp2016-2017 (3)'!$A$5:$A$289,$D685,'Comp2016-2017 (3)'!$R$5:$R$289,$V685)*$AB685))</f>
        <v/>
      </c>
      <c r="AH685" s="2" t="str">
        <f>IF($W685=AH$3,$AB685,IF(NOT($W685=0),"",SUMIFS('Val-Vol (2)'!AH$4:AH$1116,'Val-Vol (2)'!$A$4:$A$1116,$D685,'Val-Vol (2)'!$V$4:$V$1116,$V685)/SUMIFS('Comp2016-2017 (3)'!$G$5:$G$289,'Comp2016-2017 (3)'!$A$5:$A$289,$D685,'Comp2016-2017 (3)'!$R$5:$R$289,$V685)*$AB685))</f>
        <v/>
      </c>
      <c r="AI685" s="2" t="str">
        <f>IF($W685=AI$3,$AB685,IF(NOT($W685=0),"",SUMIFS('Val-Vol (2)'!AI$4:AI$1116,'Val-Vol (2)'!$A$4:$A$1116,$D685,'Val-Vol (2)'!$V$4:$V$1116,$V685)/SUMIFS('Comp2016-2017 (3)'!$G$5:$G$289,'Comp2016-2017 (3)'!$A$5:$A$289,$D685,'Comp2016-2017 (3)'!$R$5:$R$289,$V685)*$AB685))</f>
        <v/>
      </c>
      <c r="AJ685" s="2" t="str">
        <f>IF($W685=AJ$3,$AB685,IF(NOT($W685=0),"",SUMIFS('Val-Vol (2)'!AJ$4:AJ$1116,'Val-Vol (2)'!$A$4:$A$1116,$D685,'Val-Vol (2)'!$V$4:$V$1116,$V685)/SUMIFS('Comp2016-2017 (3)'!$G$5:$G$289,'Comp2016-2017 (3)'!$A$5:$A$289,$D685,'Comp2016-2017 (3)'!$R$5:$R$289,$V685)*$AB685))</f>
        <v/>
      </c>
      <c r="AK685" s="2">
        <f t="shared" si="72"/>
        <v>0</v>
      </c>
      <c r="AL685" t="str">
        <f t="shared" si="75"/>
        <v/>
      </c>
      <c r="AM685" t="str">
        <f>VLOOKUP(A685,'Table corresp.'!$M$4:$U$63,8,FALSE)</f>
        <v>Consommation finale française</v>
      </c>
      <c r="AN685" t="str">
        <f>VLOOKUP(D685,'Table corresp.'!$M$4:$U$63,9,FALSE)</f>
        <v xml:space="preserve">Mise en œuvre </v>
      </c>
    </row>
    <row r="686" spans="1:40" x14ac:dyDescent="0.25">
      <c r="A686" t="s">
        <v>105</v>
      </c>
      <c r="B686" t="str">
        <f>VLOOKUP(LEFT(A686,3),'Table corresp.'!$A$4:$D$63,3,FALSE)</f>
        <v>Transformation</v>
      </c>
      <c r="C686" t="str">
        <f>VLOOKUP(A686,'Table corresp.'!$M$4:$P$63,4,FALSE)</f>
        <v>Commerces et services</v>
      </c>
      <c r="D686" t="s">
        <v>22</v>
      </c>
      <c r="E686" t="str">
        <f>VLOOKUP(LEFT(D686,3),'Table corresp.'!$A$4:$D$63,4,FALSE)</f>
        <v>Transformation</v>
      </c>
      <c r="F686" t="str">
        <f t="shared" si="74"/>
        <v xml:space="preserve">62  - 55 </v>
      </c>
      <c r="G686" s="3">
        <v>20639.020442948226</v>
      </c>
      <c r="H686" s="3">
        <v>0</v>
      </c>
      <c r="I686" s="3">
        <v>20639.020444269019</v>
      </c>
      <c r="J686" s="3">
        <v>0</v>
      </c>
      <c r="K686" s="3">
        <v>0</v>
      </c>
      <c r="L686" s="3">
        <v>0</v>
      </c>
      <c r="M686" s="3">
        <v>0</v>
      </c>
      <c r="N686" s="3">
        <v>0</v>
      </c>
      <c r="O686" s="3">
        <v>0</v>
      </c>
      <c r="P686" s="3">
        <v>0</v>
      </c>
      <c r="Q686" s="3">
        <v>0</v>
      </c>
      <c r="R686" s="3">
        <v>0</v>
      </c>
      <c r="S686" s="67"/>
      <c r="T686">
        <f>VLOOKUP(A686,'Groupe de branches'!$Z$27:$AM$86,14,FALSE)</f>
        <v>0</v>
      </c>
      <c r="U686">
        <f>VLOOKUP(D686,'Groupe de branches'!$Z$27:$AM$86,14,FALSE)</f>
        <v>0</v>
      </c>
      <c r="V686">
        <v>2017</v>
      </c>
      <c r="W686" t="str">
        <f>VLOOKUP(D686,'Table corresp.'!$M$4:$S$63,7,FALSE)</f>
        <v>Construction</v>
      </c>
      <c r="X686" s="167">
        <f>IFERROR(G686/SUMIFS('Comp2016-2017 (3)'!$I$5:$I$289,'Comp2016-2017 (3)'!$A$5:$A$289,A686,'Comp2016-2017 (3)'!$R$5:$R$289,V686),0)</f>
        <v>1.0273894131530119E-2</v>
      </c>
      <c r="Y686" s="190">
        <f>IFERROR(IF(RIGHT(F686,3)="Exp",VLOOKUP(F686,#REF!,2,FALSE),VLOOKUP(F686,#REF!,9,FALSE)),1)</f>
        <v>1</v>
      </c>
      <c r="Z686" s="167">
        <f t="shared" si="77"/>
        <v>0.1111111111111111</v>
      </c>
      <c r="AA686" s="189">
        <f t="shared" si="76"/>
        <v>1.1415437923922354E-3</v>
      </c>
      <c r="AB686" s="2">
        <f>IFERROR(SUMIFS('Comp2016-2017 (3)'!$G$5:$G$289,'Comp2016-2017 (3)'!$A$5:$A$289,A686,'Comp2016-2017 (3)'!$R$5:$R$289,V686)*AA686/SUMIFS($AA$4:$AA$1116,$A$4:$A$1116,A686,$V$4:$V$1116,V686),0)</f>
        <v>20639.020442948229</v>
      </c>
      <c r="AC686" s="2" t="str">
        <f>IF($W686=AC$3,$AB686,IF(NOT($W686=0),"",SUMIFS('Val-Vol (2)'!AC$4:AC$1116,'Val-Vol (2)'!$A$4:$A$1116,$D686,'Val-Vol (2)'!$V$4:$V$1116,$V686)/SUMIFS('Comp2016-2017 (3)'!$G$5:$G$289,'Comp2016-2017 (3)'!$A$5:$A$289,$D686,'Comp2016-2017 (3)'!$R$5:$R$289,$V686)*$AB686))</f>
        <v/>
      </c>
      <c r="AD686" s="2">
        <f>IF($W686=AD$3,$AB686,IF(NOT($W686=0),"",SUMIFS('Val-Vol (2)'!AD$4:AD$1116,'Val-Vol (2)'!$A$4:$A$1116,$D686,'Val-Vol (2)'!$V$4:$V$1116,$V686)/SUMIFS('Comp2016-2017 (3)'!$G$5:$G$289,'Comp2016-2017 (3)'!$A$5:$A$289,$D686,'Comp2016-2017 (3)'!$R$5:$R$289,$V686)*$AB686))</f>
        <v>20639.020442948229</v>
      </c>
      <c r="AE686" s="2" t="str">
        <f>IF($W686=AE$3,$AB686,IF(NOT($W686=0),"",SUMIFS('Val-Vol (2)'!AE$4:AE$1116,'Val-Vol (2)'!$A$4:$A$1116,$D686,'Val-Vol (2)'!$V$4:$V$1116,$V686)/SUMIFS('Comp2016-2017 (3)'!$G$5:$G$289,'Comp2016-2017 (3)'!$A$5:$A$289,$D686,'Comp2016-2017 (3)'!$R$5:$R$289,$V686)*$AB686))</f>
        <v/>
      </c>
      <c r="AF686" s="2" t="str">
        <f>IF($W686=AF$3,$AB686,IF(NOT($W686=0),"",SUMIFS('Val-Vol (2)'!AF$4:AF$1116,'Val-Vol (2)'!$A$4:$A$1116,$D686,'Val-Vol (2)'!$V$4:$V$1116,$V686)/SUMIFS('Comp2016-2017 (3)'!$G$5:$G$289,'Comp2016-2017 (3)'!$A$5:$A$289,$D686,'Comp2016-2017 (3)'!$R$5:$R$289,$V686)*$AB686))</f>
        <v/>
      </c>
      <c r="AG686" s="2" t="str">
        <f>IF($W686=AG$3,$AB686,IF(NOT($W686=0),"",SUMIFS('Val-Vol (2)'!AG$4:AG$1116,'Val-Vol (2)'!$A$4:$A$1116,$D686,'Val-Vol (2)'!$V$4:$V$1116,$V686)/SUMIFS('Comp2016-2017 (3)'!$G$5:$G$289,'Comp2016-2017 (3)'!$A$5:$A$289,$D686,'Comp2016-2017 (3)'!$R$5:$R$289,$V686)*$AB686))</f>
        <v/>
      </c>
      <c r="AH686" s="2" t="str">
        <f>IF($W686=AH$3,$AB686,IF(NOT($W686=0),"",SUMIFS('Val-Vol (2)'!AH$4:AH$1116,'Val-Vol (2)'!$A$4:$A$1116,$D686,'Val-Vol (2)'!$V$4:$V$1116,$V686)/SUMIFS('Comp2016-2017 (3)'!$G$5:$G$289,'Comp2016-2017 (3)'!$A$5:$A$289,$D686,'Comp2016-2017 (3)'!$R$5:$R$289,$V686)*$AB686))</f>
        <v/>
      </c>
      <c r="AI686" s="2" t="str">
        <f>IF($W686=AI$3,$AB686,IF(NOT($W686=0),"",SUMIFS('Val-Vol (2)'!AI$4:AI$1116,'Val-Vol (2)'!$A$4:$A$1116,$D686,'Val-Vol (2)'!$V$4:$V$1116,$V686)/SUMIFS('Comp2016-2017 (3)'!$G$5:$G$289,'Comp2016-2017 (3)'!$A$5:$A$289,$D686,'Comp2016-2017 (3)'!$R$5:$R$289,$V686)*$AB686))</f>
        <v/>
      </c>
      <c r="AJ686" s="2" t="str">
        <f>IF($W686=AJ$3,$AB686,IF(NOT($W686=0),"",SUMIFS('Val-Vol (2)'!AJ$4:AJ$1116,'Val-Vol (2)'!$A$4:$A$1116,$D686,'Val-Vol (2)'!$V$4:$V$1116,$V686)/SUMIFS('Comp2016-2017 (3)'!$G$5:$G$289,'Comp2016-2017 (3)'!$A$5:$A$289,$D686,'Comp2016-2017 (3)'!$R$5:$R$289,$V686)*$AB686))</f>
        <v/>
      </c>
      <c r="AK686" s="2">
        <f t="shared" si="72"/>
        <v>0</v>
      </c>
      <c r="AL686" t="str">
        <f t="shared" si="75"/>
        <v/>
      </c>
      <c r="AM686" t="str">
        <f>VLOOKUP(A686,'Table corresp.'!$M$4:$U$63,8,FALSE)</f>
        <v>Consommation finale française</v>
      </c>
      <c r="AN686" t="str">
        <f>VLOOKUP(D686,'Table corresp.'!$M$4:$U$63,9,FALSE)</f>
        <v xml:space="preserve">Mise en œuvre </v>
      </c>
    </row>
    <row r="687" spans="1:40" x14ac:dyDescent="0.25">
      <c r="A687" t="s">
        <v>105</v>
      </c>
      <c r="B687" t="str">
        <f>VLOOKUP(LEFT(A687,3),'Table corresp.'!$A$4:$D$63,3,FALSE)</f>
        <v>Transformation</v>
      </c>
      <c r="C687" t="str">
        <f>VLOOKUP(A687,'Table corresp.'!$M$4:$P$63,4,FALSE)</f>
        <v>Commerces et services</v>
      </c>
      <c r="D687" t="s">
        <v>23</v>
      </c>
      <c r="E687" t="str">
        <f>VLOOKUP(LEFT(D687,3),'Table corresp.'!$A$4:$D$63,4,FALSE)</f>
        <v>Transformation</v>
      </c>
      <c r="F687" t="str">
        <f t="shared" si="74"/>
        <v xml:space="preserve">62  - 56 </v>
      </c>
      <c r="G687" s="3">
        <v>1978.3935613930096</v>
      </c>
      <c r="H687" s="3">
        <v>0</v>
      </c>
      <c r="I687" s="3">
        <v>1978.3935615196167</v>
      </c>
      <c r="J687" s="3">
        <v>0</v>
      </c>
      <c r="K687" s="3">
        <v>0</v>
      </c>
      <c r="L687" s="3">
        <v>0</v>
      </c>
      <c r="M687" s="3">
        <v>0</v>
      </c>
      <c r="N687" s="3">
        <v>0</v>
      </c>
      <c r="O687" s="3">
        <v>0</v>
      </c>
      <c r="P687" s="3">
        <v>0</v>
      </c>
      <c r="Q687" s="3">
        <v>0</v>
      </c>
      <c r="R687" s="3">
        <v>0</v>
      </c>
      <c r="S687" s="67"/>
      <c r="T687">
        <f>VLOOKUP(A687,'Groupe de branches'!$Z$27:$AM$86,14,FALSE)</f>
        <v>0</v>
      </c>
      <c r="U687">
        <f>VLOOKUP(D687,'Groupe de branches'!$Z$27:$AM$86,14,FALSE)</f>
        <v>0</v>
      </c>
      <c r="V687">
        <v>2017</v>
      </c>
      <c r="W687" t="str">
        <f>VLOOKUP(D687,'Table corresp.'!$M$4:$S$63,7,FALSE)</f>
        <v>Construction</v>
      </c>
      <c r="X687" s="167">
        <f>IFERROR(G687/SUMIFS('Comp2016-2017 (3)'!$I$5:$I$289,'Comp2016-2017 (3)'!$A$5:$A$289,A687,'Comp2016-2017 (3)'!$R$5:$R$289,V687),0)</f>
        <v>9.8482416141980095E-4</v>
      </c>
      <c r="Y687" s="190">
        <f>IFERROR(IF(RIGHT(F687,3)="Exp",VLOOKUP(F687,#REF!,2,FALSE),VLOOKUP(F687,#REF!,9,FALSE)),1)</f>
        <v>1</v>
      </c>
      <c r="Z687" s="167">
        <f t="shared" si="77"/>
        <v>0.1111111111111111</v>
      </c>
      <c r="AA687" s="189">
        <f t="shared" si="76"/>
        <v>1.0942490682442232E-4</v>
      </c>
      <c r="AB687" s="2">
        <f>IFERROR(SUMIFS('Comp2016-2017 (3)'!$G$5:$G$289,'Comp2016-2017 (3)'!$A$5:$A$289,A687,'Comp2016-2017 (3)'!$R$5:$R$289,V687)*AA687/SUMIFS($AA$4:$AA$1116,$A$4:$A$1116,A687,$V$4:$V$1116,V687),0)</f>
        <v>1978.3935613930096</v>
      </c>
      <c r="AC687" s="2" t="str">
        <f>IF($W687=AC$3,$AB687,IF(NOT($W687=0),"",SUMIFS('Val-Vol (2)'!AC$4:AC$1116,'Val-Vol (2)'!$A$4:$A$1116,$D687,'Val-Vol (2)'!$V$4:$V$1116,$V687)/SUMIFS('Comp2016-2017 (3)'!$G$5:$G$289,'Comp2016-2017 (3)'!$A$5:$A$289,$D687,'Comp2016-2017 (3)'!$R$5:$R$289,$V687)*$AB687))</f>
        <v/>
      </c>
      <c r="AD687" s="2">
        <f>IF($W687=AD$3,$AB687,IF(NOT($W687=0),"",SUMIFS('Val-Vol (2)'!AD$4:AD$1116,'Val-Vol (2)'!$A$4:$A$1116,$D687,'Val-Vol (2)'!$V$4:$V$1116,$V687)/SUMIFS('Comp2016-2017 (3)'!$G$5:$G$289,'Comp2016-2017 (3)'!$A$5:$A$289,$D687,'Comp2016-2017 (3)'!$R$5:$R$289,$V687)*$AB687))</f>
        <v>1978.3935613930096</v>
      </c>
      <c r="AE687" s="2" t="str">
        <f>IF($W687=AE$3,$AB687,IF(NOT($W687=0),"",SUMIFS('Val-Vol (2)'!AE$4:AE$1116,'Val-Vol (2)'!$A$4:$A$1116,$D687,'Val-Vol (2)'!$V$4:$V$1116,$V687)/SUMIFS('Comp2016-2017 (3)'!$G$5:$G$289,'Comp2016-2017 (3)'!$A$5:$A$289,$D687,'Comp2016-2017 (3)'!$R$5:$R$289,$V687)*$AB687))</f>
        <v/>
      </c>
      <c r="AF687" s="2" t="str">
        <f>IF($W687=AF$3,$AB687,IF(NOT($W687=0),"",SUMIFS('Val-Vol (2)'!AF$4:AF$1116,'Val-Vol (2)'!$A$4:$A$1116,$D687,'Val-Vol (2)'!$V$4:$V$1116,$V687)/SUMIFS('Comp2016-2017 (3)'!$G$5:$G$289,'Comp2016-2017 (3)'!$A$5:$A$289,$D687,'Comp2016-2017 (3)'!$R$5:$R$289,$V687)*$AB687))</f>
        <v/>
      </c>
      <c r="AG687" s="2" t="str">
        <f>IF($W687=AG$3,$AB687,IF(NOT($W687=0),"",SUMIFS('Val-Vol (2)'!AG$4:AG$1116,'Val-Vol (2)'!$A$4:$A$1116,$D687,'Val-Vol (2)'!$V$4:$V$1116,$V687)/SUMIFS('Comp2016-2017 (3)'!$G$5:$G$289,'Comp2016-2017 (3)'!$A$5:$A$289,$D687,'Comp2016-2017 (3)'!$R$5:$R$289,$V687)*$AB687))</f>
        <v/>
      </c>
      <c r="AH687" s="2" t="str">
        <f>IF($W687=AH$3,$AB687,IF(NOT($W687=0),"",SUMIFS('Val-Vol (2)'!AH$4:AH$1116,'Val-Vol (2)'!$A$4:$A$1116,$D687,'Val-Vol (2)'!$V$4:$V$1116,$V687)/SUMIFS('Comp2016-2017 (3)'!$G$5:$G$289,'Comp2016-2017 (3)'!$A$5:$A$289,$D687,'Comp2016-2017 (3)'!$R$5:$R$289,$V687)*$AB687))</f>
        <v/>
      </c>
      <c r="AI687" s="2" t="str">
        <f>IF($W687=AI$3,$AB687,IF(NOT($W687=0),"",SUMIFS('Val-Vol (2)'!AI$4:AI$1116,'Val-Vol (2)'!$A$4:$A$1116,$D687,'Val-Vol (2)'!$V$4:$V$1116,$V687)/SUMIFS('Comp2016-2017 (3)'!$G$5:$G$289,'Comp2016-2017 (3)'!$A$5:$A$289,$D687,'Comp2016-2017 (3)'!$R$5:$R$289,$V687)*$AB687))</f>
        <v/>
      </c>
      <c r="AJ687" s="2" t="str">
        <f>IF($W687=AJ$3,$AB687,IF(NOT($W687=0),"",SUMIFS('Val-Vol (2)'!AJ$4:AJ$1116,'Val-Vol (2)'!$A$4:$A$1116,$D687,'Val-Vol (2)'!$V$4:$V$1116,$V687)/SUMIFS('Comp2016-2017 (3)'!$G$5:$G$289,'Comp2016-2017 (3)'!$A$5:$A$289,$D687,'Comp2016-2017 (3)'!$R$5:$R$289,$V687)*$AB687))</f>
        <v/>
      </c>
      <c r="AK687" s="2">
        <f t="shared" si="72"/>
        <v>0</v>
      </c>
      <c r="AL687" t="str">
        <f t="shared" si="75"/>
        <v/>
      </c>
      <c r="AM687" t="str">
        <f>VLOOKUP(A687,'Table corresp.'!$M$4:$U$63,8,FALSE)</f>
        <v>Consommation finale française</v>
      </c>
      <c r="AN687" t="str">
        <f>VLOOKUP(D687,'Table corresp.'!$M$4:$U$63,9,FALSE)</f>
        <v xml:space="preserve">Mise en œuvre </v>
      </c>
    </row>
    <row r="688" spans="1:40" x14ac:dyDescent="0.25">
      <c r="A688" t="s">
        <v>105</v>
      </c>
      <c r="B688" t="str">
        <f>VLOOKUP(LEFT(A688,3),'Table corresp.'!$A$4:$D$63,3,FALSE)</f>
        <v>Transformation</v>
      </c>
      <c r="C688" t="str">
        <f>VLOOKUP(A688,'Table corresp.'!$M$4:$P$63,4,FALSE)</f>
        <v>Commerces et services</v>
      </c>
      <c r="D688" t="s">
        <v>24</v>
      </c>
      <c r="E688" t="str">
        <f>VLOOKUP(LEFT(D688,3),'Table corresp.'!$A$4:$D$63,4,FALSE)</f>
        <v>Transformation</v>
      </c>
      <c r="F688" t="str">
        <f t="shared" si="74"/>
        <v xml:space="preserve">62  - 57 </v>
      </c>
      <c r="G688" s="3">
        <v>66463.340158631661</v>
      </c>
      <c r="H688" s="3">
        <v>0</v>
      </c>
      <c r="I688" s="3">
        <v>66463.340162884982</v>
      </c>
      <c r="J688" s="3">
        <v>0</v>
      </c>
      <c r="K688" s="3">
        <v>0</v>
      </c>
      <c r="L688" s="3">
        <v>0</v>
      </c>
      <c r="M688" s="3">
        <v>0</v>
      </c>
      <c r="N688" s="3">
        <v>0</v>
      </c>
      <c r="O688" s="3">
        <v>0</v>
      </c>
      <c r="P688" s="3">
        <v>0</v>
      </c>
      <c r="Q688" s="3">
        <v>0</v>
      </c>
      <c r="R688" s="3">
        <v>0</v>
      </c>
      <c r="S688" s="67"/>
      <c r="T688">
        <f>VLOOKUP(A688,'Groupe de branches'!$Z$27:$AM$86,14,FALSE)</f>
        <v>0</v>
      </c>
      <c r="U688">
        <f>VLOOKUP(D688,'Groupe de branches'!$Z$27:$AM$86,14,FALSE)</f>
        <v>0</v>
      </c>
      <c r="V688">
        <v>2017</v>
      </c>
      <c r="W688" t="str">
        <f>VLOOKUP(D688,'Table corresp.'!$M$4:$S$63,7,FALSE)</f>
        <v>Construction</v>
      </c>
      <c r="X688" s="167">
        <f>IFERROR(G688/SUMIFS('Comp2016-2017 (3)'!$I$5:$I$289,'Comp2016-2017 (3)'!$A$5:$A$289,A688,'Comp2016-2017 (3)'!$R$5:$R$289,V688),0)</f>
        <v>3.3084773684158165E-2</v>
      </c>
      <c r="Y688" s="190">
        <f>IFERROR(IF(RIGHT(F688,3)="Exp",VLOOKUP(F688,#REF!,2,FALSE),VLOOKUP(F688,#REF!,9,FALSE)),1)</f>
        <v>1</v>
      </c>
      <c r="Z688" s="167">
        <f t="shared" si="77"/>
        <v>0.1111111111111111</v>
      </c>
      <c r="AA688" s="189">
        <f t="shared" si="76"/>
        <v>3.6760859649064628E-3</v>
      </c>
      <c r="AB688" s="2">
        <f>IFERROR(SUMIFS('Comp2016-2017 (3)'!$G$5:$G$289,'Comp2016-2017 (3)'!$A$5:$A$289,A688,'Comp2016-2017 (3)'!$R$5:$R$289,V688)*AA688/SUMIFS($AA$4:$AA$1116,$A$4:$A$1116,A688,$V$4:$V$1116,V688),0)</f>
        <v>66463.340158631661</v>
      </c>
      <c r="AC688" s="2" t="str">
        <f>IF($W688=AC$3,$AB688,IF(NOT($W688=0),"",SUMIFS('Val-Vol (2)'!AC$4:AC$1116,'Val-Vol (2)'!$A$4:$A$1116,$D688,'Val-Vol (2)'!$V$4:$V$1116,$V688)/SUMIFS('Comp2016-2017 (3)'!$G$5:$G$289,'Comp2016-2017 (3)'!$A$5:$A$289,$D688,'Comp2016-2017 (3)'!$R$5:$R$289,$V688)*$AB688))</f>
        <v/>
      </c>
      <c r="AD688" s="2">
        <f>IF($W688=AD$3,$AB688,IF(NOT($W688=0),"",SUMIFS('Val-Vol (2)'!AD$4:AD$1116,'Val-Vol (2)'!$A$4:$A$1116,$D688,'Val-Vol (2)'!$V$4:$V$1116,$V688)/SUMIFS('Comp2016-2017 (3)'!$G$5:$G$289,'Comp2016-2017 (3)'!$A$5:$A$289,$D688,'Comp2016-2017 (3)'!$R$5:$R$289,$V688)*$AB688))</f>
        <v>66463.340158631661</v>
      </c>
      <c r="AE688" s="2" t="str">
        <f>IF($W688=AE$3,$AB688,IF(NOT($W688=0),"",SUMIFS('Val-Vol (2)'!AE$4:AE$1116,'Val-Vol (2)'!$A$4:$A$1116,$D688,'Val-Vol (2)'!$V$4:$V$1116,$V688)/SUMIFS('Comp2016-2017 (3)'!$G$5:$G$289,'Comp2016-2017 (3)'!$A$5:$A$289,$D688,'Comp2016-2017 (3)'!$R$5:$R$289,$V688)*$AB688))</f>
        <v/>
      </c>
      <c r="AF688" s="2" t="str">
        <f>IF($W688=AF$3,$AB688,IF(NOT($W688=0),"",SUMIFS('Val-Vol (2)'!AF$4:AF$1116,'Val-Vol (2)'!$A$4:$A$1116,$D688,'Val-Vol (2)'!$V$4:$V$1116,$V688)/SUMIFS('Comp2016-2017 (3)'!$G$5:$G$289,'Comp2016-2017 (3)'!$A$5:$A$289,$D688,'Comp2016-2017 (3)'!$R$5:$R$289,$V688)*$AB688))</f>
        <v/>
      </c>
      <c r="AG688" s="2" t="str">
        <f>IF($W688=AG$3,$AB688,IF(NOT($W688=0),"",SUMIFS('Val-Vol (2)'!AG$4:AG$1116,'Val-Vol (2)'!$A$4:$A$1116,$D688,'Val-Vol (2)'!$V$4:$V$1116,$V688)/SUMIFS('Comp2016-2017 (3)'!$G$5:$G$289,'Comp2016-2017 (3)'!$A$5:$A$289,$D688,'Comp2016-2017 (3)'!$R$5:$R$289,$V688)*$AB688))</f>
        <v/>
      </c>
      <c r="AH688" s="2" t="str">
        <f>IF($W688=AH$3,$AB688,IF(NOT($W688=0),"",SUMIFS('Val-Vol (2)'!AH$4:AH$1116,'Val-Vol (2)'!$A$4:$A$1116,$D688,'Val-Vol (2)'!$V$4:$V$1116,$V688)/SUMIFS('Comp2016-2017 (3)'!$G$5:$G$289,'Comp2016-2017 (3)'!$A$5:$A$289,$D688,'Comp2016-2017 (3)'!$R$5:$R$289,$V688)*$AB688))</f>
        <v/>
      </c>
      <c r="AI688" s="2" t="str">
        <f>IF($W688=AI$3,$AB688,IF(NOT($W688=0),"",SUMIFS('Val-Vol (2)'!AI$4:AI$1116,'Val-Vol (2)'!$A$4:$A$1116,$D688,'Val-Vol (2)'!$V$4:$V$1116,$V688)/SUMIFS('Comp2016-2017 (3)'!$G$5:$G$289,'Comp2016-2017 (3)'!$A$5:$A$289,$D688,'Comp2016-2017 (3)'!$R$5:$R$289,$V688)*$AB688))</f>
        <v/>
      </c>
      <c r="AJ688" s="2" t="str">
        <f>IF($W688=AJ$3,$AB688,IF(NOT($W688=0),"",SUMIFS('Val-Vol (2)'!AJ$4:AJ$1116,'Val-Vol (2)'!$A$4:$A$1116,$D688,'Val-Vol (2)'!$V$4:$V$1116,$V688)/SUMIFS('Comp2016-2017 (3)'!$G$5:$G$289,'Comp2016-2017 (3)'!$A$5:$A$289,$D688,'Comp2016-2017 (3)'!$R$5:$R$289,$V688)*$AB688))</f>
        <v/>
      </c>
      <c r="AK688" s="2">
        <f t="shared" si="72"/>
        <v>0</v>
      </c>
      <c r="AL688" t="str">
        <f t="shared" si="75"/>
        <v/>
      </c>
      <c r="AM688" t="str">
        <f>VLOOKUP(A688,'Table corresp.'!$M$4:$U$63,8,FALSE)</f>
        <v>Consommation finale française</v>
      </c>
      <c r="AN688" t="str">
        <f>VLOOKUP(D688,'Table corresp.'!$M$4:$U$63,9,FALSE)</f>
        <v xml:space="preserve">Mise en œuvre </v>
      </c>
    </row>
    <row r="689" spans="1:40" x14ac:dyDescent="0.25">
      <c r="A689" t="s">
        <v>105</v>
      </c>
      <c r="B689" t="str">
        <f>VLOOKUP(LEFT(A689,3),'Table corresp.'!$A$4:$D$63,3,FALSE)</f>
        <v>Transformation</v>
      </c>
      <c r="C689" t="str">
        <f>VLOOKUP(A689,'Table corresp.'!$M$4:$P$63,4,FALSE)</f>
        <v>Commerces et services</v>
      </c>
      <c r="D689" t="s">
        <v>25</v>
      </c>
      <c r="E689" t="str">
        <f>VLOOKUP(LEFT(D689,3),'Table corresp.'!$A$4:$D$63,4,FALSE)</f>
        <v>Transformation</v>
      </c>
      <c r="F689" t="str">
        <f t="shared" si="74"/>
        <v xml:space="preserve">62  - 58 </v>
      </c>
      <c r="G689" s="3">
        <v>5813.427482357336</v>
      </c>
      <c r="H689" s="3">
        <v>0</v>
      </c>
      <c r="I689" s="3">
        <v>5813.4274827293666</v>
      </c>
      <c r="J689" s="3">
        <v>0</v>
      </c>
      <c r="K689" s="3">
        <v>0</v>
      </c>
      <c r="L689" s="3">
        <v>0</v>
      </c>
      <c r="M689" s="3">
        <v>0</v>
      </c>
      <c r="N689" s="3">
        <v>0</v>
      </c>
      <c r="O689" s="3">
        <v>0</v>
      </c>
      <c r="P689" s="3">
        <v>0</v>
      </c>
      <c r="Q689" s="3">
        <v>0</v>
      </c>
      <c r="R689" s="3">
        <v>0</v>
      </c>
      <c r="S689" s="67"/>
      <c r="T689">
        <f>VLOOKUP(A689,'Groupe de branches'!$Z$27:$AM$86,14,FALSE)</f>
        <v>0</v>
      </c>
      <c r="U689">
        <f>VLOOKUP(D689,'Groupe de branches'!$Z$27:$AM$86,14,FALSE)</f>
        <v>0</v>
      </c>
      <c r="V689">
        <v>2017</v>
      </c>
      <c r="W689" t="str">
        <f>VLOOKUP(D689,'Table corresp.'!$M$4:$S$63,7,FALSE)</f>
        <v>Construction</v>
      </c>
      <c r="X689" s="167">
        <f>IFERROR(G689/SUMIFS('Comp2016-2017 (3)'!$I$5:$I$289,'Comp2016-2017 (3)'!$A$5:$A$289,A689,'Comp2016-2017 (3)'!$R$5:$R$289,V689),0)</f>
        <v>2.8938649806645174E-3</v>
      </c>
      <c r="Y689" s="190">
        <f>IFERROR(IF(RIGHT(F689,3)="Exp",VLOOKUP(F689,#REF!,2,FALSE),VLOOKUP(F689,#REF!,9,FALSE)),1)</f>
        <v>1</v>
      </c>
      <c r="Z689" s="167">
        <f t="shared" si="77"/>
        <v>0.1111111111111111</v>
      </c>
      <c r="AA689" s="189">
        <f t="shared" si="76"/>
        <v>3.215405534071686E-4</v>
      </c>
      <c r="AB689" s="2">
        <f>IFERROR(SUMIFS('Comp2016-2017 (3)'!$G$5:$G$289,'Comp2016-2017 (3)'!$A$5:$A$289,A689,'Comp2016-2017 (3)'!$R$5:$R$289,V689)*AA689/SUMIFS($AA$4:$AA$1116,$A$4:$A$1116,A689,$V$4:$V$1116,V689),0)</f>
        <v>5813.427482357336</v>
      </c>
      <c r="AC689" s="2" t="str">
        <f>IF($W689=AC$3,$AB689,IF(NOT($W689=0),"",SUMIFS('Val-Vol (2)'!AC$4:AC$1116,'Val-Vol (2)'!$A$4:$A$1116,$D689,'Val-Vol (2)'!$V$4:$V$1116,$V689)/SUMIFS('Comp2016-2017 (3)'!$G$5:$G$289,'Comp2016-2017 (3)'!$A$5:$A$289,$D689,'Comp2016-2017 (3)'!$R$5:$R$289,$V689)*$AB689))</f>
        <v/>
      </c>
      <c r="AD689" s="2">
        <f>IF($W689=AD$3,$AB689,IF(NOT($W689=0),"",SUMIFS('Val-Vol (2)'!AD$4:AD$1116,'Val-Vol (2)'!$A$4:$A$1116,$D689,'Val-Vol (2)'!$V$4:$V$1116,$V689)/SUMIFS('Comp2016-2017 (3)'!$G$5:$G$289,'Comp2016-2017 (3)'!$A$5:$A$289,$D689,'Comp2016-2017 (3)'!$R$5:$R$289,$V689)*$AB689))</f>
        <v>5813.427482357336</v>
      </c>
      <c r="AE689" s="2" t="str">
        <f>IF($W689=AE$3,$AB689,IF(NOT($W689=0),"",SUMIFS('Val-Vol (2)'!AE$4:AE$1116,'Val-Vol (2)'!$A$4:$A$1116,$D689,'Val-Vol (2)'!$V$4:$V$1116,$V689)/SUMIFS('Comp2016-2017 (3)'!$G$5:$G$289,'Comp2016-2017 (3)'!$A$5:$A$289,$D689,'Comp2016-2017 (3)'!$R$5:$R$289,$V689)*$AB689))</f>
        <v/>
      </c>
      <c r="AF689" s="2" t="str">
        <f>IF($W689=AF$3,$AB689,IF(NOT($W689=0),"",SUMIFS('Val-Vol (2)'!AF$4:AF$1116,'Val-Vol (2)'!$A$4:$A$1116,$D689,'Val-Vol (2)'!$V$4:$V$1116,$V689)/SUMIFS('Comp2016-2017 (3)'!$G$5:$G$289,'Comp2016-2017 (3)'!$A$5:$A$289,$D689,'Comp2016-2017 (3)'!$R$5:$R$289,$V689)*$AB689))</f>
        <v/>
      </c>
      <c r="AG689" s="2" t="str">
        <f>IF($W689=AG$3,$AB689,IF(NOT($W689=0),"",SUMIFS('Val-Vol (2)'!AG$4:AG$1116,'Val-Vol (2)'!$A$4:$A$1116,$D689,'Val-Vol (2)'!$V$4:$V$1116,$V689)/SUMIFS('Comp2016-2017 (3)'!$G$5:$G$289,'Comp2016-2017 (3)'!$A$5:$A$289,$D689,'Comp2016-2017 (3)'!$R$5:$R$289,$V689)*$AB689))</f>
        <v/>
      </c>
      <c r="AH689" s="2" t="str">
        <f>IF($W689=AH$3,$AB689,IF(NOT($W689=0),"",SUMIFS('Val-Vol (2)'!AH$4:AH$1116,'Val-Vol (2)'!$A$4:$A$1116,$D689,'Val-Vol (2)'!$V$4:$V$1116,$V689)/SUMIFS('Comp2016-2017 (3)'!$G$5:$G$289,'Comp2016-2017 (3)'!$A$5:$A$289,$D689,'Comp2016-2017 (3)'!$R$5:$R$289,$V689)*$AB689))</f>
        <v/>
      </c>
      <c r="AI689" s="2" t="str">
        <f>IF($W689=AI$3,$AB689,IF(NOT($W689=0),"",SUMIFS('Val-Vol (2)'!AI$4:AI$1116,'Val-Vol (2)'!$A$4:$A$1116,$D689,'Val-Vol (2)'!$V$4:$V$1116,$V689)/SUMIFS('Comp2016-2017 (3)'!$G$5:$G$289,'Comp2016-2017 (3)'!$A$5:$A$289,$D689,'Comp2016-2017 (3)'!$R$5:$R$289,$V689)*$AB689))</f>
        <v/>
      </c>
      <c r="AJ689" s="2" t="str">
        <f>IF($W689=AJ$3,$AB689,IF(NOT($W689=0),"",SUMIFS('Val-Vol (2)'!AJ$4:AJ$1116,'Val-Vol (2)'!$A$4:$A$1116,$D689,'Val-Vol (2)'!$V$4:$V$1116,$V689)/SUMIFS('Comp2016-2017 (3)'!$G$5:$G$289,'Comp2016-2017 (3)'!$A$5:$A$289,$D689,'Comp2016-2017 (3)'!$R$5:$R$289,$V689)*$AB689))</f>
        <v/>
      </c>
      <c r="AK689" s="2">
        <f t="shared" si="72"/>
        <v>0</v>
      </c>
      <c r="AL689" t="str">
        <f t="shared" si="75"/>
        <v/>
      </c>
      <c r="AM689" t="str">
        <f>VLOOKUP(A689,'Table corresp.'!$M$4:$U$63,8,FALSE)</f>
        <v>Consommation finale française</v>
      </c>
      <c r="AN689" t="str">
        <f>VLOOKUP(D689,'Table corresp.'!$M$4:$U$63,9,FALSE)</f>
        <v xml:space="preserve">Mise en œuvre </v>
      </c>
    </row>
    <row r="690" spans="1:40" x14ac:dyDescent="0.25">
      <c r="A690" t="s">
        <v>105</v>
      </c>
      <c r="B690" t="str">
        <f>VLOOKUP(LEFT(A690,3),'Table corresp.'!$A$4:$D$63,3,FALSE)</f>
        <v>Transformation</v>
      </c>
      <c r="C690" t="str">
        <f>VLOOKUP(A690,'Table corresp.'!$M$4:$P$63,4,FALSE)</f>
        <v>Commerces et services</v>
      </c>
      <c r="D690" t="s">
        <v>26</v>
      </c>
      <c r="E690" t="str">
        <f>VLOOKUP(LEFT(D690,3),'Table corresp.'!$A$4:$D$63,4,FALSE)</f>
        <v>Transformation</v>
      </c>
      <c r="F690" t="str">
        <f t="shared" si="74"/>
        <v xml:space="preserve">62  - 59 </v>
      </c>
      <c r="G690" s="3">
        <v>1352.3838731594146</v>
      </c>
      <c r="H690" s="3">
        <v>0</v>
      </c>
      <c r="I690" s="3">
        <v>1352.3838732459603</v>
      </c>
      <c r="J690" s="3">
        <v>0</v>
      </c>
      <c r="K690" s="3">
        <v>0</v>
      </c>
      <c r="L690" s="3">
        <v>0</v>
      </c>
      <c r="M690" s="3">
        <v>0</v>
      </c>
      <c r="N690" s="3">
        <v>0</v>
      </c>
      <c r="O690" s="3">
        <v>0</v>
      </c>
      <c r="P690" s="3">
        <v>0</v>
      </c>
      <c r="Q690" s="3">
        <v>0</v>
      </c>
      <c r="R690" s="3">
        <v>0</v>
      </c>
      <c r="S690" s="67"/>
      <c r="T690">
        <f>VLOOKUP(A690,'Groupe de branches'!$Z$27:$AM$86,14,FALSE)</f>
        <v>0</v>
      </c>
      <c r="U690">
        <f>VLOOKUP(D690,'Groupe de branches'!$Z$27:$AM$86,14,FALSE)</f>
        <v>0</v>
      </c>
      <c r="V690">
        <v>2017</v>
      </c>
      <c r="W690" t="str">
        <f>VLOOKUP(D690,'Table corresp.'!$M$4:$S$63,7,FALSE)</f>
        <v>Construction</v>
      </c>
      <c r="X690" s="167">
        <f>IFERROR(G690/SUMIFS('Comp2016-2017 (3)'!$I$5:$I$289,'Comp2016-2017 (3)'!$A$5:$A$289,A690,'Comp2016-2017 (3)'!$R$5:$R$289,V690),0)</f>
        <v>6.7320291563429107E-4</v>
      </c>
      <c r="Y690" s="190">
        <f>IFERROR(IF(RIGHT(F690,3)="Exp",VLOOKUP(F690,#REF!,2,FALSE),VLOOKUP(F690,#REF!,9,FALSE)),1)</f>
        <v>1</v>
      </c>
      <c r="Z690" s="167">
        <f t="shared" si="77"/>
        <v>0.1111111111111111</v>
      </c>
      <c r="AA690" s="189">
        <f t="shared" si="76"/>
        <v>7.480032395936567E-5</v>
      </c>
      <c r="AB690" s="2">
        <f>IFERROR(SUMIFS('Comp2016-2017 (3)'!$G$5:$G$289,'Comp2016-2017 (3)'!$A$5:$A$289,A690,'Comp2016-2017 (3)'!$R$5:$R$289,V690)*AA690/SUMIFS($AA$4:$AA$1116,$A$4:$A$1116,A690,$V$4:$V$1116,V690),0)</f>
        <v>1352.3838731594146</v>
      </c>
      <c r="AC690" s="2" t="str">
        <f>IF($W690=AC$3,$AB690,IF(NOT($W690=0),"",SUMIFS('Val-Vol (2)'!AC$4:AC$1116,'Val-Vol (2)'!$A$4:$A$1116,$D690,'Val-Vol (2)'!$V$4:$V$1116,$V690)/SUMIFS('Comp2016-2017 (3)'!$G$5:$G$289,'Comp2016-2017 (3)'!$A$5:$A$289,$D690,'Comp2016-2017 (3)'!$R$5:$R$289,$V690)*$AB690))</f>
        <v/>
      </c>
      <c r="AD690" s="2">
        <f>IF($W690=AD$3,$AB690,IF(NOT($W690=0),"",SUMIFS('Val-Vol (2)'!AD$4:AD$1116,'Val-Vol (2)'!$A$4:$A$1116,$D690,'Val-Vol (2)'!$V$4:$V$1116,$V690)/SUMIFS('Comp2016-2017 (3)'!$G$5:$G$289,'Comp2016-2017 (3)'!$A$5:$A$289,$D690,'Comp2016-2017 (3)'!$R$5:$R$289,$V690)*$AB690))</f>
        <v>1352.3838731594146</v>
      </c>
      <c r="AE690" s="2" t="str">
        <f>IF($W690=AE$3,$AB690,IF(NOT($W690=0),"",SUMIFS('Val-Vol (2)'!AE$4:AE$1116,'Val-Vol (2)'!$A$4:$A$1116,$D690,'Val-Vol (2)'!$V$4:$V$1116,$V690)/SUMIFS('Comp2016-2017 (3)'!$G$5:$G$289,'Comp2016-2017 (3)'!$A$5:$A$289,$D690,'Comp2016-2017 (3)'!$R$5:$R$289,$V690)*$AB690))</f>
        <v/>
      </c>
      <c r="AF690" s="2" t="str">
        <f>IF($W690=AF$3,$AB690,IF(NOT($W690=0),"",SUMIFS('Val-Vol (2)'!AF$4:AF$1116,'Val-Vol (2)'!$A$4:$A$1116,$D690,'Val-Vol (2)'!$V$4:$V$1116,$V690)/SUMIFS('Comp2016-2017 (3)'!$G$5:$G$289,'Comp2016-2017 (3)'!$A$5:$A$289,$D690,'Comp2016-2017 (3)'!$R$5:$R$289,$V690)*$AB690))</f>
        <v/>
      </c>
      <c r="AG690" s="2" t="str">
        <f>IF($W690=AG$3,$AB690,IF(NOT($W690=0),"",SUMIFS('Val-Vol (2)'!AG$4:AG$1116,'Val-Vol (2)'!$A$4:$A$1116,$D690,'Val-Vol (2)'!$V$4:$V$1116,$V690)/SUMIFS('Comp2016-2017 (3)'!$G$5:$G$289,'Comp2016-2017 (3)'!$A$5:$A$289,$D690,'Comp2016-2017 (3)'!$R$5:$R$289,$V690)*$AB690))</f>
        <v/>
      </c>
      <c r="AH690" s="2" t="str">
        <f>IF($W690=AH$3,$AB690,IF(NOT($W690=0),"",SUMIFS('Val-Vol (2)'!AH$4:AH$1116,'Val-Vol (2)'!$A$4:$A$1116,$D690,'Val-Vol (2)'!$V$4:$V$1116,$V690)/SUMIFS('Comp2016-2017 (3)'!$G$5:$G$289,'Comp2016-2017 (3)'!$A$5:$A$289,$D690,'Comp2016-2017 (3)'!$R$5:$R$289,$V690)*$AB690))</f>
        <v/>
      </c>
      <c r="AI690" s="2" t="str">
        <f>IF($W690=AI$3,$AB690,IF(NOT($W690=0),"",SUMIFS('Val-Vol (2)'!AI$4:AI$1116,'Val-Vol (2)'!$A$4:$A$1116,$D690,'Val-Vol (2)'!$V$4:$V$1116,$V690)/SUMIFS('Comp2016-2017 (3)'!$G$5:$G$289,'Comp2016-2017 (3)'!$A$5:$A$289,$D690,'Comp2016-2017 (3)'!$R$5:$R$289,$V690)*$AB690))</f>
        <v/>
      </c>
      <c r="AJ690" s="2" t="str">
        <f>IF($W690=AJ$3,$AB690,IF(NOT($W690=0),"",SUMIFS('Val-Vol (2)'!AJ$4:AJ$1116,'Val-Vol (2)'!$A$4:$A$1116,$D690,'Val-Vol (2)'!$V$4:$V$1116,$V690)/SUMIFS('Comp2016-2017 (3)'!$G$5:$G$289,'Comp2016-2017 (3)'!$A$5:$A$289,$D690,'Comp2016-2017 (3)'!$R$5:$R$289,$V690)*$AB690))</f>
        <v/>
      </c>
      <c r="AK690" s="2">
        <f t="shared" si="72"/>
        <v>0</v>
      </c>
      <c r="AL690" t="str">
        <f t="shared" si="75"/>
        <v/>
      </c>
      <c r="AM690" t="str">
        <f>VLOOKUP(A690,'Table corresp.'!$M$4:$U$63,8,FALSE)</f>
        <v>Consommation finale française</v>
      </c>
      <c r="AN690" t="str">
        <f>VLOOKUP(D690,'Table corresp.'!$M$4:$U$63,9,FALSE)</f>
        <v xml:space="preserve">Mise en œuvre </v>
      </c>
    </row>
    <row r="691" spans="1:40" x14ac:dyDescent="0.25">
      <c r="A691" t="s">
        <v>105</v>
      </c>
      <c r="B691" t="str">
        <f>VLOOKUP(LEFT(A691,3),'Table corresp.'!$A$4:$D$63,3,FALSE)</f>
        <v>Transformation</v>
      </c>
      <c r="C691" t="str">
        <f>VLOOKUP(A691,'Table corresp.'!$M$4:$P$63,4,FALSE)</f>
        <v>Commerces et services</v>
      </c>
      <c r="D691" t="s">
        <v>54</v>
      </c>
      <c r="E691" t="str">
        <f>VLOOKUP(LEFT(D691,3),'Table corresp.'!$A$4:$D$63,4,FALSE)</f>
        <v>Consommation finale</v>
      </c>
      <c r="F691" t="str">
        <f t="shared" si="74"/>
        <v>62  - Con</v>
      </c>
      <c r="G691" s="3">
        <v>1814308.5070781636</v>
      </c>
      <c r="H691" s="3">
        <v>0</v>
      </c>
      <c r="I691" s="3">
        <v>1814308.5071942699</v>
      </c>
      <c r="J691" s="3">
        <v>0</v>
      </c>
      <c r="K691" s="3">
        <v>0</v>
      </c>
      <c r="L691" s="3">
        <v>0</v>
      </c>
      <c r="M691" s="3">
        <v>0</v>
      </c>
      <c r="N691" s="3">
        <v>0</v>
      </c>
      <c r="O691" s="3">
        <v>0</v>
      </c>
      <c r="P691" s="3">
        <v>0</v>
      </c>
      <c r="Q691" s="3">
        <v>0</v>
      </c>
      <c r="R691" s="3">
        <v>0</v>
      </c>
      <c r="S691" s="67"/>
      <c r="T691">
        <f>VLOOKUP(A691,'Groupe de branches'!$Z$27:$AM$86,14,FALSE)</f>
        <v>0</v>
      </c>
      <c r="U691">
        <f>VLOOKUP(D691,'Groupe de branches'!$Z$27:$AM$86,14,FALSE)</f>
        <v>0</v>
      </c>
      <c r="V691">
        <v>2017</v>
      </c>
      <c r="W691" t="str">
        <f>VLOOKUP(D691,'Table corresp.'!$M$4:$S$63,7,FALSE)</f>
        <v>Consommation finale</v>
      </c>
      <c r="X691" s="167">
        <f>IFERROR(G691/SUMIFS('Comp2016-2017 (3)'!$I$5:$I$289,'Comp2016-2017 (3)'!$A$5:$A$289,A691,'Comp2016-2017 (3)'!$R$5:$R$289,V691),0)</f>
        <v>0.90314429287870035</v>
      </c>
      <c r="Y691" s="190">
        <f>IFERROR(IF(RIGHT(F691,3)="Exp",VLOOKUP(F691,#REF!,2,FALSE),VLOOKUP(F691,#REF!,9,FALSE)),1)</f>
        <v>1</v>
      </c>
      <c r="Z691" s="167">
        <f t="shared" si="77"/>
        <v>0.1111111111111111</v>
      </c>
      <c r="AA691" s="189">
        <f t="shared" si="76"/>
        <v>0.10034936587541114</v>
      </c>
      <c r="AB691" s="2">
        <f>IFERROR(SUMIFS('Comp2016-2017 (3)'!$G$5:$G$289,'Comp2016-2017 (3)'!$A$5:$A$289,A691,'Comp2016-2017 (3)'!$R$5:$R$289,V691)*AA691/SUMIFS($AA$4:$AA$1116,$A$4:$A$1116,A691,$V$4:$V$1116,V691),0)</f>
        <v>1814308.5070781636</v>
      </c>
      <c r="AC691" s="2" t="str">
        <f>IF($W691=AC$3,$AB691,IF(NOT($W691=0),"",SUMIFS('Val-Vol (2)'!AC$4:AC$1116,'Val-Vol (2)'!$A$4:$A$1116,$D691,'Val-Vol (2)'!$V$4:$V$1116,$V691)/SUMIFS('Comp2016-2017 (3)'!$G$5:$G$289,'Comp2016-2017 (3)'!$A$5:$A$289,$D691,'Comp2016-2017 (3)'!$R$5:$R$289,$V691)*$AB691))</f>
        <v/>
      </c>
      <c r="AD691" s="2" t="str">
        <f>IF($W691=AD$3,$AB691,IF(NOT($W691=0),"",SUMIFS('Val-Vol (2)'!AD$4:AD$1116,'Val-Vol (2)'!$A$4:$A$1116,$D691,'Val-Vol (2)'!$V$4:$V$1116,$V691)/SUMIFS('Comp2016-2017 (3)'!$G$5:$G$289,'Comp2016-2017 (3)'!$A$5:$A$289,$D691,'Comp2016-2017 (3)'!$R$5:$R$289,$V691)*$AB691))</f>
        <v/>
      </c>
      <c r="AE691" s="2" t="str">
        <f>IF($W691=AE$3,$AB691,IF(NOT($W691=0),"",SUMIFS('Val-Vol (2)'!AE$4:AE$1116,'Val-Vol (2)'!$A$4:$A$1116,$D691,'Val-Vol (2)'!$V$4:$V$1116,$V691)/SUMIFS('Comp2016-2017 (3)'!$G$5:$G$289,'Comp2016-2017 (3)'!$A$5:$A$289,$D691,'Comp2016-2017 (3)'!$R$5:$R$289,$V691)*$AB691))</f>
        <v/>
      </c>
      <c r="AF691" s="2" t="str">
        <f>IF($W691=AF$3,$AB691,IF(NOT($W691=0),"",SUMIFS('Val-Vol (2)'!AF$4:AF$1116,'Val-Vol (2)'!$A$4:$A$1116,$D691,'Val-Vol (2)'!$V$4:$V$1116,$V691)/SUMIFS('Comp2016-2017 (3)'!$G$5:$G$289,'Comp2016-2017 (3)'!$A$5:$A$289,$D691,'Comp2016-2017 (3)'!$R$5:$R$289,$V691)*$AB691))</f>
        <v/>
      </c>
      <c r="AG691" s="2" t="str">
        <f>IF($W691=AG$3,$AB691,IF(NOT($W691=0),"",SUMIFS('Val-Vol (2)'!AG$4:AG$1116,'Val-Vol (2)'!$A$4:$A$1116,$D691,'Val-Vol (2)'!$V$4:$V$1116,$V691)/SUMIFS('Comp2016-2017 (3)'!$G$5:$G$289,'Comp2016-2017 (3)'!$A$5:$A$289,$D691,'Comp2016-2017 (3)'!$R$5:$R$289,$V691)*$AB691))</f>
        <v/>
      </c>
      <c r="AH691" s="2" t="str">
        <f>IF($W691=AH$3,$AB691,IF(NOT($W691=0),"",SUMIFS('Val-Vol (2)'!AH$4:AH$1116,'Val-Vol (2)'!$A$4:$A$1116,$D691,'Val-Vol (2)'!$V$4:$V$1116,$V691)/SUMIFS('Comp2016-2017 (3)'!$G$5:$G$289,'Comp2016-2017 (3)'!$A$5:$A$289,$D691,'Comp2016-2017 (3)'!$R$5:$R$289,$V691)*$AB691))</f>
        <v/>
      </c>
      <c r="AI691" s="2" t="str">
        <f>IF($W691=AI$3,$AB691,IF(NOT($W691=0),"",SUMIFS('Val-Vol (2)'!AI$4:AI$1116,'Val-Vol (2)'!$A$4:$A$1116,$D691,'Val-Vol (2)'!$V$4:$V$1116,$V691)/SUMIFS('Comp2016-2017 (3)'!$G$5:$G$289,'Comp2016-2017 (3)'!$A$5:$A$289,$D691,'Comp2016-2017 (3)'!$R$5:$R$289,$V691)*$AB691))</f>
        <v/>
      </c>
      <c r="AJ691" s="2">
        <f>IF($W691=AJ$3,$AB691,IF(NOT($W691=0),"",SUMIFS('Val-Vol (2)'!AJ$4:AJ$1116,'Val-Vol (2)'!$A$4:$A$1116,$D691,'Val-Vol (2)'!$V$4:$V$1116,$V691)/SUMIFS('Comp2016-2017 (3)'!$G$5:$G$289,'Comp2016-2017 (3)'!$A$5:$A$289,$D691,'Comp2016-2017 (3)'!$R$5:$R$289,$V691)*$AB691))</f>
        <v>1814308.5070781636</v>
      </c>
      <c r="AK691" s="2">
        <f t="shared" si="72"/>
        <v>0</v>
      </c>
      <c r="AL691" t="str">
        <f t="shared" si="75"/>
        <v/>
      </c>
      <c r="AM691" t="str">
        <f>VLOOKUP(A691,'Table corresp.'!$M$4:$U$63,8,FALSE)</f>
        <v>Consommation finale française</v>
      </c>
      <c r="AN691" t="str">
        <f>VLOOKUP(D691,'Table corresp.'!$M$4:$U$63,9,FALSE)</f>
        <v>Consommation finale française</v>
      </c>
    </row>
    <row r="692" spans="1:40" x14ac:dyDescent="0.25">
      <c r="A692" t="s">
        <v>106</v>
      </c>
      <c r="B692" t="str">
        <f>VLOOKUP(LEFT(A692,3),'Table corresp.'!$A$4:$D$63,3,FALSE)</f>
        <v>Transformation</v>
      </c>
      <c r="C692" t="str">
        <f>VLOOKUP(A692,'Table corresp.'!$M$4:$P$63,4,FALSE)</f>
        <v>Production et transformation de produits bois</v>
      </c>
      <c r="D692" t="s">
        <v>2</v>
      </c>
      <c r="E692" t="str">
        <f>VLOOKUP(LEFT(D692,3),'Table corresp.'!$A$4:$D$63,4,FALSE)</f>
        <v>Transformation</v>
      </c>
      <c r="F692" t="str">
        <f t="shared" si="74"/>
        <v xml:space="preserve">63  - 04 </v>
      </c>
      <c r="G692" s="3">
        <v>36422.028464955409</v>
      </c>
      <c r="H692" s="3">
        <v>0</v>
      </c>
      <c r="I692" s="3">
        <v>36422.028725994889</v>
      </c>
      <c r="J692" s="3">
        <v>0</v>
      </c>
      <c r="K692" s="3">
        <v>0</v>
      </c>
      <c r="L692" s="3">
        <v>0</v>
      </c>
      <c r="M692" s="3">
        <v>0</v>
      </c>
      <c r="N692" s="3">
        <v>0</v>
      </c>
      <c r="O692" s="3">
        <v>0</v>
      </c>
      <c r="P692" s="3">
        <v>0</v>
      </c>
      <c r="Q692" s="3">
        <v>0</v>
      </c>
      <c r="R692" s="3">
        <v>0</v>
      </c>
      <c r="S692" s="67"/>
      <c r="T692">
        <f>VLOOKUP(A692,'Groupe de branches'!$Z$27:$AM$86,14,FALSE)</f>
        <v>0</v>
      </c>
      <c r="U692">
        <f>VLOOKUP(D692,'Groupe de branches'!$Z$27:$AM$86,14,FALSE)</f>
        <v>0</v>
      </c>
      <c r="V692">
        <v>2017</v>
      </c>
      <c r="W692" t="str">
        <f>VLOOKUP(D692,'Table corresp.'!$M$4:$S$63,7,FALSE)</f>
        <v>Energie</v>
      </c>
      <c r="X692" s="167">
        <f>IFERROR(G692/SUMIFS('Comp2016-2017 (3)'!$I$5:$I$289,'Comp2016-2017 (3)'!$A$5:$A$289,A692,'Comp2016-2017 (3)'!$R$5:$R$289,V692),0)</f>
        <v>8.4536476105743191E-2</v>
      </c>
      <c r="Y692" s="190">
        <f>IFERROR(IF(RIGHT(F692,3)="Exp",VLOOKUP(F692,#REF!,2,FALSE),VLOOKUP(F692,#REF!,9,FALSE)),1)</f>
        <v>1</v>
      </c>
      <c r="Z692" s="167">
        <f t="shared" si="77"/>
        <v>5.8823529411764705E-2</v>
      </c>
      <c r="AA692" s="189">
        <f t="shared" si="76"/>
        <v>4.9727338885731292E-3</v>
      </c>
      <c r="AB692" s="2">
        <f>IFERROR(SUMIFS('Comp2016-2017 (3)'!$G$5:$G$289,'Comp2016-2017 (3)'!$A$5:$A$289,A692,'Comp2016-2017 (3)'!$R$5:$R$289,V692)*AA692/SUMIFS($AA$4:$AA$1116,$A$4:$A$1116,A692,$V$4:$V$1116,V692),0)</f>
        <v>18611.656545592192</v>
      </c>
      <c r="AC692" s="2" t="str">
        <f>IF($W692=AC$3,$AB692,IF(NOT($W692=0),"",SUMIFS('Val-Vol (2)'!AC$4:AC$1116,'Val-Vol (2)'!$A$4:$A$1116,$D692,'Val-Vol (2)'!$V$4:$V$1116,$V692)/SUMIFS('Comp2016-2017 (3)'!$G$5:$G$289,'Comp2016-2017 (3)'!$A$5:$A$289,$D692,'Comp2016-2017 (3)'!$R$5:$R$289,$V692)*$AB692))</f>
        <v/>
      </c>
      <c r="AD692" s="2" t="str">
        <f>IF($W692=AD$3,$AB692,IF(NOT($W692=0),"",SUMIFS('Val-Vol (2)'!AD$4:AD$1116,'Val-Vol (2)'!$A$4:$A$1116,$D692,'Val-Vol (2)'!$V$4:$V$1116,$V692)/SUMIFS('Comp2016-2017 (3)'!$G$5:$G$289,'Comp2016-2017 (3)'!$A$5:$A$289,$D692,'Comp2016-2017 (3)'!$R$5:$R$289,$V692)*$AB692))</f>
        <v/>
      </c>
      <c r="AE692" s="2" t="str">
        <f>IF($W692=AE$3,$AB692,IF(NOT($W692=0),"",SUMIFS('Val-Vol (2)'!AE$4:AE$1116,'Val-Vol (2)'!$A$4:$A$1116,$D692,'Val-Vol (2)'!$V$4:$V$1116,$V692)/SUMIFS('Comp2016-2017 (3)'!$G$5:$G$289,'Comp2016-2017 (3)'!$A$5:$A$289,$D692,'Comp2016-2017 (3)'!$R$5:$R$289,$V692)*$AB692))</f>
        <v/>
      </c>
      <c r="AF692" s="2" t="str">
        <f>IF($W692=AF$3,$AB692,IF(NOT($W692=0),"",SUMIFS('Val-Vol (2)'!AF$4:AF$1116,'Val-Vol (2)'!$A$4:$A$1116,$D692,'Val-Vol (2)'!$V$4:$V$1116,$V692)/SUMIFS('Comp2016-2017 (3)'!$G$5:$G$289,'Comp2016-2017 (3)'!$A$5:$A$289,$D692,'Comp2016-2017 (3)'!$R$5:$R$289,$V692)*$AB692))</f>
        <v/>
      </c>
      <c r="AG692" s="2" t="str">
        <f>IF($W692=AG$3,$AB692,IF(NOT($W692=0),"",SUMIFS('Val-Vol (2)'!AG$4:AG$1116,'Val-Vol (2)'!$A$4:$A$1116,$D692,'Val-Vol (2)'!$V$4:$V$1116,$V692)/SUMIFS('Comp2016-2017 (3)'!$G$5:$G$289,'Comp2016-2017 (3)'!$A$5:$A$289,$D692,'Comp2016-2017 (3)'!$R$5:$R$289,$V692)*$AB692))</f>
        <v/>
      </c>
      <c r="AH692" s="2">
        <f>IF($W692=AH$3,$AB692,IF(NOT($W692=0),"",SUMIFS('Val-Vol (2)'!AH$4:AH$1116,'Val-Vol (2)'!$A$4:$A$1116,$D692,'Val-Vol (2)'!$V$4:$V$1116,$V692)/SUMIFS('Comp2016-2017 (3)'!$G$5:$G$289,'Comp2016-2017 (3)'!$A$5:$A$289,$D692,'Comp2016-2017 (3)'!$R$5:$R$289,$V692)*$AB692))</f>
        <v>18611.656545592192</v>
      </c>
      <c r="AI692" s="2" t="str">
        <f>IF($W692=AI$3,$AB692,IF(NOT($W692=0),"",SUMIFS('Val-Vol (2)'!AI$4:AI$1116,'Val-Vol (2)'!$A$4:$A$1116,$D692,'Val-Vol (2)'!$V$4:$V$1116,$V692)/SUMIFS('Comp2016-2017 (3)'!$G$5:$G$289,'Comp2016-2017 (3)'!$A$5:$A$289,$D692,'Comp2016-2017 (3)'!$R$5:$R$289,$V692)*$AB692))</f>
        <v/>
      </c>
      <c r="AJ692" s="2" t="str">
        <f>IF($W692=AJ$3,$AB692,IF(NOT($W692=0),"",SUMIFS('Val-Vol (2)'!AJ$4:AJ$1116,'Val-Vol (2)'!$A$4:$A$1116,$D692,'Val-Vol (2)'!$V$4:$V$1116,$V692)/SUMIFS('Comp2016-2017 (3)'!$G$5:$G$289,'Comp2016-2017 (3)'!$A$5:$A$289,$D692,'Comp2016-2017 (3)'!$R$5:$R$289,$V692)*$AB692))</f>
        <v/>
      </c>
      <c r="AK692" s="2">
        <f t="shared" si="72"/>
        <v>0</v>
      </c>
      <c r="AL692" t="str">
        <f t="shared" si="75"/>
        <v/>
      </c>
      <c r="AM692" t="str">
        <f>VLOOKUP(A692,'Table corresp.'!$M$4:$U$63,8,FALSE)</f>
        <v>Production intermédiaire</v>
      </c>
      <c r="AN692" t="str">
        <f>VLOOKUP(D692,'Table corresp.'!$M$4:$U$63,9,FALSE)</f>
        <v>Production intermédiaire</v>
      </c>
    </row>
    <row r="693" spans="1:40" x14ac:dyDescent="0.25">
      <c r="A693" t="s">
        <v>106</v>
      </c>
      <c r="B693" t="str">
        <f>VLOOKUP(LEFT(A693,3),'Table corresp.'!$A$4:$D$63,3,FALSE)</f>
        <v>Transformation</v>
      </c>
      <c r="C693" t="str">
        <f>VLOOKUP(A693,'Table corresp.'!$M$4:$P$63,4,FALSE)</f>
        <v>Production et transformation de produits bois</v>
      </c>
      <c r="D693" t="s">
        <v>3</v>
      </c>
      <c r="E693" t="str">
        <f>VLOOKUP(LEFT(D693,3),'Table corresp.'!$A$4:$D$63,4,FALSE)</f>
        <v>Transformation</v>
      </c>
      <c r="F693" t="str">
        <f t="shared" si="74"/>
        <v xml:space="preserve">63  - 06 </v>
      </c>
      <c r="G693" s="3">
        <v>60924.710677223957</v>
      </c>
      <c r="H693" s="3">
        <v>0</v>
      </c>
      <c r="I693" s="3">
        <v>60924.711113876037</v>
      </c>
      <c r="J693" s="3">
        <v>0</v>
      </c>
      <c r="K693" s="3">
        <v>0</v>
      </c>
      <c r="L693" s="3">
        <v>0</v>
      </c>
      <c r="M693" s="3">
        <v>0</v>
      </c>
      <c r="N693" s="3">
        <v>0</v>
      </c>
      <c r="O693" s="3">
        <v>0</v>
      </c>
      <c r="P693" s="3">
        <v>0</v>
      </c>
      <c r="Q693" s="3">
        <v>0</v>
      </c>
      <c r="R693" s="3">
        <v>0</v>
      </c>
      <c r="S693" s="67"/>
      <c r="T693">
        <f>VLOOKUP(A693,'Groupe de branches'!$Z$27:$AM$86,14,FALSE)</f>
        <v>0</v>
      </c>
      <c r="U693">
        <f>VLOOKUP(D693,'Groupe de branches'!$Z$27:$AM$86,14,FALSE)</f>
        <v>0</v>
      </c>
      <c r="V693">
        <v>2017</v>
      </c>
      <c r="W693">
        <f>VLOOKUP(D693,'Table corresp.'!$M$4:$S$63,7,FALSE)</f>
        <v>0</v>
      </c>
      <c r="X693" s="167">
        <f>IFERROR(G693/SUMIFS('Comp2016-2017 (3)'!$I$5:$I$289,'Comp2016-2017 (3)'!$A$5:$A$289,A693,'Comp2016-2017 (3)'!$R$5:$R$289,V693),0)</f>
        <v>0.141407839307194</v>
      </c>
      <c r="Y693" s="190">
        <f>IFERROR(IF(RIGHT(F693,3)="Exp",VLOOKUP(F693,#REF!,2,FALSE),VLOOKUP(F693,#REF!,9,FALSE)),1)</f>
        <v>1</v>
      </c>
      <c r="Z693" s="167">
        <f t="shared" si="77"/>
        <v>5.8823529411764705E-2</v>
      </c>
      <c r="AA693" s="189">
        <f t="shared" si="76"/>
        <v>8.3181081945408238E-3</v>
      </c>
      <c r="AB693" s="2">
        <f>IFERROR(SUMIFS('Comp2016-2017 (3)'!$G$5:$G$289,'Comp2016-2017 (3)'!$A$5:$A$289,A693,'Comp2016-2017 (3)'!$R$5:$R$289,V693)*AA693/SUMIFS($AA$4:$AA$1116,$A$4:$A$1116,A693,$V$4:$V$1116,V693),0)</f>
        <v>31132.527156061409</v>
      </c>
      <c r="AC693" s="2">
        <f>IF($W693=AC$3,$AB693,IF(NOT($W693=0),"",SUMIFS('Val-Vol (2)'!AC$4:AC$1116,'Val-Vol (2)'!$A$4:$A$1116,$D693,'Val-Vol (2)'!$V$4:$V$1116,$V693)/SUMIFS('Comp2016-2017 (3)'!$G$5:$G$289,'Comp2016-2017 (3)'!$A$5:$A$289,$D693,'Comp2016-2017 (3)'!$R$5:$R$289,$V693)*$AB693))</f>
        <v>7698.1900560882486</v>
      </c>
      <c r="AD693" s="2">
        <f>IF($W693=AD$3,$AB693,IF(NOT($W693=0),"",SUMIFS('Val-Vol (2)'!AD$4:AD$1116,'Val-Vol (2)'!$A$4:$A$1116,$D693,'Val-Vol (2)'!$V$4:$V$1116,$V693)/SUMIFS('Comp2016-2017 (3)'!$G$5:$G$289,'Comp2016-2017 (3)'!$A$5:$A$289,$D693,'Comp2016-2017 (3)'!$R$5:$R$289,$V693)*$AB693))</f>
        <v>8421.5607686531894</v>
      </c>
      <c r="AE693" s="2">
        <f>IF($W693=AE$3,$AB693,IF(NOT($W693=0),"",SUMIFS('Val-Vol (2)'!AE$4:AE$1116,'Val-Vol (2)'!$A$4:$A$1116,$D693,'Val-Vol (2)'!$V$4:$V$1116,$V693)/SUMIFS('Comp2016-2017 (3)'!$G$5:$G$289,'Comp2016-2017 (3)'!$A$5:$A$289,$D693,'Comp2016-2017 (3)'!$R$5:$R$289,$V693)*$AB693))</f>
        <v>1005.8703334684517</v>
      </c>
      <c r="AF693" s="2">
        <f>IF($W693=AF$3,$AB693,IF(NOT($W693=0),"",SUMIFS('Val-Vol (2)'!AF$4:AF$1116,'Val-Vol (2)'!$A$4:$A$1116,$D693,'Val-Vol (2)'!$V$4:$V$1116,$V693)/SUMIFS('Comp2016-2017 (3)'!$G$5:$G$289,'Comp2016-2017 (3)'!$A$5:$A$289,$D693,'Comp2016-2017 (3)'!$R$5:$R$289,$V693)*$AB693))</f>
        <v>542.58475522330809</v>
      </c>
      <c r="AG693" s="2">
        <f>IF($W693=AG$3,$AB693,IF(NOT($W693=0),"",SUMIFS('Val-Vol (2)'!AG$4:AG$1116,'Val-Vol (2)'!$A$4:$A$1116,$D693,'Val-Vol (2)'!$V$4:$V$1116,$V693)/SUMIFS('Comp2016-2017 (3)'!$G$5:$G$289,'Comp2016-2017 (3)'!$A$5:$A$289,$D693,'Comp2016-2017 (3)'!$R$5:$R$289,$V693)*$AB693))</f>
        <v>6852.139078293897</v>
      </c>
      <c r="AH693" s="2">
        <f>IF($W693=AH$3,$AB693,IF(NOT($W693=0),"",SUMIFS('Val-Vol (2)'!AH$4:AH$1116,'Val-Vol (2)'!$A$4:$A$1116,$D693,'Val-Vol (2)'!$V$4:$V$1116,$V693)/SUMIFS('Comp2016-2017 (3)'!$G$5:$G$289,'Comp2016-2017 (3)'!$A$5:$A$289,$D693,'Comp2016-2017 (3)'!$R$5:$R$289,$V693)*$AB693))</f>
        <v>1176.4401094282443</v>
      </c>
      <c r="AI693" s="2">
        <f>IF($W693=AI$3,$AB693,IF(NOT($W693=0),"",SUMIFS('Val-Vol (2)'!AI$4:AI$1116,'Val-Vol (2)'!$A$4:$A$1116,$D693,'Val-Vol (2)'!$V$4:$V$1116,$V693)/SUMIFS('Comp2016-2017 (3)'!$G$5:$G$289,'Comp2016-2017 (3)'!$A$5:$A$289,$D693,'Comp2016-2017 (3)'!$R$5:$R$289,$V693)*$AB693))</f>
        <v>1685.2479455271045</v>
      </c>
      <c r="AJ693" s="2">
        <f>IF($W693=AJ$3,$AB693,IF(NOT($W693=0),"",SUMIFS('Val-Vol (2)'!AJ$4:AJ$1116,'Val-Vol (2)'!$A$4:$A$1116,$D693,'Val-Vol (2)'!$V$4:$V$1116,$V693)/SUMIFS('Comp2016-2017 (3)'!$G$5:$G$289,'Comp2016-2017 (3)'!$A$5:$A$289,$D693,'Comp2016-2017 (3)'!$R$5:$R$289,$V693)*$AB693))</f>
        <v>3750.4941093789685</v>
      </c>
      <c r="AK693" s="2">
        <f t="shared" si="72"/>
        <v>0</v>
      </c>
      <c r="AL693" t="str">
        <f t="shared" si="75"/>
        <v/>
      </c>
      <c r="AM693" t="str">
        <f>VLOOKUP(A693,'Table corresp.'!$M$4:$U$63,8,FALSE)</f>
        <v>Production intermédiaire</v>
      </c>
      <c r="AN693" t="str">
        <f>VLOOKUP(D693,'Table corresp.'!$M$4:$U$63,9,FALSE)</f>
        <v>Production intermédiaire</v>
      </c>
    </row>
    <row r="694" spans="1:40" x14ac:dyDescent="0.25">
      <c r="A694" t="s">
        <v>106</v>
      </c>
      <c r="B694" t="str">
        <f>VLOOKUP(LEFT(A694,3),'Table corresp.'!$A$4:$D$63,3,FALSE)</f>
        <v>Transformation</v>
      </c>
      <c r="C694" t="str">
        <f>VLOOKUP(A694,'Table corresp.'!$M$4:$P$63,4,FALSE)</f>
        <v>Production et transformation de produits bois</v>
      </c>
      <c r="D694" t="s">
        <v>4</v>
      </c>
      <c r="E694" t="str">
        <f>VLOOKUP(LEFT(D694,3),'Table corresp.'!$A$4:$D$63,4,FALSE)</f>
        <v>Transformation</v>
      </c>
      <c r="F694" t="str">
        <f t="shared" si="74"/>
        <v xml:space="preserve">63  - 08 </v>
      </c>
      <c r="G694" s="3">
        <v>16274.638665508855</v>
      </c>
      <c r="H694" s="3">
        <v>0</v>
      </c>
      <c r="I694" s="3">
        <v>16274.638782150441</v>
      </c>
      <c r="J694" s="3">
        <v>0</v>
      </c>
      <c r="K694" s="3">
        <v>0</v>
      </c>
      <c r="L694" s="3">
        <v>0</v>
      </c>
      <c r="M694" s="3">
        <v>0</v>
      </c>
      <c r="N694" s="3">
        <v>0</v>
      </c>
      <c r="O694" s="3">
        <v>0</v>
      </c>
      <c r="P694" s="3">
        <v>0</v>
      </c>
      <c r="Q694" s="3">
        <v>0</v>
      </c>
      <c r="R694" s="3">
        <v>0</v>
      </c>
      <c r="S694" s="67"/>
      <c r="T694">
        <f>VLOOKUP(A694,'Groupe de branches'!$Z$27:$AM$86,14,FALSE)</f>
        <v>0</v>
      </c>
      <c r="U694">
        <f>VLOOKUP(D694,'Groupe de branches'!$Z$27:$AM$86,14,FALSE)</f>
        <v>0</v>
      </c>
      <c r="V694">
        <v>2017</v>
      </c>
      <c r="W694">
        <f>VLOOKUP(D694,'Table corresp.'!$M$4:$S$63,7,FALSE)</f>
        <v>0</v>
      </c>
      <c r="X694" s="167">
        <f>IFERROR(G694/SUMIFS('Comp2016-2017 (3)'!$I$5:$I$289,'Comp2016-2017 (3)'!$A$5:$A$289,A694,'Comp2016-2017 (3)'!$R$5:$R$289,V694),0)</f>
        <v>3.7773859959506731E-2</v>
      </c>
      <c r="Y694" s="190">
        <f>IFERROR(IF(RIGHT(F694,3)="Exp",VLOOKUP(F694,#REF!,2,FALSE),VLOOKUP(F694,#REF!,9,FALSE)),1)</f>
        <v>1</v>
      </c>
      <c r="Z694" s="167">
        <f t="shared" si="77"/>
        <v>5.8823529411764705E-2</v>
      </c>
      <c r="AA694" s="189">
        <f t="shared" si="76"/>
        <v>2.2219917623239253E-3</v>
      </c>
      <c r="AB694" s="2">
        <f>IFERROR(SUMIFS('Comp2016-2017 (3)'!$G$5:$G$289,'Comp2016-2017 (3)'!$A$5:$A$289,A694,'Comp2016-2017 (3)'!$R$5:$R$289,V694)*AA694/SUMIFS($AA$4:$AA$1116,$A$4:$A$1116,A694,$V$4:$V$1116,V694),0)</f>
        <v>8316.3403580750146</v>
      </c>
      <c r="AC694" s="2">
        <f>IF($W694=AC$3,$AB694,IF(NOT($W694=0),"",SUMIFS('Val-Vol (2)'!AC$4:AC$1116,'Val-Vol (2)'!$A$4:$A$1116,$D694,'Val-Vol (2)'!$V$4:$V$1116,$V694)/SUMIFS('Comp2016-2017 (3)'!$G$5:$G$289,'Comp2016-2017 (3)'!$A$5:$A$289,$D694,'Comp2016-2017 (3)'!$R$5:$R$289,$V694)*$AB694))</f>
        <v>2284.0535356109249</v>
      </c>
      <c r="AD694" s="2">
        <f>IF($W694=AD$3,$AB694,IF(NOT($W694=0),"",SUMIFS('Val-Vol (2)'!AD$4:AD$1116,'Val-Vol (2)'!$A$4:$A$1116,$D694,'Val-Vol (2)'!$V$4:$V$1116,$V694)/SUMIFS('Comp2016-2017 (3)'!$G$5:$G$289,'Comp2016-2017 (3)'!$A$5:$A$289,$D694,'Comp2016-2017 (3)'!$R$5:$R$289,$V694)*$AB694))</f>
        <v>2263.6343078127552</v>
      </c>
      <c r="AE694" s="2">
        <f>IF($W694=AE$3,$AB694,IF(NOT($W694=0),"",SUMIFS('Val-Vol (2)'!AE$4:AE$1116,'Val-Vol (2)'!$A$4:$A$1116,$D694,'Val-Vol (2)'!$V$4:$V$1116,$V694)/SUMIFS('Comp2016-2017 (3)'!$G$5:$G$289,'Comp2016-2017 (3)'!$A$5:$A$289,$D694,'Comp2016-2017 (3)'!$R$5:$R$289,$V694)*$AB694))</f>
        <v>1096.2803339259222</v>
      </c>
      <c r="AF694" s="2">
        <f>IF($W694=AF$3,$AB694,IF(NOT($W694=0),"",SUMIFS('Val-Vol (2)'!AF$4:AF$1116,'Val-Vol (2)'!$A$4:$A$1116,$D694,'Val-Vol (2)'!$V$4:$V$1116,$V694)/SUMIFS('Comp2016-2017 (3)'!$G$5:$G$289,'Comp2016-2017 (3)'!$A$5:$A$289,$D694,'Comp2016-2017 (3)'!$R$5:$R$289,$V694)*$AB694))</f>
        <v>0</v>
      </c>
      <c r="AG694" s="2">
        <f>IF($W694=AG$3,$AB694,IF(NOT($W694=0),"",SUMIFS('Val-Vol (2)'!AG$4:AG$1116,'Val-Vol (2)'!$A$4:$A$1116,$D694,'Val-Vol (2)'!$V$4:$V$1116,$V694)/SUMIFS('Comp2016-2017 (3)'!$G$5:$G$289,'Comp2016-2017 (3)'!$A$5:$A$289,$D694,'Comp2016-2017 (3)'!$R$5:$R$289,$V694)*$AB694))</f>
        <v>0</v>
      </c>
      <c r="AH694" s="2">
        <f>IF($W694=AH$3,$AB694,IF(NOT($W694=0),"",SUMIFS('Val-Vol (2)'!AH$4:AH$1116,'Val-Vol (2)'!$A$4:$A$1116,$D694,'Val-Vol (2)'!$V$4:$V$1116,$V694)/SUMIFS('Comp2016-2017 (3)'!$G$5:$G$289,'Comp2016-2017 (3)'!$A$5:$A$289,$D694,'Comp2016-2017 (3)'!$R$5:$R$289,$V694)*$AB694))</f>
        <v>0</v>
      </c>
      <c r="AI694" s="2">
        <f>IF($W694=AI$3,$AB694,IF(NOT($W694=0),"",SUMIFS('Val-Vol (2)'!AI$4:AI$1116,'Val-Vol (2)'!$A$4:$A$1116,$D694,'Val-Vol (2)'!$V$4:$V$1116,$V694)/SUMIFS('Comp2016-2017 (3)'!$G$5:$G$289,'Comp2016-2017 (3)'!$A$5:$A$289,$D694,'Comp2016-2017 (3)'!$R$5:$R$289,$V694)*$AB694))</f>
        <v>914.57591079424981</v>
      </c>
      <c r="AJ694" s="2">
        <f>IF($W694=AJ$3,$AB694,IF(NOT($W694=0),"",SUMIFS('Val-Vol (2)'!AJ$4:AJ$1116,'Val-Vol (2)'!$A$4:$A$1116,$D694,'Val-Vol (2)'!$V$4:$V$1116,$V694)/SUMIFS('Comp2016-2017 (3)'!$G$5:$G$289,'Comp2016-2017 (3)'!$A$5:$A$289,$D694,'Comp2016-2017 (3)'!$R$5:$R$289,$V694)*$AB694))</f>
        <v>1757.7962699311631</v>
      </c>
      <c r="AK694" s="2">
        <f t="shared" si="72"/>
        <v>0</v>
      </c>
      <c r="AL694" t="str">
        <f t="shared" si="75"/>
        <v/>
      </c>
      <c r="AM694" t="str">
        <f>VLOOKUP(A694,'Table corresp.'!$M$4:$U$63,8,FALSE)</f>
        <v>Production intermédiaire</v>
      </c>
      <c r="AN694" t="str">
        <f>VLOOKUP(D694,'Table corresp.'!$M$4:$U$63,9,FALSE)</f>
        <v>Production intermédiaire</v>
      </c>
    </row>
    <row r="695" spans="1:40" x14ac:dyDescent="0.25">
      <c r="A695" t="s">
        <v>106</v>
      </c>
      <c r="B695" t="str">
        <f>VLOOKUP(LEFT(A695,3),'Table corresp.'!$A$4:$D$63,3,FALSE)</f>
        <v>Transformation</v>
      </c>
      <c r="C695" t="str">
        <f>VLOOKUP(A695,'Table corresp.'!$M$4:$P$63,4,FALSE)</f>
        <v>Production et transformation de produits bois</v>
      </c>
      <c r="D695" t="s">
        <v>5</v>
      </c>
      <c r="E695" t="str">
        <f>VLOOKUP(LEFT(D695,3),'Table corresp.'!$A$4:$D$63,4,FALSE)</f>
        <v>Transformation</v>
      </c>
      <c r="F695" t="str">
        <f t="shared" si="74"/>
        <v xml:space="preserve">63  - 09 </v>
      </c>
      <c r="G695" s="3">
        <v>7524.4759291658011</v>
      </c>
      <c r="H695" s="3">
        <v>0</v>
      </c>
      <c r="I695" s="3">
        <v>7524.4759830942985</v>
      </c>
      <c r="J695" s="3">
        <v>0</v>
      </c>
      <c r="K695" s="3">
        <v>0</v>
      </c>
      <c r="L695" s="3">
        <v>0</v>
      </c>
      <c r="M695" s="3">
        <v>0</v>
      </c>
      <c r="N695" s="3">
        <v>0</v>
      </c>
      <c r="O695" s="3">
        <v>0</v>
      </c>
      <c r="P695" s="3">
        <v>0</v>
      </c>
      <c r="Q695" s="3">
        <v>0</v>
      </c>
      <c r="R695" s="3">
        <v>0</v>
      </c>
      <c r="S695" s="67"/>
      <c r="T695">
        <f>VLOOKUP(A695,'Groupe de branches'!$Z$27:$AM$86,14,FALSE)</f>
        <v>0</v>
      </c>
      <c r="U695">
        <f>VLOOKUP(D695,'Groupe de branches'!$Z$27:$AM$86,14,FALSE)</f>
        <v>0</v>
      </c>
      <c r="V695">
        <v>2017</v>
      </c>
      <c r="W695">
        <f>VLOOKUP(D695,'Table corresp.'!$M$4:$S$63,7,FALSE)</f>
        <v>0</v>
      </c>
      <c r="X695" s="167">
        <f>IFERROR(G695/SUMIFS('Comp2016-2017 (3)'!$I$5:$I$289,'Comp2016-2017 (3)'!$A$5:$A$289,A695,'Comp2016-2017 (3)'!$R$5:$R$289,V695),0)</f>
        <v>1.7464504488161635E-2</v>
      </c>
      <c r="Y695" s="190">
        <f>IFERROR(IF(RIGHT(F695,3)="Exp",VLOOKUP(F695,#REF!,2,FALSE),VLOOKUP(F695,#REF!,9,FALSE)),1)</f>
        <v>1</v>
      </c>
      <c r="Z695" s="167">
        <f t="shared" si="77"/>
        <v>5.8823529411764705E-2</v>
      </c>
      <c r="AA695" s="189">
        <f t="shared" si="76"/>
        <v>1.0273237934212726E-3</v>
      </c>
      <c r="AB695" s="2">
        <f>IFERROR(SUMIFS('Comp2016-2017 (3)'!$G$5:$G$289,'Comp2016-2017 (3)'!$A$5:$A$289,A695,'Comp2016-2017 (3)'!$R$5:$R$289,V695)*AA695/SUMIFS($AA$4:$AA$1116,$A$4:$A$1116,A695,$V$4:$V$1116,V695),0)</f>
        <v>3845.0071998037197</v>
      </c>
      <c r="AC695" s="2">
        <f>IF($W695=AC$3,$AB695,IF(NOT($W695=0),"",SUMIFS('Val-Vol (2)'!AC$4:AC$1116,'Val-Vol (2)'!$A$4:$A$1116,$D695,'Val-Vol (2)'!$V$4:$V$1116,$V695)/SUMIFS('Comp2016-2017 (3)'!$G$5:$G$289,'Comp2016-2017 (3)'!$A$5:$A$289,$D695,'Comp2016-2017 (3)'!$R$5:$R$289,$V695)*$AB695))</f>
        <v>1417.541975830917</v>
      </c>
      <c r="AD695" s="2">
        <f>IF($W695=AD$3,$AB695,IF(NOT($W695=0),"",SUMIFS('Val-Vol (2)'!AD$4:AD$1116,'Val-Vol (2)'!$A$4:$A$1116,$D695,'Val-Vol (2)'!$V$4:$V$1116,$V695)/SUMIFS('Comp2016-2017 (3)'!$G$5:$G$289,'Comp2016-2017 (3)'!$A$5:$A$289,$D695,'Comp2016-2017 (3)'!$R$5:$R$289,$V695)*$AB695))</f>
        <v>1189.7748669078765</v>
      </c>
      <c r="AE695" s="2">
        <f>IF($W695=AE$3,$AB695,IF(NOT($W695=0),"",SUMIFS('Val-Vol (2)'!AE$4:AE$1116,'Val-Vol (2)'!$A$4:$A$1116,$D695,'Val-Vol (2)'!$V$4:$V$1116,$V695)/SUMIFS('Comp2016-2017 (3)'!$G$5:$G$289,'Comp2016-2017 (3)'!$A$5:$A$289,$D695,'Comp2016-2017 (3)'!$R$5:$R$289,$V695)*$AB695))</f>
        <v>10.640913464643448</v>
      </c>
      <c r="AF695" s="2">
        <f>IF($W695=AF$3,$AB695,IF(NOT($W695=0),"",SUMIFS('Val-Vol (2)'!AF$4:AF$1116,'Val-Vol (2)'!$A$4:$A$1116,$D695,'Val-Vol (2)'!$V$4:$V$1116,$V695)/SUMIFS('Comp2016-2017 (3)'!$G$5:$G$289,'Comp2016-2017 (3)'!$A$5:$A$289,$D695,'Comp2016-2017 (3)'!$R$5:$R$289,$V695)*$AB695))</f>
        <v>0</v>
      </c>
      <c r="AG695" s="2">
        <f>IF($W695=AG$3,$AB695,IF(NOT($W695=0),"",SUMIFS('Val-Vol (2)'!AG$4:AG$1116,'Val-Vol (2)'!$A$4:$A$1116,$D695,'Val-Vol (2)'!$V$4:$V$1116,$V695)/SUMIFS('Comp2016-2017 (3)'!$G$5:$G$289,'Comp2016-2017 (3)'!$A$5:$A$289,$D695,'Comp2016-2017 (3)'!$R$5:$R$289,$V695)*$AB695))</f>
        <v>499.65404110990426</v>
      </c>
      <c r="AH695" s="2">
        <f>IF($W695=AH$3,$AB695,IF(NOT($W695=0),"",SUMIFS('Val-Vol (2)'!AH$4:AH$1116,'Val-Vol (2)'!$A$4:$A$1116,$D695,'Val-Vol (2)'!$V$4:$V$1116,$V695)/SUMIFS('Comp2016-2017 (3)'!$G$5:$G$289,'Comp2016-2017 (3)'!$A$5:$A$289,$D695,'Comp2016-2017 (3)'!$R$5:$R$289,$V695)*$AB695))</f>
        <v>0</v>
      </c>
      <c r="AI695" s="2">
        <f>IF($W695=AI$3,$AB695,IF(NOT($W695=0),"",SUMIFS('Val-Vol (2)'!AI$4:AI$1116,'Val-Vol (2)'!$A$4:$A$1116,$D695,'Val-Vol (2)'!$V$4:$V$1116,$V695)/SUMIFS('Comp2016-2017 (3)'!$G$5:$G$289,'Comp2016-2017 (3)'!$A$5:$A$289,$D695,'Comp2016-2017 (3)'!$R$5:$R$289,$V695)*$AB695))</f>
        <v>691.5904770177284</v>
      </c>
      <c r="AJ695" s="2">
        <f>IF($W695=AJ$3,$AB695,IF(NOT($W695=0),"",SUMIFS('Val-Vol (2)'!AJ$4:AJ$1116,'Val-Vol (2)'!$A$4:$A$1116,$D695,'Val-Vol (2)'!$V$4:$V$1116,$V695)/SUMIFS('Comp2016-2017 (3)'!$G$5:$G$289,'Comp2016-2017 (3)'!$A$5:$A$289,$D695,'Comp2016-2017 (3)'!$R$5:$R$289,$V695)*$AB695))</f>
        <v>35.804925472650062</v>
      </c>
      <c r="AK695" s="2">
        <f t="shared" si="72"/>
        <v>0</v>
      </c>
      <c r="AL695" t="str">
        <f t="shared" si="75"/>
        <v/>
      </c>
      <c r="AM695" t="str">
        <f>VLOOKUP(A695,'Table corresp.'!$M$4:$U$63,8,FALSE)</f>
        <v>Production intermédiaire</v>
      </c>
      <c r="AN695" t="str">
        <f>VLOOKUP(D695,'Table corresp.'!$M$4:$U$63,9,FALSE)</f>
        <v>Production intermédiaire</v>
      </c>
    </row>
    <row r="696" spans="1:40" x14ac:dyDescent="0.25">
      <c r="A696" t="s">
        <v>106</v>
      </c>
      <c r="B696" t="str">
        <f>VLOOKUP(LEFT(A696,3),'Table corresp.'!$A$4:$D$63,3,FALSE)</f>
        <v>Transformation</v>
      </c>
      <c r="C696" t="str">
        <f>VLOOKUP(A696,'Table corresp.'!$M$4:$P$63,4,FALSE)</f>
        <v>Production et transformation de produits bois</v>
      </c>
      <c r="D696" t="s">
        <v>82</v>
      </c>
      <c r="E696" t="str">
        <f>VLOOKUP(LEFT(D696,3),'Table corresp.'!$A$4:$D$63,4,FALSE)</f>
        <v>Transformation</v>
      </c>
      <c r="F696" t="str">
        <f t="shared" si="74"/>
        <v xml:space="preserve">63  - 10 </v>
      </c>
      <c r="G696" s="3">
        <v>6076.1692950164052</v>
      </c>
      <c r="H696" s="3">
        <v>0</v>
      </c>
      <c r="I696" s="3">
        <v>6076.1693385647777</v>
      </c>
      <c r="J696" s="3">
        <v>0</v>
      </c>
      <c r="K696" s="3">
        <v>0</v>
      </c>
      <c r="L696" s="3">
        <v>0</v>
      </c>
      <c r="M696" s="3">
        <v>0</v>
      </c>
      <c r="N696" s="3">
        <v>0</v>
      </c>
      <c r="O696" s="3">
        <v>0</v>
      </c>
      <c r="P696" s="3">
        <v>0</v>
      </c>
      <c r="Q696" s="3">
        <v>0</v>
      </c>
      <c r="R696" s="3">
        <v>0</v>
      </c>
      <c r="S696" s="67"/>
      <c r="T696">
        <f>VLOOKUP(A696,'Groupe de branches'!$Z$27:$AM$86,14,FALSE)</f>
        <v>0</v>
      </c>
      <c r="U696">
        <f>VLOOKUP(D696,'Groupe de branches'!$Z$27:$AM$86,14,FALSE)</f>
        <v>0</v>
      </c>
      <c r="V696">
        <v>2017</v>
      </c>
      <c r="W696">
        <f>VLOOKUP(D696,'Table corresp.'!$M$4:$S$63,7,FALSE)</f>
        <v>0</v>
      </c>
      <c r="X696" s="167">
        <f>IFERROR(G696/SUMIFS('Comp2016-2017 (3)'!$I$5:$I$289,'Comp2016-2017 (3)'!$A$5:$A$289,A696,'Comp2016-2017 (3)'!$R$5:$R$289,V696),0)</f>
        <v>1.4102947091945655E-2</v>
      </c>
      <c r="Y696" s="190">
        <f>IFERROR(IF(RIGHT(F696,3)="Exp",VLOOKUP(F696,#REF!,2,FALSE),VLOOKUP(F696,#REF!,9,FALSE)),1)</f>
        <v>1</v>
      </c>
      <c r="Z696" s="167">
        <f t="shared" si="77"/>
        <v>5.8823529411764705E-2</v>
      </c>
      <c r="AA696" s="189">
        <f t="shared" si="76"/>
        <v>8.2958512305562676E-4</v>
      </c>
      <c r="AB696" s="2">
        <f>IFERROR(SUMIFS('Comp2016-2017 (3)'!$G$5:$G$289,'Comp2016-2017 (3)'!$A$5:$A$289,A696,'Comp2016-2017 (3)'!$R$5:$R$289,V696)*AA696/SUMIFS($AA$4:$AA$1116,$A$4:$A$1116,A696,$V$4:$V$1116,V696),0)</f>
        <v>3104.922509753379</v>
      </c>
      <c r="AC696" s="2">
        <f>IF($W696=AC$3,$AB696,IF(NOT($W696=0),"",SUMIFS('Val-Vol (2)'!AC$4:AC$1116,'Val-Vol (2)'!$A$4:$A$1116,$D696,'Val-Vol (2)'!$V$4:$V$1116,$V696)/SUMIFS('Comp2016-2017 (3)'!$G$5:$G$289,'Comp2016-2017 (3)'!$A$5:$A$289,$D696,'Comp2016-2017 (3)'!$R$5:$R$289,$V696)*$AB696))</f>
        <v>576.70201597247581</v>
      </c>
      <c r="AD696" s="2">
        <f>IF($W696=AD$3,$AB696,IF(NOT($W696=0),"",SUMIFS('Val-Vol (2)'!AD$4:AD$1116,'Val-Vol (2)'!$A$4:$A$1116,$D696,'Val-Vol (2)'!$V$4:$V$1116,$V696)/SUMIFS('Comp2016-2017 (3)'!$G$5:$G$289,'Comp2016-2017 (3)'!$A$5:$A$289,$D696,'Comp2016-2017 (3)'!$R$5:$R$289,$V696)*$AB696))</f>
        <v>866.88370171029146</v>
      </c>
      <c r="AE696" s="2">
        <f>IF($W696=AE$3,$AB696,IF(NOT($W696=0),"",SUMIFS('Val-Vol (2)'!AE$4:AE$1116,'Val-Vol (2)'!$A$4:$A$1116,$D696,'Val-Vol (2)'!$V$4:$V$1116,$V696)/SUMIFS('Comp2016-2017 (3)'!$G$5:$G$289,'Comp2016-2017 (3)'!$A$5:$A$289,$D696,'Comp2016-2017 (3)'!$R$5:$R$289,$V696)*$AB696))</f>
        <v>175.3284513353446</v>
      </c>
      <c r="AF696" s="2">
        <f>IF($W696=AF$3,$AB696,IF(NOT($W696=0),"",SUMIFS('Val-Vol (2)'!AF$4:AF$1116,'Val-Vol (2)'!$A$4:$A$1116,$D696,'Val-Vol (2)'!$V$4:$V$1116,$V696)/SUMIFS('Comp2016-2017 (3)'!$G$5:$G$289,'Comp2016-2017 (3)'!$A$5:$A$289,$D696,'Comp2016-2017 (3)'!$R$5:$R$289,$V696)*$AB696))</f>
        <v>0</v>
      </c>
      <c r="AG696" s="2">
        <f>IF($W696=AG$3,$AB696,IF(NOT($W696=0),"",SUMIFS('Val-Vol (2)'!AG$4:AG$1116,'Val-Vol (2)'!$A$4:$A$1116,$D696,'Val-Vol (2)'!$V$4:$V$1116,$V696)/SUMIFS('Comp2016-2017 (3)'!$G$5:$G$289,'Comp2016-2017 (3)'!$A$5:$A$289,$D696,'Comp2016-2017 (3)'!$R$5:$R$289,$V696)*$AB696))</f>
        <v>664.32164705000878</v>
      </c>
      <c r="AH696" s="2">
        <f>IF($W696=AH$3,$AB696,IF(NOT($W696=0),"",SUMIFS('Val-Vol (2)'!AH$4:AH$1116,'Val-Vol (2)'!$A$4:$A$1116,$D696,'Val-Vol (2)'!$V$4:$V$1116,$V696)/SUMIFS('Comp2016-2017 (3)'!$G$5:$G$289,'Comp2016-2017 (3)'!$A$5:$A$289,$D696,'Comp2016-2017 (3)'!$R$5:$R$289,$V696)*$AB696))</f>
        <v>0</v>
      </c>
      <c r="AI696" s="2">
        <f>IF($W696=AI$3,$AB696,IF(NOT($W696=0),"",SUMIFS('Val-Vol (2)'!AI$4:AI$1116,'Val-Vol (2)'!$A$4:$A$1116,$D696,'Val-Vol (2)'!$V$4:$V$1116,$V696)/SUMIFS('Comp2016-2017 (3)'!$G$5:$G$289,'Comp2016-2017 (3)'!$A$5:$A$289,$D696,'Comp2016-2017 (3)'!$R$5:$R$289,$V696)*$AB696))</f>
        <v>744.19187798684334</v>
      </c>
      <c r="AJ696" s="2">
        <f>IF($W696=AJ$3,$AB696,IF(NOT($W696=0),"",SUMIFS('Val-Vol (2)'!AJ$4:AJ$1116,'Val-Vol (2)'!$A$4:$A$1116,$D696,'Val-Vol (2)'!$V$4:$V$1116,$V696)/SUMIFS('Comp2016-2017 (3)'!$G$5:$G$289,'Comp2016-2017 (3)'!$A$5:$A$289,$D696,'Comp2016-2017 (3)'!$R$5:$R$289,$V696)*$AB696))</f>
        <v>77.494815698414797</v>
      </c>
      <c r="AK696" s="2">
        <f t="shared" ref="AK696:AK708" si="78">SUM(AC696:AJ696)-AB696</f>
        <v>0</v>
      </c>
      <c r="AL696" t="str">
        <f t="shared" si="75"/>
        <v/>
      </c>
      <c r="AM696" t="str">
        <f>VLOOKUP(A696,'Table corresp.'!$M$4:$U$63,8,FALSE)</f>
        <v>Production intermédiaire</v>
      </c>
      <c r="AN696" t="str">
        <f>VLOOKUP(D696,'Table corresp.'!$M$4:$U$63,9,FALSE)</f>
        <v>Production intermédiaire</v>
      </c>
    </row>
    <row r="697" spans="1:40" x14ac:dyDescent="0.25">
      <c r="A697" t="s">
        <v>106</v>
      </c>
      <c r="B697" t="str">
        <f>VLOOKUP(LEFT(A697,3),'Table corresp.'!$A$4:$D$63,3,FALSE)</f>
        <v>Transformation</v>
      </c>
      <c r="C697" t="str">
        <f>VLOOKUP(A697,'Table corresp.'!$M$4:$P$63,4,FALSE)</f>
        <v>Production et transformation de produits bois</v>
      </c>
      <c r="D697" t="s">
        <v>7</v>
      </c>
      <c r="E697" t="str">
        <f>VLOOKUP(LEFT(D697,3),'Table corresp.'!$A$4:$D$63,4,FALSE)</f>
        <v>Transformation</v>
      </c>
      <c r="F697" t="str">
        <f t="shared" si="74"/>
        <v xml:space="preserve">63  - 12 </v>
      </c>
      <c r="G697" s="3">
        <v>67368.055255016036</v>
      </c>
      <c r="H697" s="3">
        <v>0</v>
      </c>
      <c r="I697" s="3">
        <v>67368.055737848073</v>
      </c>
      <c r="J697" s="3">
        <v>0</v>
      </c>
      <c r="K697" s="3">
        <v>0</v>
      </c>
      <c r="L697" s="3">
        <v>0</v>
      </c>
      <c r="M697" s="3">
        <v>0</v>
      </c>
      <c r="N697" s="3">
        <v>0</v>
      </c>
      <c r="O697" s="3">
        <v>0</v>
      </c>
      <c r="P697" s="3">
        <v>0</v>
      </c>
      <c r="Q697" s="3">
        <v>0</v>
      </c>
      <c r="R697" s="3">
        <v>0</v>
      </c>
      <c r="S697" s="67"/>
      <c r="T697">
        <f>VLOOKUP(A697,'Groupe de branches'!$Z$27:$AM$86,14,FALSE)</f>
        <v>0</v>
      </c>
      <c r="U697">
        <f>VLOOKUP(D697,'Groupe de branches'!$Z$27:$AM$86,14,FALSE)</f>
        <v>0</v>
      </c>
      <c r="V697">
        <v>2017</v>
      </c>
      <c r="W697">
        <f>VLOOKUP(D697,'Table corresp.'!$M$4:$S$63,7,FALSE)</f>
        <v>0</v>
      </c>
      <c r="X697" s="167">
        <f>IFERROR(G697/SUMIFS('Comp2016-2017 (3)'!$I$5:$I$289,'Comp2016-2017 (3)'!$A$5:$A$289,A697,'Comp2016-2017 (3)'!$R$5:$R$289,V697),0)</f>
        <v>0.15636300978776424</v>
      </c>
      <c r="Y697" s="190">
        <f>IFERROR(IF(RIGHT(F697,3)="Exp",VLOOKUP(F697,#REF!,2,FALSE),VLOOKUP(F697,#REF!,9,FALSE)),1)</f>
        <v>1</v>
      </c>
      <c r="Z697" s="167">
        <f t="shared" si="77"/>
        <v>5.8823529411764705E-2</v>
      </c>
      <c r="AA697" s="189">
        <f t="shared" si="76"/>
        <v>9.1978241051626029E-3</v>
      </c>
      <c r="AB697" s="2">
        <f>IFERROR(SUMIFS('Comp2016-2017 (3)'!$G$5:$G$289,'Comp2016-2017 (3)'!$A$5:$A$289,A697,'Comp2016-2017 (3)'!$R$5:$R$289,V697)*AA697/SUMIFS($AA$4:$AA$1116,$A$4:$A$1116,A697,$V$4:$V$1116,V697),0)</f>
        <v>34425.076235313158</v>
      </c>
      <c r="AC697" s="2">
        <f>IF($W697=AC$3,$AB697,IF(NOT($W697=0),"",SUMIFS('Val-Vol (2)'!AC$4:AC$1116,'Val-Vol (2)'!$A$4:$A$1116,$D697,'Val-Vol (2)'!$V$4:$V$1116,$V697)/SUMIFS('Comp2016-2017 (3)'!$G$5:$G$289,'Comp2016-2017 (3)'!$A$5:$A$289,$D697,'Comp2016-2017 (3)'!$R$5:$R$289,$V697)*$AB697))</f>
        <v>2134.6095166785685</v>
      </c>
      <c r="AD697" s="2">
        <f>IF($W697=AD$3,$AB697,IF(NOT($W697=0),"",SUMIFS('Val-Vol (2)'!AD$4:AD$1116,'Val-Vol (2)'!$A$4:$A$1116,$D697,'Val-Vol (2)'!$V$4:$V$1116,$V697)/SUMIFS('Comp2016-2017 (3)'!$G$5:$G$289,'Comp2016-2017 (3)'!$A$5:$A$289,$D697,'Comp2016-2017 (3)'!$R$5:$R$289,$V697)*$AB697))</f>
        <v>21904.58845140045</v>
      </c>
      <c r="AE697" s="2">
        <f>IF($W697=AE$3,$AB697,IF(NOT($W697=0),"",SUMIFS('Val-Vol (2)'!AE$4:AE$1116,'Val-Vol (2)'!$A$4:$A$1116,$D697,'Val-Vol (2)'!$V$4:$V$1116,$V697)/SUMIFS('Comp2016-2017 (3)'!$G$5:$G$289,'Comp2016-2017 (3)'!$A$5:$A$289,$D697,'Comp2016-2017 (3)'!$R$5:$R$289,$V697)*$AB697))</f>
        <v>666.91564079630223</v>
      </c>
      <c r="AF697" s="2">
        <f>IF($W697=AF$3,$AB697,IF(NOT($W697=0),"",SUMIFS('Val-Vol (2)'!AF$4:AF$1116,'Val-Vol (2)'!$A$4:$A$1116,$D697,'Val-Vol (2)'!$V$4:$V$1116,$V697)/SUMIFS('Comp2016-2017 (3)'!$G$5:$G$289,'Comp2016-2017 (3)'!$A$5:$A$289,$D697,'Comp2016-2017 (3)'!$R$5:$R$289,$V697)*$AB697))</f>
        <v>0</v>
      </c>
      <c r="AG697" s="2">
        <f>IF($W697=AG$3,$AB697,IF(NOT($W697=0),"",SUMIFS('Val-Vol (2)'!AG$4:AG$1116,'Val-Vol (2)'!$A$4:$A$1116,$D697,'Val-Vol (2)'!$V$4:$V$1116,$V697)/SUMIFS('Comp2016-2017 (3)'!$G$5:$G$289,'Comp2016-2017 (3)'!$A$5:$A$289,$D697,'Comp2016-2017 (3)'!$R$5:$R$289,$V697)*$AB697))</f>
        <v>4292.3250179297775</v>
      </c>
      <c r="AH697" s="2">
        <f>IF($W697=AH$3,$AB697,IF(NOT($W697=0),"",SUMIFS('Val-Vol (2)'!AH$4:AH$1116,'Val-Vol (2)'!$A$4:$A$1116,$D697,'Val-Vol (2)'!$V$4:$V$1116,$V697)/SUMIFS('Comp2016-2017 (3)'!$G$5:$G$289,'Comp2016-2017 (3)'!$A$5:$A$289,$D697,'Comp2016-2017 (3)'!$R$5:$R$289,$V697)*$AB697))</f>
        <v>0</v>
      </c>
      <c r="AI697" s="2">
        <f>IF($W697=AI$3,$AB697,IF(NOT($W697=0),"",SUMIFS('Val-Vol (2)'!AI$4:AI$1116,'Val-Vol (2)'!$A$4:$A$1116,$D697,'Val-Vol (2)'!$V$4:$V$1116,$V697)/SUMIFS('Comp2016-2017 (3)'!$G$5:$G$289,'Comp2016-2017 (3)'!$A$5:$A$289,$D697,'Comp2016-2017 (3)'!$R$5:$R$289,$V697)*$AB697))</f>
        <v>1074.1898141767292</v>
      </c>
      <c r="AJ697" s="2">
        <f>IF($W697=AJ$3,$AB697,IF(NOT($W697=0),"",SUMIFS('Val-Vol (2)'!AJ$4:AJ$1116,'Val-Vol (2)'!$A$4:$A$1116,$D697,'Val-Vol (2)'!$V$4:$V$1116,$V697)/SUMIFS('Comp2016-2017 (3)'!$G$5:$G$289,'Comp2016-2017 (3)'!$A$5:$A$289,$D697,'Comp2016-2017 (3)'!$R$5:$R$289,$V697)*$AB697))</f>
        <v>4352.4477943313377</v>
      </c>
      <c r="AK697" s="2">
        <f t="shared" si="78"/>
        <v>0</v>
      </c>
      <c r="AL697" t="str">
        <f t="shared" si="75"/>
        <v/>
      </c>
      <c r="AM697" t="str">
        <f>VLOOKUP(A697,'Table corresp.'!$M$4:$U$63,8,FALSE)</f>
        <v>Production intermédiaire</v>
      </c>
      <c r="AN697" t="str">
        <f>VLOOKUP(D697,'Table corresp.'!$M$4:$U$63,9,FALSE)</f>
        <v>Production intermédiaire</v>
      </c>
    </row>
    <row r="698" spans="1:40" x14ac:dyDescent="0.25">
      <c r="A698" t="s">
        <v>106</v>
      </c>
      <c r="B698" t="str">
        <f>VLOOKUP(LEFT(A698,3),'Table corresp.'!$A$4:$D$63,3,FALSE)</f>
        <v>Transformation</v>
      </c>
      <c r="C698" t="str">
        <f>VLOOKUP(A698,'Table corresp.'!$M$4:$P$63,4,FALSE)</f>
        <v>Production et transformation de produits bois</v>
      </c>
      <c r="D698" t="s">
        <v>8</v>
      </c>
      <c r="E698" t="str">
        <f>VLOOKUP(LEFT(D698,3),'Table corresp.'!$A$4:$D$63,4,FALSE)</f>
        <v>Transformation</v>
      </c>
      <c r="F698" t="str">
        <f t="shared" si="74"/>
        <v xml:space="preserve">63  - 13 </v>
      </c>
      <c r="G698" s="3">
        <v>20364.753681882961</v>
      </c>
      <c r="H698" s="3">
        <v>0</v>
      </c>
      <c r="I698" s="3">
        <v>20364.753827838715</v>
      </c>
      <c r="J698" s="3">
        <v>0</v>
      </c>
      <c r="K698" s="3">
        <v>0</v>
      </c>
      <c r="L698" s="3">
        <v>0</v>
      </c>
      <c r="M698" s="3">
        <v>0</v>
      </c>
      <c r="N698" s="3">
        <v>0</v>
      </c>
      <c r="O698" s="3">
        <v>0</v>
      </c>
      <c r="P698" s="3">
        <v>0</v>
      </c>
      <c r="Q698" s="3">
        <v>0</v>
      </c>
      <c r="R698" s="3">
        <v>0</v>
      </c>
      <c r="S698" s="67"/>
      <c r="T698">
        <f>VLOOKUP(A698,'Groupe de branches'!$Z$27:$AM$86,14,FALSE)</f>
        <v>0</v>
      </c>
      <c r="U698">
        <f>VLOOKUP(D698,'Groupe de branches'!$Z$27:$AM$86,14,FALSE)</f>
        <v>0</v>
      </c>
      <c r="V698">
        <v>2017</v>
      </c>
      <c r="W698">
        <f>VLOOKUP(D698,'Table corresp.'!$M$4:$S$63,7,FALSE)</f>
        <v>0</v>
      </c>
      <c r="X698" s="167">
        <f>IFERROR(G698/SUMIFS('Comp2016-2017 (3)'!$I$5:$I$289,'Comp2016-2017 (3)'!$A$5:$A$289,A698,'Comp2016-2017 (3)'!$R$5:$R$289,V698),0)</f>
        <v>4.7267123375193162E-2</v>
      </c>
      <c r="Y698" s="190">
        <f>IFERROR(IF(RIGHT(F698,3)="Exp",VLOOKUP(F698,#REF!,2,FALSE),VLOOKUP(F698,#REF!,9,FALSE)),1)</f>
        <v>1</v>
      </c>
      <c r="Z698" s="167">
        <f t="shared" si="77"/>
        <v>5.8823529411764705E-2</v>
      </c>
      <c r="AA698" s="189">
        <f t="shared" si="76"/>
        <v>2.7804190220701861E-3</v>
      </c>
      <c r="AB698" s="2">
        <f>IFERROR(SUMIFS('Comp2016-2017 (3)'!$G$5:$G$289,'Comp2016-2017 (3)'!$A$5:$A$289,A698,'Comp2016-2017 (3)'!$R$5:$R$289,V698)*AA698/SUMIFS($AA$4:$AA$1116,$A$4:$A$1116,A698,$V$4:$V$1116,V698),0)</f>
        <v>10406.389131442182</v>
      </c>
      <c r="AC698" s="2">
        <f>IF($W698=AC$3,$AB698,IF(NOT($W698=0),"",SUMIFS('Val-Vol (2)'!AC$4:AC$1116,'Val-Vol (2)'!$A$4:$A$1116,$D698,'Val-Vol (2)'!$V$4:$V$1116,$V698)/SUMIFS('Comp2016-2017 (3)'!$G$5:$G$289,'Comp2016-2017 (3)'!$A$5:$A$289,$D698,'Comp2016-2017 (3)'!$R$5:$R$289,$V698)*$AB698))</f>
        <v>1445.7845904371836</v>
      </c>
      <c r="AD698" s="2">
        <f>IF($W698=AD$3,$AB698,IF(NOT($W698=0),"",SUMIFS('Val-Vol (2)'!AD$4:AD$1116,'Val-Vol (2)'!$A$4:$A$1116,$D698,'Val-Vol (2)'!$V$4:$V$1116,$V698)/SUMIFS('Comp2016-2017 (3)'!$G$5:$G$289,'Comp2016-2017 (3)'!$A$5:$A$289,$D698,'Comp2016-2017 (3)'!$R$5:$R$289,$V698)*$AB698))</f>
        <v>2840.5230767474914</v>
      </c>
      <c r="AE698" s="2">
        <f>IF($W698=AE$3,$AB698,IF(NOT($W698=0),"",SUMIFS('Val-Vol (2)'!AE$4:AE$1116,'Val-Vol (2)'!$A$4:$A$1116,$D698,'Val-Vol (2)'!$V$4:$V$1116,$V698)/SUMIFS('Comp2016-2017 (3)'!$G$5:$G$289,'Comp2016-2017 (3)'!$A$5:$A$289,$D698,'Comp2016-2017 (3)'!$R$5:$R$289,$V698)*$AB698))</f>
        <v>0.53893779898167693</v>
      </c>
      <c r="AF698" s="2">
        <f>IF($W698=AF$3,$AB698,IF(NOT($W698=0),"",SUMIFS('Val-Vol (2)'!AF$4:AF$1116,'Val-Vol (2)'!$A$4:$A$1116,$D698,'Val-Vol (2)'!$V$4:$V$1116,$V698)/SUMIFS('Comp2016-2017 (3)'!$G$5:$G$289,'Comp2016-2017 (3)'!$A$5:$A$289,$D698,'Comp2016-2017 (3)'!$R$5:$R$289,$V698)*$AB698))</f>
        <v>0</v>
      </c>
      <c r="AG698" s="2">
        <f>IF($W698=AG$3,$AB698,IF(NOT($W698=0),"",SUMIFS('Val-Vol (2)'!AG$4:AG$1116,'Val-Vol (2)'!$A$4:$A$1116,$D698,'Val-Vol (2)'!$V$4:$V$1116,$V698)/SUMIFS('Comp2016-2017 (3)'!$G$5:$G$289,'Comp2016-2017 (3)'!$A$5:$A$289,$D698,'Comp2016-2017 (3)'!$R$5:$R$289,$V698)*$AB698))</f>
        <v>2210.0895256622598</v>
      </c>
      <c r="AH698" s="2">
        <f>IF($W698=AH$3,$AB698,IF(NOT($W698=0),"",SUMIFS('Val-Vol (2)'!AH$4:AH$1116,'Val-Vol (2)'!$A$4:$A$1116,$D698,'Val-Vol (2)'!$V$4:$V$1116,$V698)/SUMIFS('Comp2016-2017 (3)'!$G$5:$G$289,'Comp2016-2017 (3)'!$A$5:$A$289,$D698,'Comp2016-2017 (3)'!$R$5:$R$289,$V698)*$AB698))</f>
        <v>0</v>
      </c>
      <c r="AI698" s="2">
        <f>IF($W698=AI$3,$AB698,IF(NOT($W698=0),"",SUMIFS('Val-Vol (2)'!AI$4:AI$1116,'Val-Vol (2)'!$A$4:$A$1116,$D698,'Val-Vol (2)'!$V$4:$V$1116,$V698)/SUMIFS('Comp2016-2017 (3)'!$G$5:$G$289,'Comp2016-2017 (3)'!$A$5:$A$289,$D698,'Comp2016-2017 (3)'!$R$5:$R$289,$V698)*$AB698))</f>
        <v>0</v>
      </c>
      <c r="AJ698" s="2">
        <f>IF($W698=AJ$3,$AB698,IF(NOT($W698=0),"",SUMIFS('Val-Vol (2)'!AJ$4:AJ$1116,'Val-Vol (2)'!$A$4:$A$1116,$D698,'Val-Vol (2)'!$V$4:$V$1116,$V698)/SUMIFS('Comp2016-2017 (3)'!$G$5:$G$289,'Comp2016-2017 (3)'!$A$5:$A$289,$D698,'Comp2016-2017 (3)'!$R$5:$R$289,$V698)*$AB698))</f>
        <v>3909.453000796263</v>
      </c>
      <c r="AK698" s="2">
        <f t="shared" si="78"/>
        <v>0</v>
      </c>
      <c r="AL698" t="str">
        <f t="shared" si="75"/>
        <v/>
      </c>
      <c r="AM698" t="str">
        <f>VLOOKUP(A698,'Table corresp.'!$M$4:$U$63,8,FALSE)</f>
        <v>Production intermédiaire</v>
      </c>
      <c r="AN698" t="str">
        <f>VLOOKUP(D698,'Table corresp.'!$M$4:$U$63,9,FALSE)</f>
        <v>Production intermédiaire</v>
      </c>
    </row>
    <row r="699" spans="1:40" x14ac:dyDescent="0.25">
      <c r="A699" t="s">
        <v>106</v>
      </c>
      <c r="B699" t="str">
        <f>VLOOKUP(LEFT(A699,3),'Table corresp.'!$A$4:$D$63,3,FALSE)</f>
        <v>Transformation</v>
      </c>
      <c r="C699" t="str">
        <f>VLOOKUP(A699,'Table corresp.'!$M$4:$P$63,4,FALSE)</f>
        <v>Production et transformation de produits bois</v>
      </c>
      <c r="D699" t="s">
        <v>83</v>
      </c>
      <c r="E699" t="str">
        <f>VLOOKUP(LEFT(D699,3),'Table corresp.'!$A$4:$D$63,4,FALSE)</f>
        <v>Transformation</v>
      </c>
      <c r="F699" t="str">
        <f t="shared" si="74"/>
        <v xml:space="preserve">63  - 14 </v>
      </c>
      <c r="G699" s="3">
        <v>12367.701472849318</v>
      </c>
      <c r="H699" s="3">
        <v>0</v>
      </c>
      <c r="I699" s="3">
        <v>12367.701561489584</v>
      </c>
      <c r="J699" s="3">
        <v>0</v>
      </c>
      <c r="K699" s="3">
        <v>0</v>
      </c>
      <c r="L699" s="3">
        <v>0</v>
      </c>
      <c r="M699" s="3">
        <v>0</v>
      </c>
      <c r="N699" s="3">
        <v>0</v>
      </c>
      <c r="O699" s="3">
        <v>0</v>
      </c>
      <c r="P699" s="3">
        <v>0</v>
      </c>
      <c r="Q699" s="3">
        <v>0</v>
      </c>
      <c r="R699" s="3">
        <v>0</v>
      </c>
      <c r="S699" s="67"/>
      <c r="T699">
        <f>VLOOKUP(A699,'Groupe de branches'!$Z$27:$AM$86,14,FALSE)</f>
        <v>0</v>
      </c>
      <c r="U699">
        <f>VLOOKUP(D699,'Groupe de branches'!$Z$27:$AM$86,14,FALSE)</f>
        <v>0</v>
      </c>
      <c r="V699">
        <v>2017</v>
      </c>
      <c r="W699">
        <f>VLOOKUP(D699,'Table corresp.'!$M$4:$S$63,7,FALSE)</f>
        <v>0</v>
      </c>
      <c r="X699" s="167">
        <f>IFERROR(G699/SUMIFS('Comp2016-2017 (3)'!$I$5:$I$289,'Comp2016-2017 (3)'!$A$5:$A$289,A699,'Comp2016-2017 (3)'!$R$5:$R$289,V699),0)</f>
        <v>2.8705757040645683E-2</v>
      </c>
      <c r="Y699" s="190">
        <f>IFERROR(IF(RIGHT(F699,3)="Exp",VLOOKUP(F699,#REF!,2,FALSE),VLOOKUP(F699,#REF!,9,FALSE)),1)</f>
        <v>1</v>
      </c>
      <c r="Z699" s="167">
        <f t="shared" si="77"/>
        <v>5.8823529411764705E-2</v>
      </c>
      <c r="AA699" s="189">
        <f t="shared" si="76"/>
        <v>1.6885739435673931E-3</v>
      </c>
      <c r="AB699" s="2">
        <f>IFERROR(SUMIFS('Comp2016-2017 (3)'!$G$5:$G$289,'Comp2016-2017 (3)'!$A$5:$A$289,A699,'Comp2016-2017 (3)'!$R$5:$R$289,V699)*AA699/SUMIFS($AA$4:$AA$1116,$A$4:$A$1116,A699,$V$4:$V$1116,V699),0)</f>
        <v>6319.895452625994</v>
      </c>
      <c r="AC699" s="2">
        <f>IF($W699=AC$3,$AB699,IF(NOT($W699=0),"",SUMIFS('Val-Vol (2)'!AC$4:AC$1116,'Val-Vol (2)'!$A$4:$A$1116,$D699,'Val-Vol (2)'!$V$4:$V$1116,$V699)/SUMIFS('Comp2016-2017 (3)'!$G$5:$G$289,'Comp2016-2017 (3)'!$A$5:$A$289,$D699,'Comp2016-2017 (3)'!$R$5:$R$289,$V699)*$AB699))</f>
        <v>3381.5898564554227</v>
      </c>
      <c r="AD699" s="2">
        <f>IF($W699=AD$3,$AB699,IF(NOT($W699=0),"",SUMIFS('Val-Vol (2)'!AD$4:AD$1116,'Val-Vol (2)'!$A$4:$A$1116,$D699,'Val-Vol (2)'!$V$4:$V$1116,$V699)/SUMIFS('Comp2016-2017 (3)'!$G$5:$G$289,'Comp2016-2017 (3)'!$A$5:$A$289,$D699,'Comp2016-2017 (3)'!$R$5:$R$289,$V699)*$AB699))</f>
        <v>1302.2528366492743</v>
      </c>
      <c r="AE699" s="2">
        <f>IF($W699=AE$3,$AB699,IF(NOT($W699=0),"",SUMIFS('Val-Vol (2)'!AE$4:AE$1116,'Val-Vol (2)'!$A$4:$A$1116,$D699,'Val-Vol (2)'!$V$4:$V$1116,$V699)/SUMIFS('Comp2016-2017 (3)'!$G$5:$G$289,'Comp2016-2017 (3)'!$A$5:$A$289,$D699,'Comp2016-2017 (3)'!$R$5:$R$289,$V699)*$AB699))</f>
        <v>45.957137326482652</v>
      </c>
      <c r="AF699" s="2">
        <f>IF($W699=AF$3,$AB699,IF(NOT($W699=0),"",SUMIFS('Val-Vol (2)'!AF$4:AF$1116,'Val-Vol (2)'!$A$4:$A$1116,$D699,'Val-Vol (2)'!$V$4:$V$1116,$V699)/SUMIFS('Comp2016-2017 (3)'!$G$5:$G$289,'Comp2016-2017 (3)'!$A$5:$A$289,$D699,'Comp2016-2017 (3)'!$R$5:$R$289,$V699)*$AB699))</f>
        <v>0</v>
      </c>
      <c r="AG699" s="2">
        <f>IF($W699=AG$3,$AB699,IF(NOT($W699=0),"",SUMIFS('Val-Vol (2)'!AG$4:AG$1116,'Val-Vol (2)'!$A$4:$A$1116,$D699,'Val-Vol (2)'!$V$4:$V$1116,$V699)/SUMIFS('Comp2016-2017 (3)'!$G$5:$G$289,'Comp2016-2017 (3)'!$A$5:$A$289,$D699,'Comp2016-2017 (3)'!$R$5:$R$289,$V699)*$AB699))</f>
        <v>1435.6698920488982</v>
      </c>
      <c r="AH699" s="2">
        <f>IF($W699=AH$3,$AB699,IF(NOT($W699=0),"",SUMIFS('Val-Vol (2)'!AH$4:AH$1116,'Val-Vol (2)'!$A$4:$A$1116,$D699,'Val-Vol (2)'!$V$4:$V$1116,$V699)/SUMIFS('Comp2016-2017 (3)'!$G$5:$G$289,'Comp2016-2017 (3)'!$A$5:$A$289,$D699,'Comp2016-2017 (3)'!$R$5:$R$289,$V699)*$AB699))</f>
        <v>0</v>
      </c>
      <c r="AI699" s="2">
        <f>IF($W699=AI$3,$AB699,IF(NOT($W699=0),"",SUMIFS('Val-Vol (2)'!AI$4:AI$1116,'Val-Vol (2)'!$A$4:$A$1116,$D699,'Val-Vol (2)'!$V$4:$V$1116,$V699)/SUMIFS('Comp2016-2017 (3)'!$G$5:$G$289,'Comp2016-2017 (3)'!$A$5:$A$289,$D699,'Comp2016-2017 (3)'!$R$5:$R$289,$V699)*$AB699))</f>
        <v>0</v>
      </c>
      <c r="AJ699" s="2">
        <f>IF($W699=AJ$3,$AB699,IF(NOT($W699=0),"",SUMIFS('Val-Vol (2)'!AJ$4:AJ$1116,'Val-Vol (2)'!$A$4:$A$1116,$D699,'Val-Vol (2)'!$V$4:$V$1116,$V699)/SUMIFS('Comp2016-2017 (3)'!$G$5:$G$289,'Comp2016-2017 (3)'!$A$5:$A$289,$D699,'Comp2016-2017 (3)'!$R$5:$R$289,$V699)*$AB699))</f>
        <v>154.42573014591616</v>
      </c>
      <c r="AK699" s="2">
        <f t="shared" si="78"/>
        <v>0</v>
      </c>
      <c r="AL699" t="str">
        <f t="shared" si="75"/>
        <v/>
      </c>
      <c r="AM699" t="str">
        <f>VLOOKUP(A699,'Table corresp.'!$M$4:$U$63,8,FALSE)</f>
        <v>Production intermédiaire</v>
      </c>
      <c r="AN699" t="str">
        <f>VLOOKUP(D699,'Table corresp.'!$M$4:$U$63,9,FALSE)</f>
        <v>Production intermédiaire</v>
      </c>
    </row>
    <row r="700" spans="1:40" x14ac:dyDescent="0.25">
      <c r="A700" t="s">
        <v>106</v>
      </c>
      <c r="B700" t="str">
        <f>VLOOKUP(LEFT(A700,3),'Table corresp.'!$A$4:$D$63,3,FALSE)</f>
        <v>Transformation</v>
      </c>
      <c r="C700" t="str">
        <f>VLOOKUP(A700,'Table corresp.'!$M$4:$P$63,4,FALSE)</f>
        <v>Production et transformation de produits bois</v>
      </c>
      <c r="D700" t="s">
        <v>9</v>
      </c>
      <c r="E700" t="str">
        <f>VLOOKUP(LEFT(D700,3),'Table corresp.'!$A$4:$D$63,4,FALSE)</f>
        <v>Transformation</v>
      </c>
      <c r="F700" t="str">
        <f t="shared" si="74"/>
        <v xml:space="preserve">63  - 15 </v>
      </c>
      <c r="G700" s="3">
        <v>27454.465413080674</v>
      </c>
      <c r="H700" s="3">
        <v>0</v>
      </c>
      <c r="I700" s="3">
        <v>27454.465609848936</v>
      </c>
      <c r="J700" s="3">
        <v>0</v>
      </c>
      <c r="K700" s="3">
        <v>0</v>
      </c>
      <c r="L700" s="3">
        <v>0</v>
      </c>
      <c r="M700" s="3">
        <v>0</v>
      </c>
      <c r="N700" s="3">
        <v>0</v>
      </c>
      <c r="O700" s="3">
        <v>0</v>
      </c>
      <c r="P700" s="3">
        <v>0</v>
      </c>
      <c r="Q700" s="3">
        <v>0</v>
      </c>
      <c r="R700" s="3">
        <v>0</v>
      </c>
      <c r="S700" s="67"/>
      <c r="T700">
        <f>VLOOKUP(A700,'Groupe de branches'!$Z$27:$AM$86,14,FALSE)</f>
        <v>0</v>
      </c>
      <c r="U700">
        <f>VLOOKUP(D700,'Groupe de branches'!$Z$27:$AM$86,14,FALSE)</f>
        <v>0</v>
      </c>
      <c r="V700">
        <v>2017</v>
      </c>
      <c r="W700">
        <f>VLOOKUP(D700,'Table corresp.'!$M$4:$S$63,7,FALSE)</f>
        <v>0</v>
      </c>
      <c r="X700" s="167">
        <f>IFERROR(G700/SUMIFS('Comp2016-2017 (3)'!$I$5:$I$289,'Comp2016-2017 (3)'!$A$5:$A$289,A700,'Comp2016-2017 (3)'!$R$5:$R$289,V700),0)</f>
        <v>6.3722528843278933E-2</v>
      </c>
      <c r="Y700" s="190">
        <f>IFERROR(IF(RIGHT(F700,3)="Exp",VLOOKUP(F700,#REF!,2,FALSE),VLOOKUP(F700,#REF!,9,FALSE)),1)</f>
        <v>1</v>
      </c>
      <c r="Z700" s="167">
        <f t="shared" si="77"/>
        <v>5.8823529411764705E-2</v>
      </c>
      <c r="AA700" s="189">
        <f t="shared" si="76"/>
        <v>3.7483840496046429E-3</v>
      </c>
      <c r="AB700" s="2">
        <f>IFERROR(SUMIFS('Comp2016-2017 (3)'!$G$5:$G$289,'Comp2016-2017 (3)'!$A$5:$A$289,A700,'Comp2016-2017 (3)'!$R$5:$R$289,V700)*AA700/SUMIFS($AA$4:$AA$1116,$A$4:$A$1116,A700,$V$4:$V$1116,V700),0)</f>
        <v>14029.231826084208</v>
      </c>
      <c r="AC700" s="2">
        <f>IF($W700=AC$3,$AB700,IF(NOT($W700=0),"",SUMIFS('Val-Vol (2)'!AC$4:AC$1116,'Val-Vol (2)'!$A$4:$A$1116,$D700,'Val-Vol (2)'!$V$4:$V$1116,$V700)/SUMIFS('Comp2016-2017 (3)'!$G$5:$G$289,'Comp2016-2017 (3)'!$A$5:$A$289,$D700,'Comp2016-2017 (3)'!$R$5:$R$289,$V700)*$AB700))</f>
        <v>465.95754253831865</v>
      </c>
      <c r="AD700" s="2">
        <f>IF($W700=AD$3,$AB700,IF(NOT($W700=0),"",SUMIFS('Val-Vol (2)'!AD$4:AD$1116,'Val-Vol (2)'!$A$4:$A$1116,$D700,'Val-Vol (2)'!$V$4:$V$1116,$V700)/SUMIFS('Comp2016-2017 (3)'!$G$5:$G$289,'Comp2016-2017 (3)'!$A$5:$A$289,$D700,'Comp2016-2017 (3)'!$R$5:$R$289,$V700)*$AB700))</f>
        <v>2688.4437321359401</v>
      </c>
      <c r="AE700" s="2">
        <f>IF($W700=AE$3,$AB700,IF(NOT($W700=0),"",SUMIFS('Val-Vol (2)'!AE$4:AE$1116,'Val-Vol (2)'!$A$4:$A$1116,$D700,'Val-Vol (2)'!$V$4:$V$1116,$V700)/SUMIFS('Comp2016-2017 (3)'!$G$5:$G$289,'Comp2016-2017 (3)'!$A$5:$A$289,$D700,'Comp2016-2017 (3)'!$R$5:$R$289,$V700)*$AB700))</f>
        <v>0.29911695189234927</v>
      </c>
      <c r="AF700" s="2">
        <f>IF($W700=AF$3,$AB700,IF(NOT($W700=0),"",SUMIFS('Val-Vol (2)'!AF$4:AF$1116,'Val-Vol (2)'!$A$4:$A$1116,$D700,'Val-Vol (2)'!$V$4:$V$1116,$V700)/SUMIFS('Comp2016-2017 (3)'!$G$5:$G$289,'Comp2016-2017 (3)'!$A$5:$A$289,$D700,'Comp2016-2017 (3)'!$R$5:$R$289,$V700)*$AB700))</f>
        <v>0</v>
      </c>
      <c r="AG700" s="2">
        <f>IF($W700=AG$3,$AB700,IF(NOT($W700=0),"",SUMIFS('Val-Vol (2)'!AG$4:AG$1116,'Val-Vol (2)'!$A$4:$A$1116,$D700,'Val-Vol (2)'!$V$4:$V$1116,$V700)/SUMIFS('Comp2016-2017 (3)'!$G$5:$G$289,'Comp2016-2017 (3)'!$A$5:$A$289,$D700,'Comp2016-2017 (3)'!$R$5:$R$289,$V700)*$AB700))</f>
        <v>6776.3007933957178</v>
      </c>
      <c r="AH700" s="2">
        <f>IF($W700=AH$3,$AB700,IF(NOT($W700=0),"",SUMIFS('Val-Vol (2)'!AH$4:AH$1116,'Val-Vol (2)'!$A$4:$A$1116,$D700,'Val-Vol (2)'!$V$4:$V$1116,$V700)/SUMIFS('Comp2016-2017 (3)'!$G$5:$G$289,'Comp2016-2017 (3)'!$A$5:$A$289,$D700,'Comp2016-2017 (3)'!$R$5:$R$289,$V700)*$AB700))</f>
        <v>0</v>
      </c>
      <c r="AI700" s="2">
        <f>IF($W700=AI$3,$AB700,IF(NOT($W700=0),"",SUMIFS('Val-Vol (2)'!AI$4:AI$1116,'Val-Vol (2)'!$A$4:$A$1116,$D700,'Val-Vol (2)'!$V$4:$V$1116,$V700)/SUMIFS('Comp2016-2017 (3)'!$G$5:$G$289,'Comp2016-2017 (3)'!$A$5:$A$289,$D700,'Comp2016-2017 (3)'!$R$5:$R$289,$V700)*$AB700))</f>
        <v>0</v>
      </c>
      <c r="AJ700" s="2">
        <f>IF($W700=AJ$3,$AB700,IF(NOT($W700=0),"",SUMIFS('Val-Vol (2)'!AJ$4:AJ$1116,'Val-Vol (2)'!$A$4:$A$1116,$D700,'Val-Vol (2)'!$V$4:$V$1116,$V700)/SUMIFS('Comp2016-2017 (3)'!$G$5:$G$289,'Comp2016-2017 (3)'!$A$5:$A$289,$D700,'Comp2016-2017 (3)'!$R$5:$R$289,$V700)*$AB700))</f>
        <v>4098.2306410623387</v>
      </c>
      <c r="AK700" s="2">
        <f t="shared" si="78"/>
        <v>0</v>
      </c>
      <c r="AL700" t="str">
        <f t="shared" si="75"/>
        <v/>
      </c>
      <c r="AM700" t="str">
        <f>VLOOKUP(A700,'Table corresp.'!$M$4:$U$63,8,FALSE)</f>
        <v>Production intermédiaire</v>
      </c>
      <c r="AN700" t="str">
        <f>VLOOKUP(D700,'Table corresp.'!$M$4:$U$63,9,FALSE)</f>
        <v>Production intermédiaire</v>
      </c>
    </row>
    <row r="701" spans="1:40" x14ac:dyDescent="0.25">
      <c r="A701" t="s">
        <v>106</v>
      </c>
      <c r="B701" t="str">
        <f>VLOOKUP(LEFT(A701,3),'Table corresp.'!$A$4:$D$63,3,FALSE)</f>
        <v>Transformation</v>
      </c>
      <c r="C701" t="str">
        <f>VLOOKUP(A701,'Table corresp.'!$M$4:$P$63,4,FALSE)</f>
        <v>Production et transformation de produits bois</v>
      </c>
      <c r="D701" t="s">
        <v>10</v>
      </c>
      <c r="E701" t="str">
        <f>VLOOKUP(LEFT(D701,3),'Table corresp.'!$A$4:$D$63,4,FALSE)</f>
        <v>Transformation</v>
      </c>
      <c r="F701" t="str">
        <f t="shared" si="74"/>
        <v xml:space="preserve">63  - 16 </v>
      </c>
      <c r="G701" s="3">
        <v>2631.6950107188363</v>
      </c>
      <c r="H701" s="3">
        <v>0</v>
      </c>
      <c r="I701" s="3">
        <v>2631.6950295803967</v>
      </c>
      <c r="J701" s="3">
        <v>0</v>
      </c>
      <c r="K701" s="3">
        <v>0</v>
      </c>
      <c r="L701" s="3">
        <v>0</v>
      </c>
      <c r="M701" s="3">
        <v>0</v>
      </c>
      <c r="N701" s="3">
        <v>0</v>
      </c>
      <c r="O701" s="3">
        <v>0</v>
      </c>
      <c r="P701" s="3">
        <v>0</v>
      </c>
      <c r="Q701" s="3">
        <v>0</v>
      </c>
      <c r="R701" s="3">
        <v>0</v>
      </c>
      <c r="S701" s="67"/>
      <c r="T701">
        <f>VLOOKUP(A701,'Groupe de branches'!$Z$27:$AM$86,14,FALSE)</f>
        <v>0</v>
      </c>
      <c r="U701">
        <f>VLOOKUP(D701,'Groupe de branches'!$Z$27:$AM$86,14,FALSE)</f>
        <v>0</v>
      </c>
      <c r="V701">
        <v>2017</v>
      </c>
      <c r="W701" t="str">
        <f>VLOOKUP(D701,'Table corresp.'!$M$4:$S$63,7,FALSE)</f>
        <v>Emballage bois et carton</v>
      </c>
      <c r="X701" s="167">
        <f>IFERROR(G701/SUMIFS('Comp2016-2017 (3)'!$I$5:$I$289,'Comp2016-2017 (3)'!$A$5:$A$289,A701,'Comp2016-2017 (3)'!$R$5:$R$289,V701),0)</f>
        <v>6.1082326209617064E-3</v>
      </c>
      <c r="Y701" s="190">
        <f>IFERROR(IF(RIGHT(F701,3)="Exp",VLOOKUP(F701,#REF!,2,FALSE),VLOOKUP(F701,#REF!,9,FALSE)),1)</f>
        <v>1</v>
      </c>
      <c r="Z701" s="167">
        <f t="shared" si="77"/>
        <v>5.8823529411764705E-2</v>
      </c>
      <c r="AA701" s="189">
        <f t="shared" si="76"/>
        <v>3.5930780123304156E-4</v>
      </c>
      <c r="AB701" s="2">
        <f>IFERROR(SUMIFS('Comp2016-2017 (3)'!$G$5:$G$289,'Comp2016-2017 (3)'!$A$5:$A$289,A701,'Comp2016-2017 (3)'!$R$5:$R$289,V701)*AA701/SUMIFS($AA$4:$AA$1116,$A$4:$A$1116,A701,$V$4:$V$1116,V701),0)</f>
        <v>1344.7961504773236</v>
      </c>
      <c r="AC701" s="2" t="str">
        <f>IF($W701=AC$3,$AB701,IF(NOT($W701=0),"",SUMIFS('Val-Vol (2)'!AC$4:AC$1116,'Val-Vol (2)'!$A$4:$A$1116,$D701,'Val-Vol (2)'!$V$4:$V$1116,$V701)/SUMIFS('Comp2016-2017 (3)'!$G$5:$G$289,'Comp2016-2017 (3)'!$A$5:$A$289,$D701,'Comp2016-2017 (3)'!$R$5:$R$289,$V701)*$AB701))</f>
        <v/>
      </c>
      <c r="AD701" s="2" t="str">
        <f>IF($W701=AD$3,$AB701,IF(NOT($W701=0),"",SUMIFS('Val-Vol (2)'!AD$4:AD$1116,'Val-Vol (2)'!$A$4:$A$1116,$D701,'Val-Vol (2)'!$V$4:$V$1116,$V701)/SUMIFS('Comp2016-2017 (3)'!$G$5:$G$289,'Comp2016-2017 (3)'!$A$5:$A$289,$D701,'Comp2016-2017 (3)'!$R$5:$R$289,$V701)*$AB701))</f>
        <v/>
      </c>
      <c r="AE701" s="2" t="str">
        <f>IF($W701=AE$3,$AB701,IF(NOT($W701=0),"",SUMIFS('Val-Vol (2)'!AE$4:AE$1116,'Val-Vol (2)'!$A$4:$A$1116,$D701,'Val-Vol (2)'!$V$4:$V$1116,$V701)/SUMIFS('Comp2016-2017 (3)'!$G$5:$G$289,'Comp2016-2017 (3)'!$A$5:$A$289,$D701,'Comp2016-2017 (3)'!$R$5:$R$289,$V701)*$AB701))</f>
        <v/>
      </c>
      <c r="AF701" s="2" t="str">
        <f>IF($W701=AF$3,$AB701,IF(NOT($W701=0),"",SUMIFS('Val-Vol (2)'!AF$4:AF$1116,'Val-Vol (2)'!$A$4:$A$1116,$D701,'Val-Vol (2)'!$V$4:$V$1116,$V701)/SUMIFS('Comp2016-2017 (3)'!$G$5:$G$289,'Comp2016-2017 (3)'!$A$5:$A$289,$D701,'Comp2016-2017 (3)'!$R$5:$R$289,$V701)*$AB701))</f>
        <v/>
      </c>
      <c r="AG701" s="2">
        <f>IF($W701=AG$3,$AB701,IF(NOT($W701=0),"",SUMIFS('Val-Vol (2)'!AG$4:AG$1116,'Val-Vol (2)'!$A$4:$A$1116,$D701,'Val-Vol (2)'!$V$4:$V$1116,$V701)/SUMIFS('Comp2016-2017 (3)'!$G$5:$G$289,'Comp2016-2017 (3)'!$A$5:$A$289,$D701,'Comp2016-2017 (3)'!$R$5:$R$289,$V701)*$AB701))</f>
        <v>1344.7961504773236</v>
      </c>
      <c r="AH701" s="2" t="str">
        <f>IF($W701=AH$3,$AB701,IF(NOT($W701=0),"",SUMIFS('Val-Vol (2)'!AH$4:AH$1116,'Val-Vol (2)'!$A$4:$A$1116,$D701,'Val-Vol (2)'!$V$4:$V$1116,$V701)/SUMIFS('Comp2016-2017 (3)'!$G$5:$G$289,'Comp2016-2017 (3)'!$A$5:$A$289,$D701,'Comp2016-2017 (3)'!$R$5:$R$289,$V701)*$AB701))</f>
        <v/>
      </c>
      <c r="AI701" s="2" t="str">
        <f>IF($W701=AI$3,$AB701,IF(NOT($W701=0),"",SUMIFS('Val-Vol (2)'!AI$4:AI$1116,'Val-Vol (2)'!$A$4:$A$1116,$D701,'Val-Vol (2)'!$V$4:$V$1116,$V701)/SUMIFS('Comp2016-2017 (3)'!$G$5:$G$289,'Comp2016-2017 (3)'!$A$5:$A$289,$D701,'Comp2016-2017 (3)'!$R$5:$R$289,$V701)*$AB701))</f>
        <v/>
      </c>
      <c r="AJ701" s="2" t="str">
        <f>IF($W701=AJ$3,$AB701,IF(NOT($W701=0),"",SUMIFS('Val-Vol (2)'!AJ$4:AJ$1116,'Val-Vol (2)'!$A$4:$A$1116,$D701,'Val-Vol (2)'!$V$4:$V$1116,$V701)/SUMIFS('Comp2016-2017 (3)'!$G$5:$G$289,'Comp2016-2017 (3)'!$A$5:$A$289,$D701,'Comp2016-2017 (3)'!$R$5:$R$289,$V701)*$AB701))</f>
        <v/>
      </c>
      <c r="AK701" s="2">
        <f t="shared" si="78"/>
        <v>0</v>
      </c>
      <c r="AL701" t="str">
        <f t="shared" si="75"/>
        <v/>
      </c>
      <c r="AM701" t="str">
        <f>VLOOKUP(A701,'Table corresp.'!$M$4:$U$63,8,FALSE)</f>
        <v>Production intermédiaire</v>
      </c>
      <c r="AN701" t="str">
        <f>VLOOKUP(D701,'Table corresp.'!$M$4:$U$63,9,FALSE)</f>
        <v>Production intermédiaire</v>
      </c>
    </row>
    <row r="702" spans="1:40" x14ac:dyDescent="0.25">
      <c r="A702" t="s">
        <v>106</v>
      </c>
      <c r="B702" t="str">
        <f>VLOOKUP(LEFT(A702,3),'Table corresp.'!$A$4:$D$63,3,FALSE)</f>
        <v>Transformation</v>
      </c>
      <c r="C702" t="str">
        <f>VLOOKUP(A702,'Table corresp.'!$M$4:$P$63,4,FALSE)</f>
        <v>Production et transformation de produits bois</v>
      </c>
      <c r="D702" t="s">
        <v>84</v>
      </c>
      <c r="E702" t="str">
        <f>VLOOKUP(LEFT(D702,3),'Table corresp.'!$A$4:$D$63,4,FALSE)</f>
        <v>Transformation</v>
      </c>
      <c r="F702" t="str">
        <f t="shared" si="74"/>
        <v xml:space="preserve">63  - 17 </v>
      </c>
      <c r="G702" s="3">
        <v>3107.692510580508</v>
      </c>
      <c r="H702" s="3">
        <v>0</v>
      </c>
      <c r="I702" s="3">
        <v>3107.6925328535785</v>
      </c>
      <c r="J702" s="3">
        <v>0</v>
      </c>
      <c r="K702" s="3">
        <v>0</v>
      </c>
      <c r="L702" s="3">
        <v>0</v>
      </c>
      <c r="M702" s="3">
        <v>0</v>
      </c>
      <c r="N702" s="3">
        <v>0</v>
      </c>
      <c r="O702" s="3">
        <v>0</v>
      </c>
      <c r="P702" s="3">
        <v>0</v>
      </c>
      <c r="Q702" s="3">
        <v>0</v>
      </c>
      <c r="R702" s="3">
        <v>0</v>
      </c>
      <c r="S702" s="67"/>
      <c r="T702">
        <f>VLOOKUP(A702,'Groupe de branches'!$Z$27:$AM$86,14,FALSE)</f>
        <v>0</v>
      </c>
      <c r="U702">
        <f>VLOOKUP(D702,'Groupe de branches'!$Z$27:$AM$86,14,FALSE)</f>
        <v>0</v>
      </c>
      <c r="V702">
        <v>2017</v>
      </c>
      <c r="W702" t="str">
        <f>VLOOKUP(D702,'Table corresp.'!$M$4:$S$63,7,FALSE)</f>
        <v>Construction</v>
      </c>
      <c r="X702" s="167">
        <f>IFERROR(G702/SUMIFS('Comp2016-2017 (3)'!$I$5:$I$289,'Comp2016-2017 (3)'!$A$5:$A$289,A702,'Comp2016-2017 (3)'!$R$5:$R$289,V702),0)</f>
        <v>7.2130352080050685E-3</v>
      </c>
      <c r="Y702" s="190">
        <f>IFERROR(IF(RIGHT(F702,3)="Exp",VLOOKUP(F702,#REF!,2,FALSE),VLOOKUP(F702,#REF!,9,FALSE)),1)</f>
        <v>1</v>
      </c>
      <c r="Z702" s="167">
        <f t="shared" si="77"/>
        <v>5.8823529411764705E-2</v>
      </c>
      <c r="AA702" s="189">
        <f t="shared" si="76"/>
        <v>4.2429618870618052E-4</v>
      </c>
      <c r="AB702" s="2">
        <f>IFERROR(SUMIFS('Comp2016-2017 (3)'!$G$5:$G$289,'Comp2016-2017 (3)'!$A$5:$A$289,A702,'Comp2016-2017 (3)'!$R$5:$R$289,V702)*AA702/SUMIFS($AA$4:$AA$1116,$A$4:$A$1116,A702,$V$4:$V$1116,V702),0)</f>
        <v>1588.0308729066376</v>
      </c>
      <c r="AC702" s="2" t="str">
        <f>IF($W702=AC$3,$AB702,IF(NOT($W702=0),"",SUMIFS('Val-Vol (2)'!AC$4:AC$1116,'Val-Vol (2)'!$A$4:$A$1116,$D702,'Val-Vol (2)'!$V$4:$V$1116,$V702)/SUMIFS('Comp2016-2017 (3)'!$G$5:$G$289,'Comp2016-2017 (3)'!$A$5:$A$289,$D702,'Comp2016-2017 (3)'!$R$5:$R$289,$V702)*$AB702))</f>
        <v/>
      </c>
      <c r="AD702" s="2">
        <f>IF($W702=AD$3,$AB702,IF(NOT($W702=0),"",SUMIFS('Val-Vol (2)'!AD$4:AD$1116,'Val-Vol (2)'!$A$4:$A$1116,$D702,'Val-Vol (2)'!$V$4:$V$1116,$V702)/SUMIFS('Comp2016-2017 (3)'!$G$5:$G$289,'Comp2016-2017 (3)'!$A$5:$A$289,$D702,'Comp2016-2017 (3)'!$R$5:$R$289,$V702)*$AB702))</f>
        <v>1588.0308729066376</v>
      </c>
      <c r="AE702" s="2" t="str">
        <f>IF($W702=AE$3,$AB702,IF(NOT($W702=0),"",SUMIFS('Val-Vol (2)'!AE$4:AE$1116,'Val-Vol (2)'!$A$4:$A$1116,$D702,'Val-Vol (2)'!$V$4:$V$1116,$V702)/SUMIFS('Comp2016-2017 (3)'!$G$5:$G$289,'Comp2016-2017 (3)'!$A$5:$A$289,$D702,'Comp2016-2017 (3)'!$R$5:$R$289,$V702)*$AB702))</f>
        <v/>
      </c>
      <c r="AF702" s="2" t="str">
        <f>IF($W702=AF$3,$AB702,IF(NOT($W702=0),"",SUMIFS('Val-Vol (2)'!AF$4:AF$1116,'Val-Vol (2)'!$A$4:$A$1116,$D702,'Val-Vol (2)'!$V$4:$V$1116,$V702)/SUMIFS('Comp2016-2017 (3)'!$G$5:$G$289,'Comp2016-2017 (3)'!$A$5:$A$289,$D702,'Comp2016-2017 (3)'!$R$5:$R$289,$V702)*$AB702))</f>
        <v/>
      </c>
      <c r="AG702" s="2" t="str">
        <f>IF($W702=AG$3,$AB702,IF(NOT($W702=0),"",SUMIFS('Val-Vol (2)'!AG$4:AG$1116,'Val-Vol (2)'!$A$4:$A$1116,$D702,'Val-Vol (2)'!$V$4:$V$1116,$V702)/SUMIFS('Comp2016-2017 (3)'!$G$5:$G$289,'Comp2016-2017 (3)'!$A$5:$A$289,$D702,'Comp2016-2017 (3)'!$R$5:$R$289,$V702)*$AB702))</f>
        <v/>
      </c>
      <c r="AH702" s="2" t="str">
        <f>IF($W702=AH$3,$AB702,IF(NOT($W702=0),"",SUMIFS('Val-Vol (2)'!AH$4:AH$1116,'Val-Vol (2)'!$A$4:$A$1116,$D702,'Val-Vol (2)'!$V$4:$V$1116,$V702)/SUMIFS('Comp2016-2017 (3)'!$G$5:$G$289,'Comp2016-2017 (3)'!$A$5:$A$289,$D702,'Comp2016-2017 (3)'!$R$5:$R$289,$V702)*$AB702))</f>
        <v/>
      </c>
      <c r="AI702" s="2" t="str">
        <f>IF($W702=AI$3,$AB702,IF(NOT($W702=0),"",SUMIFS('Val-Vol (2)'!AI$4:AI$1116,'Val-Vol (2)'!$A$4:$A$1116,$D702,'Val-Vol (2)'!$V$4:$V$1116,$V702)/SUMIFS('Comp2016-2017 (3)'!$G$5:$G$289,'Comp2016-2017 (3)'!$A$5:$A$289,$D702,'Comp2016-2017 (3)'!$R$5:$R$289,$V702)*$AB702))</f>
        <v/>
      </c>
      <c r="AJ702" s="2" t="str">
        <f>IF($W702=AJ$3,$AB702,IF(NOT($W702=0),"",SUMIFS('Val-Vol (2)'!AJ$4:AJ$1116,'Val-Vol (2)'!$A$4:$A$1116,$D702,'Val-Vol (2)'!$V$4:$V$1116,$V702)/SUMIFS('Comp2016-2017 (3)'!$G$5:$G$289,'Comp2016-2017 (3)'!$A$5:$A$289,$D702,'Comp2016-2017 (3)'!$R$5:$R$289,$V702)*$AB702))</f>
        <v/>
      </c>
      <c r="AK702" s="2">
        <f t="shared" si="78"/>
        <v>0</v>
      </c>
      <c r="AL702" t="str">
        <f t="shared" si="75"/>
        <v/>
      </c>
      <c r="AM702" t="str">
        <f>VLOOKUP(A702,'Table corresp.'!$M$4:$U$63,8,FALSE)</f>
        <v>Production intermédiaire</v>
      </c>
      <c r="AN702" t="str">
        <f>VLOOKUP(D702,'Table corresp.'!$M$4:$U$63,9,FALSE)</f>
        <v>Production intermédiaire</v>
      </c>
    </row>
    <row r="703" spans="1:40" x14ac:dyDescent="0.25">
      <c r="A703" t="s">
        <v>106</v>
      </c>
      <c r="B703" t="str">
        <f>VLOOKUP(LEFT(A703,3),'Table corresp.'!$A$4:$D$63,3,FALSE)</f>
        <v>Transformation</v>
      </c>
      <c r="C703" t="str">
        <f>VLOOKUP(A703,'Table corresp.'!$M$4:$P$63,4,FALSE)</f>
        <v>Production et transformation de produits bois</v>
      </c>
      <c r="D703" t="s">
        <v>86</v>
      </c>
      <c r="E703" t="str">
        <f>VLOOKUP(LEFT(D703,3),'Table corresp.'!$A$4:$D$63,4,FALSE)</f>
        <v>Transformation</v>
      </c>
      <c r="F703" t="str">
        <f t="shared" si="74"/>
        <v xml:space="preserve">63  - 30 </v>
      </c>
      <c r="G703" s="3">
        <v>23020.579634248272</v>
      </c>
      <c r="H703" s="3">
        <v>0</v>
      </c>
      <c r="I703" s="3">
        <v>23020.579799238534</v>
      </c>
      <c r="J703" s="3">
        <v>0</v>
      </c>
      <c r="K703" s="3">
        <v>0</v>
      </c>
      <c r="L703" s="3">
        <v>0</v>
      </c>
      <c r="M703" s="3">
        <v>0</v>
      </c>
      <c r="N703" s="3">
        <v>0</v>
      </c>
      <c r="O703" s="3">
        <v>0</v>
      </c>
      <c r="P703" s="3">
        <v>0</v>
      </c>
      <c r="Q703" s="3">
        <v>0</v>
      </c>
      <c r="R703" s="3">
        <v>0</v>
      </c>
      <c r="S703" s="67"/>
      <c r="T703">
        <f>VLOOKUP(A703,'Groupe de branches'!$Z$27:$AM$86,14,FALSE)</f>
        <v>0</v>
      </c>
      <c r="U703">
        <f>VLOOKUP(D703,'Groupe de branches'!$Z$27:$AM$86,14,FALSE)</f>
        <v>1</v>
      </c>
      <c r="V703">
        <v>2017</v>
      </c>
      <c r="W703" t="str">
        <f>VLOOKUP(D703,'Table corresp.'!$M$4:$S$63,7,FALSE)</f>
        <v>Energie</v>
      </c>
      <c r="X703" s="167">
        <f>IFERROR(G703/SUMIFS('Comp2016-2017 (3)'!$I$5:$I$289,'Comp2016-2017 (3)'!$A$5:$A$289,A703,'Comp2016-2017 (3)'!$R$5:$R$289,V703),0)</f>
        <v>5.3431364539826977E-2</v>
      </c>
      <c r="Y703" s="190">
        <f>IFERROR(IF(RIGHT(F703,3)="Exp",VLOOKUP(F703,#REF!,2,FALSE),VLOOKUP(F703,#REF!,9,FALSE)),1)</f>
        <v>1</v>
      </c>
      <c r="Z703" s="167">
        <f t="shared" si="77"/>
        <v>5.8823529411764705E-2</v>
      </c>
      <c r="AA703" s="189">
        <f t="shared" si="76"/>
        <v>3.1430214435192337E-3</v>
      </c>
      <c r="AB703" s="2">
        <f>IFERROR(SUMIFS('Comp2016-2017 (3)'!$G$5:$G$289,'Comp2016-2017 (3)'!$A$5:$A$289,A703,'Comp2016-2017 (3)'!$R$5:$R$289,V703)*AA703/SUMIFS($AA$4:$AA$1116,$A$4:$A$1116,A703,$V$4:$V$1116,V703),0)</f>
        <v>11763.516193100852</v>
      </c>
      <c r="AC703" s="2" t="str">
        <f>IF($W703=AC$3,$AB703,IF(NOT($W703=0),"",SUMIFS('Val-Vol (2)'!AC$4:AC$1116,'Val-Vol (2)'!$A$4:$A$1116,$D703,'Val-Vol (2)'!$V$4:$V$1116,$V703)/SUMIFS('Comp2016-2017 (3)'!$G$5:$G$289,'Comp2016-2017 (3)'!$A$5:$A$289,$D703,'Comp2016-2017 (3)'!$R$5:$R$289,$V703)*$AB703))</f>
        <v/>
      </c>
      <c r="AD703" s="2" t="str">
        <f>IF($W703=AD$3,$AB703,IF(NOT($W703=0),"",SUMIFS('Val-Vol (2)'!AD$4:AD$1116,'Val-Vol (2)'!$A$4:$A$1116,$D703,'Val-Vol (2)'!$V$4:$V$1116,$V703)/SUMIFS('Comp2016-2017 (3)'!$G$5:$G$289,'Comp2016-2017 (3)'!$A$5:$A$289,$D703,'Comp2016-2017 (3)'!$R$5:$R$289,$V703)*$AB703))</f>
        <v/>
      </c>
      <c r="AE703" s="2" t="str">
        <f>IF($W703=AE$3,$AB703,IF(NOT($W703=0),"",SUMIFS('Val-Vol (2)'!AE$4:AE$1116,'Val-Vol (2)'!$A$4:$A$1116,$D703,'Val-Vol (2)'!$V$4:$V$1116,$V703)/SUMIFS('Comp2016-2017 (3)'!$G$5:$G$289,'Comp2016-2017 (3)'!$A$5:$A$289,$D703,'Comp2016-2017 (3)'!$R$5:$R$289,$V703)*$AB703))</f>
        <v/>
      </c>
      <c r="AF703" s="2" t="str">
        <f>IF($W703=AF$3,$AB703,IF(NOT($W703=0),"",SUMIFS('Val-Vol (2)'!AF$4:AF$1116,'Val-Vol (2)'!$A$4:$A$1116,$D703,'Val-Vol (2)'!$V$4:$V$1116,$V703)/SUMIFS('Comp2016-2017 (3)'!$G$5:$G$289,'Comp2016-2017 (3)'!$A$5:$A$289,$D703,'Comp2016-2017 (3)'!$R$5:$R$289,$V703)*$AB703))</f>
        <v/>
      </c>
      <c r="AG703" s="2" t="str">
        <f>IF($W703=AG$3,$AB703,IF(NOT($W703=0),"",SUMIFS('Val-Vol (2)'!AG$4:AG$1116,'Val-Vol (2)'!$A$4:$A$1116,$D703,'Val-Vol (2)'!$V$4:$V$1116,$V703)/SUMIFS('Comp2016-2017 (3)'!$G$5:$G$289,'Comp2016-2017 (3)'!$A$5:$A$289,$D703,'Comp2016-2017 (3)'!$R$5:$R$289,$V703)*$AB703))</f>
        <v/>
      </c>
      <c r="AH703" s="2">
        <f>IF($W703=AH$3,$AB703,IF(NOT($W703=0),"",SUMIFS('Val-Vol (2)'!AH$4:AH$1116,'Val-Vol (2)'!$A$4:$A$1116,$D703,'Val-Vol (2)'!$V$4:$V$1116,$V703)/SUMIFS('Comp2016-2017 (3)'!$G$5:$G$289,'Comp2016-2017 (3)'!$A$5:$A$289,$D703,'Comp2016-2017 (3)'!$R$5:$R$289,$V703)*$AB703))</f>
        <v>11763.516193100852</v>
      </c>
      <c r="AI703" s="2" t="str">
        <f>IF($W703=AI$3,$AB703,IF(NOT($W703=0),"",SUMIFS('Val-Vol (2)'!AI$4:AI$1116,'Val-Vol (2)'!$A$4:$A$1116,$D703,'Val-Vol (2)'!$V$4:$V$1116,$V703)/SUMIFS('Comp2016-2017 (3)'!$G$5:$G$289,'Comp2016-2017 (3)'!$A$5:$A$289,$D703,'Comp2016-2017 (3)'!$R$5:$R$289,$V703)*$AB703))</f>
        <v/>
      </c>
      <c r="AJ703" s="2" t="str">
        <f>IF($W703=AJ$3,$AB703,IF(NOT($W703=0),"",SUMIFS('Val-Vol (2)'!AJ$4:AJ$1116,'Val-Vol (2)'!$A$4:$A$1116,$D703,'Val-Vol (2)'!$V$4:$V$1116,$V703)/SUMIFS('Comp2016-2017 (3)'!$G$5:$G$289,'Comp2016-2017 (3)'!$A$5:$A$289,$D703,'Comp2016-2017 (3)'!$R$5:$R$289,$V703)*$AB703))</f>
        <v/>
      </c>
      <c r="AK703" s="2">
        <f t="shared" si="78"/>
        <v>0</v>
      </c>
      <c r="AL703" t="str">
        <f t="shared" si="75"/>
        <v/>
      </c>
      <c r="AM703" t="str">
        <f>VLOOKUP(A703,'Table corresp.'!$M$4:$U$63,8,FALSE)</f>
        <v>Production intermédiaire</v>
      </c>
      <c r="AN703" t="str">
        <f>VLOOKUP(D703,'Table corresp.'!$M$4:$U$63,9,FALSE)</f>
        <v>Production intermédiaire</v>
      </c>
    </row>
    <row r="704" spans="1:40" x14ac:dyDescent="0.25">
      <c r="A704" t="s">
        <v>106</v>
      </c>
      <c r="B704" t="str">
        <f>VLOOKUP(LEFT(A704,3),'Table corresp.'!$A$4:$D$63,3,FALSE)</f>
        <v>Transformation</v>
      </c>
      <c r="C704" t="str">
        <f>VLOOKUP(A704,'Table corresp.'!$M$4:$P$63,4,FALSE)</f>
        <v>Production et transformation de produits bois</v>
      </c>
      <c r="D704" t="s">
        <v>87</v>
      </c>
      <c r="E704" t="str">
        <f>VLOOKUP(LEFT(D704,3),'Table corresp.'!$A$4:$D$63,4,FALSE)</f>
        <v>Transformation</v>
      </c>
      <c r="F704" t="str">
        <f t="shared" si="74"/>
        <v xml:space="preserve">63  - 31 </v>
      </c>
      <c r="G704" s="3">
        <v>38373.919976057623</v>
      </c>
      <c r="H704" s="3">
        <v>0</v>
      </c>
      <c r="I704" s="3">
        <v>38373.920251086456</v>
      </c>
      <c r="J704" s="3">
        <v>0</v>
      </c>
      <c r="K704" s="3">
        <v>0</v>
      </c>
      <c r="L704" s="3">
        <v>0</v>
      </c>
      <c r="M704" s="3">
        <v>0</v>
      </c>
      <c r="N704" s="3">
        <v>0</v>
      </c>
      <c r="O704" s="3">
        <v>0</v>
      </c>
      <c r="P704" s="3">
        <v>0</v>
      </c>
      <c r="Q704" s="3">
        <v>0</v>
      </c>
      <c r="R704" s="3">
        <v>0</v>
      </c>
      <c r="S704" s="67"/>
      <c r="T704">
        <f>VLOOKUP(A704,'Groupe de branches'!$Z$27:$AM$86,14,FALSE)</f>
        <v>0</v>
      </c>
      <c r="U704">
        <f>VLOOKUP(D704,'Groupe de branches'!$Z$27:$AM$86,14,FALSE)</f>
        <v>0</v>
      </c>
      <c r="V704">
        <v>2017</v>
      </c>
      <c r="W704">
        <f>VLOOKUP(D704,'Table corresp.'!$M$4:$S$63,7,FALSE)</f>
        <v>0</v>
      </c>
      <c r="X704" s="167">
        <f>IFERROR(G704/SUMIFS('Comp2016-2017 (3)'!$I$5:$I$289,'Comp2016-2017 (3)'!$A$5:$A$289,A704,'Comp2016-2017 (3)'!$R$5:$R$289,V704),0)</f>
        <v>8.9066867109310194E-2</v>
      </c>
      <c r="Y704" s="190">
        <f>IFERROR(IF(RIGHT(F704,3)="Exp",VLOOKUP(F704,#REF!,2,FALSE),VLOOKUP(F704,#REF!,9,FALSE)),1)</f>
        <v>1</v>
      </c>
      <c r="Z704" s="167">
        <f t="shared" si="77"/>
        <v>5.8823529411764705E-2</v>
      </c>
      <c r="AA704" s="189">
        <f t="shared" si="76"/>
        <v>5.2392274770182469E-3</v>
      </c>
      <c r="AB704" s="2">
        <f>IFERROR(SUMIFS('Comp2016-2017 (3)'!$G$5:$G$289,'Comp2016-2017 (3)'!$A$5:$A$289,A704,'Comp2016-2017 (3)'!$R$5:$R$289,V704)*AA704/SUMIFS($AA$4:$AA$1116,$A$4:$A$1116,A704,$V$4:$V$1116,V704),0)</f>
        <v>19609.07310776542</v>
      </c>
      <c r="AC704" s="2">
        <f>IF($W704=AC$3,$AB704,IF(NOT($W704=0),"",SUMIFS('Val-Vol (2)'!AC$4:AC$1116,'Val-Vol (2)'!$A$4:$A$1116,$D704,'Val-Vol (2)'!$V$4:$V$1116,$V704)/SUMIFS('Comp2016-2017 (3)'!$G$5:$G$289,'Comp2016-2017 (3)'!$A$5:$A$289,$D704,'Comp2016-2017 (3)'!$R$5:$R$289,$V704)*$AB704))</f>
        <v>10409.883224204004</v>
      </c>
      <c r="AD704" s="2">
        <f>IF($W704=AD$3,$AB704,IF(NOT($W704=0),"",SUMIFS('Val-Vol (2)'!AD$4:AD$1116,'Val-Vol (2)'!$A$4:$A$1116,$D704,'Val-Vol (2)'!$V$4:$V$1116,$V704)/SUMIFS('Comp2016-2017 (3)'!$G$5:$G$289,'Comp2016-2017 (3)'!$A$5:$A$289,$D704,'Comp2016-2017 (3)'!$R$5:$R$289,$V704)*$AB704))</f>
        <v>3003.7661312729683</v>
      </c>
      <c r="AE704" s="2">
        <f>IF($W704=AE$3,$AB704,IF(NOT($W704=0),"",SUMIFS('Val-Vol (2)'!AE$4:AE$1116,'Val-Vol (2)'!$A$4:$A$1116,$D704,'Val-Vol (2)'!$V$4:$V$1116,$V704)/SUMIFS('Comp2016-2017 (3)'!$G$5:$G$289,'Comp2016-2017 (3)'!$A$5:$A$289,$D704,'Comp2016-2017 (3)'!$R$5:$R$289,$V704)*$AB704))</f>
        <v>3843.1257189033245</v>
      </c>
      <c r="AF704" s="2">
        <f>IF($W704=AF$3,$AB704,IF(NOT($W704=0),"",SUMIFS('Val-Vol (2)'!AF$4:AF$1116,'Val-Vol (2)'!$A$4:$A$1116,$D704,'Val-Vol (2)'!$V$4:$V$1116,$V704)/SUMIFS('Comp2016-2017 (3)'!$G$5:$G$289,'Comp2016-2017 (3)'!$A$5:$A$289,$D704,'Comp2016-2017 (3)'!$R$5:$R$289,$V704)*$AB704))</f>
        <v>0</v>
      </c>
      <c r="AG704" s="2">
        <f>IF($W704=AG$3,$AB704,IF(NOT($W704=0),"",SUMIFS('Val-Vol (2)'!AG$4:AG$1116,'Val-Vol (2)'!$A$4:$A$1116,$D704,'Val-Vol (2)'!$V$4:$V$1116,$V704)/SUMIFS('Comp2016-2017 (3)'!$G$5:$G$289,'Comp2016-2017 (3)'!$A$5:$A$289,$D704,'Comp2016-2017 (3)'!$R$5:$R$289,$V704)*$AB704))</f>
        <v>1778.6524334133908</v>
      </c>
      <c r="AH704" s="2">
        <f>IF($W704=AH$3,$AB704,IF(NOT($W704=0),"",SUMIFS('Val-Vol (2)'!AH$4:AH$1116,'Val-Vol (2)'!$A$4:$A$1116,$D704,'Val-Vol (2)'!$V$4:$V$1116,$V704)/SUMIFS('Comp2016-2017 (3)'!$G$5:$G$289,'Comp2016-2017 (3)'!$A$5:$A$289,$D704,'Comp2016-2017 (3)'!$R$5:$R$289,$V704)*$AB704))</f>
        <v>0</v>
      </c>
      <c r="AI704" s="2">
        <f>IF($W704=AI$3,$AB704,IF(NOT($W704=0),"",SUMIFS('Val-Vol (2)'!AI$4:AI$1116,'Val-Vol (2)'!$A$4:$A$1116,$D704,'Val-Vol (2)'!$V$4:$V$1116,$V704)/SUMIFS('Comp2016-2017 (3)'!$G$5:$G$289,'Comp2016-2017 (3)'!$A$5:$A$289,$D704,'Comp2016-2017 (3)'!$R$5:$R$289,$V704)*$AB704))</f>
        <v>0</v>
      </c>
      <c r="AJ704" s="2">
        <f>IF($W704=AJ$3,$AB704,IF(NOT($W704=0),"",SUMIFS('Val-Vol (2)'!AJ$4:AJ$1116,'Val-Vol (2)'!$A$4:$A$1116,$D704,'Val-Vol (2)'!$V$4:$V$1116,$V704)/SUMIFS('Comp2016-2017 (3)'!$G$5:$G$289,'Comp2016-2017 (3)'!$A$5:$A$289,$D704,'Comp2016-2017 (3)'!$R$5:$R$289,$V704)*$AB704))</f>
        <v>573.64559997173319</v>
      </c>
      <c r="AK704" s="2">
        <f t="shared" si="78"/>
        <v>0</v>
      </c>
      <c r="AL704" t="str">
        <f t="shared" si="75"/>
        <v/>
      </c>
      <c r="AM704" t="str">
        <f>VLOOKUP(A704,'Table corresp.'!$M$4:$U$63,8,FALSE)</f>
        <v>Production intermédiaire</v>
      </c>
      <c r="AN704" t="str">
        <f>VLOOKUP(D704,'Table corresp.'!$M$4:$U$63,9,FALSE)</f>
        <v>Production intermédiaire</v>
      </c>
    </row>
    <row r="705" spans="1:42" x14ac:dyDescent="0.25">
      <c r="A705" t="s">
        <v>106</v>
      </c>
      <c r="B705" t="str">
        <f>VLOOKUP(LEFT(A705,3),'Table corresp.'!$A$4:$D$63,3,FALSE)</f>
        <v>Transformation</v>
      </c>
      <c r="C705" t="str">
        <f>VLOOKUP(A705,'Table corresp.'!$M$4:$P$63,4,FALSE)</f>
        <v>Production et transformation de produits bois</v>
      </c>
      <c r="D705" t="s">
        <v>91</v>
      </c>
      <c r="E705" t="str">
        <f>VLOOKUP(LEFT(D705,3),'Table corresp.'!$A$4:$D$63,4,FALSE)</f>
        <v>Transformation</v>
      </c>
      <c r="F705" t="str">
        <f t="shared" si="74"/>
        <v xml:space="preserve">63  - 37 </v>
      </c>
      <c r="G705" s="3">
        <v>12065.299699056963</v>
      </c>
      <c r="H705" s="3">
        <v>0</v>
      </c>
      <c r="I705" s="3">
        <v>12065.299785529893</v>
      </c>
      <c r="J705" s="3">
        <v>0</v>
      </c>
      <c r="K705" s="3">
        <v>0</v>
      </c>
      <c r="L705" s="3">
        <v>0</v>
      </c>
      <c r="M705" s="3">
        <v>0</v>
      </c>
      <c r="N705" s="3">
        <v>0</v>
      </c>
      <c r="O705" s="3">
        <v>0</v>
      </c>
      <c r="P705" s="3">
        <v>0</v>
      </c>
      <c r="Q705" s="3">
        <v>0</v>
      </c>
      <c r="R705" s="3">
        <v>0</v>
      </c>
      <c r="S705" s="67"/>
      <c r="T705">
        <f>VLOOKUP(A705,'Groupe de branches'!$Z$27:$AM$86,14,FALSE)</f>
        <v>0</v>
      </c>
      <c r="U705">
        <f>VLOOKUP(D705,'Groupe de branches'!$Z$27:$AM$86,14,FALSE)</f>
        <v>0</v>
      </c>
      <c r="V705">
        <v>2017</v>
      </c>
      <c r="W705" t="str">
        <f>VLOOKUP(D705,'Table corresp.'!$M$4:$S$63,7,FALSE)</f>
        <v>Emballage bois et carton</v>
      </c>
      <c r="X705" s="167">
        <f>IFERROR(G705/SUMIFS('Comp2016-2017 (3)'!$I$5:$I$289,'Comp2016-2017 (3)'!$A$5:$A$289,A705,'Comp2016-2017 (3)'!$R$5:$R$289,V705),0)</f>
        <v>2.8003874652378129E-2</v>
      </c>
      <c r="Y705" s="190">
        <f>IFERROR(IF(RIGHT(F705,3)="Exp",VLOOKUP(F705,#REF!,2,FALSE),VLOOKUP(F705,#REF!,9,FALSE)),1)</f>
        <v>1</v>
      </c>
      <c r="Z705" s="167">
        <f t="shared" si="77"/>
        <v>5.8823529411764705E-2</v>
      </c>
      <c r="AA705" s="189">
        <f t="shared" si="76"/>
        <v>1.6472867442575369E-3</v>
      </c>
      <c r="AB705" s="2">
        <f>IFERROR(SUMIFS('Comp2016-2017 (3)'!$G$5:$G$289,'Comp2016-2017 (3)'!$A$5:$A$289,A705,'Comp2016-2017 (3)'!$R$5:$R$289,V705)*AA705/SUMIFS($AA$4:$AA$1116,$A$4:$A$1116,A705,$V$4:$V$1116,V705),0)</f>
        <v>6165.3681462181012</v>
      </c>
      <c r="AC705" s="2" t="str">
        <f>IF($W705=AC$3,$AB705,IF(NOT($W705=0),"",SUMIFS('Val-Vol (2)'!AC$4:AC$1116,'Val-Vol (2)'!$A$4:$A$1116,$D705,'Val-Vol (2)'!$V$4:$V$1116,$V705)/SUMIFS('Comp2016-2017 (3)'!$G$5:$G$289,'Comp2016-2017 (3)'!$A$5:$A$289,$D705,'Comp2016-2017 (3)'!$R$5:$R$289,$V705)*$AB705))</f>
        <v/>
      </c>
      <c r="AD705" s="2" t="str">
        <f>IF($W705=AD$3,$AB705,IF(NOT($W705=0),"",SUMIFS('Val-Vol (2)'!AD$4:AD$1116,'Val-Vol (2)'!$A$4:$A$1116,$D705,'Val-Vol (2)'!$V$4:$V$1116,$V705)/SUMIFS('Comp2016-2017 (3)'!$G$5:$G$289,'Comp2016-2017 (3)'!$A$5:$A$289,$D705,'Comp2016-2017 (3)'!$R$5:$R$289,$V705)*$AB705))</f>
        <v/>
      </c>
      <c r="AE705" s="2" t="str">
        <f>IF($W705=AE$3,$AB705,IF(NOT($W705=0),"",SUMIFS('Val-Vol (2)'!AE$4:AE$1116,'Val-Vol (2)'!$A$4:$A$1116,$D705,'Val-Vol (2)'!$V$4:$V$1116,$V705)/SUMIFS('Comp2016-2017 (3)'!$G$5:$G$289,'Comp2016-2017 (3)'!$A$5:$A$289,$D705,'Comp2016-2017 (3)'!$R$5:$R$289,$V705)*$AB705))</f>
        <v/>
      </c>
      <c r="AF705" s="2" t="str">
        <f>IF($W705=AF$3,$AB705,IF(NOT($W705=0),"",SUMIFS('Val-Vol (2)'!AF$4:AF$1116,'Val-Vol (2)'!$A$4:$A$1116,$D705,'Val-Vol (2)'!$V$4:$V$1116,$V705)/SUMIFS('Comp2016-2017 (3)'!$G$5:$G$289,'Comp2016-2017 (3)'!$A$5:$A$289,$D705,'Comp2016-2017 (3)'!$R$5:$R$289,$V705)*$AB705))</f>
        <v/>
      </c>
      <c r="AG705" s="2">
        <f>IF($W705=AG$3,$AB705,IF(NOT($W705=0),"",SUMIFS('Val-Vol (2)'!AG$4:AG$1116,'Val-Vol (2)'!$A$4:$A$1116,$D705,'Val-Vol (2)'!$V$4:$V$1116,$V705)/SUMIFS('Comp2016-2017 (3)'!$G$5:$G$289,'Comp2016-2017 (3)'!$A$5:$A$289,$D705,'Comp2016-2017 (3)'!$R$5:$R$289,$V705)*$AB705))</f>
        <v>6165.3681462181012</v>
      </c>
      <c r="AH705" s="2" t="str">
        <f>IF($W705=AH$3,$AB705,IF(NOT($W705=0),"",SUMIFS('Val-Vol (2)'!AH$4:AH$1116,'Val-Vol (2)'!$A$4:$A$1116,$D705,'Val-Vol (2)'!$V$4:$V$1116,$V705)/SUMIFS('Comp2016-2017 (3)'!$G$5:$G$289,'Comp2016-2017 (3)'!$A$5:$A$289,$D705,'Comp2016-2017 (3)'!$R$5:$R$289,$V705)*$AB705))</f>
        <v/>
      </c>
      <c r="AI705" s="2" t="str">
        <f>IF($W705=AI$3,$AB705,IF(NOT($W705=0),"",SUMIFS('Val-Vol (2)'!AI$4:AI$1116,'Val-Vol (2)'!$A$4:$A$1116,$D705,'Val-Vol (2)'!$V$4:$V$1116,$V705)/SUMIFS('Comp2016-2017 (3)'!$G$5:$G$289,'Comp2016-2017 (3)'!$A$5:$A$289,$D705,'Comp2016-2017 (3)'!$R$5:$R$289,$V705)*$AB705))</f>
        <v/>
      </c>
      <c r="AJ705" s="2" t="str">
        <f>IF($W705=AJ$3,$AB705,IF(NOT($W705=0),"",SUMIFS('Val-Vol (2)'!AJ$4:AJ$1116,'Val-Vol (2)'!$A$4:$A$1116,$D705,'Val-Vol (2)'!$V$4:$V$1116,$V705)/SUMIFS('Comp2016-2017 (3)'!$G$5:$G$289,'Comp2016-2017 (3)'!$A$5:$A$289,$D705,'Comp2016-2017 (3)'!$R$5:$R$289,$V705)*$AB705))</f>
        <v/>
      </c>
      <c r="AK705" s="2">
        <f t="shared" si="78"/>
        <v>0</v>
      </c>
      <c r="AL705" t="str">
        <f t="shared" si="75"/>
        <v/>
      </c>
      <c r="AM705" t="str">
        <f>VLOOKUP(A705,'Table corresp.'!$M$4:$U$63,8,FALSE)</f>
        <v>Production intermédiaire</v>
      </c>
      <c r="AN705" t="str">
        <f>VLOOKUP(D705,'Table corresp.'!$M$4:$U$63,9,FALSE)</f>
        <v>Production finale</v>
      </c>
    </row>
    <row r="706" spans="1:42" x14ac:dyDescent="0.25">
      <c r="A706" t="s">
        <v>106</v>
      </c>
      <c r="B706" t="str">
        <f>VLOOKUP(LEFT(A706,3),'Table corresp.'!$A$4:$D$63,3,FALSE)</f>
        <v>Transformation</v>
      </c>
      <c r="C706" t="str">
        <f>VLOOKUP(A706,'Table corresp.'!$M$4:$P$63,4,FALSE)</f>
        <v>Production et transformation de produits bois</v>
      </c>
      <c r="D706" t="s">
        <v>95</v>
      </c>
      <c r="E706" t="str">
        <f>VLOOKUP(LEFT(D706,3),'Table corresp.'!$A$4:$D$63,4,FALSE)</f>
        <v>Transformation</v>
      </c>
      <c r="F706" t="str">
        <f t="shared" si="74"/>
        <v xml:space="preserve">63  - 43 </v>
      </c>
      <c r="G706" s="3">
        <v>47614.10530164896</v>
      </c>
      <c r="H706" s="3">
        <v>0</v>
      </c>
      <c r="I706" s="3">
        <v>47614.105642902919</v>
      </c>
      <c r="J706" s="3">
        <v>0</v>
      </c>
      <c r="K706" s="3">
        <v>0</v>
      </c>
      <c r="L706" s="3">
        <v>0</v>
      </c>
      <c r="M706" s="3">
        <v>0</v>
      </c>
      <c r="N706" s="3">
        <v>0</v>
      </c>
      <c r="O706" s="3">
        <v>0</v>
      </c>
      <c r="P706" s="3">
        <v>0</v>
      </c>
      <c r="Q706" s="3">
        <v>0</v>
      </c>
      <c r="R706" s="3">
        <v>0</v>
      </c>
      <c r="S706" s="67"/>
      <c r="T706">
        <f>VLOOKUP(A706,'Groupe de branches'!$Z$27:$AM$86,14,FALSE)</f>
        <v>0</v>
      </c>
      <c r="U706">
        <f>VLOOKUP(D706,'Groupe de branches'!$Z$27:$AM$86,14,FALSE)</f>
        <v>0</v>
      </c>
      <c r="V706">
        <v>2017</v>
      </c>
      <c r="W706" t="str">
        <f>VLOOKUP(D706,'Table corresp.'!$M$4:$S$63,7,FALSE)</f>
        <v>Pate &amp; papier &amp; carton</v>
      </c>
      <c r="X706" s="167">
        <f>IFERROR(G706/SUMIFS('Comp2016-2017 (3)'!$I$5:$I$289,'Comp2016-2017 (3)'!$A$5:$A$289,A706,'Comp2016-2017 (3)'!$R$5:$R$289,V706),0)</f>
        <v>0.11051357776522773</v>
      </c>
      <c r="Y706" s="190">
        <f>IFERROR(IF(RIGHT(F706,3)="Exp",VLOOKUP(F706,#REF!,2,FALSE),VLOOKUP(F706,#REF!,9,FALSE)),1)</f>
        <v>1</v>
      </c>
      <c r="Z706" s="167">
        <f t="shared" si="77"/>
        <v>5.8823529411764705E-2</v>
      </c>
      <c r="AA706" s="189">
        <f t="shared" si="76"/>
        <v>6.5007986920722193E-3</v>
      </c>
      <c r="AB706" s="2">
        <f>IFERROR(SUMIFS('Comp2016-2017 (3)'!$G$5:$G$289,'Comp2016-2017 (3)'!$A$5:$A$289,A706,'Comp2016-2017 (3)'!$R$5:$R$289,V706)*AA706/SUMIFS($AA$4:$AA$1116,$A$4:$A$1116,A706,$V$4:$V$1116,V706),0)</f>
        <v>24330.807809142592</v>
      </c>
      <c r="AC706" s="2" t="str">
        <f>IF($W706=AC$3,$AB706,IF(NOT($W706=0),"",SUMIFS('Val-Vol (2)'!AC$4:AC$1116,'Val-Vol (2)'!$A$4:$A$1116,$D706,'Val-Vol (2)'!$V$4:$V$1116,$V706)/SUMIFS('Comp2016-2017 (3)'!$G$5:$G$289,'Comp2016-2017 (3)'!$A$5:$A$289,$D706,'Comp2016-2017 (3)'!$R$5:$R$289,$V706)*$AB706))</f>
        <v/>
      </c>
      <c r="AD706" s="2" t="str">
        <f>IF($W706=AD$3,$AB706,IF(NOT($W706=0),"",SUMIFS('Val-Vol (2)'!AD$4:AD$1116,'Val-Vol (2)'!$A$4:$A$1116,$D706,'Val-Vol (2)'!$V$4:$V$1116,$V706)/SUMIFS('Comp2016-2017 (3)'!$G$5:$G$289,'Comp2016-2017 (3)'!$A$5:$A$289,$D706,'Comp2016-2017 (3)'!$R$5:$R$289,$V706)*$AB706))</f>
        <v/>
      </c>
      <c r="AE706" s="2" t="str">
        <f>IF($W706=AE$3,$AB706,IF(NOT($W706=0),"",SUMIFS('Val-Vol (2)'!AE$4:AE$1116,'Val-Vol (2)'!$A$4:$A$1116,$D706,'Val-Vol (2)'!$V$4:$V$1116,$V706)/SUMIFS('Comp2016-2017 (3)'!$G$5:$G$289,'Comp2016-2017 (3)'!$A$5:$A$289,$D706,'Comp2016-2017 (3)'!$R$5:$R$289,$V706)*$AB706))</f>
        <v/>
      </c>
      <c r="AF706" s="2">
        <f>IF($W706=AF$3,$AB706,IF(NOT($W706=0),"",SUMIFS('Val-Vol (2)'!AF$4:AF$1116,'Val-Vol (2)'!$A$4:$A$1116,$D706,'Val-Vol (2)'!$V$4:$V$1116,$V706)/SUMIFS('Comp2016-2017 (3)'!$G$5:$G$289,'Comp2016-2017 (3)'!$A$5:$A$289,$D706,'Comp2016-2017 (3)'!$R$5:$R$289,$V706)*$AB706))</f>
        <v>24330.807809142592</v>
      </c>
      <c r="AG706" s="2" t="str">
        <f>IF($W706=AG$3,$AB706,IF(NOT($W706=0),"",SUMIFS('Val-Vol (2)'!AG$4:AG$1116,'Val-Vol (2)'!$A$4:$A$1116,$D706,'Val-Vol (2)'!$V$4:$V$1116,$V706)/SUMIFS('Comp2016-2017 (3)'!$G$5:$G$289,'Comp2016-2017 (3)'!$A$5:$A$289,$D706,'Comp2016-2017 (3)'!$R$5:$R$289,$V706)*$AB706))</f>
        <v/>
      </c>
      <c r="AH706" s="2" t="str">
        <f>IF($W706=AH$3,$AB706,IF(NOT($W706=0),"",SUMIFS('Val-Vol (2)'!AH$4:AH$1116,'Val-Vol (2)'!$A$4:$A$1116,$D706,'Val-Vol (2)'!$V$4:$V$1116,$V706)/SUMIFS('Comp2016-2017 (3)'!$G$5:$G$289,'Comp2016-2017 (3)'!$A$5:$A$289,$D706,'Comp2016-2017 (3)'!$R$5:$R$289,$V706)*$AB706))</f>
        <v/>
      </c>
      <c r="AI706" s="2" t="str">
        <f>IF($W706=AI$3,$AB706,IF(NOT($W706=0),"",SUMIFS('Val-Vol (2)'!AI$4:AI$1116,'Val-Vol (2)'!$A$4:$A$1116,$D706,'Val-Vol (2)'!$V$4:$V$1116,$V706)/SUMIFS('Comp2016-2017 (3)'!$G$5:$G$289,'Comp2016-2017 (3)'!$A$5:$A$289,$D706,'Comp2016-2017 (3)'!$R$5:$R$289,$V706)*$AB706))</f>
        <v/>
      </c>
      <c r="AJ706" s="2" t="str">
        <f>IF($W706=AJ$3,$AB706,IF(NOT($W706=0),"",SUMIFS('Val-Vol (2)'!AJ$4:AJ$1116,'Val-Vol (2)'!$A$4:$A$1116,$D706,'Val-Vol (2)'!$V$4:$V$1116,$V706)/SUMIFS('Comp2016-2017 (3)'!$G$5:$G$289,'Comp2016-2017 (3)'!$A$5:$A$289,$D706,'Comp2016-2017 (3)'!$R$5:$R$289,$V706)*$AB706))</f>
        <v/>
      </c>
      <c r="AK706" s="2">
        <f t="shared" si="78"/>
        <v>0</v>
      </c>
      <c r="AL706" t="str">
        <f t="shared" si="75"/>
        <v/>
      </c>
      <c r="AM706" t="str">
        <f>VLOOKUP(A706,'Table corresp.'!$M$4:$U$63,8,FALSE)</f>
        <v>Production intermédiaire</v>
      </c>
      <c r="AN706" t="str">
        <f>VLOOKUP(D706,'Table corresp.'!$M$4:$U$63,9,FALSE)</f>
        <v>Production intermédiaire</v>
      </c>
      <c r="AO706" s="2"/>
      <c r="AP706" s="2"/>
    </row>
    <row r="707" spans="1:42" x14ac:dyDescent="0.25">
      <c r="A707" t="s">
        <v>106</v>
      </c>
      <c r="B707" t="str">
        <f>VLOOKUP(LEFT(A707,3),'Table corresp.'!$A$4:$D$63,3,FALSE)</f>
        <v>Transformation</v>
      </c>
      <c r="C707" t="str">
        <f>VLOOKUP(A707,'Table corresp.'!$M$4:$P$63,4,FALSE)</f>
        <v>Production et transformation de produits bois</v>
      </c>
      <c r="D707" t="s">
        <v>98</v>
      </c>
      <c r="E707" t="str">
        <f>VLOOKUP(LEFT(D707,3),'Table corresp.'!$A$4:$D$63,4,FALSE)</f>
        <v>Transformation</v>
      </c>
      <c r="F707" t="str">
        <f t="shared" si="74"/>
        <v xml:space="preserve">63  - 46 </v>
      </c>
      <c r="G707" s="3">
        <v>8565.3128845309366</v>
      </c>
      <c r="H707" s="3">
        <v>0</v>
      </c>
      <c r="I707" s="3">
        <v>8565.3129459191914</v>
      </c>
      <c r="J707" s="3">
        <v>0</v>
      </c>
      <c r="K707" s="3">
        <v>0</v>
      </c>
      <c r="L707" s="3">
        <v>0</v>
      </c>
      <c r="M707" s="3">
        <v>0</v>
      </c>
      <c r="N707" s="3">
        <v>0</v>
      </c>
      <c r="O707" s="3">
        <v>0</v>
      </c>
      <c r="P707" s="3">
        <v>0</v>
      </c>
      <c r="Q707" s="3">
        <v>0</v>
      </c>
      <c r="R707" s="3">
        <v>0</v>
      </c>
      <c r="S707" s="67"/>
      <c r="T707">
        <f>VLOOKUP(A707,'Groupe de branches'!$Z$27:$AM$86,14,FALSE)</f>
        <v>0</v>
      </c>
      <c r="U707">
        <f>VLOOKUP(D707,'Groupe de branches'!$Z$27:$AM$86,14,FALSE)</f>
        <v>0</v>
      </c>
      <c r="V707">
        <v>2017</v>
      </c>
      <c r="W707" t="str">
        <f>VLOOKUP(D707,'Table corresp.'!$M$4:$S$63,7,FALSE)</f>
        <v>Produits de consommation courante</v>
      </c>
      <c r="X707" s="167">
        <f>IFERROR(G707/SUMIFS('Comp2016-2017 (3)'!$I$5:$I$289,'Comp2016-2017 (3)'!$A$5:$A$289,A707,'Comp2016-2017 (3)'!$R$5:$R$289,V707),0)</f>
        <v>1.9880314153783645E-2</v>
      </c>
      <c r="Y707" s="190">
        <f>IFERROR(IF(RIGHT(F707,3)="Exp",VLOOKUP(F707,#REF!,2,FALSE),VLOOKUP(F707,#REF!,9,FALSE)),1)</f>
        <v>1</v>
      </c>
      <c r="Z707" s="167">
        <f t="shared" ref="Z707:Z710" si="79">Y707/SUMIFS($Y$4:$Y$1116,$V$4:$V$1116,V707,$A$4:$A$1116,A707)</f>
        <v>5.8823529411764705E-2</v>
      </c>
      <c r="AA707" s="189">
        <f t="shared" si="76"/>
        <v>1.1694302443402145E-3</v>
      </c>
      <c r="AB707" s="2">
        <f>IFERROR(SUMIFS('Comp2016-2017 (3)'!$G$5:$G$289,'Comp2016-2017 (3)'!$A$5:$A$289,A707,'Comp2016-2017 (3)'!$R$5:$R$289,V707)*AA707/SUMIFS($AA$4:$AA$1116,$A$4:$A$1116,A707,$V$4:$V$1116,V707),0)</f>
        <v>4376.8748839953041</v>
      </c>
      <c r="AC707" s="2" t="str">
        <f>IF($W707=AC$3,$AB707,IF(NOT($W707=0),"",SUMIFS('Val-Vol (2)'!AC$4:AC$1116,'Val-Vol (2)'!$A$4:$A$1116,$D707,'Val-Vol (2)'!$V$4:$V$1116,$V707)/SUMIFS('Comp2016-2017 (3)'!$G$5:$G$289,'Comp2016-2017 (3)'!$A$5:$A$289,$D707,'Comp2016-2017 (3)'!$R$5:$R$289,$V707)*$AB707))</f>
        <v/>
      </c>
      <c r="AD707" s="2" t="str">
        <f>IF($W707=AD$3,$AB707,IF(NOT($W707=0),"",SUMIFS('Val-Vol (2)'!AD$4:AD$1116,'Val-Vol (2)'!$A$4:$A$1116,$D707,'Val-Vol (2)'!$V$4:$V$1116,$V707)/SUMIFS('Comp2016-2017 (3)'!$G$5:$G$289,'Comp2016-2017 (3)'!$A$5:$A$289,$D707,'Comp2016-2017 (3)'!$R$5:$R$289,$V707)*$AB707))</f>
        <v/>
      </c>
      <c r="AE707" s="2" t="str">
        <f>IF($W707=AE$3,$AB707,IF(NOT($W707=0),"",SUMIFS('Val-Vol (2)'!AE$4:AE$1116,'Val-Vol (2)'!$A$4:$A$1116,$D707,'Val-Vol (2)'!$V$4:$V$1116,$V707)/SUMIFS('Comp2016-2017 (3)'!$G$5:$G$289,'Comp2016-2017 (3)'!$A$5:$A$289,$D707,'Comp2016-2017 (3)'!$R$5:$R$289,$V707)*$AB707))</f>
        <v/>
      </c>
      <c r="AF707" s="2" t="str">
        <f>IF($W707=AF$3,$AB707,IF(NOT($W707=0),"",SUMIFS('Val-Vol (2)'!AF$4:AF$1116,'Val-Vol (2)'!$A$4:$A$1116,$D707,'Val-Vol (2)'!$V$4:$V$1116,$V707)/SUMIFS('Comp2016-2017 (3)'!$G$5:$G$289,'Comp2016-2017 (3)'!$A$5:$A$289,$D707,'Comp2016-2017 (3)'!$R$5:$R$289,$V707)*$AB707))</f>
        <v/>
      </c>
      <c r="AG707" s="2" t="str">
        <f>IF($W707=AG$3,$AB707,IF(NOT($W707=0),"",SUMIFS('Val-Vol (2)'!AG$4:AG$1116,'Val-Vol (2)'!$A$4:$A$1116,$D707,'Val-Vol (2)'!$V$4:$V$1116,$V707)/SUMIFS('Comp2016-2017 (3)'!$G$5:$G$289,'Comp2016-2017 (3)'!$A$5:$A$289,$D707,'Comp2016-2017 (3)'!$R$5:$R$289,$V707)*$AB707))</f>
        <v/>
      </c>
      <c r="AH707" s="2" t="str">
        <f>IF($W707=AH$3,$AB707,IF(NOT($W707=0),"",SUMIFS('Val-Vol (2)'!AH$4:AH$1116,'Val-Vol (2)'!$A$4:$A$1116,$D707,'Val-Vol (2)'!$V$4:$V$1116,$V707)/SUMIFS('Comp2016-2017 (3)'!$G$5:$G$289,'Comp2016-2017 (3)'!$A$5:$A$289,$D707,'Comp2016-2017 (3)'!$R$5:$R$289,$V707)*$AB707))</f>
        <v/>
      </c>
      <c r="AI707" s="2">
        <f>IF($W707=AI$3,$AB707,IF(NOT($W707=0),"",SUMIFS('Val-Vol (2)'!AI$4:AI$1116,'Val-Vol (2)'!$A$4:$A$1116,$D707,'Val-Vol (2)'!$V$4:$V$1116,$V707)/SUMIFS('Comp2016-2017 (3)'!$G$5:$G$289,'Comp2016-2017 (3)'!$A$5:$A$289,$D707,'Comp2016-2017 (3)'!$R$5:$R$289,$V707)*$AB707))</f>
        <v>4376.8748839953041</v>
      </c>
      <c r="AJ707" s="2" t="str">
        <f>IF($W707=AJ$3,$AB707,IF(NOT($W707=0),"",SUMIFS('Val-Vol (2)'!AJ$4:AJ$1116,'Val-Vol (2)'!$A$4:$A$1116,$D707,'Val-Vol (2)'!$V$4:$V$1116,$V707)/SUMIFS('Comp2016-2017 (3)'!$G$5:$G$289,'Comp2016-2017 (3)'!$A$5:$A$289,$D707,'Comp2016-2017 (3)'!$R$5:$R$289,$V707)*$AB707))</f>
        <v/>
      </c>
      <c r="AK707" s="2">
        <f t="shared" si="78"/>
        <v>0</v>
      </c>
      <c r="AL707" t="str">
        <f t="shared" si="75"/>
        <v/>
      </c>
      <c r="AM707" t="str">
        <f>VLOOKUP(A707,'Table corresp.'!$M$4:$U$63,8,FALSE)</f>
        <v>Production intermédiaire</v>
      </c>
      <c r="AN707" t="str">
        <f>VLOOKUP(D707,'Table corresp.'!$M$4:$U$63,9,FALSE)</f>
        <v>Production intermédiaire</v>
      </c>
    </row>
    <row r="708" spans="1:42" x14ac:dyDescent="0.25">
      <c r="A708" t="s">
        <v>106</v>
      </c>
      <c r="B708" t="str">
        <f>VLOOKUP(LEFT(A708,3),'Table corresp.'!$A$4:$D$63,3,FALSE)</f>
        <v>Transformation</v>
      </c>
      <c r="C708" t="str">
        <f>VLOOKUP(A708,'Table corresp.'!$M$4:$P$63,4,FALSE)</f>
        <v>Production et transformation de produits bois</v>
      </c>
      <c r="D708" t="s">
        <v>53</v>
      </c>
      <c r="E708" t="str">
        <f>VLOOKUP(LEFT(D708,3),'Table corresp.'!$A$4:$D$63,4,FALSE)</f>
        <v>Exportation</v>
      </c>
      <c r="F708" t="str">
        <f t="shared" ref="F708:F745" si="80">LEFT(A708,3)&amp;" - "&amp;LEFT(D708,3)</f>
        <v>63  - Exp</v>
      </c>
      <c r="G708" s="3">
        <v>40688.336434139535</v>
      </c>
      <c r="H708" s="3">
        <v>0</v>
      </c>
      <c r="I708" s="3">
        <v>40688.336725755966</v>
      </c>
      <c r="J708" s="3">
        <v>0</v>
      </c>
      <c r="K708" s="3">
        <v>0</v>
      </c>
      <c r="L708" s="3">
        <v>0</v>
      </c>
      <c r="M708" s="3">
        <v>0</v>
      </c>
      <c r="N708" s="3">
        <v>0</v>
      </c>
      <c r="O708" s="3">
        <v>0</v>
      </c>
      <c r="P708" s="3">
        <v>0</v>
      </c>
      <c r="Q708" s="3">
        <v>0</v>
      </c>
      <c r="R708" s="3">
        <v>0</v>
      </c>
      <c r="S708" s="67"/>
      <c r="T708">
        <f>VLOOKUP(A708,'Groupe de branches'!$Z$27:$AM$86,14,FALSE)</f>
        <v>0</v>
      </c>
      <c r="U708">
        <f>VLOOKUP(D708,'Groupe de branches'!$Z$27:$AM$86,14,FALSE)</f>
        <v>0</v>
      </c>
      <c r="V708">
        <v>2017</v>
      </c>
      <c r="W708" t="str">
        <f>VLOOKUP(D708,'Table corresp.'!$M$4:$S$63,7,FALSE)</f>
        <v>Exportation</v>
      </c>
      <c r="X708" s="167">
        <f>IFERROR(G708/SUMIFS('Comp2016-2017 (3)'!$I$5:$I$289,'Comp2016-2017 (3)'!$A$5:$A$289,A708,'Comp2016-2017 (3)'!$R$5:$R$289,V708),0)</f>
        <v>9.4438687951074504E-2</v>
      </c>
      <c r="Y708" s="190">
        <f>IFERROR(IF(RIGHT(F708,3)="Exp",VLOOKUP(F708,#REF!,2,FALSE),VLOOKUP(F708,#REF!,9,FALSE)),1)</f>
        <v>1</v>
      </c>
      <c r="Z708" s="167">
        <f t="shared" si="79"/>
        <v>5.8823529411764705E-2</v>
      </c>
      <c r="AA708" s="189">
        <f t="shared" si="76"/>
        <v>5.5552169382985005E-3</v>
      </c>
      <c r="AB708" s="2">
        <f>IFERROR(SUMIFS('Comp2016-2017 (3)'!$G$5:$G$289,'Comp2016-2017 (3)'!$A$5:$A$289,A708,'Comp2016-2017 (3)'!$R$5:$R$289,V708)*AA708/SUMIFS($AA$4:$AA$1116,$A$4:$A$1116,A708,$V$4:$V$1116,V708),0)</f>
        <v>20791.73991784528</v>
      </c>
      <c r="AC708" s="2">
        <f>IF($W708=AC$3,$AB708,IF(NOT($W708=0),"",SUMIFS('Val-Vol (2)'!AC$4:AC$1116,'Val-Vol (2)'!$A$4:$A$1116,$D708,'Val-Vol (2)'!$V$4:$V$1116,$V708)/SUMIFS('Comp2016-2017 (3)'!$G$5:$G$289,'Comp2016-2017 (3)'!$A$5:$A$289,$D708,'Comp2016-2017 (3)'!$R$5:$R$289,$V708)*$AB708))</f>
        <v>20791.73991784528</v>
      </c>
      <c r="AD708" s="2" t="str">
        <f>IF($W708=AD$3,$AB708,IF(NOT($W708=0),"",SUMIFS('Val-Vol (2)'!AD$4:AD$1116,'Val-Vol (2)'!$A$4:$A$1116,$D708,'Val-Vol (2)'!$V$4:$V$1116,$V708)/SUMIFS('Comp2016-2017 (3)'!$G$5:$G$289,'Comp2016-2017 (3)'!$A$5:$A$289,$D708,'Comp2016-2017 (3)'!$R$5:$R$289,$V708)*$AB708))</f>
        <v/>
      </c>
      <c r="AE708" s="2" t="str">
        <f>IF($W708=AE$3,$AB708,IF(NOT($W708=0),"",SUMIFS('Val-Vol (2)'!AE$4:AE$1116,'Val-Vol (2)'!$A$4:$A$1116,$D708,'Val-Vol (2)'!$V$4:$V$1116,$V708)/SUMIFS('Comp2016-2017 (3)'!$G$5:$G$289,'Comp2016-2017 (3)'!$A$5:$A$289,$D708,'Comp2016-2017 (3)'!$R$5:$R$289,$V708)*$AB708))</f>
        <v/>
      </c>
      <c r="AF708" s="2" t="str">
        <f>IF($W708=AF$3,$AB708,IF(NOT($W708=0),"",SUMIFS('Val-Vol (2)'!AF$4:AF$1116,'Val-Vol (2)'!$A$4:$A$1116,$D708,'Val-Vol (2)'!$V$4:$V$1116,$V708)/SUMIFS('Comp2016-2017 (3)'!$G$5:$G$289,'Comp2016-2017 (3)'!$A$5:$A$289,$D708,'Comp2016-2017 (3)'!$R$5:$R$289,$V708)*$AB708))</f>
        <v/>
      </c>
      <c r="AG708" s="2" t="str">
        <f>IF($W708=AG$3,$AB708,IF(NOT($W708=0),"",SUMIFS('Val-Vol (2)'!AG$4:AG$1116,'Val-Vol (2)'!$A$4:$A$1116,$D708,'Val-Vol (2)'!$V$4:$V$1116,$V708)/SUMIFS('Comp2016-2017 (3)'!$G$5:$G$289,'Comp2016-2017 (3)'!$A$5:$A$289,$D708,'Comp2016-2017 (3)'!$R$5:$R$289,$V708)*$AB708))</f>
        <v/>
      </c>
      <c r="AH708" s="2" t="str">
        <f>IF($W708=AH$3,$AB708,IF(NOT($W708=0),"",SUMIFS('Val-Vol (2)'!AH$4:AH$1116,'Val-Vol (2)'!$A$4:$A$1116,$D708,'Val-Vol (2)'!$V$4:$V$1116,$V708)/SUMIFS('Comp2016-2017 (3)'!$G$5:$G$289,'Comp2016-2017 (3)'!$A$5:$A$289,$D708,'Comp2016-2017 (3)'!$R$5:$R$289,$V708)*$AB708))</f>
        <v/>
      </c>
      <c r="AI708" s="2" t="str">
        <f>IF($W708=AI$3,$AB708,IF(NOT($W708=0),"",SUMIFS('Val-Vol (2)'!AI$4:AI$1116,'Val-Vol (2)'!$A$4:$A$1116,$D708,'Val-Vol (2)'!$V$4:$V$1116,$V708)/SUMIFS('Comp2016-2017 (3)'!$G$5:$G$289,'Comp2016-2017 (3)'!$A$5:$A$289,$D708,'Comp2016-2017 (3)'!$R$5:$R$289,$V708)*$AB708))</f>
        <v/>
      </c>
      <c r="AJ708" s="2" t="str">
        <f>IF($W708=AJ$3,$AB708,IF(NOT($W708=0),"",SUMIFS('Val-Vol (2)'!AJ$4:AJ$1116,'Val-Vol (2)'!$A$4:$A$1116,$D708,'Val-Vol (2)'!$V$4:$V$1116,$V708)/SUMIFS('Comp2016-2017 (3)'!$G$5:$G$289,'Comp2016-2017 (3)'!$A$5:$A$289,$D708,'Comp2016-2017 (3)'!$R$5:$R$289,$V708)*$AB708))</f>
        <v/>
      </c>
      <c r="AK708" s="2">
        <f t="shared" si="78"/>
        <v>0</v>
      </c>
      <c r="AL708" t="str">
        <f t="shared" ref="AL708:AL771" si="81">IF(A708=D708,"remplir à la main","")</f>
        <v/>
      </c>
      <c r="AM708" t="str">
        <f>VLOOKUP(A708,'Table corresp.'!$M$4:$U$63,8,FALSE)</f>
        <v>Production intermédiaire</v>
      </c>
      <c r="AN708" t="str">
        <f>VLOOKUP(D708,'Table corresp.'!$M$4:$U$63,9,FALSE)</f>
        <v>Exportation</v>
      </c>
    </row>
    <row r="709" spans="1:42" x14ac:dyDescent="0.25">
      <c r="A709" t="s">
        <v>107</v>
      </c>
      <c r="B709" t="str">
        <f>VLOOKUP(LEFT(A709,3),'Table corresp.'!$A$4:$D$63,3,FALSE)</f>
        <v>Transformation</v>
      </c>
      <c r="C709" t="str">
        <f>VLOOKUP(A709,'Table corresp.'!$M$4:$P$63,4,FALSE)</f>
        <v>Commerces et services</v>
      </c>
      <c r="D709" t="s">
        <v>59</v>
      </c>
      <c r="E709" t="str">
        <f>VLOOKUP(LEFT(D709,3),'Table corresp.'!$A$4:$D$63,4,FALSE)</f>
        <v>Transformation</v>
      </c>
      <c r="F709" t="str">
        <f t="shared" si="80"/>
        <v xml:space="preserve">64  - 07 </v>
      </c>
      <c r="G709" s="3">
        <v>0</v>
      </c>
      <c r="H709" s="3">
        <v>0</v>
      </c>
      <c r="I709" s="3">
        <v>0</v>
      </c>
      <c r="J709" s="3">
        <v>0</v>
      </c>
      <c r="K709" s="3">
        <v>0</v>
      </c>
      <c r="L709" s="3">
        <v>0</v>
      </c>
      <c r="M709" s="3">
        <v>0</v>
      </c>
      <c r="N709" s="3">
        <v>0</v>
      </c>
      <c r="O709" s="3">
        <v>0</v>
      </c>
      <c r="P709" s="3">
        <v>0</v>
      </c>
      <c r="Q709" s="3">
        <v>0</v>
      </c>
      <c r="R709" s="3">
        <v>0</v>
      </c>
      <c r="S709" s="67"/>
      <c r="T709">
        <f>VLOOKUP(A709,'Groupe de branches'!$Z$27:$AM$86,14,FALSE)</f>
        <v>0</v>
      </c>
      <c r="U709">
        <f>VLOOKUP(D709,'Groupe de branches'!$Z$27:$AM$86,14,FALSE)</f>
        <v>0</v>
      </c>
      <c r="V709">
        <v>2017</v>
      </c>
      <c r="W709" t="str">
        <f>VLOOKUP(D709,'Table corresp.'!$M$4:$S$63,7,FALSE)</f>
        <v>Produits de consommation courante</v>
      </c>
      <c r="X709" s="167">
        <f>IFERROR(G709/SUMIFS('Comp2016-2017 (3)'!$I$5:$I$289,'Comp2016-2017 (3)'!$A$5:$A$289,A709,'Comp2016-2017 (3)'!$R$5:$R$289,V709),0)</f>
        <v>0</v>
      </c>
      <c r="Y709" s="190">
        <f>IFERROR(IF(RIGHT(F709,3)="Exp",VLOOKUP(F709,#REF!,2,FALSE),VLOOKUP(F709,#REF!,9,FALSE)),1)</f>
        <v>1</v>
      </c>
      <c r="Z709" s="167">
        <f t="shared" si="79"/>
        <v>0.5</v>
      </c>
      <c r="AA709" s="189">
        <f t="shared" ref="AA709:AA772" si="82">X709*Z709</f>
        <v>0</v>
      </c>
      <c r="AB709" s="2">
        <f>IFERROR(SUMIFS('Comp2016-2017 (3)'!$G$5:$G$289,'Comp2016-2017 (3)'!$A$5:$A$289,A709,'Comp2016-2017 (3)'!$R$5:$R$289,V709)*AA709/SUMIFS($AA$4:$AA$1116,$A$4:$A$1116,A709,$V$4:$V$1116,V709),0)</f>
        <v>0</v>
      </c>
      <c r="AC709" s="2" t="str">
        <f>IF($W709=AC$3,$AB709,IF(NOT($W709=0),"",SUMIFS('Val-Vol (2)'!AC$4:AC$1116,'Val-Vol (2)'!$A$4:$A$1116,$D709,'Val-Vol (2)'!$V$4:$V$1116,$V709)/SUMIFS('Comp2016-2017 (3)'!$G$5:$G$289,'Comp2016-2017 (3)'!$A$5:$A$289,$D709,'Comp2016-2017 (3)'!$R$5:$R$289,$V709)*$AB709))</f>
        <v/>
      </c>
      <c r="AD709" s="2" t="str">
        <f>IF($W709=AD$3,$AB709,IF(NOT($W709=0),"",SUMIFS('Val-Vol (2)'!AD$4:AD$1116,'Val-Vol (2)'!$A$4:$A$1116,$D709,'Val-Vol (2)'!$V$4:$V$1116,$V709)/SUMIFS('Comp2016-2017 (3)'!$G$5:$G$289,'Comp2016-2017 (3)'!$A$5:$A$289,$D709,'Comp2016-2017 (3)'!$R$5:$R$289,$V709)*$AB709))</f>
        <v/>
      </c>
      <c r="AE709" s="2" t="str">
        <f>IF($W709=AE$3,$AB709,IF(NOT($W709=0),"",SUMIFS('Val-Vol (2)'!AE$4:AE$1116,'Val-Vol (2)'!$A$4:$A$1116,$D709,'Val-Vol (2)'!$V$4:$V$1116,$V709)/SUMIFS('Comp2016-2017 (3)'!$G$5:$G$289,'Comp2016-2017 (3)'!$A$5:$A$289,$D709,'Comp2016-2017 (3)'!$R$5:$R$289,$V709)*$AB709))</f>
        <v/>
      </c>
      <c r="AF709" s="2" t="str">
        <f>IF($W709=AF$3,$AB709,IF(NOT($W709=0),"",SUMIFS('Val-Vol (2)'!AF$4:AF$1116,'Val-Vol (2)'!$A$4:$A$1116,$D709,'Val-Vol (2)'!$V$4:$V$1116,$V709)/SUMIFS('Comp2016-2017 (3)'!$G$5:$G$289,'Comp2016-2017 (3)'!$A$5:$A$289,$D709,'Comp2016-2017 (3)'!$R$5:$R$289,$V709)*$AB709))</f>
        <v/>
      </c>
      <c r="AG709" s="2" t="str">
        <f>IF($W709=AG$3,$AB709,IF(NOT($W709=0),"",SUMIFS('Val-Vol (2)'!AG$4:AG$1116,'Val-Vol (2)'!$A$4:$A$1116,$D709,'Val-Vol (2)'!$V$4:$V$1116,$V709)/SUMIFS('Comp2016-2017 (3)'!$G$5:$G$289,'Comp2016-2017 (3)'!$A$5:$A$289,$D709,'Comp2016-2017 (3)'!$R$5:$R$289,$V709)*$AB709))</f>
        <v/>
      </c>
      <c r="AH709" s="2" t="str">
        <f>IF($W709=AH$3,$AB709,IF(NOT($W709=0),"",SUMIFS('Val-Vol (2)'!AH$4:AH$1116,'Val-Vol (2)'!$A$4:$A$1116,$D709,'Val-Vol (2)'!$V$4:$V$1116,$V709)/SUMIFS('Comp2016-2017 (3)'!$G$5:$G$289,'Comp2016-2017 (3)'!$A$5:$A$289,$D709,'Comp2016-2017 (3)'!$R$5:$R$289,$V709)*$AB709))</f>
        <v/>
      </c>
      <c r="AI709" s="2">
        <f>IF($W709=AI$3,$AB709,IF(NOT($W709=0),"",SUMIFS('Val-Vol (2)'!AI$4:AI$1116,'Val-Vol (2)'!$A$4:$A$1116,$D709,'Val-Vol (2)'!$V$4:$V$1116,$V709)/SUMIFS('Comp2016-2017 (3)'!$G$5:$G$289,'Comp2016-2017 (3)'!$A$5:$A$289,$D709,'Comp2016-2017 (3)'!$R$5:$R$289,$V709)*$AB709))</f>
        <v>0</v>
      </c>
      <c r="AJ709" s="2" t="str">
        <f>IF($W709=AJ$3,$AB709,IF(NOT($W709=0),"",SUMIFS('Val-Vol (2)'!AJ$4:AJ$1116,'Val-Vol (2)'!$A$4:$A$1116,$D709,'Val-Vol (2)'!$V$4:$V$1116,$V709)/SUMIFS('Comp2016-2017 (3)'!$G$5:$G$289,'Comp2016-2017 (3)'!$A$5:$A$289,$D709,'Comp2016-2017 (3)'!$R$5:$R$289,$V709)*$AB709))</f>
        <v/>
      </c>
      <c r="AK709" s="2">
        <f t="shared" ref="AK709:AK759" si="83">SUM(AC709:AJ709)-AB709</f>
        <v>0</v>
      </c>
      <c r="AL709" t="str">
        <f t="shared" si="81"/>
        <v/>
      </c>
      <c r="AM709" t="str">
        <f>VLOOKUP(A709,'Table corresp.'!$M$4:$U$63,8,FALSE)</f>
        <v>Production finale</v>
      </c>
      <c r="AN709" t="str">
        <f>VLOOKUP(D709,'Table corresp.'!$M$4:$U$63,9,FALSE)</f>
        <v>Production intermédiaire</v>
      </c>
    </row>
    <row r="710" spans="1:42" x14ac:dyDescent="0.25">
      <c r="A710" t="s">
        <v>107</v>
      </c>
      <c r="B710" t="str">
        <f>VLOOKUP(LEFT(A710,3),'Table corresp.'!$A$4:$D$63,3,FALSE)</f>
        <v>Transformation</v>
      </c>
      <c r="C710" t="str">
        <f>VLOOKUP(A710,'Table corresp.'!$M$4:$P$63,4,FALSE)</f>
        <v>Commerces et services</v>
      </c>
      <c r="D710" t="s">
        <v>54</v>
      </c>
      <c r="E710" t="str">
        <f>VLOOKUP(LEFT(D710,3),'Table corresp.'!$A$4:$D$63,4,FALSE)</f>
        <v>Consommation finale</v>
      </c>
      <c r="F710" t="str">
        <f t="shared" si="80"/>
        <v>64  - Con</v>
      </c>
      <c r="G710" s="3">
        <v>646495.69605654629</v>
      </c>
      <c r="H710" s="3">
        <v>0</v>
      </c>
      <c r="I710" s="3">
        <v>646495.69605654629</v>
      </c>
      <c r="J710" s="3">
        <v>0</v>
      </c>
      <c r="K710" s="3">
        <v>0</v>
      </c>
      <c r="L710" s="3">
        <v>0</v>
      </c>
      <c r="M710" s="3">
        <v>0</v>
      </c>
      <c r="N710" s="3">
        <v>0</v>
      </c>
      <c r="O710" s="3">
        <v>0</v>
      </c>
      <c r="P710" s="3">
        <v>0</v>
      </c>
      <c r="Q710" s="3">
        <v>0</v>
      </c>
      <c r="R710" s="3">
        <v>0</v>
      </c>
      <c r="S710" s="67"/>
      <c r="T710">
        <f>VLOOKUP(A710,'Groupe de branches'!$Z$27:$AM$86,14,FALSE)</f>
        <v>0</v>
      </c>
      <c r="U710">
        <f>VLOOKUP(D710,'Groupe de branches'!$Z$27:$AM$86,14,FALSE)</f>
        <v>0</v>
      </c>
      <c r="V710">
        <v>2017</v>
      </c>
      <c r="W710" t="str">
        <f>VLOOKUP(D710,'Table corresp.'!$M$4:$S$63,7,FALSE)</f>
        <v>Consommation finale</v>
      </c>
      <c r="X710" s="167">
        <f>IFERROR(G710/SUMIFS('Comp2016-2017 (3)'!$I$5:$I$289,'Comp2016-2017 (3)'!$A$5:$A$289,A710,'Comp2016-2017 (3)'!$R$5:$R$289,V710),0)</f>
        <v>0.99999845320480485</v>
      </c>
      <c r="Y710" s="190">
        <f>IFERROR(IF(RIGHT(F710,3)="Exp",VLOOKUP(F710,#REF!,2,FALSE),VLOOKUP(F710,#REF!,9,FALSE)),1)</f>
        <v>1</v>
      </c>
      <c r="Z710" s="167">
        <f t="shared" si="79"/>
        <v>0.5</v>
      </c>
      <c r="AA710" s="189">
        <f t="shared" si="82"/>
        <v>0.49999922660240242</v>
      </c>
      <c r="AB710" s="2">
        <f>IFERROR(SUMIFS('Comp2016-2017 (3)'!$G$5:$G$289,'Comp2016-2017 (3)'!$A$5:$A$289,A710,'Comp2016-2017 (3)'!$R$5:$R$289,V710)*AA710/SUMIFS($AA$4:$AA$1116,$A$4:$A$1116,A710,$V$4:$V$1116,V710),0)</f>
        <v>646496.6960545294</v>
      </c>
      <c r="AC710" s="2" t="str">
        <f>IF($W710=AC$3,$AB710,IF(NOT($W710=0),"",SUMIFS('Val-Vol (2)'!AC$4:AC$1116,'Val-Vol (2)'!$A$4:$A$1116,$D710,'Val-Vol (2)'!$V$4:$V$1116,$V710)/SUMIFS('Comp2016-2017 (3)'!$G$5:$G$289,'Comp2016-2017 (3)'!$A$5:$A$289,$D710,'Comp2016-2017 (3)'!$R$5:$R$289,$V710)*$AB710))</f>
        <v/>
      </c>
      <c r="AD710" s="2" t="str">
        <f>IF($W710=AD$3,$AB710,IF(NOT($W710=0),"",SUMIFS('Val-Vol (2)'!AD$4:AD$1116,'Val-Vol (2)'!$A$4:$A$1116,$D710,'Val-Vol (2)'!$V$4:$V$1116,$V710)/SUMIFS('Comp2016-2017 (3)'!$G$5:$G$289,'Comp2016-2017 (3)'!$A$5:$A$289,$D710,'Comp2016-2017 (3)'!$R$5:$R$289,$V710)*$AB710))</f>
        <v/>
      </c>
      <c r="AE710" s="2" t="str">
        <f>IF($W710=AE$3,$AB710,IF(NOT($W710=0),"",SUMIFS('Val-Vol (2)'!AE$4:AE$1116,'Val-Vol (2)'!$A$4:$A$1116,$D710,'Val-Vol (2)'!$V$4:$V$1116,$V710)/SUMIFS('Comp2016-2017 (3)'!$G$5:$G$289,'Comp2016-2017 (3)'!$A$5:$A$289,$D710,'Comp2016-2017 (3)'!$R$5:$R$289,$V710)*$AB710))</f>
        <v/>
      </c>
      <c r="AF710" s="2" t="str">
        <f>IF($W710=AF$3,$AB710,IF(NOT($W710=0),"",SUMIFS('Val-Vol (2)'!AF$4:AF$1116,'Val-Vol (2)'!$A$4:$A$1116,$D710,'Val-Vol (2)'!$V$4:$V$1116,$V710)/SUMIFS('Comp2016-2017 (3)'!$G$5:$G$289,'Comp2016-2017 (3)'!$A$5:$A$289,$D710,'Comp2016-2017 (3)'!$R$5:$R$289,$V710)*$AB710))</f>
        <v/>
      </c>
      <c r="AG710" s="2" t="str">
        <f>IF($W710=AG$3,$AB710,IF(NOT($W710=0),"",SUMIFS('Val-Vol (2)'!AG$4:AG$1116,'Val-Vol (2)'!$A$4:$A$1116,$D710,'Val-Vol (2)'!$V$4:$V$1116,$V710)/SUMIFS('Comp2016-2017 (3)'!$G$5:$G$289,'Comp2016-2017 (3)'!$A$5:$A$289,$D710,'Comp2016-2017 (3)'!$R$5:$R$289,$V710)*$AB710))</f>
        <v/>
      </c>
      <c r="AH710" s="2" t="str">
        <f>IF($W710=AH$3,$AB710,IF(NOT($W710=0),"",SUMIFS('Val-Vol (2)'!AH$4:AH$1116,'Val-Vol (2)'!$A$4:$A$1116,$D710,'Val-Vol (2)'!$V$4:$V$1116,$V710)/SUMIFS('Comp2016-2017 (3)'!$G$5:$G$289,'Comp2016-2017 (3)'!$A$5:$A$289,$D710,'Comp2016-2017 (3)'!$R$5:$R$289,$V710)*$AB710))</f>
        <v/>
      </c>
      <c r="AI710" s="2" t="str">
        <f>IF($W710=AI$3,$AB710,IF(NOT($W710=0),"",SUMIFS('Val-Vol (2)'!AI$4:AI$1116,'Val-Vol (2)'!$A$4:$A$1116,$D710,'Val-Vol (2)'!$V$4:$V$1116,$V710)/SUMIFS('Comp2016-2017 (3)'!$G$5:$G$289,'Comp2016-2017 (3)'!$A$5:$A$289,$D710,'Comp2016-2017 (3)'!$R$5:$R$289,$V710)*$AB710))</f>
        <v/>
      </c>
      <c r="AJ710" s="2">
        <f>IF($W710=AJ$3,$AB710,IF(NOT($W710=0),"",SUMIFS('Val-Vol (2)'!AJ$4:AJ$1116,'Val-Vol (2)'!$A$4:$A$1116,$D710,'Val-Vol (2)'!$V$4:$V$1116,$V710)/SUMIFS('Comp2016-2017 (3)'!$G$5:$G$289,'Comp2016-2017 (3)'!$A$5:$A$289,$D710,'Comp2016-2017 (3)'!$R$5:$R$289,$V710)*$AB710))</f>
        <v>646496.6960545294</v>
      </c>
      <c r="AK710" s="2">
        <f t="shared" si="83"/>
        <v>0</v>
      </c>
      <c r="AL710" t="str">
        <f t="shared" si="81"/>
        <v/>
      </c>
      <c r="AM710" t="str">
        <f>VLOOKUP(A710,'Table corresp.'!$M$4:$U$63,8,FALSE)</f>
        <v>Production finale</v>
      </c>
      <c r="AN710" t="str">
        <f>VLOOKUP(D710,'Table corresp.'!$M$4:$U$63,9,FALSE)</f>
        <v>Consommation finale française</v>
      </c>
    </row>
    <row r="711" spans="1:42" x14ac:dyDescent="0.25">
      <c r="A711" t="s">
        <v>52</v>
      </c>
      <c r="B711" t="str">
        <f>VLOOKUP(LEFT(A711,3),'Table corresp.'!$A$4:$D$63,3,FALSE)</f>
        <v>Importation</v>
      </c>
      <c r="C711" t="str">
        <f>VLOOKUP(A711,'Table corresp.'!$M$4:$P$63,4,FALSE)</f>
        <v>Importation</v>
      </c>
      <c r="D711" t="s">
        <v>80</v>
      </c>
      <c r="E711" t="str">
        <f>VLOOKUP(LEFT(D711,3),'Table corresp.'!$A$4:$D$63,4,FALSE)</f>
        <v>Transformation</v>
      </c>
      <c r="F711" t="str">
        <f t="shared" si="80"/>
        <v xml:space="preserve">Imp - 01 </v>
      </c>
      <c r="G711" s="3">
        <v>0</v>
      </c>
      <c r="H711" s="3">
        <v>9136.5720000000001</v>
      </c>
      <c r="I711" s="3">
        <v>9136.5720000000001</v>
      </c>
      <c r="J711" s="3">
        <v>0</v>
      </c>
      <c r="K711" s="3">
        <v>0</v>
      </c>
      <c r="L711" s="3">
        <v>0</v>
      </c>
      <c r="M711" s="3">
        <v>0</v>
      </c>
      <c r="N711" s="3">
        <v>0</v>
      </c>
      <c r="O711" s="3">
        <v>0</v>
      </c>
      <c r="P711" s="3">
        <v>0</v>
      </c>
      <c r="Q711" s="3">
        <v>0</v>
      </c>
      <c r="R711" s="3">
        <v>0</v>
      </c>
      <c r="S711" s="67"/>
      <c r="T711">
        <f>VLOOKUP(A711,'Groupe de branches'!$Z$27:$AM$86,14,FALSE)</f>
        <v>0</v>
      </c>
      <c r="U711">
        <f>VLOOKUP(D711,'Groupe de branches'!$Z$27:$AM$86,14,FALSE)</f>
        <v>0</v>
      </c>
      <c r="V711">
        <v>2017</v>
      </c>
      <c r="W711">
        <f>VLOOKUP(D711,'Table corresp.'!$M$4:$S$63,7,FALSE)</f>
        <v>0</v>
      </c>
      <c r="X711" s="167">
        <f>IFERROR(G711/SUMIFS('Comp2016-2017 (3)'!$I$5:$I$289,'Comp2016-2017 (3)'!$A$5:$A$289,A711,'Comp2016-2017 (3)'!$R$5:$R$289,V711),0)</f>
        <v>0</v>
      </c>
      <c r="Y711" s="190">
        <f>IFERROR(IF(RIGHT(F711,3)="Exp",VLOOKUP(F711,#REF!,2,FALSE),VLOOKUP(F711,#REF!,9,FALSE)),0)</f>
        <v>0</v>
      </c>
      <c r="Z711" s="167">
        <f t="shared" ref="Z711:Z745" si="84">IFERROR(Y711/SUMIFS($Y$4:$Y$1858,$V$4:$V$1858,V711,$A$4:$A$1858,A711),0)</f>
        <v>0</v>
      </c>
      <c r="AA711" s="189">
        <f t="shared" si="82"/>
        <v>0</v>
      </c>
      <c r="AB711" s="2">
        <f>IFERROR(SUMIFS('Comp2016-2017 (3)'!$G$5:$G$289,'Comp2016-2017 (3)'!$A$5:$A$289,A711,'Comp2016-2017 (3)'!$R$5:$R$289,V711)*AA711/SUMIFS($AA$4:$AA$1116,$A$4:$A$1116,A711,$V$4:$V$1116,V711),0)</f>
        <v>0</v>
      </c>
      <c r="AC711" s="2">
        <f>IF($W711=AC$3,$AB711,IF(NOT($W711=0),"",SUMIFS('Val-Vol (2)'!AC$4:AC$1116,'Val-Vol (2)'!$A$4:$A$1116,$D711,'Val-Vol (2)'!$V$4:$V$1116,$V711)/SUMIFS('Comp2016-2017 (3)'!$G$5:$G$289,'Comp2016-2017 (3)'!$A$5:$A$289,$D711,'Comp2016-2017 (3)'!$R$5:$R$289,$V711)*$AB711))</f>
        <v>0</v>
      </c>
      <c r="AD711" s="2">
        <f>IF($W711=AD$3,$AB711,IF(NOT($W711=0),"",SUMIFS('Val-Vol (2)'!AD$4:AD$1116,'Val-Vol (2)'!$A$4:$A$1116,$D711,'Val-Vol (2)'!$V$4:$V$1116,$V711)/SUMIFS('Comp2016-2017 (3)'!$G$5:$G$289,'Comp2016-2017 (3)'!$A$5:$A$289,$D711,'Comp2016-2017 (3)'!$R$5:$R$289,$V711)*$AB711))</f>
        <v>0</v>
      </c>
      <c r="AE711" s="2">
        <f>IF($W711=AE$3,$AB711,IF(NOT($W711=0),"",SUMIFS('Val-Vol (2)'!AE$4:AE$1116,'Val-Vol (2)'!$A$4:$A$1116,$D711,'Val-Vol (2)'!$V$4:$V$1116,$V711)/SUMIFS('Comp2016-2017 (3)'!$G$5:$G$289,'Comp2016-2017 (3)'!$A$5:$A$289,$D711,'Comp2016-2017 (3)'!$R$5:$R$289,$V711)*$AB711))</f>
        <v>0</v>
      </c>
      <c r="AF711" s="2">
        <f>IF($W711=AF$3,$AB711,IF(NOT($W711=0),"",SUMIFS('Val-Vol (2)'!AF$4:AF$1116,'Val-Vol (2)'!$A$4:$A$1116,$D711,'Val-Vol (2)'!$V$4:$V$1116,$V711)/SUMIFS('Comp2016-2017 (3)'!$G$5:$G$289,'Comp2016-2017 (3)'!$A$5:$A$289,$D711,'Comp2016-2017 (3)'!$R$5:$R$289,$V711)*$AB711))</f>
        <v>0</v>
      </c>
      <c r="AG711" s="2">
        <f>IF($W711=AG$3,$AB711,IF(NOT($W711=0),"",SUMIFS('Val-Vol (2)'!AG$4:AG$1116,'Val-Vol (2)'!$A$4:$A$1116,$D711,'Val-Vol (2)'!$V$4:$V$1116,$V711)/SUMIFS('Comp2016-2017 (3)'!$G$5:$G$289,'Comp2016-2017 (3)'!$A$5:$A$289,$D711,'Comp2016-2017 (3)'!$R$5:$R$289,$V711)*$AB711))</f>
        <v>0</v>
      </c>
      <c r="AH711" s="2">
        <f>IF($W711=AH$3,$AB711,IF(NOT($W711=0),"",SUMIFS('Val-Vol (2)'!AH$4:AH$1116,'Val-Vol (2)'!$A$4:$A$1116,$D711,'Val-Vol (2)'!$V$4:$V$1116,$V711)/SUMIFS('Comp2016-2017 (3)'!$G$5:$G$289,'Comp2016-2017 (3)'!$A$5:$A$289,$D711,'Comp2016-2017 (3)'!$R$5:$R$289,$V711)*$AB711))</f>
        <v>0</v>
      </c>
      <c r="AI711" s="2">
        <f>IF($W711=AI$3,$AB711,IF(NOT($W711=0),"",SUMIFS('Val-Vol (2)'!AI$4:AI$1116,'Val-Vol (2)'!$A$4:$A$1116,$D711,'Val-Vol (2)'!$V$4:$V$1116,$V711)/SUMIFS('Comp2016-2017 (3)'!$G$5:$G$289,'Comp2016-2017 (3)'!$A$5:$A$289,$D711,'Comp2016-2017 (3)'!$R$5:$R$289,$V711)*$AB711))</f>
        <v>0</v>
      </c>
      <c r="AJ711" s="2">
        <f>IF($W711=AJ$3,$AB711,IF(NOT($W711=0),"",SUMIFS('Val-Vol (2)'!AJ$4:AJ$1116,'Val-Vol (2)'!$A$4:$A$1116,$D711,'Val-Vol (2)'!$V$4:$V$1116,$V711)/SUMIFS('Comp2016-2017 (3)'!$G$5:$G$289,'Comp2016-2017 (3)'!$A$5:$A$289,$D711,'Comp2016-2017 (3)'!$R$5:$R$289,$V711)*$AB711))</f>
        <v>0</v>
      </c>
      <c r="AK711" s="2">
        <f t="shared" si="83"/>
        <v>0</v>
      </c>
      <c r="AL711" t="str">
        <f t="shared" si="81"/>
        <v/>
      </c>
      <c r="AM711" t="str">
        <f>VLOOKUP(A711,'Table corresp.'!$M$4:$U$63,8,FALSE)</f>
        <v>Importation</v>
      </c>
      <c r="AN711" t="str">
        <f>VLOOKUP(D711,'Table corresp.'!$M$4:$U$63,9,FALSE)</f>
        <v>Production intermédiaire</v>
      </c>
    </row>
    <row r="712" spans="1:42" x14ac:dyDescent="0.25">
      <c r="A712" t="s">
        <v>52</v>
      </c>
      <c r="B712" t="str">
        <f>VLOOKUP(LEFT(A712,3),'Table corresp.'!$A$4:$D$63,3,FALSE)</f>
        <v>Importation</v>
      </c>
      <c r="C712" t="str">
        <f>VLOOKUP(A712,'Table corresp.'!$M$4:$P$63,4,FALSE)</f>
        <v>Importation</v>
      </c>
      <c r="D712" t="s">
        <v>0</v>
      </c>
      <c r="E712" t="str">
        <f>VLOOKUP(LEFT(D712,3),'Table corresp.'!$A$4:$D$63,4,FALSE)</f>
        <v>Transformation</v>
      </c>
      <c r="F712" t="str">
        <f t="shared" si="80"/>
        <v xml:space="preserve">Imp - 02 </v>
      </c>
      <c r="G712" s="3">
        <v>0</v>
      </c>
      <c r="H712" s="3">
        <v>49226.018000000004</v>
      </c>
      <c r="I712" s="3">
        <v>49226.018000000004</v>
      </c>
      <c r="J712" s="3">
        <v>0</v>
      </c>
      <c r="K712" s="3">
        <v>295.5391080669159</v>
      </c>
      <c r="L712" s="3">
        <v>295.5391080669159</v>
      </c>
      <c r="M712" s="3">
        <v>0</v>
      </c>
      <c r="N712" s="3">
        <v>0</v>
      </c>
      <c r="O712" s="3">
        <v>0</v>
      </c>
      <c r="P712" s="3">
        <v>0</v>
      </c>
      <c r="Q712" s="3">
        <v>0</v>
      </c>
      <c r="R712" s="3">
        <v>0</v>
      </c>
      <c r="S712" s="67"/>
      <c r="T712">
        <f>VLOOKUP(A712,'Groupe de branches'!$Z$27:$AM$86,14,FALSE)</f>
        <v>0</v>
      </c>
      <c r="U712">
        <f>VLOOKUP(D712,'Groupe de branches'!$Z$27:$AM$86,14,FALSE)</f>
        <v>0</v>
      </c>
      <c r="V712">
        <v>2017</v>
      </c>
      <c r="W712">
        <f>VLOOKUP(D712,'Table corresp.'!$M$4:$S$63,7,FALSE)</f>
        <v>0</v>
      </c>
      <c r="X712" s="167">
        <f>IFERROR(G712/SUMIFS('Comp2016-2017 (3)'!$I$5:$I$289,'Comp2016-2017 (3)'!$A$5:$A$289,A712,'Comp2016-2017 (3)'!$R$5:$R$289,V712),0)</f>
        <v>0</v>
      </c>
      <c r="Y712" s="190">
        <f>IFERROR(IF(RIGHT(F712,3)="Exp",VLOOKUP(F712,#REF!,2,FALSE),VLOOKUP(F712,#REF!,9,FALSE)),0)</f>
        <v>0</v>
      </c>
      <c r="Z712" s="167">
        <f t="shared" si="84"/>
        <v>0</v>
      </c>
      <c r="AA712" s="189">
        <f t="shared" si="82"/>
        <v>0</v>
      </c>
      <c r="AB712" s="2">
        <f>IFERROR(SUMIFS('Comp2016-2017 (3)'!$G$5:$G$289,'Comp2016-2017 (3)'!$A$5:$A$289,A712,'Comp2016-2017 (3)'!$R$5:$R$289,V712)*AA712/SUMIFS($AA$4:$AA$1116,$A$4:$A$1116,A712,$V$4:$V$1116,V712),0)</f>
        <v>0</v>
      </c>
      <c r="AC712" s="2">
        <f>IF($W712=AC$3,$AB712,IF(NOT($W712=0),"",SUMIFS('Val-Vol (2)'!AC$4:AC$1116,'Val-Vol (2)'!$A$4:$A$1116,$D712,'Val-Vol (2)'!$V$4:$V$1116,$V712)/SUMIFS('Comp2016-2017 (3)'!$G$5:$G$289,'Comp2016-2017 (3)'!$A$5:$A$289,$D712,'Comp2016-2017 (3)'!$R$5:$R$289,$V712)*$AB712))</f>
        <v>0</v>
      </c>
      <c r="AD712" s="2">
        <f>IF($W712=AD$3,$AB712,IF(NOT($W712=0),"",SUMIFS('Val-Vol (2)'!AD$4:AD$1116,'Val-Vol (2)'!$A$4:$A$1116,$D712,'Val-Vol (2)'!$V$4:$V$1116,$V712)/SUMIFS('Comp2016-2017 (3)'!$G$5:$G$289,'Comp2016-2017 (3)'!$A$5:$A$289,$D712,'Comp2016-2017 (3)'!$R$5:$R$289,$V712)*$AB712))</f>
        <v>0</v>
      </c>
      <c r="AE712" s="2">
        <f>IF($W712=AE$3,$AB712,IF(NOT($W712=0),"",SUMIFS('Val-Vol (2)'!AE$4:AE$1116,'Val-Vol (2)'!$A$4:$A$1116,$D712,'Val-Vol (2)'!$V$4:$V$1116,$V712)/SUMIFS('Comp2016-2017 (3)'!$G$5:$G$289,'Comp2016-2017 (3)'!$A$5:$A$289,$D712,'Comp2016-2017 (3)'!$R$5:$R$289,$V712)*$AB712))</f>
        <v>0</v>
      </c>
      <c r="AF712" s="2">
        <f>IF($W712=AF$3,$AB712,IF(NOT($W712=0),"",SUMIFS('Val-Vol (2)'!AF$4:AF$1116,'Val-Vol (2)'!$A$4:$A$1116,$D712,'Val-Vol (2)'!$V$4:$V$1116,$V712)/SUMIFS('Comp2016-2017 (3)'!$G$5:$G$289,'Comp2016-2017 (3)'!$A$5:$A$289,$D712,'Comp2016-2017 (3)'!$R$5:$R$289,$V712)*$AB712))</f>
        <v>0</v>
      </c>
      <c r="AG712" s="2">
        <f>IF($W712=AG$3,$AB712,IF(NOT($W712=0),"",SUMIFS('Val-Vol (2)'!AG$4:AG$1116,'Val-Vol (2)'!$A$4:$A$1116,$D712,'Val-Vol (2)'!$V$4:$V$1116,$V712)/SUMIFS('Comp2016-2017 (3)'!$G$5:$G$289,'Comp2016-2017 (3)'!$A$5:$A$289,$D712,'Comp2016-2017 (3)'!$R$5:$R$289,$V712)*$AB712))</f>
        <v>0</v>
      </c>
      <c r="AH712" s="2">
        <f>IF($W712=AH$3,$AB712,IF(NOT($W712=0),"",SUMIFS('Val-Vol (2)'!AH$4:AH$1116,'Val-Vol (2)'!$A$4:$A$1116,$D712,'Val-Vol (2)'!$V$4:$V$1116,$V712)/SUMIFS('Comp2016-2017 (3)'!$G$5:$G$289,'Comp2016-2017 (3)'!$A$5:$A$289,$D712,'Comp2016-2017 (3)'!$R$5:$R$289,$V712)*$AB712))</f>
        <v>0</v>
      </c>
      <c r="AI712" s="2">
        <f>IF($W712=AI$3,$AB712,IF(NOT($W712=0),"",SUMIFS('Val-Vol (2)'!AI$4:AI$1116,'Val-Vol (2)'!$A$4:$A$1116,$D712,'Val-Vol (2)'!$V$4:$V$1116,$V712)/SUMIFS('Comp2016-2017 (3)'!$G$5:$G$289,'Comp2016-2017 (3)'!$A$5:$A$289,$D712,'Comp2016-2017 (3)'!$R$5:$R$289,$V712)*$AB712))</f>
        <v>0</v>
      </c>
      <c r="AJ712" s="2">
        <f>IF($W712=AJ$3,$AB712,IF(NOT($W712=0),"",SUMIFS('Val-Vol (2)'!AJ$4:AJ$1116,'Val-Vol (2)'!$A$4:$A$1116,$D712,'Val-Vol (2)'!$V$4:$V$1116,$V712)/SUMIFS('Comp2016-2017 (3)'!$G$5:$G$289,'Comp2016-2017 (3)'!$A$5:$A$289,$D712,'Comp2016-2017 (3)'!$R$5:$R$289,$V712)*$AB712))</f>
        <v>0</v>
      </c>
      <c r="AK712" s="2">
        <f t="shared" si="83"/>
        <v>0</v>
      </c>
      <c r="AL712" t="str">
        <f t="shared" si="81"/>
        <v/>
      </c>
      <c r="AM712" t="str">
        <f>VLOOKUP(A712,'Table corresp.'!$M$4:$U$63,8,FALSE)</f>
        <v>Importation</v>
      </c>
      <c r="AN712" t="str">
        <f>VLOOKUP(D712,'Table corresp.'!$M$4:$U$63,9,FALSE)</f>
        <v>Production intermédiaire</v>
      </c>
    </row>
    <row r="713" spans="1:42" x14ac:dyDescent="0.25">
      <c r="A713" t="s">
        <v>52</v>
      </c>
      <c r="B713" t="str">
        <f>VLOOKUP(LEFT(A713,3),'Table corresp.'!$A$4:$D$63,3,FALSE)</f>
        <v>Importation</v>
      </c>
      <c r="C713" t="str">
        <f>VLOOKUP(A713,'Table corresp.'!$M$4:$P$63,4,FALSE)</f>
        <v>Importation</v>
      </c>
      <c r="D713" t="s">
        <v>1</v>
      </c>
      <c r="E713" t="str">
        <f>VLOOKUP(LEFT(D713,3),'Table corresp.'!$A$4:$D$63,4,FALSE)</f>
        <v>Transformation</v>
      </c>
      <c r="F713" t="str">
        <f t="shared" si="80"/>
        <v xml:space="preserve">Imp - 03 </v>
      </c>
      <c r="G713" s="3">
        <v>0</v>
      </c>
      <c r="H713" s="3">
        <v>65973.763000000021</v>
      </c>
      <c r="I713" s="3">
        <v>65973.763000000021</v>
      </c>
      <c r="J713" s="3">
        <v>0</v>
      </c>
      <c r="K713" s="3">
        <v>0</v>
      </c>
      <c r="L713" s="3">
        <v>0</v>
      </c>
      <c r="M713" s="3">
        <v>0</v>
      </c>
      <c r="N713" s="3">
        <v>745.72373145043434</v>
      </c>
      <c r="O713" s="3">
        <v>745.72373145043434</v>
      </c>
      <c r="P713" s="3">
        <v>0</v>
      </c>
      <c r="Q713" s="3">
        <v>0</v>
      </c>
      <c r="R713" s="3">
        <v>0</v>
      </c>
      <c r="S713" s="67"/>
      <c r="T713">
        <f>VLOOKUP(A713,'Groupe de branches'!$Z$27:$AM$86,14,FALSE)</f>
        <v>0</v>
      </c>
      <c r="U713">
        <f>VLOOKUP(D713,'Groupe de branches'!$Z$27:$AM$86,14,FALSE)</f>
        <v>0</v>
      </c>
      <c r="V713">
        <v>2017</v>
      </c>
      <c r="W713">
        <f>VLOOKUP(D713,'Table corresp.'!$M$4:$S$63,7,FALSE)</f>
        <v>0</v>
      </c>
      <c r="X713" s="167">
        <f>IFERROR(G713/SUMIFS('Comp2016-2017 (3)'!$I$5:$I$289,'Comp2016-2017 (3)'!$A$5:$A$289,A713,'Comp2016-2017 (3)'!$R$5:$R$289,V713),0)</f>
        <v>0</v>
      </c>
      <c r="Y713" s="190">
        <f>IFERROR(IF(RIGHT(F713,3)="Exp",VLOOKUP(F713,#REF!,2,FALSE),VLOOKUP(F713,#REF!,9,FALSE)),0)</f>
        <v>0</v>
      </c>
      <c r="Z713" s="167">
        <f t="shared" si="84"/>
        <v>0</v>
      </c>
      <c r="AA713" s="189">
        <f t="shared" si="82"/>
        <v>0</v>
      </c>
      <c r="AB713" s="2">
        <f>IFERROR(SUMIFS('Comp2016-2017 (3)'!$G$5:$G$289,'Comp2016-2017 (3)'!$A$5:$A$289,A713,'Comp2016-2017 (3)'!$R$5:$R$289,V713)*AA713/SUMIFS($AA$4:$AA$1116,$A$4:$A$1116,A713,$V$4:$V$1116,V713),0)</f>
        <v>0</v>
      </c>
      <c r="AC713" s="2">
        <f>IF($W713=AC$3,$AB713,IF(NOT($W713=0),"",SUMIFS('Val-Vol (2)'!AC$4:AC$1116,'Val-Vol (2)'!$A$4:$A$1116,$D713,'Val-Vol (2)'!$V$4:$V$1116,$V713)/SUMIFS('Comp2016-2017 (3)'!$G$5:$G$289,'Comp2016-2017 (3)'!$A$5:$A$289,$D713,'Comp2016-2017 (3)'!$R$5:$R$289,$V713)*$AB713))</f>
        <v>0</v>
      </c>
      <c r="AD713" s="2">
        <f>IF($W713=AD$3,$AB713,IF(NOT($W713=0),"",SUMIFS('Val-Vol (2)'!AD$4:AD$1116,'Val-Vol (2)'!$A$4:$A$1116,$D713,'Val-Vol (2)'!$V$4:$V$1116,$V713)/SUMIFS('Comp2016-2017 (3)'!$G$5:$G$289,'Comp2016-2017 (3)'!$A$5:$A$289,$D713,'Comp2016-2017 (3)'!$R$5:$R$289,$V713)*$AB713))</f>
        <v>0</v>
      </c>
      <c r="AE713" s="2">
        <f>IF($W713=AE$3,$AB713,IF(NOT($W713=0),"",SUMIFS('Val-Vol (2)'!AE$4:AE$1116,'Val-Vol (2)'!$A$4:$A$1116,$D713,'Val-Vol (2)'!$V$4:$V$1116,$V713)/SUMIFS('Comp2016-2017 (3)'!$G$5:$G$289,'Comp2016-2017 (3)'!$A$5:$A$289,$D713,'Comp2016-2017 (3)'!$R$5:$R$289,$V713)*$AB713))</f>
        <v>0</v>
      </c>
      <c r="AF713" s="2">
        <f>IF($W713=AF$3,$AB713,IF(NOT($W713=0),"",SUMIFS('Val-Vol (2)'!AF$4:AF$1116,'Val-Vol (2)'!$A$4:$A$1116,$D713,'Val-Vol (2)'!$V$4:$V$1116,$V713)/SUMIFS('Comp2016-2017 (3)'!$G$5:$G$289,'Comp2016-2017 (3)'!$A$5:$A$289,$D713,'Comp2016-2017 (3)'!$R$5:$R$289,$V713)*$AB713))</f>
        <v>0</v>
      </c>
      <c r="AG713" s="2">
        <f>IF($W713=AG$3,$AB713,IF(NOT($W713=0),"",SUMIFS('Val-Vol (2)'!AG$4:AG$1116,'Val-Vol (2)'!$A$4:$A$1116,$D713,'Val-Vol (2)'!$V$4:$V$1116,$V713)/SUMIFS('Comp2016-2017 (3)'!$G$5:$G$289,'Comp2016-2017 (3)'!$A$5:$A$289,$D713,'Comp2016-2017 (3)'!$R$5:$R$289,$V713)*$AB713))</f>
        <v>0</v>
      </c>
      <c r="AH713" s="2">
        <f>IF($W713=AH$3,$AB713,IF(NOT($W713=0),"",SUMIFS('Val-Vol (2)'!AH$4:AH$1116,'Val-Vol (2)'!$A$4:$A$1116,$D713,'Val-Vol (2)'!$V$4:$V$1116,$V713)/SUMIFS('Comp2016-2017 (3)'!$G$5:$G$289,'Comp2016-2017 (3)'!$A$5:$A$289,$D713,'Comp2016-2017 (3)'!$R$5:$R$289,$V713)*$AB713))</f>
        <v>0</v>
      </c>
      <c r="AI713" s="2">
        <f>IF($W713=AI$3,$AB713,IF(NOT($W713=0),"",SUMIFS('Val-Vol (2)'!AI$4:AI$1116,'Val-Vol (2)'!$A$4:$A$1116,$D713,'Val-Vol (2)'!$V$4:$V$1116,$V713)/SUMIFS('Comp2016-2017 (3)'!$G$5:$G$289,'Comp2016-2017 (3)'!$A$5:$A$289,$D713,'Comp2016-2017 (3)'!$R$5:$R$289,$V713)*$AB713))</f>
        <v>0</v>
      </c>
      <c r="AJ713" s="2">
        <f>IF($W713=AJ$3,$AB713,IF(NOT($W713=0),"",SUMIFS('Val-Vol (2)'!AJ$4:AJ$1116,'Val-Vol (2)'!$A$4:$A$1116,$D713,'Val-Vol (2)'!$V$4:$V$1116,$V713)/SUMIFS('Comp2016-2017 (3)'!$G$5:$G$289,'Comp2016-2017 (3)'!$A$5:$A$289,$D713,'Comp2016-2017 (3)'!$R$5:$R$289,$V713)*$AB713))</f>
        <v>0</v>
      </c>
      <c r="AK713" s="2">
        <f t="shared" si="83"/>
        <v>0</v>
      </c>
      <c r="AL713" t="str">
        <f t="shared" si="81"/>
        <v/>
      </c>
      <c r="AM713" t="str">
        <f>VLOOKUP(A713,'Table corresp.'!$M$4:$U$63,8,FALSE)</f>
        <v>Importation</v>
      </c>
      <c r="AN713" t="str">
        <f>VLOOKUP(D713,'Table corresp.'!$M$4:$U$63,9,FALSE)</f>
        <v>Production intermédiaire</v>
      </c>
    </row>
    <row r="714" spans="1:42" x14ac:dyDescent="0.25">
      <c r="A714" t="s">
        <v>52</v>
      </c>
      <c r="B714" t="str">
        <f>VLOOKUP(LEFT(A714,3),'Table corresp.'!$A$4:$D$63,3,FALSE)</f>
        <v>Importation</v>
      </c>
      <c r="C714" t="str">
        <f>VLOOKUP(A714,'Table corresp.'!$M$4:$P$63,4,FALSE)</f>
        <v>Importation</v>
      </c>
      <c r="D714" t="s">
        <v>2</v>
      </c>
      <c r="E714" t="str">
        <f>VLOOKUP(LEFT(D714,3),'Table corresp.'!$A$4:$D$63,4,FALSE)</f>
        <v>Transformation</v>
      </c>
      <c r="F714" t="str">
        <f t="shared" si="80"/>
        <v xml:space="preserve">Imp - 04 </v>
      </c>
      <c r="G714" s="3">
        <v>0</v>
      </c>
      <c r="H714" s="3">
        <v>11746.664000000001</v>
      </c>
      <c r="I714" s="3">
        <v>11746.664000000001</v>
      </c>
      <c r="J714" s="3">
        <v>0</v>
      </c>
      <c r="K714" s="3">
        <v>0</v>
      </c>
      <c r="L714" s="3">
        <v>0</v>
      </c>
      <c r="M714" s="3">
        <v>0</v>
      </c>
      <c r="N714" s="3">
        <v>0</v>
      </c>
      <c r="O714" s="3">
        <v>0</v>
      </c>
      <c r="P714" s="3">
        <v>0</v>
      </c>
      <c r="Q714" s="3">
        <v>142.65237372640922</v>
      </c>
      <c r="R714" s="3">
        <v>142.65237372640922</v>
      </c>
      <c r="S714" s="67" t="s">
        <v>198</v>
      </c>
      <c r="T714">
        <f>VLOOKUP(A714,'Groupe de branches'!$Z$27:$AM$86,14,FALSE)</f>
        <v>0</v>
      </c>
      <c r="U714">
        <f>VLOOKUP(D714,'Groupe de branches'!$Z$27:$AM$86,14,FALSE)</f>
        <v>0</v>
      </c>
      <c r="V714">
        <v>2017</v>
      </c>
      <c r="W714" t="str">
        <f>VLOOKUP(D714,'Table corresp.'!$M$4:$S$63,7,FALSE)</f>
        <v>Energie</v>
      </c>
      <c r="X714" s="167">
        <f>IFERROR(G714/SUMIFS('Comp2016-2017 (3)'!$I$5:$I$289,'Comp2016-2017 (3)'!$A$5:$A$289,A714,'Comp2016-2017 (3)'!$R$5:$R$289,V714),0)</f>
        <v>0</v>
      </c>
      <c r="Y714" s="190">
        <f>IFERROR(IF(RIGHT(F714,3)="Exp",VLOOKUP(F714,#REF!,2,FALSE),VLOOKUP(F714,#REF!,9,FALSE)),0)</f>
        <v>0</v>
      </c>
      <c r="Z714" s="167">
        <f t="shared" si="84"/>
        <v>0</v>
      </c>
      <c r="AA714" s="189">
        <f t="shared" si="82"/>
        <v>0</v>
      </c>
      <c r="AB714" s="2">
        <f>IFERROR(SUMIFS('Comp2016-2017 (3)'!$G$5:$G$289,'Comp2016-2017 (3)'!$A$5:$A$289,A714,'Comp2016-2017 (3)'!$R$5:$R$289,V714)*AA714/SUMIFS($AA$4:$AA$1116,$A$4:$A$1116,A714,$V$4:$V$1116,V714),0)</f>
        <v>0</v>
      </c>
      <c r="AC714" s="2" t="str">
        <f>IF($W714=AC$3,$AB714,IF(NOT($W714=0),"",SUMIFS('Val-Vol (2)'!AC$4:AC$1116,'Val-Vol (2)'!$A$4:$A$1116,$D714,'Val-Vol (2)'!$V$4:$V$1116,$V714)/SUMIFS('Comp2016-2017 (3)'!$G$5:$G$289,'Comp2016-2017 (3)'!$A$5:$A$289,$D714,'Comp2016-2017 (3)'!$R$5:$R$289,$V714)*$AB714))</f>
        <v/>
      </c>
      <c r="AD714" s="2" t="str">
        <f>IF($W714=AD$3,$AB714,IF(NOT($W714=0),"",SUMIFS('Val-Vol (2)'!AD$4:AD$1116,'Val-Vol (2)'!$A$4:$A$1116,$D714,'Val-Vol (2)'!$V$4:$V$1116,$V714)/SUMIFS('Comp2016-2017 (3)'!$G$5:$G$289,'Comp2016-2017 (3)'!$A$5:$A$289,$D714,'Comp2016-2017 (3)'!$R$5:$R$289,$V714)*$AB714))</f>
        <v/>
      </c>
      <c r="AE714" s="2" t="str">
        <f>IF($W714=AE$3,$AB714,IF(NOT($W714=0),"",SUMIFS('Val-Vol (2)'!AE$4:AE$1116,'Val-Vol (2)'!$A$4:$A$1116,$D714,'Val-Vol (2)'!$V$4:$V$1116,$V714)/SUMIFS('Comp2016-2017 (3)'!$G$5:$G$289,'Comp2016-2017 (3)'!$A$5:$A$289,$D714,'Comp2016-2017 (3)'!$R$5:$R$289,$V714)*$AB714))</f>
        <v/>
      </c>
      <c r="AF714" s="2" t="str">
        <f>IF($W714=AF$3,$AB714,IF(NOT($W714=0),"",SUMIFS('Val-Vol (2)'!AF$4:AF$1116,'Val-Vol (2)'!$A$4:$A$1116,$D714,'Val-Vol (2)'!$V$4:$V$1116,$V714)/SUMIFS('Comp2016-2017 (3)'!$G$5:$G$289,'Comp2016-2017 (3)'!$A$5:$A$289,$D714,'Comp2016-2017 (3)'!$R$5:$R$289,$V714)*$AB714))</f>
        <v/>
      </c>
      <c r="AG714" s="2" t="str">
        <f>IF($W714=AG$3,$AB714,IF(NOT($W714=0),"",SUMIFS('Val-Vol (2)'!AG$4:AG$1116,'Val-Vol (2)'!$A$4:$A$1116,$D714,'Val-Vol (2)'!$V$4:$V$1116,$V714)/SUMIFS('Comp2016-2017 (3)'!$G$5:$G$289,'Comp2016-2017 (3)'!$A$5:$A$289,$D714,'Comp2016-2017 (3)'!$R$5:$R$289,$V714)*$AB714))</f>
        <v/>
      </c>
      <c r="AH714" s="2">
        <f>IF($W714=AH$3,$AB714,IF(NOT($W714=0),"",SUMIFS('Val-Vol (2)'!AH$4:AH$1116,'Val-Vol (2)'!$A$4:$A$1116,$D714,'Val-Vol (2)'!$V$4:$V$1116,$V714)/SUMIFS('Comp2016-2017 (3)'!$G$5:$G$289,'Comp2016-2017 (3)'!$A$5:$A$289,$D714,'Comp2016-2017 (3)'!$R$5:$R$289,$V714)*$AB714))</f>
        <v>0</v>
      </c>
      <c r="AI714" s="2" t="str">
        <f>IF($W714=AI$3,$AB714,IF(NOT($W714=0),"",SUMIFS('Val-Vol (2)'!AI$4:AI$1116,'Val-Vol (2)'!$A$4:$A$1116,$D714,'Val-Vol (2)'!$V$4:$V$1116,$V714)/SUMIFS('Comp2016-2017 (3)'!$G$5:$G$289,'Comp2016-2017 (3)'!$A$5:$A$289,$D714,'Comp2016-2017 (3)'!$R$5:$R$289,$V714)*$AB714))</f>
        <v/>
      </c>
      <c r="AJ714" s="2" t="str">
        <f>IF($W714=AJ$3,$AB714,IF(NOT($W714=0),"",SUMIFS('Val-Vol (2)'!AJ$4:AJ$1116,'Val-Vol (2)'!$A$4:$A$1116,$D714,'Val-Vol (2)'!$V$4:$V$1116,$V714)/SUMIFS('Comp2016-2017 (3)'!$G$5:$G$289,'Comp2016-2017 (3)'!$A$5:$A$289,$D714,'Comp2016-2017 (3)'!$R$5:$R$289,$V714)*$AB714))</f>
        <v/>
      </c>
      <c r="AK714" s="2">
        <f t="shared" si="83"/>
        <v>0</v>
      </c>
      <c r="AL714" t="str">
        <f t="shared" si="81"/>
        <v/>
      </c>
      <c r="AM714" t="str">
        <f>VLOOKUP(A714,'Table corresp.'!$M$4:$U$63,8,FALSE)</f>
        <v>Importation</v>
      </c>
      <c r="AN714" t="str">
        <f>VLOOKUP(D714,'Table corresp.'!$M$4:$U$63,9,FALSE)</f>
        <v>Production intermédiaire</v>
      </c>
    </row>
    <row r="715" spans="1:42" x14ac:dyDescent="0.25">
      <c r="A715" t="s">
        <v>52</v>
      </c>
      <c r="B715" t="str">
        <f>VLOOKUP(LEFT(A715,3),'Table corresp.'!$A$4:$D$63,3,FALSE)</f>
        <v>Importation</v>
      </c>
      <c r="C715" t="str">
        <f>VLOOKUP(A715,'Table corresp.'!$M$4:$P$63,4,FALSE)</f>
        <v>Importation</v>
      </c>
      <c r="D715" t="s">
        <v>59</v>
      </c>
      <c r="E715" t="str">
        <f>VLOOKUP(LEFT(D715,3),'Table corresp.'!$A$4:$D$63,4,FALSE)</f>
        <v>Transformation</v>
      </c>
      <c r="F715" t="str">
        <f t="shared" si="80"/>
        <v xml:space="preserve">Imp - 07 </v>
      </c>
      <c r="G715" s="3">
        <v>0</v>
      </c>
      <c r="H715" s="3">
        <v>55189.048999999999</v>
      </c>
      <c r="I715" s="3">
        <v>55189.048999999999</v>
      </c>
      <c r="J715" s="3">
        <v>0</v>
      </c>
      <c r="K715" s="3">
        <v>0</v>
      </c>
      <c r="L715" s="3">
        <v>0</v>
      </c>
      <c r="M715" s="3">
        <v>0</v>
      </c>
      <c r="N715" s="3">
        <v>0</v>
      </c>
      <c r="O715" s="3">
        <v>0</v>
      </c>
      <c r="P715" s="3">
        <v>0</v>
      </c>
      <c r="Q715" s="3">
        <v>0</v>
      </c>
      <c r="R715" s="3">
        <v>0</v>
      </c>
      <c r="S715" s="67"/>
      <c r="T715">
        <f>VLOOKUP(A715,'Groupe de branches'!$Z$27:$AM$86,14,FALSE)</f>
        <v>0</v>
      </c>
      <c r="U715">
        <f>VLOOKUP(D715,'Groupe de branches'!$Z$27:$AM$86,14,FALSE)</f>
        <v>0</v>
      </c>
      <c r="V715">
        <v>2017</v>
      </c>
      <c r="W715" t="str">
        <f>VLOOKUP(D715,'Table corresp.'!$M$4:$S$63,7,FALSE)</f>
        <v>Produits de consommation courante</v>
      </c>
      <c r="X715" s="167">
        <f>IFERROR(G715/SUMIFS('Comp2016-2017 (3)'!$I$5:$I$289,'Comp2016-2017 (3)'!$A$5:$A$289,A715,'Comp2016-2017 (3)'!$R$5:$R$289,V715),0)</f>
        <v>0</v>
      </c>
      <c r="Y715" s="190">
        <f>IFERROR(IF(RIGHT(F715,3)="Exp",VLOOKUP(F715,#REF!,2,FALSE),VLOOKUP(F715,#REF!,9,FALSE)),0)</f>
        <v>0</v>
      </c>
      <c r="Z715" s="167">
        <f t="shared" si="84"/>
        <v>0</v>
      </c>
      <c r="AA715" s="189">
        <f t="shared" si="82"/>
        <v>0</v>
      </c>
      <c r="AB715" s="2">
        <f>IFERROR(SUMIFS('Comp2016-2017 (3)'!$G$5:$G$289,'Comp2016-2017 (3)'!$A$5:$A$289,A715,'Comp2016-2017 (3)'!$R$5:$R$289,V715)*AA715/SUMIFS($AA$4:$AA$1116,$A$4:$A$1116,A715,$V$4:$V$1116,V715),0)</f>
        <v>0</v>
      </c>
      <c r="AC715" s="2" t="str">
        <f>IF($W715=AC$3,$AB715,IF(NOT($W715=0),"",SUMIFS('Val-Vol (2)'!AC$4:AC$1116,'Val-Vol (2)'!$A$4:$A$1116,$D715,'Val-Vol (2)'!$V$4:$V$1116,$V715)/SUMIFS('Comp2016-2017 (3)'!$G$5:$G$289,'Comp2016-2017 (3)'!$A$5:$A$289,$D715,'Comp2016-2017 (3)'!$R$5:$R$289,$V715)*$AB715))</f>
        <v/>
      </c>
      <c r="AD715" s="2" t="str">
        <f>IF($W715=AD$3,$AB715,IF(NOT($W715=0),"",SUMIFS('Val-Vol (2)'!AD$4:AD$1116,'Val-Vol (2)'!$A$4:$A$1116,$D715,'Val-Vol (2)'!$V$4:$V$1116,$V715)/SUMIFS('Comp2016-2017 (3)'!$G$5:$G$289,'Comp2016-2017 (3)'!$A$5:$A$289,$D715,'Comp2016-2017 (3)'!$R$5:$R$289,$V715)*$AB715))</f>
        <v/>
      </c>
      <c r="AE715" s="2" t="str">
        <f>IF($W715=AE$3,$AB715,IF(NOT($W715=0),"",SUMIFS('Val-Vol (2)'!AE$4:AE$1116,'Val-Vol (2)'!$A$4:$A$1116,$D715,'Val-Vol (2)'!$V$4:$V$1116,$V715)/SUMIFS('Comp2016-2017 (3)'!$G$5:$G$289,'Comp2016-2017 (3)'!$A$5:$A$289,$D715,'Comp2016-2017 (3)'!$R$5:$R$289,$V715)*$AB715))</f>
        <v/>
      </c>
      <c r="AF715" s="2" t="str">
        <f>IF($W715=AF$3,$AB715,IF(NOT($W715=0),"",SUMIFS('Val-Vol (2)'!AF$4:AF$1116,'Val-Vol (2)'!$A$4:$A$1116,$D715,'Val-Vol (2)'!$V$4:$V$1116,$V715)/SUMIFS('Comp2016-2017 (3)'!$G$5:$G$289,'Comp2016-2017 (3)'!$A$5:$A$289,$D715,'Comp2016-2017 (3)'!$R$5:$R$289,$V715)*$AB715))</f>
        <v/>
      </c>
      <c r="AG715" s="2" t="str">
        <f>IF($W715=AG$3,$AB715,IF(NOT($W715=0),"",SUMIFS('Val-Vol (2)'!AG$4:AG$1116,'Val-Vol (2)'!$A$4:$A$1116,$D715,'Val-Vol (2)'!$V$4:$V$1116,$V715)/SUMIFS('Comp2016-2017 (3)'!$G$5:$G$289,'Comp2016-2017 (3)'!$A$5:$A$289,$D715,'Comp2016-2017 (3)'!$R$5:$R$289,$V715)*$AB715))</f>
        <v/>
      </c>
      <c r="AH715" s="2" t="str">
        <f>IF($W715=AH$3,$AB715,IF(NOT($W715=0),"",SUMIFS('Val-Vol (2)'!AH$4:AH$1116,'Val-Vol (2)'!$A$4:$A$1116,$D715,'Val-Vol (2)'!$V$4:$V$1116,$V715)/SUMIFS('Comp2016-2017 (3)'!$G$5:$G$289,'Comp2016-2017 (3)'!$A$5:$A$289,$D715,'Comp2016-2017 (3)'!$R$5:$R$289,$V715)*$AB715))</f>
        <v/>
      </c>
      <c r="AI715" s="2">
        <f>IF($W715=AI$3,$AB715,IF(NOT($W715=0),"",SUMIFS('Val-Vol (2)'!AI$4:AI$1116,'Val-Vol (2)'!$A$4:$A$1116,$D715,'Val-Vol (2)'!$V$4:$V$1116,$V715)/SUMIFS('Comp2016-2017 (3)'!$G$5:$G$289,'Comp2016-2017 (3)'!$A$5:$A$289,$D715,'Comp2016-2017 (3)'!$R$5:$R$289,$V715)*$AB715))</f>
        <v>0</v>
      </c>
      <c r="AJ715" s="2" t="str">
        <f>IF($W715=AJ$3,$AB715,IF(NOT($W715=0),"",SUMIFS('Val-Vol (2)'!AJ$4:AJ$1116,'Val-Vol (2)'!$A$4:$A$1116,$D715,'Val-Vol (2)'!$V$4:$V$1116,$V715)/SUMIFS('Comp2016-2017 (3)'!$G$5:$G$289,'Comp2016-2017 (3)'!$A$5:$A$289,$D715,'Comp2016-2017 (3)'!$R$5:$R$289,$V715)*$AB715))</f>
        <v/>
      </c>
      <c r="AK715" s="2">
        <f t="shared" si="83"/>
        <v>0</v>
      </c>
      <c r="AL715" t="str">
        <f t="shared" si="81"/>
        <v/>
      </c>
      <c r="AM715" t="str">
        <f>VLOOKUP(A715,'Table corresp.'!$M$4:$U$63,8,FALSE)</f>
        <v>Importation</v>
      </c>
      <c r="AN715" t="str">
        <f>VLOOKUP(D715,'Table corresp.'!$M$4:$U$63,9,FALSE)</f>
        <v>Production intermédiaire</v>
      </c>
    </row>
    <row r="716" spans="1:42" x14ac:dyDescent="0.25">
      <c r="A716" t="s">
        <v>52</v>
      </c>
      <c r="B716" t="str">
        <f>VLOOKUP(LEFT(A716,3),'Table corresp.'!$A$4:$D$63,3,FALSE)</f>
        <v>Importation</v>
      </c>
      <c r="C716" t="str">
        <f>VLOOKUP(A716,'Table corresp.'!$M$4:$P$63,4,FALSE)</f>
        <v>Importation</v>
      </c>
      <c r="D716" t="s">
        <v>4</v>
      </c>
      <c r="E716" t="str">
        <f>VLOOKUP(LEFT(D716,3),'Table corresp.'!$A$4:$D$63,4,FALSE)</f>
        <v>Transformation</v>
      </c>
      <c r="F716" t="str">
        <f t="shared" si="80"/>
        <v xml:space="preserve">Imp - 08 </v>
      </c>
      <c r="G716" s="3">
        <v>0</v>
      </c>
      <c r="H716" s="3">
        <v>29925.383000000002</v>
      </c>
      <c r="I716" s="3">
        <v>29925.383000000002</v>
      </c>
      <c r="J716" s="3">
        <v>0</v>
      </c>
      <c r="K716" s="3">
        <v>67.575012785895524</v>
      </c>
      <c r="L716" s="3">
        <v>67.575012785895524</v>
      </c>
      <c r="M716" s="3">
        <v>0</v>
      </c>
      <c r="N716" s="3">
        <v>0</v>
      </c>
      <c r="O716" s="3">
        <v>0</v>
      </c>
      <c r="P716" s="3">
        <v>0</v>
      </c>
      <c r="Q716" s="3">
        <v>0</v>
      </c>
      <c r="R716" s="3">
        <v>0</v>
      </c>
      <c r="S716" s="67"/>
      <c r="T716">
        <f>VLOOKUP(A716,'Groupe de branches'!$Z$27:$AM$86,14,FALSE)</f>
        <v>0</v>
      </c>
      <c r="U716">
        <f>VLOOKUP(D716,'Groupe de branches'!$Z$27:$AM$86,14,FALSE)</f>
        <v>0</v>
      </c>
      <c r="V716">
        <v>2017</v>
      </c>
      <c r="W716">
        <f>VLOOKUP(D716,'Table corresp.'!$M$4:$S$63,7,FALSE)</f>
        <v>0</v>
      </c>
      <c r="X716" s="167">
        <f>IFERROR(G716/SUMIFS('Comp2016-2017 (3)'!$I$5:$I$289,'Comp2016-2017 (3)'!$A$5:$A$289,A716,'Comp2016-2017 (3)'!$R$5:$R$289,V716),0)</f>
        <v>0</v>
      </c>
      <c r="Y716" s="190">
        <f>IFERROR(IF(RIGHT(F716,3)="Exp",VLOOKUP(F716,#REF!,2,FALSE),VLOOKUP(F716,#REF!,9,FALSE)),0)</f>
        <v>0</v>
      </c>
      <c r="Z716" s="167">
        <f t="shared" si="84"/>
        <v>0</v>
      </c>
      <c r="AA716" s="189">
        <f t="shared" si="82"/>
        <v>0</v>
      </c>
      <c r="AB716" s="2">
        <f>IFERROR(SUMIFS('Comp2016-2017 (3)'!$G$5:$G$289,'Comp2016-2017 (3)'!$A$5:$A$289,A716,'Comp2016-2017 (3)'!$R$5:$R$289,V716)*AA716/SUMIFS($AA$4:$AA$1116,$A$4:$A$1116,A716,$V$4:$V$1116,V716),0)</f>
        <v>0</v>
      </c>
      <c r="AC716" s="2">
        <f>IF($W716=AC$3,$AB716,IF(NOT($W716=0),"",SUMIFS('Val-Vol (2)'!AC$4:AC$1116,'Val-Vol (2)'!$A$4:$A$1116,$D716,'Val-Vol (2)'!$V$4:$V$1116,$V716)/SUMIFS('Comp2016-2017 (3)'!$G$5:$G$289,'Comp2016-2017 (3)'!$A$5:$A$289,$D716,'Comp2016-2017 (3)'!$R$5:$R$289,$V716)*$AB716))</f>
        <v>0</v>
      </c>
      <c r="AD716" s="2">
        <f>IF($W716=AD$3,$AB716,IF(NOT($W716=0),"",SUMIFS('Val-Vol (2)'!AD$4:AD$1116,'Val-Vol (2)'!$A$4:$A$1116,$D716,'Val-Vol (2)'!$V$4:$V$1116,$V716)/SUMIFS('Comp2016-2017 (3)'!$G$5:$G$289,'Comp2016-2017 (3)'!$A$5:$A$289,$D716,'Comp2016-2017 (3)'!$R$5:$R$289,$V716)*$AB716))</f>
        <v>0</v>
      </c>
      <c r="AE716" s="2">
        <f>IF($W716=AE$3,$AB716,IF(NOT($W716=0),"",SUMIFS('Val-Vol (2)'!AE$4:AE$1116,'Val-Vol (2)'!$A$4:$A$1116,$D716,'Val-Vol (2)'!$V$4:$V$1116,$V716)/SUMIFS('Comp2016-2017 (3)'!$G$5:$G$289,'Comp2016-2017 (3)'!$A$5:$A$289,$D716,'Comp2016-2017 (3)'!$R$5:$R$289,$V716)*$AB716))</f>
        <v>0</v>
      </c>
      <c r="AF716" s="2">
        <f>IF($W716=AF$3,$AB716,IF(NOT($W716=0),"",SUMIFS('Val-Vol (2)'!AF$4:AF$1116,'Val-Vol (2)'!$A$4:$A$1116,$D716,'Val-Vol (2)'!$V$4:$V$1116,$V716)/SUMIFS('Comp2016-2017 (3)'!$G$5:$G$289,'Comp2016-2017 (3)'!$A$5:$A$289,$D716,'Comp2016-2017 (3)'!$R$5:$R$289,$V716)*$AB716))</f>
        <v>0</v>
      </c>
      <c r="AG716" s="2">
        <f>IF($W716=AG$3,$AB716,IF(NOT($W716=0),"",SUMIFS('Val-Vol (2)'!AG$4:AG$1116,'Val-Vol (2)'!$A$4:$A$1116,$D716,'Val-Vol (2)'!$V$4:$V$1116,$V716)/SUMIFS('Comp2016-2017 (3)'!$G$5:$G$289,'Comp2016-2017 (3)'!$A$5:$A$289,$D716,'Comp2016-2017 (3)'!$R$5:$R$289,$V716)*$AB716))</f>
        <v>0</v>
      </c>
      <c r="AH716" s="2">
        <f>IF($W716=AH$3,$AB716,IF(NOT($W716=0),"",SUMIFS('Val-Vol (2)'!AH$4:AH$1116,'Val-Vol (2)'!$A$4:$A$1116,$D716,'Val-Vol (2)'!$V$4:$V$1116,$V716)/SUMIFS('Comp2016-2017 (3)'!$G$5:$G$289,'Comp2016-2017 (3)'!$A$5:$A$289,$D716,'Comp2016-2017 (3)'!$R$5:$R$289,$V716)*$AB716))</f>
        <v>0</v>
      </c>
      <c r="AI716" s="2">
        <f>IF($W716=AI$3,$AB716,IF(NOT($W716=0),"",SUMIFS('Val-Vol (2)'!AI$4:AI$1116,'Val-Vol (2)'!$A$4:$A$1116,$D716,'Val-Vol (2)'!$V$4:$V$1116,$V716)/SUMIFS('Comp2016-2017 (3)'!$G$5:$G$289,'Comp2016-2017 (3)'!$A$5:$A$289,$D716,'Comp2016-2017 (3)'!$R$5:$R$289,$V716)*$AB716))</f>
        <v>0</v>
      </c>
      <c r="AJ716" s="2">
        <f>IF($W716=AJ$3,$AB716,IF(NOT($W716=0),"",SUMIFS('Val-Vol (2)'!AJ$4:AJ$1116,'Val-Vol (2)'!$A$4:$A$1116,$D716,'Val-Vol (2)'!$V$4:$V$1116,$V716)/SUMIFS('Comp2016-2017 (3)'!$G$5:$G$289,'Comp2016-2017 (3)'!$A$5:$A$289,$D716,'Comp2016-2017 (3)'!$R$5:$R$289,$V716)*$AB716))</f>
        <v>0</v>
      </c>
      <c r="AK716" s="2">
        <f t="shared" si="83"/>
        <v>0</v>
      </c>
      <c r="AL716" t="str">
        <f t="shared" si="81"/>
        <v/>
      </c>
      <c r="AM716" t="str">
        <f>VLOOKUP(A716,'Table corresp.'!$M$4:$U$63,8,FALSE)</f>
        <v>Importation</v>
      </c>
      <c r="AN716" t="str">
        <f>VLOOKUP(D716,'Table corresp.'!$M$4:$U$63,9,FALSE)</f>
        <v>Production intermédiaire</v>
      </c>
    </row>
    <row r="717" spans="1:42" x14ac:dyDescent="0.25">
      <c r="A717" t="s">
        <v>52</v>
      </c>
      <c r="B717" t="str">
        <f>VLOOKUP(LEFT(A717,3),'Table corresp.'!$A$4:$D$63,3,FALSE)</f>
        <v>Importation</v>
      </c>
      <c r="C717" t="str">
        <f>VLOOKUP(A717,'Table corresp.'!$M$4:$P$63,4,FALSE)</f>
        <v>Importation</v>
      </c>
      <c r="D717" t="s">
        <v>5</v>
      </c>
      <c r="E717" t="str">
        <f>VLOOKUP(LEFT(D717,3),'Table corresp.'!$A$4:$D$63,4,FALSE)</f>
        <v>Transformation</v>
      </c>
      <c r="F717" t="str">
        <f t="shared" si="80"/>
        <v xml:space="preserve">Imp - 09 </v>
      </c>
      <c r="G717" s="3">
        <v>0</v>
      </c>
      <c r="H717" s="3">
        <v>24675.313999999998</v>
      </c>
      <c r="I717" s="3">
        <v>24675.313999999998</v>
      </c>
      <c r="J717" s="3">
        <v>0</v>
      </c>
      <c r="K717" s="3">
        <v>88.321107533551043</v>
      </c>
      <c r="L717" s="3">
        <v>88.321107533551043</v>
      </c>
      <c r="M717" s="3">
        <v>0</v>
      </c>
      <c r="N717" s="3">
        <v>0</v>
      </c>
      <c r="O717" s="3">
        <v>0</v>
      </c>
      <c r="P717" s="3">
        <v>0</v>
      </c>
      <c r="Q717" s="3">
        <v>0</v>
      </c>
      <c r="R717" s="3">
        <v>0</v>
      </c>
      <c r="S717" s="67"/>
      <c r="T717">
        <f>VLOOKUP(A717,'Groupe de branches'!$Z$27:$AM$86,14,FALSE)</f>
        <v>0</v>
      </c>
      <c r="U717">
        <f>VLOOKUP(D717,'Groupe de branches'!$Z$27:$AM$86,14,FALSE)</f>
        <v>0</v>
      </c>
      <c r="V717">
        <v>2017</v>
      </c>
      <c r="W717">
        <f>VLOOKUP(D717,'Table corresp.'!$M$4:$S$63,7,FALSE)</f>
        <v>0</v>
      </c>
      <c r="X717" s="167">
        <f>IFERROR(G717/SUMIFS('Comp2016-2017 (3)'!$I$5:$I$289,'Comp2016-2017 (3)'!$A$5:$A$289,A717,'Comp2016-2017 (3)'!$R$5:$R$289,V717),0)</f>
        <v>0</v>
      </c>
      <c r="Y717" s="190">
        <f>IFERROR(IF(RIGHT(F717,3)="Exp",VLOOKUP(F717,#REF!,2,FALSE),VLOOKUP(F717,#REF!,9,FALSE)),0)</f>
        <v>0</v>
      </c>
      <c r="Z717" s="167">
        <f t="shared" si="84"/>
        <v>0</v>
      </c>
      <c r="AA717" s="189">
        <f t="shared" si="82"/>
        <v>0</v>
      </c>
      <c r="AB717" s="2">
        <f>IFERROR(SUMIFS('Comp2016-2017 (3)'!$G$5:$G$289,'Comp2016-2017 (3)'!$A$5:$A$289,A717,'Comp2016-2017 (3)'!$R$5:$R$289,V717)*AA717/SUMIFS($AA$4:$AA$1116,$A$4:$A$1116,A717,$V$4:$V$1116,V717),0)</f>
        <v>0</v>
      </c>
      <c r="AC717" s="2">
        <f>IF($W717=AC$3,$AB717,IF(NOT($W717=0),"",SUMIFS('Val-Vol (2)'!AC$4:AC$1116,'Val-Vol (2)'!$A$4:$A$1116,$D717,'Val-Vol (2)'!$V$4:$V$1116,$V717)/SUMIFS('Comp2016-2017 (3)'!$G$5:$G$289,'Comp2016-2017 (3)'!$A$5:$A$289,$D717,'Comp2016-2017 (3)'!$R$5:$R$289,$V717)*$AB717))</f>
        <v>0</v>
      </c>
      <c r="AD717" s="2">
        <f>IF($W717=AD$3,$AB717,IF(NOT($W717=0),"",SUMIFS('Val-Vol (2)'!AD$4:AD$1116,'Val-Vol (2)'!$A$4:$A$1116,$D717,'Val-Vol (2)'!$V$4:$V$1116,$V717)/SUMIFS('Comp2016-2017 (3)'!$G$5:$G$289,'Comp2016-2017 (3)'!$A$5:$A$289,$D717,'Comp2016-2017 (3)'!$R$5:$R$289,$V717)*$AB717))</f>
        <v>0</v>
      </c>
      <c r="AE717" s="2">
        <f>IF($W717=AE$3,$AB717,IF(NOT($W717=0),"",SUMIFS('Val-Vol (2)'!AE$4:AE$1116,'Val-Vol (2)'!$A$4:$A$1116,$D717,'Val-Vol (2)'!$V$4:$V$1116,$V717)/SUMIFS('Comp2016-2017 (3)'!$G$5:$G$289,'Comp2016-2017 (3)'!$A$5:$A$289,$D717,'Comp2016-2017 (3)'!$R$5:$R$289,$V717)*$AB717))</f>
        <v>0</v>
      </c>
      <c r="AF717" s="2">
        <f>IF($W717=AF$3,$AB717,IF(NOT($W717=0),"",SUMIFS('Val-Vol (2)'!AF$4:AF$1116,'Val-Vol (2)'!$A$4:$A$1116,$D717,'Val-Vol (2)'!$V$4:$V$1116,$V717)/SUMIFS('Comp2016-2017 (3)'!$G$5:$G$289,'Comp2016-2017 (3)'!$A$5:$A$289,$D717,'Comp2016-2017 (3)'!$R$5:$R$289,$V717)*$AB717))</f>
        <v>0</v>
      </c>
      <c r="AG717" s="2">
        <f>IF($W717=AG$3,$AB717,IF(NOT($W717=0),"",SUMIFS('Val-Vol (2)'!AG$4:AG$1116,'Val-Vol (2)'!$A$4:$A$1116,$D717,'Val-Vol (2)'!$V$4:$V$1116,$V717)/SUMIFS('Comp2016-2017 (3)'!$G$5:$G$289,'Comp2016-2017 (3)'!$A$5:$A$289,$D717,'Comp2016-2017 (3)'!$R$5:$R$289,$V717)*$AB717))</f>
        <v>0</v>
      </c>
      <c r="AH717" s="2">
        <f>IF($W717=AH$3,$AB717,IF(NOT($W717=0),"",SUMIFS('Val-Vol (2)'!AH$4:AH$1116,'Val-Vol (2)'!$A$4:$A$1116,$D717,'Val-Vol (2)'!$V$4:$V$1116,$V717)/SUMIFS('Comp2016-2017 (3)'!$G$5:$G$289,'Comp2016-2017 (3)'!$A$5:$A$289,$D717,'Comp2016-2017 (3)'!$R$5:$R$289,$V717)*$AB717))</f>
        <v>0</v>
      </c>
      <c r="AI717" s="2">
        <f>IF($W717=AI$3,$AB717,IF(NOT($W717=0),"",SUMIFS('Val-Vol (2)'!AI$4:AI$1116,'Val-Vol (2)'!$A$4:$A$1116,$D717,'Val-Vol (2)'!$V$4:$V$1116,$V717)/SUMIFS('Comp2016-2017 (3)'!$G$5:$G$289,'Comp2016-2017 (3)'!$A$5:$A$289,$D717,'Comp2016-2017 (3)'!$R$5:$R$289,$V717)*$AB717))</f>
        <v>0</v>
      </c>
      <c r="AJ717" s="2">
        <f>IF($W717=AJ$3,$AB717,IF(NOT($W717=0),"",SUMIFS('Val-Vol (2)'!AJ$4:AJ$1116,'Val-Vol (2)'!$A$4:$A$1116,$D717,'Val-Vol (2)'!$V$4:$V$1116,$V717)/SUMIFS('Comp2016-2017 (3)'!$G$5:$G$289,'Comp2016-2017 (3)'!$A$5:$A$289,$D717,'Comp2016-2017 (3)'!$R$5:$R$289,$V717)*$AB717))</f>
        <v>0</v>
      </c>
      <c r="AK717" s="2">
        <f t="shared" si="83"/>
        <v>0</v>
      </c>
      <c r="AL717" t="str">
        <f t="shared" si="81"/>
        <v/>
      </c>
      <c r="AM717" t="str">
        <f>VLOOKUP(A717,'Table corresp.'!$M$4:$U$63,8,FALSE)</f>
        <v>Importation</v>
      </c>
      <c r="AN717" t="str">
        <f>VLOOKUP(D717,'Table corresp.'!$M$4:$U$63,9,FALSE)</f>
        <v>Production intermédiaire</v>
      </c>
    </row>
    <row r="718" spans="1:42" x14ac:dyDescent="0.25">
      <c r="A718" t="s">
        <v>52</v>
      </c>
      <c r="B718" t="str">
        <f>VLOOKUP(LEFT(A718,3),'Table corresp.'!$A$4:$D$63,3,FALSE)</f>
        <v>Importation</v>
      </c>
      <c r="C718" t="str">
        <f>VLOOKUP(A718,'Table corresp.'!$M$4:$P$63,4,FALSE)</f>
        <v>Importation</v>
      </c>
      <c r="D718" t="s">
        <v>82</v>
      </c>
      <c r="E718" t="str">
        <f>VLOOKUP(LEFT(D718,3),'Table corresp.'!$A$4:$D$63,4,FALSE)</f>
        <v>Transformation</v>
      </c>
      <c r="F718" t="str">
        <f t="shared" si="80"/>
        <v xml:space="preserve">Imp - 10 </v>
      </c>
      <c r="G718" s="3">
        <v>0</v>
      </c>
      <c r="H718" s="3">
        <v>14820.455</v>
      </c>
      <c r="I718" s="3">
        <v>14820.455</v>
      </c>
      <c r="J718" s="3">
        <v>0</v>
      </c>
      <c r="K718" s="3">
        <v>53.435179139662736</v>
      </c>
      <c r="L718" s="3">
        <v>53.435179139662736</v>
      </c>
      <c r="M718" s="3">
        <v>0</v>
      </c>
      <c r="N718" s="3">
        <v>0</v>
      </c>
      <c r="O718" s="3">
        <v>0</v>
      </c>
      <c r="P718" s="3">
        <v>0</v>
      </c>
      <c r="Q718" s="3">
        <v>0</v>
      </c>
      <c r="R718" s="3">
        <v>0</v>
      </c>
      <c r="S718" s="67"/>
      <c r="T718">
        <f>VLOOKUP(A718,'Groupe de branches'!$Z$27:$AM$86,14,FALSE)</f>
        <v>0</v>
      </c>
      <c r="U718">
        <f>VLOOKUP(D718,'Groupe de branches'!$Z$27:$AM$86,14,FALSE)</f>
        <v>0</v>
      </c>
      <c r="V718">
        <v>2017</v>
      </c>
      <c r="W718">
        <f>VLOOKUP(D718,'Table corresp.'!$M$4:$S$63,7,FALSE)</f>
        <v>0</v>
      </c>
      <c r="X718" s="167">
        <f>IFERROR(G718/SUMIFS('Comp2016-2017 (3)'!$I$5:$I$289,'Comp2016-2017 (3)'!$A$5:$A$289,A718,'Comp2016-2017 (3)'!$R$5:$R$289,V718),0)</f>
        <v>0</v>
      </c>
      <c r="Y718" s="190">
        <f>IFERROR(IF(RIGHT(F718,3)="Exp",VLOOKUP(F718,#REF!,2,FALSE),VLOOKUP(F718,#REF!,9,FALSE)),0)</f>
        <v>0</v>
      </c>
      <c r="Z718" s="167">
        <f t="shared" si="84"/>
        <v>0</v>
      </c>
      <c r="AA718" s="189">
        <f t="shared" si="82"/>
        <v>0</v>
      </c>
      <c r="AB718" s="2">
        <f>IFERROR(SUMIFS('Comp2016-2017 (3)'!$G$5:$G$289,'Comp2016-2017 (3)'!$A$5:$A$289,A718,'Comp2016-2017 (3)'!$R$5:$R$289,V718)*AA718/SUMIFS($AA$4:$AA$1116,$A$4:$A$1116,A718,$V$4:$V$1116,V718),0)</f>
        <v>0</v>
      </c>
      <c r="AC718" s="2">
        <f>IF($W718=AC$3,$AB718,IF(NOT($W718=0),"",SUMIFS('Val-Vol (2)'!AC$4:AC$1116,'Val-Vol (2)'!$A$4:$A$1116,$D718,'Val-Vol (2)'!$V$4:$V$1116,$V718)/SUMIFS('Comp2016-2017 (3)'!$G$5:$G$289,'Comp2016-2017 (3)'!$A$5:$A$289,$D718,'Comp2016-2017 (3)'!$R$5:$R$289,$V718)*$AB718))</f>
        <v>0</v>
      </c>
      <c r="AD718" s="2">
        <f>IF($W718=AD$3,$AB718,IF(NOT($W718=0),"",SUMIFS('Val-Vol (2)'!AD$4:AD$1116,'Val-Vol (2)'!$A$4:$A$1116,$D718,'Val-Vol (2)'!$V$4:$V$1116,$V718)/SUMIFS('Comp2016-2017 (3)'!$G$5:$G$289,'Comp2016-2017 (3)'!$A$5:$A$289,$D718,'Comp2016-2017 (3)'!$R$5:$R$289,$V718)*$AB718))</f>
        <v>0</v>
      </c>
      <c r="AE718" s="2">
        <f>IF($W718=AE$3,$AB718,IF(NOT($W718=0),"",SUMIFS('Val-Vol (2)'!AE$4:AE$1116,'Val-Vol (2)'!$A$4:$A$1116,$D718,'Val-Vol (2)'!$V$4:$V$1116,$V718)/SUMIFS('Comp2016-2017 (3)'!$G$5:$G$289,'Comp2016-2017 (3)'!$A$5:$A$289,$D718,'Comp2016-2017 (3)'!$R$5:$R$289,$V718)*$AB718))</f>
        <v>0</v>
      </c>
      <c r="AF718" s="2">
        <f>IF($W718=AF$3,$AB718,IF(NOT($W718=0),"",SUMIFS('Val-Vol (2)'!AF$4:AF$1116,'Val-Vol (2)'!$A$4:$A$1116,$D718,'Val-Vol (2)'!$V$4:$V$1116,$V718)/SUMIFS('Comp2016-2017 (3)'!$G$5:$G$289,'Comp2016-2017 (3)'!$A$5:$A$289,$D718,'Comp2016-2017 (3)'!$R$5:$R$289,$V718)*$AB718))</f>
        <v>0</v>
      </c>
      <c r="AG718" s="2">
        <f>IF($W718=AG$3,$AB718,IF(NOT($W718=0),"",SUMIFS('Val-Vol (2)'!AG$4:AG$1116,'Val-Vol (2)'!$A$4:$A$1116,$D718,'Val-Vol (2)'!$V$4:$V$1116,$V718)/SUMIFS('Comp2016-2017 (3)'!$G$5:$G$289,'Comp2016-2017 (3)'!$A$5:$A$289,$D718,'Comp2016-2017 (3)'!$R$5:$R$289,$V718)*$AB718))</f>
        <v>0</v>
      </c>
      <c r="AH718" s="2">
        <f>IF($W718=AH$3,$AB718,IF(NOT($W718=0),"",SUMIFS('Val-Vol (2)'!AH$4:AH$1116,'Val-Vol (2)'!$A$4:$A$1116,$D718,'Val-Vol (2)'!$V$4:$V$1116,$V718)/SUMIFS('Comp2016-2017 (3)'!$G$5:$G$289,'Comp2016-2017 (3)'!$A$5:$A$289,$D718,'Comp2016-2017 (3)'!$R$5:$R$289,$V718)*$AB718))</f>
        <v>0</v>
      </c>
      <c r="AI718" s="2">
        <f>IF($W718=AI$3,$AB718,IF(NOT($W718=0),"",SUMIFS('Val-Vol (2)'!AI$4:AI$1116,'Val-Vol (2)'!$A$4:$A$1116,$D718,'Val-Vol (2)'!$V$4:$V$1116,$V718)/SUMIFS('Comp2016-2017 (3)'!$G$5:$G$289,'Comp2016-2017 (3)'!$A$5:$A$289,$D718,'Comp2016-2017 (3)'!$R$5:$R$289,$V718)*$AB718))</f>
        <v>0</v>
      </c>
      <c r="AJ718" s="2">
        <f>IF($W718=AJ$3,$AB718,IF(NOT($W718=0),"",SUMIFS('Val-Vol (2)'!AJ$4:AJ$1116,'Val-Vol (2)'!$A$4:$A$1116,$D718,'Val-Vol (2)'!$V$4:$V$1116,$V718)/SUMIFS('Comp2016-2017 (3)'!$G$5:$G$289,'Comp2016-2017 (3)'!$A$5:$A$289,$D718,'Comp2016-2017 (3)'!$R$5:$R$289,$V718)*$AB718))</f>
        <v>0</v>
      </c>
      <c r="AK718" s="2">
        <f t="shared" si="83"/>
        <v>0</v>
      </c>
      <c r="AL718" t="str">
        <f t="shared" si="81"/>
        <v/>
      </c>
      <c r="AM718" t="str">
        <f>VLOOKUP(A718,'Table corresp.'!$M$4:$U$63,8,FALSE)</f>
        <v>Importation</v>
      </c>
      <c r="AN718" t="str">
        <f>VLOOKUP(D718,'Table corresp.'!$M$4:$U$63,9,FALSE)</f>
        <v>Production intermédiaire</v>
      </c>
    </row>
    <row r="719" spans="1:42" x14ac:dyDescent="0.25">
      <c r="A719" t="s">
        <v>52</v>
      </c>
      <c r="B719" t="str">
        <f>VLOOKUP(LEFT(A719,3),'Table corresp.'!$A$4:$D$63,3,FALSE)</f>
        <v>Importation</v>
      </c>
      <c r="C719" t="str">
        <f>VLOOKUP(A719,'Table corresp.'!$M$4:$P$63,4,FALSE)</f>
        <v>Importation</v>
      </c>
      <c r="D719" t="s">
        <v>6</v>
      </c>
      <c r="E719" t="str">
        <f>VLOOKUP(LEFT(D719,3),'Table corresp.'!$A$4:$D$63,4,FALSE)</f>
        <v>Transformation</v>
      </c>
      <c r="F719" t="str">
        <f t="shared" si="80"/>
        <v xml:space="preserve">Imp - 11 </v>
      </c>
      <c r="G719" s="3">
        <v>0</v>
      </c>
      <c r="H719" s="3">
        <v>58005.591999999997</v>
      </c>
      <c r="I719" s="3">
        <v>58005.591999999997</v>
      </c>
      <c r="J719" s="3">
        <v>0</v>
      </c>
      <c r="K719" s="3">
        <v>74.690344790627648</v>
      </c>
      <c r="L719" s="3">
        <v>74.690344790627648</v>
      </c>
      <c r="M719" s="3">
        <v>0</v>
      </c>
      <c r="N719" s="3">
        <v>0</v>
      </c>
      <c r="O719" s="3">
        <v>0</v>
      </c>
      <c r="P719" s="3">
        <v>0</v>
      </c>
      <c r="Q719" s="3">
        <v>0</v>
      </c>
      <c r="R719" s="3">
        <v>0</v>
      </c>
      <c r="S719" s="67"/>
      <c r="T719">
        <f>VLOOKUP(A719,'Groupe de branches'!$Z$27:$AM$86,14,FALSE)</f>
        <v>0</v>
      </c>
      <c r="U719">
        <f>VLOOKUP(D719,'Groupe de branches'!$Z$27:$AM$86,14,FALSE)</f>
        <v>0</v>
      </c>
      <c r="V719">
        <v>2017</v>
      </c>
      <c r="W719">
        <f>VLOOKUP(D719,'Table corresp.'!$M$4:$S$63,7,FALSE)</f>
        <v>0</v>
      </c>
      <c r="X719" s="167">
        <f>IFERROR(G719/SUMIFS('Comp2016-2017 (3)'!$I$5:$I$289,'Comp2016-2017 (3)'!$A$5:$A$289,A719,'Comp2016-2017 (3)'!$R$5:$R$289,V719),0)</f>
        <v>0</v>
      </c>
      <c r="Y719" s="190">
        <f>IFERROR(IF(RIGHT(F719,3)="Exp",VLOOKUP(F719,#REF!,2,FALSE),VLOOKUP(F719,#REF!,9,FALSE)),0)</f>
        <v>0</v>
      </c>
      <c r="Z719" s="167">
        <f t="shared" si="84"/>
        <v>0</v>
      </c>
      <c r="AA719" s="189">
        <f t="shared" si="82"/>
        <v>0</v>
      </c>
      <c r="AB719" s="2">
        <f>IFERROR(SUMIFS('Comp2016-2017 (3)'!$G$5:$G$289,'Comp2016-2017 (3)'!$A$5:$A$289,A719,'Comp2016-2017 (3)'!$R$5:$R$289,V719)*AA719/SUMIFS($AA$4:$AA$1116,$A$4:$A$1116,A719,$V$4:$V$1116,V719),0)</f>
        <v>0</v>
      </c>
      <c r="AC719" s="2">
        <f>IF($W719=AC$3,$AB719,IF(NOT($W719=0),"",SUMIFS('Val-Vol (2)'!AC$4:AC$1116,'Val-Vol (2)'!$A$4:$A$1116,$D719,'Val-Vol (2)'!$V$4:$V$1116,$V719)/SUMIFS('Comp2016-2017 (3)'!$G$5:$G$289,'Comp2016-2017 (3)'!$A$5:$A$289,$D719,'Comp2016-2017 (3)'!$R$5:$R$289,$V719)*$AB719))</f>
        <v>0</v>
      </c>
      <c r="AD719" s="2">
        <f>IF($W719=AD$3,$AB719,IF(NOT($W719=0),"",SUMIFS('Val-Vol (2)'!AD$4:AD$1116,'Val-Vol (2)'!$A$4:$A$1116,$D719,'Val-Vol (2)'!$V$4:$V$1116,$V719)/SUMIFS('Comp2016-2017 (3)'!$G$5:$G$289,'Comp2016-2017 (3)'!$A$5:$A$289,$D719,'Comp2016-2017 (3)'!$R$5:$R$289,$V719)*$AB719))</f>
        <v>0</v>
      </c>
      <c r="AE719" s="2">
        <f>IF($W719=AE$3,$AB719,IF(NOT($W719=0),"",SUMIFS('Val-Vol (2)'!AE$4:AE$1116,'Val-Vol (2)'!$A$4:$A$1116,$D719,'Val-Vol (2)'!$V$4:$V$1116,$V719)/SUMIFS('Comp2016-2017 (3)'!$G$5:$G$289,'Comp2016-2017 (3)'!$A$5:$A$289,$D719,'Comp2016-2017 (3)'!$R$5:$R$289,$V719)*$AB719))</f>
        <v>0</v>
      </c>
      <c r="AF719" s="2">
        <f>IF($W719=AF$3,$AB719,IF(NOT($W719=0),"",SUMIFS('Val-Vol (2)'!AF$4:AF$1116,'Val-Vol (2)'!$A$4:$A$1116,$D719,'Val-Vol (2)'!$V$4:$V$1116,$V719)/SUMIFS('Comp2016-2017 (3)'!$G$5:$G$289,'Comp2016-2017 (3)'!$A$5:$A$289,$D719,'Comp2016-2017 (3)'!$R$5:$R$289,$V719)*$AB719))</f>
        <v>0</v>
      </c>
      <c r="AG719" s="2">
        <f>IF($W719=AG$3,$AB719,IF(NOT($W719=0),"",SUMIFS('Val-Vol (2)'!AG$4:AG$1116,'Val-Vol (2)'!$A$4:$A$1116,$D719,'Val-Vol (2)'!$V$4:$V$1116,$V719)/SUMIFS('Comp2016-2017 (3)'!$G$5:$G$289,'Comp2016-2017 (3)'!$A$5:$A$289,$D719,'Comp2016-2017 (3)'!$R$5:$R$289,$V719)*$AB719))</f>
        <v>0</v>
      </c>
      <c r="AH719" s="2">
        <f>IF($W719=AH$3,$AB719,IF(NOT($W719=0),"",SUMIFS('Val-Vol (2)'!AH$4:AH$1116,'Val-Vol (2)'!$A$4:$A$1116,$D719,'Val-Vol (2)'!$V$4:$V$1116,$V719)/SUMIFS('Comp2016-2017 (3)'!$G$5:$G$289,'Comp2016-2017 (3)'!$A$5:$A$289,$D719,'Comp2016-2017 (3)'!$R$5:$R$289,$V719)*$AB719))</f>
        <v>0</v>
      </c>
      <c r="AI719" s="2">
        <f>IF($W719=AI$3,$AB719,IF(NOT($W719=0),"",SUMIFS('Val-Vol (2)'!AI$4:AI$1116,'Val-Vol (2)'!$A$4:$A$1116,$D719,'Val-Vol (2)'!$V$4:$V$1116,$V719)/SUMIFS('Comp2016-2017 (3)'!$G$5:$G$289,'Comp2016-2017 (3)'!$A$5:$A$289,$D719,'Comp2016-2017 (3)'!$R$5:$R$289,$V719)*$AB719))</f>
        <v>0</v>
      </c>
      <c r="AJ719" s="2">
        <f>IF($W719=AJ$3,$AB719,IF(NOT($W719=0),"",SUMIFS('Val-Vol (2)'!AJ$4:AJ$1116,'Val-Vol (2)'!$A$4:$A$1116,$D719,'Val-Vol (2)'!$V$4:$V$1116,$V719)/SUMIFS('Comp2016-2017 (3)'!$G$5:$G$289,'Comp2016-2017 (3)'!$A$5:$A$289,$D719,'Comp2016-2017 (3)'!$R$5:$R$289,$V719)*$AB719))</f>
        <v>0</v>
      </c>
      <c r="AK719" s="2">
        <f t="shared" si="83"/>
        <v>0</v>
      </c>
      <c r="AL719" t="str">
        <f t="shared" si="81"/>
        <v/>
      </c>
      <c r="AM719" t="str">
        <f>VLOOKUP(A719,'Table corresp.'!$M$4:$U$63,8,FALSE)</f>
        <v>Importation</v>
      </c>
      <c r="AN719" t="str">
        <f>VLOOKUP(D719,'Table corresp.'!$M$4:$U$63,9,FALSE)</f>
        <v>Production intermédiaire</v>
      </c>
    </row>
    <row r="720" spans="1:42" x14ac:dyDescent="0.25">
      <c r="A720" t="s">
        <v>52</v>
      </c>
      <c r="B720" t="str">
        <f>VLOOKUP(LEFT(A720,3),'Table corresp.'!$A$4:$D$63,3,FALSE)</f>
        <v>Importation</v>
      </c>
      <c r="C720" t="str">
        <f>VLOOKUP(A720,'Table corresp.'!$M$4:$P$63,4,FALSE)</f>
        <v>Importation</v>
      </c>
      <c r="D720" t="s">
        <v>7</v>
      </c>
      <c r="E720" t="str">
        <f>VLOOKUP(LEFT(D720,3),'Table corresp.'!$A$4:$D$63,4,FALSE)</f>
        <v>Transformation</v>
      </c>
      <c r="F720" t="str">
        <f t="shared" si="80"/>
        <v xml:space="preserve">Imp - 12 </v>
      </c>
      <c r="G720" s="3">
        <v>0</v>
      </c>
      <c r="H720" s="3">
        <v>291924.40600000002</v>
      </c>
      <c r="I720" s="3">
        <v>291924.40600000002</v>
      </c>
      <c r="J720" s="3">
        <v>0</v>
      </c>
      <c r="K720" s="3">
        <v>2638.5900292264141</v>
      </c>
      <c r="L720" s="3">
        <v>2638.5900292264141</v>
      </c>
      <c r="M720" s="3">
        <v>0</v>
      </c>
      <c r="N720" s="3">
        <v>0</v>
      </c>
      <c r="O720" s="3">
        <v>0</v>
      </c>
      <c r="P720" s="3">
        <v>0</v>
      </c>
      <c r="Q720" s="3">
        <v>0</v>
      </c>
      <c r="R720" s="3">
        <v>0</v>
      </c>
      <c r="S720" s="67"/>
      <c r="T720">
        <f>VLOOKUP(A720,'Groupe de branches'!$Z$27:$AM$86,14,FALSE)</f>
        <v>0</v>
      </c>
      <c r="U720">
        <f>VLOOKUP(D720,'Groupe de branches'!$Z$27:$AM$86,14,FALSE)</f>
        <v>0</v>
      </c>
      <c r="V720">
        <v>2017</v>
      </c>
      <c r="W720">
        <f>VLOOKUP(D720,'Table corresp.'!$M$4:$S$63,7,FALSE)</f>
        <v>0</v>
      </c>
      <c r="X720" s="167">
        <f>IFERROR(G720/SUMIFS('Comp2016-2017 (3)'!$I$5:$I$289,'Comp2016-2017 (3)'!$A$5:$A$289,A720,'Comp2016-2017 (3)'!$R$5:$R$289,V720),0)</f>
        <v>0</v>
      </c>
      <c r="Y720" s="190">
        <f>IFERROR(IF(RIGHT(F720,3)="Exp",VLOOKUP(F720,#REF!,2,FALSE),VLOOKUP(F720,#REF!,9,FALSE)),0)</f>
        <v>0</v>
      </c>
      <c r="Z720" s="167">
        <f t="shared" si="84"/>
        <v>0</v>
      </c>
      <c r="AA720" s="189">
        <f t="shared" si="82"/>
        <v>0</v>
      </c>
      <c r="AB720" s="2">
        <f>IFERROR(SUMIFS('Comp2016-2017 (3)'!$G$5:$G$289,'Comp2016-2017 (3)'!$A$5:$A$289,A720,'Comp2016-2017 (3)'!$R$5:$R$289,V720)*AA720/SUMIFS($AA$4:$AA$1116,$A$4:$A$1116,A720,$V$4:$V$1116,V720),0)</f>
        <v>0</v>
      </c>
      <c r="AC720" s="2">
        <f>IF($W720=AC$3,$AB720,IF(NOT($W720=0),"",SUMIFS('Val-Vol (2)'!AC$4:AC$1116,'Val-Vol (2)'!$A$4:$A$1116,$D720,'Val-Vol (2)'!$V$4:$V$1116,$V720)/SUMIFS('Comp2016-2017 (3)'!$G$5:$G$289,'Comp2016-2017 (3)'!$A$5:$A$289,$D720,'Comp2016-2017 (3)'!$R$5:$R$289,$V720)*$AB720))</f>
        <v>0</v>
      </c>
      <c r="AD720" s="2">
        <f>IF($W720=AD$3,$AB720,IF(NOT($W720=0),"",SUMIFS('Val-Vol (2)'!AD$4:AD$1116,'Val-Vol (2)'!$A$4:$A$1116,$D720,'Val-Vol (2)'!$V$4:$V$1116,$V720)/SUMIFS('Comp2016-2017 (3)'!$G$5:$G$289,'Comp2016-2017 (3)'!$A$5:$A$289,$D720,'Comp2016-2017 (3)'!$R$5:$R$289,$V720)*$AB720))</f>
        <v>0</v>
      </c>
      <c r="AE720" s="2">
        <f>IF($W720=AE$3,$AB720,IF(NOT($W720=0),"",SUMIFS('Val-Vol (2)'!AE$4:AE$1116,'Val-Vol (2)'!$A$4:$A$1116,$D720,'Val-Vol (2)'!$V$4:$V$1116,$V720)/SUMIFS('Comp2016-2017 (3)'!$G$5:$G$289,'Comp2016-2017 (3)'!$A$5:$A$289,$D720,'Comp2016-2017 (3)'!$R$5:$R$289,$V720)*$AB720))</f>
        <v>0</v>
      </c>
      <c r="AF720" s="2">
        <f>IF($W720=AF$3,$AB720,IF(NOT($W720=0),"",SUMIFS('Val-Vol (2)'!AF$4:AF$1116,'Val-Vol (2)'!$A$4:$A$1116,$D720,'Val-Vol (2)'!$V$4:$V$1116,$V720)/SUMIFS('Comp2016-2017 (3)'!$G$5:$G$289,'Comp2016-2017 (3)'!$A$5:$A$289,$D720,'Comp2016-2017 (3)'!$R$5:$R$289,$V720)*$AB720))</f>
        <v>0</v>
      </c>
      <c r="AG720" s="2">
        <f>IF($W720=AG$3,$AB720,IF(NOT($W720=0),"",SUMIFS('Val-Vol (2)'!AG$4:AG$1116,'Val-Vol (2)'!$A$4:$A$1116,$D720,'Val-Vol (2)'!$V$4:$V$1116,$V720)/SUMIFS('Comp2016-2017 (3)'!$G$5:$G$289,'Comp2016-2017 (3)'!$A$5:$A$289,$D720,'Comp2016-2017 (3)'!$R$5:$R$289,$V720)*$AB720))</f>
        <v>0</v>
      </c>
      <c r="AH720" s="2">
        <f>IF($W720=AH$3,$AB720,IF(NOT($W720=0),"",SUMIFS('Val-Vol (2)'!AH$4:AH$1116,'Val-Vol (2)'!$A$4:$A$1116,$D720,'Val-Vol (2)'!$V$4:$V$1116,$V720)/SUMIFS('Comp2016-2017 (3)'!$G$5:$G$289,'Comp2016-2017 (3)'!$A$5:$A$289,$D720,'Comp2016-2017 (3)'!$R$5:$R$289,$V720)*$AB720))</f>
        <v>0</v>
      </c>
      <c r="AI720" s="2">
        <f>IF($W720=AI$3,$AB720,IF(NOT($W720=0),"",SUMIFS('Val-Vol (2)'!AI$4:AI$1116,'Val-Vol (2)'!$A$4:$A$1116,$D720,'Val-Vol (2)'!$V$4:$V$1116,$V720)/SUMIFS('Comp2016-2017 (3)'!$G$5:$G$289,'Comp2016-2017 (3)'!$A$5:$A$289,$D720,'Comp2016-2017 (3)'!$R$5:$R$289,$V720)*$AB720))</f>
        <v>0</v>
      </c>
      <c r="AJ720" s="2">
        <f>IF($W720=AJ$3,$AB720,IF(NOT($W720=0),"",SUMIFS('Val-Vol (2)'!AJ$4:AJ$1116,'Val-Vol (2)'!$A$4:$A$1116,$D720,'Val-Vol (2)'!$V$4:$V$1116,$V720)/SUMIFS('Comp2016-2017 (3)'!$G$5:$G$289,'Comp2016-2017 (3)'!$A$5:$A$289,$D720,'Comp2016-2017 (3)'!$R$5:$R$289,$V720)*$AB720))</f>
        <v>0</v>
      </c>
      <c r="AK720" s="2">
        <f t="shared" si="83"/>
        <v>0</v>
      </c>
      <c r="AL720" t="str">
        <f t="shared" si="81"/>
        <v/>
      </c>
      <c r="AM720" t="str">
        <f>VLOOKUP(A720,'Table corresp.'!$M$4:$U$63,8,FALSE)</f>
        <v>Importation</v>
      </c>
      <c r="AN720" t="str">
        <f>VLOOKUP(D720,'Table corresp.'!$M$4:$U$63,9,FALSE)</f>
        <v>Production intermédiaire</v>
      </c>
    </row>
    <row r="721" spans="1:40" x14ac:dyDescent="0.25">
      <c r="A721" t="s">
        <v>52</v>
      </c>
      <c r="B721" t="str">
        <f>VLOOKUP(LEFT(A721,3),'Table corresp.'!$A$4:$D$63,3,FALSE)</f>
        <v>Importation</v>
      </c>
      <c r="C721" t="str">
        <f>VLOOKUP(A721,'Table corresp.'!$M$4:$P$63,4,FALSE)</f>
        <v>Importation</v>
      </c>
      <c r="D721" t="s">
        <v>83</v>
      </c>
      <c r="E721" t="str">
        <f>VLOOKUP(LEFT(D721,3),'Table corresp.'!$A$4:$D$63,4,FALSE)</f>
        <v>Transformation</v>
      </c>
      <c r="F721" t="str">
        <f t="shared" si="80"/>
        <v xml:space="preserve">Imp - 14 </v>
      </c>
      <c r="G721" s="3">
        <v>0</v>
      </c>
      <c r="H721" s="3">
        <v>144206.908</v>
      </c>
      <c r="I721" s="3">
        <v>144206.908</v>
      </c>
      <c r="J721" s="3">
        <v>0</v>
      </c>
      <c r="K721" s="3">
        <v>656.08013505178417</v>
      </c>
      <c r="L721" s="3">
        <v>656.08013505178417</v>
      </c>
      <c r="M721" s="3">
        <v>0</v>
      </c>
      <c r="N721" s="3">
        <v>0</v>
      </c>
      <c r="O721" s="3">
        <v>0</v>
      </c>
      <c r="P721" s="3">
        <v>0</v>
      </c>
      <c r="Q721" s="3">
        <v>0</v>
      </c>
      <c r="R721" s="3">
        <v>0</v>
      </c>
      <c r="S721" s="67"/>
      <c r="T721">
        <f>VLOOKUP(A721,'Groupe de branches'!$Z$27:$AM$86,14,FALSE)</f>
        <v>0</v>
      </c>
      <c r="U721">
        <f>VLOOKUP(D721,'Groupe de branches'!$Z$27:$AM$86,14,FALSE)</f>
        <v>0</v>
      </c>
      <c r="V721">
        <v>2017</v>
      </c>
      <c r="W721">
        <f>VLOOKUP(D721,'Table corresp.'!$M$4:$S$63,7,FALSE)</f>
        <v>0</v>
      </c>
      <c r="X721" s="167">
        <f>IFERROR(G721/SUMIFS('Comp2016-2017 (3)'!$I$5:$I$289,'Comp2016-2017 (3)'!$A$5:$A$289,A721,'Comp2016-2017 (3)'!$R$5:$R$289,V721),0)</f>
        <v>0</v>
      </c>
      <c r="Y721" s="190">
        <f>IFERROR(IF(RIGHT(F721,3)="Exp",VLOOKUP(F721,#REF!,2,FALSE),VLOOKUP(F721,#REF!,9,FALSE)),0)</f>
        <v>0</v>
      </c>
      <c r="Z721" s="167">
        <f t="shared" si="84"/>
        <v>0</v>
      </c>
      <c r="AA721" s="189">
        <f t="shared" si="82"/>
        <v>0</v>
      </c>
      <c r="AB721" s="2">
        <f>IFERROR(SUMIFS('Comp2016-2017 (3)'!$G$5:$G$289,'Comp2016-2017 (3)'!$A$5:$A$289,A721,'Comp2016-2017 (3)'!$R$5:$R$289,V721)*AA721/SUMIFS($AA$4:$AA$1116,$A$4:$A$1116,A721,$V$4:$V$1116,V721),0)</f>
        <v>0</v>
      </c>
      <c r="AC721" s="2">
        <f>IF($W721=AC$3,$AB721,IF(NOT($W721=0),"",SUMIFS('Val-Vol (2)'!AC$4:AC$1116,'Val-Vol (2)'!$A$4:$A$1116,$D721,'Val-Vol (2)'!$V$4:$V$1116,$V721)/SUMIFS('Comp2016-2017 (3)'!$G$5:$G$289,'Comp2016-2017 (3)'!$A$5:$A$289,$D721,'Comp2016-2017 (3)'!$R$5:$R$289,$V721)*$AB721))</f>
        <v>0</v>
      </c>
      <c r="AD721" s="2">
        <f>IF($W721=AD$3,$AB721,IF(NOT($W721=0),"",SUMIFS('Val-Vol (2)'!AD$4:AD$1116,'Val-Vol (2)'!$A$4:$A$1116,$D721,'Val-Vol (2)'!$V$4:$V$1116,$V721)/SUMIFS('Comp2016-2017 (3)'!$G$5:$G$289,'Comp2016-2017 (3)'!$A$5:$A$289,$D721,'Comp2016-2017 (3)'!$R$5:$R$289,$V721)*$AB721))</f>
        <v>0</v>
      </c>
      <c r="AE721" s="2">
        <f>IF($W721=AE$3,$AB721,IF(NOT($W721=0),"",SUMIFS('Val-Vol (2)'!AE$4:AE$1116,'Val-Vol (2)'!$A$4:$A$1116,$D721,'Val-Vol (2)'!$V$4:$V$1116,$V721)/SUMIFS('Comp2016-2017 (3)'!$G$5:$G$289,'Comp2016-2017 (3)'!$A$5:$A$289,$D721,'Comp2016-2017 (3)'!$R$5:$R$289,$V721)*$AB721))</f>
        <v>0</v>
      </c>
      <c r="AF721" s="2">
        <f>IF($W721=AF$3,$AB721,IF(NOT($W721=0),"",SUMIFS('Val-Vol (2)'!AF$4:AF$1116,'Val-Vol (2)'!$A$4:$A$1116,$D721,'Val-Vol (2)'!$V$4:$V$1116,$V721)/SUMIFS('Comp2016-2017 (3)'!$G$5:$G$289,'Comp2016-2017 (3)'!$A$5:$A$289,$D721,'Comp2016-2017 (3)'!$R$5:$R$289,$V721)*$AB721))</f>
        <v>0</v>
      </c>
      <c r="AG721" s="2">
        <f>IF($W721=AG$3,$AB721,IF(NOT($W721=0),"",SUMIFS('Val-Vol (2)'!AG$4:AG$1116,'Val-Vol (2)'!$A$4:$A$1116,$D721,'Val-Vol (2)'!$V$4:$V$1116,$V721)/SUMIFS('Comp2016-2017 (3)'!$G$5:$G$289,'Comp2016-2017 (3)'!$A$5:$A$289,$D721,'Comp2016-2017 (3)'!$R$5:$R$289,$V721)*$AB721))</f>
        <v>0</v>
      </c>
      <c r="AH721" s="2">
        <f>IF($W721=AH$3,$AB721,IF(NOT($W721=0),"",SUMIFS('Val-Vol (2)'!AH$4:AH$1116,'Val-Vol (2)'!$A$4:$A$1116,$D721,'Val-Vol (2)'!$V$4:$V$1116,$V721)/SUMIFS('Comp2016-2017 (3)'!$G$5:$G$289,'Comp2016-2017 (3)'!$A$5:$A$289,$D721,'Comp2016-2017 (3)'!$R$5:$R$289,$V721)*$AB721))</f>
        <v>0</v>
      </c>
      <c r="AI721" s="2">
        <f>IF($W721=AI$3,$AB721,IF(NOT($W721=0),"",SUMIFS('Val-Vol (2)'!AI$4:AI$1116,'Val-Vol (2)'!$A$4:$A$1116,$D721,'Val-Vol (2)'!$V$4:$V$1116,$V721)/SUMIFS('Comp2016-2017 (3)'!$G$5:$G$289,'Comp2016-2017 (3)'!$A$5:$A$289,$D721,'Comp2016-2017 (3)'!$R$5:$R$289,$V721)*$AB721))</f>
        <v>0</v>
      </c>
      <c r="AJ721" s="2">
        <f>IF($W721=AJ$3,$AB721,IF(NOT($W721=0),"",SUMIFS('Val-Vol (2)'!AJ$4:AJ$1116,'Val-Vol (2)'!$A$4:$A$1116,$D721,'Val-Vol (2)'!$V$4:$V$1116,$V721)/SUMIFS('Comp2016-2017 (3)'!$G$5:$G$289,'Comp2016-2017 (3)'!$A$5:$A$289,$D721,'Comp2016-2017 (3)'!$R$5:$R$289,$V721)*$AB721))</f>
        <v>0</v>
      </c>
      <c r="AK721" s="2">
        <f t="shared" si="83"/>
        <v>0</v>
      </c>
      <c r="AL721" t="str">
        <f t="shared" si="81"/>
        <v/>
      </c>
      <c r="AM721" t="str">
        <f>VLOOKUP(A721,'Table corresp.'!$M$4:$U$63,8,FALSE)</f>
        <v>Importation</v>
      </c>
      <c r="AN721" t="str">
        <f>VLOOKUP(D721,'Table corresp.'!$M$4:$U$63,9,FALSE)</f>
        <v>Production intermédiaire</v>
      </c>
    </row>
    <row r="722" spans="1:40" x14ac:dyDescent="0.25">
      <c r="A722" t="s">
        <v>52</v>
      </c>
      <c r="B722" t="str">
        <f>VLOOKUP(LEFT(A722,3),'Table corresp.'!$A$4:$D$63,3,FALSE)</f>
        <v>Importation</v>
      </c>
      <c r="C722" t="str">
        <f>VLOOKUP(A722,'Table corresp.'!$M$4:$P$63,4,FALSE)</f>
        <v>Importation</v>
      </c>
      <c r="D722" t="s">
        <v>84</v>
      </c>
      <c r="E722" t="str">
        <f>VLOOKUP(LEFT(D722,3),'Table corresp.'!$A$4:$D$63,4,FALSE)</f>
        <v>Transformation</v>
      </c>
      <c r="F722" t="str">
        <f t="shared" si="80"/>
        <v xml:space="preserve">Imp - 17 </v>
      </c>
      <c r="G722" s="3">
        <v>0</v>
      </c>
      <c r="H722" s="3">
        <v>5518.107</v>
      </c>
      <c r="I722" s="3">
        <v>5518.107</v>
      </c>
      <c r="J722" s="3">
        <v>0</v>
      </c>
      <c r="K722" s="3">
        <v>25.374616840048773</v>
      </c>
      <c r="L722" s="3">
        <v>25.374616840048773</v>
      </c>
      <c r="M722" s="3">
        <v>0</v>
      </c>
      <c r="N722" s="3">
        <v>0</v>
      </c>
      <c r="O722" s="3">
        <v>0</v>
      </c>
      <c r="P722" s="3">
        <v>0</v>
      </c>
      <c r="Q722" s="3">
        <v>0</v>
      </c>
      <c r="R722" s="3">
        <v>0</v>
      </c>
      <c r="S722" s="67"/>
      <c r="T722">
        <f>VLOOKUP(A722,'Groupe de branches'!$Z$27:$AM$86,14,FALSE)</f>
        <v>0</v>
      </c>
      <c r="U722">
        <f>VLOOKUP(D722,'Groupe de branches'!$Z$27:$AM$86,14,FALSE)</f>
        <v>0</v>
      </c>
      <c r="V722">
        <v>2017</v>
      </c>
      <c r="W722" t="str">
        <f>VLOOKUP(D722,'Table corresp.'!$M$4:$S$63,7,FALSE)</f>
        <v>Construction</v>
      </c>
      <c r="X722" s="167">
        <f>IFERROR(G722/SUMIFS('Comp2016-2017 (3)'!$I$5:$I$289,'Comp2016-2017 (3)'!$A$5:$A$289,A722,'Comp2016-2017 (3)'!$R$5:$R$289,V722),0)</f>
        <v>0</v>
      </c>
      <c r="Y722" s="190">
        <f>IFERROR(IF(RIGHT(F722,3)="Exp",VLOOKUP(F722,#REF!,2,FALSE),VLOOKUP(F722,#REF!,9,FALSE)),0)</f>
        <v>0</v>
      </c>
      <c r="Z722" s="167">
        <f t="shared" si="84"/>
        <v>0</v>
      </c>
      <c r="AA722" s="189">
        <f t="shared" si="82"/>
        <v>0</v>
      </c>
      <c r="AB722" s="2">
        <f>IFERROR(SUMIFS('Comp2016-2017 (3)'!$G$5:$G$289,'Comp2016-2017 (3)'!$A$5:$A$289,A722,'Comp2016-2017 (3)'!$R$5:$R$289,V722)*AA722/SUMIFS($AA$4:$AA$1116,$A$4:$A$1116,A722,$V$4:$V$1116,V722),0)</f>
        <v>0</v>
      </c>
      <c r="AC722" s="2" t="str">
        <f>IF($W722=AC$3,$AB722,IF(NOT($W722=0),"",SUMIFS('Val-Vol (2)'!AC$4:AC$1116,'Val-Vol (2)'!$A$4:$A$1116,$D722,'Val-Vol (2)'!$V$4:$V$1116,$V722)/SUMIFS('Comp2016-2017 (3)'!$G$5:$G$289,'Comp2016-2017 (3)'!$A$5:$A$289,$D722,'Comp2016-2017 (3)'!$R$5:$R$289,$V722)*$AB722))</f>
        <v/>
      </c>
      <c r="AD722" s="2">
        <f>IF($W722=AD$3,$AB722,IF(NOT($W722=0),"",SUMIFS('Val-Vol (2)'!AD$4:AD$1116,'Val-Vol (2)'!$A$4:$A$1116,$D722,'Val-Vol (2)'!$V$4:$V$1116,$V722)/SUMIFS('Comp2016-2017 (3)'!$G$5:$G$289,'Comp2016-2017 (3)'!$A$5:$A$289,$D722,'Comp2016-2017 (3)'!$R$5:$R$289,$V722)*$AB722))</f>
        <v>0</v>
      </c>
      <c r="AE722" s="2" t="str">
        <f>IF($W722=AE$3,$AB722,IF(NOT($W722=0),"",SUMIFS('Val-Vol (2)'!AE$4:AE$1116,'Val-Vol (2)'!$A$4:$A$1116,$D722,'Val-Vol (2)'!$V$4:$V$1116,$V722)/SUMIFS('Comp2016-2017 (3)'!$G$5:$G$289,'Comp2016-2017 (3)'!$A$5:$A$289,$D722,'Comp2016-2017 (3)'!$R$5:$R$289,$V722)*$AB722))</f>
        <v/>
      </c>
      <c r="AF722" s="2" t="str">
        <f>IF($W722=AF$3,$AB722,IF(NOT($W722=0),"",SUMIFS('Val-Vol (2)'!AF$4:AF$1116,'Val-Vol (2)'!$A$4:$A$1116,$D722,'Val-Vol (2)'!$V$4:$V$1116,$V722)/SUMIFS('Comp2016-2017 (3)'!$G$5:$G$289,'Comp2016-2017 (3)'!$A$5:$A$289,$D722,'Comp2016-2017 (3)'!$R$5:$R$289,$V722)*$AB722))</f>
        <v/>
      </c>
      <c r="AG722" s="2" t="str">
        <f>IF($W722=AG$3,$AB722,IF(NOT($W722=0),"",SUMIFS('Val-Vol (2)'!AG$4:AG$1116,'Val-Vol (2)'!$A$4:$A$1116,$D722,'Val-Vol (2)'!$V$4:$V$1116,$V722)/SUMIFS('Comp2016-2017 (3)'!$G$5:$G$289,'Comp2016-2017 (3)'!$A$5:$A$289,$D722,'Comp2016-2017 (3)'!$R$5:$R$289,$V722)*$AB722))</f>
        <v/>
      </c>
      <c r="AH722" s="2" t="str">
        <f>IF($W722=AH$3,$AB722,IF(NOT($W722=0),"",SUMIFS('Val-Vol (2)'!AH$4:AH$1116,'Val-Vol (2)'!$A$4:$A$1116,$D722,'Val-Vol (2)'!$V$4:$V$1116,$V722)/SUMIFS('Comp2016-2017 (3)'!$G$5:$G$289,'Comp2016-2017 (3)'!$A$5:$A$289,$D722,'Comp2016-2017 (3)'!$R$5:$R$289,$V722)*$AB722))</f>
        <v/>
      </c>
      <c r="AI722" s="2" t="str">
        <f>IF($W722=AI$3,$AB722,IF(NOT($W722=0),"",SUMIFS('Val-Vol (2)'!AI$4:AI$1116,'Val-Vol (2)'!$A$4:$A$1116,$D722,'Val-Vol (2)'!$V$4:$V$1116,$V722)/SUMIFS('Comp2016-2017 (3)'!$G$5:$G$289,'Comp2016-2017 (3)'!$A$5:$A$289,$D722,'Comp2016-2017 (3)'!$R$5:$R$289,$V722)*$AB722))</f>
        <v/>
      </c>
      <c r="AJ722" s="2" t="str">
        <f>IF($W722=AJ$3,$AB722,IF(NOT($W722=0),"",SUMIFS('Val-Vol (2)'!AJ$4:AJ$1116,'Val-Vol (2)'!$A$4:$A$1116,$D722,'Val-Vol (2)'!$V$4:$V$1116,$V722)/SUMIFS('Comp2016-2017 (3)'!$G$5:$G$289,'Comp2016-2017 (3)'!$A$5:$A$289,$D722,'Comp2016-2017 (3)'!$R$5:$R$289,$V722)*$AB722))</f>
        <v/>
      </c>
      <c r="AK722" s="2">
        <f t="shared" si="83"/>
        <v>0</v>
      </c>
      <c r="AL722" t="str">
        <f t="shared" si="81"/>
        <v/>
      </c>
      <c r="AM722" t="str">
        <f>VLOOKUP(A722,'Table corresp.'!$M$4:$U$63,8,FALSE)</f>
        <v>Importation</v>
      </c>
      <c r="AN722" t="str">
        <f>VLOOKUP(D722,'Table corresp.'!$M$4:$U$63,9,FALSE)</f>
        <v>Production intermédiaire</v>
      </c>
    </row>
    <row r="723" spans="1:40" x14ac:dyDescent="0.25">
      <c r="A723" t="s">
        <v>52</v>
      </c>
      <c r="B723" t="str">
        <f>VLOOKUP(LEFT(A723,3),'Table corresp.'!$A$4:$D$63,3,FALSE)</f>
        <v>Importation</v>
      </c>
      <c r="C723" t="str">
        <f>VLOOKUP(A723,'Table corresp.'!$M$4:$P$63,4,FALSE)</f>
        <v>Importation</v>
      </c>
      <c r="D723" t="s">
        <v>11</v>
      </c>
      <c r="E723" t="str">
        <f>VLOOKUP(LEFT(D723,3),'Table corresp.'!$A$4:$D$63,4,FALSE)</f>
        <v>Transformation</v>
      </c>
      <c r="F723" t="str">
        <f t="shared" si="80"/>
        <v xml:space="preserve">Imp - 18 </v>
      </c>
      <c r="G723" s="3">
        <v>0</v>
      </c>
      <c r="H723" s="3">
        <v>17131.52</v>
      </c>
      <c r="I723" s="3">
        <v>17131.52</v>
      </c>
      <c r="J723" s="3">
        <v>0</v>
      </c>
      <c r="K723" s="3">
        <v>0</v>
      </c>
      <c r="L723" s="3">
        <v>0</v>
      </c>
      <c r="M723" s="3">
        <v>0</v>
      </c>
      <c r="N723" s="3">
        <v>254.17818290235269</v>
      </c>
      <c r="O723" s="3">
        <v>254.17818290235269</v>
      </c>
      <c r="P723" s="3">
        <v>0</v>
      </c>
      <c r="Q723" s="3">
        <v>0</v>
      </c>
      <c r="R723" s="3">
        <v>0</v>
      </c>
      <c r="S723" s="67"/>
      <c r="T723">
        <f>VLOOKUP(A723,'Groupe de branches'!$Z$27:$AM$86,14,FALSE)</f>
        <v>0</v>
      </c>
      <c r="U723">
        <f>VLOOKUP(D723,'Groupe de branches'!$Z$27:$AM$86,14,FALSE)</f>
        <v>0</v>
      </c>
      <c r="V723">
        <v>2017</v>
      </c>
      <c r="W723">
        <f>VLOOKUP(D723,'Table corresp.'!$M$4:$S$63,7,FALSE)</f>
        <v>0</v>
      </c>
      <c r="X723" s="167">
        <f>IFERROR(G723/SUMIFS('Comp2016-2017 (3)'!$I$5:$I$289,'Comp2016-2017 (3)'!$A$5:$A$289,A723,'Comp2016-2017 (3)'!$R$5:$R$289,V723),0)</f>
        <v>0</v>
      </c>
      <c r="Y723" s="190">
        <f>IFERROR(IF(RIGHT(F723,3)="Exp",VLOOKUP(F723,#REF!,2,FALSE),VLOOKUP(F723,#REF!,9,FALSE)),0)</f>
        <v>0</v>
      </c>
      <c r="Z723" s="167">
        <f t="shared" si="84"/>
        <v>0</v>
      </c>
      <c r="AA723" s="189">
        <f t="shared" si="82"/>
        <v>0</v>
      </c>
      <c r="AB723" s="2">
        <f>IFERROR(SUMIFS('Comp2016-2017 (3)'!$G$5:$G$289,'Comp2016-2017 (3)'!$A$5:$A$289,A723,'Comp2016-2017 (3)'!$R$5:$R$289,V723)*AA723/SUMIFS($AA$4:$AA$1116,$A$4:$A$1116,A723,$V$4:$V$1116,V723),0)</f>
        <v>0</v>
      </c>
      <c r="AC723" s="2">
        <f>IF($W723=AC$3,$AB723,IF(NOT($W723=0),"",SUMIFS('Val-Vol (2)'!AC$4:AC$1116,'Val-Vol (2)'!$A$4:$A$1116,$D723,'Val-Vol (2)'!$V$4:$V$1116,$V723)/SUMIFS('Comp2016-2017 (3)'!$G$5:$G$289,'Comp2016-2017 (3)'!$A$5:$A$289,$D723,'Comp2016-2017 (3)'!$R$5:$R$289,$V723)*$AB723))</f>
        <v>0</v>
      </c>
      <c r="AD723" s="2">
        <f>IF($W723=AD$3,$AB723,IF(NOT($W723=0),"",SUMIFS('Val-Vol (2)'!AD$4:AD$1116,'Val-Vol (2)'!$A$4:$A$1116,$D723,'Val-Vol (2)'!$V$4:$V$1116,$V723)/SUMIFS('Comp2016-2017 (3)'!$G$5:$G$289,'Comp2016-2017 (3)'!$A$5:$A$289,$D723,'Comp2016-2017 (3)'!$R$5:$R$289,$V723)*$AB723))</f>
        <v>0</v>
      </c>
      <c r="AE723" s="2">
        <f>IF($W723=AE$3,$AB723,IF(NOT($W723=0),"",SUMIFS('Val-Vol (2)'!AE$4:AE$1116,'Val-Vol (2)'!$A$4:$A$1116,$D723,'Val-Vol (2)'!$V$4:$V$1116,$V723)/SUMIFS('Comp2016-2017 (3)'!$G$5:$G$289,'Comp2016-2017 (3)'!$A$5:$A$289,$D723,'Comp2016-2017 (3)'!$R$5:$R$289,$V723)*$AB723))</f>
        <v>0</v>
      </c>
      <c r="AF723" s="2">
        <f>IF($W723=AF$3,$AB723,IF(NOT($W723=0),"",SUMIFS('Val-Vol (2)'!AF$4:AF$1116,'Val-Vol (2)'!$A$4:$A$1116,$D723,'Val-Vol (2)'!$V$4:$V$1116,$V723)/SUMIFS('Comp2016-2017 (3)'!$G$5:$G$289,'Comp2016-2017 (3)'!$A$5:$A$289,$D723,'Comp2016-2017 (3)'!$R$5:$R$289,$V723)*$AB723))</f>
        <v>0</v>
      </c>
      <c r="AG723" s="2">
        <f>IF($W723=AG$3,$AB723,IF(NOT($W723=0),"",SUMIFS('Val-Vol (2)'!AG$4:AG$1116,'Val-Vol (2)'!$A$4:$A$1116,$D723,'Val-Vol (2)'!$V$4:$V$1116,$V723)/SUMIFS('Comp2016-2017 (3)'!$G$5:$G$289,'Comp2016-2017 (3)'!$A$5:$A$289,$D723,'Comp2016-2017 (3)'!$R$5:$R$289,$V723)*$AB723))</f>
        <v>0</v>
      </c>
      <c r="AH723" s="2">
        <f>IF($W723=AH$3,$AB723,IF(NOT($W723=0),"",SUMIFS('Val-Vol (2)'!AH$4:AH$1116,'Val-Vol (2)'!$A$4:$A$1116,$D723,'Val-Vol (2)'!$V$4:$V$1116,$V723)/SUMIFS('Comp2016-2017 (3)'!$G$5:$G$289,'Comp2016-2017 (3)'!$A$5:$A$289,$D723,'Comp2016-2017 (3)'!$R$5:$R$289,$V723)*$AB723))</f>
        <v>0</v>
      </c>
      <c r="AI723" s="2">
        <f>IF($W723=AI$3,$AB723,IF(NOT($W723=0),"",SUMIFS('Val-Vol (2)'!AI$4:AI$1116,'Val-Vol (2)'!$A$4:$A$1116,$D723,'Val-Vol (2)'!$V$4:$V$1116,$V723)/SUMIFS('Comp2016-2017 (3)'!$G$5:$G$289,'Comp2016-2017 (3)'!$A$5:$A$289,$D723,'Comp2016-2017 (3)'!$R$5:$R$289,$V723)*$AB723))</f>
        <v>0</v>
      </c>
      <c r="AJ723" s="2">
        <f>IF($W723=AJ$3,$AB723,IF(NOT($W723=0),"",SUMIFS('Val-Vol (2)'!AJ$4:AJ$1116,'Val-Vol (2)'!$A$4:$A$1116,$D723,'Val-Vol (2)'!$V$4:$V$1116,$V723)/SUMIFS('Comp2016-2017 (3)'!$G$5:$G$289,'Comp2016-2017 (3)'!$A$5:$A$289,$D723,'Comp2016-2017 (3)'!$R$5:$R$289,$V723)*$AB723))</f>
        <v>0</v>
      </c>
      <c r="AK723" s="2">
        <f t="shared" si="83"/>
        <v>0</v>
      </c>
      <c r="AL723" t="str">
        <f t="shared" si="81"/>
        <v/>
      </c>
      <c r="AM723" t="str">
        <f>VLOOKUP(A723,'Table corresp.'!$M$4:$U$63,8,FALSE)</f>
        <v>Importation</v>
      </c>
      <c r="AN723" t="str">
        <f>VLOOKUP(D723,'Table corresp.'!$M$4:$U$63,9,FALSE)</f>
        <v>Production intermédiaire</v>
      </c>
    </row>
    <row r="724" spans="1:40" x14ac:dyDescent="0.25">
      <c r="A724" t="s">
        <v>52</v>
      </c>
      <c r="B724" t="str">
        <f>VLOOKUP(LEFT(A724,3),'Table corresp.'!$A$4:$D$63,3,FALSE)</f>
        <v>Importation</v>
      </c>
      <c r="C724" t="str">
        <f>VLOOKUP(A724,'Table corresp.'!$M$4:$P$63,4,FALSE)</f>
        <v>Importation</v>
      </c>
      <c r="D724" t="s">
        <v>12</v>
      </c>
      <c r="E724" t="str">
        <f>VLOOKUP(LEFT(D724,3),'Table corresp.'!$A$4:$D$63,4,FALSE)</f>
        <v>Transformation</v>
      </c>
      <c r="F724" t="str">
        <f t="shared" si="80"/>
        <v xml:space="preserve">Imp - 19 </v>
      </c>
      <c r="G724" s="3">
        <v>0</v>
      </c>
      <c r="H724" s="3">
        <v>59458.81</v>
      </c>
      <c r="I724" s="3">
        <v>59458.81</v>
      </c>
      <c r="J724" s="3">
        <v>0</v>
      </c>
      <c r="K724" s="3">
        <v>0</v>
      </c>
      <c r="L724" s="3">
        <v>0</v>
      </c>
      <c r="M724" s="3">
        <v>0</v>
      </c>
      <c r="N724" s="3">
        <v>0</v>
      </c>
      <c r="O724" s="3">
        <v>0</v>
      </c>
      <c r="P724" s="3">
        <v>0</v>
      </c>
      <c r="Q724" s="3">
        <v>797.99075561907284</v>
      </c>
      <c r="R724" s="3">
        <v>797.99075561907284</v>
      </c>
      <c r="S724" s="67" t="s">
        <v>198</v>
      </c>
      <c r="T724">
        <f>VLOOKUP(A724,'Groupe de branches'!$Z$27:$AM$86,14,FALSE)</f>
        <v>0</v>
      </c>
      <c r="U724">
        <f>VLOOKUP(D724,'Groupe de branches'!$Z$27:$AM$86,14,FALSE)</f>
        <v>0</v>
      </c>
      <c r="V724">
        <v>2017</v>
      </c>
      <c r="W724" t="str">
        <f>VLOOKUP(D724,'Table corresp.'!$M$4:$S$63,7,FALSE)</f>
        <v>Energie</v>
      </c>
      <c r="X724" s="167">
        <f>IFERROR(G724/SUMIFS('Comp2016-2017 (3)'!$I$5:$I$289,'Comp2016-2017 (3)'!$A$5:$A$289,A724,'Comp2016-2017 (3)'!$R$5:$R$289,V724),0)</f>
        <v>0</v>
      </c>
      <c r="Y724" s="190">
        <f>IFERROR(IF(RIGHT(F724,3)="Exp",VLOOKUP(F724,#REF!,2,FALSE),VLOOKUP(F724,#REF!,9,FALSE)),0)</f>
        <v>0</v>
      </c>
      <c r="Z724" s="167">
        <f t="shared" si="84"/>
        <v>0</v>
      </c>
      <c r="AA724" s="189">
        <f t="shared" si="82"/>
        <v>0</v>
      </c>
      <c r="AB724" s="2">
        <f>IFERROR(SUMIFS('Comp2016-2017 (3)'!$G$5:$G$289,'Comp2016-2017 (3)'!$A$5:$A$289,A724,'Comp2016-2017 (3)'!$R$5:$R$289,V724)*AA724/SUMIFS($AA$4:$AA$1116,$A$4:$A$1116,A724,$V$4:$V$1116,V724),0)</f>
        <v>0</v>
      </c>
      <c r="AC724" s="2" t="str">
        <f>IF($W724=AC$3,$AB724,IF(NOT($W724=0),"",SUMIFS('Val-Vol (2)'!AC$4:AC$1116,'Val-Vol (2)'!$A$4:$A$1116,$D724,'Val-Vol (2)'!$V$4:$V$1116,$V724)/SUMIFS('Comp2016-2017 (3)'!$G$5:$G$289,'Comp2016-2017 (3)'!$A$5:$A$289,$D724,'Comp2016-2017 (3)'!$R$5:$R$289,$V724)*$AB724))</f>
        <v/>
      </c>
      <c r="AD724" s="2" t="str">
        <f>IF($W724=AD$3,$AB724,IF(NOT($W724=0),"",SUMIFS('Val-Vol (2)'!AD$4:AD$1116,'Val-Vol (2)'!$A$4:$A$1116,$D724,'Val-Vol (2)'!$V$4:$V$1116,$V724)/SUMIFS('Comp2016-2017 (3)'!$G$5:$G$289,'Comp2016-2017 (3)'!$A$5:$A$289,$D724,'Comp2016-2017 (3)'!$R$5:$R$289,$V724)*$AB724))</f>
        <v/>
      </c>
      <c r="AE724" s="2" t="str">
        <f>IF($W724=AE$3,$AB724,IF(NOT($W724=0),"",SUMIFS('Val-Vol (2)'!AE$4:AE$1116,'Val-Vol (2)'!$A$4:$A$1116,$D724,'Val-Vol (2)'!$V$4:$V$1116,$V724)/SUMIFS('Comp2016-2017 (3)'!$G$5:$G$289,'Comp2016-2017 (3)'!$A$5:$A$289,$D724,'Comp2016-2017 (3)'!$R$5:$R$289,$V724)*$AB724))</f>
        <v/>
      </c>
      <c r="AF724" s="2" t="str">
        <f>IF($W724=AF$3,$AB724,IF(NOT($W724=0),"",SUMIFS('Val-Vol (2)'!AF$4:AF$1116,'Val-Vol (2)'!$A$4:$A$1116,$D724,'Val-Vol (2)'!$V$4:$V$1116,$V724)/SUMIFS('Comp2016-2017 (3)'!$G$5:$G$289,'Comp2016-2017 (3)'!$A$5:$A$289,$D724,'Comp2016-2017 (3)'!$R$5:$R$289,$V724)*$AB724))</f>
        <v/>
      </c>
      <c r="AG724" s="2" t="str">
        <f>IF($W724=AG$3,$AB724,IF(NOT($W724=0),"",SUMIFS('Val-Vol (2)'!AG$4:AG$1116,'Val-Vol (2)'!$A$4:$A$1116,$D724,'Val-Vol (2)'!$V$4:$V$1116,$V724)/SUMIFS('Comp2016-2017 (3)'!$G$5:$G$289,'Comp2016-2017 (3)'!$A$5:$A$289,$D724,'Comp2016-2017 (3)'!$R$5:$R$289,$V724)*$AB724))</f>
        <v/>
      </c>
      <c r="AH724" s="2">
        <f>IF($W724=AH$3,$AB724,IF(NOT($W724=0),"",SUMIFS('Val-Vol (2)'!AH$4:AH$1116,'Val-Vol (2)'!$A$4:$A$1116,$D724,'Val-Vol (2)'!$V$4:$V$1116,$V724)/SUMIFS('Comp2016-2017 (3)'!$G$5:$G$289,'Comp2016-2017 (3)'!$A$5:$A$289,$D724,'Comp2016-2017 (3)'!$R$5:$R$289,$V724)*$AB724))</f>
        <v>0</v>
      </c>
      <c r="AI724" s="2" t="str">
        <f>IF($W724=AI$3,$AB724,IF(NOT($W724=0),"",SUMIFS('Val-Vol (2)'!AI$4:AI$1116,'Val-Vol (2)'!$A$4:$A$1116,$D724,'Val-Vol (2)'!$V$4:$V$1116,$V724)/SUMIFS('Comp2016-2017 (3)'!$G$5:$G$289,'Comp2016-2017 (3)'!$A$5:$A$289,$D724,'Comp2016-2017 (3)'!$R$5:$R$289,$V724)*$AB724))</f>
        <v/>
      </c>
      <c r="AJ724" s="2" t="str">
        <f>IF($W724=AJ$3,$AB724,IF(NOT($W724=0),"",SUMIFS('Val-Vol (2)'!AJ$4:AJ$1116,'Val-Vol (2)'!$A$4:$A$1116,$D724,'Val-Vol (2)'!$V$4:$V$1116,$V724)/SUMIFS('Comp2016-2017 (3)'!$G$5:$G$289,'Comp2016-2017 (3)'!$A$5:$A$289,$D724,'Comp2016-2017 (3)'!$R$5:$R$289,$V724)*$AB724))</f>
        <v/>
      </c>
      <c r="AK724" s="2">
        <f t="shared" si="83"/>
        <v>0</v>
      </c>
      <c r="AL724" t="str">
        <f t="shared" si="81"/>
        <v/>
      </c>
      <c r="AM724" t="str">
        <f>VLOOKUP(A724,'Table corresp.'!$M$4:$U$63,8,FALSE)</f>
        <v>Importation</v>
      </c>
      <c r="AN724" t="str">
        <f>VLOOKUP(D724,'Table corresp.'!$M$4:$U$63,9,FALSE)</f>
        <v>Production intermédiaire</v>
      </c>
    </row>
    <row r="725" spans="1:40" x14ac:dyDescent="0.25">
      <c r="A725" t="s">
        <v>52</v>
      </c>
      <c r="B725" t="str">
        <f>VLOOKUP(LEFT(A725,3),'Table corresp.'!$A$4:$D$63,3,FALSE)</f>
        <v>Importation</v>
      </c>
      <c r="C725" t="str">
        <f>VLOOKUP(A725,'Table corresp.'!$M$4:$P$63,4,FALSE)</f>
        <v>Importation</v>
      </c>
      <c r="D725" t="s">
        <v>13</v>
      </c>
      <c r="E725" t="str">
        <f>VLOOKUP(LEFT(D725,3),'Table corresp.'!$A$4:$D$63,4,FALSE)</f>
        <v>Transformation</v>
      </c>
      <c r="F725" t="str">
        <f t="shared" si="80"/>
        <v xml:space="preserve">Imp - 20 </v>
      </c>
      <c r="G725" s="3">
        <v>0</v>
      </c>
      <c r="H725" s="3">
        <v>274080.46299999999</v>
      </c>
      <c r="I725" s="3">
        <v>274080.46299999999</v>
      </c>
      <c r="J725" s="3">
        <v>0</v>
      </c>
      <c r="K725" s="3">
        <v>803.76248441997768</v>
      </c>
      <c r="L725" s="3">
        <v>803.76248441997768</v>
      </c>
      <c r="M725" s="3">
        <v>0</v>
      </c>
      <c r="N725" s="3">
        <v>0</v>
      </c>
      <c r="O725" s="3">
        <v>0</v>
      </c>
      <c r="P725" s="3">
        <v>0</v>
      </c>
      <c r="Q725" s="3">
        <v>0</v>
      </c>
      <c r="R725" s="3">
        <v>0</v>
      </c>
      <c r="S725" s="67"/>
      <c r="T725">
        <f>VLOOKUP(A725,'Groupe de branches'!$Z$27:$AM$86,14,FALSE)</f>
        <v>0</v>
      </c>
      <c r="U725">
        <f>VLOOKUP(D725,'Groupe de branches'!$Z$27:$AM$86,14,FALSE)</f>
        <v>0</v>
      </c>
      <c r="V725">
        <v>2017</v>
      </c>
      <c r="W725">
        <f>VLOOKUP(D725,'Table corresp.'!$M$4:$S$63,7,FALSE)</f>
        <v>0</v>
      </c>
      <c r="X725" s="167">
        <f>IFERROR(G725/SUMIFS('Comp2016-2017 (3)'!$I$5:$I$289,'Comp2016-2017 (3)'!$A$5:$A$289,A725,'Comp2016-2017 (3)'!$R$5:$R$289,V725),0)</f>
        <v>0</v>
      </c>
      <c r="Y725" s="190">
        <f>IFERROR(IF(RIGHT(F725,3)="Exp",VLOOKUP(F725,#REF!,2,FALSE),VLOOKUP(F725,#REF!,9,FALSE)),0)</f>
        <v>0</v>
      </c>
      <c r="Z725" s="167">
        <f t="shared" si="84"/>
        <v>0</v>
      </c>
      <c r="AA725" s="189">
        <f t="shared" si="82"/>
        <v>0</v>
      </c>
      <c r="AB725" s="2">
        <f>IFERROR(SUMIFS('Comp2016-2017 (3)'!$G$5:$G$289,'Comp2016-2017 (3)'!$A$5:$A$289,A725,'Comp2016-2017 (3)'!$R$5:$R$289,V725)*AA725/SUMIFS($AA$4:$AA$1116,$A$4:$A$1116,A725,$V$4:$V$1116,V725),0)</f>
        <v>0</v>
      </c>
      <c r="AC725" s="2">
        <f>IF($W725=AC$3,$AB725,IF(NOT($W725=0),"",SUMIFS('Val-Vol (2)'!AC$4:AC$1116,'Val-Vol (2)'!$A$4:$A$1116,$D725,'Val-Vol (2)'!$V$4:$V$1116,$V725)/SUMIFS('Comp2016-2017 (3)'!$G$5:$G$289,'Comp2016-2017 (3)'!$A$5:$A$289,$D725,'Comp2016-2017 (3)'!$R$5:$R$289,$V725)*$AB725))</f>
        <v>0</v>
      </c>
      <c r="AD725" s="2">
        <f>IF($W725=AD$3,$AB725,IF(NOT($W725=0),"",SUMIFS('Val-Vol (2)'!AD$4:AD$1116,'Val-Vol (2)'!$A$4:$A$1116,$D725,'Val-Vol (2)'!$V$4:$V$1116,$V725)/SUMIFS('Comp2016-2017 (3)'!$G$5:$G$289,'Comp2016-2017 (3)'!$A$5:$A$289,$D725,'Comp2016-2017 (3)'!$R$5:$R$289,$V725)*$AB725))</f>
        <v>0</v>
      </c>
      <c r="AE725" s="2">
        <f>IF($W725=AE$3,$AB725,IF(NOT($W725=0),"",SUMIFS('Val-Vol (2)'!AE$4:AE$1116,'Val-Vol (2)'!$A$4:$A$1116,$D725,'Val-Vol (2)'!$V$4:$V$1116,$V725)/SUMIFS('Comp2016-2017 (3)'!$G$5:$G$289,'Comp2016-2017 (3)'!$A$5:$A$289,$D725,'Comp2016-2017 (3)'!$R$5:$R$289,$V725)*$AB725))</f>
        <v>0</v>
      </c>
      <c r="AF725" s="2">
        <f>IF($W725=AF$3,$AB725,IF(NOT($W725=0),"",SUMIFS('Val-Vol (2)'!AF$4:AF$1116,'Val-Vol (2)'!$A$4:$A$1116,$D725,'Val-Vol (2)'!$V$4:$V$1116,$V725)/SUMIFS('Comp2016-2017 (3)'!$G$5:$G$289,'Comp2016-2017 (3)'!$A$5:$A$289,$D725,'Comp2016-2017 (3)'!$R$5:$R$289,$V725)*$AB725))</f>
        <v>0</v>
      </c>
      <c r="AG725" s="2">
        <f>IF($W725=AG$3,$AB725,IF(NOT($W725=0),"",SUMIFS('Val-Vol (2)'!AG$4:AG$1116,'Val-Vol (2)'!$A$4:$A$1116,$D725,'Val-Vol (2)'!$V$4:$V$1116,$V725)/SUMIFS('Comp2016-2017 (3)'!$G$5:$G$289,'Comp2016-2017 (3)'!$A$5:$A$289,$D725,'Comp2016-2017 (3)'!$R$5:$R$289,$V725)*$AB725))</f>
        <v>0</v>
      </c>
      <c r="AH725" s="2">
        <f>IF($W725=AH$3,$AB725,IF(NOT($W725=0),"",SUMIFS('Val-Vol (2)'!AH$4:AH$1116,'Val-Vol (2)'!$A$4:$A$1116,$D725,'Val-Vol (2)'!$V$4:$V$1116,$V725)/SUMIFS('Comp2016-2017 (3)'!$G$5:$G$289,'Comp2016-2017 (3)'!$A$5:$A$289,$D725,'Comp2016-2017 (3)'!$R$5:$R$289,$V725)*$AB725))</f>
        <v>0</v>
      </c>
      <c r="AI725" s="2">
        <f>IF($W725=AI$3,$AB725,IF(NOT($W725=0),"",SUMIFS('Val-Vol (2)'!AI$4:AI$1116,'Val-Vol (2)'!$A$4:$A$1116,$D725,'Val-Vol (2)'!$V$4:$V$1116,$V725)/SUMIFS('Comp2016-2017 (3)'!$G$5:$G$289,'Comp2016-2017 (3)'!$A$5:$A$289,$D725,'Comp2016-2017 (3)'!$R$5:$R$289,$V725)*$AB725))</f>
        <v>0</v>
      </c>
      <c r="AJ725" s="2">
        <f>IF($W725=AJ$3,$AB725,IF(NOT($W725=0),"",SUMIFS('Val-Vol (2)'!AJ$4:AJ$1116,'Val-Vol (2)'!$A$4:$A$1116,$D725,'Val-Vol (2)'!$V$4:$V$1116,$V725)/SUMIFS('Comp2016-2017 (3)'!$G$5:$G$289,'Comp2016-2017 (3)'!$A$5:$A$289,$D725,'Comp2016-2017 (3)'!$R$5:$R$289,$V725)*$AB725))</f>
        <v>0</v>
      </c>
      <c r="AK725" s="2">
        <f t="shared" si="83"/>
        <v>0</v>
      </c>
      <c r="AL725" t="str">
        <f t="shared" si="81"/>
        <v/>
      </c>
      <c r="AM725" t="str">
        <f>VLOOKUP(A725,'Table corresp.'!$M$4:$U$63,8,FALSE)</f>
        <v>Importation</v>
      </c>
      <c r="AN725" t="str">
        <f>VLOOKUP(D725,'Table corresp.'!$M$4:$U$63,9,FALSE)</f>
        <v>Production intermédiaire</v>
      </c>
    </row>
    <row r="726" spans="1:40" x14ac:dyDescent="0.25">
      <c r="A726" t="s">
        <v>52</v>
      </c>
      <c r="B726" t="str">
        <f>VLOOKUP(LEFT(A726,3),'Table corresp.'!$A$4:$D$63,3,FALSE)</f>
        <v>Importation</v>
      </c>
      <c r="C726" t="str">
        <f>VLOOKUP(A726,'Table corresp.'!$M$4:$P$63,4,FALSE)</f>
        <v>Importation</v>
      </c>
      <c r="D726" t="s">
        <v>14</v>
      </c>
      <c r="E726" t="str">
        <f>VLOOKUP(LEFT(D726,3),'Table corresp.'!$A$4:$D$63,4,FALSE)</f>
        <v>Transformation</v>
      </c>
      <c r="F726" t="str">
        <f t="shared" si="80"/>
        <v>Imp - 20b</v>
      </c>
      <c r="G726" s="3">
        <v>0</v>
      </c>
      <c r="H726" s="3">
        <v>400640.03696055652</v>
      </c>
      <c r="I726" s="3">
        <v>400640.03696055652</v>
      </c>
      <c r="J726" s="3">
        <v>0</v>
      </c>
      <c r="K726" s="3">
        <v>1364.9275126733821</v>
      </c>
      <c r="L726" s="3">
        <v>1364.9275126733821</v>
      </c>
      <c r="M726" s="3">
        <v>0</v>
      </c>
      <c r="N726" s="3">
        <v>0</v>
      </c>
      <c r="O726" s="3">
        <v>0</v>
      </c>
      <c r="P726" s="3">
        <v>0</v>
      </c>
      <c r="Q726" s="3">
        <v>0</v>
      </c>
      <c r="R726" s="3">
        <v>0</v>
      </c>
      <c r="S726" s="67"/>
      <c r="T726">
        <f>VLOOKUP(A726,'Groupe de branches'!$Z$27:$AM$86,14,FALSE)</f>
        <v>0</v>
      </c>
      <c r="U726">
        <f>VLOOKUP(D726,'Groupe de branches'!$Z$27:$AM$86,14,FALSE)</f>
        <v>0</v>
      </c>
      <c r="V726">
        <v>2017</v>
      </c>
      <c r="W726">
        <f>VLOOKUP(D726,'Table corresp.'!$M$4:$S$63,7,FALSE)</f>
        <v>0</v>
      </c>
      <c r="X726" s="167">
        <f>IFERROR(G726/SUMIFS('Comp2016-2017 (3)'!$I$5:$I$289,'Comp2016-2017 (3)'!$A$5:$A$289,A726,'Comp2016-2017 (3)'!$R$5:$R$289,V726),0)</f>
        <v>0</v>
      </c>
      <c r="Y726" s="190">
        <f>IFERROR(IF(RIGHT(F726,3)="Exp",VLOOKUP(F726,#REF!,2,FALSE),VLOOKUP(F726,#REF!,9,FALSE)),0)</f>
        <v>0</v>
      </c>
      <c r="Z726" s="167">
        <f t="shared" si="84"/>
        <v>0</v>
      </c>
      <c r="AA726" s="189">
        <f t="shared" si="82"/>
        <v>0</v>
      </c>
      <c r="AB726" s="2">
        <f>IFERROR(SUMIFS('Comp2016-2017 (3)'!$G$5:$G$289,'Comp2016-2017 (3)'!$A$5:$A$289,A726,'Comp2016-2017 (3)'!$R$5:$R$289,V726)*AA726/SUMIFS($AA$4:$AA$1116,$A$4:$A$1116,A726,$V$4:$V$1116,V726),0)</f>
        <v>0</v>
      </c>
      <c r="AC726" s="2">
        <f>IF($W726=AC$3,$AB726,IF(NOT($W726=0),"",SUMIFS('Val-Vol (2)'!AC$4:AC$1116,'Val-Vol (2)'!$A$4:$A$1116,$D726,'Val-Vol (2)'!$V$4:$V$1116,$V726)/SUMIFS('Comp2016-2017 (3)'!$G$5:$G$289,'Comp2016-2017 (3)'!$A$5:$A$289,$D726,'Comp2016-2017 (3)'!$R$5:$R$289,$V726)*$AB726))</f>
        <v>0</v>
      </c>
      <c r="AD726" s="2">
        <f>IF($W726=AD$3,$AB726,IF(NOT($W726=0),"",SUMIFS('Val-Vol (2)'!AD$4:AD$1116,'Val-Vol (2)'!$A$4:$A$1116,$D726,'Val-Vol (2)'!$V$4:$V$1116,$V726)/SUMIFS('Comp2016-2017 (3)'!$G$5:$G$289,'Comp2016-2017 (3)'!$A$5:$A$289,$D726,'Comp2016-2017 (3)'!$R$5:$R$289,$V726)*$AB726))</f>
        <v>0</v>
      </c>
      <c r="AE726" s="2">
        <f>IF($W726=AE$3,$AB726,IF(NOT($W726=0),"",SUMIFS('Val-Vol (2)'!AE$4:AE$1116,'Val-Vol (2)'!$A$4:$A$1116,$D726,'Val-Vol (2)'!$V$4:$V$1116,$V726)/SUMIFS('Comp2016-2017 (3)'!$G$5:$G$289,'Comp2016-2017 (3)'!$A$5:$A$289,$D726,'Comp2016-2017 (3)'!$R$5:$R$289,$V726)*$AB726))</f>
        <v>0</v>
      </c>
      <c r="AF726" s="2">
        <f>IF($W726=AF$3,$AB726,IF(NOT($W726=0),"",SUMIFS('Val-Vol (2)'!AF$4:AF$1116,'Val-Vol (2)'!$A$4:$A$1116,$D726,'Val-Vol (2)'!$V$4:$V$1116,$V726)/SUMIFS('Comp2016-2017 (3)'!$G$5:$G$289,'Comp2016-2017 (3)'!$A$5:$A$289,$D726,'Comp2016-2017 (3)'!$R$5:$R$289,$V726)*$AB726))</f>
        <v>0</v>
      </c>
      <c r="AG726" s="2">
        <f>IF($W726=AG$3,$AB726,IF(NOT($W726=0),"",SUMIFS('Val-Vol (2)'!AG$4:AG$1116,'Val-Vol (2)'!$A$4:$A$1116,$D726,'Val-Vol (2)'!$V$4:$V$1116,$V726)/SUMIFS('Comp2016-2017 (3)'!$G$5:$G$289,'Comp2016-2017 (3)'!$A$5:$A$289,$D726,'Comp2016-2017 (3)'!$R$5:$R$289,$V726)*$AB726))</f>
        <v>0</v>
      </c>
      <c r="AH726" s="2">
        <f>IF($W726=AH$3,$AB726,IF(NOT($W726=0),"",SUMIFS('Val-Vol (2)'!AH$4:AH$1116,'Val-Vol (2)'!$A$4:$A$1116,$D726,'Val-Vol (2)'!$V$4:$V$1116,$V726)/SUMIFS('Comp2016-2017 (3)'!$G$5:$G$289,'Comp2016-2017 (3)'!$A$5:$A$289,$D726,'Comp2016-2017 (3)'!$R$5:$R$289,$V726)*$AB726))</f>
        <v>0</v>
      </c>
      <c r="AI726" s="2">
        <f>IF($W726=AI$3,$AB726,IF(NOT($W726=0),"",SUMIFS('Val-Vol (2)'!AI$4:AI$1116,'Val-Vol (2)'!$A$4:$A$1116,$D726,'Val-Vol (2)'!$V$4:$V$1116,$V726)/SUMIFS('Comp2016-2017 (3)'!$G$5:$G$289,'Comp2016-2017 (3)'!$A$5:$A$289,$D726,'Comp2016-2017 (3)'!$R$5:$R$289,$V726)*$AB726))</f>
        <v>0</v>
      </c>
      <c r="AJ726" s="2">
        <f>IF($W726=AJ$3,$AB726,IF(NOT($W726=0),"",SUMIFS('Val-Vol (2)'!AJ$4:AJ$1116,'Val-Vol (2)'!$A$4:$A$1116,$D726,'Val-Vol (2)'!$V$4:$V$1116,$V726)/SUMIFS('Comp2016-2017 (3)'!$G$5:$G$289,'Comp2016-2017 (3)'!$A$5:$A$289,$D726,'Comp2016-2017 (3)'!$R$5:$R$289,$V726)*$AB726))</f>
        <v>0</v>
      </c>
      <c r="AK726" s="2">
        <f t="shared" si="83"/>
        <v>0</v>
      </c>
      <c r="AL726" t="str">
        <f t="shared" si="81"/>
        <v/>
      </c>
      <c r="AM726" t="str">
        <f>VLOOKUP(A726,'Table corresp.'!$M$4:$U$63,8,FALSE)</f>
        <v>Importation</v>
      </c>
      <c r="AN726" t="str">
        <f>VLOOKUP(D726,'Table corresp.'!$M$4:$U$63,9,FALSE)</f>
        <v>Production intermédiaire</v>
      </c>
    </row>
    <row r="727" spans="1:40" x14ac:dyDescent="0.25">
      <c r="A727" t="s">
        <v>52</v>
      </c>
      <c r="B727" t="str">
        <f>VLOOKUP(LEFT(A727,3),'Table corresp.'!$A$4:$D$63,3,FALSE)</f>
        <v>Importation</v>
      </c>
      <c r="C727" t="str">
        <f>VLOOKUP(A727,'Table corresp.'!$M$4:$P$63,4,FALSE)</f>
        <v>Importation</v>
      </c>
      <c r="D727" t="s">
        <v>85</v>
      </c>
      <c r="E727" t="str">
        <f>VLOOKUP(LEFT(D727,3),'Table corresp.'!$A$4:$D$63,4,FALSE)</f>
        <v>Transformation</v>
      </c>
      <c r="F727" t="str">
        <f t="shared" si="80"/>
        <v xml:space="preserve">Imp - 29 </v>
      </c>
      <c r="G727" s="3">
        <v>0</v>
      </c>
      <c r="H727" s="3">
        <v>194790</v>
      </c>
      <c r="I727" s="3">
        <v>194790</v>
      </c>
      <c r="J727" s="3">
        <v>0</v>
      </c>
      <c r="K727" s="3">
        <v>844.34104626876183</v>
      </c>
      <c r="L727" s="3">
        <v>844.34104626876183</v>
      </c>
      <c r="M727" s="3">
        <v>0</v>
      </c>
      <c r="N727" s="3">
        <v>0</v>
      </c>
      <c r="O727" s="3">
        <v>0</v>
      </c>
      <c r="P727" s="3">
        <v>0</v>
      </c>
      <c r="Q727" s="3">
        <v>0</v>
      </c>
      <c r="R727" s="3">
        <v>0</v>
      </c>
      <c r="S727" s="67"/>
      <c r="T727">
        <f>VLOOKUP(A727,'Groupe de branches'!$Z$27:$AM$86,14,FALSE)</f>
        <v>0</v>
      </c>
      <c r="U727">
        <f>VLOOKUP(D727,'Groupe de branches'!$Z$27:$AM$86,14,FALSE)</f>
        <v>0</v>
      </c>
      <c r="V727">
        <v>2017</v>
      </c>
      <c r="W727" t="str">
        <f>VLOOKUP(D727,'Table corresp.'!$M$4:$S$63,7,FALSE)</f>
        <v>Construction</v>
      </c>
      <c r="X727" s="167">
        <f>IFERROR(G727/SUMIFS('Comp2016-2017 (3)'!$I$5:$I$289,'Comp2016-2017 (3)'!$A$5:$A$289,A727,'Comp2016-2017 (3)'!$R$5:$R$289,V727),0)</f>
        <v>0</v>
      </c>
      <c r="Y727" s="190">
        <f>IFERROR(IF(RIGHT(F727,3)="Exp",VLOOKUP(F727,#REF!,2,FALSE),VLOOKUP(F727,#REF!,9,FALSE)),0)</f>
        <v>0</v>
      </c>
      <c r="Z727" s="167">
        <f t="shared" si="84"/>
        <v>0</v>
      </c>
      <c r="AA727" s="189">
        <f t="shared" si="82"/>
        <v>0</v>
      </c>
      <c r="AB727" s="2">
        <f>IFERROR(SUMIFS('Comp2016-2017 (3)'!$G$5:$G$289,'Comp2016-2017 (3)'!$A$5:$A$289,A727,'Comp2016-2017 (3)'!$R$5:$R$289,V727)*AA727/SUMIFS($AA$4:$AA$1116,$A$4:$A$1116,A727,$V$4:$V$1116,V727),0)</f>
        <v>0</v>
      </c>
      <c r="AC727" s="2" t="str">
        <f>IF($W727=AC$3,$AB727,IF(NOT($W727=0),"",SUMIFS('Val-Vol (2)'!AC$4:AC$1116,'Val-Vol (2)'!$A$4:$A$1116,$D727,'Val-Vol (2)'!$V$4:$V$1116,$V727)/SUMIFS('Comp2016-2017 (3)'!$G$5:$G$289,'Comp2016-2017 (3)'!$A$5:$A$289,$D727,'Comp2016-2017 (3)'!$R$5:$R$289,$V727)*$AB727))</f>
        <v/>
      </c>
      <c r="AD727" s="2">
        <f>IF($W727=AD$3,$AB727,IF(NOT($W727=0),"",SUMIFS('Val-Vol (2)'!AD$4:AD$1116,'Val-Vol (2)'!$A$4:$A$1116,$D727,'Val-Vol (2)'!$V$4:$V$1116,$V727)/SUMIFS('Comp2016-2017 (3)'!$G$5:$G$289,'Comp2016-2017 (3)'!$A$5:$A$289,$D727,'Comp2016-2017 (3)'!$R$5:$R$289,$V727)*$AB727))</f>
        <v>0</v>
      </c>
      <c r="AE727" s="2" t="str">
        <f>IF($W727=AE$3,$AB727,IF(NOT($W727=0),"",SUMIFS('Val-Vol (2)'!AE$4:AE$1116,'Val-Vol (2)'!$A$4:$A$1116,$D727,'Val-Vol (2)'!$V$4:$V$1116,$V727)/SUMIFS('Comp2016-2017 (3)'!$G$5:$G$289,'Comp2016-2017 (3)'!$A$5:$A$289,$D727,'Comp2016-2017 (3)'!$R$5:$R$289,$V727)*$AB727))</f>
        <v/>
      </c>
      <c r="AF727" s="2" t="str">
        <f>IF($W727=AF$3,$AB727,IF(NOT($W727=0),"",SUMIFS('Val-Vol (2)'!AF$4:AF$1116,'Val-Vol (2)'!$A$4:$A$1116,$D727,'Val-Vol (2)'!$V$4:$V$1116,$V727)/SUMIFS('Comp2016-2017 (3)'!$G$5:$G$289,'Comp2016-2017 (3)'!$A$5:$A$289,$D727,'Comp2016-2017 (3)'!$R$5:$R$289,$V727)*$AB727))</f>
        <v/>
      </c>
      <c r="AG727" s="2" t="str">
        <f>IF($W727=AG$3,$AB727,IF(NOT($W727=0),"",SUMIFS('Val-Vol (2)'!AG$4:AG$1116,'Val-Vol (2)'!$A$4:$A$1116,$D727,'Val-Vol (2)'!$V$4:$V$1116,$V727)/SUMIFS('Comp2016-2017 (3)'!$G$5:$G$289,'Comp2016-2017 (3)'!$A$5:$A$289,$D727,'Comp2016-2017 (3)'!$R$5:$R$289,$V727)*$AB727))</f>
        <v/>
      </c>
      <c r="AH727" s="2" t="str">
        <f>IF($W727=AH$3,$AB727,IF(NOT($W727=0),"",SUMIFS('Val-Vol (2)'!AH$4:AH$1116,'Val-Vol (2)'!$A$4:$A$1116,$D727,'Val-Vol (2)'!$V$4:$V$1116,$V727)/SUMIFS('Comp2016-2017 (3)'!$G$5:$G$289,'Comp2016-2017 (3)'!$A$5:$A$289,$D727,'Comp2016-2017 (3)'!$R$5:$R$289,$V727)*$AB727))</f>
        <v/>
      </c>
      <c r="AI727" s="2" t="str">
        <f>IF($W727=AI$3,$AB727,IF(NOT($W727=0),"",SUMIFS('Val-Vol (2)'!AI$4:AI$1116,'Val-Vol (2)'!$A$4:$A$1116,$D727,'Val-Vol (2)'!$V$4:$V$1116,$V727)/SUMIFS('Comp2016-2017 (3)'!$G$5:$G$289,'Comp2016-2017 (3)'!$A$5:$A$289,$D727,'Comp2016-2017 (3)'!$R$5:$R$289,$V727)*$AB727))</f>
        <v/>
      </c>
      <c r="AJ727" s="2" t="str">
        <f>IF($W727=AJ$3,$AB727,IF(NOT($W727=0),"",SUMIFS('Val-Vol (2)'!AJ$4:AJ$1116,'Val-Vol (2)'!$A$4:$A$1116,$D727,'Val-Vol (2)'!$V$4:$V$1116,$V727)/SUMIFS('Comp2016-2017 (3)'!$G$5:$G$289,'Comp2016-2017 (3)'!$A$5:$A$289,$D727,'Comp2016-2017 (3)'!$R$5:$R$289,$V727)*$AB727))</f>
        <v/>
      </c>
      <c r="AK727" s="2">
        <f t="shared" si="83"/>
        <v>0</v>
      </c>
      <c r="AL727" t="str">
        <f t="shared" si="81"/>
        <v/>
      </c>
      <c r="AM727" t="str">
        <f>VLOOKUP(A727,'Table corresp.'!$M$4:$U$63,8,FALSE)</f>
        <v>Importation</v>
      </c>
      <c r="AN727" t="str">
        <f>VLOOKUP(D727,'Table corresp.'!$M$4:$U$63,9,FALSE)</f>
        <v>Production intermédiaire</v>
      </c>
    </row>
    <row r="728" spans="1:40" x14ac:dyDescent="0.25">
      <c r="A728" t="s">
        <v>52</v>
      </c>
      <c r="B728" t="str">
        <f>VLOOKUP(LEFT(A728,3),'Table corresp.'!$A$4:$D$63,3,FALSE)</f>
        <v>Importation</v>
      </c>
      <c r="C728" t="str">
        <f>VLOOKUP(A728,'Table corresp.'!$M$4:$P$63,4,FALSE)</f>
        <v>Importation</v>
      </c>
      <c r="D728" t="s">
        <v>86</v>
      </c>
      <c r="E728" t="str">
        <f>VLOOKUP(LEFT(D728,3),'Table corresp.'!$A$4:$D$63,4,FALSE)</f>
        <v>Transformation</v>
      </c>
      <c r="F728" t="str">
        <f t="shared" si="80"/>
        <v xml:space="preserve">Imp - 30 </v>
      </c>
      <c r="G728" s="3">
        <v>0</v>
      </c>
      <c r="H728" s="3">
        <v>98093.299999999988</v>
      </c>
      <c r="I728" s="3">
        <v>98093.299999999988</v>
      </c>
      <c r="J728" s="3">
        <v>0</v>
      </c>
      <c r="K728" s="3">
        <v>0</v>
      </c>
      <c r="L728" s="3">
        <v>0</v>
      </c>
      <c r="M728" s="3">
        <v>0</v>
      </c>
      <c r="N728" s="3">
        <v>0</v>
      </c>
      <c r="O728" s="3">
        <v>0</v>
      </c>
      <c r="P728" s="3">
        <v>0</v>
      </c>
      <c r="Q728" s="3">
        <v>1186.786007029657</v>
      </c>
      <c r="R728" s="3">
        <v>1186.786007029657</v>
      </c>
      <c r="S728" s="67" t="s">
        <v>198</v>
      </c>
      <c r="T728">
        <f>VLOOKUP(A728,'Groupe de branches'!$Z$27:$AM$86,14,FALSE)</f>
        <v>0</v>
      </c>
      <c r="U728">
        <f>VLOOKUP(D728,'Groupe de branches'!$Z$27:$AM$86,14,FALSE)</f>
        <v>1</v>
      </c>
      <c r="V728">
        <v>2017</v>
      </c>
      <c r="W728" t="str">
        <f>VLOOKUP(D728,'Table corresp.'!$M$4:$S$63,7,FALSE)</f>
        <v>Energie</v>
      </c>
      <c r="X728" s="167">
        <f>IFERROR(G728/SUMIFS('Comp2016-2017 (3)'!$I$5:$I$289,'Comp2016-2017 (3)'!$A$5:$A$289,A728,'Comp2016-2017 (3)'!$R$5:$R$289,V728),0)</f>
        <v>0</v>
      </c>
      <c r="Y728" s="190">
        <f>IFERROR(IF(RIGHT(F728,3)="Exp",VLOOKUP(F728,#REF!,2,FALSE),VLOOKUP(F728,#REF!,9,FALSE)),0)</f>
        <v>0</v>
      </c>
      <c r="Z728" s="167">
        <f t="shared" si="84"/>
        <v>0</v>
      </c>
      <c r="AA728" s="189">
        <f t="shared" si="82"/>
        <v>0</v>
      </c>
      <c r="AB728" s="2">
        <f>IFERROR(SUMIFS('Comp2016-2017 (3)'!$G$5:$G$289,'Comp2016-2017 (3)'!$A$5:$A$289,A728,'Comp2016-2017 (3)'!$R$5:$R$289,V728)*AA728/SUMIFS($AA$4:$AA$1116,$A$4:$A$1116,A728,$V$4:$V$1116,V728),0)</f>
        <v>0</v>
      </c>
      <c r="AC728" s="2" t="str">
        <f>IF($W728=AC$3,$AB728,IF(NOT($W728=0),"",SUMIFS('Val-Vol (2)'!AC$4:AC$1116,'Val-Vol (2)'!$A$4:$A$1116,$D728,'Val-Vol (2)'!$V$4:$V$1116,$V728)/SUMIFS('Comp2016-2017 (3)'!$G$5:$G$289,'Comp2016-2017 (3)'!$A$5:$A$289,$D728,'Comp2016-2017 (3)'!$R$5:$R$289,$V728)*$AB728))</f>
        <v/>
      </c>
      <c r="AD728" s="2" t="str">
        <f>IF($W728=AD$3,$AB728,IF(NOT($W728=0),"",SUMIFS('Val-Vol (2)'!AD$4:AD$1116,'Val-Vol (2)'!$A$4:$A$1116,$D728,'Val-Vol (2)'!$V$4:$V$1116,$V728)/SUMIFS('Comp2016-2017 (3)'!$G$5:$G$289,'Comp2016-2017 (3)'!$A$5:$A$289,$D728,'Comp2016-2017 (3)'!$R$5:$R$289,$V728)*$AB728))</f>
        <v/>
      </c>
      <c r="AE728" s="2" t="str">
        <f>IF($W728=AE$3,$AB728,IF(NOT($W728=0),"",SUMIFS('Val-Vol (2)'!AE$4:AE$1116,'Val-Vol (2)'!$A$4:$A$1116,$D728,'Val-Vol (2)'!$V$4:$V$1116,$V728)/SUMIFS('Comp2016-2017 (3)'!$G$5:$G$289,'Comp2016-2017 (3)'!$A$5:$A$289,$D728,'Comp2016-2017 (3)'!$R$5:$R$289,$V728)*$AB728))</f>
        <v/>
      </c>
      <c r="AF728" s="2" t="str">
        <f>IF($W728=AF$3,$AB728,IF(NOT($W728=0),"",SUMIFS('Val-Vol (2)'!AF$4:AF$1116,'Val-Vol (2)'!$A$4:$A$1116,$D728,'Val-Vol (2)'!$V$4:$V$1116,$V728)/SUMIFS('Comp2016-2017 (3)'!$G$5:$G$289,'Comp2016-2017 (3)'!$A$5:$A$289,$D728,'Comp2016-2017 (3)'!$R$5:$R$289,$V728)*$AB728))</f>
        <v/>
      </c>
      <c r="AG728" s="2" t="str">
        <f>IF($W728=AG$3,$AB728,IF(NOT($W728=0),"",SUMIFS('Val-Vol (2)'!AG$4:AG$1116,'Val-Vol (2)'!$A$4:$A$1116,$D728,'Val-Vol (2)'!$V$4:$V$1116,$V728)/SUMIFS('Comp2016-2017 (3)'!$G$5:$G$289,'Comp2016-2017 (3)'!$A$5:$A$289,$D728,'Comp2016-2017 (3)'!$R$5:$R$289,$V728)*$AB728))</f>
        <v/>
      </c>
      <c r="AH728" s="2">
        <f>IF($W728=AH$3,$AB728,IF(NOT($W728=0),"",SUMIFS('Val-Vol (2)'!AH$4:AH$1116,'Val-Vol (2)'!$A$4:$A$1116,$D728,'Val-Vol (2)'!$V$4:$V$1116,$V728)/SUMIFS('Comp2016-2017 (3)'!$G$5:$G$289,'Comp2016-2017 (3)'!$A$5:$A$289,$D728,'Comp2016-2017 (3)'!$R$5:$R$289,$V728)*$AB728))</f>
        <v>0</v>
      </c>
      <c r="AI728" s="2" t="str">
        <f>IF($W728=AI$3,$AB728,IF(NOT($W728=0),"",SUMIFS('Val-Vol (2)'!AI$4:AI$1116,'Val-Vol (2)'!$A$4:$A$1116,$D728,'Val-Vol (2)'!$V$4:$V$1116,$V728)/SUMIFS('Comp2016-2017 (3)'!$G$5:$G$289,'Comp2016-2017 (3)'!$A$5:$A$289,$D728,'Comp2016-2017 (3)'!$R$5:$R$289,$V728)*$AB728))</f>
        <v/>
      </c>
      <c r="AJ728" s="2" t="str">
        <f>IF($W728=AJ$3,$AB728,IF(NOT($W728=0),"",SUMIFS('Val-Vol (2)'!AJ$4:AJ$1116,'Val-Vol (2)'!$A$4:$A$1116,$D728,'Val-Vol (2)'!$V$4:$V$1116,$V728)/SUMIFS('Comp2016-2017 (3)'!$G$5:$G$289,'Comp2016-2017 (3)'!$A$5:$A$289,$D728,'Comp2016-2017 (3)'!$R$5:$R$289,$V728)*$AB728))</f>
        <v/>
      </c>
      <c r="AK728" s="2">
        <f t="shared" si="83"/>
        <v>0</v>
      </c>
      <c r="AL728" t="str">
        <f t="shared" si="81"/>
        <v/>
      </c>
      <c r="AM728" t="str">
        <f>VLOOKUP(A728,'Table corresp.'!$M$4:$U$63,8,FALSE)</f>
        <v>Importation</v>
      </c>
      <c r="AN728" t="str">
        <f>VLOOKUP(D728,'Table corresp.'!$M$4:$U$63,9,FALSE)</f>
        <v>Production intermédiaire</v>
      </c>
    </row>
    <row r="729" spans="1:40" x14ac:dyDescent="0.25">
      <c r="A729" t="s">
        <v>52</v>
      </c>
      <c r="B729" t="str">
        <f>VLOOKUP(LEFT(A729,3),'Table corresp.'!$A$4:$D$63,3,FALSE)</f>
        <v>Importation</v>
      </c>
      <c r="C729" t="str">
        <f>VLOOKUP(A729,'Table corresp.'!$M$4:$P$63,4,FALSE)</f>
        <v>Importation</v>
      </c>
      <c r="D729" t="s">
        <v>87</v>
      </c>
      <c r="E729" t="str">
        <f>VLOOKUP(LEFT(D729,3),'Table corresp.'!$A$4:$D$63,4,FALSE)</f>
        <v>Transformation</v>
      </c>
      <c r="F729" t="str">
        <f t="shared" si="80"/>
        <v xml:space="preserve">Imp - 31 </v>
      </c>
      <c r="G729" s="3">
        <v>0</v>
      </c>
      <c r="H729" s="3">
        <v>1078019.0950000002</v>
      </c>
      <c r="I729" s="3">
        <v>1078019.0950000002</v>
      </c>
      <c r="J729" s="3">
        <v>0</v>
      </c>
      <c r="K729" s="3">
        <v>155.01854124832767</v>
      </c>
      <c r="L729" s="3">
        <v>155.01854124832767</v>
      </c>
      <c r="M729" s="3">
        <v>0</v>
      </c>
      <c r="N729" s="3">
        <v>1867.2661776419809</v>
      </c>
      <c r="O729" s="3">
        <v>1867.2661776419809</v>
      </c>
      <c r="P729" s="3">
        <v>0</v>
      </c>
      <c r="Q729" s="3">
        <v>583.48387760679645</v>
      </c>
      <c r="R729" s="3">
        <v>583.48387760679645</v>
      </c>
      <c r="S729" s="67" t="s">
        <v>192</v>
      </c>
      <c r="T729">
        <f>VLOOKUP(A729,'Groupe de branches'!$Z$27:$AM$86,14,FALSE)</f>
        <v>0</v>
      </c>
      <c r="U729">
        <f>VLOOKUP(D729,'Groupe de branches'!$Z$27:$AM$86,14,FALSE)</f>
        <v>0</v>
      </c>
      <c r="V729">
        <v>2017</v>
      </c>
      <c r="W729">
        <f>VLOOKUP(D729,'Table corresp.'!$M$4:$S$63,7,FALSE)</f>
        <v>0</v>
      </c>
      <c r="X729" s="167">
        <f>IFERROR(G729/SUMIFS('Comp2016-2017 (3)'!$I$5:$I$289,'Comp2016-2017 (3)'!$A$5:$A$289,A729,'Comp2016-2017 (3)'!$R$5:$R$289,V729),0)</f>
        <v>0</v>
      </c>
      <c r="Y729" s="190">
        <f>IFERROR(IF(RIGHT(F729,3)="Exp",VLOOKUP(F729,#REF!,2,FALSE),VLOOKUP(F729,#REF!,9,FALSE)),0)</f>
        <v>0</v>
      </c>
      <c r="Z729" s="167">
        <f t="shared" si="84"/>
        <v>0</v>
      </c>
      <c r="AA729" s="189">
        <f t="shared" si="82"/>
        <v>0</v>
      </c>
      <c r="AB729" s="2">
        <f>IFERROR(SUMIFS('Comp2016-2017 (3)'!$G$5:$G$289,'Comp2016-2017 (3)'!$A$5:$A$289,A729,'Comp2016-2017 (3)'!$R$5:$R$289,V729)*AA729/SUMIFS($AA$4:$AA$1116,$A$4:$A$1116,A729,$V$4:$V$1116,V729),0)</f>
        <v>0</v>
      </c>
      <c r="AC729" s="2">
        <f>IF($W729=AC$3,$AB729,IF(NOT($W729=0),"",SUMIFS('Val-Vol (2)'!AC$4:AC$1116,'Val-Vol (2)'!$A$4:$A$1116,$D729,'Val-Vol (2)'!$V$4:$V$1116,$V729)/SUMIFS('Comp2016-2017 (3)'!$G$5:$G$289,'Comp2016-2017 (3)'!$A$5:$A$289,$D729,'Comp2016-2017 (3)'!$R$5:$R$289,$V729)*$AB729))</f>
        <v>0</v>
      </c>
      <c r="AD729" s="2">
        <f>IF($W729=AD$3,$AB729,IF(NOT($W729=0),"",SUMIFS('Val-Vol (2)'!AD$4:AD$1116,'Val-Vol (2)'!$A$4:$A$1116,$D729,'Val-Vol (2)'!$V$4:$V$1116,$V729)/SUMIFS('Comp2016-2017 (3)'!$G$5:$G$289,'Comp2016-2017 (3)'!$A$5:$A$289,$D729,'Comp2016-2017 (3)'!$R$5:$R$289,$V729)*$AB729))</f>
        <v>0</v>
      </c>
      <c r="AE729" s="2">
        <f>IF($W729=AE$3,$AB729,IF(NOT($W729=0),"",SUMIFS('Val-Vol (2)'!AE$4:AE$1116,'Val-Vol (2)'!$A$4:$A$1116,$D729,'Val-Vol (2)'!$V$4:$V$1116,$V729)/SUMIFS('Comp2016-2017 (3)'!$G$5:$G$289,'Comp2016-2017 (3)'!$A$5:$A$289,$D729,'Comp2016-2017 (3)'!$R$5:$R$289,$V729)*$AB729))</f>
        <v>0</v>
      </c>
      <c r="AF729" s="2">
        <f>IF($W729=AF$3,$AB729,IF(NOT($W729=0),"",SUMIFS('Val-Vol (2)'!AF$4:AF$1116,'Val-Vol (2)'!$A$4:$A$1116,$D729,'Val-Vol (2)'!$V$4:$V$1116,$V729)/SUMIFS('Comp2016-2017 (3)'!$G$5:$G$289,'Comp2016-2017 (3)'!$A$5:$A$289,$D729,'Comp2016-2017 (3)'!$R$5:$R$289,$V729)*$AB729))</f>
        <v>0</v>
      </c>
      <c r="AG729" s="2">
        <f>IF($W729=AG$3,$AB729,IF(NOT($W729=0),"",SUMIFS('Val-Vol (2)'!AG$4:AG$1116,'Val-Vol (2)'!$A$4:$A$1116,$D729,'Val-Vol (2)'!$V$4:$V$1116,$V729)/SUMIFS('Comp2016-2017 (3)'!$G$5:$G$289,'Comp2016-2017 (3)'!$A$5:$A$289,$D729,'Comp2016-2017 (3)'!$R$5:$R$289,$V729)*$AB729))</f>
        <v>0</v>
      </c>
      <c r="AH729" s="2">
        <f>IF($W729=AH$3,$AB729,IF(NOT($W729=0),"",SUMIFS('Val-Vol (2)'!AH$4:AH$1116,'Val-Vol (2)'!$A$4:$A$1116,$D729,'Val-Vol (2)'!$V$4:$V$1116,$V729)/SUMIFS('Comp2016-2017 (3)'!$G$5:$G$289,'Comp2016-2017 (3)'!$A$5:$A$289,$D729,'Comp2016-2017 (3)'!$R$5:$R$289,$V729)*$AB729))</f>
        <v>0</v>
      </c>
      <c r="AI729" s="2">
        <f>IF($W729=AI$3,$AB729,IF(NOT($W729=0),"",SUMIFS('Val-Vol (2)'!AI$4:AI$1116,'Val-Vol (2)'!$A$4:$A$1116,$D729,'Val-Vol (2)'!$V$4:$V$1116,$V729)/SUMIFS('Comp2016-2017 (3)'!$G$5:$G$289,'Comp2016-2017 (3)'!$A$5:$A$289,$D729,'Comp2016-2017 (3)'!$R$5:$R$289,$V729)*$AB729))</f>
        <v>0</v>
      </c>
      <c r="AJ729" s="2">
        <f>IF($W729=AJ$3,$AB729,IF(NOT($W729=0),"",SUMIFS('Val-Vol (2)'!AJ$4:AJ$1116,'Val-Vol (2)'!$A$4:$A$1116,$D729,'Val-Vol (2)'!$V$4:$V$1116,$V729)/SUMIFS('Comp2016-2017 (3)'!$G$5:$G$289,'Comp2016-2017 (3)'!$A$5:$A$289,$D729,'Comp2016-2017 (3)'!$R$5:$R$289,$V729)*$AB729))</f>
        <v>0</v>
      </c>
      <c r="AK729" s="2">
        <f t="shared" si="83"/>
        <v>0</v>
      </c>
      <c r="AL729" t="str">
        <f t="shared" si="81"/>
        <v/>
      </c>
      <c r="AM729" t="str">
        <f>VLOOKUP(A729,'Table corresp.'!$M$4:$U$63,8,FALSE)</f>
        <v>Importation</v>
      </c>
      <c r="AN729" t="str">
        <f>VLOOKUP(D729,'Table corresp.'!$M$4:$U$63,9,FALSE)</f>
        <v>Production intermédiaire</v>
      </c>
    </row>
    <row r="730" spans="1:40" x14ac:dyDescent="0.25">
      <c r="A730" t="s">
        <v>52</v>
      </c>
      <c r="B730" t="str">
        <f>VLOOKUP(LEFT(A730,3),'Table corresp.'!$A$4:$D$63,3,FALSE)</f>
        <v>Importation</v>
      </c>
      <c r="C730" t="str">
        <f>VLOOKUP(A730,'Table corresp.'!$M$4:$P$63,4,FALSE)</f>
        <v>Importation</v>
      </c>
      <c r="D730" t="s">
        <v>89</v>
      </c>
      <c r="E730" t="str">
        <f>VLOOKUP(LEFT(D730,3),'Table corresp.'!$A$4:$D$63,4,FALSE)</f>
        <v>Transformation</v>
      </c>
      <c r="F730" t="str">
        <f t="shared" si="80"/>
        <v xml:space="preserve">Imp - 33 </v>
      </c>
      <c r="G730" s="3">
        <v>0</v>
      </c>
      <c r="H730" s="3">
        <v>92932.911999999997</v>
      </c>
      <c r="I730" s="3">
        <v>92932.911999999997</v>
      </c>
      <c r="J730" s="3">
        <v>0</v>
      </c>
      <c r="K730" s="3">
        <v>19.598125775855259</v>
      </c>
      <c r="L730" s="3">
        <v>19.598125775855259</v>
      </c>
      <c r="M730" s="3">
        <v>0</v>
      </c>
      <c r="N730" s="3">
        <v>25.16015522633332</v>
      </c>
      <c r="O730" s="3">
        <v>25.16015522633332</v>
      </c>
      <c r="P730" s="3">
        <v>0</v>
      </c>
      <c r="Q730" s="3">
        <v>7.3373833059822759</v>
      </c>
      <c r="R730" s="3">
        <v>7.3373833059822759</v>
      </c>
      <c r="S730" s="67" t="s">
        <v>192</v>
      </c>
      <c r="T730">
        <f>VLOOKUP(A730,'Groupe de branches'!$Z$27:$AM$86,14,FALSE)</f>
        <v>0</v>
      </c>
      <c r="U730">
        <f>VLOOKUP(D730,'Groupe de branches'!$Z$27:$AM$86,14,FALSE)</f>
        <v>0</v>
      </c>
      <c r="V730">
        <v>2017</v>
      </c>
      <c r="W730" t="str">
        <f>VLOOKUP(D730,'Table corresp.'!$M$4:$S$63,7,FALSE)</f>
        <v>Construction</v>
      </c>
      <c r="X730" s="167">
        <f>IFERROR(G730/SUMIFS('Comp2016-2017 (3)'!$I$5:$I$289,'Comp2016-2017 (3)'!$A$5:$A$289,A730,'Comp2016-2017 (3)'!$R$5:$R$289,V730),0)</f>
        <v>0</v>
      </c>
      <c r="Y730" s="190">
        <f>IFERROR(IF(RIGHT(F730,3)="Exp",VLOOKUP(F730,#REF!,2,FALSE),VLOOKUP(F730,#REF!,9,FALSE)),0)</f>
        <v>0</v>
      </c>
      <c r="Z730" s="167">
        <f t="shared" si="84"/>
        <v>0</v>
      </c>
      <c r="AA730" s="189">
        <f t="shared" si="82"/>
        <v>0</v>
      </c>
      <c r="AB730" s="2">
        <f>IFERROR(SUMIFS('Comp2016-2017 (3)'!$G$5:$G$289,'Comp2016-2017 (3)'!$A$5:$A$289,A730,'Comp2016-2017 (3)'!$R$5:$R$289,V730)*AA730/SUMIFS($AA$4:$AA$1116,$A$4:$A$1116,A730,$V$4:$V$1116,V730),0)</f>
        <v>0</v>
      </c>
      <c r="AC730" s="2" t="str">
        <f>IF($W730=AC$3,$AB730,IF(NOT($W730=0),"",SUMIFS('Val-Vol (2)'!AC$4:AC$1116,'Val-Vol (2)'!$A$4:$A$1116,$D730,'Val-Vol (2)'!$V$4:$V$1116,$V730)/SUMIFS('Comp2016-2017 (3)'!$G$5:$G$289,'Comp2016-2017 (3)'!$A$5:$A$289,$D730,'Comp2016-2017 (3)'!$R$5:$R$289,$V730)*$AB730))</f>
        <v/>
      </c>
      <c r="AD730" s="2">
        <f>IF($W730=AD$3,$AB730,IF(NOT($W730=0),"",SUMIFS('Val-Vol (2)'!AD$4:AD$1116,'Val-Vol (2)'!$A$4:$A$1116,$D730,'Val-Vol (2)'!$V$4:$V$1116,$V730)/SUMIFS('Comp2016-2017 (3)'!$G$5:$G$289,'Comp2016-2017 (3)'!$A$5:$A$289,$D730,'Comp2016-2017 (3)'!$R$5:$R$289,$V730)*$AB730))</f>
        <v>0</v>
      </c>
      <c r="AE730" s="2" t="str">
        <f>IF($W730=AE$3,$AB730,IF(NOT($W730=0),"",SUMIFS('Val-Vol (2)'!AE$4:AE$1116,'Val-Vol (2)'!$A$4:$A$1116,$D730,'Val-Vol (2)'!$V$4:$V$1116,$V730)/SUMIFS('Comp2016-2017 (3)'!$G$5:$G$289,'Comp2016-2017 (3)'!$A$5:$A$289,$D730,'Comp2016-2017 (3)'!$R$5:$R$289,$V730)*$AB730))</f>
        <v/>
      </c>
      <c r="AF730" s="2" t="str">
        <f>IF($W730=AF$3,$AB730,IF(NOT($W730=0),"",SUMIFS('Val-Vol (2)'!AF$4:AF$1116,'Val-Vol (2)'!$A$4:$A$1116,$D730,'Val-Vol (2)'!$V$4:$V$1116,$V730)/SUMIFS('Comp2016-2017 (3)'!$G$5:$G$289,'Comp2016-2017 (3)'!$A$5:$A$289,$D730,'Comp2016-2017 (3)'!$R$5:$R$289,$V730)*$AB730))</f>
        <v/>
      </c>
      <c r="AG730" s="2" t="str">
        <f>IF($W730=AG$3,$AB730,IF(NOT($W730=0),"",SUMIFS('Val-Vol (2)'!AG$4:AG$1116,'Val-Vol (2)'!$A$4:$A$1116,$D730,'Val-Vol (2)'!$V$4:$V$1116,$V730)/SUMIFS('Comp2016-2017 (3)'!$G$5:$G$289,'Comp2016-2017 (3)'!$A$5:$A$289,$D730,'Comp2016-2017 (3)'!$R$5:$R$289,$V730)*$AB730))</f>
        <v/>
      </c>
      <c r="AH730" s="2" t="str">
        <f>IF($W730=AH$3,$AB730,IF(NOT($W730=0),"",SUMIFS('Val-Vol (2)'!AH$4:AH$1116,'Val-Vol (2)'!$A$4:$A$1116,$D730,'Val-Vol (2)'!$V$4:$V$1116,$V730)/SUMIFS('Comp2016-2017 (3)'!$G$5:$G$289,'Comp2016-2017 (3)'!$A$5:$A$289,$D730,'Comp2016-2017 (3)'!$R$5:$R$289,$V730)*$AB730))</f>
        <v/>
      </c>
      <c r="AI730" s="2" t="str">
        <f>IF($W730=AI$3,$AB730,IF(NOT($W730=0),"",SUMIFS('Val-Vol (2)'!AI$4:AI$1116,'Val-Vol (2)'!$A$4:$A$1116,$D730,'Val-Vol (2)'!$V$4:$V$1116,$V730)/SUMIFS('Comp2016-2017 (3)'!$G$5:$G$289,'Comp2016-2017 (3)'!$A$5:$A$289,$D730,'Comp2016-2017 (3)'!$R$5:$R$289,$V730)*$AB730))</f>
        <v/>
      </c>
      <c r="AJ730" s="2" t="str">
        <f>IF($W730=AJ$3,$AB730,IF(NOT($W730=0),"",SUMIFS('Val-Vol (2)'!AJ$4:AJ$1116,'Val-Vol (2)'!$A$4:$A$1116,$D730,'Val-Vol (2)'!$V$4:$V$1116,$V730)/SUMIFS('Comp2016-2017 (3)'!$G$5:$G$289,'Comp2016-2017 (3)'!$A$5:$A$289,$D730,'Comp2016-2017 (3)'!$R$5:$R$289,$V730)*$AB730))</f>
        <v/>
      </c>
      <c r="AK730" s="2">
        <f t="shared" si="83"/>
        <v>0</v>
      </c>
      <c r="AL730" t="str">
        <f t="shared" si="81"/>
        <v/>
      </c>
      <c r="AM730" t="str">
        <f>VLOOKUP(A730,'Table corresp.'!$M$4:$U$63,8,FALSE)</f>
        <v>Importation</v>
      </c>
      <c r="AN730" t="str">
        <f>VLOOKUP(D730,'Table corresp.'!$M$4:$U$63,9,FALSE)</f>
        <v>Production finale</v>
      </c>
    </row>
    <row r="731" spans="1:40" x14ac:dyDescent="0.25">
      <c r="A731" t="s">
        <v>52</v>
      </c>
      <c r="B731" t="str">
        <f>VLOOKUP(LEFT(A731,3),'Table corresp.'!$A$4:$D$63,3,FALSE)</f>
        <v>Importation</v>
      </c>
      <c r="C731" t="str">
        <f>VLOOKUP(A731,'Table corresp.'!$M$4:$P$63,4,FALSE)</f>
        <v>Importation</v>
      </c>
      <c r="D731" t="s">
        <v>90</v>
      </c>
      <c r="E731" t="str">
        <f>VLOOKUP(LEFT(D731,3),'Table corresp.'!$A$4:$D$63,4,FALSE)</f>
        <v>Transformation</v>
      </c>
      <c r="F731" t="str">
        <f t="shared" si="80"/>
        <v xml:space="preserve">Imp - 34 </v>
      </c>
      <c r="G731" s="3">
        <v>0</v>
      </c>
      <c r="H731" s="3">
        <v>171083.84100000001</v>
      </c>
      <c r="I731" s="3">
        <v>171083.84100000001</v>
      </c>
      <c r="J731" s="3">
        <v>0</v>
      </c>
      <c r="K731" s="3">
        <v>262.0931616698316</v>
      </c>
      <c r="L731" s="3">
        <v>262.0931616698316</v>
      </c>
      <c r="M731" s="3">
        <v>0</v>
      </c>
      <c r="N731" s="3">
        <v>29.617341091988425</v>
      </c>
      <c r="O731" s="3">
        <v>29.617341091988425</v>
      </c>
      <c r="P731" s="3">
        <v>0</v>
      </c>
      <c r="Q731" s="3">
        <v>5.9089192461187237</v>
      </c>
      <c r="R731" s="3">
        <v>5.9089192461187237</v>
      </c>
      <c r="S731" s="67" t="s">
        <v>192</v>
      </c>
      <c r="T731">
        <f>VLOOKUP(A731,'Groupe de branches'!$Z$27:$AM$86,14,FALSE)</f>
        <v>0</v>
      </c>
      <c r="U731">
        <f>VLOOKUP(D731,'Groupe de branches'!$Z$27:$AM$86,14,FALSE)</f>
        <v>0</v>
      </c>
      <c r="V731">
        <v>2017</v>
      </c>
      <c r="W731" t="str">
        <f>VLOOKUP(D731,'Table corresp.'!$M$4:$S$63,7,FALSE)</f>
        <v>Construction</v>
      </c>
      <c r="X731" s="167">
        <f>IFERROR(G731/SUMIFS('Comp2016-2017 (3)'!$I$5:$I$289,'Comp2016-2017 (3)'!$A$5:$A$289,A731,'Comp2016-2017 (3)'!$R$5:$R$289,V731),0)</f>
        <v>0</v>
      </c>
      <c r="Y731" s="190">
        <f>IFERROR(IF(RIGHT(F731,3)="Exp",VLOOKUP(F731,#REF!,2,FALSE),VLOOKUP(F731,#REF!,9,FALSE)),0)</f>
        <v>0</v>
      </c>
      <c r="Z731" s="167">
        <f t="shared" si="84"/>
        <v>0</v>
      </c>
      <c r="AA731" s="189">
        <f t="shared" si="82"/>
        <v>0</v>
      </c>
      <c r="AB731" s="2">
        <f>IFERROR(SUMIFS('Comp2016-2017 (3)'!$G$5:$G$289,'Comp2016-2017 (3)'!$A$5:$A$289,A731,'Comp2016-2017 (3)'!$R$5:$R$289,V731)*AA731/SUMIFS($AA$4:$AA$1116,$A$4:$A$1116,A731,$V$4:$V$1116,V731),0)</f>
        <v>0</v>
      </c>
      <c r="AC731" s="2" t="str">
        <f>IF($W731=AC$3,$AB731,IF(NOT($W731=0),"",SUMIFS('Val-Vol (2)'!AC$4:AC$1116,'Val-Vol (2)'!$A$4:$A$1116,$D731,'Val-Vol (2)'!$V$4:$V$1116,$V731)/SUMIFS('Comp2016-2017 (3)'!$G$5:$G$289,'Comp2016-2017 (3)'!$A$5:$A$289,$D731,'Comp2016-2017 (3)'!$R$5:$R$289,$V731)*$AB731))</f>
        <v/>
      </c>
      <c r="AD731" s="2">
        <f>IF($W731=AD$3,$AB731,IF(NOT($W731=0),"",SUMIFS('Val-Vol (2)'!AD$4:AD$1116,'Val-Vol (2)'!$A$4:$A$1116,$D731,'Val-Vol (2)'!$V$4:$V$1116,$V731)/SUMIFS('Comp2016-2017 (3)'!$G$5:$G$289,'Comp2016-2017 (3)'!$A$5:$A$289,$D731,'Comp2016-2017 (3)'!$R$5:$R$289,$V731)*$AB731))</f>
        <v>0</v>
      </c>
      <c r="AE731" s="2" t="str">
        <f>IF($W731=AE$3,$AB731,IF(NOT($W731=0),"",SUMIFS('Val-Vol (2)'!AE$4:AE$1116,'Val-Vol (2)'!$A$4:$A$1116,$D731,'Val-Vol (2)'!$V$4:$V$1116,$V731)/SUMIFS('Comp2016-2017 (3)'!$G$5:$G$289,'Comp2016-2017 (3)'!$A$5:$A$289,$D731,'Comp2016-2017 (3)'!$R$5:$R$289,$V731)*$AB731))</f>
        <v/>
      </c>
      <c r="AF731" s="2" t="str">
        <f>IF($W731=AF$3,$AB731,IF(NOT($W731=0),"",SUMIFS('Val-Vol (2)'!AF$4:AF$1116,'Val-Vol (2)'!$A$4:$A$1116,$D731,'Val-Vol (2)'!$V$4:$V$1116,$V731)/SUMIFS('Comp2016-2017 (3)'!$G$5:$G$289,'Comp2016-2017 (3)'!$A$5:$A$289,$D731,'Comp2016-2017 (3)'!$R$5:$R$289,$V731)*$AB731))</f>
        <v/>
      </c>
      <c r="AG731" s="2" t="str">
        <f>IF($W731=AG$3,$AB731,IF(NOT($W731=0),"",SUMIFS('Val-Vol (2)'!AG$4:AG$1116,'Val-Vol (2)'!$A$4:$A$1116,$D731,'Val-Vol (2)'!$V$4:$V$1116,$V731)/SUMIFS('Comp2016-2017 (3)'!$G$5:$G$289,'Comp2016-2017 (3)'!$A$5:$A$289,$D731,'Comp2016-2017 (3)'!$R$5:$R$289,$V731)*$AB731))</f>
        <v/>
      </c>
      <c r="AH731" s="2" t="str">
        <f>IF($W731=AH$3,$AB731,IF(NOT($W731=0),"",SUMIFS('Val-Vol (2)'!AH$4:AH$1116,'Val-Vol (2)'!$A$4:$A$1116,$D731,'Val-Vol (2)'!$V$4:$V$1116,$V731)/SUMIFS('Comp2016-2017 (3)'!$G$5:$G$289,'Comp2016-2017 (3)'!$A$5:$A$289,$D731,'Comp2016-2017 (3)'!$R$5:$R$289,$V731)*$AB731))</f>
        <v/>
      </c>
      <c r="AI731" s="2" t="str">
        <f>IF($W731=AI$3,$AB731,IF(NOT($W731=0),"",SUMIFS('Val-Vol (2)'!AI$4:AI$1116,'Val-Vol (2)'!$A$4:$A$1116,$D731,'Val-Vol (2)'!$V$4:$V$1116,$V731)/SUMIFS('Comp2016-2017 (3)'!$G$5:$G$289,'Comp2016-2017 (3)'!$A$5:$A$289,$D731,'Comp2016-2017 (3)'!$R$5:$R$289,$V731)*$AB731))</f>
        <v/>
      </c>
      <c r="AJ731" s="2" t="str">
        <f>IF($W731=AJ$3,$AB731,IF(NOT($W731=0),"",SUMIFS('Val-Vol (2)'!AJ$4:AJ$1116,'Val-Vol (2)'!$A$4:$A$1116,$D731,'Val-Vol (2)'!$V$4:$V$1116,$V731)/SUMIFS('Comp2016-2017 (3)'!$G$5:$G$289,'Comp2016-2017 (3)'!$A$5:$A$289,$D731,'Comp2016-2017 (3)'!$R$5:$R$289,$V731)*$AB731))</f>
        <v/>
      </c>
      <c r="AK731" s="2">
        <f t="shared" si="83"/>
        <v>0</v>
      </c>
      <c r="AL731" t="str">
        <f t="shared" si="81"/>
        <v/>
      </c>
      <c r="AM731" t="str">
        <f>VLOOKUP(A731,'Table corresp.'!$M$4:$U$63,8,FALSE)</f>
        <v>Importation</v>
      </c>
      <c r="AN731" t="str">
        <f>VLOOKUP(D731,'Table corresp.'!$M$4:$U$63,9,FALSE)</f>
        <v>Production finale</v>
      </c>
    </row>
    <row r="732" spans="1:40" x14ac:dyDescent="0.25">
      <c r="A732" t="s">
        <v>52</v>
      </c>
      <c r="B732" t="str">
        <f>VLOOKUP(LEFT(A732,3),'Table corresp.'!$A$4:$D$63,3,FALSE)</f>
        <v>Importation</v>
      </c>
      <c r="C732" t="str">
        <f>VLOOKUP(A732,'Table corresp.'!$M$4:$P$63,4,FALSE)</f>
        <v>Importation</v>
      </c>
      <c r="D732" t="s">
        <v>15</v>
      </c>
      <c r="E732" t="str">
        <f>VLOOKUP(LEFT(D732,3),'Table corresp.'!$A$4:$D$63,4,FALSE)</f>
        <v>Transformation</v>
      </c>
      <c r="F732" t="str">
        <f t="shared" si="80"/>
        <v xml:space="preserve">Imp - 35 </v>
      </c>
      <c r="G732" s="3">
        <v>0</v>
      </c>
      <c r="H732" s="3">
        <v>72558.857000000004</v>
      </c>
      <c r="I732" s="3">
        <v>72558.857000000004</v>
      </c>
      <c r="J732" s="3">
        <v>0</v>
      </c>
      <c r="K732" s="3">
        <v>18.58495729204266</v>
      </c>
      <c r="L732" s="3">
        <v>18.58495729204266</v>
      </c>
      <c r="M732" s="3">
        <v>0</v>
      </c>
      <c r="N732" s="3">
        <v>0.90719445172885416</v>
      </c>
      <c r="O732" s="3">
        <v>0.90719445172885416</v>
      </c>
      <c r="P732" s="3">
        <v>0</v>
      </c>
      <c r="Q732" s="3">
        <v>0.38567170788251015</v>
      </c>
      <c r="R732" s="3">
        <v>0.38567170788251015</v>
      </c>
      <c r="S732" s="67" t="s">
        <v>192</v>
      </c>
      <c r="T732">
        <f>VLOOKUP(A732,'Groupe de branches'!$Z$27:$AM$86,14,FALSE)</f>
        <v>0</v>
      </c>
      <c r="U732">
        <f>VLOOKUP(D732,'Groupe de branches'!$Z$27:$AM$86,14,FALSE)</f>
        <v>0</v>
      </c>
      <c r="V732">
        <v>2017</v>
      </c>
      <c r="W732" t="str">
        <f>VLOOKUP(D732,'Table corresp.'!$M$4:$S$63,7,FALSE)</f>
        <v>Construction</v>
      </c>
      <c r="X732" s="167">
        <f>IFERROR(G732/SUMIFS('Comp2016-2017 (3)'!$I$5:$I$289,'Comp2016-2017 (3)'!$A$5:$A$289,A732,'Comp2016-2017 (3)'!$R$5:$R$289,V732),0)</f>
        <v>0</v>
      </c>
      <c r="Y732" s="190">
        <f>IFERROR(IF(RIGHT(F732,3)="Exp",VLOOKUP(F732,#REF!,2,FALSE),VLOOKUP(F732,#REF!,9,FALSE)),0)</f>
        <v>0</v>
      </c>
      <c r="Z732" s="167">
        <f t="shared" si="84"/>
        <v>0</v>
      </c>
      <c r="AA732" s="189">
        <f t="shared" si="82"/>
        <v>0</v>
      </c>
      <c r="AB732" s="2">
        <f>IFERROR(SUMIFS('Comp2016-2017 (3)'!$G$5:$G$289,'Comp2016-2017 (3)'!$A$5:$A$289,A732,'Comp2016-2017 (3)'!$R$5:$R$289,V732)*AA732/SUMIFS($AA$4:$AA$1116,$A$4:$A$1116,A732,$V$4:$V$1116,V732),0)</f>
        <v>0</v>
      </c>
      <c r="AC732" s="2" t="str">
        <f>IF($W732=AC$3,$AB732,IF(NOT($W732=0),"",SUMIFS('Val-Vol (2)'!AC$4:AC$1116,'Val-Vol (2)'!$A$4:$A$1116,$D732,'Val-Vol (2)'!$V$4:$V$1116,$V732)/SUMIFS('Comp2016-2017 (3)'!$G$5:$G$289,'Comp2016-2017 (3)'!$A$5:$A$289,$D732,'Comp2016-2017 (3)'!$R$5:$R$289,$V732)*$AB732))</f>
        <v/>
      </c>
      <c r="AD732" s="2">
        <f>IF($W732=AD$3,$AB732,IF(NOT($W732=0),"",SUMIFS('Val-Vol (2)'!AD$4:AD$1116,'Val-Vol (2)'!$A$4:$A$1116,$D732,'Val-Vol (2)'!$V$4:$V$1116,$V732)/SUMIFS('Comp2016-2017 (3)'!$G$5:$G$289,'Comp2016-2017 (3)'!$A$5:$A$289,$D732,'Comp2016-2017 (3)'!$R$5:$R$289,$V732)*$AB732))</f>
        <v>0</v>
      </c>
      <c r="AE732" s="2" t="str">
        <f>IF($W732=AE$3,$AB732,IF(NOT($W732=0),"",SUMIFS('Val-Vol (2)'!AE$4:AE$1116,'Val-Vol (2)'!$A$4:$A$1116,$D732,'Val-Vol (2)'!$V$4:$V$1116,$V732)/SUMIFS('Comp2016-2017 (3)'!$G$5:$G$289,'Comp2016-2017 (3)'!$A$5:$A$289,$D732,'Comp2016-2017 (3)'!$R$5:$R$289,$V732)*$AB732))</f>
        <v/>
      </c>
      <c r="AF732" s="2" t="str">
        <f>IF($W732=AF$3,$AB732,IF(NOT($W732=0),"",SUMIFS('Val-Vol (2)'!AF$4:AF$1116,'Val-Vol (2)'!$A$4:$A$1116,$D732,'Val-Vol (2)'!$V$4:$V$1116,$V732)/SUMIFS('Comp2016-2017 (3)'!$G$5:$G$289,'Comp2016-2017 (3)'!$A$5:$A$289,$D732,'Comp2016-2017 (3)'!$R$5:$R$289,$V732)*$AB732))</f>
        <v/>
      </c>
      <c r="AG732" s="2" t="str">
        <f>IF($W732=AG$3,$AB732,IF(NOT($W732=0),"",SUMIFS('Val-Vol (2)'!AG$4:AG$1116,'Val-Vol (2)'!$A$4:$A$1116,$D732,'Val-Vol (2)'!$V$4:$V$1116,$V732)/SUMIFS('Comp2016-2017 (3)'!$G$5:$G$289,'Comp2016-2017 (3)'!$A$5:$A$289,$D732,'Comp2016-2017 (3)'!$R$5:$R$289,$V732)*$AB732))</f>
        <v/>
      </c>
      <c r="AH732" s="2" t="str">
        <f>IF($W732=AH$3,$AB732,IF(NOT($W732=0),"",SUMIFS('Val-Vol (2)'!AH$4:AH$1116,'Val-Vol (2)'!$A$4:$A$1116,$D732,'Val-Vol (2)'!$V$4:$V$1116,$V732)/SUMIFS('Comp2016-2017 (3)'!$G$5:$G$289,'Comp2016-2017 (3)'!$A$5:$A$289,$D732,'Comp2016-2017 (3)'!$R$5:$R$289,$V732)*$AB732))</f>
        <v/>
      </c>
      <c r="AI732" s="2" t="str">
        <f>IF($W732=AI$3,$AB732,IF(NOT($W732=0),"",SUMIFS('Val-Vol (2)'!AI$4:AI$1116,'Val-Vol (2)'!$A$4:$A$1116,$D732,'Val-Vol (2)'!$V$4:$V$1116,$V732)/SUMIFS('Comp2016-2017 (3)'!$G$5:$G$289,'Comp2016-2017 (3)'!$A$5:$A$289,$D732,'Comp2016-2017 (3)'!$R$5:$R$289,$V732)*$AB732))</f>
        <v/>
      </c>
      <c r="AJ732" s="2" t="str">
        <f>IF($W732=AJ$3,$AB732,IF(NOT($W732=0),"",SUMIFS('Val-Vol (2)'!AJ$4:AJ$1116,'Val-Vol (2)'!$A$4:$A$1116,$D732,'Val-Vol (2)'!$V$4:$V$1116,$V732)/SUMIFS('Comp2016-2017 (3)'!$G$5:$G$289,'Comp2016-2017 (3)'!$A$5:$A$289,$D732,'Comp2016-2017 (3)'!$R$5:$R$289,$V732)*$AB732))</f>
        <v/>
      </c>
      <c r="AK732" s="2">
        <f t="shared" si="83"/>
        <v>0</v>
      </c>
      <c r="AL732" t="str">
        <f t="shared" si="81"/>
        <v/>
      </c>
      <c r="AM732" t="str">
        <f>VLOOKUP(A732,'Table corresp.'!$M$4:$U$63,8,FALSE)</f>
        <v>Importation</v>
      </c>
      <c r="AN732" t="str">
        <f>VLOOKUP(D732,'Table corresp.'!$M$4:$U$63,9,FALSE)</f>
        <v>Production finale</v>
      </c>
    </row>
    <row r="733" spans="1:40" x14ac:dyDescent="0.25">
      <c r="A733" t="s">
        <v>52</v>
      </c>
      <c r="B733" t="str">
        <f>VLOOKUP(LEFT(A733,3),'Table corresp.'!$A$4:$D$63,3,FALSE)</f>
        <v>Importation</v>
      </c>
      <c r="C733" t="str">
        <f>VLOOKUP(A733,'Table corresp.'!$M$4:$P$63,4,FALSE)</f>
        <v>Importation</v>
      </c>
      <c r="D733" t="s">
        <v>16</v>
      </c>
      <c r="E733" t="str">
        <f>VLOOKUP(LEFT(D733,3),'Table corresp.'!$A$4:$D$63,4,FALSE)</f>
        <v>Transformation</v>
      </c>
      <c r="F733" t="str">
        <f t="shared" si="80"/>
        <v xml:space="preserve">Imp - 36 </v>
      </c>
      <c r="G733" s="3">
        <v>0</v>
      </c>
      <c r="H733" s="3">
        <v>92731.948000000004</v>
      </c>
      <c r="I733" s="3">
        <v>92731.948000000004</v>
      </c>
      <c r="J733" s="3">
        <v>0</v>
      </c>
      <c r="K733" s="3">
        <v>78.285551105151939</v>
      </c>
      <c r="L733" s="3">
        <v>78.285551105151939</v>
      </c>
      <c r="M733" s="3">
        <v>0</v>
      </c>
      <c r="N733" s="3">
        <v>52.652831141585246</v>
      </c>
      <c r="O733" s="3">
        <v>52.652831141585246</v>
      </c>
      <c r="P733" s="3">
        <v>0</v>
      </c>
      <c r="Q733" s="3">
        <v>21.874848899867427</v>
      </c>
      <c r="R733" s="3">
        <v>21.874848899867427</v>
      </c>
      <c r="S733" s="67" t="s">
        <v>192</v>
      </c>
      <c r="T733">
        <f>VLOOKUP(A733,'Groupe de branches'!$Z$27:$AM$86,14,FALSE)</f>
        <v>0</v>
      </c>
      <c r="U733">
        <f>VLOOKUP(D733,'Groupe de branches'!$Z$27:$AM$86,14,FALSE)</f>
        <v>0</v>
      </c>
      <c r="V733">
        <v>2017</v>
      </c>
      <c r="W733" t="str">
        <f>VLOOKUP(D733,'Table corresp.'!$M$4:$S$63,7,FALSE)</f>
        <v>Construction</v>
      </c>
      <c r="X733" s="167">
        <f>IFERROR(G733/SUMIFS('Comp2016-2017 (3)'!$I$5:$I$289,'Comp2016-2017 (3)'!$A$5:$A$289,A733,'Comp2016-2017 (3)'!$R$5:$R$289,V733),0)</f>
        <v>0</v>
      </c>
      <c r="Y733" s="190">
        <f>IFERROR(IF(RIGHT(F733,3)="Exp",VLOOKUP(F733,#REF!,2,FALSE),VLOOKUP(F733,#REF!,9,FALSE)),0)</f>
        <v>0</v>
      </c>
      <c r="Z733" s="167">
        <f t="shared" si="84"/>
        <v>0</v>
      </c>
      <c r="AA733" s="189">
        <f t="shared" si="82"/>
        <v>0</v>
      </c>
      <c r="AB733" s="2">
        <f>IFERROR(SUMIFS('Comp2016-2017 (3)'!$G$5:$G$289,'Comp2016-2017 (3)'!$A$5:$A$289,A733,'Comp2016-2017 (3)'!$R$5:$R$289,V733)*AA733/SUMIFS($AA$4:$AA$1116,$A$4:$A$1116,A733,$V$4:$V$1116,V733),0)</f>
        <v>0</v>
      </c>
      <c r="AC733" s="2" t="str">
        <f>IF($W733=AC$3,$AB733,IF(NOT($W733=0),"",SUMIFS('Val-Vol (2)'!AC$4:AC$1116,'Val-Vol (2)'!$A$4:$A$1116,$D733,'Val-Vol (2)'!$V$4:$V$1116,$V733)/SUMIFS('Comp2016-2017 (3)'!$G$5:$G$289,'Comp2016-2017 (3)'!$A$5:$A$289,$D733,'Comp2016-2017 (3)'!$R$5:$R$289,$V733)*$AB733))</f>
        <v/>
      </c>
      <c r="AD733" s="2">
        <f>IF($W733=AD$3,$AB733,IF(NOT($W733=0),"",SUMIFS('Val-Vol (2)'!AD$4:AD$1116,'Val-Vol (2)'!$A$4:$A$1116,$D733,'Val-Vol (2)'!$V$4:$V$1116,$V733)/SUMIFS('Comp2016-2017 (3)'!$G$5:$G$289,'Comp2016-2017 (3)'!$A$5:$A$289,$D733,'Comp2016-2017 (3)'!$R$5:$R$289,$V733)*$AB733))</f>
        <v>0</v>
      </c>
      <c r="AE733" s="2" t="str">
        <f>IF($W733=AE$3,$AB733,IF(NOT($W733=0),"",SUMIFS('Val-Vol (2)'!AE$4:AE$1116,'Val-Vol (2)'!$A$4:$A$1116,$D733,'Val-Vol (2)'!$V$4:$V$1116,$V733)/SUMIFS('Comp2016-2017 (3)'!$G$5:$G$289,'Comp2016-2017 (3)'!$A$5:$A$289,$D733,'Comp2016-2017 (3)'!$R$5:$R$289,$V733)*$AB733))</f>
        <v/>
      </c>
      <c r="AF733" s="2" t="str">
        <f>IF($W733=AF$3,$AB733,IF(NOT($W733=0),"",SUMIFS('Val-Vol (2)'!AF$4:AF$1116,'Val-Vol (2)'!$A$4:$A$1116,$D733,'Val-Vol (2)'!$V$4:$V$1116,$V733)/SUMIFS('Comp2016-2017 (3)'!$G$5:$G$289,'Comp2016-2017 (3)'!$A$5:$A$289,$D733,'Comp2016-2017 (3)'!$R$5:$R$289,$V733)*$AB733))</f>
        <v/>
      </c>
      <c r="AG733" s="2" t="str">
        <f>IF($W733=AG$3,$AB733,IF(NOT($W733=0),"",SUMIFS('Val-Vol (2)'!AG$4:AG$1116,'Val-Vol (2)'!$A$4:$A$1116,$D733,'Val-Vol (2)'!$V$4:$V$1116,$V733)/SUMIFS('Comp2016-2017 (3)'!$G$5:$G$289,'Comp2016-2017 (3)'!$A$5:$A$289,$D733,'Comp2016-2017 (3)'!$R$5:$R$289,$V733)*$AB733))</f>
        <v/>
      </c>
      <c r="AH733" s="2" t="str">
        <f>IF($W733=AH$3,$AB733,IF(NOT($W733=0),"",SUMIFS('Val-Vol (2)'!AH$4:AH$1116,'Val-Vol (2)'!$A$4:$A$1116,$D733,'Val-Vol (2)'!$V$4:$V$1116,$V733)/SUMIFS('Comp2016-2017 (3)'!$G$5:$G$289,'Comp2016-2017 (3)'!$A$5:$A$289,$D733,'Comp2016-2017 (3)'!$R$5:$R$289,$V733)*$AB733))</f>
        <v/>
      </c>
      <c r="AI733" s="2" t="str">
        <f>IF($W733=AI$3,$AB733,IF(NOT($W733=0),"",SUMIFS('Val-Vol (2)'!AI$4:AI$1116,'Val-Vol (2)'!$A$4:$A$1116,$D733,'Val-Vol (2)'!$V$4:$V$1116,$V733)/SUMIFS('Comp2016-2017 (3)'!$G$5:$G$289,'Comp2016-2017 (3)'!$A$5:$A$289,$D733,'Comp2016-2017 (3)'!$R$5:$R$289,$V733)*$AB733))</f>
        <v/>
      </c>
      <c r="AJ733" s="2" t="str">
        <f>IF($W733=AJ$3,$AB733,IF(NOT($W733=0),"",SUMIFS('Val-Vol (2)'!AJ$4:AJ$1116,'Val-Vol (2)'!$A$4:$A$1116,$D733,'Val-Vol (2)'!$V$4:$V$1116,$V733)/SUMIFS('Comp2016-2017 (3)'!$G$5:$G$289,'Comp2016-2017 (3)'!$A$5:$A$289,$D733,'Comp2016-2017 (3)'!$R$5:$R$289,$V733)*$AB733))</f>
        <v/>
      </c>
      <c r="AK733" s="2">
        <f t="shared" si="83"/>
        <v>0</v>
      </c>
      <c r="AL733" t="str">
        <f t="shared" si="81"/>
        <v/>
      </c>
      <c r="AM733" t="str">
        <f>VLOOKUP(A733,'Table corresp.'!$M$4:$U$63,8,FALSE)</f>
        <v>Importation</v>
      </c>
      <c r="AN733" t="str">
        <f>VLOOKUP(D733,'Table corresp.'!$M$4:$U$63,9,FALSE)</f>
        <v>Production finale</v>
      </c>
    </row>
    <row r="734" spans="1:40" x14ac:dyDescent="0.25">
      <c r="A734" t="s">
        <v>52</v>
      </c>
      <c r="B734" t="str">
        <f>VLOOKUP(LEFT(A734,3),'Table corresp.'!$A$4:$D$63,3,FALSE)</f>
        <v>Importation</v>
      </c>
      <c r="C734" t="str">
        <f>VLOOKUP(A734,'Table corresp.'!$M$4:$P$63,4,FALSE)</f>
        <v>Importation</v>
      </c>
      <c r="D734" t="s">
        <v>91</v>
      </c>
      <c r="E734" t="str">
        <f>VLOOKUP(LEFT(D734,3),'Table corresp.'!$A$4:$D$63,4,FALSE)</f>
        <v>Transformation</v>
      </c>
      <c r="F734" t="str">
        <f t="shared" si="80"/>
        <v xml:space="preserve">Imp - 37 </v>
      </c>
      <c r="G734" s="3">
        <v>0</v>
      </c>
      <c r="H734" s="3">
        <v>230501.60900000003</v>
      </c>
      <c r="I734" s="3">
        <v>230501.60900000003</v>
      </c>
      <c r="J734" s="3">
        <v>0</v>
      </c>
      <c r="K734" s="3">
        <v>1066.0412246995268</v>
      </c>
      <c r="L734" s="3">
        <v>1066.0412246995268</v>
      </c>
      <c r="M734" s="3">
        <v>0</v>
      </c>
      <c r="N734" s="3">
        <v>99.528032535344664</v>
      </c>
      <c r="O734" s="3">
        <v>99.528032535344664</v>
      </c>
      <c r="P734" s="3">
        <v>0</v>
      </c>
      <c r="Q734" s="3">
        <v>5.5898412172598487E-4</v>
      </c>
      <c r="R734" s="3">
        <v>5.5898412172598487E-4</v>
      </c>
      <c r="S734" s="67"/>
      <c r="T734">
        <f>VLOOKUP(A734,'Groupe de branches'!$Z$27:$AM$86,14,FALSE)</f>
        <v>0</v>
      </c>
      <c r="U734">
        <f>VLOOKUP(D734,'Groupe de branches'!$Z$27:$AM$86,14,FALSE)</f>
        <v>0</v>
      </c>
      <c r="V734">
        <v>2017</v>
      </c>
      <c r="W734" t="str">
        <f>VLOOKUP(D734,'Table corresp.'!$M$4:$S$63,7,FALSE)</f>
        <v>Emballage bois et carton</v>
      </c>
      <c r="X734" s="167">
        <f>IFERROR(G734/SUMIFS('Comp2016-2017 (3)'!$I$5:$I$289,'Comp2016-2017 (3)'!$A$5:$A$289,A734,'Comp2016-2017 (3)'!$R$5:$R$289,V734),0)</f>
        <v>0</v>
      </c>
      <c r="Y734" s="190">
        <f>IFERROR(IF(RIGHT(F734,3)="Exp",VLOOKUP(F734,#REF!,2,FALSE),VLOOKUP(F734,#REF!,9,FALSE)),0)</f>
        <v>0</v>
      </c>
      <c r="Z734" s="167">
        <f t="shared" si="84"/>
        <v>0</v>
      </c>
      <c r="AA734" s="189">
        <f t="shared" si="82"/>
        <v>0</v>
      </c>
      <c r="AB734" s="2">
        <f>IFERROR(SUMIFS('Comp2016-2017 (3)'!$G$5:$G$289,'Comp2016-2017 (3)'!$A$5:$A$289,A734,'Comp2016-2017 (3)'!$R$5:$R$289,V734)*AA734/SUMIFS($AA$4:$AA$1116,$A$4:$A$1116,A734,$V$4:$V$1116,V734),0)</f>
        <v>0</v>
      </c>
      <c r="AC734" s="2" t="str">
        <f>IF($W734=AC$3,$AB734,IF(NOT($W734=0),"",SUMIFS('Val-Vol (2)'!AC$4:AC$1116,'Val-Vol (2)'!$A$4:$A$1116,$D734,'Val-Vol (2)'!$V$4:$V$1116,$V734)/SUMIFS('Comp2016-2017 (3)'!$G$5:$G$289,'Comp2016-2017 (3)'!$A$5:$A$289,$D734,'Comp2016-2017 (3)'!$R$5:$R$289,$V734)*$AB734))</f>
        <v/>
      </c>
      <c r="AD734" s="2" t="str">
        <f>IF($W734=AD$3,$AB734,IF(NOT($W734=0),"",SUMIFS('Val-Vol (2)'!AD$4:AD$1116,'Val-Vol (2)'!$A$4:$A$1116,$D734,'Val-Vol (2)'!$V$4:$V$1116,$V734)/SUMIFS('Comp2016-2017 (3)'!$G$5:$G$289,'Comp2016-2017 (3)'!$A$5:$A$289,$D734,'Comp2016-2017 (3)'!$R$5:$R$289,$V734)*$AB734))</f>
        <v/>
      </c>
      <c r="AE734" s="2" t="str">
        <f>IF($W734=AE$3,$AB734,IF(NOT($W734=0),"",SUMIFS('Val-Vol (2)'!AE$4:AE$1116,'Val-Vol (2)'!$A$4:$A$1116,$D734,'Val-Vol (2)'!$V$4:$V$1116,$V734)/SUMIFS('Comp2016-2017 (3)'!$G$5:$G$289,'Comp2016-2017 (3)'!$A$5:$A$289,$D734,'Comp2016-2017 (3)'!$R$5:$R$289,$V734)*$AB734))</f>
        <v/>
      </c>
      <c r="AF734" s="2" t="str">
        <f>IF($W734=AF$3,$AB734,IF(NOT($W734=0),"",SUMIFS('Val-Vol (2)'!AF$4:AF$1116,'Val-Vol (2)'!$A$4:$A$1116,$D734,'Val-Vol (2)'!$V$4:$V$1116,$V734)/SUMIFS('Comp2016-2017 (3)'!$G$5:$G$289,'Comp2016-2017 (3)'!$A$5:$A$289,$D734,'Comp2016-2017 (3)'!$R$5:$R$289,$V734)*$AB734))</f>
        <v/>
      </c>
      <c r="AG734" s="2">
        <f>IF($W734=AG$3,$AB734,IF(NOT($W734=0),"",SUMIFS('Val-Vol (2)'!AG$4:AG$1116,'Val-Vol (2)'!$A$4:$A$1116,$D734,'Val-Vol (2)'!$V$4:$V$1116,$V734)/SUMIFS('Comp2016-2017 (3)'!$G$5:$G$289,'Comp2016-2017 (3)'!$A$5:$A$289,$D734,'Comp2016-2017 (3)'!$R$5:$R$289,$V734)*$AB734))</f>
        <v>0</v>
      </c>
      <c r="AH734" s="2" t="str">
        <f>IF($W734=AH$3,$AB734,IF(NOT($W734=0),"",SUMIFS('Val-Vol (2)'!AH$4:AH$1116,'Val-Vol (2)'!$A$4:$A$1116,$D734,'Val-Vol (2)'!$V$4:$V$1116,$V734)/SUMIFS('Comp2016-2017 (3)'!$G$5:$G$289,'Comp2016-2017 (3)'!$A$5:$A$289,$D734,'Comp2016-2017 (3)'!$R$5:$R$289,$V734)*$AB734))</f>
        <v/>
      </c>
      <c r="AI734" s="2" t="str">
        <f>IF($W734=AI$3,$AB734,IF(NOT($W734=0),"",SUMIFS('Val-Vol (2)'!AI$4:AI$1116,'Val-Vol (2)'!$A$4:$A$1116,$D734,'Val-Vol (2)'!$V$4:$V$1116,$V734)/SUMIFS('Comp2016-2017 (3)'!$G$5:$G$289,'Comp2016-2017 (3)'!$A$5:$A$289,$D734,'Comp2016-2017 (3)'!$R$5:$R$289,$V734)*$AB734))</f>
        <v/>
      </c>
      <c r="AJ734" s="2" t="str">
        <f>IF($W734=AJ$3,$AB734,IF(NOT($W734=0),"",SUMIFS('Val-Vol (2)'!AJ$4:AJ$1116,'Val-Vol (2)'!$A$4:$A$1116,$D734,'Val-Vol (2)'!$V$4:$V$1116,$V734)/SUMIFS('Comp2016-2017 (3)'!$G$5:$G$289,'Comp2016-2017 (3)'!$A$5:$A$289,$D734,'Comp2016-2017 (3)'!$R$5:$R$289,$V734)*$AB734))</f>
        <v/>
      </c>
      <c r="AK734" s="2">
        <f t="shared" si="83"/>
        <v>0</v>
      </c>
      <c r="AL734" t="str">
        <f t="shared" si="81"/>
        <v/>
      </c>
      <c r="AM734" t="str">
        <f>VLOOKUP(A734,'Table corresp.'!$M$4:$U$63,8,FALSE)</f>
        <v>Importation</v>
      </c>
      <c r="AN734" t="str">
        <f>VLOOKUP(D734,'Table corresp.'!$M$4:$U$63,9,FALSE)</f>
        <v>Production finale</v>
      </c>
    </row>
    <row r="735" spans="1:40" x14ac:dyDescent="0.25">
      <c r="A735" t="s">
        <v>52</v>
      </c>
      <c r="B735" t="str">
        <f>VLOOKUP(LEFT(A735,3),'Table corresp.'!$A$4:$D$63,3,FALSE)</f>
        <v>Importation</v>
      </c>
      <c r="C735" t="str">
        <f>VLOOKUP(A735,'Table corresp.'!$M$4:$P$63,4,FALSE)</f>
        <v>Importation</v>
      </c>
      <c r="D735" t="s">
        <v>17</v>
      </c>
      <c r="E735" t="str">
        <f>VLOOKUP(LEFT(D735,3),'Table corresp.'!$A$4:$D$63,4,FALSE)</f>
        <v>Transformation</v>
      </c>
      <c r="F735" t="str">
        <f t="shared" si="80"/>
        <v xml:space="preserve">Imp - 38 </v>
      </c>
      <c r="G735" s="3">
        <v>0</v>
      </c>
      <c r="H735" s="3">
        <v>35299.296999999999</v>
      </c>
      <c r="I735" s="3">
        <v>35299.296999999999</v>
      </c>
      <c r="J735" s="3">
        <v>0</v>
      </c>
      <c r="K735" s="3">
        <v>34.34000000709618</v>
      </c>
      <c r="L735" s="3">
        <v>34.34000000709618</v>
      </c>
      <c r="M735" s="3">
        <v>0</v>
      </c>
      <c r="N735" s="3">
        <v>0</v>
      </c>
      <c r="O735" s="3">
        <v>0</v>
      </c>
      <c r="P735" s="3">
        <v>0</v>
      </c>
      <c r="Q735" s="3">
        <v>0</v>
      </c>
      <c r="R735" s="3">
        <v>0</v>
      </c>
      <c r="S735" s="67"/>
      <c r="T735">
        <f>VLOOKUP(A735,'Groupe de branches'!$Z$27:$AM$86,14,FALSE)</f>
        <v>0</v>
      </c>
      <c r="U735">
        <f>VLOOKUP(D735,'Groupe de branches'!$Z$27:$AM$86,14,FALSE)</f>
        <v>0</v>
      </c>
      <c r="V735">
        <v>2017</v>
      </c>
      <c r="W735" t="str">
        <f>VLOOKUP(D735,'Table corresp.'!$M$4:$S$63,7,FALSE)</f>
        <v>Emballage bois et carton</v>
      </c>
      <c r="X735" s="167">
        <f>IFERROR(G735/SUMIFS('Comp2016-2017 (3)'!$I$5:$I$289,'Comp2016-2017 (3)'!$A$5:$A$289,A735,'Comp2016-2017 (3)'!$R$5:$R$289,V735),0)</f>
        <v>0</v>
      </c>
      <c r="Y735" s="190">
        <f>IFERROR(IF(RIGHT(F735,3)="Exp",VLOOKUP(F735,#REF!,2,FALSE),VLOOKUP(F735,#REF!,9,FALSE)),0)</f>
        <v>0</v>
      </c>
      <c r="Z735" s="167">
        <f t="shared" si="84"/>
        <v>0</v>
      </c>
      <c r="AA735" s="189">
        <f t="shared" si="82"/>
        <v>0</v>
      </c>
      <c r="AB735" s="2">
        <f>IFERROR(SUMIFS('Comp2016-2017 (3)'!$G$5:$G$289,'Comp2016-2017 (3)'!$A$5:$A$289,A735,'Comp2016-2017 (3)'!$R$5:$R$289,V735)*AA735/SUMIFS($AA$4:$AA$1116,$A$4:$A$1116,A735,$V$4:$V$1116,V735),0)</f>
        <v>0</v>
      </c>
      <c r="AC735" s="2" t="str">
        <f>IF($W735=AC$3,$AB735,IF(NOT($W735=0),"",SUMIFS('Val-Vol (2)'!AC$4:AC$1116,'Val-Vol (2)'!$A$4:$A$1116,$D735,'Val-Vol (2)'!$V$4:$V$1116,$V735)/SUMIFS('Comp2016-2017 (3)'!$G$5:$G$289,'Comp2016-2017 (3)'!$A$5:$A$289,$D735,'Comp2016-2017 (3)'!$R$5:$R$289,$V735)*$AB735))</f>
        <v/>
      </c>
      <c r="AD735" s="2" t="str">
        <f>IF($W735=AD$3,$AB735,IF(NOT($W735=0),"",SUMIFS('Val-Vol (2)'!AD$4:AD$1116,'Val-Vol (2)'!$A$4:$A$1116,$D735,'Val-Vol (2)'!$V$4:$V$1116,$V735)/SUMIFS('Comp2016-2017 (3)'!$G$5:$G$289,'Comp2016-2017 (3)'!$A$5:$A$289,$D735,'Comp2016-2017 (3)'!$R$5:$R$289,$V735)*$AB735))</f>
        <v/>
      </c>
      <c r="AE735" s="2" t="str">
        <f>IF($W735=AE$3,$AB735,IF(NOT($W735=0),"",SUMIFS('Val-Vol (2)'!AE$4:AE$1116,'Val-Vol (2)'!$A$4:$A$1116,$D735,'Val-Vol (2)'!$V$4:$V$1116,$V735)/SUMIFS('Comp2016-2017 (3)'!$G$5:$G$289,'Comp2016-2017 (3)'!$A$5:$A$289,$D735,'Comp2016-2017 (3)'!$R$5:$R$289,$V735)*$AB735))</f>
        <v/>
      </c>
      <c r="AF735" s="2" t="str">
        <f>IF($W735=AF$3,$AB735,IF(NOT($W735=0),"",SUMIFS('Val-Vol (2)'!AF$4:AF$1116,'Val-Vol (2)'!$A$4:$A$1116,$D735,'Val-Vol (2)'!$V$4:$V$1116,$V735)/SUMIFS('Comp2016-2017 (3)'!$G$5:$G$289,'Comp2016-2017 (3)'!$A$5:$A$289,$D735,'Comp2016-2017 (3)'!$R$5:$R$289,$V735)*$AB735))</f>
        <v/>
      </c>
      <c r="AG735" s="2">
        <f>IF($W735=AG$3,$AB735,IF(NOT($W735=0),"",SUMIFS('Val-Vol (2)'!AG$4:AG$1116,'Val-Vol (2)'!$A$4:$A$1116,$D735,'Val-Vol (2)'!$V$4:$V$1116,$V735)/SUMIFS('Comp2016-2017 (3)'!$G$5:$G$289,'Comp2016-2017 (3)'!$A$5:$A$289,$D735,'Comp2016-2017 (3)'!$R$5:$R$289,$V735)*$AB735))</f>
        <v>0</v>
      </c>
      <c r="AH735" s="2" t="str">
        <f>IF($W735=AH$3,$AB735,IF(NOT($W735=0),"",SUMIFS('Val-Vol (2)'!AH$4:AH$1116,'Val-Vol (2)'!$A$4:$A$1116,$D735,'Val-Vol (2)'!$V$4:$V$1116,$V735)/SUMIFS('Comp2016-2017 (3)'!$G$5:$G$289,'Comp2016-2017 (3)'!$A$5:$A$289,$D735,'Comp2016-2017 (3)'!$R$5:$R$289,$V735)*$AB735))</f>
        <v/>
      </c>
      <c r="AI735" s="2" t="str">
        <f>IF($W735=AI$3,$AB735,IF(NOT($W735=0),"",SUMIFS('Val-Vol (2)'!AI$4:AI$1116,'Val-Vol (2)'!$A$4:$A$1116,$D735,'Val-Vol (2)'!$V$4:$V$1116,$V735)/SUMIFS('Comp2016-2017 (3)'!$G$5:$G$289,'Comp2016-2017 (3)'!$A$5:$A$289,$D735,'Comp2016-2017 (3)'!$R$5:$R$289,$V735)*$AB735))</f>
        <v/>
      </c>
      <c r="AJ735" s="2" t="str">
        <f>IF($W735=AJ$3,$AB735,IF(NOT($W735=0),"",SUMIFS('Val-Vol (2)'!AJ$4:AJ$1116,'Val-Vol (2)'!$A$4:$A$1116,$D735,'Val-Vol (2)'!$V$4:$V$1116,$V735)/SUMIFS('Comp2016-2017 (3)'!$G$5:$G$289,'Comp2016-2017 (3)'!$A$5:$A$289,$D735,'Comp2016-2017 (3)'!$R$5:$R$289,$V735)*$AB735))</f>
        <v/>
      </c>
      <c r="AK735" s="2">
        <f t="shared" si="83"/>
        <v>0</v>
      </c>
      <c r="AL735" t="str">
        <f t="shared" si="81"/>
        <v/>
      </c>
      <c r="AM735" t="str">
        <f>VLOOKUP(A735,'Table corresp.'!$M$4:$U$63,8,FALSE)</f>
        <v>Importation</v>
      </c>
      <c r="AN735" t="str">
        <f>VLOOKUP(D735,'Table corresp.'!$M$4:$U$63,9,FALSE)</f>
        <v>Production finale</v>
      </c>
    </row>
    <row r="736" spans="1:40" x14ac:dyDescent="0.25">
      <c r="A736" t="s">
        <v>52</v>
      </c>
      <c r="B736" t="str">
        <f>VLOOKUP(LEFT(A736,3),'Table corresp.'!$A$4:$D$63,3,FALSE)</f>
        <v>Importation</v>
      </c>
      <c r="C736" t="str">
        <f>VLOOKUP(A736,'Table corresp.'!$M$4:$P$63,4,FALSE)</f>
        <v>Importation</v>
      </c>
      <c r="D736" t="s">
        <v>18</v>
      </c>
      <c r="E736" t="str">
        <f>VLOOKUP(LEFT(D736,3),'Table corresp.'!$A$4:$D$63,4,FALSE)</f>
        <v>Transformation</v>
      </c>
      <c r="F736" t="str">
        <f t="shared" si="80"/>
        <v xml:space="preserve">Imp - 39 </v>
      </c>
      <c r="G736" s="3">
        <v>0</v>
      </c>
      <c r="H736" s="3">
        <v>10321.222</v>
      </c>
      <c r="I736" s="3">
        <v>10321.222</v>
      </c>
      <c r="J736" s="3">
        <v>0</v>
      </c>
      <c r="K736" s="3">
        <v>14.876054313214375</v>
      </c>
      <c r="L736" s="3">
        <v>14.876054313214375</v>
      </c>
      <c r="M736" s="3">
        <v>0</v>
      </c>
      <c r="N736" s="3">
        <v>4.0692711649752598</v>
      </c>
      <c r="O736" s="3">
        <v>4.0692711649752598</v>
      </c>
      <c r="P736" s="3">
        <v>0</v>
      </c>
      <c r="Q736" s="3">
        <v>1.6188605455921852</v>
      </c>
      <c r="R736" s="3">
        <v>1.6188605455921852</v>
      </c>
      <c r="S736" s="67" t="s">
        <v>192</v>
      </c>
      <c r="T736">
        <f>VLOOKUP(A736,'Groupe de branches'!$Z$27:$AM$86,14,FALSE)</f>
        <v>0</v>
      </c>
      <c r="U736">
        <f>VLOOKUP(D736,'Groupe de branches'!$Z$27:$AM$86,14,FALSE)</f>
        <v>0</v>
      </c>
      <c r="V736">
        <v>2017</v>
      </c>
      <c r="W736" t="str">
        <f>VLOOKUP(D736,'Table corresp.'!$M$4:$S$63,7,FALSE)</f>
        <v>Construction</v>
      </c>
      <c r="X736" s="167">
        <f>IFERROR(G736/SUMIFS('Comp2016-2017 (3)'!$I$5:$I$289,'Comp2016-2017 (3)'!$A$5:$A$289,A736,'Comp2016-2017 (3)'!$R$5:$R$289,V736),0)</f>
        <v>0</v>
      </c>
      <c r="Y736" s="190">
        <f>IFERROR(IF(RIGHT(F736,3)="Exp",VLOOKUP(F736,#REF!,2,FALSE),VLOOKUP(F736,#REF!,9,FALSE)),0)</f>
        <v>0</v>
      </c>
      <c r="Z736" s="167">
        <f t="shared" si="84"/>
        <v>0</v>
      </c>
      <c r="AA736" s="189">
        <f t="shared" si="82"/>
        <v>0</v>
      </c>
      <c r="AB736" s="2">
        <f>IFERROR(SUMIFS('Comp2016-2017 (3)'!$G$5:$G$289,'Comp2016-2017 (3)'!$A$5:$A$289,A736,'Comp2016-2017 (3)'!$R$5:$R$289,V736)*AA736/SUMIFS($AA$4:$AA$1116,$A$4:$A$1116,A736,$V$4:$V$1116,V736),0)</f>
        <v>0</v>
      </c>
      <c r="AC736" s="2" t="str">
        <f>IF($W736=AC$3,$AB736,IF(NOT($W736=0),"",SUMIFS('Val-Vol (2)'!AC$4:AC$1116,'Val-Vol (2)'!$A$4:$A$1116,$D736,'Val-Vol (2)'!$V$4:$V$1116,$V736)/SUMIFS('Comp2016-2017 (3)'!$G$5:$G$289,'Comp2016-2017 (3)'!$A$5:$A$289,$D736,'Comp2016-2017 (3)'!$R$5:$R$289,$V736)*$AB736))</f>
        <v/>
      </c>
      <c r="AD736" s="2">
        <f>IF($W736=AD$3,$AB736,IF(NOT($W736=0),"",SUMIFS('Val-Vol (2)'!AD$4:AD$1116,'Val-Vol (2)'!$A$4:$A$1116,$D736,'Val-Vol (2)'!$V$4:$V$1116,$V736)/SUMIFS('Comp2016-2017 (3)'!$G$5:$G$289,'Comp2016-2017 (3)'!$A$5:$A$289,$D736,'Comp2016-2017 (3)'!$R$5:$R$289,$V736)*$AB736))</f>
        <v>0</v>
      </c>
      <c r="AE736" s="2" t="str">
        <f>IF($W736=AE$3,$AB736,IF(NOT($W736=0),"",SUMIFS('Val-Vol (2)'!AE$4:AE$1116,'Val-Vol (2)'!$A$4:$A$1116,$D736,'Val-Vol (2)'!$V$4:$V$1116,$V736)/SUMIFS('Comp2016-2017 (3)'!$G$5:$G$289,'Comp2016-2017 (3)'!$A$5:$A$289,$D736,'Comp2016-2017 (3)'!$R$5:$R$289,$V736)*$AB736))</f>
        <v/>
      </c>
      <c r="AF736" s="2" t="str">
        <f>IF($W736=AF$3,$AB736,IF(NOT($W736=0),"",SUMIFS('Val-Vol (2)'!AF$4:AF$1116,'Val-Vol (2)'!$A$4:$A$1116,$D736,'Val-Vol (2)'!$V$4:$V$1116,$V736)/SUMIFS('Comp2016-2017 (3)'!$G$5:$G$289,'Comp2016-2017 (3)'!$A$5:$A$289,$D736,'Comp2016-2017 (3)'!$R$5:$R$289,$V736)*$AB736))</f>
        <v/>
      </c>
      <c r="AG736" s="2" t="str">
        <f>IF($W736=AG$3,$AB736,IF(NOT($W736=0),"",SUMIFS('Val-Vol (2)'!AG$4:AG$1116,'Val-Vol (2)'!$A$4:$A$1116,$D736,'Val-Vol (2)'!$V$4:$V$1116,$V736)/SUMIFS('Comp2016-2017 (3)'!$G$5:$G$289,'Comp2016-2017 (3)'!$A$5:$A$289,$D736,'Comp2016-2017 (3)'!$R$5:$R$289,$V736)*$AB736))</f>
        <v/>
      </c>
      <c r="AH736" s="2" t="str">
        <f>IF($W736=AH$3,$AB736,IF(NOT($W736=0),"",SUMIFS('Val-Vol (2)'!AH$4:AH$1116,'Val-Vol (2)'!$A$4:$A$1116,$D736,'Val-Vol (2)'!$V$4:$V$1116,$V736)/SUMIFS('Comp2016-2017 (3)'!$G$5:$G$289,'Comp2016-2017 (3)'!$A$5:$A$289,$D736,'Comp2016-2017 (3)'!$R$5:$R$289,$V736)*$AB736))</f>
        <v/>
      </c>
      <c r="AI736" s="2" t="str">
        <f>IF($W736=AI$3,$AB736,IF(NOT($W736=0),"",SUMIFS('Val-Vol (2)'!AI$4:AI$1116,'Val-Vol (2)'!$A$4:$A$1116,$D736,'Val-Vol (2)'!$V$4:$V$1116,$V736)/SUMIFS('Comp2016-2017 (3)'!$G$5:$G$289,'Comp2016-2017 (3)'!$A$5:$A$289,$D736,'Comp2016-2017 (3)'!$R$5:$R$289,$V736)*$AB736))</f>
        <v/>
      </c>
      <c r="AJ736" s="2" t="str">
        <f>IF($W736=AJ$3,$AB736,IF(NOT($W736=0),"",SUMIFS('Val-Vol (2)'!AJ$4:AJ$1116,'Val-Vol (2)'!$A$4:$A$1116,$D736,'Val-Vol (2)'!$V$4:$V$1116,$V736)/SUMIFS('Comp2016-2017 (3)'!$G$5:$G$289,'Comp2016-2017 (3)'!$A$5:$A$289,$D736,'Comp2016-2017 (3)'!$R$5:$R$289,$V736)*$AB736))</f>
        <v/>
      </c>
      <c r="AK736" s="2">
        <f t="shared" si="83"/>
        <v>0</v>
      </c>
      <c r="AL736" t="str">
        <f t="shared" si="81"/>
        <v/>
      </c>
      <c r="AM736" t="str">
        <f>VLOOKUP(A736,'Table corresp.'!$M$4:$U$63,8,FALSE)</f>
        <v>Importation</v>
      </c>
      <c r="AN736" t="str">
        <f>VLOOKUP(D736,'Table corresp.'!$M$4:$U$63,9,FALSE)</f>
        <v>Production finale</v>
      </c>
    </row>
    <row r="737" spans="1:40" x14ac:dyDescent="0.25">
      <c r="A737" t="s">
        <v>52</v>
      </c>
      <c r="B737" t="str">
        <f>VLOOKUP(LEFT(A737,3),'Table corresp.'!$A$4:$D$63,3,FALSE)</f>
        <v>Importation</v>
      </c>
      <c r="C737" t="str">
        <f>VLOOKUP(A737,'Table corresp.'!$M$4:$P$63,4,FALSE)</f>
        <v>Importation</v>
      </c>
      <c r="D737" t="s">
        <v>92</v>
      </c>
      <c r="E737" t="str">
        <f>VLOOKUP(LEFT(D737,3),'Table corresp.'!$A$4:$D$63,4,FALSE)</f>
        <v>Transformation</v>
      </c>
      <c r="F737" t="str">
        <f t="shared" si="80"/>
        <v xml:space="preserve">Imp - 40 </v>
      </c>
      <c r="G737" s="3">
        <v>0</v>
      </c>
      <c r="H737" s="3">
        <v>206862.76954545453</v>
      </c>
      <c r="I737" s="3">
        <v>206862.76954545453</v>
      </c>
      <c r="J737" s="3">
        <v>0</v>
      </c>
      <c r="K737" s="3">
        <v>534.0391043142514</v>
      </c>
      <c r="L737" s="3">
        <v>534.0391043142514</v>
      </c>
      <c r="M737" s="3">
        <v>0</v>
      </c>
      <c r="N737" s="3">
        <v>0</v>
      </c>
      <c r="O737" s="3">
        <v>0</v>
      </c>
      <c r="P737" s="3">
        <v>0</v>
      </c>
      <c r="Q737" s="3">
        <v>0</v>
      </c>
      <c r="R737" s="3">
        <v>0</v>
      </c>
      <c r="S737" s="67"/>
      <c r="T737">
        <f>VLOOKUP(A737,'Groupe de branches'!$Z$27:$AM$86,14,FALSE)</f>
        <v>0</v>
      </c>
      <c r="U737">
        <f>VLOOKUP(D737,'Groupe de branches'!$Z$27:$AM$86,14,FALSE)</f>
        <v>0</v>
      </c>
      <c r="V737">
        <v>2017</v>
      </c>
      <c r="W737" t="str">
        <f>VLOOKUP(D737,'Table corresp.'!$M$4:$S$63,7,FALSE)</f>
        <v>Construction</v>
      </c>
      <c r="X737" s="167">
        <f>IFERROR(G737/SUMIFS('Comp2016-2017 (3)'!$I$5:$I$289,'Comp2016-2017 (3)'!$A$5:$A$289,A737,'Comp2016-2017 (3)'!$R$5:$R$289,V737),0)</f>
        <v>0</v>
      </c>
      <c r="Y737" s="190">
        <f>IFERROR(IF(RIGHT(F737,3)="Exp",VLOOKUP(F737,#REF!,2,FALSE),VLOOKUP(F737,#REF!,9,FALSE)),0)</f>
        <v>0</v>
      </c>
      <c r="Z737" s="167">
        <f t="shared" si="84"/>
        <v>0</v>
      </c>
      <c r="AA737" s="189">
        <f t="shared" si="82"/>
        <v>0</v>
      </c>
      <c r="AB737" s="2">
        <f>IFERROR(SUMIFS('Comp2016-2017 (3)'!$G$5:$G$289,'Comp2016-2017 (3)'!$A$5:$A$289,A737,'Comp2016-2017 (3)'!$R$5:$R$289,V737)*AA737/SUMIFS($AA$4:$AA$1116,$A$4:$A$1116,A737,$V$4:$V$1116,V737),0)</f>
        <v>0</v>
      </c>
      <c r="AC737" s="2" t="str">
        <f>IF($W737=AC$3,$AB737,IF(NOT($W737=0),"",SUMIFS('Val-Vol (2)'!AC$4:AC$1116,'Val-Vol (2)'!$A$4:$A$1116,$D737,'Val-Vol (2)'!$V$4:$V$1116,$V737)/SUMIFS('Comp2016-2017 (3)'!$G$5:$G$289,'Comp2016-2017 (3)'!$A$5:$A$289,$D737,'Comp2016-2017 (3)'!$R$5:$R$289,$V737)*$AB737))</f>
        <v/>
      </c>
      <c r="AD737" s="2">
        <f>IF($W737=AD$3,$AB737,IF(NOT($W737=0),"",SUMIFS('Val-Vol (2)'!AD$4:AD$1116,'Val-Vol (2)'!$A$4:$A$1116,$D737,'Val-Vol (2)'!$V$4:$V$1116,$V737)/SUMIFS('Comp2016-2017 (3)'!$G$5:$G$289,'Comp2016-2017 (3)'!$A$5:$A$289,$D737,'Comp2016-2017 (3)'!$R$5:$R$289,$V737)*$AB737))</f>
        <v>0</v>
      </c>
      <c r="AE737" s="2" t="str">
        <f>IF($W737=AE$3,$AB737,IF(NOT($W737=0),"",SUMIFS('Val-Vol (2)'!AE$4:AE$1116,'Val-Vol (2)'!$A$4:$A$1116,$D737,'Val-Vol (2)'!$V$4:$V$1116,$V737)/SUMIFS('Comp2016-2017 (3)'!$G$5:$G$289,'Comp2016-2017 (3)'!$A$5:$A$289,$D737,'Comp2016-2017 (3)'!$R$5:$R$289,$V737)*$AB737))</f>
        <v/>
      </c>
      <c r="AF737" s="2" t="str">
        <f>IF($W737=AF$3,$AB737,IF(NOT($W737=0),"",SUMIFS('Val-Vol (2)'!AF$4:AF$1116,'Val-Vol (2)'!$A$4:$A$1116,$D737,'Val-Vol (2)'!$V$4:$V$1116,$V737)/SUMIFS('Comp2016-2017 (3)'!$G$5:$G$289,'Comp2016-2017 (3)'!$A$5:$A$289,$D737,'Comp2016-2017 (3)'!$R$5:$R$289,$V737)*$AB737))</f>
        <v/>
      </c>
      <c r="AG737" s="2" t="str">
        <f>IF($W737=AG$3,$AB737,IF(NOT($W737=0),"",SUMIFS('Val-Vol (2)'!AG$4:AG$1116,'Val-Vol (2)'!$A$4:$A$1116,$D737,'Val-Vol (2)'!$V$4:$V$1116,$V737)/SUMIFS('Comp2016-2017 (3)'!$G$5:$G$289,'Comp2016-2017 (3)'!$A$5:$A$289,$D737,'Comp2016-2017 (3)'!$R$5:$R$289,$V737)*$AB737))</f>
        <v/>
      </c>
      <c r="AH737" s="2" t="str">
        <f>IF($W737=AH$3,$AB737,IF(NOT($W737=0),"",SUMIFS('Val-Vol (2)'!AH$4:AH$1116,'Val-Vol (2)'!$A$4:$A$1116,$D737,'Val-Vol (2)'!$V$4:$V$1116,$V737)/SUMIFS('Comp2016-2017 (3)'!$G$5:$G$289,'Comp2016-2017 (3)'!$A$5:$A$289,$D737,'Comp2016-2017 (3)'!$R$5:$R$289,$V737)*$AB737))</f>
        <v/>
      </c>
      <c r="AI737" s="2" t="str">
        <f>IF($W737=AI$3,$AB737,IF(NOT($W737=0),"",SUMIFS('Val-Vol (2)'!AI$4:AI$1116,'Val-Vol (2)'!$A$4:$A$1116,$D737,'Val-Vol (2)'!$V$4:$V$1116,$V737)/SUMIFS('Comp2016-2017 (3)'!$G$5:$G$289,'Comp2016-2017 (3)'!$A$5:$A$289,$D737,'Comp2016-2017 (3)'!$R$5:$R$289,$V737)*$AB737))</f>
        <v/>
      </c>
      <c r="AJ737" s="2" t="str">
        <f>IF($W737=AJ$3,$AB737,IF(NOT($W737=0),"",SUMIFS('Val-Vol (2)'!AJ$4:AJ$1116,'Val-Vol (2)'!$A$4:$A$1116,$D737,'Val-Vol (2)'!$V$4:$V$1116,$V737)/SUMIFS('Comp2016-2017 (3)'!$G$5:$G$289,'Comp2016-2017 (3)'!$A$5:$A$289,$D737,'Comp2016-2017 (3)'!$R$5:$R$289,$V737)*$AB737))</f>
        <v/>
      </c>
      <c r="AK737" s="2">
        <f t="shared" si="83"/>
        <v>0</v>
      </c>
      <c r="AL737" t="str">
        <f t="shared" si="81"/>
        <v/>
      </c>
      <c r="AM737" t="str">
        <f>VLOOKUP(A737,'Table corresp.'!$M$4:$U$63,8,FALSE)</f>
        <v>Importation</v>
      </c>
      <c r="AN737" t="str">
        <f>VLOOKUP(D737,'Table corresp.'!$M$4:$U$63,9,FALSE)</f>
        <v>Production finale</v>
      </c>
    </row>
    <row r="738" spans="1:40" x14ac:dyDescent="0.25">
      <c r="A738" t="s">
        <v>52</v>
      </c>
      <c r="B738" t="str">
        <f>VLOOKUP(LEFT(A738,3),'Table corresp.'!$A$4:$D$63,3,FALSE)</f>
        <v>Importation</v>
      </c>
      <c r="C738" t="str">
        <f>VLOOKUP(A738,'Table corresp.'!$M$4:$P$63,4,FALSE)</f>
        <v>Importation</v>
      </c>
      <c r="D738" t="s">
        <v>93</v>
      </c>
      <c r="E738" t="str">
        <f>VLOOKUP(LEFT(D738,3),'Table corresp.'!$A$4:$D$63,4,FALSE)</f>
        <v>Transformation</v>
      </c>
      <c r="F738" t="str">
        <f t="shared" si="80"/>
        <v xml:space="preserve">Imp - 41 </v>
      </c>
      <c r="G738" s="3">
        <v>0</v>
      </c>
      <c r="H738" s="3">
        <v>185878.42599999998</v>
      </c>
      <c r="I738" s="3">
        <v>185878.42599999998</v>
      </c>
      <c r="J738" s="3">
        <v>0</v>
      </c>
      <c r="K738" s="3">
        <v>544.97149022056669</v>
      </c>
      <c r="L738" s="3">
        <v>544.97149022056669</v>
      </c>
      <c r="M738" s="3">
        <v>0</v>
      </c>
      <c r="N738" s="3">
        <v>0</v>
      </c>
      <c r="O738" s="3">
        <v>0</v>
      </c>
      <c r="P738" s="3">
        <v>0</v>
      </c>
      <c r="Q738" s="3">
        <v>0</v>
      </c>
      <c r="R738" s="3">
        <v>0</v>
      </c>
      <c r="S738" s="67"/>
      <c r="T738">
        <f>VLOOKUP(A738,'Groupe de branches'!$Z$27:$AM$86,14,FALSE)</f>
        <v>0</v>
      </c>
      <c r="U738">
        <f>VLOOKUP(D738,'Groupe de branches'!$Z$27:$AM$86,14,FALSE)</f>
        <v>0</v>
      </c>
      <c r="V738">
        <v>2017</v>
      </c>
      <c r="W738" t="str">
        <f>VLOOKUP(D738,'Table corresp.'!$M$4:$S$63,7,FALSE)</f>
        <v>Produits de consommation courante</v>
      </c>
      <c r="X738" s="167">
        <f>IFERROR(G738/SUMIFS('Comp2016-2017 (3)'!$I$5:$I$289,'Comp2016-2017 (3)'!$A$5:$A$289,A738,'Comp2016-2017 (3)'!$R$5:$R$289,V738),0)</f>
        <v>0</v>
      </c>
      <c r="Y738" s="190">
        <f>IFERROR(IF(RIGHT(F738,3)="Exp",VLOOKUP(F738,#REF!,2,FALSE),VLOOKUP(F738,#REF!,9,FALSE)),0)</f>
        <v>0</v>
      </c>
      <c r="Z738" s="167">
        <f t="shared" si="84"/>
        <v>0</v>
      </c>
      <c r="AA738" s="189">
        <f t="shared" si="82"/>
        <v>0</v>
      </c>
      <c r="AB738" s="2">
        <f>IFERROR(SUMIFS('Comp2016-2017 (3)'!$G$5:$G$289,'Comp2016-2017 (3)'!$A$5:$A$289,A738,'Comp2016-2017 (3)'!$R$5:$R$289,V738)*AA738/SUMIFS($AA$4:$AA$1116,$A$4:$A$1116,A738,$V$4:$V$1116,V738),0)</f>
        <v>0</v>
      </c>
      <c r="AC738" s="2" t="str">
        <f>IF($W738=AC$3,$AB738,IF(NOT($W738=0),"",SUMIFS('Val-Vol (2)'!AC$4:AC$1116,'Val-Vol (2)'!$A$4:$A$1116,$D738,'Val-Vol (2)'!$V$4:$V$1116,$V738)/SUMIFS('Comp2016-2017 (3)'!$G$5:$G$289,'Comp2016-2017 (3)'!$A$5:$A$289,$D738,'Comp2016-2017 (3)'!$R$5:$R$289,$V738)*$AB738))</f>
        <v/>
      </c>
      <c r="AD738" s="2" t="str">
        <f>IF($W738=AD$3,$AB738,IF(NOT($W738=0),"",SUMIFS('Val-Vol (2)'!AD$4:AD$1116,'Val-Vol (2)'!$A$4:$A$1116,$D738,'Val-Vol (2)'!$V$4:$V$1116,$V738)/SUMIFS('Comp2016-2017 (3)'!$G$5:$G$289,'Comp2016-2017 (3)'!$A$5:$A$289,$D738,'Comp2016-2017 (3)'!$R$5:$R$289,$V738)*$AB738))</f>
        <v/>
      </c>
      <c r="AE738" s="2" t="str">
        <f>IF($W738=AE$3,$AB738,IF(NOT($W738=0),"",SUMIFS('Val-Vol (2)'!AE$4:AE$1116,'Val-Vol (2)'!$A$4:$A$1116,$D738,'Val-Vol (2)'!$V$4:$V$1116,$V738)/SUMIFS('Comp2016-2017 (3)'!$G$5:$G$289,'Comp2016-2017 (3)'!$A$5:$A$289,$D738,'Comp2016-2017 (3)'!$R$5:$R$289,$V738)*$AB738))</f>
        <v/>
      </c>
      <c r="AF738" s="2" t="str">
        <f>IF($W738=AF$3,$AB738,IF(NOT($W738=0),"",SUMIFS('Val-Vol (2)'!AF$4:AF$1116,'Val-Vol (2)'!$A$4:$A$1116,$D738,'Val-Vol (2)'!$V$4:$V$1116,$V738)/SUMIFS('Comp2016-2017 (3)'!$G$5:$G$289,'Comp2016-2017 (3)'!$A$5:$A$289,$D738,'Comp2016-2017 (3)'!$R$5:$R$289,$V738)*$AB738))</f>
        <v/>
      </c>
      <c r="AG738" s="2" t="str">
        <f>IF($W738=AG$3,$AB738,IF(NOT($W738=0),"",SUMIFS('Val-Vol (2)'!AG$4:AG$1116,'Val-Vol (2)'!$A$4:$A$1116,$D738,'Val-Vol (2)'!$V$4:$V$1116,$V738)/SUMIFS('Comp2016-2017 (3)'!$G$5:$G$289,'Comp2016-2017 (3)'!$A$5:$A$289,$D738,'Comp2016-2017 (3)'!$R$5:$R$289,$V738)*$AB738))</f>
        <v/>
      </c>
      <c r="AH738" s="2" t="str">
        <f>IF($W738=AH$3,$AB738,IF(NOT($W738=0),"",SUMIFS('Val-Vol (2)'!AH$4:AH$1116,'Val-Vol (2)'!$A$4:$A$1116,$D738,'Val-Vol (2)'!$V$4:$V$1116,$V738)/SUMIFS('Comp2016-2017 (3)'!$G$5:$G$289,'Comp2016-2017 (3)'!$A$5:$A$289,$D738,'Comp2016-2017 (3)'!$R$5:$R$289,$V738)*$AB738))</f>
        <v/>
      </c>
      <c r="AI738" s="2">
        <f>IF($W738=AI$3,$AB738,IF(NOT($W738=0),"",SUMIFS('Val-Vol (2)'!AI$4:AI$1116,'Val-Vol (2)'!$A$4:$A$1116,$D738,'Val-Vol (2)'!$V$4:$V$1116,$V738)/SUMIFS('Comp2016-2017 (3)'!$G$5:$G$289,'Comp2016-2017 (3)'!$A$5:$A$289,$D738,'Comp2016-2017 (3)'!$R$5:$R$289,$V738)*$AB738))</f>
        <v>0</v>
      </c>
      <c r="AJ738" s="2" t="str">
        <f>IF($W738=AJ$3,$AB738,IF(NOT($W738=0),"",SUMIFS('Val-Vol (2)'!AJ$4:AJ$1116,'Val-Vol (2)'!$A$4:$A$1116,$D738,'Val-Vol (2)'!$V$4:$V$1116,$V738)/SUMIFS('Comp2016-2017 (3)'!$G$5:$G$289,'Comp2016-2017 (3)'!$A$5:$A$289,$D738,'Comp2016-2017 (3)'!$R$5:$R$289,$V738)*$AB738))</f>
        <v/>
      </c>
      <c r="AK738" s="2">
        <f t="shared" si="83"/>
        <v>0</v>
      </c>
      <c r="AL738" t="str">
        <f t="shared" si="81"/>
        <v/>
      </c>
      <c r="AM738" t="str">
        <f>VLOOKUP(A738,'Table corresp.'!$M$4:$U$63,8,FALSE)</f>
        <v>Importation</v>
      </c>
      <c r="AN738" t="str">
        <f>VLOOKUP(D738,'Table corresp.'!$M$4:$U$63,9,FALSE)</f>
        <v>Production finale</v>
      </c>
    </row>
    <row r="739" spans="1:40" x14ac:dyDescent="0.25">
      <c r="A739" t="s">
        <v>52</v>
      </c>
      <c r="B739" t="str">
        <f>VLOOKUP(LEFT(A739,3),'Table corresp.'!$A$4:$D$63,3,FALSE)</f>
        <v>Importation</v>
      </c>
      <c r="C739" t="str">
        <f>VLOOKUP(A739,'Table corresp.'!$M$4:$P$63,4,FALSE)</f>
        <v>Importation</v>
      </c>
      <c r="D739" t="s">
        <v>94</v>
      </c>
      <c r="E739" t="str">
        <f>VLOOKUP(LEFT(D739,3),'Table corresp.'!$A$4:$D$63,4,FALSE)</f>
        <v>Transformation</v>
      </c>
      <c r="F739" t="str">
        <f t="shared" si="80"/>
        <v xml:space="preserve">Imp - 42 </v>
      </c>
      <c r="G739" s="3">
        <v>0</v>
      </c>
      <c r="H739" s="3">
        <v>261796.016</v>
      </c>
      <c r="I739" s="3">
        <v>261796.016</v>
      </c>
      <c r="J739" s="3">
        <v>0</v>
      </c>
      <c r="K739" s="3">
        <v>31.388043694678764</v>
      </c>
      <c r="L739" s="3">
        <v>31.388043694678764</v>
      </c>
      <c r="M739" s="3">
        <v>0</v>
      </c>
      <c r="N739" s="3">
        <v>0</v>
      </c>
      <c r="O739" s="3">
        <v>0</v>
      </c>
      <c r="P739" s="3">
        <v>0</v>
      </c>
      <c r="Q739" s="3">
        <v>0</v>
      </c>
      <c r="R739" s="3">
        <v>0</v>
      </c>
      <c r="S739" s="67"/>
      <c r="T739">
        <f>VLOOKUP(A739,'Groupe de branches'!$Z$27:$AM$86,14,FALSE)</f>
        <v>0</v>
      </c>
      <c r="U739">
        <f>VLOOKUP(D739,'Groupe de branches'!$Z$27:$AM$86,14,FALSE)</f>
        <v>0</v>
      </c>
      <c r="V739">
        <v>2017</v>
      </c>
      <c r="W739" t="str">
        <f>VLOOKUP(D739,'Table corresp.'!$M$4:$S$63,7,FALSE)</f>
        <v>Produits de consommation courante</v>
      </c>
      <c r="X739" s="167">
        <f>IFERROR(G739/SUMIFS('Comp2016-2017 (3)'!$I$5:$I$289,'Comp2016-2017 (3)'!$A$5:$A$289,A739,'Comp2016-2017 (3)'!$R$5:$R$289,V739),0)</f>
        <v>0</v>
      </c>
      <c r="Y739" s="190">
        <f>IFERROR(IF(RIGHT(F739,3)="Exp",VLOOKUP(F739,#REF!,2,FALSE),VLOOKUP(F739,#REF!,9,FALSE)),0)</f>
        <v>0</v>
      </c>
      <c r="Z739" s="167">
        <f t="shared" si="84"/>
        <v>0</v>
      </c>
      <c r="AA739" s="189">
        <f t="shared" si="82"/>
        <v>0</v>
      </c>
      <c r="AB739" s="2">
        <f>IFERROR(SUMIFS('Comp2016-2017 (3)'!$G$5:$G$289,'Comp2016-2017 (3)'!$A$5:$A$289,A739,'Comp2016-2017 (3)'!$R$5:$R$289,V739)*AA739/SUMIFS($AA$4:$AA$1116,$A$4:$A$1116,A739,$V$4:$V$1116,V739),0)</f>
        <v>0</v>
      </c>
      <c r="AC739" s="2" t="str">
        <f>IF($W739=AC$3,$AB739,IF(NOT($W739=0),"",SUMIFS('Val-Vol (2)'!AC$4:AC$1116,'Val-Vol (2)'!$A$4:$A$1116,$D739,'Val-Vol (2)'!$V$4:$V$1116,$V739)/SUMIFS('Comp2016-2017 (3)'!$G$5:$G$289,'Comp2016-2017 (3)'!$A$5:$A$289,$D739,'Comp2016-2017 (3)'!$R$5:$R$289,$V739)*$AB739))</f>
        <v/>
      </c>
      <c r="AD739" s="2" t="str">
        <f>IF($W739=AD$3,$AB739,IF(NOT($W739=0),"",SUMIFS('Val-Vol (2)'!AD$4:AD$1116,'Val-Vol (2)'!$A$4:$A$1116,$D739,'Val-Vol (2)'!$V$4:$V$1116,$V739)/SUMIFS('Comp2016-2017 (3)'!$G$5:$G$289,'Comp2016-2017 (3)'!$A$5:$A$289,$D739,'Comp2016-2017 (3)'!$R$5:$R$289,$V739)*$AB739))</f>
        <v/>
      </c>
      <c r="AE739" s="2" t="str">
        <f>IF($W739=AE$3,$AB739,IF(NOT($W739=0),"",SUMIFS('Val-Vol (2)'!AE$4:AE$1116,'Val-Vol (2)'!$A$4:$A$1116,$D739,'Val-Vol (2)'!$V$4:$V$1116,$V739)/SUMIFS('Comp2016-2017 (3)'!$G$5:$G$289,'Comp2016-2017 (3)'!$A$5:$A$289,$D739,'Comp2016-2017 (3)'!$R$5:$R$289,$V739)*$AB739))</f>
        <v/>
      </c>
      <c r="AF739" s="2" t="str">
        <f>IF($W739=AF$3,$AB739,IF(NOT($W739=0),"",SUMIFS('Val-Vol (2)'!AF$4:AF$1116,'Val-Vol (2)'!$A$4:$A$1116,$D739,'Val-Vol (2)'!$V$4:$V$1116,$V739)/SUMIFS('Comp2016-2017 (3)'!$G$5:$G$289,'Comp2016-2017 (3)'!$A$5:$A$289,$D739,'Comp2016-2017 (3)'!$R$5:$R$289,$V739)*$AB739))</f>
        <v/>
      </c>
      <c r="AG739" s="2" t="str">
        <f>IF($W739=AG$3,$AB739,IF(NOT($W739=0),"",SUMIFS('Val-Vol (2)'!AG$4:AG$1116,'Val-Vol (2)'!$A$4:$A$1116,$D739,'Val-Vol (2)'!$V$4:$V$1116,$V739)/SUMIFS('Comp2016-2017 (3)'!$G$5:$G$289,'Comp2016-2017 (3)'!$A$5:$A$289,$D739,'Comp2016-2017 (3)'!$R$5:$R$289,$V739)*$AB739))</f>
        <v/>
      </c>
      <c r="AH739" s="2" t="str">
        <f>IF($W739=AH$3,$AB739,IF(NOT($W739=0),"",SUMIFS('Val-Vol (2)'!AH$4:AH$1116,'Val-Vol (2)'!$A$4:$A$1116,$D739,'Val-Vol (2)'!$V$4:$V$1116,$V739)/SUMIFS('Comp2016-2017 (3)'!$G$5:$G$289,'Comp2016-2017 (3)'!$A$5:$A$289,$D739,'Comp2016-2017 (3)'!$R$5:$R$289,$V739)*$AB739))</f>
        <v/>
      </c>
      <c r="AI739" s="2">
        <f>IF($W739=AI$3,$AB739,IF(NOT($W739=0),"",SUMIFS('Val-Vol (2)'!AI$4:AI$1116,'Val-Vol (2)'!$A$4:$A$1116,$D739,'Val-Vol (2)'!$V$4:$V$1116,$V739)/SUMIFS('Comp2016-2017 (3)'!$G$5:$G$289,'Comp2016-2017 (3)'!$A$5:$A$289,$D739,'Comp2016-2017 (3)'!$R$5:$R$289,$V739)*$AB739))</f>
        <v>0</v>
      </c>
      <c r="AJ739" s="2" t="str">
        <f>IF($W739=AJ$3,$AB739,IF(NOT($W739=0),"",SUMIFS('Val-Vol (2)'!AJ$4:AJ$1116,'Val-Vol (2)'!$A$4:$A$1116,$D739,'Val-Vol (2)'!$V$4:$V$1116,$V739)/SUMIFS('Comp2016-2017 (3)'!$G$5:$G$289,'Comp2016-2017 (3)'!$A$5:$A$289,$D739,'Comp2016-2017 (3)'!$R$5:$R$289,$V739)*$AB739))</f>
        <v/>
      </c>
      <c r="AK739" s="2">
        <f t="shared" si="83"/>
        <v>0</v>
      </c>
      <c r="AL739" t="str">
        <f t="shared" si="81"/>
        <v/>
      </c>
      <c r="AM739" t="str">
        <f>VLOOKUP(A739,'Table corresp.'!$M$4:$U$63,8,FALSE)</f>
        <v>Importation</v>
      </c>
      <c r="AN739" t="str">
        <f>VLOOKUP(D739,'Table corresp.'!$M$4:$U$63,9,FALSE)</f>
        <v>Production finale</v>
      </c>
    </row>
    <row r="740" spans="1:40" x14ac:dyDescent="0.25">
      <c r="A740" t="s">
        <v>52</v>
      </c>
      <c r="B740" t="str">
        <f>VLOOKUP(LEFT(A740,3),'Table corresp.'!$A$4:$D$63,3,FALSE)</f>
        <v>Importation</v>
      </c>
      <c r="C740" t="str">
        <f>VLOOKUP(A740,'Table corresp.'!$M$4:$P$63,4,FALSE)</f>
        <v>Importation</v>
      </c>
      <c r="D740" t="s">
        <v>95</v>
      </c>
      <c r="E740" t="str">
        <f>VLOOKUP(LEFT(D740,3),'Table corresp.'!$A$4:$D$63,4,FALSE)</f>
        <v>Transformation</v>
      </c>
      <c r="F740" t="str">
        <f t="shared" si="80"/>
        <v xml:space="preserve">Imp - 43 </v>
      </c>
      <c r="G740" s="3">
        <v>0</v>
      </c>
      <c r="H740" s="3">
        <v>1115046.423</v>
      </c>
      <c r="I740" s="3">
        <v>1115046.423</v>
      </c>
      <c r="J740" s="3">
        <v>0</v>
      </c>
      <c r="K740" s="3">
        <v>0</v>
      </c>
      <c r="L740" s="3">
        <v>0</v>
      </c>
      <c r="M740" s="3">
        <v>0</v>
      </c>
      <c r="N740" s="3">
        <v>5930.7883466589956</v>
      </c>
      <c r="O740" s="3">
        <v>5930.7883466589956</v>
      </c>
      <c r="P740" s="3">
        <v>0</v>
      </c>
      <c r="Q740" s="3">
        <v>0</v>
      </c>
      <c r="R740" s="3">
        <v>0</v>
      </c>
      <c r="S740" s="67"/>
      <c r="T740">
        <f>VLOOKUP(A740,'Groupe de branches'!$Z$27:$AM$86,14,FALSE)</f>
        <v>0</v>
      </c>
      <c r="U740">
        <f>VLOOKUP(D740,'Groupe de branches'!$Z$27:$AM$86,14,FALSE)</f>
        <v>0</v>
      </c>
      <c r="V740">
        <v>2017</v>
      </c>
      <c r="W740" t="str">
        <f>VLOOKUP(D740,'Table corresp.'!$M$4:$S$63,7,FALSE)</f>
        <v>Pate &amp; papier &amp; carton</v>
      </c>
      <c r="X740" s="167">
        <f>IFERROR(G740/SUMIFS('Comp2016-2017 (3)'!$I$5:$I$289,'Comp2016-2017 (3)'!$A$5:$A$289,A740,'Comp2016-2017 (3)'!$R$5:$R$289,V740),0)</f>
        <v>0</v>
      </c>
      <c r="Y740" s="190">
        <f>IFERROR(IF(RIGHT(F740,3)="Exp",VLOOKUP(F740,#REF!,2,FALSE),VLOOKUP(F740,#REF!,9,FALSE)),0)</f>
        <v>0</v>
      </c>
      <c r="Z740" s="167">
        <f t="shared" si="84"/>
        <v>0</v>
      </c>
      <c r="AA740" s="189">
        <f t="shared" si="82"/>
        <v>0</v>
      </c>
      <c r="AB740" s="2">
        <f>IFERROR(SUMIFS('Comp2016-2017 (3)'!$G$5:$G$289,'Comp2016-2017 (3)'!$A$5:$A$289,A740,'Comp2016-2017 (3)'!$R$5:$R$289,V740)*AA740/SUMIFS($AA$4:$AA$1116,$A$4:$A$1116,A740,$V$4:$V$1116,V740),0)</f>
        <v>0</v>
      </c>
      <c r="AC740" s="2" t="str">
        <f>IF($W740=AC$3,$AB740,IF(NOT($W740=0),"",SUMIFS('Val-Vol (2)'!AC$4:AC$1116,'Val-Vol (2)'!$A$4:$A$1116,$D740,'Val-Vol (2)'!$V$4:$V$1116,$V740)/SUMIFS('Comp2016-2017 (3)'!$G$5:$G$289,'Comp2016-2017 (3)'!$A$5:$A$289,$D740,'Comp2016-2017 (3)'!$R$5:$R$289,$V740)*$AB740))</f>
        <v/>
      </c>
      <c r="AD740" s="2" t="str">
        <f>IF($W740=AD$3,$AB740,IF(NOT($W740=0),"",SUMIFS('Val-Vol (2)'!AD$4:AD$1116,'Val-Vol (2)'!$A$4:$A$1116,$D740,'Val-Vol (2)'!$V$4:$V$1116,$V740)/SUMIFS('Comp2016-2017 (3)'!$G$5:$G$289,'Comp2016-2017 (3)'!$A$5:$A$289,$D740,'Comp2016-2017 (3)'!$R$5:$R$289,$V740)*$AB740))</f>
        <v/>
      </c>
      <c r="AE740" s="2" t="str">
        <f>IF($W740=AE$3,$AB740,IF(NOT($W740=0),"",SUMIFS('Val-Vol (2)'!AE$4:AE$1116,'Val-Vol (2)'!$A$4:$A$1116,$D740,'Val-Vol (2)'!$V$4:$V$1116,$V740)/SUMIFS('Comp2016-2017 (3)'!$G$5:$G$289,'Comp2016-2017 (3)'!$A$5:$A$289,$D740,'Comp2016-2017 (3)'!$R$5:$R$289,$V740)*$AB740))</f>
        <v/>
      </c>
      <c r="AF740" s="2">
        <f>IF($W740=AF$3,$AB740,IF(NOT($W740=0),"",SUMIFS('Val-Vol (2)'!AF$4:AF$1116,'Val-Vol (2)'!$A$4:$A$1116,$D740,'Val-Vol (2)'!$V$4:$V$1116,$V740)/SUMIFS('Comp2016-2017 (3)'!$G$5:$G$289,'Comp2016-2017 (3)'!$A$5:$A$289,$D740,'Comp2016-2017 (3)'!$R$5:$R$289,$V740)*$AB740))</f>
        <v>0</v>
      </c>
      <c r="AG740" s="2" t="str">
        <f>IF($W740=AG$3,$AB740,IF(NOT($W740=0),"",SUMIFS('Val-Vol (2)'!AG$4:AG$1116,'Val-Vol (2)'!$A$4:$A$1116,$D740,'Val-Vol (2)'!$V$4:$V$1116,$V740)/SUMIFS('Comp2016-2017 (3)'!$G$5:$G$289,'Comp2016-2017 (3)'!$A$5:$A$289,$D740,'Comp2016-2017 (3)'!$R$5:$R$289,$V740)*$AB740))</f>
        <v/>
      </c>
      <c r="AH740" s="2" t="str">
        <f>IF($W740=AH$3,$AB740,IF(NOT($W740=0),"",SUMIFS('Val-Vol (2)'!AH$4:AH$1116,'Val-Vol (2)'!$A$4:$A$1116,$D740,'Val-Vol (2)'!$V$4:$V$1116,$V740)/SUMIFS('Comp2016-2017 (3)'!$G$5:$G$289,'Comp2016-2017 (3)'!$A$5:$A$289,$D740,'Comp2016-2017 (3)'!$R$5:$R$289,$V740)*$AB740))</f>
        <v/>
      </c>
      <c r="AI740" s="2" t="str">
        <f>IF($W740=AI$3,$AB740,IF(NOT($W740=0),"",SUMIFS('Val-Vol (2)'!AI$4:AI$1116,'Val-Vol (2)'!$A$4:$A$1116,$D740,'Val-Vol (2)'!$V$4:$V$1116,$V740)/SUMIFS('Comp2016-2017 (3)'!$G$5:$G$289,'Comp2016-2017 (3)'!$A$5:$A$289,$D740,'Comp2016-2017 (3)'!$R$5:$R$289,$V740)*$AB740))</f>
        <v/>
      </c>
      <c r="AJ740" s="2" t="str">
        <f>IF($W740=AJ$3,$AB740,IF(NOT($W740=0),"",SUMIFS('Val-Vol (2)'!AJ$4:AJ$1116,'Val-Vol (2)'!$A$4:$A$1116,$D740,'Val-Vol (2)'!$V$4:$V$1116,$V740)/SUMIFS('Comp2016-2017 (3)'!$G$5:$G$289,'Comp2016-2017 (3)'!$A$5:$A$289,$D740,'Comp2016-2017 (3)'!$R$5:$R$289,$V740)*$AB740))</f>
        <v/>
      </c>
      <c r="AK740" s="2">
        <f t="shared" si="83"/>
        <v>0</v>
      </c>
      <c r="AL740" t="str">
        <f t="shared" si="81"/>
        <v/>
      </c>
      <c r="AM740" t="str">
        <f>VLOOKUP(A740,'Table corresp.'!$M$4:$U$63,8,FALSE)</f>
        <v>Importation</v>
      </c>
      <c r="AN740" t="str">
        <f>VLOOKUP(D740,'Table corresp.'!$M$4:$U$63,9,FALSE)</f>
        <v>Production intermédiaire</v>
      </c>
    </row>
    <row r="741" spans="1:40" x14ac:dyDescent="0.25">
      <c r="A741" t="s">
        <v>52</v>
      </c>
      <c r="B741" t="str">
        <f>VLOOKUP(LEFT(A741,3),'Table corresp.'!$A$4:$D$63,3,FALSE)</f>
        <v>Importation</v>
      </c>
      <c r="C741" t="str">
        <f>VLOOKUP(A741,'Table corresp.'!$M$4:$P$63,4,FALSE)</f>
        <v>Importation</v>
      </c>
      <c r="D741" t="s">
        <v>96</v>
      </c>
      <c r="E741" t="str">
        <f>VLOOKUP(LEFT(D741,3),'Table corresp.'!$A$4:$D$63,4,FALSE)</f>
        <v>Transformation</v>
      </c>
      <c r="F741" t="str">
        <f t="shared" si="80"/>
        <v xml:space="preserve">Imp - 44 </v>
      </c>
      <c r="G741" s="3">
        <v>0</v>
      </c>
      <c r="H741" s="3">
        <v>4088792.9499999988</v>
      </c>
      <c r="I741" s="3">
        <v>4088792.9499999988</v>
      </c>
      <c r="J741" s="3">
        <v>0</v>
      </c>
      <c r="K741" s="3">
        <v>0</v>
      </c>
      <c r="L741" s="3">
        <v>0</v>
      </c>
      <c r="M741" s="3">
        <v>0</v>
      </c>
      <c r="N741" s="3">
        <v>5369.0520921513516</v>
      </c>
      <c r="O741" s="3">
        <v>5369.0520921513516</v>
      </c>
      <c r="P741" s="3">
        <v>0</v>
      </c>
      <c r="Q741" s="3">
        <v>0</v>
      </c>
      <c r="R741" s="3">
        <v>0</v>
      </c>
      <c r="S741" s="67"/>
      <c r="T741">
        <f>VLOOKUP(A741,'Groupe de branches'!$Z$27:$AM$86,14,FALSE)</f>
        <v>0</v>
      </c>
      <c r="U741">
        <f>VLOOKUP(D741,'Groupe de branches'!$Z$27:$AM$86,14,FALSE)</f>
        <v>0</v>
      </c>
      <c r="V741">
        <v>2017</v>
      </c>
      <c r="W741" t="str">
        <f>VLOOKUP(D741,'Table corresp.'!$M$4:$S$63,7,FALSE)</f>
        <v>Pate &amp; papier &amp; carton</v>
      </c>
      <c r="X741" s="167">
        <f>IFERROR(G741/SUMIFS('Comp2016-2017 (3)'!$I$5:$I$289,'Comp2016-2017 (3)'!$A$5:$A$289,A741,'Comp2016-2017 (3)'!$R$5:$R$289,V741),0)</f>
        <v>0</v>
      </c>
      <c r="Y741" s="190">
        <f>IFERROR(IF(RIGHT(F741,3)="Exp",VLOOKUP(F741,#REF!,2,FALSE),VLOOKUP(F741,#REF!,9,FALSE)),0)</f>
        <v>0</v>
      </c>
      <c r="Z741" s="167">
        <f t="shared" si="84"/>
        <v>0</v>
      </c>
      <c r="AA741" s="189">
        <f t="shared" si="82"/>
        <v>0</v>
      </c>
      <c r="AB741" s="2">
        <f>IFERROR(SUMIFS('Comp2016-2017 (3)'!$G$5:$G$289,'Comp2016-2017 (3)'!$A$5:$A$289,A741,'Comp2016-2017 (3)'!$R$5:$R$289,V741)*AA741/SUMIFS($AA$4:$AA$1116,$A$4:$A$1116,A741,$V$4:$V$1116,V741),0)</f>
        <v>0</v>
      </c>
      <c r="AC741" s="2" t="str">
        <f>IF($W741=AC$3,$AB741,IF(NOT($W741=0),"",SUMIFS('Val-Vol (2)'!AC$4:AC$1116,'Val-Vol (2)'!$A$4:$A$1116,$D741,'Val-Vol (2)'!$V$4:$V$1116,$V741)/SUMIFS('Comp2016-2017 (3)'!$G$5:$G$289,'Comp2016-2017 (3)'!$A$5:$A$289,$D741,'Comp2016-2017 (3)'!$R$5:$R$289,$V741)*$AB741))</f>
        <v/>
      </c>
      <c r="AD741" s="2" t="str">
        <f>IF($W741=AD$3,$AB741,IF(NOT($W741=0),"",SUMIFS('Val-Vol (2)'!AD$4:AD$1116,'Val-Vol (2)'!$A$4:$A$1116,$D741,'Val-Vol (2)'!$V$4:$V$1116,$V741)/SUMIFS('Comp2016-2017 (3)'!$G$5:$G$289,'Comp2016-2017 (3)'!$A$5:$A$289,$D741,'Comp2016-2017 (3)'!$R$5:$R$289,$V741)*$AB741))</f>
        <v/>
      </c>
      <c r="AE741" s="2" t="str">
        <f>IF($W741=AE$3,$AB741,IF(NOT($W741=0),"",SUMIFS('Val-Vol (2)'!AE$4:AE$1116,'Val-Vol (2)'!$A$4:$A$1116,$D741,'Val-Vol (2)'!$V$4:$V$1116,$V741)/SUMIFS('Comp2016-2017 (3)'!$G$5:$G$289,'Comp2016-2017 (3)'!$A$5:$A$289,$D741,'Comp2016-2017 (3)'!$R$5:$R$289,$V741)*$AB741))</f>
        <v/>
      </c>
      <c r="AF741" s="2">
        <f>IF($W741=AF$3,$AB741,IF(NOT($W741=0),"",SUMIFS('Val-Vol (2)'!AF$4:AF$1116,'Val-Vol (2)'!$A$4:$A$1116,$D741,'Val-Vol (2)'!$V$4:$V$1116,$V741)/SUMIFS('Comp2016-2017 (3)'!$G$5:$G$289,'Comp2016-2017 (3)'!$A$5:$A$289,$D741,'Comp2016-2017 (3)'!$R$5:$R$289,$V741)*$AB741))</f>
        <v>0</v>
      </c>
      <c r="AG741" s="2" t="str">
        <f>IF($W741=AG$3,$AB741,IF(NOT($W741=0),"",SUMIFS('Val-Vol (2)'!AG$4:AG$1116,'Val-Vol (2)'!$A$4:$A$1116,$D741,'Val-Vol (2)'!$V$4:$V$1116,$V741)/SUMIFS('Comp2016-2017 (3)'!$G$5:$G$289,'Comp2016-2017 (3)'!$A$5:$A$289,$D741,'Comp2016-2017 (3)'!$R$5:$R$289,$V741)*$AB741))</f>
        <v/>
      </c>
      <c r="AH741" s="2" t="str">
        <f>IF($W741=AH$3,$AB741,IF(NOT($W741=0),"",SUMIFS('Val-Vol (2)'!AH$4:AH$1116,'Val-Vol (2)'!$A$4:$A$1116,$D741,'Val-Vol (2)'!$V$4:$V$1116,$V741)/SUMIFS('Comp2016-2017 (3)'!$G$5:$G$289,'Comp2016-2017 (3)'!$A$5:$A$289,$D741,'Comp2016-2017 (3)'!$R$5:$R$289,$V741)*$AB741))</f>
        <v/>
      </c>
      <c r="AI741" s="2" t="str">
        <f>IF($W741=AI$3,$AB741,IF(NOT($W741=0),"",SUMIFS('Val-Vol (2)'!AI$4:AI$1116,'Val-Vol (2)'!$A$4:$A$1116,$D741,'Val-Vol (2)'!$V$4:$V$1116,$V741)/SUMIFS('Comp2016-2017 (3)'!$G$5:$G$289,'Comp2016-2017 (3)'!$A$5:$A$289,$D741,'Comp2016-2017 (3)'!$R$5:$R$289,$V741)*$AB741))</f>
        <v/>
      </c>
      <c r="AJ741" s="2" t="str">
        <f>IF($W741=AJ$3,$AB741,IF(NOT($W741=0),"",SUMIFS('Val-Vol (2)'!AJ$4:AJ$1116,'Val-Vol (2)'!$A$4:$A$1116,$D741,'Val-Vol (2)'!$V$4:$V$1116,$V741)/SUMIFS('Comp2016-2017 (3)'!$G$5:$G$289,'Comp2016-2017 (3)'!$A$5:$A$289,$D741,'Comp2016-2017 (3)'!$R$5:$R$289,$V741)*$AB741))</f>
        <v/>
      </c>
      <c r="AK741" s="2">
        <f t="shared" si="83"/>
        <v>0</v>
      </c>
      <c r="AL741" t="str">
        <f t="shared" si="81"/>
        <v/>
      </c>
      <c r="AM741" t="str">
        <f>VLOOKUP(A741,'Table corresp.'!$M$4:$U$63,8,FALSE)</f>
        <v>Importation</v>
      </c>
      <c r="AN741" t="str">
        <f>VLOOKUP(D741,'Table corresp.'!$M$4:$U$63,9,FALSE)</f>
        <v>Production intermédiaire</v>
      </c>
    </row>
    <row r="742" spans="1:40" x14ac:dyDescent="0.25">
      <c r="A742" t="s">
        <v>52</v>
      </c>
      <c r="B742" t="str">
        <f>VLOOKUP(LEFT(A742,3),'Table corresp.'!$A$4:$D$63,3,FALSE)</f>
        <v>Importation</v>
      </c>
      <c r="C742" t="str">
        <f>VLOOKUP(A742,'Table corresp.'!$M$4:$P$63,4,FALSE)</f>
        <v>Importation</v>
      </c>
      <c r="D742" t="s">
        <v>97</v>
      </c>
      <c r="E742" t="str">
        <f>VLOOKUP(LEFT(D742,3),'Table corresp.'!$A$4:$D$63,4,FALSE)</f>
        <v>Transformation</v>
      </c>
      <c r="F742" t="str">
        <f t="shared" si="80"/>
        <v xml:space="preserve">Imp - 45 </v>
      </c>
      <c r="G742" s="3">
        <v>0</v>
      </c>
      <c r="H742" s="3">
        <v>3661318.740999999</v>
      </c>
      <c r="I742" s="3">
        <v>3661318.740999999</v>
      </c>
      <c r="J742" s="3">
        <v>0</v>
      </c>
      <c r="K742" s="3">
        <v>0</v>
      </c>
      <c r="L742" s="3">
        <v>0</v>
      </c>
      <c r="M742" s="3">
        <v>0</v>
      </c>
      <c r="N742" s="3">
        <v>1206.8195509925349</v>
      </c>
      <c r="O742" s="3">
        <v>1206.8195509925349</v>
      </c>
      <c r="P742" s="3">
        <v>0</v>
      </c>
      <c r="Q742" s="3">
        <v>0</v>
      </c>
      <c r="R742" s="3">
        <v>0</v>
      </c>
      <c r="S742" s="67"/>
      <c r="T742">
        <f>VLOOKUP(A742,'Groupe de branches'!$Z$27:$AM$86,14,FALSE)</f>
        <v>0</v>
      </c>
      <c r="U742">
        <f>VLOOKUP(D742,'Groupe de branches'!$Z$27:$AM$86,14,FALSE)</f>
        <v>0</v>
      </c>
      <c r="V742">
        <v>2017</v>
      </c>
      <c r="W742" t="str">
        <f>VLOOKUP(D742,'Table corresp.'!$M$4:$S$63,7,FALSE)</f>
        <v>Pate &amp; papier &amp; carton</v>
      </c>
      <c r="X742" s="167">
        <f>IFERROR(G742/SUMIFS('Comp2016-2017 (3)'!$I$5:$I$289,'Comp2016-2017 (3)'!$A$5:$A$289,A742,'Comp2016-2017 (3)'!$R$5:$R$289,V742),0)</f>
        <v>0</v>
      </c>
      <c r="Y742" s="190">
        <f>IFERROR(IF(RIGHT(F742,3)="Exp",VLOOKUP(F742,#REF!,2,FALSE),VLOOKUP(F742,#REF!,9,FALSE)),0)</f>
        <v>0</v>
      </c>
      <c r="Z742" s="167">
        <f t="shared" si="84"/>
        <v>0</v>
      </c>
      <c r="AA742" s="189">
        <f t="shared" si="82"/>
        <v>0</v>
      </c>
      <c r="AB742" s="2">
        <f>IFERROR(SUMIFS('Comp2016-2017 (3)'!$G$5:$G$289,'Comp2016-2017 (3)'!$A$5:$A$289,A742,'Comp2016-2017 (3)'!$R$5:$R$289,V742)*AA742/SUMIFS($AA$4:$AA$1116,$A$4:$A$1116,A742,$V$4:$V$1116,V742),0)</f>
        <v>0</v>
      </c>
      <c r="AC742" s="2" t="str">
        <f>IF($W742=AC$3,$AB742,IF(NOT($W742=0),"",SUMIFS('Val-Vol (2)'!AC$4:AC$1116,'Val-Vol (2)'!$A$4:$A$1116,$D742,'Val-Vol (2)'!$V$4:$V$1116,$V742)/SUMIFS('Comp2016-2017 (3)'!$G$5:$G$289,'Comp2016-2017 (3)'!$A$5:$A$289,$D742,'Comp2016-2017 (3)'!$R$5:$R$289,$V742)*$AB742))</f>
        <v/>
      </c>
      <c r="AD742" s="2" t="str">
        <f>IF($W742=AD$3,$AB742,IF(NOT($W742=0),"",SUMIFS('Val-Vol (2)'!AD$4:AD$1116,'Val-Vol (2)'!$A$4:$A$1116,$D742,'Val-Vol (2)'!$V$4:$V$1116,$V742)/SUMIFS('Comp2016-2017 (3)'!$G$5:$G$289,'Comp2016-2017 (3)'!$A$5:$A$289,$D742,'Comp2016-2017 (3)'!$R$5:$R$289,$V742)*$AB742))</f>
        <v/>
      </c>
      <c r="AE742" s="2" t="str">
        <f>IF($W742=AE$3,$AB742,IF(NOT($W742=0),"",SUMIFS('Val-Vol (2)'!AE$4:AE$1116,'Val-Vol (2)'!$A$4:$A$1116,$D742,'Val-Vol (2)'!$V$4:$V$1116,$V742)/SUMIFS('Comp2016-2017 (3)'!$G$5:$G$289,'Comp2016-2017 (3)'!$A$5:$A$289,$D742,'Comp2016-2017 (3)'!$R$5:$R$289,$V742)*$AB742))</f>
        <v/>
      </c>
      <c r="AF742" s="2">
        <f>IF($W742=AF$3,$AB742,IF(NOT($W742=0),"",SUMIFS('Val-Vol (2)'!AF$4:AF$1116,'Val-Vol (2)'!$A$4:$A$1116,$D742,'Val-Vol (2)'!$V$4:$V$1116,$V742)/SUMIFS('Comp2016-2017 (3)'!$G$5:$G$289,'Comp2016-2017 (3)'!$A$5:$A$289,$D742,'Comp2016-2017 (3)'!$R$5:$R$289,$V742)*$AB742))</f>
        <v>0</v>
      </c>
      <c r="AG742" s="2" t="str">
        <f>IF($W742=AG$3,$AB742,IF(NOT($W742=0),"",SUMIFS('Val-Vol (2)'!AG$4:AG$1116,'Val-Vol (2)'!$A$4:$A$1116,$D742,'Val-Vol (2)'!$V$4:$V$1116,$V742)/SUMIFS('Comp2016-2017 (3)'!$G$5:$G$289,'Comp2016-2017 (3)'!$A$5:$A$289,$D742,'Comp2016-2017 (3)'!$R$5:$R$289,$V742)*$AB742))</f>
        <v/>
      </c>
      <c r="AH742" s="2" t="str">
        <f>IF($W742=AH$3,$AB742,IF(NOT($W742=0),"",SUMIFS('Val-Vol (2)'!AH$4:AH$1116,'Val-Vol (2)'!$A$4:$A$1116,$D742,'Val-Vol (2)'!$V$4:$V$1116,$V742)/SUMIFS('Comp2016-2017 (3)'!$G$5:$G$289,'Comp2016-2017 (3)'!$A$5:$A$289,$D742,'Comp2016-2017 (3)'!$R$5:$R$289,$V742)*$AB742))</f>
        <v/>
      </c>
      <c r="AI742" s="2" t="str">
        <f>IF($W742=AI$3,$AB742,IF(NOT($W742=0),"",SUMIFS('Val-Vol (2)'!AI$4:AI$1116,'Val-Vol (2)'!$A$4:$A$1116,$D742,'Val-Vol (2)'!$V$4:$V$1116,$V742)/SUMIFS('Comp2016-2017 (3)'!$G$5:$G$289,'Comp2016-2017 (3)'!$A$5:$A$289,$D742,'Comp2016-2017 (3)'!$R$5:$R$289,$V742)*$AB742))</f>
        <v/>
      </c>
      <c r="AJ742" s="2" t="str">
        <f>IF($W742=AJ$3,$AB742,IF(NOT($W742=0),"",SUMIFS('Val-Vol (2)'!AJ$4:AJ$1116,'Val-Vol (2)'!$A$4:$A$1116,$D742,'Val-Vol (2)'!$V$4:$V$1116,$V742)/SUMIFS('Comp2016-2017 (3)'!$G$5:$G$289,'Comp2016-2017 (3)'!$A$5:$A$289,$D742,'Comp2016-2017 (3)'!$R$5:$R$289,$V742)*$AB742))</f>
        <v/>
      </c>
      <c r="AK742" s="2">
        <f t="shared" si="83"/>
        <v>0</v>
      </c>
      <c r="AL742" t="str">
        <f t="shared" si="81"/>
        <v/>
      </c>
      <c r="AM742" t="str">
        <f>VLOOKUP(A742,'Table corresp.'!$M$4:$U$63,8,FALSE)</f>
        <v>Importation</v>
      </c>
      <c r="AN742" t="str">
        <f>VLOOKUP(D742,'Table corresp.'!$M$4:$U$63,9,FALSE)</f>
        <v>Production finale</v>
      </c>
    </row>
    <row r="743" spans="1:40" x14ac:dyDescent="0.25">
      <c r="A743" t="s">
        <v>52</v>
      </c>
      <c r="B743" t="str">
        <f>VLOOKUP(LEFT(A743,3),'Table corresp.'!$A$4:$D$63,3,FALSE)</f>
        <v>Importation</v>
      </c>
      <c r="C743" t="str">
        <f>VLOOKUP(A743,'Table corresp.'!$M$4:$P$63,4,FALSE)</f>
        <v>Importation</v>
      </c>
      <c r="D743" t="s">
        <v>98</v>
      </c>
      <c r="E743" t="str">
        <f>VLOOKUP(LEFT(D743,3),'Table corresp.'!$A$4:$D$63,4,FALSE)</f>
        <v>Transformation</v>
      </c>
      <c r="F743" t="str">
        <f t="shared" si="80"/>
        <v xml:space="preserve">Imp - 46 </v>
      </c>
      <c r="G743" s="3">
        <v>0</v>
      </c>
      <c r="H743" s="3">
        <v>27833.044982698957</v>
      </c>
      <c r="I743" s="3">
        <v>27833.044982698957</v>
      </c>
      <c r="J743" s="3">
        <v>0</v>
      </c>
      <c r="K743" s="3">
        <v>0</v>
      </c>
      <c r="L743" s="3">
        <v>0</v>
      </c>
      <c r="M743" s="3">
        <v>0</v>
      </c>
      <c r="N743" s="3">
        <v>81.847560723996423</v>
      </c>
      <c r="O743" s="3">
        <v>81.847560723996423</v>
      </c>
      <c r="P743" s="3">
        <v>0</v>
      </c>
      <c r="Q743" s="3">
        <v>0</v>
      </c>
      <c r="R743" s="3">
        <v>0</v>
      </c>
      <c r="S743" s="67"/>
      <c r="T743">
        <f>VLOOKUP(A743,'Groupe de branches'!$Z$27:$AM$86,14,FALSE)</f>
        <v>0</v>
      </c>
      <c r="U743">
        <f>VLOOKUP(D743,'Groupe de branches'!$Z$27:$AM$86,14,FALSE)</f>
        <v>0</v>
      </c>
      <c r="V743">
        <v>2017</v>
      </c>
      <c r="W743" t="str">
        <f>VLOOKUP(D743,'Table corresp.'!$M$4:$S$63,7,FALSE)</f>
        <v>Produits de consommation courante</v>
      </c>
      <c r="X743" s="167">
        <f>IFERROR(G743/SUMIFS('Comp2016-2017 (3)'!$I$5:$I$289,'Comp2016-2017 (3)'!$A$5:$A$289,A743,'Comp2016-2017 (3)'!$R$5:$R$289,V743),0)</f>
        <v>0</v>
      </c>
      <c r="Y743" s="190">
        <f>IFERROR(IF(RIGHT(F743,3)="Exp",VLOOKUP(F743,#REF!,2,FALSE),VLOOKUP(F743,#REF!,9,FALSE)),0)</f>
        <v>0</v>
      </c>
      <c r="Z743" s="167">
        <f t="shared" si="84"/>
        <v>0</v>
      </c>
      <c r="AA743" s="189">
        <f t="shared" si="82"/>
        <v>0</v>
      </c>
      <c r="AB743" s="2">
        <f>IFERROR(SUMIFS('Comp2016-2017 (3)'!$G$5:$G$289,'Comp2016-2017 (3)'!$A$5:$A$289,A743,'Comp2016-2017 (3)'!$R$5:$R$289,V743)*AA743/SUMIFS($AA$4:$AA$1116,$A$4:$A$1116,A743,$V$4:$V$1116,V743),0)</f>
        <v>0</v>
      </c>
      <c r="AC743" s="2" t="str">
        <f>IF($W743=AC$3,$AB743,IF(NOT($W743=0),"",SUMIFS('Val-Vol (2)'!AC$4:AC$1116,'Val-Vol (2)'!$A$4:$A$1116,$D743,'Val-Vol (2)'!$V$4:$V$1116,$V743)/SUMIFS('Comp2016-2017 (3)'!$G$5:$G$289,'Comp2016-2017 (3)'!$A$5:$A$289,$D743,'Comp2016-2017 (3)'!$R$5:$R$289,$V743)*$AB743))</f>
        <v/>
      </c>
      <c r="AD743" s="2" t="str">
        <f>IF($W743=AD$3,$AB743,IF(NOT($W743=0),"",SUMIFS('Val-Vol (2)'!AD$4:AD$1116,'Val-Vol (2)'!$A$4:$A$1116,$D743,'Val-Vol (2)'!$V$4:$V$1116,$V743)/SUMIFS('Comp2016-2017 (3)'!$G$5:$G$289,'Comp2016-2017 (3)'!$A$5:$A$289,$D743,'Comp2016-2017 (3)'!$R$5:$R$289,$V743)*$AB743))</f>
        <v/>
      </c>
      <c r="AE743" s="2" t="str">
        <f>IF($W743=AE$3,$AB743,IF(NOT($W743=0),"",SUMIFS('Val-Vol (2)'!AE$4:AE$1116,'Val-Vol (2)'!$A$4:$A$1116,$D743,'Val-Vol (2)'!$V$4:$V$1116,$V743)/SUMIFS('Comp2016-2017 (3)'!$G$5:$G$289,'Comp2016-2017 (3)'!$A$5:$A$289,$D743,'Comp2016-2017 (3)'!$R$5:$R$289,$V743)*$AB743))</f>
        <v/>
      </c>
      <c r="AF743" s="2" t="str">
        <f>IF($W743=AF$3,$AB743,IF(NOT($W743=0),"",SUMIFS('Val-Vol (2)'!AF$4:AF$1116,'Val-Vol (2)'!$A$4:$A$1116,$D743,'Val-Vol (2)'!$V$4:$V$1116,$V743)/SUMIFS('Comp2016-2017 (3)'!$G$5:$G$289,'Comp2016-2017 (3)'!$A$5:$A$289,$D743,'Comp2016-2017 (3)'!$R$5:$R$289,$V743)*$AB743))</f>
        <v/>
      </c>
      <c r="AG743" s="2" t="str">
        <f>IF($W743=AG$3,$AB743,IF(NOT($W743=0),"",SUMIFS('Val-Vol (2)'!AG$4:AG$1116,'Val-Vol (2)'!$A$4:$A$1116,$D743,'Val-Vol (2)'!$V$4:$V$1116,$V743)/SUMIFS('Comp2016-2017 (3)'!$G$5:$G$289,'Comp2016-2017 (3)'!$A$5:$A$289,$D743,'Comp2016-2017 (3)'!$R$5:$R$289,$V743)*$AB743))</f>
        <v/>
      </c>
      <c r="AH743" s="2" t="str">
        <f>IF($W743=AH$3,$AB743,IF(NOT($W743=0),"",SUMIFS('Val-Vol (2)'!AH$4:AH$1116,'Val-Vol (2)'!$A$4:$A$1116,$D743,'Val-Vol (2)'!$V$4:$V$1116,$V743)/SUMIFS('Comp2016-2017 (3)'!$G$5:$G$289,'Comp2016-2017 (3)'!$A$5:$A$289,$D743,'Comp2016-2017 (3)'!$R$5:$R$289,$V743)*$AB743))</f>
        <v/>
      </c>
      <c r="AI743" s="2">
        <f>IF($W743=AI$3,$AB743,IF(NOT($W743=0),"",SUMIFS('Val-Vol (2)'!AI$4:AI$1116,'Val-Vol (2)'!$A$4:$A$1116,$D743,'Val-Vol (2)'!$V$4:$V$1116,$V743)/SUMIFS('Comp2016-2017 (3)'!$G$5:$G$289,'Comp2016-2017 (3)'!$A$5:$A$289,$D743,'Comp2016-2017 (3)'!$R$5:$R$289,$V743)*$AB743))</f>
        <v>0</v>
      </c>
      <c r="AJ743" s="2" t="str">
        <f>IF($W743=AJ$3,$AB743,IF(NOT($W743=0),"",SUMIFS('Val-Vol (2)'!AJ$4:AJ$1116,'Val-Vol (2)'!$A$4:$A$1116,$D743,'Val-Vol (2)'!$V$4:$V$1116,$V743)/SUMIFS('Comp2016-2017 (3)'!$G$5:$G$289,'Comp2016-2017 (3)'!$A$5:$A$289,$D743,'Comp2016-2017 (3)'!$R$5:$R$289,$V743)*$AB743))</f>
        <v/>
      </c>
      <c r="AK743" s="2">
        <f t="shared" si="83"/>
        <v>0</v>
      </c>
      <c r="AL743" t="str">
        <f t="shared" si="81"/>
        <v/>
      </c>
      <c r="AM743" t="str">
        <f>VLOOKUP(A743,'Table corresp.'!$M$4:$U$63,8,FALSE)</f>
        <v>Importation</v>
      </c>
      <c r="AN743" t="str">
        <f>VLOOKUP(D743,'Table corresp.'!$M$4:$U$63,9,FALSE)</f>
        <v>Production intermédiaire</v>
      </c>
    </row>
    <row r="744" spans="1:40" x14ac:dyDescent="0.25">
      <c r="A744" t="s">
        <v>52</v>
      </c>
      <c r="B744" t="str">
        <f>VLOOKUP(LEFT(A744,3),'Table corresp.'!$A$4:$D$63,3,FALSE)</f>
        <v>Importation</v>
      </c>
      <c r="C744" t="str">
        <f>VLOOKUP(A744,'Table corresp.'!$M$4:$P$63,4,FALSE)</f>
        <v>Importation</v>
      </c>
      <c r="D744" t="s">
        <v>99</v>
      </c>
      <c r="E744" t="str">
        <f>VLOOKUP(LEFT(D744,3),'Table corresp.'!$A$4:$D$63,4,FALSE)</f>
        <v>Transformation</v>
      </c>
      <c r="F744" t="str">
        <f t="shared" si="80"/>
        <v xml:space="preserve">Imp - 47 </v>
      </c>
      <c r="G744" s="3">
        <v>0</v>
      </c>
      <c r="H744" s="3">
        <v>3360007.767</v>
      </c>
      <c r="I744" s="3">
        <v>3360007.767</v>
      </c>
      <c r="J744" s="3">
        <v>0</v>
      </c>
      <c r="K744" s="3">
        <v>673.10272408256833</v>
      </c>
      <c r="L744" s="3">
        <v>673.10272408256833</v>
      </c>
      <c r="M744" s="3">
        <v>0</v>
      </c>
      <c r="N744" s="3">
        <v>1501.5424269648283</v>
      </c>
      <c r="O744" s="3">
        <v>1501.5424269648283</v>
      </c>
      <c r="P744" s="3">
        <v>0</v>
      </c>
      <c r="Q744" s="3">
        <v>394.58689012858071</v>
      </c>
      <c r="R744" s="3">
        <v>394.58689012858071</v>
      </c>
      <c r="S744" s="67" t="s">
        <v>192</v>
      </c>
      <c r="T744">
        <f>VLOOKUP(A744,'Groupe de branches'!$Z$27:$AM$86,14,FALSE)</f>
        <v>0</v>
      </c>
      <c r="U744">
        <f>VLOOKUP(D744,'Groupe de branches'!$Z$27:$AM$86,14,FALSE)</f>
        <v>0</v>
      </c>
      <c r="V744">
        <v>2017</v>
      </c>
      <c r="W744" t="str">
        <f>VLOOKUP(D744,'Table corresp.'!$M$4:$S$63,7,FALSE)</f>
        <v>Meuble</v>
      </c>
      <c r="X744" s="167">
        <f>IFERROR(G744/SUMIFS('Comp2016-2017 (3)'!$I$5:$I$289,'Comp2016-2017 (3)'!$A$5:$A$289,A744,'Comp2016-2017 (3)'!$R$5:$R$289,V744),0)</f>
        <v>0</v>
      </c>
      <c r="Y744" s="190">
        <f>IFERROR(IF(RIGHT(F744,3)="Exp",VLOOKUP(F744,#REF!,2,FALSE),VLOOKUP(F744,#REF!,9,FALSE)),0)</f>
        <v>0</v>
      </c>
      <c r="Z744" s="167">
        <f t="shared" si="84"/>
        <v>0</v>
      </c>
      <c r="AA744" s="189">
        <f t="shared" si="82"/>
        <v>0</v>
      </c>
      <c r="AB744" s="2">
        <f>IFERROR(SUMIFS('Comp2016-2017 (3)'!$G$5:$G$289,'Comp2016-2017 (3)'!$A$5:$A$289,A744,'Comp2016-2017 (3)'!$R$5:$R$289,V744)*AA744/SUMIFS($AA$4:$AA$1116,$A$4:$A$1116,A744,$V$4:$V$1116,V744),0)</f>
        <v>0</v>
      </c>
      <c r="AC744" s="2" t="str">
        <f>IF($W744=AC$3,$AB744,IF(NOT($W744=0),"",SUMIFS('Val-Vol (2)'!AC$4:AC$1116,'Val-Vol (2)'!$A$4:$A$1116,$D744,'Val-Vol (2)'!$V$4:$V$1116,$V744)/SUMIFS('Comp2016-2017 (3)'!$G$5:$G$289,'Comp2016-2017 (3)'!$A$5:$A$289,$D744,'Comp2016-2017 (3)'!$R$5:$R$289,$V744)*$AB744))</f>
        <v/>
      </c>
      <c r="AD744" s="2" t="str">
        <f>IF($W744=AD$3,$AB744,IF(NOT($W744=0),"",SUMIFS('Val-Vol (2)'!AD$4:AD$1116,'Val-Vol (2)'!$A$4:$A$1116,$D744,'Val-Vol (2)'!$V$4:$V$1116,$V744)/SUMIFS('Comp2016-2017 (3)'!$G$5:$G$289,'Comp2016-2017 (3)'!$A$5:$A$289,$D744,'Comp2016-2017 (3)'!$R$5:$R$289,$V744)*$AB744))</f>
        <v/>
      </c>
      <c r="AE744" s="2">
        <f>IF($W744=AE$3,$AB744,IF(NOT($W744=0),"",SUMIFS('Val-Vol (2)'!AE$4:AE$1116,'Val-Vol (2)'!$A$4:$A$1116,$D744,'Val-Vol (2)'!$V$4:$V$1116,$V744)/SUMIFS('Comp2016-2017 (3)'!$G$5:$G$289,'Comp2016-2017 (3)'!$A$5:$A$289,$D744,'Comp2016-2017 (3)'!$R$5:$R$289,$V744)*$AB744))</f>
        <v>0</v>
      </c>
      <c r="AF744" s="2" t="str">
        <f>IF($W744=AF$3,$AB744,IF(NOT($W744=0),"",SUMIFS('Val-Vol (2)'!AF$4:AF$1116,'Val-Vol (2)'!$A$4:$A$1116,$D744,'Val-Vol (2)'!$V$4:$V$1116,$V744)/SUMIFS('Comp2016-2017 (3)'!$G$5:$G$289,'Comp2016-2017 (3)'!$A$5:$A$289,$D744,'Comp2016-2017 (3)'!$R$5:$R$289,$V744)*$AB744))</f>
        <v/>
      </c>
      <c r="AG744" s="2" t="str">
        <f>IF($W744=AG$3,$AB744,IF(NOT($W744=0),"",SUMIFS('Val-Vol (2)'!AG$4:AG$1116,'Val-Vol (2)'!$A$4:$A$1116,$D744,'Val-Vol (2)'!$V$4:$V$1116,$V744)/SUMIFS('Comp2016-2017 (3)'!$G$5:$G$289,'Comp2016-2017 (3)'!$A$5:$A$289,$D744,'Comp2016-2017 (3)'!$R$5:$R$289,$V744)*$AB744))</f>
        <v/>
      </c>
      <c r="AH744" s="2" t="str">
        <f>IF($W744=AH$3,$AB744,IF(NOT($W744=0),"",SUMIFS('Val-Vol (2)'!AH$4:AH$1116,'Val-Vol (2)'!$A$4:$A$1116,$D744,'Val-Vol (2)'!$V$4:$V$1116,$V744)/SUMIFS('Comp2016-2017 (3)'!$G$5:$G$289,'Comp2016-2017 (3)'!$A$5:$A$289,$D744,'Comp2016-2017 (3)'!$R$5:$R$289,$V744)*$AB744))</f>
        <v/>
      </c>
      <c r="AI744" s="2" t="str">
        <f>IF($W744=AI$3,$AB744,IF(NOT($W744=0),"",SUMIFS('Val-Vol (2)'!AI$4:AI$1116,'Val-Vol (2)'!$A$4:$A$1116,$D744,'Val-Vol (2)'!$V$4:$V$1116,$V744)/SUMIFS('Comp2016-2017 (3)'!$G$5:$G$289,'Comp2016-2017 (3)'!$A$5:$A$289,$D744,'Comp2016-2017 (3)'!$R$5:$R$289,$V744)*$AB744))</f>
        <v/>
      </c>
      <c r="AJ744" s="2" t="str">
        <f>IF($W744=AJ$3,$AB744,IF(NOT($W744=0),"",SUMIFS('Val-Vol (2)'!AJ$4:AJ$1116,'Val-Vol (2)'!$A$4:$A$1116,$D744,'Val-Vol (2)'!$V$4:$V$1116,$V744)/SUMIFS('Comp2016-2017 (3)'!$G$5:$G$289,'Comp2016-2017 (3)'!$A$5:$A$289,$D744,'Comp2016-2017 (3)'!$R$5:$R$289,$V744)*$AB744))</f>
        <v/>
      </c>
      <c r="AK744" s="2">
        <f t="shared" si="83"/>
        <v>0</v>
      </c>
      <c r="AL744" t="str">
        <f t="shared" si="81"/>
        <v/>
      </c>
      <c r="AM744" t="str">
        <f>VLOOKUP(A744,'Table corresp.'!$M$4:$U$63,8,FALSE)</f>
        <v>Importation</v>
      </c>
      <c r="AN744" t="str">
        <f>VLOOKUP(D744,'Table corresp.'!$M$4:$U$63,9,FALSE)</f>
        <v>Production finale</v>
      </c>
    </row>
    <row r="745" spans="1:40" x14ac:dyDescent="0.25">
      <c r="A745" t="s">
        <v>52</v>
      </c>
      <c r="B745" t="str">
        <f>VLOOKUP(LEFT(A745,3),'Table corresp.'!$A$4:$D$63,3,FALSE)</f>
        <v>Importation</v>
      </c>
      <c r="C745" t="str">
        <f>VLOOKUP(A745,'Table corresp.'!$M$4:$P$63,4,FALSE)</f>
        <v>Importation</v>
      </c>
      <c r="D745" t="s">
        <v>100</v>
      </c>
      <c r="E745" t="str">
        <f>VLOOKUP(LEFT(D745,3),'Table corresp.'!$A$4:$D$63,4,FALSE)</f>
        <v>Transformation</v>
      </c>
      <c r="F745" t="str">
        <f t="shared" si="80"/>
        <v xml:space="preserve">Imp - 48 </v>
      </c>
      <c r="G745" s="3">
        <v>0</v>
      </c>
      <c r="H745" s="3">
        <v>390797.07399999996</v>
      </c>
      <c r="I745" s="3">
        <v>390797.07399999996</v>
      </c>
      <c r="J745" s="3">
        <v>0</v>
      </c>
      <c r="K745" s="3">
        <v>338.60937283745608</v>
      </c>
      <c r="L745" s="3">
        <v>338.60937283745608</v>
      </c>
      <c r="M745" s="3">
        <v>0</v>
      </c>
      <c r="N745" s="3">
        <v>0</v>
      </c>
      <c r="O745" s="3">
        <v>0</v>
      </c>
      <c r="P745" s="3">
        <v>0</v>
      </c>
      <c r="Q745" s="3">
        <v>0</v>
      </c>
      <c r="R745" s="3">
        <v>0</v>
      </c>
      <c r="S745" s="67"/>
      <c r="T745">
        <f>VLOOKUP(A745,'Groupe de branches'!$Z$27:$AM$86,14,FALSE)</f>
        <v>0</v>
      </c>
      <c r="U745">
        <f>VLOOKUP(D745,'Groupe de branches'!$Z$27:$AM$86,14,FALSE)</f>
        <v>0</v>
      </c>
      <c r="V745">
        <v>2017</v>
      </c>
      <c r="W745" t="str">
        <f>VLOOKUP(D745,'Table corresp.'!$M$4:$S$63,7,FALSE)</f>
        <v>Produits de consommation courante</v>
      </c>
      <c r="X745" s="167">
        <f>IFERROR(G745/SUMIFS('Comp2016-2017 (3)'!$I$5:$I$289,'Comp2016-2017 (3)'!$A$5:$A$289,A745,'Comp2016-2017 (3)'!$R$5:$R$289,V745),0)</f>
        <v>0</v>
      </c>
      <c r="Y745" s="190">
        <f>IFERROR(IF(RIGHT(F745,3)="Exp",VLOOKUP(F745,#REF!,2,FALSE),VLOOKUP(F745,#REF!,9,FALSE)),0)</f>
        <v>0</v>
      </c>
      <c r="Z745" s="167">
        <f t="shared" si="84"/>
        <v>0</v>
      </c>
      <c r="AA745" s="189">
        <f t="shared" si="82"/>
        <v>0</v>
      </c>
      <c r="AB745" s="2">
        <f>IFERROR(SUMIFS('Comp2016-2017 (3)'!$G$5:$G$289,'Comp2016-2017 (3)'!$A$5:$A$289,A745,'Comp2016-2017 (3)'!$R$5:$R$289,V745)*AA745/SUMIFS($AA$4:$AA$1116,$A$4:$A$1116,A745,$V$4:$V$1116,V745),0)</f>
        <v>0</v>
      </c>
      <c r="AC745" s="2" t="str">
        <f>IF($W745=AC$3,$AB745,IF(NOT($W745=0),"",SUMIFS('Val-Vol (2)'!AC$4:AC$1116,'Val-Vol (2)'!$A$4:$A$1116,$D745,'Val-Vol (2)'!$V$4:$V$1116,$V745)/SUMIFS('Comp2016-2017 (3)'!$G$5:$G$289,'Comp2016-2017 (3)'!$A$5:$A$289,$D745,'Comp2016-2017 (3)'!$R$5:$R$289,$V745)*$AB745))</f>
        <v/>
      </c>
      <c r="AD745" s="2" t="str">
        <f>IF($W745=AD$3,$AB745,IF(NOT($W745=0),"",SUMIFS('Val-Vol (2)'!AD$4:AD$1116,'Val-Vol (2)'!$A$4:$A$1116,$D745,'Val-Vol (2)'!$V$4:$V$1116,$V745)/SUMIFS('Comp2016-2017 (3)'!$G$5:$G$289,'Comp2016-2017 (3)'!$A$5:$A$289,$D745,'Comp2016-2017 (3)'!$R$5:$R$289,$V745)*$AB745))</f>
        <v/>
      </c>
      <c r="AE745" s="2" t="str">
        <f>IF($W745=AE$3,$AB745,IF(NOT($W745=0),"",SUMIFS('Val-Vol (2)'!AE$4:AE$1116,'Val-Vol (2)'!$A$4:$A$1116,$D745,'Val-Vol (2)'!$V$4:$V$1116,$V745)/SUMIFS('Comp2016-2017 (3)'!$G$5:$G$289,'Comp2016-2017 (3)'!$A$5:$A$289,$D745,'Comp2016-2017 (3)'!$R$5:$R$289,$V745)*$AB745))</f>
        <v/>
      </c>
      <c r="AF745" s="2" t="str">
        <f>IF($W745=AF$3,$AB745,IF(NOT($W745=0),"",SUMIFS('Val-Vol (2)'!AF$4:AF$1116,'Val-Vol (2)'!$A$4:$A$1116,$D745,'Val-Vol (2)'!$V$4:$V$1116,$V745)/SUMIFS('Comp2016-2017 (3)'!$G$5:$G$289,'Comp2016-2017 (3)'!$A$5:$A$289,$D745,'Comp2016-2017 (3)'!$R$5:$R$289,$V745)*$AB745))</f>
        <v/>
      </c>
      <c r="AG745" s="2" t="str">
        <f>IF($W745=AG$3,$AB745,IF(NOT($W745=0),"",SUMIFS('Val-Vol (2)'!AG$4:AG$1116,'Val-Vol (2)'!$A$4:$A$1116,$D745,'Val-Vol (2)'!$V$4:$V$1116,$V745)/SUMIFS('Comp2016-2017 (3)'!$G$5:$G$289,'Comp2016-2017 (3)'!$A$5:$A$289,$D745,'Comp2016-2017 (3)'!$R$5:$R$289,$V745)*$AB745))</f>
        <v/>
      </c>
      <c r="AH745" s="2" t="str">
        <f>IF($W745=AH$3,$AB745,IF(NOT($W745=0),"",SUMIFS('Val-Vol (2)'!AH$4:AH$1116,'Val-Vol (2)'!$A$4:$A$1116,$D745,'Val-Vol (2)'!$V$4:$V$1116,$V745)/SUMIFS('Comp2016-2017 (3)'!$G$5:$G$289,'Comp2016-2017 (3)'!$A$5:$A$289,$D745,'Comp2016-2017 (3)'!$R$5:$R$289,$V745)*$AB745))</f>
        <v/>
      </c>
      <c r="AI745" s="2">
        <f>IF($W745=AI$3,$AB745,IF(NOT($W745=0),"",SUMIFS('Val-Vol (2)'!AI$4:AI$1116,'Val-Vol (2)'!$A$4:$A$1116,$D745,'Val-Vol (2)'!$V$4:$V$1116,$V745)/SUMIFS('Comp2016-2017 (3)'!$G$5:$G$289,'Comp2016-2017 (3)'!$A$5:$A$289,$D745,'Comp2016-2017 (3)'!$R$5:$R$289,$V745)*$AB745))</f>
        <v>0</v>
      </c>
      <c r="AJ745" s="2" t="str">
        <f>IF($W745=AJ$3,$AB745,IF(NOT($W745=0),"",SUMIFS('Val-Vol (2)'!AJ$4:AJ$1116,'Val-Vol (2)'!$A$4:$A$1116,$D745,'Val-Vol (2)'!$V$4:$V$1116,$V745)/SUMIFS('Comp2016-2017 (3)'!$G$5:$G$289,'Comp2016-2017 (3)'!$A$5:$A$289,$D745,'Comp2016-2017 (3)'!$R$5:$R$289,$V745)*$AB745))</f>
        <v/>
      </c>
      <c r="AK745" s="2">
        <f t="shared" si="83"/>
        <v>0</v>
      </c>
      <c r="AL745" t="str">
        <f t="shared" si="81"/>
        <v/>
      </c>
      <c r="AM745" t="str">
        <f>VLOOKUP(A745,'Table corresp.'!$M$4:$U$63,8,FALSE)</f>
        <v>Importation</v>
      </c>
      <c r="AN745" t="str">
        <f>VLOOKUP(D745,'Table corresp.'!$M$4:$U$63,9,FALSE)</f>
        <v>Production finale</v>
      </c>
    </row>
    <row r="746" spans="1:40" s="163" customFormat="1" x14ac:dyDescent="0.25">
      <c r="A746" t="s">
        <v>80</v>
      </c>
      <c r="B746">
        <f>VLOOKUP(LEFT(A746,3),'Table corresp.'!$A$4:$D$63,3,FALSE)</f>
        <v>0</v>
      </c>
      <c r="C746" t="str">
        <f>VLOOKUP(A746,'Table corresp.'!$M$4:$P$63,4,FALSE)</f>
        <v>Production et transformation de produits bois</v>
      </c>
      <c r="D746" t="s">
        <v>81</v>
      </c>
      <c r="E746" t="str">
        <f>VLOOKUP(LEFT(D746,3),'Table corresp.'!$A$4:$D$63,4,FALSE)</f>
        <v>Transformation</v>
      </c>
      <c r="F746" t="str">
        <f t="shared" ref="F746:F809" si="85">LEFT(A746,3)&amp;" - "&amp;LEFT(D746,3)</f>
        <v xml:space="preserve">01  - 05 </v>
      </c>
      <c r="G746" s="164">
        <v>11945.168128017171</v>
      </c>
      <c r="H746" s="164">
        <v>5141.1399431912441</v>
      </c>
      <c r="I746" s="164">
        <v>17086.308071208416</v>
      </c>
      <c r="J746" s="164">
        <v>0</v>
      </c>
      <c r="K746" s="164">
        <v>0</v>
      </c>
      <c r="L746" s="164">
        <v>0</v>
      </c>
      <c r="M746" s="164">
        <v>0</v>
      </c>
      <c r="N746" s="164">
        <v>0</v>
      </c>
      <c r="O746" s="164">
        <v>0</v>
      </c>
      <c r="P746" s="164">
        <v>0</v>
      </c>
      <c r="Q746" s="164">
        <v>0</v>
      </c>
      <c r="R746" s="164">
        <v>0</v>
      </c>
      <c r="S746" s="163" t="str">
        <f>IF(VLOOKUP(F746,$F$4:$S$374,14,FALSE)=0,"",VLOOKUP(F746,$F$4:$S$374,14,FALSE))</f>
        <v/>
      </c>
      <c r="T746" s="163">
        <f>VLOOKUP(A746,'Groupe de branches'!$Z$27:$AM$86,14,FALSE)</f>
        <v>0</v>
      </c>
      <c r="U746" s="163">
        <f>VLOOKUP(D746,'Groupe de branches'!$Z$27:$AM$86,14,FALSE)</f>
        <v>0</v>
      </c>
      <c r="V746" s="163">
        <v>2018</v>
      </c>
      <c r="W746">
        <f>VLOOKUP(D746,'Table corresp.'!$M$4:$S$63,7,FALSE)</f>
        <v>0</v>
      </c>
      <c r="X746" s="167">
        <f>IFERROR(G746/SUMIFS('Comp2016-2017 (3)'!$I$5:$I$289,'Comp2016-2017 (3)'!$A$5:$A$289,A746,'Comp2016-2017 (3)'!$R$5:$R$289,V746),0)</f>
        <v>0.45725345028358833</v>
      </c>
      <c r="Y746" s="190">
        <f>IFERROR(IF(RIGHT(F746,3)="Exp",VLOOKUP(F746,#REF!,2,FALSE),VLOOKUP(F746,#REF!,9,FALSE)),1)</f>
        <v>1</v>
      </c>
      <c r="Z746" s="167">
        <f t="shared" ref="Z746:Z770" si="86">Y746/SUMIFS($Y$4:$Y$1116,$V$4:$V$1116,V746,$A$4:$A$1116,A746)</f>
        <v>0.25</v>
      </c>
      <c r="AA746" s="189">
        <f t="shared" si="82"/>
        <v>0.11431336257089708</v>
      </c>
      <c r="AB746" s="2">
        <f>IFERROR(SUMIFS('Comp2016-2017 (3)'!$G$5:$G$289,'Comp2016-2017 (3)'!$A$5:$A$289,A746,'Comp2016-2017 (3)'!$R$5:$R$289,V746)*AA746/SUMIFS($AA$4:$AA$1116,$A$4:$A$1116,A746,$V$4:$V$1116,V746),0)</f>
        <v>6211.4915023747735</v>
      </c>
      <c r="AC746" s="2">
        <f>IF($W746=AC$3,$AB746,IF(NOT($W746=0),"",SUMIFS('Val-Vol (2)'!AC$4:AC$1116,'Val-Vol (2)'!$A$4:$A$1116,$D746,'Val-Vol (2)'!$V$4:$V$1116,$V746)/SUMIFS('Comp2016-2017 (3)'!$G$5:$G$289,'Comp2016-2017 (3)'!$A$5:$A$289,$D746,'Comp2016-2017 (3)'!$R$5:$R$289,$V746)*$AB746))</f>
        <v>1485.3026835578878</v>
      </c>
      <c r="AD746" s="2">
        <f>IF($W746=AD$3,$AB746,IF(NOT($W746=0),"",SUMIFS('Val-Vol (2)'!AD$4:AD$1116,'Val-Vol (2)'!$A$4:$A$1116,$D746,'Val-Vol (2)'!$V$4:$V$1116,$V746)/SUMIFS('Comp2016-2017 (3)'!$G$5:$G$289,'Comp2016-2017 (3)'!$A$5:$A$289,$D746,'Comp2016-2017 (3)'!$R$5:$R$289,$V746)*$AB746))</f>
        <v>1383.4263844004595</v>
      </c>
      <c r="AE746" s="2">
        <f>IF($W746=AE$3,$AB746,IF(NOT($W746=0),"",SUMIFS('Val-Vol (2)'!AE$4:AE$1116,'Val-Vol (2)'!$A$4:$A$1116,$D746,'Val-Vol (2)'!$V$4:$V$1116,$V746)/SUMIFS('Comp2016-2017 (3)'!$G$5:$G$289,'Comp2016-2017 (3)'!$A$5:$A$289,$D746,'Comp2016-2017 (3)'!$R$5:$R$289,$V746)*$AB746))</f>
        <v>159.48530585000736</v>
      </c>
      <c r="AF746" s="2">
        <f>IF($W746=AF$3,$AB746,IF(NOT($W746=0),"",SUMIFS('Val-Vol (2)'!AF$4:AF$1116,'Val-Vol (2)'!$A$4:$A$1116,$D746,'Val-Vol (2)'!$V$4:$V$1116,$V746)/SUMIFS('Comp2016-2017 (3)'!$G$5:$G$289,'Comp2016-2017 (3)'!$A$5:$A$289,$D746,'Comp2016-2017 (3)'!$R$5:$R$289,$V746)*$AB746))</f>
        <v>331.01934684859083</v>
      </c>
      <c r="AG746" s="2">
        <f>IF($W746=AG$3,$AB746,IF(NOT($W746=0),"",SUMIFS('Val-Vol (2)'!AG$4:AG$1116,'Val-Vol (2)'!$A$4:$A$1116,$D746,'Val-Vol (2)'!$V$4:$V$1116,$V746)/SUMIFS('Comp2016-2017 (3)'!$G$5:$G$289,'Comp2016-2017 (3)'!$A$5:$A$289,$D746,'Comp2016-2017 (3)'!$R$5:$R$289,$V746)*$AB746))</f>
        <v>989.2504027642035</v>
      </c>
      <c r="AH746" s="2">
        <f>IF($W746=AH$3,$AB746,IF(NOT($W746=0),"",SUMIFS('Val-Vol (2)'!AH$4:AH$1116,'Val-Vol (2)'!$A$4:$A$1116,$D746,'Val-Vol (2)'!$V$4:$V$1116,$V746)/SUMIFS('Comp2016-2017 (3)'!$G$5:$G$289,'Comp2016-2017 (3)'!$A$5:$A$289,$D746,'Comp2016-2017 (3)'!$R$5:$R$289,$V746)*$AB746))</f>
        <v>941.27908765004099</v>
      </c>
      <c r="AI746" s="2">
        <f>IF($W746=AI$3,$AB746,IF(NOT($W746=0),"",SUMIFS('Val-Vol (2)'!AI$4:AI$1116,'Val-Vol (2)'!$A$4:$A$1116,$D746,'Val-Vol (2)'!$V$4:$V$1116,$V746)/SUMIFS('Comp2016-2017 (3)'!$G$5:$G$289,'Comp2016-2017 (3)'!$A$5:$A$289,$D746,'Comp2016-2017 (3)'!$R$5:$R$289,$V746)*$AB746))</f>
        <v>280.76995450340598</v>
      </c>
      <c r="AJ746" s="2">
        <f>IF($W746=AJ$3,$AB746,IF(NOT($W746=0),"",SUMIFS('Val-Vol (2)'!AJ$4:AJ$1116,'Val-Vol (2)'!$A$4:$A$1116,$D746,'Val-Vol (2)'!$V$4:$V$1116,$V746)/SUMIFS('Comp2016-2017 (3)'!$G$5:$G$289,'Comp2016-2017 (3)'!$A$5:$A$289,$D746,'Comp2016-2017 (3)'!$R$5:$R$289,$V746)*$AB746))</f>
        <v>640.95833680017802</v>
      </c>
      <c r="AK746" s="2">
        <f t="shared" si="83"/>
        <v>0</v>
      </c>
      <c r="AL746" t="str">
        <f t="shared" si="81"/>
        <v/>
      </c>
      <c r="AM746" t="str">
        <f>VLOOKUP(A746,'Table corresp.'!$M$4:$U$63,8,FALSE)</f>
        <v>Forêt</v>
      </c>
      <c r="AN746" t="str">
        <f>VLOOKUP(D746,'Table corresp.'!$M$4:$U$63,9,FALSE)</f>
        <v>Production intermédiaire</v>
      </c>
    </row>
    <row r="747" spans="1:40" x14ac:dyDescent="0.25">
      <c r="A747" t="s">
        <v>80</v>
      </c>
      <c r="B747">
        <f>VLOOKUP(LEFT(A747,3),'Table corresp.'!$A$4:$D$63,3,FALSE)</f>
        <v>0</v>
      </c>
      <c r="C747" t="str">
        <f>VLOOKUP(A747,'Table corresp.'!$M$4:$P$63,4,FALSE)</f>
        <v>Production et transformation de produits bois</v>
      </c>
      <c r="D747" t="s">
        <v>3</v>
      </c>
      <c r="E747" t="str">
        <f>VLOOKUP(LEFT(D747,3),'Table corresp.'!$A$4:$D$63,4,FALSE)</f>
        <v>Transformation</v>
      </c>
      <c r="F747" t="str">
        <f t="shared" si="85"/>
        <v xml:space="preserve">01  - 06 </v>
      </c>
      <c r="G747" s="164">
        <v>8715.446008564546</v>
      </c>
      <c r="H747" s="164">
        <v>3757.4276864499284</v>
      </c>
      <c r="I747" s="164">
        <v>12472.873695014474</v>
      </c>
      <c r="J747" s="164">
        <v>0</v>
      </c>
      <c r="K747" s="164">
        <v>0</v>
      </c>
      <c r="L747" s="164">
        <v>0</v>
      </c>
      <c r="M747" s="164">
        <v>0</v>
      </c>
      <c r="N747" s="164">
        <v>0</v>
      </c>
      <c r="O747" s="164">
        <v>0</v>
      </c>
      <c r="P747" s="164">
        <v>0</v>
      </c>
      <c r="Q747" s="164">
        <v>0</v>
      </c>
      <c r="R747" s="164">
        <v>0</v>
      </c>
      <c r="S747" s="163" t="str">
        <f t="shared" ref="S747:S810" si="87">IF(VLOOKUP(F747,$F$4:$S$374,14,FALSE)=0,"",VLOOKUP(F747,$F$4:$S$374,14,FALSE))</f>
        <v/>
      </c>
      <c r="T747" s="163">
        <f>VLOOKUP(A747,'Groupe de branches'!$Z$27:$AM$86,14,FALSE)</f>
        <v>0</v>
      </c>
      <c r="U747" s="163">
        <f>VLOOKUP(D747,'Groupe de branches'!$Z$27:$AM$86,14,FALSE)</f>
        <v>0</v>
      </c>
      <c r="V747" s="163">
        <v>2018</v>
      </c>
      <c r="W747">
        <f>VLOOKUP(D747,'Table corresp.'!$M$4:$S$63,7,FALSE)</f>
        <v>0</v>
      </c>
      <c r="X747" s="167">
        <f>IFERROR(G747/SUMIFS('Comp2016-2017 (3)'!$I$5:$I$289,'Comp2016-2017 (3)'!$A$5:$A$289,A747,'Comp2016-2017 (3)'!$R$5:$R$289,V747),0)</f>
        <v>0.33362173855295763</v>
      </c>
      <c r="Y747" s="178">
        <f>IFERROR(IF(RIGHT(F747,3)="Exp",VLOOKUP(F747,#REF!,2,FALSE),VLOOKUP(F747,#REF!,9,FALSE)),1)</f>
        <v>1</v>
      </c>
      <c r="Z747" s="167">
        <f t="shared" si="86"/>
        <v>0.25</v>
      </c>
      <c r="AA747" s="189">
        <f t="shared" si="82"/>
        <v>8.3405434638239406E-2</v>
      </c>
      <c r="AB747" s="2">
        <f>IFERROR(SUMIFS('Comp2016-2017 (3)'!$G$5:$G$289,'Comp2016-2017 (3)'!$A$5:$A$289,A747,'Comp2016-2017 (3)'!$R$5:$R$289,V747)*AA747/SUMIFS($AA$4:$AA$1116,$A$4:$A$1116,A747,$V$4:$V$1116,V747),0)</f>
        <v>4532.0348982472678</v>
      </c>
      <c r="AC747" s="2">
        <f>IF($W747=AC$3,$AB747,IF(NOT($W747=0),"",SUMIFS('Val-Vol (2)'!AC$4:AC$1116,'Val-Vol (2)'!$A$4:$A$1116,$D747,'Val-Vol (2)'!$V$4:$V$1116,$V747)/SUMIFS('Comp2016-2017 (3)'!$G$5:$G$289,'Comp2016-2017 (3)'!$A$5:$A$289,$D747,'Comp2016-2017 (3)'!$R$5:$R$289,$V747)*$AB747))</f>
        <v>1115.9296416269476</v>
      </c>
      <c r="AD747" s="2">
        <f>IF($W747=AD$3,$AB747,IF(NOT($W747=0),"",SUMIFS('Val-Vol (2)'!AD$4:AD$1116,'Val-Vol (2)'!$A$4:$A$1116,$D747,'Val-Vol (2)'!$V$4:$V$1116,$V747)/SUMIFS('Comp2016-2017 (3)'!$G$5:$G$289,'Comp2016-2017 (3)'!$A$5:$A$289,$D747,'Comp2016-2017 (3)'!$R$5:$R$289,$V747)*$AB747))</f>
        <v>1226.6873195182143</v>
      </c>
      <c r="AE747" s="2">
        <f>IF($W747=AE$3,$AB747,IF(NOT($W747=0),"",SUMIFS('Val-Vol (2)'!AE$4:AE$1116,'Val-Vol (2)'!$A$4:$A$1116,$D747,'Val-Vol (2)'!$V$4:$V$1116,$V747)/SUMIFS('Comp2016-2017 (3)'!$G$5:$G$289,'Comp2016-2017 (3)'!$A$5:$A$289,$D747,'Comp2016-2017 (3)'!$R$5:$R$289,$V747)*$AB747))</f>
        <v>131.54743405840566</v>
      </c>
      <c r="AF747" s="2">
        <f>IF($W747=AF$3,$AB747,IF(NOT($W747=0),"",SUMIFS('Val-Vol (2)'!AF$4:AF$1116,'Val-Vol (2)'!$A$4:$A$1116,$D747,'Val-Vol (2)'!$V$4:$V$1116,$V747)/SUMIFS('Comp2016-2017 (3)'!$G$5:$G$289,'Comp2016-2017 (3)'!$A$5:$A$289,$D747,'Comp2016-2017 (3)'!$R$5:$R$289,$V747)*$AB747))</f>
        <v>58.289503966350978</v>
      </c>
      <c r="AG747" s="2">
        <f>IF($W747=AG$3,$AB747,IF(NOT($W747=0),"",SUMIFS('Val-Vol (2)'!AG$4:AG$1116,'Val-Vol (2)'!$A$4:$A$1116,$D747,'Val-Vol (2)'!$V$4:$V$1116,$V747)/SUMIFS('Comp2016-2017 (3)'!$G$5:$G$289,'Comp2016-2017 (3)'!$A$5:$A$289,$D747,'Comp2016-2017 (3)'!$R$5:$R$289,$V747)*$AB747))</f>
        <v>976.79561442991837</v>
      </c>
      <c r="AH747" s="2">
        <f>IF($W747=AH$3,$AB747,IF(NOT($W747=0),"",SUMIFS('Val-Vol (2)'!AH$4:AH$1116,'Val-Vol (2)'!$A$4:$A$1116,$D747,'Val-Vol (2)'!$V$4:$V$1116,$V747)/SUMIFS('Comp2016-2017 (3)'!$G$5:$G$289,'Comp2016-2017 (3)'!$A$5:$A$289,$D747,'Comp2016-2017 (3)'!$R$5:$R$289,$V747)*$AB747))</f>
        <v>161.64584360937198</v>
      </c>
      <c r="AI747" s="2">
        <f>IF($W747=AI$3,$AB747,IF(NOT($W747=0),"",SUMIFS('Val-Vol (2)'!AI$4:AI$1116,'Val-Vol (2)'!$A$4:$A$1116,$D747,'Val-Vol (2)'!$V$4:$V$1116,$V747)/SUMIFS('Comp2016-2017 (3)'!$G$5:$G$289,'Comp2016-2017 (3)'!$A$5:$A$289,$D747,'Comp2016-2017 (3)'!$R$5:$R$289,$V747)*$AB747))</f>
        <v>251.72208955611114</v>
      </c>
      <c r="AJ747" s="2">
        <f>IF($W747=AJ$3,$AB747,IF(NOT($W747=0),"",SUMIFS('Val-Vol (2)'!AJ$4:AJ$1116,'Val-Vol (2)'!$A$4:$A$1116,$D747,'Val-Vol (2)'!$V$4:$V$1116,$V747)/SUMIFS('Comp2016-2017 (3)'!$G$5:$G$289,'Comp2016-2017 (3)'!$A$5:$A$289,$D747,'Comp2016-2017 (3)'!$R$5:$R$289,$V747)*$AB747))</f>
        <v>609.41745148194775</v>
      </c>
      <c r="AK747" s="2">
        <f t="shared" si="83"/>
        <v>0</v>
      </c>
      <c r="AL747" t="str">
        <f t="shared" si="81"/>
        <v/>
      </c>
      <c r="AM747" t="str">
        <f>VLOOKUP(A747,'Table corresp.'!$M$4:$U$63,8,FALSE)</f>
        <v>Forêt</v>
      </c>
      <c r="AN747" t="str">
        <f>VLOOKUP(D747,'Table corresp.'!$M$4:$U$63,9,FALSE)</f>
        <v>Production intermédiaire</v>
      </c>
    </row>
    <row r="748" spans="1:40" x14ac:dyDescent="0.25">
      <c r="A748" t="s">
        <v>80</v>
      </c>
      <c r="B748">
        <f>VLOOKUP(LEFT(A748,3),'Table corresp.'!$A$4:$D$63,3,FALSE)</f>
        <v>0</v>
      </c>
      <c r="C748" t="str">
        <f>VLOOKUP(A748,'Table corresp.'!$M$4:$P$63,4,FALSE)</f>
        <v>Production et transformation de produits bois</v>
      </c>
      <c r="D748" t="s">
        <v>54</v>
      </c>
      <c r="E748" t="str">
        <f>VLOOKUP(LEFT(D748,3),'Table corresp.'!$A$4:$D$63,4,FALSE)</f>
        <v>Consommation finale</v>
      </c>
      <c r="F748" t="str">
        <f t="shared" si="85"/>
        <v>01  - Con</v>
      </c>
      <c r="G748" s="164">
        <v>1199.7730825498579</v>
      </c>
      <c r="H748" s="164">
        <v>655.09237035882381</v>
      </c>
      <c r="I748" s="164">
        <v>1854.8654529086814</v>
      </c>
      <c r="J748" s="164">
        <v>0</v>
      </c>
      <c r="K748" s="164">
        <v>0</v>
      </c>
      <c r="L748" s="164">
        <v>0</v>
      </c>
      <c r="M748" s="164">
        <v>0</v>
      </c>
      <c r="N748" s="164">
        <v>0</v>
      </c>
      <c r="O748" s="164">
        <v>0</v>
      </c>
      <c r="P748" s="164">
        <v>0</v>
      </c>
      <c r="Q748" s="164">
        <v>0</v>
      </c>
      <c r="R748" s="164">
        <v>0</v>
      </c>
      <c r="S748" s="163" t="str">
        <f t="shared" si="87"/>
        <v/>
      </c>
      <c r="T748" s="163">
        <f>VLOOKUP(A748,'Groupe de branches'!$Z$27:$AM$86,14,FALSE)</f>
        <v>0</v>
      </c>
      <c r="U748" s="163">
        <f>VLOOKUP(D748,'Groupe de branches'!$Z$27:$AM$86,14,FALSE)</f>
        <v>0</v>
      </c>
      <c r="V748" s="163">
        <v>2018</v>
      </c>
      <c r="W748" t="str">
        <f>VLOOKUP(D748,'Table corresp.'!$M$4:$S$63,7,FALSE)</f>
        <v>Consommation finale</v>
      </c>
      <c r="X748" s="167">
        <f>IFERROR(G748/SUMIFS('Comp2016-2017 (3)'!$I$5:$I$289,'Comp2016-2017 (3)'!$A$5:$A$289,A748,'Comp2016-2017 (3)'!$R$5:$R$289,V748),0)</f>
        <v>4.5926551696377292E-2</v>
      </c>
      <c r="Y748" s="178">
        <f>IFERROR(IF(RIGHT(F748,3)="Exp",VLOOKUP(F748,#REF!,2,FALSE),VLOOKUP(F748,#REF!,9,FALSE)),1)</f>
        <v>1</v>
      </c>
      <c r="Z748" s="167">
        <f t="shared" si="86"/>
        <v>0.25</v>
      </c>
      <c r="AA748" s="189">
        <f t="shared" si="82"/>
        <v>1.1481637924094323E-2</v>
      </c>
      <c r="AB748" s="2">
        <f>IFERROR(SUMIFS('Comp2016-2017 (3)'!$G$5:$G$289,'Comp2016-2017 (3)'!$A$5:$A$289,A748,'Comp2016-2017 (3)'!$R$5:$R$289,V748)*AA748/SUMIFS($AA$4:$AA$1116,$A$4:$A$1116,A748,$V$4:$V$1116,V748),0)</f>
        <v>623.88241230000017</v>
      </c>
      <c r="AC748" s="2" t="str">
        <f>IF($W748=AC$3,$AB748,IF(NOT($W748=0),"",SUMIFS('Val-Vol (2)'!AC$4:AC$1116,'Val-Vol (2)'!$A$4:$A$1116,$D748,'Val-Vol (2)'!$V$4:$V$1116,$V748)/SUMIFS('Comp2016-2017 (3)'!$G$5:$G$289,'Comp2016-2017 (3)'!$A$5:$A$289,$D748,'Comp2016-2017 (3)'!$R$5:$R$289,$V748)*$AB748))</f>
        <v/>
      </c>
      <c r="AD748" s="2" t="str">
        <f>IF($W748=AD$3,$AB748,IF(NOT($W748=0),"",SUMIFS('Val-Vol (2)'!AD$4:AD$1116,'Val-Vol (2)'!$A$4:$A$1116,$D748,'Val-Vol (2)'!$V$4:$V$1116,$V748)/SUMIFS('Comp2016-2017 (3)'!$G$5:$G$289,'Comp2016-2017 (3)'!$A$5:$A$289,$D748,'Comp2016-2017 (3)'!$R$5:$R$289,$V748)*$AB748))</f>
        <v/>
      </c>
      <c r="AE748" s="2" t="str">
        <f>IF($W748=AE$3,$AB748,IF(NOT($W748=0),"",SUMIFS('Val-Vol (2)'!AE$4:AE$1116,'Val-Vol (2)'!$A$4:$A$1116,$D748,'Val-Vol (2)'!$V$4:$V$1116,$V748)/SUMIFS('Comp2016-2017 (3)'!$G$5:$G$289,'Comp2016-2017 (3)'!$A$5:$A$289,$D748,'Comp2016-2017 (3)'!$R$5:$R$289,$V748)*$AB748))</f>
        <v/>
      </c>
      <c r="AF748" s="2" t="str">
        <f>IF($W748=AF$3,$AB748,IF(NOT($W748=0),"",SUMIFS('Val-Vol (2)'!AF$4:AF$1116,'Val-Vol (2)'!$A$4:$A$1116,$D748,'Val-Vol (2)'!$V$4:$V$1116,$V748)/SUMIFS('Comp2016-2017 (3)'!$G$5:$G$289,'Comp2016-2017 (3)'!$A$5:$A$289,$D748,'Comp2016-2017 (3)'!$R$5:$R$289,$V748)*$AB748))</f>
        <v/>
      </c>
      <c r="AG748" s="2" t="str">
        <f>IF($W748=AG$3,$AB748,IF(NOT($W748=0),"",SUMIFS('Val-Vol (2)'!AG$4:AG$1116,'Val-Vol (2)'!$A$4:$A$1116,$D748,'Val-Vol (2)'!$V$4:$V$1116,$V748)/SUMIFS('Comp2016-2017 (3)'!$G$5:$G$289,'Comp2016-2017 (3)'!$A$5:$A$289,$D748,'Comp2016-2017 (3)'!$R$5:$R$289,$V748)*$AB748))</f>
        <v/>
      </c>
      <c r="AH748" s="2" t="str">
        <f>IF($W748=AH$3,$AB748,IF(NOT($W748=0),"",SUMIFS('Val-Vol (2)'!AH$4:AH$1116,'Val-Vol (2)'!$A$4:$A$1116,$D748,'Val-Vol (2)'!$V$4:$V$1116,$V748)/SUMIFS('Comp2016-2017 (3)'!$G$5:$G$289,'Comp2016-2017 (3)'!$A$5:$A$289,$D748,'Comp2016-2017 (3)'!$R$5:$R$289,$V748)*$AB748))</f>
        <v/>
      </c>
      <c r="AI748" s="2" t="str">
        <f>IF($W748=AI$3,$AB748,IF(NOT($W748=0),"",SUMIFS('Val-Vol (2)'!AI$4:AI$1116,'Val-Vol (2)'!$A$4:$A$1116,$D748,'Val-Vol (2)'!$V$4:$V$1116,$V748)/SUMIFS('Comp2016-2017 (3)'!$G$5:$G$289,'Comp2016-2017 (3)'!$A$5:$A$289,$D748,'Comp2016-2017 (3)'!$R$5:$R$289,$V748)*$AB748))</f>
        <v/>
      </c>
      <c r="AJ748" s="2">
        <f>IF($W748=AJ$3,$AB748,IF(NOT($W748=0),"",SUMIFS('Val-Vol (2)'!AJ$4:AJ$1116,'Val-Vol (2)'!$A$4:$A$1116,$D748,'Val-Vol (2)'!$V$4:$V$1116,$V748)/SUMIFS('Comp2016-2017 (3)'!$G$5:$G$289,'Comp2016-2017 (3)'!$A$5:$A$289,$D748,'Comp2016-2017 (3)'!$R$5:$R$289,$V748)*$AB748))</f>
        <v>623.88241230000017</v>
      </c>
      <c r="AK748" s="2">
        <f t="shared" si="83"/>
        <v>0</v>
      </c>
      <c r="AL748" t="str">
        <f t="shared" si="81"/>
        <v/>
      </c>
      <c r="AM748" t="str">
        <f>VLOOKUP(A748,'Table corresp.'!$M$4:$U$63,8,FALSE)</f>
        <v>Forêt</v>
      </c>
      <c r="AN748" t="str">
        <f>VLOOKUP(D748,'Table corresp.'!$M$4:$U$63,9,FALSE)</f>
        <v>Consommation finale française</v>
      </c>
    </row>
    <row r="749" spans="1:40" x14ac:dyDescent="0.25">
      <c r="A749" t="s">
        <v>80</v>
      </c>
      <c r="B749">
        <f>VLOOKUP(LEFT(A749,3),'Table corresp.'!$A$4:$D$63,3,FALSE)</f>
        <v>0</v>
      </c>
      <c r="C749" t="str">
        <f>VLOOKUP(A749,'Table corresp.'!$M$4:$P$63,4,FALSE)</f>
        <v>Production et transformation de produits bois</v>
      </c>
      <c r="D749" t="s">
        <v>53</v>
      </c>
      <c r="E749" t="str">
        <f>VLOOKUP(LEFT(D749,3),'Table corresp.'!$A$4:$D$63,4,FALSE)</f>
        <v>Exportation</v>
      </c>
      <c r="F749" t="str">
        <f t="shared" si="85"/>
        <v>01  - Exp</v>
      </c>
      <c r="G749" s="164">
        <v>4263.3310000000001</v>
      </c>
      <c r="H749" s="164">
        <v>0</v>
      </c>
      <c r="I749" s="164">
        <v>4263.3310000000001</v>
      </c>
      <c r="J749" s="164">
        <v>0</v>
      </c>
      <c r="K749" s="164">
        <v>0</v>
      </c>
      <c r="L749" s="164">
        <v>0</v>
      </c>
      <c r="M749" s="164">
        <v>0</v>
      </c>
      <c r="N749" s="164">
        <v>0</v>
      </c>
      <c r="O749" s="164">
        <v>0</v>
      </c>
      <c r="P749" s="164">
        <v>0</v>
      </c>
      <c r="Q749" s="164">
        <v>0</v>
      </c>
      <c r="R749" s="164">
        <v>0</v>
      </c>
      <c r="S749" s="163" t="str">
        <f t="shared" si="87"/>
        <v/>
      </c>
      <c r="T749" s="163">
        <f>VLOOKUP(A749,'Groupe de branches'!$Z$27:$AM$86,14,FALSE)</f>
        <v>0</v>
      </c>
      <c r="U749" s="163">
        <f>VLOOKUP(D749,'Groupe de branches'!$Z$27:$AM$86,14,FALSE)</f>
        <v>0</v>
      </c>
      <c r="V749" s="163">
        <v>2018</v>
      </c>
      <c r="W749" t="str">
        <f>VLOOKUP(D749,'Table corresp.'!$M$4:$S$63,7,FALSE)</f>
        <v>Exportation</v>
      </c>
      <c r="X749" s="167">
        <f>IFERROR(G749/SUMIFS('Comp2016-2017 (3)'!$I$5:$I$289,'Comp2016-2017 (3)'!$A$5:$A$289,A749,'Comp2016-2017 (3)'!$R$5:$R$289,V749),0)</f>
        <v>0.16319760329523081</v>
      </c>
      <c r="Y749" s="178">
        <f>IFERROR(IF(RIGHT(F749,3)="Exp",VLOOKUP(F749,#REF!,2,FALSE),VLOOKUP(F749,#REF!,9,FALSE)),1)</f>
        <v>1</v>
      </c>
      <c r="Z749" s="167">
        <f>Y749/SUMIFS($Y$4:$Y$1858,$V$4:$V$1858,V749,$A$4:$A$1858,A749)</f>
        <v>0.25</v>
      </c>
      <c r="AA749" s="189">
        <f t="shared" si="82"/>
        <v>4.0799400823807702E-2</v>
      </c>
      <c r="AB749" s="2">
        <f>IFERROR(SUMIFS('Comp2016-2017 (3)'!$G$5:$G$289,'Comp2016-2017 (3)'!$A$5:$A$289,A749,'Comp2016-2017 (3)'!$R$5:$R$289,V749)*AA749/SUMIFS($AA$4:$AA$1116,$A$4:$A$1116,A749,$V$4:$V$1116,V749),0)</f>
        <v>2216.9335746893962</v>
      </c>
      <c r="AC749" s="2">
        <f>IF($W749=AC$3,$AB749,IF(NOT($W749=0),"",SUMIFS('Val-Vol (2)'!AC$4:AC$1858,'Val-Vol (2)'!$A$4:$A$1858,$D749,'Val-Vol (2)'!$V$4:$V$1858,$V749)/SUMIFS('Comp2016-2017 (3)'!$G$5:$G$289,'Comp2016-2017 (3)'!$A$5:$A$289,$D749,'Comp2016-2017 (3)'!$R$5:$R$289,$V749)*$AB749))</f>
        <v>2216.9335746893962</v>
      </c>
      <c r="AD749" s="2" t="str">
        <f>IF($W749=AD$3,$AB749,IF(NOT($W749=0),"",SUMIFS('Val-Vol (2)'!AD$4:AD$1116,'Val-Vol (2)'!$A$4:$A$1116,$D749,'Val-Vol (2)'!$V$4:$V$1116,$V749)/SUMIFS('Comp2016-2017 (3)'!$G$5:$G$289,'Comp2016-2017 (3)'!$A$5:$A$289,$D749,'Comp2016-2017 (3)'!$R$5:$R$289,$V749)*$AB749))</f>
        <v/>
      </c>
      <c r="AE749" s="2" t="str">
        <f>IF($W749=AE$3,$AB749,IF(NOT($W749=0),"",SUMIFS('Val-Vol (2)'!AE$4:AE$1116,'Val-Vol (2)'!$A$4:$A$1116,$D749,'Val-Vol (2)'!$V$4:$V$1116,$V749)/SUMIFS('Comp2016-2017 (3)'!$G$5:$G$289,'Comp2016-2017 (3)'!$A$5:$A$289,$D749,'Comp2016-2017 (3)'!$R$5:$R$289,$V749)*$AB749))</f>
        <v/>
      </c>
      <c r="AF749" s="2" t="str">
        <f>IF($W749=AF$3,$AB749,IF(NOT($W749=0),"",SUMIFS('Val-Vol (2)'!AF$4:AF$1116,'Val-Vol (2)'!$A$4:$A$1116,$D749,'Val-Vol (2)'!$V$4:$V$1116,$V749)/SUMIFS('Comp2016-2017 (3)'!$G$5:$G$289,'Comp2016-2017 (3)'!$A$5:$A$289,$D749,'Comp2016-2017 (3)'!$R$5:$R$289,$V749)*$AB749))</f>
        <v/>
      </c>
      <c r="AG749" s="2" t="str">
        <f>IF($W749=AG$3,$AB749,IF(NOT($W749=0),"",SUMIFS('Val-Vol (2)'!AG$4:AG$1116,'Val-Vol (2)'!$A$4:$A$1116,$D749,'Val-Vol (2)'!$V$4:$V$1116,$V749)/SUMIFS('Comp2016-2017 (3)'!$G$5:$G$289,'Comp2016-2017 (3)'!$A$5:$A$289,$D749,'Comp2016-2017 (3)'!$R$5:$R$289,$V749)*$AB749))</f>
        <v/>
      </c>
      <c r="AH749" s="2" t="str">
        <f>IF($W749=AH$3,$AB749,IF(NOT($W749=0),"",SUMIFS('Val-Vol (2)'!AH$4:AH$1116,'Val-Vol (2)'!$A$4:$A$1116,$D749,'Val-Vol (2)'!$V$4:$V$1116,$V749)/SUMIFS('Comp2016-2017 (3)'!$G$5:$G$289,'Comp2016-2017 (3)'!$A$5:$A$289,$D749,'Comp2016-2017 (3)'!$R$5:$R$289,$V749)*$AB749))</f>
        <v/>
      </c>
      <c r="AI749" s="2" t="str">
        <f>IF($W749=AI$3,$AB749,IF(NOT($W749=0),"",SUMIFS('Val-Vol (2)'!AI$4:AI$1116,'Val-Vol (2)'!$A$4:$A$1116,$D749,'Val-Vol (2)'!$V$4:$V$1116,$V749)/SUMIFS('Comp2016-2017 (3)'!$G$5:$G$289,'Comp2016-2017 (3)'!$A$5:$A$289,$D749,'Comp2016-2017 (3)'!$R$5:$R$289,$V749)*$AB749))</f>
        <v/>
      </c>
      <c r="AJ749" s="2" t="str">
        <f>IF($W749=AJ$3,$AB749,IF(NOT($W749=0),"",SUMIFS('Val-Vol (2)'!AJ$4:AJ$1116,'Val-Vol (2)'!$A$4:$A$1116,$D749,'Val-Vol (2)'!$V$4:$V$1116,$V749)/SUMIFS('Comp2016-2017 (3)'!$G$5:$G$289,'Comp2016-2017 (3)'!$A$5:$A$289,$D749,'Comp2016-2017 (3)'!$R$5:$R$289,$V749)*$AB749))</f>
        <v/>
      </c>
      <c r="AK749" s="2">
        <f t="shared" si="83"/>
        <v>0</v>
      </c>
      <c r="AL749" t="str">
        <f t="shared" si="81"/>
        <v/>
      </c>
      <c r="AM749" t="str">
        <f>VLOOKUP(A749,'Table corresp.'!$M$4:$U$63,8,FALSE)</f>
        <v>Forêt</v>
      </c>
      <c r="AN749" t="str">
        <f>VLOOKUP(D749,'Table corresp.'!$M$4:$U$63,9,FALSE)</f>
        <v>Exportation</v>
      </c>
    </row>
    <row r="750" spans="1:40" x14ac:dyDescent="0.25">
      <c r="A750" t="s">
        <v>0</v>
      </c>
      <c r="B750" t="str">
        <f>VLOOKUP(LEFT(A750,3),'Table corresp.'!$A$4:$D$63,3,FALSE)</f>
        <v>Forêt</v>
      </c>
      <c r="C750" t="str">
        <f>VLOOKUP(A750,'Table corresp.'!$M$4:$P$63,4,FALSE)</f>
        <v>Production et transformation de produits bois</v>
      </c>
      <c r="D750" t="s">
        <v>4</v>
      </c>
      <c r="E750" t="str">
        <f>VLOOKUP(LEFT(D750,3),'Table corresp.'!$A$4:$D$63,4,FALSE)</f>
        <v>Transformation</v>
      </c>
      <c r="F750" t="str">
        <f t="shared" si="85"/>
        <v xml:space="preserve">02  - 08 </v>
      </c>
      <c r="G750" s="164">
        <v>256477.41979052639</v>
      </c>
      <c r="H750" s="164">
        <v>7893.7518690677407</v>
      </c>
      <c r="I750" s="164">
        <v>264371.17165959388</v>
      </c>
      <c r="J750" s="164">
        <v>1704.3896428865767</v>
      </c>
      <c r="K750" s="164">
        <v>14.525811924390396</v>
      </c>
      <c r="L750" s="164">
        <v>1718.915454810967</v>
      </c>
      <c r="M750" s="164">
        <v>0</v>
      </c>
      <c r="N750" s="164">
        <v>0</v>
      </c>
      <c r="O750" s="164">
        <v>0</v>
      </c>
      <c r="P750" s="164">
        <v>0</v>
      </c>
      <c r="Q750" s="164">
        <v>0</v>
      </c>
      <c r="R750" s="164">
        <v>0</v>
      </c>
      <c r="S750" s="163" t="str">
        <f t="shared" si="87"/>
        <v/>
      </c>
      <c r="T750" s="163">
        <f>VLOOKUP(A750,'Groupe de branches'!$Z$27:$AM$86,14,FALSE)</f>
        <v>0</v>
      </c>
      <c r="U750" s="163">
        <f>VLOOKUP(D750,'Groupe de branches'!$Z$27:$AM$86,14,FALSE)</f>
        <v>0</v>
      </c>
      <c r="V750" s="163">
        <v>2018</v>
      </c>
      <c r="W750">
        <f>VLOOKUP(D750,'Table corresp.'!$M$4:$S$63,7,FALSE)</f>
        <v>0</v>
      </c>
      <c r="X750" s="167">
        <f>IFERROR(G750/SUMIFS('Comp2016-2017 (3)'!$I$5:$I$289,'Comp2016-2017 (3)'!$A$5:$A$289,A750,'Comp2016-2017 (3)'!$R$5:$R$289,V750),0)</f>
        <v>0.19884562694872465</v>
      </c>
      <c r="Y750" s="178">
        <f>IFERROR(IF(RIGHT(F750,3)="Exp",VLOOKUP(F750,#REF!,2,FALSE),VLOOKUP(F750,#REF!,9,FALSE)),1)</f>
        <v>1</v>
      </c>
      <c r="Z750" s="167">
        <f t="shared" si="86"/>
        <v>6.25E-2</v>
      </c>
      <c r="AA750" s="189">
        <f t="shared" si="82"/>
        <v>1.2427851684295291E-2</v>
      </c>
      <c r="AB750" s="2">
        <f>IFERROR(SUMIFS('Comp2016-2017 (3)'!$G$5:$G$289,'Comp2016-2017 (3)'!$A$5:$A$289,A750,'Comp2016-2017 (3)'!$R$5:$R$289,V750)*AA750/SUMIFS($AA$4:$AA$1858,$A$4:$A$1858,A750,$V$4:$V$1858,V750),0)</f>
        <v>159877.97310114055</v>
      </c>
      <c r="AC750" s="2">
        <f>IF($W750=AC$3,$AB750,IF(NOT($W750=0),"",SUMIFS('Val-Vol (2)'!AC$4:AC$1858,'Val-Vol (2)'!$A$4:$A$1858,$D750,'Val-Vol (2)'!$V$4:$V$1858,$V750)/SUMIFS('Comp2016-2017 (3)'!$G$5:$G$289,'Comp2016-2017 (3)'!$A$5:$A$289,$D750,'Comp2016-2017 (3)'!$R$5:$R$289,$V750)*$AB750))</f>
        <v>39196.221103933567</v>
      </c>
      <c r="AD750" s="2">
        <f>IF($W750=AD$3,$AB750,IF(NOT($W750=0),"",SUMIFS('Val-Vol (2)'!AD$4:AD$1858,'Val-Vol (2)'!$A$4:$A$1858,$D750,'Val-Vol (2)'!$V$4:$V$1858,$V750)/SUMIFS('Comp2016-2017 (3)'!$G$5:$G$289,'Comp2016-2017 (3)'!$A$5:$A$289,$D750,'Comp2016-2017 (3)'!$R$5:$R$289,$V750)*$AB750))</f>
        <v>44048.0168726384</v>
      </c>
      <c r="AE750" s="2">
        <f>IF($W750=AE$3,$AB750,IF(NOT($W750=0),"",SUMIFS('Val-Vol (2)'!AE$4:AE$1858,'Val-Vol (2)'!$A$4:$A$1858,$D750,'Val-Vol (2)'!$V$4:$V$1858,$V750)/SUMIFS('Comp2016-2017 (3)'!$G$5:$G$289,'Comp2016-2017 (3)'!$A$5:$A$289,$D750,'Comp2016-2017 (3)'!$R$5:$R$289,$V750)*$AB750))</f>
        <v>18621.035618299396</v>
      </c>
      <c r="AF750" s="2">
        <f>IF($W750=AF$3,$AB750,IF(NOT($W750=0),"",SUMIFS('Val-Vol (2)'!AF$4:AF$1116,'Val-Vol (2)'!$A$4:$A$1116,$D750,'Val-Vol (2)'!$V$4:$V$1116,$V750)/SUMIFS('Comp2016-2017 (3)'!$G$5:$G$289,'Comp2016-2017 (3)'!$A$5:$A$289,$D750,'Comp2016-2017 (3)'!$R$5:$R$289,$V750)*$AB750))</f>
        <v>0</v>
      </c>
      <c r="AG750" s="2">
        <f>IF($W750=AG$3,$AB750,IF(NOT($W750=0),"",SUMIFS('Val-Vol (2)'!AG$4:AG$1116,'Val-Vol (2)'!$A$4:$A$1116,$D750,'Val-Vol (2)'!$V$4:$V$1116,$V750)/SUMIFS('Comp2016-2017 (3)'!$G$5:$G$289,'Comp2016-2017 (3)'!$A$5:$A$289,$D750,'Comp2016-2017 (3)'!$R$5:$R$289,$V750)*$AB750))</f>
        <v>0</v>
      </c>
      <c r="AH750" s="2">
        <f>IF($W750=AH$3,$AB750,IF(NOT($W750=0),"",SUMIFS('Val-Vol (2)'!AH$4:AH$1116,'Val-Vol (2)'!$A$4:$A$1116,$D750,'Val-Vol (2)'!$V$4:$V$1116,$V750)/SUMIFS('Comp2016-2017 (3)'!$G$5:$G$289,'Comp2016-2017 (3)'!$A$5:$A$289,$D750,'Comp2016-2017 (3)'!$R$5:$R$289,$V750)*$AB750))</f>
        <v>0</v>
      </c>
      <c r="AI750" s="2">
        <f>IF($W750=AI$3,$AB750,IF(NOT($W750=0),"",SUMIFS('Val-Vol (2)'!AI$4:AI$1858,'Val-Vol (2)'!$A$4:$A$1858,$D750,'Val-Vol (2)'!$V$4:$V$1858,$V750)/SUMIFS('Comp2016-2017 (3)'!$G$5:$G$289,'Comp2016-2017 (3)'!$A$5:$A$289,$D750,'Comp2016-2017 (3)'!$R$5:$R$289,$V750)*$AB750))</f>
        <v>17779.360779512666</v>
      </c>
      <c r="AJ750" s="2">
        <f>IF($W750=AJ$3,$AB750,IF(NOT($W750=0),"",SUMIFS('Val-Vol (2)'!AJ$4:AJ$1858,'Val-Vol (2)'!$A$4:$A$1858,$D750,'Val-Vol (2)'!$V$4:$V$1858,$V750)/SUMIFS('Comp2016-2017 (3)'!$G$5:$G$289,'Comp2016-2017 (3)'!$A$5:$A$289,$D750,'Comp2016-2017 (3)'!$R$5:$R$289,$V750)*$AB750))</f>
        <v>40233.338726756519</v>
      </c>
      <c r="AK750" s="2">
        <f t="shared" si="83"/>
        <v>0</v>
      </c>
      <c r="AL750" t="str">
        <f t="shared" si="81"/>
        <v/>
      </c>
      <c r="AM750" t="str">
        <f>VLOOKUP(A750,'Table corresp.'!$M$4:$U$63,8,FALSE)</f>
        <v>Forêt</v>
      </c>
      <c r="AN750" t="str">
        <f>VLOOKUP(D750,'Table corresp.'!$M$4:$U$63,9,FALSE)</f>
        <v>Production intermédiaire</v>
      </c>
    </row>
    <row r="751" spans="1:40" x14ac:dyDescent="0.25">
      <c r="A751" t="s">
        <v>0</v>
      </c>
      <c r="B751" t="str">
        <f>VLOOKUP(LEFT(A751,3),'Table corresp.'!$A$4:$D$63,3,FALSE)</f>
        <v>Forêt</v>
      </c>
      <c r="C751" t="str">
        <f>VLOOKUP(A751,'Table corresp.'!$M$4:$P$63,4,FALSE)</f>
        <v>Production et transformation de produits bois</v>
      </c>
      <c r="D751" t="s">
        <v>5</v>
      </c>
      <c r="E751" t="str">
        <f>VLOOKUP(LEFT(D751,3),'Table corresp.'!$A$4:$D$63,4,FALSE)</f>
        <v>Transformation</v>
      </c>
      <c r="F751" t="str">
        <f t="shared" si="85"/>
        <v xml:space="preserve">02  - 09 </v>
      </c>
      <c r="G751" s="164">
        <v>34475.251960830668</v>
      </c>
      <c r="H751" s="164">
        <v>1003.6736488012523</v>
      </c>
      <c r="I751" s="164">
        <v>35478.925609631893</v>
      </c>
      <c r="J751" s="164">
        <v>732.38461771145444</v>
      </c>
      <c r="K751" s="164">
        <v>1.8469258848993266</v>
      </c>
      <c r="L751" s="164">
        <v>734.23154359635373</v>
      </c>
      <c r="M751" s="164">
        <v>0</v>
      </c>
      <c r="N751" s="164">
        <v>0</v>
      </c>
      <c r="O751" s="164">
        <v>0</v>
      </c>
      <c r="P751" s="164">
        <v>0</v>
      </c>
      <c r="Q751" s="164">
        <v>0</v>
      </c>
      <c r="R751" s="164">
        <v>0</v>
      </c>
      <c r="S751" s="163" t="str">
        <f t="shared" si="87"/>
        <v/>
      </c>
      <c r="T751" s="163">
        <f>VLOOKUP(A751,'Groupe de branches'!$Z$27:$AM$86,14,FALSE)</f>
        <v>0</v>
      </c>
      <c r="U751" s="163">
        <f>VLOOKUP(D751,'Groupe de branches'!$Z$27:$AM$86,14,FALSE)</f>
        <v>0</v>
      </c>
      <c r="V751" s="163">
        <v>2018</v>
      </c>
      <c r="W751">
        <f>VLOOKUP(D751,'Table corresp.'!$M$4:$S$63,7,FALSE)</f>
        <v>0</v>
      </c>
      <c r="X751" s="167">
        <f>IFERROR(G751/SUMIFS('Comp2016-2017 (3)'!$I$5:$I$289,'Comp2016-2017 (3)'!$A$5:$A$289,A751,'Comp2016-2017 (3)'!$R$5:$R$289,V751),0)</f>
        <v>2.6728485868134262E-2</v>
      </c>
      <c r="Y751" s="178">
        <f>IFERROR(IF(RIGHT(F751,3)="Exp",VLOOKUP(F751,#REF!,2,FALSE),VLOOKUP(F751,#REF!,9,FALSE)),1)</f>
        <v>1</v>
      </c>
      <c r="Z751" s="167">
        <f t="shared" si="86"/>
        <v>6.25E-2</v>
      </c>
      <c r="AA751" s="189">
        <f t="shared" si="82"/>
        <v>1.6705303667583914E-3</v>
      </c>
      <c r="AB751" s="2">
        <f>IFERROR(SUMIFS('Comp2016-2017 (3)'!$G$5:$G$289,'Comp2016-2017 (3)'!$A$5:$A$289,A751,'Comp2016-2017 (3)'!$R$5:$R$289,V751)*AA751/SUMIFS($AA$4:$AA$1116,$A$4:$A$1116,A751,$V$4:$V$1116,V751),0)</f>
        <v>21490.521115466719</v>
      </c>
      <c r="AC751" s="2">
        <f>IF($W751=AC$3,$AB751,IF(NOT($W751=0),"",SUMIFS('Val-Vol (2)'!AC$4:AC$1116,'Val-Vol (2)'!$A$4:$A$1116,$D751,'Val-Vol (2)'!$V$4:$V$1116,$V751)/SUMIFS('Comp2016-2017 (3)'!$G$5:$G$289,'Comp2016-2017 (3)'!$A$5:$A$289,$D751,'Comp2016-2017 (3)'!$R$5:$R$289,$V751)*$AB751))</f>
        <v>7066.9668821852347</v>
      </c>
      <c r="AD751" s="2">
        <f>IF($W751=AD$3,$AB751,IF(NOT($W751=0),"",SUMIFS('Val-Vol (2)'!AD$4:AD$1116,'Val-Vol (2)'!$A$4:$A$1116,$D751,'Val-Vol (2)'!$V$4:$V$1116,$V751)/SUMIFS('Comp2016-2017 (3)'!$G$5:$G$289,'Comp2016-2017 (3)'!$A$5:$A$289,$D751,'Comp2016-2017 (3)'!$R$5:$R$289,$V751)*$AB751))</f>
        <v>6792.7232701471194</v>
      </c>
      <c r="AE751" s="2">
        <f>IF($W751=AE$3,$AB751,IF(NOT($W751=0),"",SUMIFS('Val-Vol (2)'!AE$4:AE$1116,'Val-Vol (2)'!$A$4:$A$1116,$D751,'Val-Vol (2)'!$V$4:$V$1116,$V751)/SUMIFS('Comp2016-2017 (3)'!$G$5:$G$289,'Comp2016-2017 (3)'!$A$5:$A$289,$D751,'Comp2016-2017 (3)'!$R$5:$R$289,$V751)*$AB751))</f>
        <v>275.94257037265237</v>
      </c>
      <c r="AF751" s="2">
        <f>IF($W751=AF$3,$AB751,IF(NOT($W751=0),"",SUMIFS('Val-Vol (2)'!AF$4:AF$1116,'Val-Vol (2)'!$A$4:$A$1116,$D751,'Val-Vol (2)'!$V$4:$V$1116,$V751)/SUMIFS('Comp2016-2017 (3)'!$G$5:$G$289,'Comp2016-2017 (3)'!$A$5:$A$289,$D751,'Comp2016-2017 (3)'!$R$5:$R$289,$V751)*$AB751))</f>
        <v>0</v>
      </c>
      <c r="AG751" s="2">
        <f>IF($W751=AG$3,$AB751,IF(NOT($W751=0),"",SUMIFS('Val-Vol (2)'!AG$4:AG$1116,'Val-Vol (2)'!$A$4:$A$1116,$D751,'Val-Vol (2)'!$V$4:$V$1116,$V751)/SUMIFS('Comp2016-2017 (3)'!$G$5:$G$289,'Comp2016-2017 (3)'!$A$5:$A$289,$D751,'Comp2016-2017 (3)'!$R$5:$R$289,$V751)*$AB751))</f>
        <v>2879.9994537761254</v>
      </c>
      <c r="AH751" s="2">
        <f>IF($W751=AH$3,$AB751,IF(NOT($W751=0),"",SUMIFS('Val-Vol (2)'!AH$4:AH$1116,'Val-Vol (2)'!$A$4:$A$1116,$D751,'Val-Vol (2)'!$V$4:$V$1116,$V751)/SUMIFS('Comp2016-2017 (3)'!$G$5:$G$289,'Comp2016-2017 (3)'!$A$5:$A$289,$D751,'Comp2016-2017 (3)'!$R$5:$R$289,$V751)*$AB751))</f>
        <v>0</v>
      </c>
      <c r="AI751" s="2">
        <f>IF($W751=AI$3,$AB751,IF(NOT($W751=0),"",SUMIFS('Val-Vol (2)'!AI$4:AI$1116,'Val-Vol (2)'!$A$4:$A$1116,$D751,'Val-Vol (2)'!$V$4:$V$1116,$V751)/SUMIFS('Comp2016-2017 (3)'!$G$5:$G$289,'Comp2016-2017 (3)'!$A$5:$A$289,$D751,'Comp2016-2017 (3)'!$R$5:$R$289,$V751)*$AB751))</f>
        <v>4201.0225759484301</v>
      </c>
      <c r="AJ751" s="2">
        <f>IF($W751=AJ$3,$AB751,IF(NOT($W751=0),"",SUMIFS('Val-Vol (2)'!AJ$4:AJ$1116,'Val-Vol (2)'!$A$4:$A$1116,$D751,'Val-Vol (2)'!$V$4:$V$1116,$V751)/SUMIFS('Comp2016-2017 (3)'!$G$5:$G$289,'Comp2016-2017 (3)'!$A$5:$A$289,$D751,'Comp2016-2017 (3)'!$R$5:$R$289,$V751)*$AB751))</f>
        <v>273.86636303715403</v>
      </c>
      <c r="AK751" s="2">
        <f t="shared" si="83"/>
        <v>0</v>
      </c>
      <c r="AL751" t="str">
        <f t="shared" si="81"/>
        <v/>
      </c>
      <c r="AM751" t="str">
        <f>VLOOKUP(A751,'Table corresp.'!$M$4:$U$63,8,FALSE)</f>
        <v>Forêt</v>
      </c>
      <c r="AN751" t="str">
        <f>VLOOKUP(D751,'Table corresp.'!$M$4:$U$63,9,FALSE)</f>
        <v>Production intermédiaire</v>
      </c>
    </row>
    <row r="752" spans="1:40" x14ac:dyDescent="0.25">
      <c r="A752" t="s">
        <v>0</v>
      </c>
      <c r="B752" t="str">
        <f>VLOOKUP(LEFT(A752,3),'Table corresp.'!$A$4:$D$63,3,FALSE)</f>
        <v>Forêt</v>
      </c>
      <c r="C752" t="str">
        <f>VLOOKUP(A752,'Table corresp.'!$M$4:$P$63,4,FALSE)</f>
        <v>Production et transformation de produits bois</v>
      </c>
      <c r="D752" t="s">
        <v>82</v>
      </c>
      <c r="E752" t="str">
        <f>VLOOKUP(LEFT(D752,3),'Table corresp.'!$A$4:$D$63,4,FALSE)</f>
        <v>Transformation</v>
      </c>
      <c r="F752" t="str">
        <f t="shared" si="85"/>
        <v xml:space="preserve">02  - 10 </v>
      </c>
      <c r="G752" s="164">
        <v>36335.606209499318</v>
      </c>
      <c r="H752" s="164">
        <v>0</v>
      </c>
      <c r="I752" s="164">
        <v>36335.606209499289</v>
      </c>
      <c r="J752" s="164">
        <v>705.11065528897188</v>
      </c>
      <c r="K752" s="164">
        <v>0</v>
      </c>
      <c r="L752" s="164">
        <v>705.11065528897188</v>
      </c>
      <c r="M752" s="164">
        <v>0</v>
      </c>
      <c r="N752" s="164">
        <v>0</v>
      </c>
      <c r="O752" s="164">
        <v>0</v>
      </c>
      <c r="P752" s="164">
        <v>0</v>
      </c>
      <c r="Q752" s="164">
        <v>0</v>
      </c>
      <c r="R752" s="164">
        <v>0</v>
      </c>
      <c r="S752" s="163" t="str">
        <f t="shared" si="87"/>
        <v/>
      </c>
      <c r="T752" s="163">
        <f>VLOOKUP(A752,'Groupe de branches'!$Z$27:$AM$86,14,FALSE)</f>
        <v>0</v>
      </c>
      <c r="U752" s="163">
        <f>VLOOKUP(D752,'Groupe de branches'!$Z$27:$AM$86,14,FALSE)</f>
        <v>0</v>
      </c>
      <c r="V752" s="163">
        <v>2018</v>
      </c>
      <c r="W752">
        <f>VLOOKUP(D752,'Table corresp.'!$M$4:$S$63,7,FALSE)</f>
        <v>0</v>
      </c>
      <c r="X752" s="167">
        <f>IFERROR(G752/SUMIFS('Comp2016-2017 (3)'!$I$5:$I$289,'Comp2016-2017 (3)'!$A$5:$A$289,A752,'Comp2016-2017 (3)'!$R$5:$R$289,V752),0)</f>
        <v>2.817080896708531E-2</v>
      </c>
      <c r="Y752" s="178">
        <f>IFERROR(IF(RIGHT(F752,3)="Exp",VLOOKUP(F752,#REF!,2,FALSE),VLOOKUP(F752,#REF!,9,FALSE)),1)</f>
        <v>1</v>
      </c>
      <c r="Z752" s="167">
        <f t="shared" si="86"/>
        <v>6.25E-2</v>
      </c>
      <c r="AA752" s="189">
        <f t="shared" si="82"/>
        <v>1.7606755604428319E-3</v>
      </c>
      <c r="AB752" s="2">
        <f>IFERROR(SUMIFS('Comp2016-2017 (3)'!$G$5:$G$289,'Comp2016-2017 (3)'!$A$5:$A$289,A752,'Comp2016-2017 (3)'!$R$5:$R$289,V752)*AA752/SUMIFS($AA$4:$AA$1116,$A$4:$A$1116,A752,$V$4:$V$1116,V752),0)</f>
        <v>22650.193053722178</v>
      </c>
      <c r="AC752" s="2">
        <f>IF($W752=AC$3,$AB752,IF(NOT($W752=0),"",SUMIFS('Val-Vol (2)'!AC$4:AC$1116,'Val-Vol (2)'!$A$4:$A$1116,$D752,'Val-Vol (2)'!$V$4:$V$1116,$V752)/SUMIFS('Comp2016-2017 (3)'!$G$5:$G$289,'Comp2016-2017 (3)'!$A$5:$A$289,$D752,'Comp2016-2017 (3)'!$R$5:$R$289,$V752)*$AB752))</f>
        <v>3854.2216322813742</v>
      </c>
      <c r="AD752" s="2">
        <f>IF($W752=AD$3,$AB752,IF(NOT($W752=0),"",SUMIFS('Val-Vol (2)'!AD$4:AD$1116,'Val-Vol (2)'!$A$4:$A$1116,$D752,'Val-Vol (2)'!$V$4:$V$1116,$V752)/SUMIFS('Comp2016-2017 (3)'!$G$5:$G$289,'Comp2016-2017 (3)'!$A$5:$A$289,$D752,'Comp2016-2017 (3)'!$R$5:$R$289,$V752)*$AB752))</f>
        <v>6526.336231094685</v>
      </c>
      <c r="AE752" s="2">
        <f>IF($W752=AE$3,$AB752,IF(NOT($W752=0),"",SUMIFS('Val-Vol (2)'!AE$4:AE$1116,'Val-Vol (2)'!$A$4:$A$1116,$D752,'Val-Vol (2)'!$V$4:$V$1116,$V752)/SUMIFS('Comp2016-2017 (3)'!$G$5:$G$289,'Comp2016-2017 (3)'!$A$5:$A$289,$D752,'Comp2016-2017 (3)'!$R$5:$R$289,$V752)*$AB752))</f>
        <v>1650.8806082046199</v>
      </c>
      <c r="AF752" s="2">
        <f>IF($W752=AF$3,$AB752,IF(NOT($W752=0),"",SUMIFS('Val-Vol (2)'!AF$4:AF$1116,'Val-Vol (2)'!$A$4:$A$1116,$D752,'Val-Vol (2)'!$V$4:$V$1116,$V752)/SUMIFS('Comp2016-2017 (3)'!$G$5:$G$289,'Comp2016-2017 (3)'!$A$5:$A$289,$D752,'Comp2016-2017 (3)'!$R$5:$R$289,$V752)*$AB752))</f>
        <v>0</v>
      </c>
      <c r="AG752" s="2">
        <f>IF($W752=AG$3,$AB752,IF(NOT($W752=0),"",SUMIFS('Val-Vol (2)'!AG$4:AG$1116,'Val-Vol (2)'!$A$4:$A$1116,$D752,'Val-Vol (2)'!$V$4:$V$1116,$V752)/SUMIFS('Comp2016-2017 (3)'!$G$5:$G$289,'Comp2016-2017 (3)'!$A$5:$A$289,$D752,'Comp2016-2017 (3)'!$R$5:$R$289,$V752)*$AB752))</f>
        <v>4436.3047599743149</v>
      </c>
      <c r="AH752" s="2">
        <f>IF($W752=AH$3,$AB752,IF(NOT($W752=0),"",SUMIFS('Val-Vol (2)'!AH$4:AH$1116,'Val-Vol (2)'!$A$4:$A$1116,$D752,'Val-Vol (2)'!$V$4:$V$1116,$V752)/SUMIFS('Comp2016-2017 (3)'!$G$5:$G$289,'Comp2016-2017 (3)'!$A$5:$A$289,$D752,'Comp2016-2017 (3)'!$R$5:$R$289,$V752)*$AB752))</f>
        <v>0</v>
      </c>
      <c r="AI752" s="2">
        <f>IF($W752=AI$3,$AB752,IF(NOT($W752=0),"",SUMIFS('Val-Vol (2)'!AI$4:AI$1116,'Val-Vol (2)'!$A$4:$A$1116,$D752,'Val-Vol (2)'!$V$4:$V$1116,$V752)/SUMIFS('Comp2016-2017 (3)'!$G$5:$G$289,'Comp2016-2017 (3)'!$A$5:$A$289,$D752,'Comp2016-2017 (3)'!$R$5:$R$289,$V752)*$AB752))</f>
        <v>5143.892610614661</v>
      </c>
      <c r="AJ752" s="2">
        <f>IF($W752=AJ$3,$AB752,IF(NOT($W752=0),"",SUMIFS('Val-Vol (2)'!AJ$4:AJ$1116,'Val-Vol (2)'!$A$4:$A$1116,$D752,'Val-Vol (2)'!$V$4:$V$1116,$V752)/SUMIFS('Comp2016-2017 (3)'!$G$5:$G$289,'Comp2016-2017 (3)'!$A$5:$A$289,$D752,'Comp2016-2017 (3)'!$R$5:$R$289,$V752)*$AB752))</f>
        <v>1038.5572115525299</v>
      </c>
      <c r="AK752" s="2">
        <f t="shared" si="83"/>
        <v>0</v>
      </c>
      <c r="AL752" t="str">
        <f t="shared" si="81"/>
        <v/>
      </c>
      <c r="AM752" t="str">
        <f>VLOOKUP(A752,'Table corresp.'!$M$4:$U$63,8,FALSE)</f>
        <v>Forêt</v>
      </c>
      <c r="AN752" t="str">
        <f>VLOOKUP(D752,'Table corresp.'!$M$4:$U$63,9,FALSE)</f>
        <v>Production intermédiaire</v>
      </c>
    </row>
    <row r="753" spans="1:40" x14ac:dyDescent="0.25">
      <c r="A753" t="s">
        <v>0</v>
      </c>
      <c r="B753" t="str">
        <f>VLOOKUP(LEFT(A753,3),'Table corresp.'!$A$4:$D$63,3,FALSE)</f>
        <v>Forêt</v>
      </c>
      <c r="C753" t="str">
        <f>VLOOKUP(A753,'Table corresp.'!$M$4:$P$63,4,FALSE)</f>
        <v>Production et transformation de produits bois</v>
      </c>
      <c r="D753" t="s">
        <v>6</v>
      </c>
      <c r="E753" t="str">
        <f>VLOOKUP(LEFT(D753,3),'Table corresp.'!$A$4:$D$63,4,FALSE)</f>
        <v>Transformation</v>
      </c>
      <c r="F753" t="str">
        <f t="shared" si="85"/>
        <v xml:space="preserve">02  - 11 </v>
      </c>
      <c r="G753" s="164">
        <v>2683.3772696372152</v>
      </c>
      <c r="H753" s="164">
        <v>5448.4819506195863</v>
      </c>
      <c r="I753" s="164">
        <v>8131.8592202567925</v>
      </c>
      <c r="J753" s="164">
        <v>43.625461031229229</v>
      </c>
      <c r="K753" s="164">
        <v>5.0762712339191189</v>
      </c>
      <c r="L753" s="164">
        <v>48.701732265148351</v>
      </c>
      <c r="M753" s="164">
        <v>0</v>
      </c>
      <c r="N753" s="164">
        <v>0</v>
      </c>
      <c r="O753" s="164">
        <v>0</v>
      </c>
      <c r="P753" s="164">
        <v>0</v>
      </c>
      <c r="Q753" s="164">
        <v>0</v>
      </c>
      <c r="R753" s="164">
        <v>0</v>
      </c>
      <c r="S753" s="163" t="str">
        <f t="shared" si="87"/>
        <v/>
      </c>
      <c r="T753" s="163">
        <f>VLOOKUP(A753,'Groupe de branches'!$Z$27:$AM$86,14,FALSE)</f>
        <v>0</v>
      </c>
      <c r="U753" s="163">
        <f>VLOOKUP(D753,'Groupe de branches'!$Z$27:$AM$86,14,FALSE)</f>
        <v>0</v>
      </c>
      <c r="V753" s="163">
        <v>2018</v>
      </c>
      <c r="W753">
        <f>VLOOKUP(D753,'Table corresp.'!$M$4:$S$63,7,FALSE)</f>
        <v>0</v>
      </c>
      <c r="X753" s="167">
        <f>IFERROR(G753/SUMIFS('Comp2016-2017 (3)'!$I$5:$I$289,'Comp2016-2017 (3)'!$A$5:$A$289,A753,'Comp2016-2017 (3)'!$R$5:$R$289,V753),0)</f>
        <v>2.0804086221576923E-3</v>
      </c>
      <c r="Y753" s="178">
        <f>IFERROR(IF(RIGHT(F753,3)="Exp",VLOOKUP(F753,#REF!,2,FALSE),VLOOKUP(F753,#REF!,9,FALSE)),1)</f>
        <v>1</v>
      </c>
      <c r="Z753" s="167">
        <f t="shared" si="86"/>
        <v>6.25E-2</v>
      </c>
      <c r="AA753" s="189">
        <f t="shared" si="82"/>
        <v>1.3002553888485577E-4</v>
      </c>
      <c r="AB753" s="2">
        <f>IFERROR(SUMIFS('Comp2016-2017 (3)'!$G$5:$G$289,'Comp2016-2017 (3)'!$A$5:$A$289,A753,'Comp2016-2017 (3)'!$R$5:$R$289,V753)*AA753/SUMIFS($AA$4:$AA$1116,$A$4:$A$1116,A753,$V$4:$V$1116,V753),0)</f>
        <v>1672.7122383157932</v>
      </c>
      <c r="AC753" s="2">
        <f>IF($W753=AC$3,$AB753,IF(NOT($W753=0),"",SUMIFS('Val-Vol (2)'!AC$4:AC$1116,'Val-Vol (2)'!$A$4:$A$1116,$D753,'Val-Vol (2)'!$V$4:$V$1116,$V753)/SUMIFS('Comp2016-2017 (3)'!$G$5:$G$289,'Comp2016-2017 (3)'!$A$5:$A$289,$D753,'Comp2016-2017 (3)'!$R$5:$R$289,$V753)*$AB753))</f>
        <v>304.85206374051478</v>
      </c>
      <c r="AD753" s="2">
        <f>IF($W753=AD$3,$AB753,IF(NOT($W753=0),"",SUMIFS('Val-Vol (2)'!AD$4:AD$1116,'Val-Vol (2)'!$A$4:$A$1116,$D753,'Val-Vol (2)'!$V$4:$V$1116,$V753)/SUMIFS('Comp2016-2017 (3)'!$G$5:$G$289,'Comp2016-2017 (3)'!$A$5:$A$289,$D753,'Comp2016-2017 (3)'!$R$5:$R$289,$V753)*$AB753))</f>
        <v>373.43004145406752</v>
      </c>
      <c r="AE753" s="2">
        <f>IF($W753=AE$3,$AB753,IF(NOT($W753=0),"",SUMIFS('Val-Vol (2)'!AE$4:AE$1116,'Val-Vol (2)'!$A$4:$A$1116,$D753,'Val-Vol (2)'!$V$4:$V$1116,$V753)/SUMIFS('Comp2016-2017 (3)'!$G$5:$G$289,'Comp2016-2017 (3)'!$A$5:$A$289,$D753,'Comp2016-2017 (3)'!$R$5:$R$289,$V753)*$AB753))</f>
        <v>65.451147840884957</v>
      </c>
      <c r="AF753" s="2">
        <f>IF($W753=AF$3,$AB753,IF(NOT($W753=0),"",SUMIFS('Val-Vol (2)'!AF$4:AF$1116,'Val-Vol (2)'!$A$4:$A$1116,$D753,'Val-Vol (2)'!$V$4:$V$1116,$V753)/SUMIFS('Comp2016-2017 (3)'!$G$5:$G$289,'Comp2016-2017 (3)'!$A$5:$A$289,$D753,'Comp2016-2017 (3)'!$R$5:$R$289,$V753)*$AB753))</f>
        <v>0</v>
      </c>
      <c r="AG753" s="2">
        <f>IF($W753=AG$3,$AB753,IF(NOT($W753=0),"",SUMIFS('Val-Vol (2)'!AG$4:AG$1116,'Val-Vol (2)'!$A$4:$A$1116,$D753,'Val-Vol (2)'!$V$4:$V$1116,$V753)/SUMIFS('Comp2016-2017 (3)'!$G$5:$G$289,'Comp2016-2017 (3)'!$A$5:$A$289,$D753,'Comp2016-2017 (3)'!$R$5:$R$289,$V753)*$AB753))</f>
        <v>0</v>
      </c>
      <c r="AH753" s="2">
        <f>IF($W753=AH$3,$AB753,IF(NOT($W753=0),"",SUMIFS('Val-Vol (2)'!AH$4:AH$1116,'Val-Vol (2)'!$A$4:$A$1116,$D753,'Val-Vol (2)'!$V$4:$V$1116,$V753)/SUMIFS('Comp2016-2017 (3)'!$G$5:$G$289,'Comp2016-2017 (3)'!$A$5:$A$289,$D753,'Comp2016-2017 (3)'!$R$5:$R$289,$V753)*$AB753))</f>
        <v>0</v>
      </c>
      <c r="AI753" s="2">
        <f>IF($W753=AI$3,$AB753,IF(NOT($W753=0),"",SUMIFS('Val-Vol (2)'!AI$4:AI$1116,'Val-Vol (2)'!$A$4:$A$1116,$D753,'Val-Vol (2)'!$V$4:$V$1116,$V753)/SUMIFS('Comp2016-2017 (3)'!$G$5:$G$289,'Comp2016-2017 (3)'!$A$5:$A$289,$D753,'Comp2016-2017 (3)'!$R$5:$R$289,$V753)*$AB753))</f>
        <v>908.00816255946995</v>
      </c>
      <c r="AJ753" s="2">
        <f>IF($W753=AJ$3,$AB753,IF(NOT($W753=0),"",SUMIFS('Val-Vol (2)'!AJ$4:AJ$1116,'Val-Vol (2)'!$A$4:$A$1116,$D753,'Val-Vol (2)'!$V$4:$V$1116,$V753)/SUMIFS('Comp2016-2017 (3)'!$G$5:$G$289,'Comp2016-2017 (3)'!$A$5:$A$289,$D753,'Comp2016-2017 (3)'!$R$5:$R$289,$V753)*$AB753))</f>
        <v>20.970822720855985</v>
      </c>
      <c r="AK753" s="2">
        <f t="shared" si="83"/>
        <v>0</v>
      </c>
      <c r="AL753" t="str">
        <f t="shared" si="81"/>
        <v/>
      </c>
      <c r="AM753" t="str">
        <f>VLOOKUP(A753,'Table corresp.'!$M$4:$U$63,8,FALSE)</f>
        <v>Forêt</v>
      </c>
      <c r="AN753" t="str">
        <f>VLOOKUP(D753,'Table corresp.'!$M$4:$U$63,9,FALSE)</f>
        <v>Production intermédiaire</v>
      </c>
    </row>
    <row r="754" spans="1:40" x14ac:dyDescent="0.25">
      <c r="A754" t="s">
        <v>0</v>
      </c>
      <c r="B754" t="str">
        <f>VLOOKUP(LEFT(A754,3),'Table corresp.'!$A$4:$D$63,3,FALSE)</f>
        <v>Forêt</v>
      </c>
      <c r="C754" t="str">
        <f>VLOOKUP(A754,'Table corresp.'!$M$4:$P$63,4,FALSE)</f>
        <v>Production et transformation de produits bois</v>
      </c>
      <c r="D754" t="s">
        <v>7</v>
      </c>
      <c r="E754" t="str">
        <f>VLOOKUP(LEFT(D754,3),'Table corresp.'!$A$4:$D$63,4,FALSE)</f>
        <v>Transformation</v>
      </c>
      <c r="F754" t="str">
        <f t="shared" si="85"/>
        <v xml:space="preserve">02  - 12 </v>
      </c>
      <c r="G754" s="164">
        <v>289438.19705281337</v>
      </c>
      <c r="H754" s="164">
        <v>29459.657676660925</v>
      </c>
      <c r="I754" s="164">
        <v>318897.85472947406</v>
      </c>
      <c r="J754" s="164">
        <v>6519.2434375135763</v>
      </c>
      <c r="K754" s="164">
        <v>156.33349305810313</v>
      </c>
      <c r="L754" s="164">
        <v>6675.5769305716794</v>
      </c>
      <c r="M754" s="164">
        <v>0</v>
      </c>
      <c r="N754" s="164">
        <v>0</v>
      </c>
      <c r="O754" s="164">
        <v>0</v>
      </c>
      <c r="P754" s="164">
        <v>0</v>
      </c>
      <c r="Q754" s="164">
        <v>0</v>
      </c>
      <c r="R754" s="164">
        <v>0</v>
      </c>
      <c r="S754" s="163" t="str">
        <f t="shared" si="87"/>
        <v/>
      </c>
      <c r="T754" s="163">
        <f>VLOOKUP(A754,'Groupe de branches'!$Z$27:$AM$86,14,FALSE)</f>
        <v>0</v>
      </c>
      <c r="U754" s="163">
        <f>VLOOKUP(D754,'Groupe de branches'!$Z$27:$AM$86,14,FALSE)</f>
        <v>0</v>
      </c>
      <c r="V754" s="163">
        <v>2018</v>
      </c>
      <c r="W754">
        <f>VLOOKUP(D754,'Table corresp.'!$M$4:$S$63,7,FALSE)</f>
        <v>0</v>
      </c>
      <c r="X754" s="167">
        <f>IFERROR(G754/SUMIFS('Comp2016-2017 (3)'!$I$5:$I$289,'Comp2016-2017 (3)'!$A$5:$A$289,A754,'Comp2016-2017 (3)'!$R$5:$R$289,V754),0)</f>
        <v>0.22439994835756322</v>
      </c>
      <c r="Y754" s="178">
        <f>IFERROR(IF(RIGHT(F754,3)="Exp",VLOOKUP(F754,#REF!,2,FALSE),VLOOKUP(F754,#REF!,9,FALSE)),1)</f>
        <v>1</v>
      </c>
      <c r="Z754" s="167">
        <f t="shared" si="86"/>
        <v>6.25E-2</v>
      </c>
      <c r="AA754" s="189">
        <f t="shared" si="82"/>
        <v>1.4024996772347701E-2</v>
      </c>
      <c r="AB754" s="2">
        <f>IFERROR(SUMIFS('Comp2016-2017 (3)'!$G$5:$G$289,'Comp2016-2017 (3)'!$A$5:$A$289,A754,'Comp2016-2017 (3)'!$R$5:$R$289,V754)*AA754/SUMIFS($AA$4:$AA$1116,$A$4:$A$1116,A754,$V$4:$V$1116,V754),0)</f>
        <v>180424.43003616645</v>
      </c>
      <c r="AC754" s="2">
        <f>IF($W754=AC$3,$AB754,IF(NOT($W754=0),"",SUMIFS('Val-Vol (2)'!AC$4:AC$1116,'Val-Vol (2)'!$A$4:$A$1116,$D754,'Val-Vol (2)'!$V$4:$V$1116,$V754)/SUMIFS('Comp2016-2017 (3)'!$G$5:$G$289,'Comp2016-2017 (3)'!$A$5:$A$289,$D754,'Comp2016-2017 (3)'!$R$5:$R$289,$V754)*$AB754))</f>
        <v>12988.350303557534</v>
      </c>
      <c r="AD754" s="2">
        <f>IF($W754=AD$3,$AB754,IF(NOT($W754=0),"",SUMIFS('Val-Vol (2)'!AD$4:AD$1116,'Val-Vol (2)'!$A$4:$A$1116,$D754,'Val-Vol (2)'!$V$4:$V$1116,$V754)/SUMIFS('Comp2016-2017 (3)'!$G$5:$G$289,'Comp2016-2017 (3)'!$A$5:$A$289,$D754,'Comp2016-2017 (3)'!$R$5:$R$289,$V754)*$AB754))</f>
        <v>114639.83754668292</v>
      </c>
      <c r="AE754" s="2">
        <f>IF($W754=AE$3,$AB754,IF(NOT($W754=0),"",SUMIFS('Val-Vol (2)'!AE$4:AE$1116,'Val-Vol (2)'!$A$4:$A$1116,$D754,'Val-Vol (2)'!$V$4:$V$1116,$V754)/SUMIFS('Comp2016-2017 (3)'!$G$5:$G$289,'Comp2016-2017 (3)'!$A$5:$A$289,$D754,'Comp2016-2017 (3)'!$R$5:$R$289,$V754)*$AB754))</f>
        <v>2674.5449737457648</v>
      </c>
      <c r="AF754" s="2">
        <f>IF($W754=AF$3,$AB754,IF(NOT($W754=0),"",SUMIFS('Val-Vol (2)'!AF$4:AF$1116,'Val-Vol (2)'!$A$4:$A$1116,$D754,'Val-Vol (2)'!$V$4:$V$1116,$V754)/SUMIFS('Comp2016-2017 (3)'!$G$5:$G$289,'Comp2016-2017 (3)'!$A$5:$A$289,$D754,'Comp2016-2017 (3)'!$R$5:$R$289,$V754)*$AB754))</f>
        <v>0</v>
      </c>
      <c r="AG754" s="2">
        <f>IF($W754=AG$3,$AB754,IF(NOT($W754=0),"",SUMIFS('Val-Vol (2)'!AG$4:AG$1116,'Val-Vol (2)'!$A$4:$A$1116,$D754,'Val-Vol (2)'!$V$4:$V$1116,$V754)/SUMIFS('Comp2016-2017 (3)'!$G$5:$G$289,'Comp2016-2017 (3)'!$A$5:$A$289,$D754,'Comp2016-2017 (3)'!$R$5:$R$289,$V754)*$AB754))</f>
        <v>19687.425713848817</v>
      </c>
      <c r="AH754" s="2">
        <f>IF($W754=AH$3,$AB754,IF(NOT($W754=0),"",SUMIFS('Val-Vol (2)'!AH$4:AH$1116,'Val-Vol (2)'!$A$4:$A$1116,$D754,'Val-Vol (2)'!$V$4:$V$1116,$V754)/SUMIFS('Comp2016-2017 (3)'!$G$5:$G$289,'Comp2016-2017 (3)'!$A$5:$A$289,$D754,'Comp2016-2017 (3)'!$R$5:$R$289,$V754)*$AB754))</f>
        <v>0</v>
      </c>
      <c r="AI754" s="2">
        <f>IF($W754=AI$3,$AB754,IF(NOT($W754=0),"",SUMIFS('Val-Vol (2)'!AI$4:AI$1116,'Val-Vol (2)'!$A$4:$A$1116,$D754,'Val-Vol (2)'!$V$4:$V$1116,$V754)/SUMIFS('Comp2016-2017 (3)'!$G$5:$G$289,'Comp2016-2017 (3)'!$A$5:$A$289,$D754,'Comp2016-2017 (3)'!$R$5:$R$289,$V754)*$AB754))</f>
        <v>5215.1613782941185</v>
      </c>
      <c r="AJ754" s="2">
        <f>IF($W754=AJ$3,$AB754,IF(NOT($W754=0),"",SUMIFS('Val-Vol (2)'!AJ$4:AJ$1116,'Val-Vol (2)'!$A$4:$A$1116,$D754,'Val-Vol (2)'!$V$4:$V$1116,$V754)/SUMIFS('Comp2016-2017 (3)'!$G$5:$G$289,'Comp2016-2017 (3)'!$A$5:$A$289,$D754,'Comp2016-2017 (3)'!$R$5:$R$289,$V754)*$AB754))</f>
        <v>25219.110120037294</v>
      </c>
      <c r="AK754" s="2">
        <f t="shared" si="83"/>
        <v>0</v>
      </c>
      <c r="AL754" t="str">
        <f t="shared" si="81"/>
        <v/>
      </c>
      <c r="AM754" t="str">
        <f>VLOOKUP(A754,'Table corresp.'!$M$4:$U$63,8,FALSE)</f>
        <v>Forêt</v>
      </c>
      <c r="AN754" t="str">
        <f>VLOOKUP(D754,'Table corresp.'!$M$4:$U$63,9,FALSE)</f>
        <v>Production intermédiaire</v>
      </c>
    </row>
    <row r="755" spans="1:40" x14ac:dyDescent="0.25">
      <c r="A755" t="s">
        <v>0</v>
      </c>
      <c r="B755" t="str">
        <f>VLOOKUP(LEFT(A755,3),'Table corresp.'!$A$4:$D$63,3,FALSE)</f>
        <v>Forêt</v>
      </c>
      <c r="C755" t="str">
        <f>VLOOKUP(A755,'Table corresp.'!$M$4:$P$63,4,FALSE)</f>
        <v>Production et transformation de produits bois</v>
      </c>
      <c r="D755" t="s">
        <v>8</v>
      </c>
      <c r="E755" t="str">
        <f>VLOOKUP(LEFT(D755,3),'Table corresp.'!$A$4:$D$63,4,FALSE)</f>
        <v>Transformation</v>
      </c>
      <c r="F755" t="str">
        <f t="shared" si="85"/>
        <v xml:space="preserve">02  - 13 </v>
      </c>
      <c r="G755" s="164">
        <v>112415.4108289166</v>
      </c>
      <c r="H755" s="164">
        <v>0</v>
      </c>
      <c r="I755" s="164">
        <v>112415.41082891649</v>
      </c>
      <c r="J755" s="164">
        <v>2153.2726963305608</v>
      </c>
      <c r="K755" s="164">
        <v>0</v>
      </c>
      <c r="L755" s="164">
        <v>2153.2726963305608</v>
      </c>
      <c r="M755" s="164">
        <v>0</v>
      </c>
      <c r="N755" s="164">
        <v>0</v>
      </c>
      <c r="O755" s="164">
        <v>0</v>
      </c>
      <c r="P755" s="164">
        <v>0</v>
      </c>
      <c r="Q755" s="164">
        <v>0</v>
      </c>
      <c r="R755" s="164">
        <v>0</v>
      </c>
      <c r="S755" s="163" t="str">
        <f t="shared" si="87"/>
        <v/>
      </c>
      <c r="T755" s="163">
        <f>VLOOKUP(A755,'Groupe de branches'!$Z$27:$AM$86,14,FALSE)</f>
        <v>0</v>
      </c>
      <c r="U755" s="163">
        <f>VLOOKUP(D755,'Groupe de branches'!$Z$27:$AM$86,14,FALSE)</f>
        <v>0</v>
      </c>
      <c r="V755" s="163">
        <v>2018</v>
      </c>
      <c r="W755">
        <f>VLOOKUP(D755,'Table corresp.'!$M$4:$S$63,7,FALSE)</f>
        <v>0</v>
      </c>
      <c r="X755" s="167">
        <f>IFERROR(G755/SUMIFS('Comp2016-2017 (3)'!$I$5:$I$289,'Comp2016-2017 (3)'!$A$5:$A$289,A755,'Comp2016-2017 (3)'!$R$5:$R$289,V755),0)</f>
        <v>8.7155090936391455E-2</v>
      </c>
      <c r="Y755" s="178">
        <f>IFERROR(IF(RIGHT(F755,3)="Exp",VLOOKUP(F755,#REF!,2,FALSE),VLOOKUP(F755,#REF!,9,FALSE)),1)</f>
        <v>1</v>
      </c>
      <c r="Z755" s="167">
        <f t="shared" si="86"/>
        <v>6.25E-2</v>
      </c>
      <c r="AA755" s="189">
        <f t="shared" si="82"/>
        <v>5.4471931835244659E-3</v>
      </c>
      <c r="AB755" s="2">
        <f>IFERROR(SUMIFS('Comp2016-2017 (3)'!$G$5:$G$289,'Comp2016-2017 (3)'!$A$5:$A$289,A755,'Comp2016-2017 (3)'!$R$5:$R$289,V755)*AA755/SUMIFS($AA$4:$AA$1116,$A$4:$A$1116,A755,$V$4:$V$1116,V755),0)</f>
        <v>70075.36196885533</v>
      </c>
      <c r="AC755" s="2">
        <f>IF($W755=AC$3,$AB755,IF(NOT($W755=0),"",SUMIFS('Val-Vol (2)'!AC$4:AC$1116,'Val-Vol (2)'!$A$4:$A$1116,$D755,'Val-Vol (2)'!$V$4:$V$1116,$V755)/SUMIFS('Comp2016-2017 (3)'!$G$5:$G$289,'Comp2016-2017 (3)'!$A$5:$A$289,$D755,'Comp2016-2017 (3)'!$R$5:$R$289,$V755)*$AB755))</f>
        <v>9438.898620160604</v>
      </c>
      <c r="AD755" s="2">
        <f>IF($W755=AD$3,$AB755,IF(NOT($W755=0),"",SUMIFS('Val-Vol (2)'!AD$4:AD$1116,'Val-Vol (2)'!$A$4:$A$1116,$D755,'Val-Vol (2)'!$V$4:$V$1116,$V755)/SUMIFS('Comp2016-2017 (3)'!$G$5:$G$289,'Comp2016-2017 (3)'!$A$5:$A$289,$D755,'Comp2016-2017 (3)'!$R$5:$R$289,$V755)*$AB755))</f>
        <v>19030.789684676001</v>
      </c>
      <c r="AE755" s="2">
        <f>IF($W755=AE$3,$AB755,IF(NOT($W755=0),"",SUMIFS('Val-Vol (2)'!AE$4:AE$1116,'Val-Vol (2)'!$A$4:$A$1116,$D755,'Val-Vol (2)'!$V$4:$V$1116,$V755)/SUMIFS('Comp2016-2017 (3)'!$G$5:$G$289,'Comp2016-2017 (3)'!$A$5:$A$289,$D755,'Comp2016-2017 (3)'!$R$5:$R$289,$V755)*$AB755))</f>
        <v>10.599086556291757</v>
      </c>
      <c r="AF755" s="2">
        <f>IF($W755=AF$3,$AB755,IF(NOT($W755=0),"",SUMIFS('Val-Vol (2)'!AF$4:AF$1116,'Val-Vol (2)'!$A$4:$A$1116,$D755,'Val-Vol (2)'!$V$4:$V$1116,$V755)/SUMIFS('Comp2016-2017 (3)'!$G$5:$G$289,'Comp2016-2017 (3)'!$A$5:$A$289,$D755,'Comp2016-2017 (3)'!$R$5:$R$289,$V755)*$AB755))</f>
        <v>0</v>
      </c>
      <c r="AG755" s="2">
        <f>IF($W755=AG$3,$AB755,IF(NOT($W755=0),"",SUMIFS('Val-Vol (2)'!AG$4:AG$1116,'Val-Vol (2)'!$A$4:$A$1116,$D755,'Val-Vol (2)'!$V$4:$V$1116,$V755)/SUMIFS('Comp2016-2017 (3)'!$G$5:$G$289,'Comp2016-2017 (3)'!$A$5:$A$289,$D755,'Comp2016-2017 (3)'!$R$5:$R$289,$V755)*$AB755))</f>
        <v>14481.419930366928</v>
      </c>
      <c r="AH755" s="2">
        <f>IF($W755=AH$3,$AB755,IF(NOT($W755=0),"",SUMIFS('Val-Vol (2)'!AH$4:AH$1116,'Val-Vol (2)'!$A$4:$A$1116,$D755,'Val-Vol (2)'!$V$4:$V$1116,$V755)/SUMIFS('Comp2016-2017 (3)'!$G$5:$G$289,'Comp2016-2017 (3)'!$A$5:$A$289,$D755,'Comp2016-2017 (3)'!$R$5:$R$289,$V755)*$AB755))</f>
        <v>0</v>
      </c>
      <c r="AI755" s="2">
        <f>IF($W755=AI$3,$AB755,IF(NOT($W755=0),"",SUMIFS('Val-Vol (2)'!AI$4:AI$1116,'Val-Vol (2)'!$A$4:$A$1116,$D755,'Val-Vol (2)'!$V$4:$V$1116,$V755)/SUMIFS('Comp2016-2017 (3)'!$G$5:$G$289,'Comp2016-2017 (3)'!$A$5:$A$289,$D755,'Comp2016-2017 (3)'!$R$5:$R$289,$V755)*$AB755))</f>
        <v>0</v>
      </c>
      <c r="AJ755" s="2">
        <f>IF($W755=AJ$3,$AB755,IF(NOT($W755=0),"",SUMIFS('Val-Vol (2)'!AJ$4:AJ$1116,'Val-Vol (2)'!$A$4:$A$1116,$D755,'Val-Vol (2)'!$V$4:$V$1116,$V755)/SUMIFS('Comp2016-2017 (3)'!$G$5:$G$289,'Comp2016-2017 (3)'!$A$5:$A$289,$D755,'Comp2016-2017 (3)'!$R$5:$R$289,$V755)*$AB755))</f>
        <v>27113.6546470955</v>
      </c>
      <c r="AK755" s="2">
        <f t="shared" si="83"/>
        <v>0</v>
      </c>
      <c r="AL755" t="str">
        <f t="shared" si="81"/>
        <v/>
      </c>
      <c r="AM755" t="str">
        <f>VLOOKUP(A755,'Table corresp.'!$M$4:$U$63,8,FALSE)</f>
        <v>Forêt</v>
      </c>
      <c r="AN755" t="str">
        <f>VLOOKUP(D755,'Table corresp.'!$M$4:$U$63,9,FALSE)</f>
        <v>Production intermédiaire</v>
      </c>
    </row>
    <row r="756" spans="1:40" x14ac:dyDescent="0.25">
      <c r="A756" t="s">
        <v>0</v>
      </c>
      <c r="B756" t="str">
        <f>VLOOKUP(LEFT(A756,3),'Table corresp.'!$A$4:$D$63,3,FALSE)</f>
        <v>Forêt</v>
      </c>
      <c r="C756" t="str">
        <f>VLOOKUP(A756,'Table corresp.'!$M$4:$P$63,4,FALSE)</f>
        <v>Production et transformation de produits bois</v>
      </c>
      <c r="D756" t="s">
        <v>83</v>
      </c>
      <c r="E756" t="str">
        <f>VLOOKUP(LEFT(D756,3),'Table corresp.'!$A$4:$D$63,4,FALSE)</f>
        <v>Transformation</v>
      </c>
      <c r="F756" t="str">
        <f t="shared" si="85"/>
        <v xml:space="preserve">02  - 14 </v>
      </c>
      <c r="G756" s="164">
        <v>43429.419308530669</v>
      </c>
      <c r="H756" s="164">
        <v>4314.1970787556111</v>
      </c>
      <c r="I756" s="164">
        <v>47743.616387286238</v>
      </c>
      <c r="J756" s="164">
        <v>1098.7924258089658</v>
      </c>
      <c r="K756" s="164">
        <v>23.175010010545883</v>
      </c>
      <c r="L756" s="164">
        <v>1121.9674358195118</v>
      </c>
      <c r="M756" s="164">
        <v>0</v>
      </c>
      <c r="N756" s="164">
        <v>0</v>
      </c>
      <c r="O756" s="164">
        <v>0</v>
      </c>
      <c r="P756" s="164">
        <v>0</v>
      </c>
      <c r="Q756" s="164">
        <v>0</v>
      </c>
      <c r="R756" s="164">
        <v>0</v>
      </c>
      <c r="S756" s="163" t="str">
        <f t="shared" si="87"/>
        <v/>
      </c>
      <c r="T756" s="163">
        <f>VLOOKUP(A756,'Groupe de branches'!$Z$27:$AM$86,14,FALSE)</f>
        <v>0</v>
      </c>
      <c r="U756" s="163">
        <f>VLOOKUP(D756,'Groupe de branches'!$Z$27:$AM$86,14,FALSE)</f>
        <v>0</v>
      </c>
      <c r="V756" s="163">
        <v>2018</v>
      </c>
      <c r="W756">
        <f>VLOOKUP(D756,'Table corresp.'!$M$4:$S$63,7,FALSE)</f>
        <v>0</v>
      </c>
      <c r="X756" s="167">
        <f>IFERROR(G756/SUMIFS('Comp2016-2017 (3)'!$I$5:$I$289,'Comp2016-2017 (3)'!$A$5:$A$289,A756,'Comp2016-2017 (3)'!$R$5:$R$289,V756),0)</f>
        <v>3.367060584700568E-2</v>
      </c>
      <c r="Y756" s="178">
        <f>IFERROR(IF(RIGHT(F756,3)="Exp",VLOOKUP(F756,#REF!,2,FALSE),VLOOKUP(F756,#REF!,9,FALSE)),1)</f>
        <v>1</v>
      </c>
      <c r="Z756" s="167">
        <f t="shared" si="86"/>
        <v>6.25E-2</v>
      </c>
      <c r="AA756" s="189">
        <f t="shared" si="82"/>
        <v>2.104412865437855E-3</v>
      </c>
      <c r="AB756" s="2">
        <f>IFERROR(SUMIFS('Comp2016-2017 (3)'!$G$5:$G$289,'Comp2016-2017 (3)'!$A$5:$A$289,A756,'Comp2016-2017 (3)'!$R$5:$R$289,V756)*AA756/SUMIFS($AA$4:$AA$1116,$A$4:$A$1116,A756,$V$4:$V$1116,V756),0)</f>
        <v>27072.198159503987</v>
      </c>
      <c r="AC756" s="2">
        <f>IF($W756=AC$3,$AB756,IF(NOT($W756=0),"",SUMIFS('Val-Vol (2)'!AC$4:AC$1116,'Val-Vol (2)'!$A$4:$A$1116,$D756,'Val-Vol (2)'!$V$4:$V$1116,$V756)/SUMIFS('Comp2016-2017 (3)'!$G$5:$G$289,'Comp2016-2017 (3)'!$A$5:$A$289,$D756,'Comp2016-2017 (3)'!$R$5:$R$289,$V756)*$AB756))</f>
        <v>15815.080037007046</v>
      </c>
      <c r="AD756" s="2">
        <f>IF($W756=AD$3,$AB756,IF(NOT($W756=0),"",SUMIFS('Val-Vol (2)'!AD$4:AD$1116,'Val-Vol (2)'!$A$4:$A$1116,$D756,'Val-Vol (2)'!$V$4:$V$1116,$V756)/SUMIFS('Comp2016-2017 (3)'!$G$5:$G$289,'Comp2016-2017 (3)'!$A$5:$A$289,$D756,'Comp2016-2017 (3)'!$R$5:$R$289,$V756)*$AB756))</f>
        <v>6457.3353213467208</v>
      </c>
      <c r="AE756" s="2">
        <f>IF($W756=AE$3,$AB756,IF(NOT($W756=0),"",SUMIFS('Val-Vol (2)'!AE$4:AE$1116,'Val-Vol (2)'!$A$4:$A$1116,$D756,'Val-Vol (2)'!$V$4:$V$1116,$V756)/SUMIFS('Comp2016-2017 (3)'!$G$5:$G$289,'Comp2016-2017 (3)'!$A$5:$A$289,$D756,'Comp2016-2017 (3)'!$R$5:$R$289,$V756)*$AB756))</f>
        <v>99.601429871265637</v>
      </c>
      <c r="AF756" s="2">
        <f>IF($W756=AF$3,$AB756,IF(NOT($W756=0),"",SUMIFS('Val-Vol (2)'!AF$4:AF$1116,'Val-Vol (2)'!$A$4:$A$1116,$D756,'Val-Vol (2)'!$V$4:$V$1116,$V756)/SUMIFS('Comp2016-2017 (3)'!$G$5:$G$289,'Comp2016-2017 (3)'!$A$5:$A$289,$D756,'Comp2016-2017 (3)'!$R$5:$R$289,$V756)*$AB756))</f>
        <v>0</v>
      </c>
      <c r="AG756" s="2">
        <f>IF($W756=AG$3,$AB756,IF(NOT($W756=0),"",SUMIFS('Val-Vol (2)'!AG$4:AG$1116,'Val-Vol (2)'!$A$4:$A$1116,$D756,'Val-Vol (2)'!$V$4:$V$1116,$V756)/SUMIFS('Comp2016-2017 (3)'!$G$5:$G$289,'Comp2016-2017 (3)'!$A$5:$A$289,$D756,'Comp2016-2017 (3)'!$R$5:$R$289,$V756)*$AB756))</f>
        <v>3730.3100796730246</v>
      </c>
      <c r="AH756" s="2">
        <f>IF($W756=AH$3,$AB756,IF(NOT($W756=0),"",SUMIFS('Val-Vol (2)'!AH$4:AH$1116,'Val-Vol (2)'!$A$4:$A$1116,$D756,'Val-Vol (2)'!$V$4:$V$1116,$V756)/SUMIFS('Comp2016-2017 (3)'!$G$5:$G$289,'Comp2016-2017 (3)'!$A$5:$A$289,$D756,'Comp2016-2017 (3)'!$R$5:$R$289,$V756)*$AB756))</f>
        <v>0</v>
      </c>
      <c r="AI756" s="2">
        <f>IF($W756=AI$3,$AB756,IF(NOT($W756=0),"",SUMIFS('Val-Vol (2)'!AI$4:AI$1116,'Val-Vol (2)'!$A$4:$A$1116,$D756,'Val-Vol (2)'!$V$4:$V$1116,$V756)/SUMIFS('Comp2016-2017 (3)'!$G$5:$G$289,'Comp2016-2017 (3)'!$A$5:$A$289,$D756,'Comp2016-2017 (3)'!$R$5:$R$289,$V756)*$AB756))</f>
        <v>0</v>
      </c>
      <c r="AJ756" s="2">
        <f>IF($W756=AJ$3,$AB756,IF(NOT($W756=0),"",SUMIFS('Val-Vol (2)'!AJ$4:AJ$1116,'Val-Vol (2)'!$A$4:$A$1116,$D756,'Val-Vol (2)'!$V$4:$V$1116,$V756)/SUMIFS('Comp2016-2017 (3)'!$G$5:$G$289,'Comp2016-2017 (3)'!$A$5:$A$289,$D756,'Comp2016-2017 (3)'!$R$5:$R$289,$V756)*$AB756))</f>
        <v>969.87129160592872</v>
      </c>
      <c r="AK756" s="2">
        <f t="shared" si="83"/>
        <v>0</v>
      </c>
      <c r="AL756" t="str">
        <f t="shared" si="81"/>
        <v/>
      </c>
      <c r="AM756" t="str">
        <f>VLOOKUP(A756,'Table corresp.'!$M$4:$U$63,8,FALSE)</f>
        <v>Forêt</v>
      </c>
      <c r="AN756" t="str">
        <f>VLOOKUP(D756,'Table corresp.'!$M$4:$U$63,9,FALSE)</f>
        <v>Production intermédiaire</v>
      </c>
    </row>
    <row r="757" spans="1:40" x14ac:dyDescent="0.25">
      <c r="A757" t="s">
        <v>0</v>
      </c>
      <c r="B757" t="str">
        <f>VLOOKUP(LEFT(A757,3),'Table corresp.'!$A$4:$D$63,3,FALSE)</f>
        <v>Forêt</v>
      </c>
      <c r="C757" t="str">
        <f>VLOOKUP(A757,'Table corresp.'!$M$4:$P$63,4,FALSE)</f>
        <v>Production et transformation de produits bois</v>
      </c>
      <c r="D757" t="s">
        <v>9</v>
      </c>
      <c r="E757" t="str">
        <f>VLOOKUP(LEFT(D757,3),'Table corresp.'!$A$4:$D$63,4,FALSE)</f>
        <v>Transformation</v>
      </c>
      <c r="F757" t="str">
        <f t="shared" si="85"/>
        <v xml:space="preserve">02  - 15 </v>
      </c>
      <c r="G757" s="164">
        <v>104643.63581034041</v>
      </c>
      <c r="H757" s="164">
        <v>0</v>
      </c>
      <c r="I757" s="164">
        <v>104643.63581034032</v>
      </c>
      <c r="J757" s="164">
        <v>2850.9183145393313</v>
      </c>
      <c r="K757" s="164">
        <v>0</v>
      </c>
      <c r="L757" s="164">
        <v>2850.9183145393313</v>
      </c>
      <c r="M757" s="164">
        <v>0</v>
      </c>
      <c r="N757" s="164">
        <v>0</v>
      </c>
      <c r="O757" s="164">
        <v>0</v>
      </c>
      <c r="P757" s="164">
        <v>0</v>
      </c>
      <c r="Q757" s="164">
        <v>0</v>
      </c>
      <c r="R757" s="164">
        <v>0</v>
      </c>
      <c r="S757" s="163" t="str">
        <f t="shared" si="87"/>
        <v/>
      </c>
      <c r="T757" s="163">
        <f>VLOOKUP(A757,'Groupe de branches'!$Z$27:$AM$86,14,FALSE)</f>
        <v>0</v>
      </c>
      <c r="U757" s="163">
        <f>VLOOKUP(D757,'Groupe de branches'!$Z$27:$AM$86,14,FALSE)</f>
        <v>0</v>
      </c>
      <c r="V757" s="163">
        <v>2018</v>
      </c>
      <c r="W757">
        <f>VLOOKUP(D757,'Table corresp.'!$M$4:$S$63,7,FALSE)</f>
        <v>0</v>
      </c>
      <c r="X757" s="167">
        <f>IFERROR(G757/SUMIFS('Comp2016-2017 (3)'!$I$5:$I$289,'Comp2016-2017 (3)'!$A$5:$A$289,A757,'Comp2016-2017 (3)'!$R$5:$R$289,V757),0)</f>
        <v>8.1129673660533849E-2</v>
      </c>
      <c r="Y757" s="178">
        <f>IFERROR(IF(RIGHT(F757,3)="Exp",VLOOKUP(F757,#REF!,2,FALSE),VLOOKUP(F757,#REF!,9,FALSE)),1)</f>
        <v>1</v>
      </c>
      <c r="Z757" s="167">
        <f t="shared" si="86"/>
        <v>6.25E-2</v>
      </c>
      <c r="AA757" s="189">
        <f t="shared" si="82"/>
        <v>5.0706046037833656E-3</v>
      </c>
      <c r="AB757" s="2">
        <f>IFERROR(SUMIFS('Comp2016-2017 (3)'!$G$5:$G$289,'Comp2016-2017 (3)'!$A$5:$A$289,A757,'Comp2016-2017 (3)'!$R$5:$R$289,V757)*AA757/SUMIFS($AA$4:$AA$1116,$A$4:$A$1116,A757,$V$4:$V$1116,V757),0)</f>
        <v>65230.74196923562</v>
      </c>
      <c r="AC757" s="2">
        <f>IF($W757=AC$3,$AB757,IF(NOT($W757=0),"",SUMIFS('Val-Vol (2)'!AC$4:AC$1116,'Val-Vol (2)'!$A$4:$A$1116,$D757,'Val-Vol (2)'!$V$4:$V$1116,$V757)/SUMIFS('Comp2016-2017 (3)'!$G$5:$G$289,'Comp2016-2017 (3)'!$A$5:$A$289,$D757,'Comp2016-2017 (3)'!$R$5:$R$289,$V757)*$AB757))</f>
        <v>1945.2930437488617</v>
      </c>
      <c r="AD757" s="2">
        <f>IF($W757=AD$3,$AB757,IF(NOT($W757=0),"",SUMIFS('Val-Vol (2)'!AD$4:AD$1116,'Val-Vol (2)'!$A$4:$A$1116,$D757,'Val-Vol (2)'!$V$4:$V$1116,$V757)/SUMIFS('Comp2016-2017 (3)'!$G$5:$G$289,'Comp2016-2017 (3)'!$A$5:$A$289,$D757,'Comp2016-2017 (3)'!$R$5:$R$289,$V757)*$AB757))</f>
        <v>12209.589532706934</v>
      </c>
      <c r="AE757" s="2">
        <f>IF($W757=AE$3,$AB757,IF(NOT($W757=0),"",SUMIFS('Val-Vol (2)'!AE$4:AE$1116,'Val-Vol (2)'!$A$4:$A$1116,$D757,'Val-Vol (2)'!$V$4:$V$1116,$V757)/SUMIFS('Comp2016-2017 (3)'!$G$5:$G$289,'Comp2016-2017 (3)'!$A$5:$A$289,$D757,'Comp2016-2017 (3)'!$R$5:$R$289,$V757)*$AB757))</f>
        <v>4.1282301202332521</v>
      </c>
      <c r="AF757" s="2">
        <f>IF($W757=AF$3,$AB757,IF(NOT($W757=0),"",SUMIFS('Val-Vol (2)'!AF$4:AF$1116,'Val-Vol (2)'!$A$4:$A$1116,$D757,'Val-Vol (2)'!$V$4:$V$1116,$V757)/SUMIFS('Comp2016-2017 (3)'!$G$5:$G$289,'Comp2016-2017 (3)'!$A$5:$A$289,$D757,'Comp2016-2017 (3)'!$R$5:$R$289,$V757)*$AB757))</f>
        <v>0</v>
      </c>
      <c r="AG757" s="2">
        <f>IF($W757=AG$3,$AB757,IF(NOT($W757=0),"",SUMIFS('Val-Vol (2)'!AG$4:AG$1116,'Val-Vol (2)'!$A$4:$A$1116,$D757,'Val-Vol (2)'!$V$4:$V$1116,$V757)/SUMIFS('Comp2016-2017 (3)'!$G$5:$G$289,'Comp2016-2017 (3)'!$A$5:$A$289,$D757,'Comp2016-2017 (3)'!$R$5:$R$289,$V757)*$AB757))</f>
        <v>31194.978582353633</v>
      </c>
      <c r="AH757" s="2">
        <f>IF($W757=AH$3,$AB757,IF(NOT($W757=0),"",SUMIFS('Val-Vol (2)'!AH$4:AH$1116,'Val-Vol (2)'!$A$4:$A$1116,$D757,'Val-Vol (2)'!$V$4:$V$1116,$V757)/SUMIFS('Comp2016-2017 (3)'!$G$5:$G$289,'Comp2016-2017 (3)'!$A$5:$A$289,$D757,'Comp2016-2017 (3)'!$R$5:$R$289,$V757)*$AB757))</f>
        <v>0</v>
      </c>
      <c r="AI757" s="2">
        <f>IF($W757=AI$3,$AB757,IF(NOT($W757=0),"",SUMIFS('Val-Vol (2)'!AI$4:AI$1116,'Val-Vol (2)'!$A$4:$A$1116,$D757,'Val-Vol (2)'!$V$4:$V$1116,$V757)/SUMIFS('Comp2016-2017 (3)'!$G$5:$G$289,'Comp2016-2017 (3)'!$A$5:$A$289,$D757,'Comp2016-2017 (3)'!$R$5:$R$289,$V757)*$AB757))</f>
        <v>0</v>
      </c>
      <c r="AJ757" s="2">
        <f>IF($W757=AJ$3,$AB757,IF(NOT($W757=0),"",SUMIFS('Val-Vol (2)'!AJ$4:AJ$1116,'Val-Vol (2)'!$A$4:$A$1116,$D757,'Val-Vol (2)'!$V$4:$V$1116,$V757)/SUMIFS('Comp2016-2017 (3)'!$G$5:$G$289,'Comp2016-2017 (3)'!$A$5:$A$289,$D757,'Comp2016-2017 (3)'!$R$5:$R$289,$V757)*$AB757))</f>
        <v>19876.752580305954</v>
      </c>
      <c r="AK757" s="2">
        <f t="shared" si="83"/>
        <v>0</v>
      </c>
      <c r="AL757" t="str">
        <f t="shared" si="81"/>
        <v/>
      </c>
      <c r="AM757" t="str">
        <f>VLOOKUP(A757,'Table corresp.'!$M$4:$U$63,8,FALSE)</f>
        <v>Forêt</v>
      </c>
      <c r="AN757" t="str">
        <f>VLOOKUP(D757,'Table corresp.'!$M$4:$U$63,9,FALSE)</f>
        <v>Production intermédiaire</v>
      </c>
    </row>
    <row r="758" spans="1:40" x14ac:dyDescent="0.25">
      <c r="A758" t="s">
        <v>0</v>
      </c>
      <c r="B758" t="str">
        <f>VLOOKUP(LEFT(A758,3),'Table corresp.'!$A$4:$D$63,3,FALSE)</f>
        <v>Forêt</v>
      </c>
      <c r="C758" t="str">
        <f>VLOOKUP(A758,'Table corresp.'!$M$4:$P$63,4,FALSE)</f>
        <v>Production et transformation de produits bois</v>
      </c>
      <c r="D758" t="s">
        <v>10</v>
      </c>
      <c r="E758" t="str">
        <f>VLOOKUP(LEFT(D758,3),'Table corresp.'!$A$4:$D$63,4,FALSE)</f>
        <v>Transformation</v>
      </c>
      <c r="F758" t="str">
        <f t="shared" si="85"/>
        <v xml:space="preserve">02  - 16 </v>
      </c>
      <c r="G758" s="164">
        <v>134149.78492932278</v>
      </c>
      <c r="H758" s="164">
        <v>0</v>
      </c>
      <c r="I758" s="164">
        <v>134149.78492932263</v>
      </c>
      <c r="J758" s="164">
        <v>316.33759586513662</v>
      </c>
      <c r="K758" s="164">
        <v>0</v>
      </c>
      <c r="L758" s="164">
        <v>316.33759586513662</v>
      </c>
      <c r="M758" s="164">
        <v>0</v>
      </c>
      <c r="N758" s="164">
        <v>0</v>
      </c>
      <c r="O758" s="164">
        <v>0</v>
      </c>
      <c r="P758" s="164">
        <v>0</v>
      </c>
      <c r="Q758" s="164">
        <v>0</v>
      </c>
      <c r="R758" s="164">
        <v>0</v>
      </c>
      <c r="S758" s="163" t="str">
        <f t="shared" si="87"/>
        <v/>
      </c>
      <c r="T758" s="163">
        <f>VLOOKUP(A758,'Groupe de branches'!$Z$27:$AM$86,14,FALSE)</f>
        <v>0</v>
      </c>
      <c r="U758" s="163">
        <f>VLOOKUP(D758,'Groupe de branches'!$Z$27:$AM$86,14,FALSE)</f>
        <v>0</v>
      </c>
      <c r="V758" s="163">
        <v>2018</v>
      </c>
      <c r="W758" t="str">
        <f>VLOOKUP(D758,'Table corresp.'!$M$4:$S$63,7,FALSE)</f>
        <v>Emballage bois et carton</v>
      </c>
      <c r="X758" s="167">
        <f>IFERROR(G758/SUMIFS('Comp2016-2017 (3)'!$I$5:$I$289,'Comp2016-2017 (3)'!$A$5:$A$289,A758,'Comp2016-2017 (3)'!$R$5:$R$289,V758),0)</f>
        <v>0.10400563960404077</v>
      </c>
      <c r="Y758" s="178">
        <f>IFERROR(IF(RIGHT(F758,3)="Exp",VLOOKUP(F758,#REF!,2,FALSE),VLOOKUP(F758,#REF!,9,FALSE)),1)</f>
        <v>1</v>
      </c>
      <c r="Z758" s="167">
        <f t="shared" si="86"/>
        <v>6.25E-2</v>
      </c>
      <c r="AA758" s="189">
        <f t="shared" si="82"/>
        <v>6.5003524752525483E-3</v>
      </c>
      <c r="AB758" s="2">
        <f>IFERROR(SUMIFS('Comp2016-2017 (3)'!$G$5:$G$289,'Comp2016-2017 (3)'!$A$5:$A$289,A758,'Comp2016-2017 (3)'!$R$5:$R$289,V758)*AA758/SUMIFS($AA$4:$AA$1116,$A$4:$A$1116,A758,$V$4:$V$1116,V758),0)</f>
        <v>83623.719093755004</v>
      </c>
      <c r="AC758" s="2" t="str">
        <f>IF($W758=AC$3,$AB758,IF(NOT($W758=0),"",SUMIFS('Val-Vol (2)'!AC$4:AC$1116,'Val-Vol (2)'!$A$4:$A$1116,$D758,'Val-Vol (2)'!$V$4:$V$1116,$V758)/SUMIFS('Comp2016-2017 (3)'!$G$5:$G$289,'Comp2016-2017 (3)'!$A$5:$A$289,$D758,'Comp2016-2017 (3)'!$R$5:$R$289,$V758)*$AB758))</f>
        <v/>
      </c>
      <c r="AD758" s="2" t="str">
        <f>IF($W758=AD$3,$AB758,IF(NOT($W758=0),"",SUMIFS('Val-Vol (2)'!AD$4:AD$1116,'Val-Vol (2)'!$A$4:$A$1116,$D758,'Val-Vol (2)'!$V$4:$V$1116,$V758)/SUMIFS('Comp2016-2017 (3)'!$G$5:$G$289,'Comp2016-2017 (3)'!$A$5:$A$289,$D758,'Comp2016-2017 (3)'!$R$5:$R$289,$V758)*$AB758))</f>
        <v/>
      </c>
      <c r="AE758" s="2" t="str">
        <f>IF($W758=AE$3,$AB758,IF(NOT($W758=0),"",SUMIFS('Val-Vol (2)'!AE$4:AE$1116,'Val-Vol (2)'!$A$4:$A$1116,$D758,'Val-Vol (2)'!$V$4:$V$1116,$V758)/SUMIFS('Comp2016-2017 (3)'!$G$5:$G$289,'Comp2016-2017 (3)'!$A$5:$A$289,$D758,'Comp2016-2017 (3)'!$R$5:$R$289,$V758)*$AB758))</f>
        <v/>
      </c>
      <c r="AF758" s="2" t="str">
        <f>IF($W758=AF$3,$AB758,IF(NOT($W758=0),"",SUMIFS('Val-Vol (2)'!AF$4:AF$1116,'Val-Vol (2)'!$A$4:$A$1116,$D758,'Val-Vol (2)'!$V$4:$V$1116,$V758)/SUMIFS('Comp2016-2017 (3)'!$G$5:$G$289,'Comp2016-2017 (3)'!$A$5:$A$289,$D758,'Comp2016-2017 (3)'!$R$5:$R$289,$V758)*$AB758))</f>
        <v/>
      </c>
      <c r="AG758" s="2">
        <f>IF($W758=AG$3,$AB758,IF(NOT($W758=0),"",SUMIFS('Val-Vol (2)'!AG$4:AG$1116,'Val-Vol (2)'!$A$4:$A$1116,$D758,'Val-Vol (2)'!$V$4:$V$1116,$V758)/SUMIFS('Comp2016-2017 (3)'!$G$5:$G$289,'Comp2016-2017 (3)'!$A$5:$A$289,$D758,'Comp2016-2017 (3)'!$R$5:$R$289,$V758)*$AB758))</f>
        <v>83623.719093755004</v>
      </c>
      <c r="AH758" s="2" t="str">
        <f>IF($W758=AH$3,$AB758,IF(NOT($W758=0),"",SUMIFS('Val-Vol (2)'!AH$4:AH$1116,'Val-Vol (2)'!$A$4:$A$1116,$D758,'Val-Vol (2)'!$V$4:$V$1116,$V758)/SUMIFS('Comp2016-2017 (3)'!$G$5:$G$289,'Comp2016-2017 (3)'!$A$5:$A$289,$D758,'Comp2016-2017 (3)'!$R$5:$R$289,$V758)*$AB758))</f>
        <v/>
      </c>
      <c r="AI758" s="2" t="str">
        <f>IF($W758=AI$3,$AB758,IF(NOT($W758=0),"",SUMIFS('Val-Vol (2)'!AI$4:AI$1116,'Val-Vol (2)'!$A$4:$A$1116,$D758,'Val-Vol (2)'!$V$4:$V$1116,$V758)/SUMIFS('Comp2016-2017 (3)'!$G$5:$G$289,'Comp2016-2017 (3)'!$A$5:$A$289,$D758,'Comp2016-2017 (3)'!$R$5:$R$289,$V758)*$AB758))</f>
        <v/>
      </c>
      <c r="AJ758" s="2" t="str">
        <f>IF($W758=AJ$3,$AB758,IF(NOT($W758=0),"",SUMIFS('Val-Vol (2)'!AJ$4:AJ$1116,'Val-Vol (2)'!$A$4:$A$1116,$D758,'Val-Vol (2)'!$V$4:$V$1116,$V758)/SUMIFS('Comp2016-2017 (3)'!$G$5:$G$289,'Comp2016-2017 (3)'!$A$5:$A$289,$D758,'Comp2016-2017 (3)'!$R$5:$R$289,$V758)*$AB758))</f>
        <v/>
      </c>
      <c r="AK758" s="2">
        <f t="shared" si="83"/>
        <v>0</v>
      </c>
      <c r="AL758" t="str">
        <f t="shared" si="81"/>
        <v/>
      </c>
      <c r="AM758" t="str">
        <f>VLOOKUP(A758,'Table corresp.'!$M$4:$U$63,8,FALSE)</f>
        <v>Forêt</v>
      </c>
      <c r="AN758" t="str">
        <f>VLOOKUP(D758,'Table corresp.'!$M$4:$U$63,9,FALSE)</f>
        <v>Production intermédiaire</v>
      </c>
    </row>
    <row r="759" spans="1:40" x14ac:dyDescent="0.25">
      <c r="A759" t="s">
        <v>0</v>
      </c>
      <c r="B759" t="str">
        <f>VLOOKUP(LEFT(A759,3),'Table corresp.'!$A$4:$D$63,3,FALSE)</f>
        <v>Forêt</v>
      </c>
      <c r="C759" t="str">
        <f>VLOOKUP(A759,'Table corresp.'!$M$4:$P$63,4,FALSE)</f>
        <v>Production et transformation de produits bois</v>
      </c>
      <c r="D759" t="s">
        <v>84</v>
      </c>
      <c r="E759" t="str">
        <f>VLOOKUP(LEFT(D759,3),'Table corresp.'!$A$4:$D$63,4,FALSE)</f>
        <v>Transformation</v>
      </c>
      <c r="F759" t="str">
        <f t="shared" si="85"/>
        <v xml:space="preserve">02  - 17 </v>
      </c>
      <c r="G759" s="164">
        <v>16581.156643604594</v>
      </c>
      <c r="H759" s="164">
        <v>0</v>
      </c>
      <c r="I759" s="164">
        <v>16581.15664360458</v>
      </c>
      <c r="J759" s="164">
        <v>296.50782025887321</v>
      </c>
      <c r="K759" s="164">
        <v>0</v>
      </c>
      <c r="L759" s="164">
        <v>296.50782025887321</v>
      </c>
      <c r="M759" s="164">
        <v>0</v>
      </c>
      <c r="N759" s="164">
        <v>0</v>
      </c>
      <c r="O759" s="164">
        <v>0</v>
      </c>
      <c r="P759" s="164">
        <v>0</v>
      </c>
      <c r="Q759" s="164">
        <v>0</v>
      </c>
      <c r="R759" s="164">
        <v>0</v>
      </c>
      <c r="S759" s="163" t="str">
        <f t="shared" si="87"/>
        <v/>
      </c>
      <c r="T759" s="163">
        <f>VLOOKUP(A759,'Groupe de branches'!$Z$27:$AM$86,14,FALSE)</f>
        <v>0</v>
      </c>
      <c r="U759" s="163">
        <f>VLOOKUP(D759,'Groupe de branches'!$Z$27:$AM$86,14,FALSE)</f>
        <v>0</v>
      </c>
      <c r="V759" s="163">
        <v>2018</v>
      </c>
      <c r="W759" t="str">
        <f>VLOOKUP(D759,'Table corresp.'!$M$4:$S$63,7,FALSE)</f>
        <v>Construction</v>
      </c>
      <c r="X759" s="167">
        <f>IFERROR(G759/SUMIFS('Comp2016-2017 (3)'!$I$5:$I$289,'Comp2016-2017 (3)'!$A$5:$A$289,A759,'Comp2016-2017 (3)'!$R$5:$R$289,V759),0)</f>
        <v>1.2855285627192481E-2</v>
      </c>
      <c r="Y759" s="178">
        <f>IFERROR(IF(RIGHT(F759,3)="Exp",VLOOKUP(F759,#REF!,2,FALSE),VLOOKUP(F759,#REF!,9,FALSE)),1)</f>
        <v>1</v>
      </c>
      <c r="Z759" s="167">
        <f t="shared" si="86"/>
        <v>6.25E-2</v>
      </c>
      <c r="AA759" s="189">
        <f t="shared" si="82"/>
        <v>8.0345535169953008E-4</v>
      </c>
      <c r="AB759" s="2">
        <f>IFERROR(SUMIFS('Comp2016-2017 (3)'!$G$5:$G$289,'Comp2016-2017 (3)'!$A$5:$A$289,A759,'Comp2016-2017 (3)'!$R$5:$R$289,V759)*AA759/SUMIFS($AA$4:$AA$1116,$A$4:$A$1116,A759,$V$4:$V$1116,V759),0)</f>
        <v>10336.043297757524</v>
      </c>
      <c r="AC759" s="2" t="str">
        <f>IF($W759=AC$3,$AB759,IF(NOT($W759=0),"",SUMIFS('Val-Vol (2)'!AC$4:AC$1116,'Val-Vol (2)'!$A$4:$A$1116,$D759,'Val-Vol (2)'!$V$4:$V$1116,$V759)/SUMIFS('Comp2016-2017 (3)'!$G$5:$G$289,'Comp2016-2017 (3)'!$A$5:$A$289,$D759,'Comp2016-2017 (3)'!$R$5:$R$289,$V759)*$AB759))</f>
        <v/>
      </c>
      <c r="AD759" s="2">
        <f>IF($W759=AD$3,$AB759,IF(NOT($W759=0),"",SUMIFS('Val-Vol (2)'!AD$4:AD$1116,'Val-Vol (2)'!$A$4:$A$1116,$D759,'Val-Vol (2)'!$V$4:$V$1116,$V759)/SUMIFS('Comp2016-2017 (3)'!$G$5:$G$289,'Comp2016-2017 (3)'!$A$5:$A$289,$D759,'Comp2016-2017 (3)'!$R$5:$R$289,$V759)*$AB759))</f>
        <v>10336.043297757524</v>
      </c>
      <c r="AE759" s="2" t="str">
        <f>IF($W759=AE$3,$AB759,IF(NOT($W759=0),"",SUMIFS('Val-Vol (2)'!AE$4:AE$1116,'Val-Vol (2)'!$A$4:$A$1116,$D759,'Val-Vol (2)'!$V$4:$V$1116,$V759)/SUMIFS('Comp2016-2017 (3)'!$G$5:$G$289,'Comp2016-2017 (3)'!$A$5:$A$289,$D759,'Comp2016-2017 (3)'!$R$5:$R$289,$V759)*$AB759))</f>
        <v/>
      </c>
      <c r="AF759" s="2" t="str">
        <f>IF($W759=AF$3,$AB759,IF(NOT($W759=0),"",SUMIFS('Val-Vol (2)'!AF$4:AF$1116,'Val-Vol (2)'!$A$4:$A$1116,$D759,'Val-Vol (2)'!$V$4:$V$1116,$V759)/SUMIFS('Comp2016-2017 (3)'!$G$5:$G$289,'Comp2016-2017 (3)'!$A$5:$A$289,$D759,'Comp2016-2017 (3)'!$R$5:$R$289,$V759)*$AB759))</f>
        <v/>
      </c>
      <c r="AG759" s="2" t="str">
        <f>IF($W759=AG$3,$AB759,IF(NOT($W759=0),"",SUMIFS('Val-Vol (2)'!AG$4:AG$1116,'Val-Vol (2)'!$A$4:$A$1116,$D759,'Val-Vol (2)'!$V$4:$V$1116,$V759)/SUMIFS('Comp2016-2017 (3)'!$G$5:$G$289,'Comp2016-2017 (3)'!$A$5:$A$289,$D759,'Comp2016-2017 (3)'!$R$5:$R$289,$V759)*$AB759))</f>
        <v/>
      </c>
      <c r="AH759" s="2" t="str">
        <f>IF($W759=AH$3,$AB759,IF(NOT($W759=0),"",SUMIFS('Val-Vol (2)'!AH$4:AH$1116,'Val-Vol (2)'!$A$4:$A$1116,$D759,'Val-Vol (2)'!$V$4:$V$1116,$V759)/SUMIFS('Comp2016-2017 (3)'!$G$5:$G$289,'Comp2016-2017 (3)'!$A$5:$A$289,$D759,'Comp2016-2017 (3)'!$R$5:$R$289,$V759)*$AB759))</f>
        <v/>
      </c>
      <c r="AI759" s="2" t="str">
        <f>IF($W759=AI$3,$AB759,IF(NOT($W759=0),"",SUMIFS('Val-Vol (2)'!AI$4:AI$1116,'Val-Vol (2)'!$A$4:$A$1116,$D759,'Val-Vol (2)'!$V$4:$V$1116,$V759)/SUMIFS('Comp2016-2017 (3)'!$G$5:$G$289,'Comp2016-2017 (3)'!$A$5:$A$289,$D759,'Comp2016-2017 (3)'!$R$5:$R$289,$V759)*$AB759))</f>
        <v/>
      </c>
      <c r="AJ759" s="2" t="str">
        <f>IF($W759=AJ$3,$AB759,IF(NOT($W759=0),"",SUMIFS('Val-Vol (2)'!AJ$4:AJ$1116,'Val-Vol (2)'!$A$4:$A$1116,$D759,'Val-Vol (2)'!$V$4:$V$1116,$V759)/SUMIFS('Comp2016-2017 (3)'!$G$5:$G$289,'Comp2016-2017 (3)'!$A$5:$A$289,$D759,'Comp2016-2017 (3)'!$R$5:$R$289,$V759)*$AB759))</f>
        <v/>
      </c>
      <c r="AK759" s="2">
        <f t="shared" si="83"/>
        <v>0</v>
      </c>
      <c r="AL759" t="str">
        <f t="shared" si="81"/>
        <v/>
      </c>
      <c r="AM759" t="str">
        <f>VLOOKUP(A759,'Table corresp.'!$M$4:$U$63,8,FALSE)</f>
        <v>Forêt</v>
      </c>
      <c r="AN759" t="str">
        <f>VLOOKUP(D759,'Table corresp.'!$M$4:$U$63,9,FALSE)</f>
        <v>Production intermédiaire</v>
      </c>
    </row>
    <row r="760" spans="1:40" x14ac:dyDescent="0.25">
      <c r="A760" t="s">
        <v>0</v>
      </c>
      <c r="B760" t="str">
        <f>VLOOKUP(LEFT(A760,3),'Table corresp.'!$A$4:$D$63,3,FALSE)</f>
        <v>Forêt</v>
      </c>
      <c r="C760" t="str">
        <f>VLOOKUP(A760,'Table corresp.'!$M$4:$P$63,4,FALSE)</f>
        <v>Production et transformation de produits bois</v>
      </c>
      <c r="D760" t="s">
        <v>85</v>
      </c>
      <c r="E760" t="str">
        <f>VLOOKUP(LEFT(D760,3),'Table corresp.'!$A$4:$D$63,4,FALSE)</f>
        <v>Transformation</v>
      </c>
      <c r="F760" t="str">
        <f t="shared" si="85"/>
        <v xml:space="preserve">02  - 29 </v>
      </c>
      <c r="G760" s="164">
        <v>13897.390864885201</v>
      </c>
      <c r="H760" s="164">
        <v>0</v>
      </c>
      <c r="I760" s="164">
        <v>13897.390864885187</v>
      </c>
      <c r="J760" s="164">
        <v>173.02936360154959</v>
      </c>
      <c r="K760" s="164">
        <v>0</v>
      </c>
      <c r="L760" s="164">
        <v>173.02936360154959</v>
      </c>
      <c r="M760" s="164">
        <v>0</v>
      </c>
      <c r="N760" s="164">
        <v>0</v>
      </c>
      <c r="O760" s="164">
        <v>0</v>
      </c>
      <c r="P760" s="164">
        <v>0</v>
      </c>
      <c r="Q760" s="164">
        <v>0</v>
      </c>
      <c r="R760" s="164">
        <v>0</v>
      </c>
      <c r="S760" s="163" t="str">
        <f t="shared" si="87"/>
        <v/>
      </c>
      <c r="T760" s="163">
        <f>VLOOKUP(A760,'Groupe de branches'!$Z$27:$AM$86,14,FALSE)</f>
        <v>0</v>
      </c>
      <c r="U760" s="163">
        <f>VLOOKUP(D760,'Groupe de branches'!$Z$27:$AM$86,14,FALSE)</f>
        <v>0</v>
      </c>
      <c r="V760" s="163">
        <v>2018</v>
      </c>
      <c r="W760" t="str">
        <f>VLOOKUP(D760,'Table corresp.'!$M$4:$S$63,7,FALSE)</f>
        <v>Construction</v>
      </c>
      <c r="X760" s="167">
        <f>IFERROR(G760/SUMIFS('Comp2016-2017 (3)'!$I$5:$I$289,'Comp2016-2017 (3)'!$A$5:$A$289,A760,'Comp2016-2017 (3)'!$R$5:$R$289,V760),0)</f>
        <v>1.077457579593777E-2</v>
      </c>
      <c r="Y760" s="178">
        <f>IFERROR(IF(RIGHT(F760,3)="Exp",VLOOKUP(F760,#REF!,2,FALSE),VLOOKUP(F760,#REF!,9,FALSE)),1)</f>
        <v>1</v>
      </c>
      <c r="Z760" s="167">
        <f t="shared" si="86"/>
        <v>6.25E-2</v>
      </c>
      <c r="AA760" s="189">
        <f t="shared" si="82"/>
        <v>6.7341098724611065E-4</v>
      </c>
      <c r="AB760" s="2">
        <f>IFERROR(SUMIFS('Comp2016-2017 (3)'!$G$5:$G$289,'Comp2016-2017 (3)'!$A$5:$A$289,A760,'Comp2016-2017 (3)'!$R$5:$R$289,V760)*AA760/SUMIFS($AA$4:$AA$1116,$A$4:$A$1116,A760,$V$4:$V$1116,V760),0)</f>
        <v>8663.0888781041285</v>
      </c>
      <c r="AC760" s="2" t="str">
        <f>IF($W760=AC$3,$AB760,IF(NOT($W760=0),"",SUMIFS('Val-Vol (2)'!AC$4:AC$1116,'Val-Vol (2)'!$A$4:$A$1116,$D760,'Val-Vol (2)'!$V$4:$V$1116,$V760)/SUMIFS('Comp2016-2017 (3)'!$G$5:$G$289,'Comp2016-2017 (3)'!$A$5:$A$289,$D760,'Comp2016-2017 (3)'!$R$5:$R$289,$V760)*$AB760))</f>
        <v/>
      </c>
      <c r="AD760" s="2">
        <f>IF($W760=AD$3,$AB760,IF(NOT($W760=0),"",SUMIFS('Val-Vol (2)'!AD$4:AD$1116,'Val-Vol (2)'!$A$4:$A$1116,$D760,'Val-Vol (2)'!$V$4:$V$1116,$V760)/SUMIFS('Comp2016-2017 (3)'!$G$5:$G$289,'Comp2016-2017 (3)'!$A$5:$A$289,$D760,'Comp2016-2017 (3)'!$R$5:$R$289,$V760)*$AB760))</f>
        <v>8663.0888781041285</v>
      </c>
      <c r="AE760" s="2" t="str">
        <f>IF($W760=AE$3,$AB760,IF(NOT($W760=0),"",SUMIFS('Val-Vol (2)'!AE$4:AE$1116,'Val-Vol (2)'!$A$4:$A$1116,$D760,'Val-Vol (2)'!$V$4:$V$1116,$V760)/SUMIFS('Comp2016-2017 (3)'!$G$5:$G$289,'Comp2016-2017 (3)'!$A$5:$A$289,$D760,'Comp2016-2017 (3)'!$R$5:$R$289,$V760)*$AB760))</f>
        <v/>
      </c>
      <c r="AF760" s="2" t="str">
        <f>IF($W760=AF$3,$AB760,IF(NOT($W760=0),"",SUMIFS('Val-Vol (2)'!AF$4:AF$1116,'Val-Vol (2)'!$A$4:$A$1116,$D760,'Val-Vol (2)'!$V$4:$V$1116,$V760)/SUMIFS('Comp2016-2017 (3)'!$G$5:$G$289,'Comp2016-2017 (3)'!$A$5:$A$289,$D760,'Comp2016-2017 (3)'!$R$5:$R$289,$V760)*$AB760))</f>
        <v/>
      </c>
      <c r="AG760" s="2" t="str">
        <f>IF($W760=AG$3,$AB760,IF(NOT($W760=0),"",SUMIFS('Val-Vol (2)'!AG$4:AG$1116,'Val-Vol (2)'!$A$4:$A$1116,$D760,'Val-Vol (2)'!$V$4:$V$1116,$V760)/SUMIFS('Comp2016-2017 (3)'!$G$5:$G$289,'Comp2016-2017 (3)'!$A$5:$A$289,$D760,'Comp2016-2017 (3)'!$R$5:$R$289,$V760)*$AB760))</f>
        <v/>
      </c>
      <c r="AH760" s="2" t="str">
        <f>IF($W760=AH$3,$AB760,IF(NOT($W760=0),"",SUMIFS('Val-Vol (2)'!AH$4:AH$1116,'Val-Vol (2)'!$A$4:$A$1116,$D760,'Val-Vol (2)'!$V$4:$V$1116,$V760)/SUMIFS('Comp2016-2017 (3)'!$G$5:$G$289,'Comp2016-2017 (3)'!$A$5:$A$289,$D760,'Comp2016-2017 (3)'!$R$5:$R$289,$V760)*$AB760))</f>
        <v/>
      </c>
      <c r="AI760" s="2" t="str">
        <f>IF($W760=AI$3,$AB760,IF(NOT($W760=0),"",SUMIFS('Val-Vol (2)'!AI$4:AI$1116,'Val-Vol (2)'!$A$4:$A$1116,$D760,'Val-Vol (2)'!$V$4:$V$1116,$V760)/SUMIFS('Comp2016-2017 (3)'!$G$5:$G$289,'Comp2016-2017 (3)'!$A$5:$A$289,$D760,'Comp2016-2017 (3)'!$R$5:$R$289,$V760)*$AB760))</f>
        <v/>
      </c>
      <c r="AJ760" s="2" t="str">
        <f>IF($W760=AJ$3,$AB760,IF(NOT($W760=0),"",SUMIFS('Val-Vol (2)'!AJ$4:AJ$1116,'Val-Vol (2)'!$A$4:$A$1116,$D760,'Val-Vol (2)'!$V$4:$V$1116,$V760)/SUMIFS('Comp2016-2017 (3)'!$G$5:$G$289,'Comp2016-2017 (3)'!$A$5:$A$289,$D760,'Comp2016-2017 (3)'!$R$5:$R$289,$V760)*$AB760))</f>
        <v/>
      </c>
      <c r="AK760" s="2">
        <f t="shared" ref="AK760:AK770" si="88">SUM(AC760:AJ760)-AB760</f>
        <v>0</v>
      </c>
      <c r="AL760" t="str">
        <f t="shared" si="81"/>
        <v/>
      </c>
      <c r="AM760" t="str">
        <f>VLOOKUP(A760,'Table corresp.'!$M$4:$U$63,8,FALSE)</f>
        <v>Forêt</v>
      </c>
      <c r="AN760" t="str">
        <f>VLOOKUP(D760,'Table corresp.'!$M$4:$U$63,9,FALSE)</f>
        <v>Production intermédiaire</v>
      </c>
    </row>
    <row r="761" spans="1:40" x14ac:dyDescent="0.25">
      <c r="A761" t="s">
        <v>0</v>
      </c>
      <c r="B761" t="str">
        <f>VLOOKUP(LEFT(A761,3),'Table corresp.'!$A$4:$D$63,3,FALSE)</f>
        <v>Forêt</v>
      </c>
      <c r="C761" t="str">
        <f>VLOOKUP(A761,'Table corresp.'!$M$4:$P$63,4,FALSE)</f>
        <v>Production et transformation de produits bois</v>
      </c>
      <c r="D761" t="s">
        <v>87</v>
      </c>
      <c r="E761" t="str">
        <f>VLOOKUP(LEFT(D761,3),'Table corresp.'!$A$4:$D$63,4,FALSE)</f>
        <v>Transformation</v>
      </c>
      <c r="F761" t="str">
        <f t="shared" si="85"/>
        <v xml:space="preserve">02  - 31 </v>
      </c>
      <c r="G761" s="164">
        <v>9149.7636145855777</v>
      </c>
      <c r="H761" s="164">
        <v>8052.2267760948635</v>
      </c>
      <c r="I761" s="164">
        <v>17201.990390680425</v>
      </c>
      <c r="J761" s="164">
        <v>261.27223152804163</v>
      </c>
      <c r="K761" s="164">
        <v>111.60542667983549</v>
      </c>
      <c r="L761" s="164">
        <v>372.87765820787712</v>
      </c>
      <c r="M761" s="164">
        <v>0</v>
      </c>
      <c r="N761" s="164">
        <v>0</v>
      </c>
      <c r="O761" s="164">
        <v>0</v>
      </c>
      <c r="P761" s="164">
        <v>0</v>
      </c>
      <c r="Q761" s="164">
        <v>0</v>
      </c>
      <c r="R761" s="164">
        <v>0</v>
      </c>
      <c r="S761" s="163" t="str">
        <f t="shared" si="87"/>
        <v/>
      </c>
      <c r="T761" s="163">
        <f>VLOOKUP(A761,'Groupe de branches'!$Z$27:$AM$86,14,FALSE)</f>
        <v>0</v>
      </c>
      <c r="U761" s="163">
        <f>VLOOKUP(D761,'Groupe de branches'!$Z$27:$AM$86,14,FALSE)</f>
        <v>0</v>
      </c>
      <c r="V761" s="163">
        <v>2018</v>
      </c>
      <c r="W761">
        <f>VLOOKUP(D761,'Table corresp.'!$M$4:$S$63,7,FALSE)</f>
        <v>0</v>
      </c>
      <c r="X761" s="167">
        <f>IFERROR(G761/SUMIFS('Comp2016-2017 (3)'!$I$5:$I$289,'Comp2016-2017 (3)'!$A$5:$A$289,A761,'Comp2016-2017 (3)'!$R$5:$R$289,V761),0)</f>
        <v>7.0937647605034968E-3</v>
      </c>
      <c r="Y761" s="178">
        <f>IFERROR(IF(RIGHT(F761,3)="Exp",VLOOKUP(F761,#REF!,2,FALSE),VLOOKUP(F761,#REF!,9,FALSE)),1)</f>
        <v>1</v>
      </c>
      <c r="Z761" s="167">
        <f t="shared" si="86"/>
        <v>6.25E-2</v>
      </c>
      <c r="AA761" s="189">
        <f t="shared" si="82"/>
        <v>4.4336029753146855E-4</v>
      </c>
      <c r="AB761" s="2">
        <f>IFERROR(SUMIFS('Comp2016-2017 (3)'!$G$5:$G$289,'Comp2016-2017 (3)'!$A$5:$A$289,A761,'Comp2016-2017 (3)'!$R$5:$R$289,V761)*AA761/SUMIFS($AA$4:$AA$1116,$A$4:$A$1116,A761,$V$4:$V$1116,V761),0)</f>
        <v>5703.6040921234398</v>
      </c>
      <c r="AC761" s="2">
        <f>IF($W761=AC$3,$AB761,IF(NOT($W761=0),"",SUMIFS('Val-Vol (2)'!AC$4:AC$1116,'Val-Vol (2)'!$A$4:$A$1116,$D761,'Val-Vol (2)'!$V$4:$V$1116,$V761)/SUMIFS('Comp2016-2017 (3)'!$G$5:$G$289,'Comp2016-2017 (3)'!$A$5:$A$289,$D761,'Comp2016-2017 (3)'!$R$5:$R$289,$V761)*$AB761))</f>
        <v>3204.8749563414494</v>
      </c>
      <c r="AD761" s="2">
        <f>IF($W761=AD$3,$AB761,IF(NOT($W761=0),"",SUMIFS('Val-Vol (2)'!AD$4:AD$1116,'Val-Vol (2)'!$A$4:$A$1116,$D761,'Val-Vol (2)'!$V$4:$V$1116,$V761)/SUMIFS('Comp2016-2017 (3)'!$G$5:$G$289,'Comp2016-2017 (3)'!$A$5:$A$289,$D761,'Comp2016-2017 (3)'!$R$5:$R$289,$V761)*$AB761))</f>
        <v>1014.6556156108597</v>
      </c>
      <c r="AE761" s="2">
        <f>IF($W761=AE$3,$AB761,IF(NOT($W761=0),"",SUMIFS('Val-Vol (2)'!AE$4:AE$1116,'Val-Vol (2)'!$A$4:$A$1116,$D761,'Val-Vol (2)'!$V$4:$V$1116,$V761)/SUMIFS('Comp2016-2017 (3)'!$G$5:$G$289,'Comp2016-2017 (3)'!$A$5:$A$289,$D761,'Comp2016-2017 (3)'!$R$5:$R$289,$V761)*$AB761))</f>
        <v>818.47987801903298</v>
      </c>
      <c r="AF761" s="2">
        <f>IF($W761=AF$3,$AB761,IF(NOT($W761=0),"",SUMIFS('Val-Vol (2)'!AF$4:AF$1116,'Val-Vol (2)'!$A$4:$A$1116,$D761,'Val-Vol (2)'!$V$4:$V$1116,$V761)/SUMIFS('Comp2016-2017 (3)'!$G$5:$G$289,'Comp2016-2017 (3)'!$A$5:$A$289,$D761,'Comp2016-2017 (3)'!$R$5:$R$289,$V761)*$AB761))</f>
        <v>0</v>
      </c>
      <c r="AG761" s="2">
        <f>IF($W761=AG$3,$AB761,IF(NOT($W761=0),"",SUMIFS('Val-Vol (2)'!AG$4:AG$1116,'Val-Vol (2)'!$A$4:$A$1116,$D761,'Val-Vol (2)'!$V$4:$V$1116,$V761)/SUMIFS('Comp2016-2017 (3)'!$G$5:$G$289,'Comp2016-2017 (3)'!$A$5:$A$289,$D761,'Comp2016-2017 (3)'!$R$5:$R$289,$V761)*$AB761))</f>
        <v>425.83624831743566</v>
      </c>
      <c r="AH761" s="2">
        <f>IF($W761=AH$3,$AB761,IF(NOT($W761=0),"",SUMIFS('Val-Vol (2)'!AH$4:AH$1116,'Val-Vol (2)'!$A$4:$A$1116,$D761,'Val-Vol (2)'!$V$4:$V$1116,$V761)/SUMIFS('Comp2016-2017 (3)'!$G$5:$G$289,'Comp2016-2017 (3)'!$A$5:$A$289,$D761,'Comp2016-2017 (3)'!$R$5:$R$289,$V761)*$AB761))</f>
        <v>0</v>
      </c>
      <c r="AI761" s="2">
        <f>IF($W761=AI$3,$AB761,IF(NOT($W761=0),"",SUMIFS('Val-Vol (2)'!AI$4:AI$1116,'Val-Vol (2)'!$A$4:$A$1116,$D761,'Val-Vol (2)'!$V$4:$V$1116,$V761)/SUMIFS('Comp2016-2017 (3)'!$G$5:$G$289,'Comp2016-2017 (3)'!$A$5:$A$289,$D761,'Comp2016-2017 (3)'!$R$5:$R$289,$V761)*$AB761))</f>
        <v>0</v>
      </c>
      <c r="AJ761" s="2">
        <f>IF($W761=AJ$3,$AB761,IF(NOT($W761=0),"",SUMIFS('Val-Vol (2)'!AJ$4:AJ$1116,'Val-Vol (2)'!$A$4:$A$1116,$D761,'Val-Vol (2)'!$V$4:$V$1116,$V761)/SUMIFS('Comp2016-2017 (3)'!$G$5:$G$289,'Comp2016-2017 (3)'!$A$5:$A$289,$D761,'Comp2016-2017 (3)'!$R$5:$R$289,$V761)*$AB761))</f>
        <v>239.75739383466285</v>
      </c>
      <c r="AK761" s="2">
        <f t="shared" si="88"/>
        <v>0</v>
      </c>
      <c r="AL761" t="str">
        <f t="shared" si="81"/>
        <v/>
      </c>
      <c r="AM761" t="str">
        <f>VLOOKUP(A761,'Table corresp.'!$M$4:$U$63,8,FALSE)</f>
        <v>Forêt</v>
      </c>
      <c r="AN761" t="str">
        <f>VLOOKUP(D761,'Table corresp.'!$M$4:$U$63,9,FALSE)</f>
        <v>Production intermédiaire</v>
      </c>
    </row>
    <row r="762" spans="1:40" x14ac:dyDescent="0.25">
      <c r="A762" t="s">
        <v>0</v>
      </c>
      <c r="B762" t="str">
        <f>VLOOKUP(LEFT(A762,3),'Table corresp.'!$A$4:$D$63,3,FALSE)</f>
        <v>Forêt</v>
      </c>
      <c r="C762" t="str">
        <f>VLOOKUP(A762,'Table corresp.'!$M$4:$P$63,4,FALSE)</f>
        <v>Production et transformation de produits bois</v>
      </c>
      <c r="D762" t="s">
        <v>91</v>
      </c>
      <c r="E762" t="str">
        <f>VLOOKUP(LEFT(D762,3),'Table corresp.'!$A$4:$D$63,4,FALSE)</f>
        <v>Transformation</v>
      </c>
      <c r="F762" t="str">
        <f t="shared" si="85"/>
        <v xml:space="preserve">02  - 37 </v>
      </c>
      <c r="G762" s="164">
        <v>41658.06199661945</v>
      </c>
      <c r="H762" s="164">
        <v>0</v>
      </c>
      <c r="I762" s="164">
        <v>41658.061996619414</v>
      </c>
      <c r="J762" s="164">
        <v>1257.3658110365768</v>
      </c>
      <c r="K762" s="164">
        <v>0</v>
      </c>
      <c r="L762" s="164">
        <v>1257.3658110365768</v>
      </c>
      <c r="M762" s="164">
        <v>0</v>
      </c>
      <c r="N762" s="164">
        <v>0</v>
      </c>
      <c r="O762" s="164">
        <v>0</v>
      </c>
      <c r="P762" s="164">
        <v>0</v>
      </c>
      <c r="Q762" s="164">
        <v>0</v>
      </c>
      <c r="R762" s="164">
        <v>0</v>
      </c>
      <c r="S762" s="163" t="str">
        <f t="shared" si="87"/>
        <v/>
      </c>
      <c r="T762" s="163">
        <f>VLOOKUP(A762,'Groupe de branches'!$Z$27:$AM$86,14,FALSE)</f>
        <v>0</v>
      </c>
      <c r="U762" s="163">
        <f>VLOOKUP(D762,'Groupe de branches'!$Z$27:$AM$86,14,FALSE)</f>
        <v>0</v>
      </c>
      <c r="V762" s="163">
        <v>2018</v>
      </c>
      <c r="W762" t="str">
        <f>VLOOKUP(D762,'Table corresp.'!$M$4:$S$63,7,FALSE)</f>
        <v>Emballage bois et carton</v>
      </c>
      <c r="X762" s="167">
        <f>IFERROR(G762/SUMIFS('Comp2016-2017 (3)'!$I$5:$I$289,'Comp2016-2017 (3)'!$A$5:$A$289,A762,'Comp2016-2017 (3)'!$R$5:$R$289,V762),0)</f>
        <v>3.2297281616261046E-2</v>
      </c>
      <c r="Y762" s="178">
        <f>IFERROR(IF(RIGHT(F762,3)="Exp",VLOOKUP(F762,#REF!,2,FALSE),VLOOKUP(F762,#REF!,9,FALSE)),1)</f>
        <v>1</v>
      </c>
      <c r="Z762" s="167">
        <f t="shared" si="86"/>
        <v>6.25E-2</v>
      </c>
      <c r="AA762" s="189">
        <f t="shared" si="82"/>
        <v>2.0185801010163154E-3</v>
      </c>
      <c r="AB762" s="2">
        <f>IFERROR(SUMIFS('Comp2016-2017 (3)'!$G$5:$G$289,'Comp2016-2017 (3)'!$A$5:$A$289,A762,'Comp2016-2017 (3)'!$R$5:$R$289,V762)*AA762/SUMIFS($AA$4:$AA$1116,$A$4:$A$1116,A762,$V$4:$V$1116,V762),0)</f>
        <v>25968.003424164133</v>
      </c>
      <c r="AC762" s="2" t="str">
        <f>IF($W762=AC$3,$AB762,IF(NOT($W762=0),"",SUMIFS('Val-Vol (2)'!AC$4:AC$1116,'Val-Vol (2)'!$A$4:$A$1116,$D762,'Val-Vol (2)'!$V$4:$V$1116,$V762)/SUMIFS('Comp2016-2017 (3)'!$G$5:$G$289,'Comp2016-2017 (3)'!$A$5:$A$289,$D762,'Comp2016-2017 (3)'!$R$5:$R$289,$V762)*$AB762))</f>
        <v/>
      </c>
      <c r="AD762" s="2" t="str">
        <f>IF($W762=AD$3,$AB762,IF(NOT($W762=0),"",SUMIFS('Val-Vol (2)'!AD$4:AD$1116,'Val-Vol (2)'!$A$4:$A$1116,$D762,'Val-Vol (2)'!$V$4:$V$1116,$V762)/SUMIFS('Comp2016-2017 (3)'!$G$5:$G$289,'Comp2016-2017 (3)'!$A$5:$A$289,$D762,'Comp2016-2017 (3)'!$R$5:$R$289,$V762)*$AB762))</f>
        <v/>
      </c>
      <c r="AE762" s="2" t="str">
        <f>IF($W762=AE$3,$AB762,IF(NOT($W762=0),"",SUMIFS('Val-Vol (2)'!AE$4:AE$1116,'Val-Vol (2)'!$A$4:$A$1116,$D762,'Val-Vol (2)'!$V$4:$V$1116,$V762)/SUMIFS('Comp2016-2017 (3)'!$G$5:$G$289,'Comp2016-2017 (3)'!$A$5:$A$289,$D762,'Comp2016-2017 (3)'!$R$5:$R$289,$V762)*$AB762))</f>
        <v/>
      </c>
      <c r="AF762" s="2" t="str">
        <f>IF($W762=AF$3,$AB762,IF(NOT($W762=0),"",SUMIFS('Val-Vol (2)'!AF$4:AF$1116,'Val-Vol (2)'!$A$4:$A$1116,$D762,'Val-Vol (2)'!$V$4:$V$1116,$V762)/SUMIFS('Comp2016-2017 (3)'!$G$5:$G$289,'Comp2016-2017 (3)'!$A$5:$A$289,$D762,'Comp2016-2017 (3)'!$R$5:$R$289,$V762)*$AB762))</f>
        <v/>
      </c>
      <c r="AG762" s="2">
        <f>IF($W762=AG$3,$AB762,IF(NOT($W762=0),"",SUMIFS('Val-Vol (2)'!AG$4:AG$1116,'Val-Vol (2)'!$A$4:$A$1116,$D762,'Val-Vol (2)'!$V$4:$V$1116,$V762)/SUMIFS('Comp2016-2017 (3)'!$G$5:$G$289,'Comp2016-2017 (3)'!$A$5:$A$289,$D762,'Comp2016-2017 (3)'!$R$5:$R$289,$V762)*$AB762))</f>
        <v>25968.003424164133</v>
      </c>
      <c r="AH762" s="2" t="str">
        <f>IF($W762=AH$3,$AB762,IF(NOT($W762=0),"",SUMIFS('Val-Vol (2)'!AH$4:AH$1116,'Val-Vol (2)'!$A$4:$A$1116,$D762,'Val-Vol (2)'!$V$4:$V$1116,$V762)/SUMIFS('Comp2016-2017 (3)'!$G$5:$G$289,'Comp2016-2017 (3)'!$A$5:$A$289,$D762,'Comp2016-2017 (3)'!$R$5:$R$289,$V762)*$AB762))</f>
        <v/>
      </c>
      <c r="AI762" s="2" t="str">
        <f>IF($W762=AI$3,$AB762,IF(NOT($W762=0),"",SUMIFS('Val-Vol (2)'!AI$4:AI$1116,'Val-Vol (2)'!$A$4:$A$1116,$D762,'Val-Vol (2)'!$V$4:$V$1116,$V762)/SUMIFS('Comp2016-2017 (3)'!$G$5:$G$289,'Comp2016-2017 (3)'!$A$5:$A$289,$D762,'Comp2016-2017 (3)'!$R$5:$R$289,$V762)*$AB762))</f>
        <v/>
      </c>
      <c r="AJ762" s="2" t="str">
        <f>IF($W762=AJ$3,$AB762,IF(NOT($W762=0),"",SUMIFS('Val-Vol (2)'!AJ$4:AJ$1116,'Val-Vol (2)'!$A$4:$A$1116,$D762,'Val-Vol (2)'!$V$4:$V$1116,$V762)/SUMIFS('Comp2016-2017 (3)'!$G$5:$G$289,'Comp2016-2017 (3)'!$A$5:$A$289,$D762,'Comp2016-2017 (3)'!$R$5:$R$289,$V762)*$AB762))</f>
        <v/>
      </c>
      <c r="AK762" s="2">
        <f t="shared" si="88"/>
        <v>0</v>
      </c>
      <c r="AL762" t="str">
        <f t="shared" si="81"/>
        <v/>
      </c>
      <c r="AM762" t="str">
        <f>VLOOKUP(A762,'Table corresp.'!$M$4:$U$63,8,FALSE)</f>
        <v>Forêt</v>
      </c>
      <c r="AN762" t="str">
        <f>VLOOKUP(D762,'Table corresp.'!$M$4:$U$63,9,FALSE)</f>
        <v>Production finale</v>
      </c>
    </row>
    <row r="763" spans="1:40" x14ac:dyDescent="0.25">
      <c r="A763" t="s">
        <v>0</v>
      </c>
      <c r="B763" t="str">
        <f>VLOOKUP(LEFT(A763,3),'Table corresp.'!$A$4:$D$63,3,FALSE)</f>
        <v>Forêt</v>
      </c>
      <c r="C763" t="str">
        <f>VLOOKUP(A763,'Table corresp.'!$M$4:$P$63,4,FALSE)</f>
        <v>Production et transformation de produits bois</v>
      </c>
      <c r="D763" t="s">
        <v>94</v>
      </c>
      <c r="E763" t="str">
        <f>VLOOKUP(LEFT(D763,3),'Table corresp.'!$A$4:$D$63,4,FALSE)</f>
        <v>Transformation</v>
      </c>
      <c r="F763" t="str">
        <f t="shared" si="85"/>
        <v xml:space="preserve">02  - 42 </v>
      </c>
      <c r="G763" s="164">
        <v>23428.958003861662</v>
      </c>
      <c r="H763" s="164">
        <v>0</v>
      </c>
      <c r="I763" s="164">
        <v>23428.958003861644</v>
      </c>
      <c r="J763" s="164">
        <v>21.420453764670125</v>
      </c>
      <c r="K763" s="164">
        <v>0</v>
      </c>
      <c r="L763" s="164">
        <v>21.420453764670125</v>
      </c>
      <c r="M763" s="164">
        <v>0</v>
      </c>
      <c r="N763" s="164">
        <v>0</v>
      </c>
      <c r="O763" s="164">
        <v>0</v>
      </c>
      <c r="P763" s="164">
        <v>0</v>
      </c>
      <c r="Q763" s="164">
        <v>0</v>
      </c>
      <c r="R763" s="164">
        <v>0</v>
      </c>
      <c r="S763" s="163" t="str">
        <f t="shared" si="87"/>
        <v/>
      </c>
      <c r="T763" s="163">
        <f>VLOOKUP(A763,'Groupe de branches'!$Z$27:$AM$86,14,FALSE)</f>
        <v>0</v>
      </c>
      <c r="U763" s="163">
        <f>VLOOKUP(D763,'Groupe de branches'!$Z$27:$AM$86,14,FALSE)</f>
        <v>0</v>
      </c>
      <c r="V763" s="163">
        <v>2018</v>
      </c>
      <c r="W763" t="str">
        <f>VLOOKUP(D763,'Table corresp.'!$M$4:$S$63,7,FALSE)</f>
        <v>Produits de consommation courante</v>
      </c>
      <c r="X763" s="167">
        <f>IFERROR(G763/SUMIFS('Comp2016-2017 (3)'!$I$5:$I$289,'Comp2016-2017 (3)'!$A$5:$A$289,A763,'Comp2016-2017 (3)'!$R$5:$R$289,V763),0)</f>
        <v>1.8164350868930937E-2</v>
      </c>
      <c r="Y763" s="178">
        <f>IFERROR(IF(RIGHT(F763,3)="Exp",VLOOKUP(F763,#REF!,2,FALSE),VLOOKUP(F763,#REF!,9,FALSE)),1)</f>
        <v>1</v>
      </c>
      <c r="Z763" s="167">
        <f t="shared" si="86"/>
        <v>6.25E-2</v>
      </c>
      <c r="AA763" s="189">
        <f t="shared" si="82"/>
        <v>1.1352719293081836E-3</v>
      </c>
      <c r="AB763" s="2">
        <f>IFERROR(SUMIFS('Comp2016-2017 (3)'!$G$5:$G$289,'Comp2016-2017 (3)'!$A$5:$A$289,A763,'Comp2016-2017 (3)'!$R$5:$R$289,V763)*AA763/SUMIFS($AA$4:$AA$1116,$A$4:$A$1116,A763,$V$4:$V$1116,V763),0)</f>
        <v>14604.694325872604</v>
      </c>
      <c r="AC763" s="2" t="str">
        <f>IF($W763=AC$3,$AB763,IF(NOT($W763=0),"",SUMIFS('Val-Vol (2)'!AC$4:AC$1116,'Val-Vol (2)'!$A$4:$A$1116,$D763,'Val-Vol (2)'!$V$4:$V$1116,$V763)/SUMIFS('Comp2016-2017 (3)'!$G$5:$G$289,'Comp2016-2017 (3)'!$A$5:$A$289,$D763,'Comp2016-2017 (3)'!$R$5:$R$289,$V763)*$AB763))</f>
        <v/>
      </c>
      <c r="AD763" s="2" t="str">
        <f>IF($W763=AD$3,$AB763,IF(NOT($W763=0),"",SUMIFS('Val-Vol (2)'!AD$4:AD$1116,'Val-Vol (2)'!$A$4:$A$1116,$D763,'Val-Vol (2)'!$V$4:$V$1116,$V763)/SUMIFS('Comp2016-2017 (3)'!$G$5:$G$289,'Comp2016-2017 (3)'!$A$5:$A$289,$D763,'Comp2016-2017 (3)'!$R$5:$R$289,$V763)*$AB763))</f>
        <v/>
      </c>
      <c r="AE763" s="2" t="str">
        <f>IF($W763=AE$3,$AB763,IF(NOT($W763=0),"",SUMIFS('Val-Vol (2)'!AE$4:AE$1116,'Val-Vol (2)'!$A$4:$A$1116,$D763,'Val-Vol (2)'!$V$4:$V$1116,$V763)/SUMIFS('Comp2016-2017 (3)'!$G$5:$G$289,'Comp2016-2017 (3)'!$A$5:$A$289,$D763,'Comp2016-2017 (3)'!$R$5:$R$289,$V763)*$AB763))</f>
        <v/>
      </c>
      <c r="AF763" s="2" t="str">
        <f>IF($W763=AF$3,$AB763,IF(NOT($W763=0),"",SUMIFS('Val-Vol (2)'!AF$4:AF$1116,'Val-Vol (2)'!$A$4:$A$1116,$D763,'Val-Vol (2)'!$V$4:$V$1116,$V763)/SUMIFS('Comp2016-2017 (3)'!$G$5:$G$289,'Comp2016-2017 (3)'!$A$5:$A$289,$D763,'Comp2016-2017 (3)'!$R$5:$R$289,$V763)*$AB763))</f>
        <v/>
      </c>
      <c r="AG763" s="2" t="str">
        <f>IF($W763=AG$3,$AB763,IF(NOT($W763=0),"",SUMIFS('Val-Vol (2)'!AG$4:AG$1116,'Val-Vol (2)'!$A$4:$A$1116,$D763,'Val-Vol (2)'!$V$4:$V$1116,$V763)/SUMIFS('Comp2016-2017 (3)'!$G$5:$G$289,'Comp2016-2017 (3)'!$A$5:$A$289,$D763,'Comp2016-2017 (3)'!$R$5:$R$289,$V763)*$AB763))</f>
        <v/>
      </c>
      <c r="AH763" s="2" t="str">
        <f>IF($W763=AH$3,$AB763,IF(NOT($W763=0),"",SUMIFS('Val-Vol (2)'!AH$4:AH$1116,'Val-Vol (2)'!$A$4:$A$1116,$D763,'Val-Vol (2)'!$V$4:$V$1116,$V763)/SUMIFS('Comp2016-2017 (3)'!$G$5:$G$289,'Comp2016-2017 (3)'!$A$5:$A$289,$D763,'Comp2016-2017 (3)'!$R$5:$R$289,$V763)*$AB763))</f>
        <v/>
      </c>
      <c r="AI763" s="2">
        <f>IF($W763=AI$3,$AB763,IF(NOT($W763=0),"",SUMIFS('Val-Vol (2)'!AI$4:AI$1116,'Val-Vol (2)'!$A$4:$A$1116,$D763,'Val-Vol (2)'!$V$4:$V$1116,$V763)/SUMIFS('Comp2016-2017 (3)'!$G$5:$G$289,'Comp2016-2017 (3)'!$A$5:$A$289,$D763,'Comp2016-2017 (3)'!$R$5:$R$289,$V763)*$AB763))</f>
        <v>14604.694325872604</v>
      </c>
      <c r="AJ763" s="2" t="str">
        <f>IF($W763=AJ$3,$AB763,IF(NOT($W763=0),"",SUMIFS('Val-Vol (2)'!AJ$4:AJ$1116,'Val-Vol (2)'!$A$4:$A$1116,$D763,'Val-Vol (2)'!$V$4:$V$1116,$V763)/SUMIFS('Comp2016-2017 (3)'!$G$5:$G$289,'Comp2016-2017 (3)'!$A$5:$A$289,$D763,'Comp2016-2017 (3)'!$R$5:$R$289,$V763)*$AB763))</f>
        <v/>
      </c>
      <c r="AK763" s="2">
        <f t="shared" si="88"/>
        <v>0</v>
      </c>
      <c r="AL763" t="str">
        <f t="shared" si="81"/>
        <v/>
      </c>
      <c r="AM763" t="str">
        <f>VLOOKUP(A763,'Table corresp.'!$M$4:$U$63,8,FALSE)</f>
        <v>Forêt</v>
      </c>
      <c r="AN763" t="str">
        <f>VLOOKUP(D763,'Table corresp.'!$M$4:$U$63,9,FALSE)</f>
        <v>Production finale</v>
      </c>
    </row>
    <row r="764" spans="1:40" x14ac:dyDescent="0.25">
      <c r="A764" t="s">
        <v>0</v>
      </c>
      <c r="B764" t="str">
        <f>VLOOKUP(LEFT(A764,3),'Table corresp.'!$A$4:$D$63,3,FALSE)</f>
        <v>Forêt</v>
      </c>
      <c r="C764" t="str">
        <f>VLOOKUP(A764,'Table corresp.'!$M$4:$P$63,4,FALSE)</f>
        <v>Production et transformation de produits bois</v>
      </c>
      <c r="D764" t="s">
        <v>54</v>
      </c>
      <c r="E764" t="str">
        <f>VLOOKUP(LEFT(D764,3),'Table corresp.'!$A$4:$D$63,4,FALSE)</f>
        <v>Consommation finale</v>
      </c>
      <c r="F764" t="str">
        <f t="shared" si="85"/>
        <v>02  - Con</v>
      </c>
      <c r="G764" s="164">
        <v>592.40946591327952</v>
      </c>
      <c r="H764" s="164">
        <v>0</v>
      </c>
      <c r="I764" s="164">
        <v>592.40946591327906</v>
      </c>
      <c r="J764" s="164">
        <v>9.6311973579567312</v>
      </c>
      <c r="K764" s="164">
        <v>0</v>
      </c>
      <c r="L764" s="164">
        <v>9.6311973579567312</v>
      </c>
      <c r="M764" s="164">
        <v>0</v>
      </c>
      <c r="N764" s="164">
        <v>0</v>
      </c>
      <c r="O764" s="164">
        <v>0</v>
      </c>
      <c r="P764" s="164">
        <v>0</v>
      </c>
      <c r="Q764" s="164">
        <v>0</v>
      </c>
      <c r="R764" s="164">
        <v>0</v>
      </c>
      <c r="S764" s="163" t="str">
        <f t="shared" si="87"/>
        <v/>
      </c>
      <c r="T764" s="163">
        <f>VLOOKUP(A764,'Groupe de branches'!$Z$27:$AM$86,14,FALSE)</f>
        <v>0</v>
      </c>
      <c r="U764" s="163">
        <f>VLOOKUP(D764,'Groupe de branches'!$Z$27:$AM$86,14,FALSE)</f>
        <v>0</v>
      </c>
      <c r="V764" s="163">
        <v>2018</v>
      </c>
      <c r="W764" t="str">
        <f>VLOOKUP(D764,'Table corresp.'!$M$4:$S$63,7,FALSE)</f>
        <v>Consommation finale</v>
      </c>
      <c r="X764" s="167">
        <f>IFERROR(G764/SUMIFS('Comp2016-2017 (3)'!$I$5:$I$289,'Comp2016-2017 (3)'!$A$5:$A$289,A764,'Comp2016-2017 (3)'!$R$5:$R$289,V764),0)</f>
        <v>4.5929201781620677E-4</v>
      </c>
      <c r="Y764" s="178">
        <f>IFERROR(IF(RIGHT(F764,3)="Exp",VLOOKUP(F764,#REF!,2,FALSE),VLOOKUP(F764,#REF!,9,FALSE)),1)</f>
        <v>1</v>
      </c>
      <c r="Z764" s="167">
        <f t="shared" si="86"/>
        <v>6.25E-2</v>
      </c>
      <c r="AA764" s="189">
        <f t="shared" si="82"/>
        <v>2.8705751113512923E-5</v>
      </c>
      <c r="AB764" s="2">
        <f>IFERROR(SUMIFS('Comp2016-2017 (3)'!$G$5:$G$289,'Comp2016-2017 (3)'!$A$5:$A$289,A764,'Comp2016-2017 (3)'!$R$5:$R$289,V764)*AA764/SUMIFS($AA$4:$AA$1116,$A$4:$A$1116,A764,$V$4:$V$1116,V764),0)</f>
        <v>369.28484672646726</v>
      </c>
      <c r="AC764" s="2" t="str">
        <f>IF($W764=AC$3,$AB764,IF(NOT($W764=0),"",SUMIFS('Val-Vol (2)'!AC$4:AC$1116,'Val-Vol (2)'!$A$4:$A$1116,$D764,'Val-Vol (2)'!$V$4:$V$1116,$V764)/SUMIFS('Comp2016-2017 (3)'!$G$5:$G$289,'Comp2016-2017 (3)'!$A$5:$A$289,$D764,'Comp2016-2017 (3)'!$R$5:$R$289,$V764)*$AB764))</f>
        <v/>
      </c>
      <c r="AD764" s="2" t="str">
        <f>IF($W764=AD$3,$AB764,IF(NOT($W764=0),"",SUMIFS('Val-Vol (2)'!AD$4:AD$1116,'Val-Vol (2)'!$A$4:$A$1116,$D764,'Val-Vol (2)'!$V$4:$V$1116,$V764)/SUMIFS('Comp2016-2017 (3)'!$G$5:$G$289,'Comp2016-2017 (3)'!$A$5:$A$289,$D764,'Comp2016-2017 (3)'!$R$5:$R$289,$V764)*$AB764))</f>
        <v/>
      </c>
      <c r="AE764" s="2" t="str">
        <f>IF($W764=AE$3,$AB764,IF(NOT($W764=0),"",SUMIFS('Val-Vol (2)'!AE$4:AE$1116,'Val-Vol (2)'!$A$4:$A$1116,$D764,'Val-Vol (2)'!$V$4:$V$1116,$V764)/SUMIFS('Comp2016-2017 (3)'!$G$5:$G$289,'Comp2016-2017 (3)'!$A$5:$A$289,$D764,'Comp2016-2017 (3)'!$R$5:$R$289,$V764)*$AB764))</f>
        <v/>
      </c>
      <c r="AF764" s="2" t="str">
        <f>IF($W764=AF$3,$AB764,IF(NOT($W764=0),"",SUMIFS('Val-Vol (2)'!AF$4:AF$1116,'Val-Vol (2)'!$A$4:$A$1116,$D764,'Val-Vol (2)'!$V$4:$V$1116,$V764)/SUMIFS('Comp2016-2017 (3)'!$G$5:$G$289,'Comp2016-2017 (3)'!$A$5:$A$289,$D764,'Comp2016-2017 (3)'!$R$5:$R$289,$V764)*$AB764))</f>
        <v/>
      </c>
      <c r="AG764" s="2" t="str">
        <f>IF($W764=AG$3,$AB764,IF(NOT($W764=0),"",SUMIFS('Val-Vol (2)'!AG$4:AG$1116,'Val-Vol (2)'!$A$4:$A$1116,$D764,'Val-Vol (2)'!$V$4:$V$1116,$V764)/SUMIFS('Comp2016-2017 (3)'!$G$5:$G$289,'Comp2016-2017 (3)'!$A$5:$A$289,$D764,'Comp2016-2017 (3)'!$R$5:$R$289,$V764)*$AB764))</f>
        <v/>
      </c>
      <c r="AH764" s="2" t="str">
        <f>IF($W764=AH$3,$AB764,IF(NOT($W764=0),"",SUMIFS('Val-Vol (2)'!AH$4:AH$1116,'Val-Vol (2)'!$A$4:$A$1116,$D764,'Val-Vol (2)'!$V$4:$V$1116,$V764)/SUMIFS('Comp2016-2017 (3)'!$G$5:$G$289,'Comp2016-2017 (3)'!$A$5:$A$289,$D764,'Comp2016-2017 (3)'!$R$5:$R$289,$V764)*$AB764))</f>
        <v/>
      </c>
      <c r="AI764" s="2" t="str">
        <f>IF($W764=AI$3,$AB764,IF(NOT($W764=0),"",SUMIFS('Val-Vol (2)'!AI$4:AI$1116,'Val-Vol (2)'!$A$4:$A$1116,$D764,'Val-Vol (2)'!$V$4:$V$1116,$V764)/SUMIFS('Comp2016-2017 (3)'!$G$5:$G$289,'Comp2016-2017 (3)'!$A$5:$A$289,$D764,'Comp2016-2017 (3)'!$R$5:$R$289,$V764)*$AB764))</f>
        <v/>
      </c>
      <c r="AJ764" s="2">
        <f>IF($W764=AJ$3,$AB764,IF(NOT($W764=0),"",SUMIFS('Val-Vol (2)'!AJ$4:AJ$1116,'Val-Vol (2)'!$A$4:$A$1116,$D764,'Val-Vol (2)'!$V$4:$V$1116,$V764)/SUMIFS('Comp2016-2017 (3)'!$G$5:$G$289,'Comp2016-2017 (3)'!$A$5:$A$289,$D764,'Comp2016-2017 (3)'!$R$5:$R$289,$V764)*$AB764))</f>
        <v>369.28484672646726</v>
      </c>
      <c r="AK764" s="2">
        <f t="shared" si="88"/>
        <v>0</v>
      </c>
      <c r="AL764" t="str">
        <f t="shared" si="81"/>
        <v/>
      </c>
      <c r="AM764" t="str">
        <f>VLOOKUP(A764,'Table corresp.'!$M$4:$U$63,8,FALSE)</f>
        <v>Forêt</v>
      </c>
      <c r="AN764" t="str">
        <f>VLOOKUP(D764,'Table corresp.'!$M$4:$U$63,9,FALSE)</f>
        <v>Consommation finale française</v>
      </c>
    </row>
    <row r="765" spans="1:40" x14ac:dyDescent="0.25">
      <c r="A765" t="s">
        <v>0</v>
      </c>
      <c r="B765" t="str">
        <f>VLOOKUP(LEFT(A765,3),'Table corresp.'!$A$4:$D$63,3,FALSE)</f>
        <v>Forêt</v>
      </c>
      <c r="C765" t="str">
        <f>VLOOKUP(A765,'Table corresp.'!$M$4:$P$63,4,FALSE)</f>
        <v>Production et transformation de produits bois</v>
      </c>
      <c r="D765" t="s">
        <v>53</v>
      </c>
      <c r="E765" t="str">
        <f>VLOOKUP(LEFT(D765,3),'Table corresp.'!$A$4:$D$63,4,FALSE)</f>
        <v>Exportation</v>
      </c>
      <c r="F765" t="str">
        <f t="shared" si="85"/>
        <v>02  - Exp</v>
      </c>
      <c r="G765" s="164">
        <v>170475.98800000013</v>
      </c>
      <c r="H765" s="164">
        <v>0</v>
      </c>
      <c r="I765" s="164">
        <v>170475.98799999995</v>
      </c>
      <c r="J765" s="164">
        <v>1898.839275476528</v>
      </c>
      <c r="K765" s="164">
        <v>0</v>
      </c>
      <c r="L765" s="164">
        <v>1898.839275476528</v>
      </c>
      <c r="M765" s="164">
        <v>0</v>
      </c>
      <c r="N765" s="164">
        <v>0</v>
      </c>
      <c r="O765" s="164">
        <v>0</v>
      </c>
      <c r="P765" s="164">
        <v>0</v>
      </c>
      <c r="Q765" s="164">
        <v>0</v>
      </c>
      <c r="R765" s="164">
        <v>0</v>
      </c>
      <c r="S765" s="163" t="str">
        <f t="shared" si="87"/>
        <v/>
      </c>
      <c r="T765" s="163">
        <f>VLOOKUP(A765,'Groupe de branches'!$Z$27:$AM$86,14,FALSE)</f>
        <v>0</v>
      </c>
      <c r="U765" s="163">
        <f>VLOOKUP(D765,'Groupe de branches'!$Z$27:$AM$86,14,FALSE)</f>
        <v>0</v>
      </c>
      <c r="V765" s="163">
        <v>2018</v>
      </c>
      <c r="W765" t="str">
        <f>VLOOKUP(D765,'Table corresp.'!$M$4:$S$63,7,FALSE)</f>
        <v>Exportation</v>
      </c>
      <c r="X765" s="167">
        <f>IFERROR(G765/SUMIFS('Comp2016-2017 (3)'!$I$5:$I$289,'Comp2016-2017 (3)'!$A$5:$A$289,A765,'Comp2016-2017 (3)'!$R$5:$R$289,V765),0)</f>
        <v>0.13216915836586798</v>
      </c>
      <c r="Y765" s="178">
        <f>IFERROR(IF(RIGHT(F765,3)="Exp",VLOOKUP(F765,#REF!,2,FALSE),VLOOKUP(F765,#REF!,9,FALSE)),1)</f>
        <v>1</v>
      </c>
      <c r="Z765" s="167">
        <f t="shared" si="86"/>
        <v>6.25E-2</v>
      </c>
      <c r="AA765" s="189">
        <f t="shared" si="82"/>
        <v>8.260572397866749E-3</v>
      </c>
      <c r="AB765" s="2">
        <f>IFERROR(SUMIFS('Comp2016-2017 (3)'!$G$5:$G$289,'Comp2016-2017 (3)'!$A$5:$A$289,A765,'Comp2016-2017 (3)'!$R$5:$R$289,V765)*AA765/SUMIFS($AA$4:$AA$1116,$A$4:$A$1116,A765,$V$4:$V$1116,V765),0)</f>
        <v>106268.0505992096</v>
      </c>
      <c r="AC765" s="2">
        <f>IF($W765=AC$3,$AB765,IF(NOT($W765=0),"",SUMIFS('Val-Vol (2)'!AC$4:AC$1116,'Val-Vol (2)'!$A$4:$A$1116,$D765,'Val-Vol (2)'!$V$4:$V$1116,$V765)/SUMIFS('Comp2016-2017 (3)'!$G$5:$G$289,'Comp2016-2017 (3)'!$A$5:$A$289,$D765,'Comp2016-2017 (3)'!$R$5:$R$289,$V765)*$AB765))</f>
        <v>106268.0505992096</v>
      </c>
      <c r="AD765" s="2" t="str">
        <f>IF($W765=AD$3,$AB765,IF(NOT($W765=0),"",SUMIFS('Val-Vol (2)'!AD$4:AD$1116,'Val-Vol (2)'!$A$4:$A$1116,$D765,'Val-Vol (2)'!$V$4:$V$1116,$V765)/SUMIFS('Comp2016-2017 (3)'!$G$5:$G$289,'Comp2016-2017 (3)'!$A$5:$A$289,$D765,'Comp2016-2017 (3)'!$R$5:$R$289,$V765)*$AB765))</f>
        <v/>
      </c>
      <c r="AE765" s="2" t="str">
        <f>IF($W765=AE$3,$AB765,IF(NOT($W765=0),"",SUMIFS('Val-Vol (2)'!AE$4:AE$1116,'Val-Vol (2)'!$A$4:$A$1116,$D765,'Val-Vol (2)'!$V$4:$V$1116,$V765)/SUMIFS('Comp2016-2017 (3)'!$G$5:$G$289,'Comp2016-2017 (3)'!$A$5:$A$289,$D765,'Comp2016-2017 (3)'!$R$5:$R$289,$V765)*$AB765))</f>
        <v/>
      </c>
      <c r="AF765" s="2" t="str">
        <f>IF($W765=AF$3,$AB765,IF(NOT($W765=0),"",SUMIFS('Val-Vol (2)'!AF$4:AF$1116,'Val-Vol (2)'!$A$4:$A$1116,$D765,'Val-Vol (2)'!$V$4:$V$1116,$V765)/SUMIFS('Comp2016-2017 (3)'!$G$5:$G$289,'Comp2016-2017 (3)'!$A$5:$A$289,$D765,'Comp2016-2017 (3)'!$R$5:$R$289,$V765)*$AB765))</f>
        <v/>
      </c>
      <c r="AG765" s="2" t="str">
        <f>IF($W765=AG$3,$AB765,IF(NOT($W765=0),"",SUMIFS('Val-Vol (2)'!AG$4:AG$1116,'Val-Vol (2)'!$A$4:$A$1116,$D765,'Val-Vol (2)'!$V$4:$V$1116,$V765)/SUMIFS('Comp2016-2017 (3)'!$G$5:$G$289,'Comp2016-2017 (3)'!$A$5:$A$289,$D765,'Comp2016-2017 (3)'!$R$5:$R$289,$V765)*$AB765))</f>
        <v/>
      </c>
      <c r="AH765" s="2" t="str">
        <f>IF($W765=AH$3,$AB765,IF(NOT($W765=0),"",SUMIFS('Val-Vol (2)'!AH$4:AH$1116,'Val-Vol (2)'!$A$4:$A$1116,$D765,'Val-Vol (2)'!$V$4:$V$1116,$V765)/SUMIFS('Comp2016-2017 (3)'!$G$5:$G$289,'Comp2016-2017 (3)'!$A$5:$A$289,$D765,'Comp2016-2017 (3)'!$R$5:$R$289,$V765)*$AB765))</f>
        <v/>
      </c>
      <c r="AI765" s="2" t="str">
        <f>IF($W765=AI$3,$AB765,IF(NOT($W765=0),"",SUMIFS('Val-Vol (2)'!AI$4:AI$1116,'Val-Vol (2)'!$A$4:$A$1116,$D765,'Val-Vol (2)'!$V$4:$V$1116,$V765)/SUMIFS('Comp2016-2017 (3)'!$G$5:$G$289,'Comp2016-2017 (3)'!$A$5:$A$289,$D765,'Comp2016-2017 (3)'!$R$5:$R$289,$V765)*$AB765))</f>
        <v/>
      </c>
      <c r="AJ765" s="2" t="str">
        <f>IF($W765=AJ$3,$AB765,IF(NOT($W765=0),"",SUMIFS('Val-Vol (2)'!AJ$4:AJ$1116,'Val-Vol (2)'!$A$4:$A$1116,$D765,'Val-Vol (2)'!$V$4:$V$1116,$V765)/SUMIFS('Comp2016-2017 (3)'!$G$5:$G$289,'Comp2016-2017 (3)'!$A$5:$A$289,$D765,'Comp2016-2017 (3)'!$R$5:$R$289,$V765)*$AB765))</f>
        <v/>
      </c>
      <c r="AK765" s="2">
        <f t="shared" si="88"/>
        <v>0</v>
      </c>
      <c r="AL765" t="str">
        <f t="shared" si="81"/>
        <v/>
      </c>
      <c r="AM765" t="str">
        <f>VLOOKUP(A765,'Table corresp.'!$M$4:$U$63,8,FALSE)</f>
        <v>Forêt</v>
      </c>
      <c r="AN765" t="str">
        <f>VLOOKUP(D765,'Table corresp.'!$M$4:$U$63,9,FALSE)</f>
        <v>Exportation</v>
      </c>
    </row>
    <row r="766" spans="1:40" x14ac:dyDescent="0.25">
      <c r="A766" t="s">
        <v>1</v>
      </c>
      <c r="B766" t="str">
        <f>VLOOKUP(LEFT(A766,3),'Table corresp.'!$A$4:$D$63,3,FALSE)</f>
        <v>Forêt</v>
      </c>
      <c r="C766" t="str">
        <f>VLOOKUP(A766,'Table corresp.'!$M$4:$P$63,4,FALSE)</f>
        <v>Production et transformation de produits bois</v>
      </c>
      <c r="D766" t="s">
        <v>87</v>
      </c>
      <c r="E766" t="str">
        <f>VLOOKUP(LEFT(D766,3),'Table corresp.'!$A$4:$D$63,4,FALSE)</f>
        <v>Transformation</v>
      </c>
      <c r="F766" t="str">
        <f t="shared" si="85"/>
        <v xml:space="preserve">03  - 31 </v>
      </c>
      <c r="G766" s="164">
        <v>20560.164937029956</v>
      </c>
      <c r="H766" s="164">
        <v>25017.501925130728</v>
      </c>
      <c r="I766" s="164">
        <v>45577.666855415511</v>
      </c>
      <c r="J766" s="164">
        <v>0</v>
      </c>
      <c r="K766" s="164">
        <v>0</v>
      </c>
      <c r="L766" s="164">
        <v>0</v>
      </c>
      <c r="M766" s="164">
        <v>2210.1442552879143</v>
      </c>
      <c r="N766" s="164">
        <v>345.73893970852191</v>
      </c>
      <c r="O766" s="164">
        <v>2555.883194996436</v>
      </c>
      <c r="P766" s="164">
        <v>0</v>
      </c>
      <c r="Q766" s="164">
        <v>0</v>
      </c>
      <c r="R766" s="164">
        <v>0</v>
      </c>
      <c r="S766" s="163" t="str">
        <f t="shared" si="87"/>
        <v/>
      </c>
      <c r="T766" s="163">
        <f>VLOOKUP(A766,'Groupe de branches'!$Z$27:$AM$86,14,FALSE)</f>
        <v>0</v>
      </c>
      <c r="U766" s="163">
        <f>VLOOKUP(D766,'Groupe de branches'!$Z$27:$AM$86,14,FALSE)</f>
        <v>0</v>
      </c>
      <c r="V766" s="163">
        <v>2018</v>
      </c>
      <c r="W766">
        <f>VLOOKUP(D766,'Table corresp.'!$M$4:$S$63,7,FALSE)</f>
        <v>0</v>
      </c>
      <c r="X766" s="167">
        <f>IFERROR(G766/SUMIFS('Comp2016-2017 (3)'!$I$5:$I$289,'Comp2016-2017 (3)'!$A$5:$A$289,A766,'Comp2016-2017 (3)'!$R$5:$R$289,V766),0)</f>
        <v>0.11070833455701276</v>
      </c>
      <c r="Y766" s="178">
        <f>IFERROR(IF(RIGHT(F766,3)="Exp",VLOOKUP(F766,#REF!,2,FALSE),VLOOKUP(F766,#REF!,9,FALSE)),1)</f>
        <v>1</v>
      </c>
      <c r="Z766" s="167">
        <f t="shared" si="86"/>
        <v>0.25</v>
      </c>
      <c r="AA766" s="189">
        <f t="shared" si="82"/>
        <v>2.767708363925319E-2</v>
      </c>
      <c r="AB766" s="2">
        <f>IFERROR(SUMIFS('Comp2016-2017 (3)'!$G$5:$G$289,'Comp2016-2017 (3)'!$A$5:$A$289,A766,'Comp2016-2017 (3)'!$R$5:$R$289,V766)*AA766/SUMIFS($AA$4:$AA$1116,$A$4:$A$1116,A766,$V$4:$V$1116,V766),0)</f>
        <v>20560.169035249543</v>
      </c>
      <c r="AC766" s="2">
        <f>IF($W766=AC$3,$AB766,IF(NOT($W766=0),"",SUMIFS('Val-Vol (2)'!AC$4:AC$1116,'Val-Vol (2)'!$A$4:$A$1116,$D766,'Val-Vol (2)'!$V$4:$V$1116,$V766)/SUMIFS('Comp2016-2017 (3)'!$G$5:$G$289,'Comp2016-2017 (3)'!$A$5:$A$289,$D766,'Comp2016-2017 (3)'!$R$5:$R$289,$V766)*$AB766))</f>
        <v>11552.830416510635</v>
      </c>
      <c r="AD766" s="2">
        <f>IF($W766=AD$3,$AB766,IF(NOT($W766=0),"",SUMIFS('Val-Vol (2)'!AD$4:AD$1116,'Val-Vol (2)'!$A$4:$A$1116,$D766,'Val-Vol (2)'!$V$4:$V$1116,$V766)/SUMIFS('Comp2016-2017 (3)'!$G$5:$G$289,'Comp2016-2017 (3)'!$A$5:$A$289,$D766,'Comp2016-2017 (3)'!$R$5:$R$289,$V766)*$AB766))</f>
        <v>3657.5980086580257</v>
      </c>
      <c r="AE766" s="2">
        <f>IF($W766=AE$3,$AB766,IF(NOT($W766=0),"",SUMIFS('Val-Vol (2)'!AE$4:AE$1116,'Val-Vol (2)'!$A$4:$A$1116,$D766,'Val-Vol (2)'!$V$4:$V$1116,$V766)/SUMIFS('Comp2016-2017 (3)'!$G$5:$G$289,'Comp2016-2017 (3)'!$A$5:$A$289,$D766,'Comp2016-2017 (3)'!$R$5:$R$289,$V766)*$AB766))</f>
        <v>2950.4300039445206</v>
      </c>
      <c r="AF766" s="2">
        <f>IF($W766=AF$3,$AB766,IF(NOT($W766=0),"",SUMIFS('Val-Vol (2)'!AF$4:AF$1116,'Val-Vol (2)'!$A$4:$A$1116,$D766,'Val-Vol (2)'!$V$4:$V$1116,$V766)/SUMIFS('Comp2016-2017 (3)'!$G$5:$G$289,'Comp2016-2017 (3)'!$A$5:$A$289,$D766,'Comp2016-2017 (3)'!$R$5:$R$289,$V766)*$AB766))</f>
        <v>0</v>
      </c>
      <c r="AG766" s="2">
        <f>IF($W766=AG$3,$AB766,IF(NOT($W766=0),"",SUMIFS('Val-Vol (2)'!AG$4:AG$1116,'Val-Vol (2)'!$A$4:$A$1116,$D766,'Val-Vol (2)'!$V$4:$V$1116,$V766)/SUMIFS('Comp2016-2017 (3)'!$G$5:$G$289,'Comp2016-2017 (3)'!$A$5:$A$289,$D766,'Comp2016-2017 (3)'!$R$5:$R$289,$V766)*$AB766))</f>
        <v>1535.0408452847942</v>
      </c>
      <c r="AH766" s="2">
        <f>IF($W766=AH$3,$AB766,IF(NOT($W766=0),"",SUMIFS('Val-Vol (2)'!AH$4:AH$1116,'Val-Vol (2)'!$A$4:$A$1116,$D766,'Val-Vol (2)'!$V$4:$V$1116,$V766)/SUMIFS('Comp2016-2017 (3)'!$G$5:$G$289,'Comp2016-2017 (3)'!$A$5:$A$289,$D766,'Comp2016-2017 (3)'!$R$5:$R$289,$V766)*$AB766))</f>
        <v>0</v>
      </c>
      <c r="AI766" s="2">
        <f>IF($W766=AI$3,$AB766,IF(NOT($W766=0),"",SUMIFS('Val-Vol (2)'!AI$4:AI$1116,'Val-Vol (2)'!$A$4:$A$1116,$D766,'Val-Vol (2)'!$V$4:$V$1116,$V766)/SUMIFS('Comp2016-2017 (3)'!$G$5:$G$289,'Comp2016-2017 (3)'!$A$5:$A$289,$D766,'Comp2016-2017 (3)'!$R$5:$R$289,$V766)*$AB766))</f>
        <v>0</v>
      </c>
      <c r="AJ766" s="2">
        <f>IF($W766=AJ$3,$AB766,IF(NOT($W766=0),"",SUMIFS('Val-Vol (2)'!AJ$4:AJ$1116,'Val-Vol (2)'!$A$4:$A$1116,$D766,'Val-Vol (2)'!$V$4:$V$1116,$V766)/SUMIFS('Comp2016-2017 (3)'!$G$5:$G$289,'Comp2016-2017 (3)'!$A$5:$A$289,$D766,'Comp2016-2017 (3)'!$R$5:$R$289,$V766)*$AB766))</f>
        <v>864.2697608515706</v>
      </c>
      <c r="AK766" s="2">
        <f t="shared" si="88"/>
        <v>0</v>
      </c>
      <c r="AL766" t="str">
        <f t="shared" si="81"/>
        <v/>
      </c>
      <c r="AM766" t="str">
        <f>VLOOKUP(A766,'Table corresp.'!$M$4:$U$63,8,FALSE)</f>
        <v>Forêt</v>
      </c>
      <c r="AN766" t="str">
        <f>VLOOKUP(D766,'Table corresp.'!$M$4:$U$63,9,FALSE)</f>
        <v>Production intermédiaire</v>
      </c>
    </row>
    <row r="767" spans="1:40" x14ac:dyDescent="0.25">
      <c r="A767" t="s">
        <v>1</v>
      </c>
      <c r="B767" t="str">
        <f>VLOOKUP(LEFT(A767,3),'Table corresp.'!$A$4:$D$63,3,FALSE)</f>
        <v>Forêt</v>
      </c>
      <c r="C767" t="str">
        <f>VLOOKUP(A767,'Table corresp.'!$M$4:$P$63,4,FALSE)</f>
        <v>Production et transformation de produits bois</v>
      </c>
      <c r="D767" t="s">
        <v>95</v>
      </c>
      <c r="E767" t="str">
        <f>VLOOKUP(LEFT(D767,3),'Table corresp.'!$A$4:$D$63,4,FALSE)</f>
        <v>Transformation</v>
      </c>
      <c r="F767" t="str">
        <f t="shared" si="85"/>
        <v xml:space="preserve">03  - 43 </v>
      </c>
      <c r="G767" s="164">
        <v>20519.671723303341</v>
      </c>
      <c r="H767" s="164">
        <v>31061.305299534975</v>
      </c>
      <c r="I767" s="164">
        <v>51580.977013855016</v>
      </c>
      <c r="J767" s="164">
        <v>0</v>
      </c>
      <c r="K767" s="164">
        <v>0</v>
      </c>
      <c r="L767" s="164">
        <v>0</v>
      </c>
      <c r="M767" s="164">
        <v>2219.0667428920328</v>
      </c>
      <c r="N767" s="164">
        <v>81.102877575097494</v>
      </c>
      <c r="O767" s="164">
        <v>2300.1696204671302</v>
      </c>
      <c r="P767" s="164">
        <v>0</v>
      </c>
      <c r="Q767" s="164">
        <v>0</v>
      </c>
      <c r="R767" s="164">
        <v>0</v>
      </c>
      <c r="S767" s="163" t="str">
        <f t="shared" si="87"/>
        <v/>
      </c>
      <c r="T767" s="163">
        <f>VLOOKUP(A767,'Groupe de branches'!$Z$27:$AM$86,14,FALSE)</f>
        <v>0</v>
      </c>
      <c r="U767" s="163">
        <f>VLOOKUP(D767,'Groupe de branches'!$Z$27:$AM$86,14,FALSE)</f>
        <v>0</v>
      </c>
      <c r="V767" s="163">
        <v>2018</v>
      </c>
      <c r="W767" t="str">
        <f>VLOOKUP(D767,'Table corresp.'!$M$4:$S$63,7,FALSE)</f>
        <v>Pate &amp; papier &amp; carton</v>
      </c>
      <c r="X767" s="167">
        <f>IFERROR(G767/SUMIFS('Comp2016-2017 (3)'!$I$5:$I$289,'Comp2016-2017 (3)'!$A$5:$A$289,A767,'Comp2016-2017 (3)'!$R$5:$R$289,V767),0)</f>
        <v>0.11049029465965471</v>
      </c>
      <c r="Y767" s="178">
        <f>IFERROR(IF(RIGHT(F767,3)="Exp",VLOOKUP(F767,#REF!,2,FALSE),VLOOKUP(F767,#REF!,9,FALSE)),1)</f>
        <v>1</v>
      </c>
      <c r="Z767" s="167">
        <f t="shared" si="86"/>
        <v>0.25</v>
      </c>
      <c r="AA767" s="189">
        <f t="shared" si="82"/>
        <v>2.7622573664913677E-2</v>
      </c>
      <c r="AB767" s="2">
        <f>IFERROR(SUMIFS('Comp2016-2017 (3)'!$G$5:$G$289,'Comp2016-2017 (3)'!$A$5:$A$289,A767,'Comp2016-2017 (3)'!$R$5:$R$289,V767)*AA767/SUMIFS($AA$4:$AA$1116,$A$4:$A$1116,A767,$V$4:$V$1116,V767),0)</f>
        <v>20519.675813451489</v>
      </c>
      <c r="AC767" s="2" t="str">
        <f>IF($W767=AC$3,$AB767,IF(NOT($W767=0),"",SUMIFS('Val-Vol (2)'!AC$4:AC$1116,'Val-Vol (2)'!$A$4:$A$1116,$D767,'Val-Vol (2)'!$V$4:$V$1116,$V767)/SUMIFS('Comp2016-2017 (3)'!$G$5:$G$289,'Comp2016-2017 (3)'!$A$5:$A$289,$D767,'Comp2016-2017 (3)'!$R$5:$R$289,$V767)*$AB767))</f>
        <v/>
      </c>
      <c r="AD767" s="2" t="str">
        <f>IF($W767=AD$3,$AB767,IF(NOT($W767=0),"",SUMIFS('Val-Vol (2)'!AD$4:AD$1116,'Val-Vol (2)'!$A$4:$A$1116,$D767,'Val-Vol (2)'!$V$4:$V$1116,$V767)/SUMIFS('Comp2016-2017 (3)'!$G$5:$G$289,'Comp2016-2017 (3)'!$A$5:$A$289,$D767,'Comp2016-2017 (3)'!$R$5:$R$289,$V767)*$AB767))</f>
        <v/>
      </c>
      <c r="AE767" s="2" t="str">
        <f>IF($W767=AE$3,$AB767,IF(NOT($W767=0),"",SUMIFS('Val-Vol (2)'!AE$4:AE$1116,'Val-Vol (2)'!$A$4:$A$1116,$D767,'Val-Vol (2)'!$V$4:$V$1116,$V767)/SUMIFS('Comp2016-2017 (3)'!$G$5:$G$289,'Comp2016-2017 (3)'!$A$5:$A$289,$D767,'Comp2016-2017 (3)'!$R$5:$R$289,$V767)*$AB767))</f>
        <v/>
      </c>
      <c r="AF767" s="2">
        <f>IF($W767=AF$3,$AB767,IF(NOT($W767=0),"",SUMIFS('Val-Vol (2)'!AF$4:AF$1116,'Val-Vol (2)'!$A$4:$A$1116,$D767,'Val-Vol (2)'!$V$4:$V$1116,$V767)/SUMIFS('Comp2016-2017 (3)'!$G$5:$G$289,'Comp2016-2017 (3)'!$A$5:$A$289,$D767,'Comp2016-2017 (3)'!$R$5:$R$289,$V767)*$AB767))</f>
        <v>20519.675813451489</v>
      </c>
      <c r="AG767" s="2" t="str">
        <f>IF($W767=AG$3,$AB767,IF(NOT($W767=0),"",SUMIFS('Val-Vol (2)'!AG$4:AG$1116,'Val-Vol (2)'!$A$4:$A$1116,$D767,'Val-Vol (2)'!$V$4:$V$1116,$V767)/SUMIFS('Comp2016-2017 (3)'!$G$5:$G$289,'Comp2016-2017 (3)'!$A$5:$A$289,$D767,'Comp2016-2017 (3)'!$R$5:$R$289,$V767)*$AB767))</f>
        <v/>
      </c>
      <c r="AH767" s="2" t="str">
        <f>IF($W767=AH$3,$AB767,IF(NOT($W767=0),"",SUMIFS('Val-Vol (2)'!AH$4:AH$1116,'Val-Vol (2)'!$A$4:$A$1116,$D767,'Val-Vol (2)'!$V$4:$V$1116,$V767)/SUMIFS('Comp2016-2017 (3)'!$G$5:$G$289,'Comp2016-2017 (3)'!$A$5:$A$289,$D767,'Comp2016-2017 (3)'!$R$5:$R$289,$V767)*$AB767))</f>
        <v/>
      </c>
      <c r="AI767" s="2" t="str">
        <f>IF($W767=AI$3,$AB767,IF(NOT($W767=0),"",SUMIFS('Val-Vol (2)'!AI$4:AI$1116,'Val-Vol (2)'!$A$4:$A$1116,$D767,'Val-Vol (2)'!$V$4:$V$1116,$V767)/SUMIFS('Comp2016-2017 (3)'!$G$5:$G$289,'Comp2016-2017 (3)'!$A$5:$A$289,$D767,'Comp2016-2017 (3)'!$R$5:$R$289,$V767)*$AB767))</f>
        <v/>
      </c>
      <c r="AJ767" s="2" t="str">
        <f>IF($W767=AJ$3,$AB767,IF(NOT($W767=0),"",SUMIFS('Val-Vol (2)'!AJ$4:AJ$1116,'Val-Vol (2)'!$A$4:$A$1116,$D767,'Val-Vol (2)'!$V$4:$V$1116,$V767)/SUMIFS('Comp2016-2017 (3)'!$G$5:$G$289,'Comp2016-2017 (3)'!$A$5:$A$289,$D767,'Comp2016-2017 (3)'!$R$5:$R$289,$V767)*$AB767))</f>
        <v/>
      </c>
      <c r="AK767" s="2">
        <f t="shared" si="88"/>
        <v>0</v>
      </c>
      <c r="AL767" t="str">
        <f t="shared" si="81"/>
        <v/>
      </c>
      <c r="AM767" t="str">
        <f>VLOOKUP(A767,'Table corresp.'!$M$4:$U$63,8,FALSE)</f>
        <v>Forêt</v>
      </c>
      <c r="AN767" t="str">
        <f>VLOOKUP(D767,'Table corresp.'!$M$4:$U$63,9,FALSE)</f>
        <v>Production intermédiaire</v>
      </c>
    </row>
    <row r="768" spans="1:40" x14ac:dyDescent="0.25">
      <c r="A768" t="s">
        <v>1</v>
      </c>
      <c r="B768" t="str">
        <f>VLOOKUP(LEFT(A768,3),'Table corresp.'!$A$4:$D$63,3,FALSE)</f>
        <v>Forêt</v>
      </c>
      <c r="C768" t="str">
        <f>VLOOKUP(A768,'Table corresp.'!$M$4:$P$63,4,FALSE)</f>
        <v>Production et transformation de produits bois</v>
      </c>
      <c r="D768" t="s">
        <v>98</v>
      </c>
      <c r="E768" t="str">
        <f>VLOOKUP(LEFT(D768,3),'Table corresp.'!$A$4:$D$63,4,FALSE)</f>
        <v>Transformation</v>
      </c>
      <c r="F768" t="str">
        <f t="shared" si="85"/>
        <v xml:space="preserve">03  - 46 </v>
      </c>
      <c r="G768" s="164">
        <v>4923.8905073221476</v>
      </c>
      <c r="H768" s="164">
        <v>5007.7617753342965</v>
      </c>
      <c r="I768" s="164">
        <v>9931.6522814045093</v>
      </c>
      <c r="J768" s="164">
        <v>0</v>
      </c>
      <c r="K768" s="164">
        <v>0</v>
      </c>
      <c r="L768" s="164">
        <v>0</v>
      </c>
      <c r="M768" s="164">
        <v>378.69397897667363</v>
      </c>
      <c r="N768" s="164">
        <v>13.07555771638067</v>
      </c>
      <c r="O768" s="164">
        <v>391.76953669305431</v>
      </c>
      <c r="P768" s="164">
        <v>0</v>
      </c>
      <c r="Q768" s="164">
        <v>0</v>
      </c>
      <c r="R768" s="164">
        <v>0</v>
      </c>
      <c r="S768" s="163" t="str">
        <f t="shared" si="87"/>
        <v/>
      </c>
      <c r="T768" s="163">
        <f>VLOOKUP(A768,'Groupe de branches'!$Z$27:$AM$86,14,FALSE)</f>
        <v>0</v>
      </c>
      <c r="U768" s="163">
        <f>VLOOKUP(D768,'Groupe de branches'!$Z$27:$AM$86,14,FALSE)</f>
        <v>0</v>
      </c>
      <c r="V768" s="163">
        <v>2018</v>
      </c>
      <c r="W768" t="str">
        <f>VLOOKUP(D768,'Table corresp.'!$M$4:$S$63,7,FALSE)</f>
        <v>Produits de consommation courante</v>
      </c>
      <c r="X768" s="167">
        <f>IFERROR(G768/SUMIFS('Comp2016-2017 (3)'!$I$5:$I$289,'Comp2016-2017 (3)'!$A$5:$A$289,A768,'Comp2016-2017 (3)'!$R$5:$R$289,V768),0)</f>
        <v>2.6513197694486249E-2</v>
      </c>
      <c r="Y768" s="178">
        <f>IFERROR(IF(RIGHT(F768,3)="Exp",VLOOKUP(F768,#REF!,2,FALSE),VLOOKUP(F768,#REF!,9,FALSE)),1)</f>
        <v>1</v>
      </c>
      <c r="Z768" s="167">
        <f t="shared" si="86"/>
        <v>0.25</v>
      </c>
      <c r="AA768" s="189">
        <f t="shared" si="82"/>
        <v>6.6282994236215621E-3</v>
      </c>
      <c r="AB768" s="2">
        <f>IFERROR(SUMIFS('Comp2016-2017 (3)'!$G$5:$G$289,'Comp2016-2017 (3)'!$A$5:$A$289,A768,'Comp2016-2017 (3)'!$R$5:$R$289,V768)*AA768/SUMIFS($AA$4:$AA$1116,$A$4:$A$1116,A768,$V$4:$V$1116,V768),0)</f>
        <v>4923.8914887921201</v>
      </c>
      <c r="AC768" s="2" t="str">
        <f>IF($W768=AC$3,$AB768,IF(NOT($W768=0),"",SUMIFS('Val-Vol (2)'!AC$4:AC$1116,'Val-Vol (2)'!$A$4:$A$1116,$D768,'Val-Vol (2)'!$V$4:$V$1116,$V768)/SUMIFS('Comp2016-2017 (3)'!$G$5:$G$289,'Comp2016-2017 (3)'!$A$5:$A$289,$D768,'Comp2016-2017 (3)'!$R$5:$R$289,$V768)*$AB768))</f>
        <v/>
      </c>
      <c r="AD768" s="2" t="str">
        <f>IF($W768=AD$3,$AB768,IF(NOT($W768=0),"",SUMIFS('Val-Vol (2)'!AD$4:AD$1116,'Val-Vol (2)'!$A$4:$A$1116,$D768,'Val-Vol (2)'!$V$4:$V$1116,$V768)/SUMIFS('Comp2016-2017 (3)'!$G$5:$G$289,'Comp2016-2017 (3)'!$A$5:$A$289,$D768,'Comp2016-2017 (3)'!$R$5:$R$289,$V768)*$AB768))</f>
        <v/>
      </c>
      <c r="AE768" s="2" t="str">
        <f>IF($W768=AE$3,$AB768,IF(NOT($W768=0),"",SUMIFS('Val-Vol (2)'!AE$4:AE$1116,'Val-Vol (2)'!$A$4:$A$1116,$D768,'Val-Vol (2)'!$V$4:$V$1116,$V768)/SUMIFS('Comp2016-2017 (3)'!$G$5:$G$289,'Comp2016-2017 (3)'!$A$5:$A$289,$D768,'Comp2016-2017 (3)'!$R$5:$R$289,$V768)*$AB768))</f>
        <v/>
      </c>
      <c r="AF768" s="2" t="str">
        <f>IF($W768=AF$3,$AB768,IF(NOT($W768=0),"",SUMIFS('Val-Vol (2)'!AF$4:AF$1116,'Val-Vol (2)'!$A$4:$A$1116,$D768,'Val-Vol (2)'!$V$4:$V$1116,$V768)/SUMIFS('Comp2016-2017 (3)'!$G$5:$G$289,'Comp2016-2017 (3)'!$A$5:$A$289,$D768,'Comp2016-2017 (3)'!$R$5:$R$289,$V768)*$AB768))</f>
        <v/>
      </c>
      <c r="AG768" s="2" t="str">
        <f>IF($W768=AG$3,$AB768,IF(NOT($W768=0),"",SUMIFS('Val-Vol (2)'!AG$4:AG$1116,'Val-Vol (2)'!$A$4:$A$1116,$D768,'Val-Vol (2)'!$V$4:$V$1116,$V768)/SUMIFS('Comp2016-2017 (3)'!$G$5:$G$289,'Comp2016-2017 (3)'!$A$5:$A$289,$D768,'Comp2016-2017 (3)'!$R$5:$R$289,$V768)*$AB768))</f>
        <v/>
      </c>
      <c r="AH768" s="2" t="str">
        <f>IF($W768=AH$3,$AB768,IF(NOT($W768=0),"",SUMIFS('Val-Vol (2)'!AH$4:AH$1116,'Val-Vol (2)'!$A$4:$A$1116,$D768,'Val-Vol (2)'!$V$4:$V$1116,$V768)/SUMIFS('Comp2016-2017 (3)'!$G$5:$G$289,'Comp2016-2017 (3)'!$A$5:$A$289,$D768,'Comp2016-2017 (3)'!$R$5:$R$289,$V768)*$AB768))</f>
        <v/>
      </c>
      <c r="AI768" s="2">
        <f>IF($W768=AI$3,$AB768,IF(NOT($W768=0),"",SUMIFS('Val-Vol (2)'!AI$4:AI$1116,'Val-Vol (2)'!$A$4:$A$1116,$D768,'Val-Vol (2)'!$V$4:$V$1116,$V768)/SUMIFS('Comp2016-2017 (3)'!$G$5:$G$289,'Comp2016-2017 (3)'!$A$5:$A$289,$D768,'Comp2016-2017 (3)'!$R$5:$R$289,$V768)*$AB768))</f>
        <v>4923.8914887921201</v>
      </c>
      <c r="AJ768" s="2" t="str">
        <f>IF($W768=AJ$3,$AB768,IF(NOT($W768=0),"",SUMIFS('Val-Vol (2)'!AJ$4:AJ$1116,'Val-Vol (2)'!$A$4:$A$1116,$D768,'Val-Vol (2)'!$V$4:$V$1116,$V768)/SUMIFS('Comp2016-2017 (3)'!$G$5:$G$289,'Comp2016-2017 (3)'!$A$5:$A$289,$D768,'Comp2016-2017 (3)'!$R$5:$R$289,$V768)*$AB768))</f>
        <v/>
      </c>
      <c r="AK768" s="2">
        <f t="shared" si="88"/>
        <v>0</v>
      </c>
      <c r="AL768" t="str">
        <f t="shared" si="81"/>
        <v/>
      </c>
      <c r="AM768" t="str">
        <f>VLOOKUP(A768,'Table corresp.'!$M$4:$U$63,8,FALSE)</f>
        <v>Forêt</v>
      </c>
      <c r="AN768" t="str">
        <f>VLOOKUP(D768,'Table corresp.'!$M$4:$U$63,9,FALSE)</f>
        <v>Production intermédiaire</v>
      </c>
    </row>
    <row r="769" spans="1:40" x14ac:dyDescent="0.25">
      <c r="A769" t="s">
        <v>1</v>
      </c>
      <c r="B769" t="str">
        <f>VLOOKUP(LEFT(A769,3),'Table corresp.'!$A$4:$D$63,3,FALSE)</f>
        <v>Forêt</v>
      </c>
      <c r="C769" t="str">
        <f>VLOOKUP(A769,'Table corresp.'!$M$4:$P$63,4,FALSE)</f>
        <v>Production et transformation de produits bois</v>
      </c>
      <c r="D769" t="s">
        <v>53</v>
      </c>
      <c r="E769" t="str">
        <f>VLOOKUP(LEFT(D769,3),'Table corresp.'!$A$4:$D$63,4,FALSE)</f>
        <v>Exportation</v>
      </c>
      <c r="F769" t="str">
        <f t="shared" si="85"/>
        <v>03  - Exp</v>
      </c>
      <c r="G769" s="164">
        <v>139710.93398301952</v>
      </c>
      <c r="H769" s="164">
        <v>0</v>
      </c>
      <c r="I769" s="164">
        <v>139710.93400000001</v>
      </c>
      <c r="J769" s="164">
        <v>0</v>
      </c>
      <c r="K769" s="164">
        <v>0</v>
      </c>
      <c r="L769" s="164">
        <v>0</v>
      </c>
      <c r="M769" s="164">
        <v>3942.095022843379</v>
      </c>
      <c r="N769" s="164">
        <v>0</v>
      </c>
      <c r="O769" s="164">
        <v>3942.095022843379</v>
      </c>
      <c r="P769" s="164">
        <v>0</v>
      </c>
      <c r="Q769" s="164">
        <v>0</v>
      </c>
      <c r="R769" s="164">
        <v>0</v>
      </c>
      <c r="S769" s="163" t="str">
        <f t="shared" si="87"/>
        <v/>
      </c>
      <c r="T769" s="163">
        <f>VLOOKUP(A769,'Groupe de branches'!$Z$27:$AM$86,14,FALSE)</f>
        <v>0</v>
      </c>
      <c r="U769" s="163">
        <f>VLOOKUP(D769,'Groupe de branches'!$Z$27:$AM$86,14,FALSE)</f>
        <v>0</v>
      </c>
      <c r="V769" s="163">
        <v>2018</v>
      </c>
      <c r="W769" t="str">
        <f>VLOOKUP(D769,'Table corresp.'!$M$4:$S$63,7,FALSE)</f>
        <v>Exportation</v>
      </c>
      <c r="X769" s="167">
        <f>IFERROR(G769/SUMIFS('Comp2016-2017 (3)'!$I$5:$I$289,'Comp2016-2017 (3)'!$A$5:$A$289,A769,'Comp2016-2017 (3)'!$R$5:$R$289,V769),0)</f>
        <v>0.75228797376073864</v>
      </c>
      <c r="Y769" s="178">
        <f>IFERROR(IF(RIGHT(F769,3)="Exp",VLOOKUP(F769,#REF!,2,FALSE),VLOOKUP(F769,#REF!,9,FALSE)),1)</f>
        <v>1</v>
      </c>
      <c r="Z769" s="167">
        <f t="shared" si="86"/>
        <v>0.25</v>
      </c>
      <c r="AA769" s="189">
        <f t="shared" si="82"/>
        <v>0.18807199344018466</v>
      </c>
      <c r="AB769" s="2">
        <f>IFERROR(SUMIFS('Comp2016-2017 (3)'!$G$5:$G$289,'Comp2016-2017 (3)'!$A$5:$A$289,A769,'Comp2016-2017 (3)'!$R$5:$R$289,V769)*AA769/SUMIFS($AA$4:$AA$1116,$A$4:$A$1116,A769,$V$4:$V$1116,V769),0)</f>
        <v>139710.96183134115</v>
      </c>
      <c r="AC769" s="2">
        <f>IF($W769=AC$3,$AB769,IF(NOT($W769=0),"",SUMIFS('Val-Vol (2)'!AC$4:AC$1116,'Val-Vol (2)'!$A$4:$A$1116,$D769,'Val-Vol (2)'!$V$4:$V$1116,$V769)/SUMIFS('Comp2016-2017 (3)'!$G$5:$G$289,'Comp2016-2017 (3)'!$A$5:$A$289,$D769,'Comp2016-2017 (3)'!$R$5:$R$289,$V769)*$AB769))</f>
        <v>139710.96183134115</v>
      </c>
      <c r="AD769" s="2" t="str">
        <f>IF($W769=AD$3,$AB769,IF(NOT($W769=0),"",SUMIFS('Val-Vol (2)'!AD$4:AD$1116,'Val-Vol (2)'!$A$4:$A$1116,$D769,'Val-Vol (2)'!$V$4:$V$1116,$V769)/SUMIFS('Comp2016-2017 (3)'!$G$5:$G$289,'Comp2016-2017 (3)'!$A$5:$A$289,$D769,'Comp2016-2017 (3)'!$R$5:$R$289,$V769)*$AB769))</f>
        <v/>
      </c>
      <c r="AE769" s="2" t="str">
        <f>IF($W769=AE$3,$AB769,IF(NOT($W769=0),"",SUMIFS('Val-Vol (2)'!AE$4:AE$1116,'Val-Vol (2)'!$A$4:$A$1116,$D769,'Val-Vol (2)'!$V$4:$V$1116,$V769)/SUMIFS('Comp2016-2017 (3)'!$G$5:$G$289,'Comp2016-2017 (3)'!$A$5:$A$289,$D769,'Comp2016-2017 (3)'!$R$5:$R$289,$V769)*$AB769))</f>
        <v/>
      </c>
      <c r="AF769" s="2" t="str">
        <f>IF($W769=AF$3,$AB769,IF(NOT($W769=0),"",SUMIFS('Val-Vol (2)'!AF$4:AF$1116,'Val-Vol (2)'!$A$4:$A$1116,$D769,'Val-Vol (2)'!$V$4:$V$1116,$V769)/SUMIFS('Comp2016-2017 (3)'!$G$5:$G$289,'Comp2016-2017 (3)'!$A$5:$A$289,$D769,'Comp2016-2017 (3)'!$R$5:$R$289,$V769)*$AB769))</f>
        <v/>
      </c>
      <c r="AG769" s="2" t="str">
        <f>IF($W769=AG$3,$AB769,IF(NOT($W769=0),"",SUMIFS('Val-Vol (2)'!AG$4:AG$1116,'Val-Vol (2)'!$A$4:$A$1116,$D769,'Val-Vol (2)'!$V$4:$V$1116,$V769)/SUMIFS('Comp2016-2017 (3)'!$G$5:$G$289,'Comp2016-2017 (3)'!$A$5:$A$289,$D769,'Comp2016-2017 (3)'!$R$5:$R$289,$V769)*$AB769))</f>
        <v/>
      </c>
      <c r="AH769" s="2" t="str">
        <f>IF($W769=AH$3,$AB769,IF(NOT($W769=0),"",SUMIFS('Val-Vol (2)'!AH$4:AH$1116,'Val-Vol (2)'!$A$4:$A$1116,$D769,'Val-Vol (2)'!$V$4:$V$1116,$V769)/SUMIFS('Comp2016-2017 (3)'!$G$5:$G$289,'Comp2016-2017 (3)'!$A$5:$A$289,$D769,'Comp2016-2017 (3)'!$R$5:$R$289,$V769)*$AB769))</f>
        <v/>
      </c>
      <c r="AI769" s="2" t="str">
        <f>IF($W769=AI$3,$AB769,IF(NOT($W769=0),"",SUMIFS('Val-Vol (2)'!AI$4:AI$1116,'Val-Vol (2)'!$A$4:$A$1116,$D769,'Val-Vol (2)'!$V$4:$V$1116,$V769)/SUMIFS('Comp2016-2017 (3)'!$G$5:$G$289,'Comp2016-2017 (3)'!$A$5:$A$289,$D769,'Comp2016-2017 (3)'!$R$5:$R$289,$V769)*$AB769))</f>
        <v/>
      </c>
      <c r="AJ769" s="2" t="str">
        <f>IF($W769=AJ$3,$AB769,IF(NOT($W769=0),"",SUMIFS('Val-Vol (2)'!AJ$4:AJ$1116,'Val-Vol (2)'!$A$4:$A$1116,$D769,'Val-Vol (2)'!$V$4:$V$1116,$V769)/SUMIFS('Comp2016-2017 (3)'!$G$5:$G$289,'Comp2016-2017 (3)'!$A$5:$A$289,$D769,'Comp2016-2017 (3)'!$R$5:$R$289,$V769)*$AB769))</f>
        <v/>
      </c>
      <c r="AK769" s="2">
        <f t="shared" si="88"/>
        <v>0</v>
      </c>
      <c r="AL769" t="str">
        <f t="shared" si="81"/>
        <v/>
      </c>
      <c r="AM769" t="str">
        <f>VLOOKUP(A769,'Table corresp.'!$M$4:$U$63,8,FALSE)</f>
        <v>Forêt</v>
      </c>
      <c r="AN769" t="str">
        <f>VLOOKUP(D769,'Table corresp.'!$M$4:$U$63,9,FALSE)</f>
        <v>Exportation</v>
      </c>
    </row>
    <row r="770" spans="1:40" x14ac:dyDescent="0.25">
      <c r="A770" t="s">
        <v>2</v>
      </c>
      <c r="B770" t="str">
        <f>VLOOKUP(LEFT(A770,3),'Table corresp.'!$A$4:$D$63,3,FALSE)</f>
        <v>Forêt</v>
      </c>
      <c r="C770" t="str">
        <f>VLOOKUP(A770,'Table corresp.'!$M$4:$P$63,4,FALSE)</f>
        <v>Production et transformation de produits bois</v>
      </c>
      <c r="D770" t="s">
        <v>86</v>
      </c>
      <c r="E770" t="str">
        <f>VLOOKUP(LEFT(D770,3),'Table corresp.'!$A$4:$D$63,4,FALSE)</f>
        <v>Transformation</v>
      </c>
      <c r="F770" t="str">
        <f t="shared" si="85"/>
        <v xml:space="preserve">04  - 30 </v>
      </c>
      <c r="G770" s="164">
        <v>63876.116968064896</v>
      </c>
      <c r="H770" s="164">
        <v>0</v>
      </c>
      <c r="I770" s="164">
        <v>63876.116968064947</v>
      </c>
      <c r="J770" s="164">
        <v>0</v>
      </c>
      <c r="K770" s="164">
        <v>0</v>
      </c>
      <c r="L770" s="164">
        <v>0</v>
      </c>
      <c r="M770" s="164">
        <v>0</v>
      </c>
      <c r="N770" s="164">
        <v>0</v>
      </c>
      <c r="O770" s="164">
        <v>0</v>
      </c>
      <c r="P770" s="164">
        <v>2818.0033892154943</v>
      </c>
      <c r="Q770" s="164">
        <v>0</v>
      </c>
      <c r="R770" s="164">
        <v>2818.0033892154943</v>
      </c>
      <c r="S770" s="163" t="str">
        <f t="shared" si="87"/>
        <v>BE</v>
      </c>
      <c r="T770" s="163">
        <f>VLOOKUP(A770,'Groupe de branches'!$Z$27:$AM$86,14,FALSE)</f>
        <v>0</v>
      </c>
      <c r="U770" s="163">
        <f>VLOOKUP(D770,'Groupe de branches'!$Z$27:$AM$86,14,FALSE)</f>
        <v>1</v>
      </c>
      <c r="V770" s="163">
        <v>2018</v>
      </c>
      <c r="W770" t="str">
        <f>VLOOKUP(D770,'Table corresp.'!$M$4:$S$63,7,FALSE)</f>
        <v>Energie</v>
      </c>
      <c r="X770" s="167">
        <f>IFERROR(G770/SUMIFS('Comp2016-2017 (3)'!$I$5:$I$289,'Comp2016-2017 (3)'!$A$5:$A$289,A770,'Comp2016-2017 (3)'!$R$5:$R$289,V770),0)</f>
        <v>0.19220561850172826</v>
      </c>
      <c r="Y770" s="178">
        <f>IFERROR(IF(RIGHT(F770,3)="Exp",VLOOKUP(F770,#REF!,2,FALSE),VLOOKUP(F770,#REF!,9,FALSE)),1)</f>
        <v>1</v>
      </c>
      <c r="Z770" s="167">
        <f t="shared" si="86"/>
        <v>0.33333333333333331</v>
      </c>
      <c r="AA770" s="189">
        <f t="shared" si="82"/>
        <v>6.4068539500576088E-2</v>
      </c>
      <c r="AB770" s="2">
        <f>IFERROR(SUMIFS('Comp2016-2017 (3)'!$G$5:$G$289,'Comp2016-2017 (3)'!$A$5:$A$289,A770,'Comp2016-2017 (3)'!$R$5:$R$289,V770)*AA770/SUMIFS($AA$4:$AA$1116,$A$4:$A$1116,A770,$V$4:$V$1116,V770),0)</f>
        <v>33727.030375787035</v>
      </c>
      <c r="AC770" s="2" t="str">
        <f>IF($W770=AC$3,$AB770,IF(NOT($W770=0),"",SUMIFS('Val-Vol (2)'!AC$4:AC$1116,'Val-Vol (2)'!$A$4:$A$1116,$D770,'Val-Vol (2)'!$V$4:$V$1116,$V770)/SUMIFS('Comp2016-2017 (3)'!$G$5:$G$289,'Comp2016-2017 (3)'!$A$5:$A$289,$D770,'Comp2016-2017 (3)'!$R$5:$R$289,$V770)*$AB770))</f>
        <v/>
      </c>
      <c r="AD770" s="2" t="str">
        <f>IF($W770=AD$3,$AB770,IF(NOT($W770=0),"",SUMIFS('Val-Vol (2)'!AD$4:AD$1116,'Val-Vol (2)'!$A$4:$A$1116,$D770,'Val-Vol (2)'!$V$4:$V$1116,$V770)/SUMIFS('Comp2016-2017 (3)'!$G$5:$G$289,'Comp2016-2017 (3)'!$A$5:$A$289,$D770,'Comp2016-2017 (3)'!$R$5:$R$289,$V770)*$AB770))</f>
        <v/>
      </c>
      <c r="AE770" s="2" t="str">
        <f>IF($W770=AE$3,$AB770,IF(NOT($W770=0),"",SUMIFS('Val-Vol (2)'!AE$4:AE$1116,'Val-Vol (2)'!$A$4:$A$1116,$D770,'Val-Vol (2)'!$V$4:$V$1116,$V770)/SUMIFS('Comp2016-2017 (3)'!$G$5:$G$289,'Comp2016-2017 (3)'!$A$5:$A$289,$D770,'Comp2016-2017 (3)'!$R$5:$R$289,$V770)*$AB770))</f>
        <v/>
      </c>
      <c r="AF770" s="2" t="str">
        <f>IF($W770=AF$3,$AB770,IF(NOT($W770=0),"",SUMIFS('Val-Vol (2)'!AF$4:AF$1116,'Val-Vol (2)'!$A$4:$A$1116,$D770,'Val-Vol (2)'!$V$4:$V$1116,$V770)/SUMIFS('Comp2016-2017 (3)'!$G$5:$G$289,'Comp2016-2017 (3)'!$A$5:$A$289,$D770,'Comp2016-2017 (3)'!$R$5:$R$289,$V770)*$AB770))</f>
        <v/>
      </c>
      <c r="AG770" s="2" t="str">
        <f>IF($W770=AG$3,$AB770,IF(NOT($W770=0),"",SUMIFS('Val-Vol (2)'!AG$4:AG$1116,'Val-Vol (2)'!$A$4:$A$1116,$D770,'Val-Vol (2)'!$V$4:$V$1116,$V770)/SUMIFS('Comp2016-2017 (3)'!$G$5:$G$289,'Comp2016-2017 (3)'!$A$5:$A$289,$D770,'Comp2016-2017 (3)'!$R$5:$R$289,$V770)*$AB770))</f>
        <v/>
      </c>
      <c r="AH770" s="2">
        <f>IF($W770=AH$3,$AB770,IF(NOT($W770=0),"",SUMIFS('Val-Vol (2)'!AH$4:AH$1116,'Val-Vol (2)'!$A$4:$A$1116,$D770,'Val-Vol (2)'!$V$4:$V$1116,$V770)/SUMIFS('Comp2016-2017 (3)'!$G$5:$G$289,'Comp2016-2017 (3)'!$A$5:$A$289,$D770,'Comp2016-2017 (3)'!$R$5:$R$289,$V770)*$AB770))</f>
        <v>33727.030375787035</v>
      </c>
      <c r="AI770" s="2" t="str">
        <f>IF($W770=AI$3,$AB770,IF(NOT($W770=0),"",SUMIFS('Val-Vol (2)'!AI$4:AI$1116,'Val-Vol (2)'!$A$4:$A$1116,$D770,'Val-Vol (2)'!$V$4:$V$1116,$V770)/SUMIFS('Comp2016-2017 (3)'!$G$5:$G$289,'Comp2016-2017 (3)'!$A$5:$A$289,$D770,'Comp2016-2017 (3)'!$R$5:$R$289,$V770)*$AB770))</f>
        <v/>
      </c>
      <c r="AJ770" s="2" t="str">
        <f>IF($W770=AJ$3,$AB770,IF(NOT($W770=0),"",SUMIFS('Val-Vol (2)'!AJ$4:AJ$1116,'Val-Vol (2)'!$A$4:$A$1116,$D770,'Val-Vol (2)'!$V$4:$V$1116,$V770)/SUMIFS('Comp2016-2017 (3)'!$G$5:$G$289,'Comp2016-2017 (3)'!$A$5:$A$289,$D770,'Comp2016-2017 (3)'!$R$5:$R$289,$V770)*$AB770))</f>
        <v/>
      </c>
      <c r="AK770" s="2">
        <f t="shared" si="88"/>
        <v>0</v>
      </c>
      <c r="AL770" t="str">
        <f t="shared" si="81"/>
        <v/>
      </c>
      <c r="AM770" t="str">
        <f>VLOOKUP(A770,'Table corresp.'!$M$4:$U$63,8,FALSE)</f>
        <v>Forêt</v>
      </c>
      <c r="AN770" t="str">
        <f>VLOOKUP(D770,'Table corresp.'!$M$4:$U$63,9,FALSE)</f>
        <v>Production intermédiaire</v>
      </c>
    </row>
    <row r="771" spans="1:40" x14ac:dyDescent="0.25">
      <c r="A771" t="s">
        <v>2</v>
      </c>
      <c r="B771" t="str">
        <f>VLOOKUP(LEFT(A771,3),'Table corresp.'!$A$4:$D$63,3,FALSE)</f>
        <v>Forêt</v>
      </c>
      <c r="C771" t="str">
        <f>VLOOKUP(A771,'Table corresp.'!$M$4:$P$63,4,FALSE)</f>
        <v>Production et transformation de produits bois</v>
      </c>
      <c r="D771" t="s">
        <v>54</v>
      </c>
      <c r="E771" t="str">
        <f>VLOOKUP(LEFT(D771,3),'Table corresp.'!$A$4:$D$63,4,FALSE)</f>
        <v>Consommation finale</v>
      </c>
      <c r="F771" t="str">
        <f t="shared" si="85"/>
        <v>04  - Con</v>
      </c>
      <c r="G771" s="164">
        <v>248469.39891898519</v>
      </c>
      <c r="H771" s="164">
        <v>13074.517</v>
      </c>
      <c r="I771" s="164">
        <v>261543.91591898538</v>
      </c>
      <c r="J771" s="164">
        <v>0</v>
      </c>
      <c r="K771" s="164">
        <v>0</v>
      </c>
      <c r="L771" s="164">
        <v>0</v>
      </c>
      <c r="M771" s="164">
        <v>0</v>
      </c>
      <c r="N771" s="164">
        <v>0</v>
      </c>
      <c r="O771" s="164">
        <v>0</v>
      </c>
      <c r="P771" s="164">
        <v>4198.8763572075586</v>
      </c>
      <c r="Q771" s="164">
        <v>143.12268999999995</v>
      </c>
      <c r="R771" s="164">
        <v>4341.9990472075588</v>
      </c>
      <c r="S771" s="163" t="str">
        <f t="shared" si="87"/>
        <v>BE</v>
      </c>
      <c r="T771" s="163">
        <f>VLOOKUP(A771,'Groupe de branches'!$Z$27:$AM$86,14,FALSE)</f>
        <v>0</v>
      </c>
      <c r="U771" s="163">
        <f>VLOOKUP(D771,'Groupe de branches'!$Z$27:$AM$86,14,FALSE)</f>
        <v>0</v>
      </c>
      <c r="V771" s="163">
        <v>2018</v>
      </c>
      <c r="W771" t="str">
        <f>VLOOKUP(D771,'Table corresp.'!$M$4:$S$63,7,FALSE)</f>
        <v>Consommation finale</v>
      </c>
      <c r="X771" s="167">
        <f>IFERROR(G771/SUMIFS('Comp2016-2017 (3)'!$I$5:$I$289,'Comp2016-2017 (3)'!$A$5:$A$289,A771,'Comp2016-2017 (3)'!$R$5:$R$289,V771),0)</f>
        <v>0.74765368912222074</v>
      </c>
      <c r="Y771" s="178">
        <f>IFERROR(IF(RIGHT(F771,3)="Exp",VLOOKUP(F771,#REF!,2,FALSE),VLOOKUP(F771,#REF!,9,FALSE)),1)</f>
        <v>1</v>
      </c>
      <c r="Z771" s="167">
        <f t="shared" ref="Z771:Z802" si="89">Y771/SUMIFS($Y$4:$Y$1116,$V$4:$V$1116,V771,$A$4:$A$1116,A771)</f>
        <v>0.33333333333333331</v>
      </c>
      <c r="AA771" s="189">
        <f t="shared" si="82"/>
        <v>0.24921789637407357</v>
      </c>
      <c r="AB771" s="2">
        <f>IFERROR(SUMIFS('Comp2016-2017 (3)'!$G$5:$G$289,'Comp2016-2017 (3)'!$A$5:$A$289,A771,'Comp2016-2017 (3)'!$R$5:$R$289,V771)*AA771/SUMIFS($AA$4:$AA$1116,$A$4:$A$1116,A771,$V$4:$V$1116,V771),0)</f>
        <v>131193.55656800242</v>
      </c>
      <c r="AC771" s="2" t="str">
        <f>IF($W771=AC$3,$AB771,IF(NOT($W771=0),"",SUMIFS('Val-Vol (2)'!AC$4:AC$1116,'Val-Vol (2)'!$A$4:$A$1116,$D771,'Val-Vol (2)'!$V$4:$V$1116,$V771)/SUMIFS('Comp2016-2017 (3)'!$G$5:$G$289,'Comp2016-2017 (3)'!$A$5:$A$289,$D771,'Comp2016-2017 (3)'!$R$5:$R$289,$V771)*$AB771))</f>
        <v/>
      </c>
      <c r="AD771" s="2" t="str">
        <f>IF($W771=AD$3,$AB771,IF(NOT($W771=0),"",SUMIFS('Val-Vol (2)'!AD$4:AD$1116,'Val-Vol (2)'!$A$4:$A$1116,$D771,'Val-Vol (2)'!$V$4:$V$1116,$V771)/SUMIFS('Comp2016-2017 (3)'!$G$5:$G$289,'Comp2016-2017 (3)'!$A$5:$A$289,$D771,'Comp2016-2017 (3)'!$R$5:$R$289,$V771)*$AB771))</f>
        <v/>
      </c>
      <c r="AE771" s="2" t="str">
        <f>IF($W771=AE$3,$AB771,IF(NOT($W771=0),"",SUMIFS('Val-Vol (2)'!AE$4:AE$1116,'Val-Vol (2)'!$A$4:$A$1116,$D771,'Val-Vol (2)'!$V$4:$V$1116,$V771)/SUMIFS('Comp2016-2017 (3)'!$G$5:$G$289,'Comp2016-2017 (3)'!$A$5:$A$289,$D771,'Comp2016-2017 (3)'!$R$5:$R$289,$V771)*$AB771))</f>
        <v/>
      </c>
      <c r="AF771" s="2" t="str">
        <f>IF($W771=AF$3,$AB771,IF(NOT($W771=0),"",SUMIFS('Val-Vol (2)'!AF$4:AF$1116,'Val-Vol (2)'!$A$4:$A$1116,$D771,'Val-Vol (2)'!$V$4:$V$1116,$V771)/SUMIFS('Comp2016-2017 (3)'!$G$5:$G$289,'Comp2016-2017 (3)'!$A$5:$A$289,$D771,'Comp2016-2017 (3)'!$R$5:$R$289,$V771)*$AB771))</f>
        <v/>
      </c>
      <c r="AG771" s="2" t="str">
        <f>IF($W771=AG$3,$AB771,IF(NOT($W771=0),"",SUMIFS('Val-Vol (2)'!AG$4:AG$1116,'Val-Vol (2)'!$A$4:$A$1116,$D771,'Val-Vol (2)'!$V$4:$V$1116,$V771)/SUMIFS('Comp2016-2017 (3)'!$G$5:$G$289,'Comp2016-2017 (3)'!$A$5:$A$289,$D771,'Comp2016-2017 (3)'!$R$5:$R$289,$V771)*$AB771))</f>
        <v/>
      </c>
      <c r="AH771" s="2" t="str">
        <f>IF($W771=AH$3,$AB771,IF(NOT($W771=0),"",SUMIFS('Val-Vol (2)'!AH$4:AH$1116,'Val-Vol (2)'!$A$4:$A$1116,$D771,'Val-Vol (2)'!$V$4:$V$1116,$V771)/SUMIFS('Comp2016-2017 (3)'!$G$5:$G$289,'Comp2016-2017 (3)'!$A$5:$A$289,$D771,'Comp2016-2017 (3)'!$R$5:$R$289,$V771)*$AB771))</f>
        <v/>
      </c>
      <c r="AI771" s="2" t="str">
        <f>IF($W771=AI$3,$AB771,IF(NOT($W771=0),"",SUMIFS('Val-Vol (2)'!AI$4:AI$1116,'Val-Vol (2)'!$A$4:$A$1116,$D771,'Val-Vol (2)'!$V$4:$V$1116,$V771)/SUMIFS('Comp2016-2017 (3)'!$G$5:$G$289,'Comp2016-2017 (3)'!$A$5:$A$289,$D771,'Comp2016-2017 (3)'!$R$5:$R$289,$V771)*$AB771))</f>
        <v/>
      </c>
      <c r="AJ771" s="2">
        <f>IF($W771=AJ$3,$AB771,IF(NOT($W771=0),"",SUMIFS('Val-Vol (2)'!AJ$4:AJ$1116,'Val-Vol (2)'!$A$4:$A$1116,$D771,'Val-Vol (2)'!$V$4:$V$1116,$V771)/SUMIFS('Comp2016-2017 (3)'!$G$5:$G$289,'Comp2016-2017 (3)'!$A$5:$A$289,$D771,'Comp2016-2017 (3)'!$R$5:$R$289,$V771)*$AB771))</f>
        <v>131193.55656800242</v>
      </c>
      <c r="AK771" s="2">
        <f t="shared" ref="AK771:AK834" si="90">SUM(AC771:AJ771)-AB771</f>
        <v>0</v>
      </c>
      <c r="AL771" t="str">
        <f t="shared" si="81"/>
        <v/>
      </c>
      <c r="AM771" t="str">
        <f>VLOOKUP(A771,'Table corresp.'!$M$4:$U$63,8,FALSE)</f>
        <v>Forêt</v>
      </c>
      <c r="AN771" t="str">
        <f>VLOOKUP(D771,'Table corresp.'!$M$4:$U$63,9,FALSE)</f>
        <v>Consommation finale française</v>
      </c>
    </row>
    <row r="772" spans="1:40" x14ac:dyDescent="0.25">
      <c r="A772" t="s">
        <v>2</v>
      </c>
      <c r="B772" t="str">
        <f>VLOOKUP(LEFT(A772,3),'Table corresp.'!$A$4:$D$63,3,FALSE)</f>
        <v>Forêt</v>
      </c>
      <c r="C772" t="str">
        <f>VLOOKUP(A772,'Table corresp.'!$M$4:$P$63,4,FALSE)</f>
        <v>Production et transformation de produits bois</v>
      </c>
      <c r="D772" t="s">
        <v>53</v>
      </c>
      <c r="E772" t="str">
        <f>VLOOKUP(LEFT(D772,3),'Table corresp.'!$A$4:$D$63,4,FALSE)</f>
        <v>Exportation</v>
      </c>
      <c r="F772" t="str">
        <f t="shared" si="85"/>
        <v>04  - Exp</v>
      </c>
      <c r="G772" s="164">
        <v>19986.68799999998</v>
      </c>
      <c r="H772" s="164">
        <v>0</v>
      </c>
      <c r="I772" s="164">
        <v>19986.687999999998</v>
      </c>
      <c r="J772" s="164">
        <v>0</v>
      </c>
      <c r="K772" s="164">
        <v>0</v>
      </c>
      <c r="L772" s="164">
        <v>0</v>
      </c>
      <c r="M772" s="164">
        <v>0</v>
      </c>
      <c r="N772" s="164">
        <v>0</v>
      </c>
      <c r="O772" s="164">
        <v>0</v>
      </c>
      <c r="P772" s="164">
        <v>367.4142535769459</v>
      </c>
      <c r="Q772" s="164">
        <v>0</v>
      </c>
      <c r="R772" s="164">
        <v>367.4142535769459</v>
      </c>
      <c r="S772" s="163" t="str">
        <f t="shared" si="87"/>
        <v>BE</v>
      </c>
      <c r="T772" s="163">
        <f>VLOOKUP(A772,'Groupe de branches'!$Z$27:$AM$86,14,FALSE)</f>
        <v>0</v>
      </c>
      <c r="U772" s="163">
        <f>VLOOKUP(D772,'Groupe de branches'!$Z$27:$AM$86,14,FALSE)</f>
        <v>0</v>
      </c>
      <c r="V772" s="163">
        <v>2018</v>
      </c>
      <c r="W772" t="str">
        <f>VLOOKUP(D772,'Table corresp.'!$M$4:$S$63,7,FALSE)</f>
        <v>Exportation</v>
      </c>
      <c r="X772" s="167">
        <f>IFERROR(G772/SUMIFS('Comp2016-2017 (3)'!$I$5:$I$289,'Comp2016-2017 (3)'!$A$5:$A$289,A772,'Comp2016-2017 (3)'!$R$5:$R$289,V772),0)</f>
        <v>6.0140689684716829E-2</v>
      </c>
      <c r="Y772" s="178">
        <f>IFERROR(IF(RIGHT(F772,3)="Exp",VLOOKUP(F772,#REF!,2,FALSE),VLOOKUP(F772,#REF!,9,FALSE)),1)</f>
        <v>1</v>
      </c>
      <c r="Z772" s="167">
        <f t="shared" si="89"/>
        <v>0.33333333333333331</v>
      </c>
      <c r="AA772" s="189">
        <f t="shared" si="82"/>
        <v>2.0046896561572276E-2</v>
      </c>
      <c r="AB772" s="2">
        <f>IFERROR(SUMIFS('Comp2016-2017 (3)'!$G$5:$G$289,'Comp2016-2017 (3)'!$A$5:$A$289,A772,'Comp2016-2017 (3)'!$R$5:$R$289,V772)*AA772/SUMIFS($AA$4:$AA$1116,$A$4:$A$1116,A772,$V$4:$V$1116,V772),0)</f>
        <v>10553.109131921596</v>
      </c>
      <c r="AC772" s="2">
        <f>IF($W772=AC$3,$AB772,IF(NOT($W772=0),"",SUMIFS('Val-Vol (2)'!AC$4:AC$1116,'Val-Vol (2)'!$A$4:$A$1116,$D772,'Val-Vol (2)'!$V$4:$V$1116,$V772)/SUMIFS('Comp2016-2017 (3)'!$G$5:$G$289,'Comp2016-2017 (3)'!$A$5:$A$289,$D772,'Comp2016-2017 (3)'!$R$5:$R$289,$V772)*$AB772))</f>
        <v>10553.109131921596</v>
      </c>
      <c r="AD772" s="2" t="str">
        <f>IF($W772=AD$3,$AB772,IF(NOT($W772=0),"",SUMIFS('Val-Vol (2)'!AD$4:AD$1116,'Val-Vol (2)'!$A$4:$A$1116,$D772,'Val-Vol (2)'!$V$4:$V$1116,$V772)/SUMIFS('Comp2016-2017 (3)'!$G$5:$G$289,'Comp2016-2017 (3)'!$A$5:$A$289,$D772,'Comp2016-2017 (3)'!$R$5:$R$289,$V772)*$AB772))</f>
        <v/>
      </c>
      <c r="AE772" s="2" t="str">
        <f>IF($W772=AE$3,$AB772,IF(NOT($W772=0),"",SUMIFS('Val-Vol (2)'!AE$4:AE$1116,'Val-Vol (2)'!$A$4:$A$1116,$D772,'Val-Vol (2)'!$V$4:$V$1116,$V772)/SUMIFS('Comp2016-2017 (3)'!$G$5:$G$289,'Comp2016-2017 (3)'!$A$5:$A$289,$D772,'Comp2016-2017 (3)'!$R$5:$R$289,$V772)*$AB772))</f>
        <v/>
      </c>
      <c r="AF772" s="2" t="str">
        <f>IF($W772=AF$3,$AB772,IF(NOT($W772=0),"",SUMIFS('Val-Vol (2)'!AF$4:AF$1116,'Val-Vol (2)'!$A$4:$A$1116,$D772,'Val-Vol (2)'!$V$4:$V$1116,$V772)/SUMIFS('Comp2016-2017 (3)'!$G$5:$G$289,'Comp2016-2017 (3)'!$A$5:$A$289,$D772,'Comp2016-2017 (3)'!$R$5:$R$289,$V772)*$AB772))</f>
        <v/>
      </c>
      <c r="AG772" s="2" t="str">
        <f>IF($W772=AG$3,$AB772,IF(NOT($W772=0),"",SUMIFS('Val-Vol (2)'!AG$4:AG$1116,'Val-Vol (2)'!$A$4:$A$1116,$D772,'Val-Vol (2)'!$V$4:$V$1116,$V772)/SUMIFS('Comp2016-2017 (3)'!$G$5:$G$289,'Comp2016-2017 (3)'!$A$5:$A$289,$D772,'Comp2016-2017 (3)'!$R$5:$R$289,$V772)*$AB772))</f>
        <v/>
      </c>
      <c r="AH772" s="2" t="str">
        <f>IF($W772=AH$3,$AB772,IF(NOT($W772=0),"",SUMIFS('Val-Vol (2)'!AH$4:AH$1116,'Val-Vol (2)'!$A$4:$A$1116,$D772,'Val-Vol (2)'!$V$4:$V$1116,$V772)/SUMIFS('Comp2016-2017 (3)'!$G$5:$G$289,'Comp2016-2017 (3)'!$A$5:$A$289,$D772,'Comp2016-2017 (3)'!$R$5:$R$289,$V772)*$AB772))</f>
        <v/>
      </c>
      <c r="AI772" s="2" t="str">
        <f>IF($W772=AI$3,$AB772,IF(NOT($W772=0),"",SUMIFS('Val-Vol (2)'!AI$4:AI$1116,'Val-Vol (2)'!$A$4:$A$1116,$D772,'Val-Vol (2)'!$V$4:$V$1116,$V772)/SUMIFS('Comp2016-2017 (3)'!$G$5:$G$289,'Comp2016-2017 (3)'!$A$5:$A$289,$D772,'Comp2016-2017 (3)'!$R$5:$R$289,$V772)*$AB772))</f>
        <v/>
      </c>
      <c r="AJ772" s="2" t="str">
        <f>IF($W772=AJ$3,$AB772,IF(NOT($W772=0),"",SUMIFS('Val-Vol (2)'!AJ$4:AJ$1116,'Val-Vol (2)'!$A$4:$A$1116,$D772,'Val-Vol (2)'!$V$4:$V$1116,$V772)/SUMIFS('Comp2016-2017 (3)'!$G$5:$G$289,'Comp2016-2017 (3)'!$A$5:$A$289,$D772,'Comp2016-2017 (3)'!$R$5:$R$289,$V772)*$AB772))</f>
        <v/>
      </c>
      <c r="AK772" s="2">
        <f t="shared" si="90"/>
        <v>0</v>
      </c>
      <c r="AL772" t="str">
        <f t="shared" ref="AL772:AL835" si="91">IF(A772=D772,"remplir à la main","")</f>
        <v/>
      </c>
      <c r="AM772" t="str">
        <f>VLOOKUP(A772,'Table corresp.'!$M$4:$U$63,8,FALSE)</f>
        <v>Forêt</v>
      </c>
      <c r="AN772" t="str">
        <f>VLOOKUP(D772,'Table corresp.'!$M$4:$U$63,9,FALSE)</f>
        <v>Exportation</v>
      </c>
    </row>
    <row r="773" spans="1:40" x14ac:dyDescent="0.25">
      <c r="A773" t="s">
        <v>81</v>
      </c>
      <c r="B773" t="str">
        <f>VLOOKUP(LEFT(A773,3),'Table corresp.'!$A$4:$D$63,3,FALSE)</f>
        <v>Transformation</v>
      </c>
      <c r="C773" t="str">
        <f>VLOOKUP(A773,'Table corresp.'!$M$4:$P$63,4,FALSE)</f>
        <v>Production et transformation de produits bois</v>
      </c>
      <c r="D773" t="s">
        <v>0</v>
      </c>
      <c r="E773" t="str">
        <f>VLOOKUP(LEFT(D773,3),'Table corresp.'!$A$4:$D$63,4,FALSE)</f>
        <v>Transformation</v>
      </c>
      <c r="F773" t="str">
        <f t="shared" si="85"/>
        <v xml:space="preserve">05  - 02 </v>
      </c>
      <c r="G773" s="164">
        <v>398883.02178732329</v>
      </c>
      <c r="H773" s="164">
        <v>0</v>
      </c>
      <c r="I773" s="164">
        <v>398883.02178732329</v>
      </c>
      <c r="J773" s="164">
        <v>0</v>
      </c>
      <c r="K773" s="164">
        <v>0</v>
      </c>
      <c r="L773" s="164">
        <v>0</v>
      </c>
      <c r="M773" s="164">
        <v>0</v>
      </c>
      <c r="N773" s="164">
        <v>0</v>
      </c>
      <c r="O773" s="164">
        <v>0</v>
      </c>
      <c r="P773" s="164">
        <v>0</v>
      </c>
      <c r="Q773" s="164">
        <v>0</v>
      </c>
      <c r="R773" s="164">
        <v>0</v>
      </c>
      <c r="S773" s="163" t="str">
        <f t="shared" si="87"/>
        <v/>
      </c>
      <c r="T773" s="163">
        <f>VLOOKUP(A773,'Groupe de branches'!$Z$27:$AM$86,14,FALSE)</f>
        <v>0</v>
      </c>
      <c r="U773" s="163">
        <f>VLOOKUP(D773,'Groupe de branches'!$Z$27:$AM$86,14,FALSE)</f>
        <v>0</v>
      </c>
      <c r="V773" s="163">
        <v>2018</v>
      </c>
      <c r="W773">
        <f>VLOOKUP(D773,'Table corresp.'!$M$4:$S$63,7,FALSE)</f>
        <v>0</v>
      </c>
      <c r="X773" s="167">
        <f>IFERROR(G773/SUMIFS('Comp2016-2017 (3)'!$I$5:$I$289,'Comp2016-2017 (3)'!$A$5:$A$289,A773,'Comp2016-2017 (3)'!$R$5:$R$289,V773),0)</f>
        <v>0.35723263197653354</v>
      </c>
      <c r="Y773" s="178">
        <f>IFERROR(IF(RIGHT(F773,3)="Exp",VLOOKUP(F773,#REF!,2,FALSE),VLOOKUP(F773,#REF!,9,FALSE)),1)</f>
        <v>1</v>
      </c>
      <c r="Z773" s="167">
        <f t="shared" si="89"/>
        <v>5.2631578947368418E-2</v>
      </c>
      <c r="AA773" s="189">
        <f t="shared" ref="AA773:AA836" si="92">X773*Z773</f>
        <v>1.8801717472449134E-2</v>
      </c>
      <c r="AB773" s="2">
        <f>IFERROR(SUMIFS('Comp2016-2017 (3)'!$G$5:$G$289,'Comp2016-2017 (3)'!$A$5:$A$289,A773,'Comp2016-2017 (3)'!$R$5:$R$289,V773)*AA773/SUMIFS($AA$4:$AA$1116,$A$4:$A$1116,A773,$V$4:$V$1116,V773),0)</f>
        <v>289278.29043767828</v>
      </c>
      <c r="AC773" s="2">
        <f>IF($W773=AC$3,$AB773,IF(NOT($W773=0),"",SUMIFS('Val-Vol (2)'!AC$4:AC$1116,'Val-Vol (2)'!$A$4:$A$1116,$D773,'Val-Vol (2)'!$V$4:$V$1116,$V773)/SUMIFS('Comp2016-2017 (3)'!$G$5:$G$289,'Comp2016-2017 (3)'!$A$5:$A$289,$D773,'Comp2016-2017 (3)'!$R$5:$R$289,$V773)*$AB773))</f>
        <v>71986.826806590834</v>
      </c>
      <c r="AD773" s="2">
        <f>IF($W773=AD$3,$AB773,IF(NOT($W773=0),"",SUMIFS('Val-Vol (2)'!AD$4:AD$1116,'Val-Vol (2)'!$A$4:$A$1116,$D773,'Val-Vol (2)'!$V$4:$V$1116,$V773)/SUMIFS('Comp2016-2017 (3)'!$G$5:$G$289,'Comp2016-2017 (3)'!$A$5:$A$289,$D773,'Comp2016-2017 (3)'!$R$5:$R$289,$V773)*$AB773))</f>
        <v>82783.633193591129</v>
      </c>
      <c r="AE773" s="2">
        <f>IF($W773=AE$3,$AB773,IF(NOT($W773=0),"",SUMIFS('Val-Vol (2)'!AE$4:AE$1116,'Val-Vol (2)'!$A$4:$A$1116,$D773,'Val-Vol (2)'!$V$4:$V$1116,$V773)/SUMIFS('Comp2016-2017 (3)'!$G$5:$G$289,'Comp2016-2017 (3)'!$A$5:$A$289,$D773,'Comp2016-2017 (3)'!$R$5:$R$289,$V773)*$AB773))</f>
        <v>8714.2354618908321</v>
      </c>
      <c r="AF773" s="2">
        <f>IF($W773=AF$3,$AB773,IF(NOT($W773=0),"",SUMIFS('Val-Vol (2)'!AF$4:AF$1116,'Val-Vol (2)'!$A$4:$A$1116,$D773,'Val-Vol (2)'!$V$4:$V$1116,$V773)/SUMIFS('Comp2016-2017 (3)'!$G$5:$G$289,'Comp2016-2017 (3)'!$A$5:$A$289,$D773,'Comp2016-2017 (3)'!$R$5:$R$289,$V773)*$AB773))</f>
        <v>0</v>
      </c>
      <c r="AG773" s="2">
        <f>IF($W773=AG$3,$AB773,IF(NOT($W773=0),"",SUMIFS('Val-Vol (2)'!AG$4:AG$1116,'Val-Vol (2)'!$A$4:$A$1116,$D773,'Val-Vol (2)'!$V$4:$V$1116,$V773)/SUMIFS('Comp2016-2017 (3)'!$G$5:$G$289,'Comp2016-2017 (3)'!$A$5:$A$289,$D773,'Comp2016-2017 (3)'!$R$5:$R$289,$V773)*$AB773))</f>
        <v>67074.028015572039</v>
      </c>
      <c r="AH773" s="2">
        <f>IF($W773=AH$3,$AB773,IF(NOT($W773=0),"",SUMIFS('Val-Vol (2)'!AH$4:AH$1116,'Val-Vol (2)'!$A$4:$A$1116,$D773,'Val-Vol (2)'!$V$4:$V$1116,$V773)/SUMIFS('Comp2016-2017 (3)'!$G$5:$G$289,'Comp2016-2017 (3)'!$A$5:$A$289,$D773,'Comp2016-2017 (3)'!$R$5:$R$289,$V773)*$AB773))</f>
        <v>0</v>
      </c>
      <c r="AI773" s="2">
        <f>IF($W773=AI$3,$AB773,IF(NOT($W773=0),"",SUMIFS('Val-Vol (2)'!AI$4:AI$1116,'Val-Vol (2)'!$A$4:$A$1116,$D773,'Val-Vol (2)'!$V$4:$V$1116,$V773)/SUMIFS('Comp2016-2017 (3)'!$G$5:$G$289,'Comp2016-2017 (3)'!$A$5:$A$289,$D773,'Comp2016-2017 (3)'!$R$5:$R$289,$V773)*$AB773))</f>
        <v>17216.490089857925</v>
      </c>
      <c r="AJ773" s="2">
        <f>IF($W773=AJ$3,$AB773,IF(NOT($W773=0),"",SUMIFS('Val-Vol (2)'!AJ$4:AJ$1116,'Val-Vol (2)'!$A$4:$A$1116,$D773,'Val-Vol (2)'!$V$4:$V$1116,$V773)/SUMIFS('Comp2016-2017 (3)'!$G$5:$G$289,'Comp2016-2017 (3)'!$A$5:$A$289,$D773,'Comp2016-2017 (3)'!$R$5:$R$289,$V773)*$AB773))</f>
        <v>41503.076870175566</v>
      </c>
      <c r="AK773" s="2">
        <f t="shared" si="90"/>
        <v>0</v>
      </c>
      <c r="AL773" t="str">
        <f t="shared" si="91"/>
        <v/>
      </c>
      <c r="AM773" t="str">
        <f>VLOOKUP(A773,'Table corresp.'!$M$4:$U$63,8,FALSE)</f>
        <v>Production intermédiaire</v>
      </c>
      <c r="AN773" t="str">
        <f>VLOOKUP(D773,'Table corresp.'!$M$4:$U$63,9,FALSE)</f>
        <v>Production intermédiaire</v>
      </c>
    </row>
    <row r="774" spans="1:40" x14ac:dyDescent="0.25">
      <c r="A774" t="s">
        <v>81</v>
      </c>
      <c r="B774" t="str">
        <f>VLOOKUP(LEFT(A774,3),'Table corresp.'!$A$4:$D$63,3,FALSE)</f>
        <v>Transformation</v>
      </c>
      <c r="C774" t="str">
        <f>VLOOKUP(A774,'Table corresp.'!$M$4:$P$63,4,FALSE)</f>
        <v>Production et transformation de produits bois</v>
      </c>
      <c r="D774" t="s">
        <v>2</v>
      </c>
      <c r="E774" t="str">
        <f>VLOOKUP(LEFT(D774,3),'Table corresp.'!$A$4:$D$63,4,FALSE)</f>
        <v>Transformation</v>
      </c>
      <c r="F774" t="str">
        <f t="shared" si="85"/>
        <v xml:space="preserve">05  - 04 </v>
      </c>
      <c r="G774" s="164">
        <v>92232.311898768792</v>
      </c>
      <c r="H774" s="164">
        <v>0</v>
      </c>
      <c r="I774" s="164">
        <v>92232.311898768792</v>
      </c>
      <c r="J774" s="164">
        <v>0</v>
      </c>
      <c r="K774" s="164">
        <v>0</v>
      </c>
      <c r="L774" s="164">
        <v>0</v>
      </c>
      <c r="M774" s="164">
        <v>0</v>
      </c>
      <c r="N774" s="164">
        <v>0</v>
      </c>
      <c r="O774" s="164">
        <v>0</v>
      </c>
      <c r="P774" s="164">
        <v>0</v>
      </c>
      <c r="Q774" s="164">
        <v>0</v>
      </c>
      <c r="R774" s="164">
        <v>0</v>
      </c>
      <c r="S774" s="163" t="str">
        <f t="shared" si="87"/>
        <v/>
      </c>
      <c r="T774" s="163">
        <f>VLOOKUP(A774,'Groupe de branches'!$Z$27:$AM$86,14,FALSE)</f>
        <v>0</v>
      </c>
      <c r="U774" s="163">
        <f>VLOOKUP(D774,'Groupe de branches'!$Z$27:$AM$86,14,FALSE)</f>
        <v>0</v>
      </c>
      <c r="V774" s="163">
        <v>2018</v>
      </c>
      <c r="W774" t="str">
        <f>VLOOKUP(D774,'Table corresp.'!$M$4:$S$63,7,FALSE)</f>
        <v>Energie</v>
      </c>
      <c r="X774" s="167">
        <f>IFERROR(G774/SUMIFS('Comp2016-2017 (3)'!$I$5:$I$289,'Comp2016-2017 (3)'!$A$5:$A$289,A774,'Comp2016-2017 (3)'!$R$5:$R$289,V774),0)</f>
        <v>8.260163941107819E-2</v>
      </c>
      <c r="Y774" s="178">
        <f>IFERROR(IF(RIGHT(F774,3)="Exp",VLOOKUP(F774,#REF!,2,FALSE),VLOOKUP(F774,#REF!,9,FALSE)),1)</f>
        <v>1</v>
      </c>
      <c r="Z774" s="167">
        <f t="shared" si="89"/>
        <v>5.2631578947368418E-2</v>
      </c>
      <c r="AA774" s="189">
        <f t="shared" si="92"/>
        <v>4.3474547058462206E-3</v>
      </c>
      <c r="AB774" s="2">
        <f>IFERROR(SUMIFS('Comp2016-2017 (3)'!$G$5:$G$289,'Comp2016-2017 (3)'!$A$5:$A$289,A774,'Comp2016-2017 (3)'!$R$5:$R$289,V774)*AA774/SUMIFS($AA$4:$AA$1116,$A$4:$A$1116,A774,$V$4:$V$1116,V774),0)</f>
        <v>66888.797095546106</v>
      </c>
      <c r="AC774" s="2" t="str">
        <f>IF($W774=AC$3,$AB774,IF(NOT($W774=0),"",SUMIFS('Val-Vol (2)'!AC$4:AC$1116,'Val-Vol (2)'!$A$4:$A$1116,$D774,'Val-Vol (2)'!$V$4:$V$1116,$V774)/SUMIFS('Comp2016-2017 (3)'!$G$5:$G$289,'Comp2016-2017 (3)'!$A$5:$A$289,$D774,'Comp2016-2017 (3)'!$R$5:$R$289,$V774)*$AB774))</f>
        <v/>
      </c>
      <c r="AD774" s="2" t="str">
        <f>IF($W774=AD$3,$AB774,IF(NOT($W774=0),"",SUMIFS('Val-Vol (2)'!AD$4:AD$1116,'Val-Vol (2)'!$A$4:$A$1116,$D774,'Val-Vol (2)'!$V$4:$V$1116,$V774)/SUMIFS('Comp2016-2017 (3)'!$G$5:$G$289,'Comp2016-2017 (3)'!$A$5:$A$289,$D774,'Comp2016-2017 (3)'!$R$5:$R$289,$V774)*$AB774))</f>
        <v/>
      </c>
      <c r="AE774" s="2" t="str">
        <f>IF($W774=AE$3,$AB774,IF(NOT($W774=0),"",SUMIFS('Val-Vol (2)'!AE$4:AE$1116,'Val-Vol (2)'!$A$4:$A$1116,$D774,'Val-Vol (2)'!$V$4:$V$1116,$V774)/SUMIFS('Comp2016-2017 (3)'!$G$5:$G$289,'Comp2016-2017 (3)'!$A$5:$A$289,$D774,'Comp2016-2017 (3)'!$R$5:$R$289,$V774)*$AB774))</f>
        <v/>
      </c>
      <c r="AF774" s="2" t="str">
        <f>IF($W774=AF$3,$AB774,IF(NOT($W774=0),"",SUMIFS('Val-Vol (2)'!AF$4:AF$1116,'Val-Vol (2)'!$A$4:$A$1116,$D774,'Val-Vol (2)'!$V$4:$V$1116,$V774)/SUMIFS('Comp2016-2017 (3)'!$G$5:$G$289,'Comp2016-2017 (3)'!$A$5:$A$289,$D774,'Comp2016-2017 (3)'!$R$5:$R$289,$V774)*$AB774))</f>
        <v/>
      </c>
      <c r="AG774" s="2" t="str">
        <f>IF($W774=AG$3,$AB774,IF(NOT($W774=0),"",SUMIFS('Val-Vol (2)'!AG$4:AG$1116,'Val-Vol (2)'!$A$4:$A$1116,$D774,'Val-Vol (2)'!$V$4:$V$1116,$V774)/SUMIFS('Comp2016-2017 (3)'!$G$5:$G$289,'Comp2016-2017 (3)'!$A$5:$A$289,$D774,'Comp2016-2017 (3)'!$R$5:$R$289,$V774)*$AB774))</f>
        <v/>
      </c>
      <c r="AH774" s="2">
        <f>IF($W774=AH$3,$AB774,IF(NOT($W774=0),"",SUMIFS('Val-Vol (2)'!AH$4:AH$1116,'Val-Vol (2)'!$A$4:$A$1116,$D774,'Val-Vol (2)'!$V$4:$V$1116,$V774)/SUMIFS('Comp2016-2017 (3)'!$G$5:$G$289,'Comp2016-2017 (3)'!$A$5:$A$289,$D774,'Comp2016-2017 (3)'!$R$5:$R$289,$V774)*$AB774))</f>
        <v>66888.797095546106</v>
      </c>
      <c r="AI774" s="2" t="str">
        <f>IF($W774=AI$3,$AB774,IF(NOT($W774=0),"",SUMIFS('Val-Vol (2)'!AI$4:AI$1116,'Val-Vol (2)'!$A$4:$A$1116,$D774,'Val-Vol (2)'!$V$4:$V$1116,$V774)/SUMIFS('Comp2016-2017 (3)'!$G$5:$G$289,'Comp2016-2017 (3)'!$A$5:$A$289,$D774,'Comp2016-2017 (3)'!$R$5:$R$289,$V774)*$AB774))</f>
        <v/>
      </c>
      <c r="AJ774" s="2" t="str">
        <f>IF($W774=AJ$3,$AB774,IF(NOT($W774=0),"",SUMIFS('Val-Vol (2)'!AJ$4:AJ$1116,'Val-Vol (2)'!$A$4:$A$1116,$D774,'Val-Vol (2)'!$V$4:$V$1116,$V774)/SUMIFS('Comp2016-2017 (3)'!$G$5:$G$289,'Comp2016-2017 (3)'!$A$5:$A$289,$D774,'Comp2016-2017 (3)'!$R$5:$R$289,$V774)*$AB774))</f>
        <v/>
      </c>
      <c r="AK774" s="2">
        <f t="shared" si="90"/>
        <v>0</v>
      </c>
      <c r="AL774" t="str">
        <f t="shared" si="91"/>
        <v/>
      </c>
      <c r="AM774" t="str">
        <f>VLOOKUP(A774,'Table corresp.'!$M$4:$U$63,8,FALSE)</f>
        <v>Production intermédiaire</v>
      </c>
      <c r="AN774" t="str">
        <f>VLOOKUP(D774,'Table corresp.'!$M$4:$U$63,9,FALSE)</f>
        <v>Production intermédiaire</v>
      </c>
    </row>
    <row r="775" spans="1:40" x14ac:dyDescent="0.25">
      <c r="A775" t="s">
        <v>81</v>
      </c>
      <c r="B775" t="str">
        <f>VLOOKUP(LEFT(A775,3),'Table corresp.'!$A$4:$D$63,3,FALSE)</f>
        <v>Transformation</v>
      </c>
      <c r="C775" t="str">
        <f>VLOOKUP(A775,'Table corresp.'!$M$4:$P$63,4,FALSE)</f>
        <v>Production et transformation de produits bois</v>
      </c>
      <c r="D775" t="s">
        <v>3</v>
      </c>
      <c r="E775" t="str">
        <f>VLOOKUP(LEFT(D775,3),'Table corresp.'!$A$4:$D$63,4,FALSE)</f>
        <v>Transformation</v>
      </c>
      <c r="F775" t="str">
        <f t="shared" si="85"/>
        <v xml:space="preserve">05  - 06 </v>
      </c>
      <c r="G775" s="164">
        <v>94581.934716134361</v>
      </c>
      <c r="H775" s="164">
        <v>0</v>
      </c>
      <c r="I775" s="164">
        <v>94581.934716134376</v>
      </c>
      <c r="J775" s="164">
        <v>0</v>
      </c>
      <c r="K775" s="164">
        <v>0</v>
      </c>
      <c r="L775" s="164">
        <v>0</v>
      </c>
      <c r="M775" s="164">
        <v>0</v>
      </c>
      <c r="N775" s="164">
        <v>0</v>
      </c>
      <c r="O775" s="164">
        <v>0</v>
      </c>
      <c r="P775" s="164">
        <v>0</v>
      </c>
      <c r="Q775" s="164">
        <v>0</v>
      </c>
      <c r="R775" s="164">
        <v>0</v>
      </c>
      <c r="S775" s="163" t="str">
        <f t="shared" si="87"/>
        <v/>
      </c>
      <c r="T775" s="163">
        <f>VLOOKUP(A775,'Groupe de branches'!$Z$27:$AM$86,14,FALSE)</f>
        <v>0</v>
      </c>
      <c r="U775" s="163">
        <f>VLOOKUP(D775,'Groupe de branches'!$Z$27:$AM$86,14,FALSE)</f>
        <v>0</v>
      </c>
      <c r="V775" s="163">
        <v>2018</v>
      </c>
      <c r="W775">
        <f>VLOOKUP(D775,'Table corresp.'!$M$4:$S$63,7,FALSE)</f>
        <v>0</v>
      </c>
      <c r="X775" s="167">
        <f>IFERROR(G775/SUMIFS('Comp2016-2017 (3)'!$I$5:$I$289,'Comp2016-2017 (3)'!$A$5:$A$289,A775,'Comp2016-2017 (3)'!$R$5:$R$289,V775),0)</f>
        <v>8.4705920359007716E-2</v>
      </c>
      <c r="Y775" s="178">
        <f>IFERROR(IF(RIGHT(F775,3)="Exp",VLOOKUP(F775,#REF!,2,FALSE),VLOOKUP(F775,#REF!,9,FALSE)),1)</f>
        <v>1</v>
      </c>
      <c r="Z775" s="167">
        <f t="shared" si="89"/>
        <v>5.2631578947368418E-2</v>
      </c>
      <c r="AA775" s="189">
        <f t="shared" si="92"/>
        <v>4.4582063346846161E-3</v>
      </c>
      <c r="AB775" s="2">
        <f>IFERROR(SUMIFS('Comp2016-2017 (3)'!$G$5:$G$289,'Comp2016-2017 (3)'!$A$5:$A$289,A775,'Comp2016-2017 (3)'!$R$5:$R$289,V775)*AA775/SUMIFS($AA$4:$AA$1116,$A$4:$A$1116,A775,$V$4:$V$1116,V775),0)</f>
        <v>68592.792589601682</v>
      </c>
      <c r="AC775" s="2">
        <f>IF($W775=AC$3,$AB775,IF(NOT($W775=0),"",SUMIFS('Val-Vol (2)'!AC$4:AC$1116,'Val-Vol (2)'!$A$4:$A$1116,$D775,'Val-Vol (2)'!$V$4:$V$1116,$V775)/SUMIFS('Comp2016-2017 (3)'!$G$5:$G$289,'Comp2016-2017 (3)'!$A$5:$A$289,$D775,'Comp2016-2017 (3)'!$R$5:$R$289,$V775)*$AB775))</f>
        <v>16889.704552431598</v>
      </c>
      <c r="AD775" s="2">
        <f>IF($W775=AD$3,$AB775,IF(NOT($W775=0),"",SUMIFS('Val-Vol (2)'!AD$4:AD$1116,'Val-Vol (2)'!$A$4:$A$1116,$D775,'Val-Vol (2)'!$V$4:$V$1116,$V775)/SUMIFS('Comp2016-2017 (3)'!$G$5:$G$289,'Comp2016-2017 (3)'!$A$5:$A$289,$D775,'Comp2016-2017 (3)'!$R$5:$R$289,$V775)*$AB775))</f>
        <v>18566.032868049759</v>
      </c>
      <c r="AE775" s="2">
        <f>IF($W775=AE$3,$AB775,IF(NOT($W775=0),"",SUMIFS('Val-Vol (2)'!AE$4:AE$1116,'Val-Vol (2)'!$A$4:$A$1116,$D775,'Val-Vol (2)'!$V$4:$V$1116,$V775)/SUMIFS('Comp2016-2017 (3)'!$G$5:$G$289,'Comp2016-2017 (3)'!$A$5:$A$289,$D775,'Comp2016-2017 (3)'!$R$5:$R$289,$V775)*$AB775))</f>
        <v>1990.9833138205054</v>
      </c>
      <c r="AF775" s="2">
        <f>IF($W775=AF$3,$AB775,IF(NOT($W775=0),"",SUMIFS('Val-Vol (2)'!AF$4:AF$1116,'Val-Vol (2)'!$A$4:$A$1116,$D775,'Val-Vol (2)'!$V$4:$V$1116,$V775)/SUMIFS('Comp2016-2017 (3)'!$G$5:$G$289,'Comp2016-2017 (3)'!$A$5:$A$289,$D775,'Comp2016-2017 (3)'!$R$5:$R$289,$V775)*$AB775))</f>
        <v>882.21735831314277</v>
      </c>
      <c r="AG775" s="2">
        <f>IF($W775=AG$3,$AB775,IF(NOT($W775=0),"",SUMIFS('Val-Vol (2)'!AG$4:AG$1116,'Val-Vol (2)'!$A$4:$A$1116,$D775,'Val-Vol (2)'!$V$4:$V$1116,$V775)/SUMIFS('Comp2016-2017 (3)'!$G$5:$G$289,'Comp2016-2017 (3)'!$A$5:$A$289,$D775,'Comp2016-2017 (3)'!$R$5:$R$289,$V775)*$AB775))</f>
        <v>14783.897407527938</v>
      </c>
      <c r="AH775" s="2">
        <f>IF($W775=AH$3,$AB775,IF(NOT($W775=0),"",SUMIFS('Val-Vol (2)'!AH$4:AH$1116,'Val-Vol (2)'!$A$4:$A$1116,$D775,'Val-Vol (2)'!$V$4:$V$1116,$V775)/SUMIFS('Comp2016-2017 (3)'!$G$5:$G$289,'Comp2016-2017 (3)'!$A$5:$A$289,$D775,'Comp2016-2017 (3)'!$R$5:$R$289,$V775)*$AB775))</f>
        <v>2446.5256937798399</v>
      </c>
      <c r="AI775" s="2">
        <f>IF($W775=AI$3,$AB775,IF(NOT($W775=0),"",SUMIFS('Val-Vol (2)'!AI$4:AI$1116,'Val-Vol (2)'!$A$4:$A$1116,$D775,'Val-Vol (2)'!$V$4:$V$1116,$V775)/SUMIFS('Comp2016-2017 (3)'!$G$5:$G$289,'Comp2016-2017 (3)'!$A$5:$A$289,$D775,'Comp2016-2017 (3)'!$R$5:$R$289,$V775)*$AB775))</f>
        <v>3809.8385089269941</v>
      </c>
      <c r="AJ775" s="2">
        <f>IF($W775=AJ$3,$AB775,IF(NOT($W775=0),"",SUMIFS('Val-Vol (2)'!AJ$4:AJ$1116,'Val-Vol (2)'!$A$4:$A$1116,$D775,'Val-Vol (2)'!$V$4:$V$1116,$V775)/SUMIFS('Comp2016-2017 (3)'!$G$5:$G$289,'Comp2016-2017 (3)'!$A$5:$A$289,$D775,'Comp2016-2017 (3)'!$R$5:$R$289,$V775)*$AB775))</f>
        <v>9223.5928867519033</v>
      </c>
      <c r="AK775" s="2">
        <f t="shared" si="90"/>
        <v>0</v>
      </c>
      <c r="AL775" t="str">
        <f t="shared" si="91"/>
        <v/>
      </c>
      <c r="AM775" t="str">
        <f>VLOOKUP(A775,'Table corresp.'!$M$4:$U$63,8,FALSE)</f>
        <v>Production intermédiaire</v>
      </c>
      <c r="AN775" t="str">
        <f>VLOOKUP(D775,'Table corresp.'!$M$4:$U$63,9,FALSE)</f>
        <v>Production intermédiaire</v>
      </c>
    </row>
    <row r="776" spans="1:40" x14ac:dyDescent="0.25">
      <c r="A776" t="s">
        <v>81</v>
      </c>
      <c r="B776" t="str">
        <f>VLOOKUP(LEFT(A776,3),'Table corresp.'!$A$4:$D$63,3,FALSE)</f>
        <v>Transformation</v>
      </c>
      <c r="C776" t="str">
        <f>VLOOKUP(A776,'Table corresp.'!$M$4:$P$63,4,FALSE)</f>
        <v>Production et transformation de produits bois</v>
      </c>
      <c r="D776" t="s">
        <v>4</v>
      </c>
      <c r="E776" t="str">
        <f>VLOOKUP(LEFT(D776,3),'Table corresp.'!$A$4:$D$63,4,FALSE)</f>
        <v>Transformation</v>
      </c>
      <c r="F776" t="str">
        <f t="shared" si="85"/>
        <v xml:space="preserve">05  - 08 </v>
      </c>
      <c r="G776" s="164">
        <v>25060.982580212287</v>
      </c>
      <c r="H776" s="164">
        <v>0</v>
      </c>
      <c r="I776" s="164">
        <v>25060.982580212283</v>
      </c>
      <c r="J776" s="164">
        <v>0</v>
      </c>
      <c r="K776" s="164">
        <v>0</v>
      </c>
      <c r="L776" s="164">
        <v>0</v>
      </c>
      <c r="M776" s="164">
        <v>0</v>
      </c>
      <c r="N776" s="164">
        <v>0</v>
      </c>
      <c r="O776" s="164">
        <v>0</v>
      </c>
      <c r="P776" s="164">
        <v>0</v>
      </c>
      <c r="Q776" s="164">
        <v>0</v>
      </c>
      <c r="R776" s="164">
        <v>0</v>
      </c>
      <c r="S776" s="163" t="str">
        <f t="shared" si="87"/>
        <v/>
      </c>
      <c r="T776" s="163">
        <f>VLOOKUP(A776,'Groupe de branches'!$Z$27:$AM$86,14,FALSE)</f>
        <v>0</v>
      </c>
      <c r="U776" s="163">
        <f>VLOOKUP(D776,'Groupe de branches'!$Z$27:$AM$86,14,FALSE)</f>
        <v>0</v>
      </c>
      <c r="V776" s="163">
        <v>2018</v>
      </c>
      <c r="W776">
        <f>VLOOKUP(D776,'Table corresp.'!$M$4:$S$63,7,FALSE)</f>
        <v>0</v>
      </c>
      <c r="X776" s="167">
        <f>IFERROR(G776/SUMIFS('Comp2016-2017 (3)'!$I$5:$I$289,'Comp2016-2017 (3)'!$A$5:$A$289,A776,'Comp2016-2017 (3)'!$R$5:$R$289,V776),0)</f>
        <v>2.2444176056760436E-2</v>
      </c>
      <c r="Y776" s="178">
        <f>IFERROR(IF(RIGHT(F776,3)="Exp",VLOOKUP(F776,#REF!,2,FALSE),VLOOKUP(F776,#REF!,9,FALSE)),1)</f>
        <v>1</v>
      </c>
      <c r="Z776" s="167">
        <f t="shared" si="89"/>
        <v>5.2631578947368418E-2</v>
      </c>
      <c r="AA776" s="189">
        <f t="shared" si="92"/>
        <v>1.1812724240400229E-3</v>
      </c>
      <c r="AB776" s="2">
        <f>IFERROR(SUMIFS('Comp2016-2017 (3)'!$G$5:$G$289,'Comp2016-2017 (3)'!$A$5:$A$289,A776,'Comp2016-2017 (3)'!$R$5:$R$289,V776)*AA776/SUMIFS($AA$4:$AA$1116,$A$4:$A$1116,A776,$V$4:$V$1116,V776),0)</f>
        <v>18174.747486137901</v>
      </c>
      <c r="AC776" s="2">
        <f>IF($W776=AC$3,$AB776,IF(NOT($W776=0),"",SUMIFS('Val-Vol (2)'!AC$4:AC$1116,'Val-Vol (2)'!$A$4:$A$1116,$D776,'Val-Vol (2)'!$V$4:$V$1116,$V776)/SUMIFS('Comp2016-2017 (3)'!$G$5:$G$289,'Comp2016-2017 (3)'!$A$5:$A$289,$D776,'Comp2016-2017 (3)'!$R$5:$R$289,$V776)*$AB776))</f>
        <v>4455.7821640893681</v>
      </c>
      <c r="AD776" s="2">
        <f>IF($W776=AD$3,$AB776,IF(NOT($W776=0),"",SUMIFS('Val-Vol (2)'!AD$4:AD$1116,'Val-Vol (2)'!$A$4:$A$1116,$D776,'Val-Vol (2)'!$V$4:$V$1116,$V776)/SUMIFS('Comp2016-2017 (3)'!$G$5:$G$289,'Comp2016-2017 (3)'!$A$5:$A$289,$D776,'Comp2016-2017 (3)'!$R$5:$R$289,$V776)*$AB776))</f>
        <v>5007.328829587429</v>
      </c>
      <c r="AE776" s="2">
        <f>IF($W776=AE$3,$AB776,IF(NOT($W776=0),"",SUMIFS('Val-Vol (2)'!AE$4:AE$1116,'Val-Vol (2)'!$A$4:$A$1116,$D776,'Val-Vol (2)'!$V$4:$V$1116,$V776)/SUMIFS('Comp2016-2017 (3)'!$G$5:$G$289,'Comp2016-2017 (3)'!$A$5:$A$289,$D776,'Comp2016-2017 (3)'!$R$5:$R$289,$V776)*$AB776))</f>
        <v>2116.8183066648908</v>
      </c>
      <c r="AF776" s="2">
        <f>IF($W776=AF$3,$AB776,IF(NOT($W776=0),"",SUMIFS('Val-Vol (2)'!AF$4:AF$1116,'Val-Vol (2)'!$A$4:$A$1116,$D776,'Val-Vol (2)'!$V$4:$V$1116,$V776)/SUMIFS('Comp2016-2017 (3)'!$G$5:$G$289,'Comp2016-2017 (3)'!$A$5:$A$289,$D776,'Comp2016-2017 (3)'!$R$5:$R$289,$V776)*$AB776))</f>
        <v>0</v>
      </c>
      <c r="AG776" s="2">
        <f>IF($W776=AG$3,$AB776,IF(NOT($W776=0),"",SUMIFS('Val-Vol (2)'!AG$4:AG$1116,'Val-Vol (2)'!$A$4:$A$1116,$D776,'Val-Vol (2)'!$V$4:$V$1116,$V776)/SUMIFS('Comp2016-2017 (3)'!$G$5:$G$289,'Comp2016-2017 (3)'!$A$5:$A$289,$D776,'Comp2016-2017 (3)'!$R$5:$R$289,$V776)*$AB776))</f>
        <v>0</v>
      </c>
      <c r="AH776" s="2">
        <f>IF($W776=AH$3,$AB776,IF(NOT($W776=0),"",SUMIFS('Val-Vol (2)'!AH$4:AH$1116,'Val-Vol (2)'!$A$4:$A$1116,$D776,'Val-Vol (2)'!$V$4:$V$1116,$V776)/SUMIFS('Comp2016-2017 (3)'!$G$5:$G$289,'Comp2016-2017 (3)'!$A$5:$A$289,$D776,'Comp2016-2017 (3)'!$R$5:$R$289,$V776)*$AB776))</f>
        <v>0</v>
      </c>
      <c r="AI776" s="2">
        <f>IF($W776=AI$3,$AB776,IF(NOT($W776=0),"",SUMIFS('Val-Vol (2)'!AI$4:AI$1116,'Val-Vol (2)'!$A$4:$A$1116,$D776,'Val-Vol (2)'!$V$4:$V$1116,$V776)/SUMIFS('Comp2016-2017 (3)'!$G$5:$G$289,'Comp2016-2017 (3)'!$A$5:$A$289,$D776,'Comp2016-2017 (3)'!$R$5:$R$289,$V776)*$AB776))</f>
        <v>2021.1376612097006</v>
      </c>
      <c r="AJ776" s="2">
        <f>IF($W776=AJ$3,$AB776,IF(NOT($W776=0),"",SUMIFS('Val-Vol (2)'!AJ$4:AJ$1116,'Val-Vol (2)'!$A$4:$A$1116,$D776,'Val-Vol (2)'!$V$4:$V$1116,$V776)/SUMIFS('Comp2016-2017 (3)'!$G$5:$G$289,'Comp2016-2017 (3)'!$A$5:$A$289,$D776,'Comp2016-2017 (3)'!$R$5:$R$289,$V776)*$AB776))</f>
        <v>4573.6805245865116</v>
      </c>
      <c r="AK776" s="2">
        <f t="shared" si="90"/>
        <v>0</v>
      </c>
      <c r="AL776" t="str">
        <f t="shared" si="91"/>
        <v/>
      </c>
      <c r="AM776" t="str">
        <f>VLOOKUP(A776,'Table corresp.'!$M$4:$U$63,8,FALSE)</f>
        <v>Production intermédiaire</v>
      </c>
      <c r="AN776" t="str">
        <f>VLOOKUP(D776,'Table corresp.'!$M$4:$U$63,9,FALSE)</f>
        <v>Production intermédiaire</v>
      </c>
    </row>
    <row r="777" spans="1:40" x14ac:dyDescent="0.25">
      <c r="A777" t="s">
        <v>81</v>
      </c>
      <c r="B777" t="str">
        <f>VLOOKUP(LEFT(A777,3),'Table corresp.'!$A$4:$D$63,3,FALSE)</f>
        <v>Transformation</v>
      </c>
      <c r="C777" t="str">
        <f>VLOOKUP(A777,'Table corresp.'!$M$4:$P$63,4,FALSE)</f>
        <v>Production et transformation de produits bois</v>
      </c>
      <c r="D777" t="s">
        <v>5</v>
      </c>
      <c r="E777" t="str">
        <f>VLOOKUP(LEFT(D777,3),'Table corresp.'!$A$4:$D$63,4,FALSE)</f>
        <v>Transformation</v>
      </c>
      <c r="F777" t="str">
        <f t="shared" si="85"/>
        <v xml:space="preserve">05  - 09 </v>
      </c>
      <c r="G777" s="164">
        <v>10048.048921308997</v>
      </c>
      <c r="H777" s="164">
        <v>0</v>
      </c>
      <c r="I777" s="164">
        <v>10048.048921308997</v>
      </c>
      <c r="J777" s="164">
        <v>0</v>
      </c>
      <c r="K777" s="164">
        <v>0</v>
      </c>
      <c r="L777" s="164">
        <v>0</v>
      </c>
      <c r="M777" s="164">
        <v>0</v>
      </c>
      <c r="N777" s="164">
        <v>0</v>
      </c>
      <c r="O777" s="164">
        <v>0</v>
      </c>
      <c r="P777" s="164">
        <v>0</v>
      </c>
      <c r="Q777" s="164">
        <v>0</v>
      </c>
      <c r="R777" s="164">
        <v>0</v>
      </c>
      <c r="S777" s="163" t="str">
        <f t="shared" si="87"/>
        <v/>
      </c>
      <c r="T777" s="163">
        <f>VLOOKUP(A777,'Groupe de branches'!$Z$27:$AM$86,14,FALSE)</f>
        <v>0</v>
      </c>
      <c r="U777" s="163">
        <f>VLOOKUP(D777,'Groupe de branches'!$Z$27:$AM$86,14,FALSE)</f>
        <v>0</v>
      </c>
      <c r="V777" s="163">
        <v>2018</v>
      </c>
      <c r="W777">
        <f>VLOOKUP(D777,'Table corresp.'!$M$4:$S$63,7,FALSE)</f>
        <v>0</v>
      </c>
      <c r="X777" s="167">
        <f>IFERROR(G777/SUMIFS('Comp2016-2017 (3)'!$I$5:$I$289,'Comp2016-2017 (3)'!$A$5:$A$289,A777,'Comp2016-2017 (3)'!$R$5:$R$289,V777),0)</f>
        <v>8.9988562218174042E-3</v>
      </c>
      <c r="Y777" s="178">
        <f>IFERROR(IF(RIGHT(F777,3)="Exp",VLOOKUP(F777,#REF!,2,FALSE),VLOOKUP(F777,#REF!,9,FALSE)),1)</f>
        <v>1</v>
      </c>
      <c r="Z777" s="167">
        <f t="shared" si="89"/>
        <v>5.2631578947368418E-2</v>
      </c>
      <c r="AA777" s="189">
        <f t="shared" si="92"/>
        <v>4.7362401167460021E-4</v>
      </c>
      <c r="AB777" s="2">
        <f>IFERROR(SUMIFS('Comp2016-2017 (3)'!$G$5:$G$289,'Comp2016-2017 (3)'!$A$5:$A$289,A777,'Comp2016-2017 (3)'!$R$5:$R$289,V777)*AA777/SUMIFS($AA$4:$AA$1116,$A$4:$A$1116,A777,$V$4:$V$1116,V777),0)</f>
        <v>7287.0547389209514</v>
      </c>
      <c r="AC777" s="2">
        <f>IF($W777=AC$3,$AB777,IF(NOT($W777=0),"",SUMIFS('Val-Vol (2)'!AC$4:AC$1116,'Val-Vol (2)'!$A$4:$A$1116,$D777,'Val-Vol (2)'!$V$4:$V$1116,$V777)/SUMIFS('Comp2016-2017 (3)'!$G$5:$G$289,'Comp2016-2017 (3)'!$A$5:$A$289,$D777,'Comp2016-2017 (3)'!$R$5:$R$289,$V777)*$AB777))</f>
        <v>2396.2831907115874</v>
      </c>
      <c r="AD777" s="2">
        <f>IF($W777=AD$3,$AB777,IF(NOT($W777=0),"",SUMIFS('Val-Vol (2)'!AD$4:AD$1116,'Val-Vol (2)'!$A$4:$A$1116,$D777,'Val-Vol (2)'!$V$4:$V$1116,$V777)/SUMIFS('Comp2016-2017 (3)'!$G$5:$G$289,'Comp2016-2017 (3)'!$A$5:$A$289,$D777,'Comp2016-2017 (3)'!$R$5:$R$289,$V777)*$AB777))</f>
        <v>2303.2920434991138</v>
      </c>
      <c r="AE777" s="2">
        <f>IF($W777=AE$3,$AB777,IF(NOT($W777=0),"",SUMIFS('Val-Vol (2)'!AE$4:AE$1116,'Val-Vol (2)'!$A$4:$A$1116,$D777,'Val-Vol (2)'!$V$4:$V$1116,$V777)/SUMIFS('Comp2016-2017 (3)'!$G$5:$G$289,'Comp2016-2017 (3)'!$A$5:$A$289,$D777,'Comp2016-2017 (3)'!$R$5:$R$289,$V777)*$AB777))</f>
        <v>93.567233865580221</v>
      </c>
      <c r="AF777" s="2">
        <f>IF($W777=AF$3,$AB777,IF(NOT($W777=0),"",SUMIFS('Val-Vol (2)'!AF$4:AF$1116,'Val-Vol (2)'!$A$4:$A$1116,$D777,'Val-Vol (2)'!$V$4:$V$1116,$V777)/SUMIFS('Comp2016-2017 (3)'!$G$5:$G$289,'Comp2016-2017 (3)'!$A$5:$A$289,$D777,'Comp2016-2017 (3)'!$R$5:$R$289,$V777)*$AB777))</f>
        <v>0</v>
      </c>
      <c r="AG777" s="2">
        <f>IF($W777=AG$3,$AB777,IF(NOT($W777=0),"",SUMIFS('Val-Vol (2)'!AG$4:AG$1116,'Val-Vol (2)'!$A$4:$A$1116,$D777,'Val-Vol (2)'!$V$4:$V$1116,$V777)/SUMIFS('Comp2016-2017 (3)'!$G$5:$G$289,'Comp2016-2017 (3)'!$A$5:$A$289,$D777,'Comp2016-2017 (3)'!$R$5:$R$289,$V777)*$AB777))</f>
        <v>976.5567598370119</v>
      </c>
      <c r="AH777" s="2">
        <f>IF($W777=AH$3,$AB777,IF(NOT($W777=0),"",SUMIFS('Val-Vol (2)'!AH$4:AH$1116,'Val-Vol (2)'!$A$4:$A$1116,$D777,'Val-Vol (2)'!$V$4:$V$1116,$V777)/SUMIFS('Comp2016-2017 (3)'!$G$5:$G$289,'Comp2016-2017 (3)'!$A$5:$A$289,$D777,'Comp2016-2017 (3)'!$R$5:$R$289,$V777)*$AB777))</f>
        <v>0</v>
      </c>
      <c r="AI777" s="2">
        <f>IF($W777=AI$3,$AB777,IF(NOT($W777=0),"",SUMIFS('Val-Vol (2)'!AI$4:AI$1116,'Val-Vol (2)'!$A$4:$A$1116,$D777,'Val-Vol (2)'!$V$4:$V$1116,$V777)/SUMIFS('Comp2016-2017 (3)'!$G$5:$G$289,'Comp2016-2017 (3)'!$A$5:$A$289,$D777,'Comp2016-2017 (3)'!$R$5:$R$289,$V777)*$AB777))</f>
        <v>1424.4922822437604</v>
      </c>
      <c r="AJ777" s="2">
        <f>IF($W777=AJ$3,$AB777,IF(NOT($W777=0),"",SUMIFS('Val-Vol (2)'!AJ$4:AJ$1116,'Val-Vol (2)'!$A$4:$A$1116,$D777,'Val-Vol (2)'!$V$4:$V$1116,$V777)/SUMIFS('Comp2016-2017 (3)'!$G$5:$G$289,'Comp2016-2017 (3)'!$A$5:$A$289,$D777,'Comp2016-2017 (3)'!$R$5:$R$289,$V777)*$AB777))</f>
        <v>92.863228763896728</v>
      </c>
      <c r="AK777" s="2">
        <f t="shared" si="90"/>
        <v>0</v>
      </c>
      <c r="AL777" t="str">
        <f t="shared" si="91"/>
        <v/>
      </c>
      <c r="AM777" t="str">
        <f>VLOOKUP(A777,'Table corresp.'!$M$4:$U$63,8,FALSE)</f>
        <v>Production intermédiaire</v>
      </c>
      <c r="AN777" t="str">
        <f>VLOOKUP(D777,'Table corresp.'!$M$4:$U$63,9,FALSE)</f>
        <v>Production intermédiaire</v>
      </c>
    </row>
    <row r="778" spans="1:40" x14ac:dyDescent="0.25">
      <c r="A778" t="s">
        <v>81</v>
      </c>
      <c r="B778" t="str">
        <f>VLOOKUP(LEFT(A778,3),'Table corresp.'!$A$4:$D$63,3,FALSE)</f>
        <v>Transformation</v>
      </c>
      <c r="C778" t="str">
        <f>VLOOKUP(A778,'Table corresp.'!$M$4:$P$63,4,FALSE)</f>
        <v>Production et transformation de produits bois</v>
      </c>
      <c r="D778" t="s">
        <v>82</v>
      </c>
      <c r="E778" t="str">
        <f>VLOOKUP(LEFT(D778,3),'Table corresp.'!$A$4:$D$63,4,FALSE)</f>
        <v>Transformation</v>
      </c>
      <c r="F778" t="str">
        <f t="shared" si="85"/>
        <v xml:space="preserve">05  - 10 </v>
      </c>
      <c r="G778" s="164">
        <v>9416.5864492692363</v>
      </c>
      <c r="H778" s="164">
        <v>0</v>
      </c>
      <c r="I778" s="164">
        <v>9416.5864492692363</v>
      </c>
      <c r="J778" s="164">
        <v>0</v>
      </c>
      <c r="K778" s="164">
        <v>0</v>
      </c>
      <c r="L778" s="164">
        <v>0</v>
      </c>
      <c r="M778" s="164">
        <v>0</v>
      </c>
      <c r="N778" s="164">
        <v>0</v>
      </c>
      <c r="O778" s="164">
        <v>0</v>
      </c>
      <c r="P778" s="164">
        <v>0</v>
      </c>
      <c r="Q778" s="164">
        <v>0</v>
      </c>
      <c r="R778" s="164">
        <v>0</v>
      </c>
      <c r="S778" s="163" t="str">
        <f t="shared" si="87"/>
        <v/>
      </c>
      <c r="T778" s="163">
        <f>VLOOKUP(A778,'Groupe de branches'!$Z$27:$AM$86,14,FALSE)</f>
        <v>0</v>
      </c>
      <c r="U778" s="163">
        <f>VLOOKUP(D778,'Groupe de branches'!$Z$27:$AM$86,14,FALSE)</f>
        <v>0</v>
      </c>
      <c r="V778" s="163">
        <v>2018</v>
      </c>
      <c r="W778">
        <f>VLOOKUP(D778,'Table corresp.'!$M$4:$S$63,7,FALSE)</f>
        <v>0</v>
      </c>
      <c r="X778" s="167">
        <f>IFERROR(G778/SUMIFS('Comp2016-2017 (3)'!$I$5:$I$289,'Comp2016-2017 (3)'!$A$5:$A$289,A778,'Comp2016-2017 (3)'!$R$5:$R$289,V778),0)</f>
        <v>8.4333295170948199E-3</v>
      </c>
      <c r="Y778" s="178">
        <f>IFERROR(IF(RIGHT(F778,3)="Exp",VLOOKUP(F778,#REF!,2,FALSE),VLOOKUP(F778,#REF!,9,FALSE)),1)</f>
        <v>1</v>
      </c>
      <c r="Z778" s="167">
        <f t="shared" si="89"/>
        <v>5.2631578947368418E-2</v>
      </c>
      <c r="AA778" s="189">
        <f t="shared" si="92"/>
        <v>4.4385944826814841E-4</v>
      </c>
      <c r="AB778" s="2">
        <f>IFERROR(SUMIFS('Comp2016-2017 (3)'!$G$5:$G$289,'Comp2016-2017 (3)'!$A$5:$A$289,A778,'Comp2016-2017 (3)'!$R$5:$R$289,V778)*AA778/SUMIFS($AA$4:$AA$1116,$A$4:$A$1116,A778,$V$4:$V$1116,V778),0)</f>
        <v>6829.1049781898291</v>
      </c>
      <c r="AC778" s="2">
        <f>IF($W778=AC$3,$AB778,IF(NOT($W778=0),"",SUMIFS('Val-Vol (2)'!AC$4:AC$1116,'Val-Vol (2)'!$A$4:$A$1116,$D778,'Val-Vol (2)'!$V$4:$V$1116,$V778)/SUMIFS('Comp2016-2017 (3)'!$G$5:$G$289,'Comp2016-2017 (3)'!$A$5:$A$289,$D778,'Comp2016-2017 (3)'!$R$5:$R$289,$V778)*$AB778))</f>
        <v>1162.0600351454518</v>
      </c>
      <c r="AD778" s="2">
        <f>IF($W778=AD$3,$AB778,IF(NOT($W778=0),"",SUMIFS('Val-Vol (2)'!AD$4:AD$1116,'Val-Vol (2)'!$A$4:$A$1116,$D778,'Val-Vol (2)'!$V$4:$V$1116,$V778)/SUMIFS('Comp2016-2017 (3)'!$G$5:$G$289,'Comp2016-2017 (3)'!$A$5:$A$289,$D778,'Comp2016-2017 (3)'!$R$5:$R$289,$V778)*$AB778))</f>
        <v>1967.7110539146238</v>
      </c>
      <c r="AE778" s="2">
        <f>IF($W778=AE$3,$AB778,IF(NOT($W778=0),"",SUMIFS('Val-Vol (2)'!AE$4:AE$1116,'Val-Vol (2)'!$A$4:$A$1116,$D778,'Val-Vol (2)'!$V$4:$V$1116,$V778)/SUMIFS('Comp2016-2017 (3)'!$G$5:$G$289,'Comp2016-2017 (3)'!$A$5:$A$289,$D778,'Comp2016-2017 (3)'!$R$5:$R$289,$V778)*$AB778))</f>
        <v>497.74573457926988</v>
      </c>
      <c r="AF778" s="2">
        <f>IF($W778=AF$3,$AB778,IF(NOT($W778=0),"",SUMIFS('Val-Vol (2)'!AF$4:AF$1116,'Val-Vol (2)'!$A$4:$A$1116,$D778,'Val-Vol (2)'!$V$4:$V$1116,$V778)/SUMIFS('Comp2016-2017 (3)'!$G$5:$G$289,'Comp2016-2017 (3)'!$A$5:$A$289,$D778,'Comp2016-2017 (3)'!$R$5:$R$289,$V778)*$AB778))</f>
        <v>0</v>
      </c>
      <c r="AG778" s="2">
        <f>IF($W778=AG$3,$AB778,IF(NOT($W778=0),"",SUMIFS('Val-Vol (2)'!AG$4:AG$1116,'Val-Vol (2)'!$A$4:$A$1116,$D778,'Val-Vol (2)'!$V$4:$V$1116,$V778)/SUMIFS('Comp2016-2017 (3)'!$G$5:$G$289,'Comp2016-2017 (3)'!$A$5:$A$289,$D778,'Comp2016-2017 (3)'!$R$5:$R$289,$V778)*$AB778))</f>
        <v>1337.5599426129038</v>
      </c>
      <c r="AH778" s="2">
        <f>IF($W778=AH$3,$AB778,IF(NOT($W778=0),"",SUMIFS('Val-Vol (2)'!AH$4:AH$1116,'Val-Vol (2)'!$A$4:$A$1116,$D778,'Val-Vol (2)'!$V$4:$V$1116,$V778)/SUMIFS('Comp2016-2017 (3)'!$G$5:$G$289,'Comp2016-2017 (3)'!$A$5:$A$289,$D778,'Comp2016-2017 (3)'!$R$5:$R$289,$V778)*$AB778))</f>
        <v>0</v>
      </c>
      <c r="AI778" s="2">
        <f>IF($W778=AI$3,$AB778,IF(NOT($W778=0),"",SUMIFS('Val-Vol (2)'!AI$4:AI$1116,'Val-Vol (2)'!$A$4:$A$1116,$D778,'Val-Vol (2)'!$V$4:$V$1116,$V778)/SUMIFS('Comp2016-2017 (3)'!$G$5:$G$289,'Comp2016-2017 (3)'!$A$5:$A$289,$D778,'Comp2016-2017 (3)'!$R$5:$R$289,$V778)*$AB778))</f>
        <v>1550.8999217403903</v>
      </c>
      <c r="AJ778" s="2">
        <f>IF($W778=AJ$3,$AB778,IF(NOT($W778=0),"",SUMIFS('Val-Vol (2)'!AJ$4:AJ$1116,'Val-Vol (2)'!$A$4:$A$1116,$D778,'Val-Vol (2)'!$V$4:$V$1116,$V778)/SUMIFS('Comp2016-2017 (3)'!$G$5:$G$289,'Comp2016-2017 (3)'!$A$5:$A$289,$D778,'Comp2016-2017 (3)'!$R$5:$R$289,$V778)*$AB778))</f>
        <v>313.12829019719152</v>
      </c>
      <c r="AK778" s="2">
        <f t="shared" si="90"/>
        <v>0</v>
      </c>
      <c r="AL778" t="str">
        <f t="shared" si="91"/>
        <v/>
      </c>
      <c r="AM778" t="str">
        <f>VLOOKUP(A778,'Table corresp.'!$M$4:$U$63,8,FALSE)</f>
        <v>Production intermédiaire</v>
      </c>
      <c r="AN778" t="str">
        <f>VLOOKUP(D778,'Table corresp.'!$M$4:$U$63,9,FALSE)</f>
        <v>Production intermédiaire</v>
      </c>
    </row>
    <row r="779" spans="1:40" x14ac:dyDescent="0.25">
      <c r="A779" t="s">
        <v>81</v>
      </c>
      <c r="B779" t="str">
        <f>VLOOKUP(LEFT(A779,3),'Table corresp.'!$A$4:$D$63,3,FALSE)</f>
        <v>Transformation</v>
      </c>
      <c r="C779" t="str">
        <f>VLOOKUP(A779,'Table corresp.'!$M$4:$P$63,4,FALSE)</f>
        <v>Production et transformation de produits bois</v>
      </c>
      <c r="D779" t="s">
        <v>7</v>
      </c>
      <c r="E779" t="str">
        <f>VLOOKUP(LEFT(D779,3),'Table corresp.'!$A$4:$D$63,4,FALSE)</f>
        <v>Transformation</v>
      </c>
      <c r="F779" t="str">
        <f t="shared" si="85"/>
        <v xml:space="preserve">05  - 12 </v>
      </c>
      <c r="G779" s="164">
        <v>100751.10343720281</v>
      </c>
      <c r="H779" s="164">
        <v>0</v>
      </c>
      <c r="I779" s="164">
        <v>100751.10343720282</v>
      </c>
      <c r="J779" s="164">
        <v>0</v>
      </c>
      <c r="K779" s="164">
        <v>0</v>
      </c>
      <c r="L779" s="164">
        <v>0</v>
      </c>
      <c r="M779" s="164">
        <v>0</v>
      </c>
      <c r="N779" s="164">
        <v>0</v>
      </c>
      <c r="O779" s="164">
        <v>0</v>
      </c>
      <c r="P779" s="164">
        <v>0</v>
      </c>
      <c r="Q779" s="164">
        <v>0</v>
      </c>
      <c r="R779" s="164">
        <v>0</v>
      </c>
      <c r="S779" s="163" t="str">
        <f t="shared" si="87"/>
        <v/>
      </c>
      <c r="T779" s="163">
        <f>VLOOKUP(A779,'Groupe de branches'!$Z$27:$AM$86,14,FALSE)</f>
        <v>0</v>
      </c>
      <c r="U779" s="163">
        <f>VLOOKUP(D779,'Groupe de branches'!$Z$27:$AM$86,14,FALSE)</f>
        <v>0</v>
      </c>
      <c r="V779" s="163">
        <v>2018</v>
      </c>
      <c r="W779">
        <f>VLOOKUP(D779,'Table corresp.'!$M$4:$S$63,7,FALSE)</f>
        <v>0</v>
      </c>
      <c r="X779" s="167">
        <f>IFERROR(G779/SUMIFS('Comp2016-2017 (3)'!$I$5:$I$289,'Comp2016-2017 (3)'!$A$5:$A$289,A779,'Comp2016-2017 (3)'!$R$5:$R$289,V779),0)</f>
        <v>9.0230919566694281E-2</v>
      </c>
      <c r="Y779" s="178">
        <f>IFERROR(IF(RIGHT(F779,3)="Exp",VLOOKUP(F779,#REF!,2,FALSE),VLOOKUP(F779,#REF!,9,FALSE)),1)</f>
        <v>1</v>
      </c>
      <c r="Z779" s="167">
        <f t="shared" si="89"/>
        <v>5.2631578947368418E-2</v>
      </c>
      <c r="AA779" s="189">
        <f t="shared" si="92"/>
        <v>4.7489957666681194E-3</v>
      </c>
      <c r="AB779" s="2">
        <f>IFERROR(SUMIFS('Comp2016-2017 (3)'!$G$5:$G$289,'Comp2016-2017 (3)'!$A$5:$A$289,A779,'Comp2016-2017 (3)'!$R$5:$R$289,V779)*AA779/SUMIFS($AA$4:$AA$1116,$A$4:$A$1116,A779,$V$4:$V$1116,V779),0)</f>
        <v>73066.802471134797</v>
      </c>
      <c r="AC779" s="2">
        <f>IF($W779=AC$3,$AB779,IF(NOT($W779=0),"",SUMIFS('Val-Vol (2)'!AC$4:AC$1116,'Val-Vol (2)'!$A$4:$A$1116,$D779,'Val-Vol (2)'!$V$4:$V$1116,$V779)/SUMIFS('Comp2016-2017 (3)'!$G$5:$G$289,'Comp2016-2017 (3)'!$A$5:$A$289,$D779,'Comp2016-2017 (3)'!$R$5:$R$289,$V779)*$AB779))</f>
        <v>5259.9153333376726</v>
      </c>
      <c r="AD779" s="2">
        <f>IF($W779=AD$3,$AB779,IF(NOT($W779=0),"",SUMIFS('Val-Vol (2)'!AD$4:AD$1116,'Val-Vol (2)'!$A$4:$A$1116,$D779,'Val-Vol (2)'!$V$4:$V$1116,$V779)/SUMIFS('Comp2016-2017 (3)'!$G$5:$G$289,'Comp2016-2017 (3)'!$A$5:$A$289,$D779,'Comp2016-2017 (3)'!$R$5:$R$289,$V779)*$AB779))</f>
        <v>46425.89899642417</v>
      </c>
      <c r="AE779" s="2">
        <f>IF($W779=AE$3,$AB779,IF(NOT($W779=0),"",SUMIFS('Val-Vol (2)'!AE$4:AE$1116,'Val-Vol (2)'!$A$4:$A$1116,$D779,'Val-Vol (2)'!$V$4:$V$1116,$V779)/SUMIFS('Comp2016-2017 (3)'!$G$5:$G$289,'Comp2016-2017 (3)'!$A$5:$A$289,$D779,'Comp2016-2017 (3)'!$R$5:$R$289,$V779)*$AB779))</f>
        <v>1083.1152369868967</v>
      </c>
      <c r="AF779" s="2">
        <f>IF($W779=AF$3,$AB779,IF(NOT($W779=0),"",SUMIFS('Val-Vol (2)'!AF$4:AF$1116,'Val-Vol (2)'!$A$4:$A$1116,$D779,'Val-Vol (2)'!$V$4:$V$1116,$V779)/SUMIFS('Comp2016-2017 (3)'!$G$5:$G$289,'Comp2016-2017 (3)'!$A$5:$A$289,$D779,'Comp2016-2017 (3)'!$R$5:$R$289,$V779)*$AB779))</f>
        <v>0</v>
      </c>
      <c r="AG779" s="2">
        <f>IF($W779=AG$3,$AB779,IF(NOT($W779=0),"",SUMIFS('Val-Vol (2)'!AG$4:AG$1116,'Val-Vol (2)'!$A$4:$A$1116,$D779,'Val-Vol (2)'!$V$4:$V$1116,$V779)/SUMIFS('Comp2016-2017 (3)'!$G$5:$G$289,'Comp2016-2017 (3)'!$A$5:$A$289,$D779,'Comp2016-2017 (3)'!$R$5:$R$289,$V779)*$AB779))</f>
        <v>7972.8518222869361</v>
      </c>
      <c r="AH779" s="2">
        <f>IF($W779=AH$3,$AB779,IF(NOT($W779=0),"",SUMIFS('Val-Vol (2)'!AH$4:AH$1116,'Val-Vol (2)'!$A$4:$A$1116,$D779,'Val-Vol (2)'!$V$4:$V$1116,$V779)/SUMIFS('Comp2016-2017 (3)'!$G$5:$G$289,'Comp2016-2017 (3)'!$A$5:$A$289,$D779,'Comp2016-2017 (3)'!$R$5:$R$289,$V779)*$AB779))</f>
        <v>0</v>
      </c>
      <c r="AI779" s="2">
        <f>IF($W779=AI$3,$AB779,IF(NOT($W779=0),"",SUMIFS('Val-Vol (2)'!AI$4:AI$1116,'Val-Vol (2)'!$A$4:$A$1116,$D779,'Val-Vol (2)'!$V$4:$V$1116,$V779)/SUMIFS('Comp2016-2017 (3)'!$G$5:$G$289,'Comp2016-2017 (3)'!$A$5:$A$289,$D779,'Comp2016-2017 (3)'!$R$5:$R$289,$V779)*$AB779))</f>
        <v>2111.9931829992433</v>
      </c>
      <c r="AJ779" s="2">
        <f>IF($W779=AJ$3,$AB779,IF(NOT($W779=0),"",SUMIFS('Val-Vol (2)'!AJ$4:AJ$1116,'Val-Vol (2)'!$A$4:$A$1116,$D779,'Val-Vol (2)'!$V$4:$V$1116,$V779)/SUMIFS('Comp2016-2017 (3)'!$G$5:$G$289,'Comp2016-2017 (3)'!$A$5:$A$289,$D779,'Comp2016-2017 (3)'!$R$5:$R$289,$V779)*$AB779))</f>
        <v>10213.027899099876</v>
      </c>
      <c r="AK779" s="2">
        <f t="shared" si="90"/>
        <v>0</v>
      </c>
      <c r="AL779" t="str">
        <f t="shared" si="91"/>
        <v/>
      </c>
      <c r="AM779" t="str">
        <f>VLOOKUP(A779,'Table corresp.'!$M$4:$U$63,8,FALSE)</f>
        <v>Production intermédiaire</v>
      </c>
      <c r="AN779" t="str">
        <f>VLOOKUP(D779,'Table corresp.'!$M$4:$U$63,9,FALSE)</f>
        <v>Production intermédiaire</v>
      </c>
    </row>
    <row r="780" spans="1:40" x14ac:dyDescent="0.25">
      <c r="A780" t="s">
        <v>81</v>
      </c>
      <c r="B780" t="str">
        <f>VLOOKUP(LEFT(A780,3),'Table corresp.'!$A$4:$D$63,3,FALSE)</f>
        <v>Transformation</v>
      </c>
      <c r="C780" t="str">
        <f>VLOOKUP(A780,'Table corresp.'!$M$4:$P$63,4,FALSE)</f>
        <v>Production et transformation de produits bois</v>
      </c>
      <c r="D780" t="s">
        <v>8</v>
      </c>
      <c r="E780" t="str">
        <f>VLOOKUP(LEFT(D780,3),'Table corresp.'!$A$4:$D$63,4,FALSE)</f>
        <v>Transformation</v>
      </c>
      <c r="F780" t="str">
        <f t="shared" si="85"/>
        <v xml:space="preserve">05  - 13 </v>
      </c>
      <c r="G780" s="164">
        <v>28519.77683989346</v>
      </c>
      <c r="H780" s="164">
        <v>0</v>
      </c>
      <c r="I780" s="164">
        <v>28519.77683989346</v>
      </c>
      <c r="J780" s="164">
        <v>0</v>
      </c>
      <c r="K780" s="164">
        <v>0</v>
      </c>
      <c r="L780" s="164">
        <v>0</v>
      </c>
      <c r="M780" s="164">
        <v>0</v>
      </c>
      <c r="N780" s="164">
        <v>0</v>
      </c>
      <c r="O780" s="164">
        <v>0</v>
      </c>
      <c r="P780" s="164">
        <v>0</v>
      </c>
      <c r="Q780" s="164">
        <v>0</v>
      </c>
      <c r="R780" s="164">
        <v>0</v>
      </c>
      <c r="S780" s="163" t="str">
        <f t="shared" si="87"/>
        <v/>
      </c>
      <c r="T780" s="163">
        <f>VLOOKUP(A780,'Groupe de branches'!$Z$27:$AM$86,14,FALSE)</f>
        <v>0</v>
      </c>
      <c r="U780" s="163">
        <f>VLOOKUP(D780,'Groupe de branches'!$Z$27:$AM$86,14,FALSE)</f>
        <v>0</v>
      </c>
      <c r="V780" s="163">
        <v>2018</v>
      </c>
      <c r="W780">
        <f>VLOOKUP(D780,'Table corresp.'!$M$4:$S$63,7,FALSE)</f>
        <v>0</v>
      </c>
      <c r="X780" s="167">
        <f>IFERROR(G780/SUMIFS('Comp2016-2017 (3)'!$I$5:$I$289,'Comp2016-2017 (3)'!$A$5:$A$289,A780,'Comp2016-2017 (3)'!$R$5:$R$289,V780),0)</f>
        <v>2.5541811477076789E-2</v>
      </c>
      <c r="Y780" s="178">
        <f>IFERROR(IF(RIGHT(F780,3)="Exp",VLOOKUP(F780,#REF!,2,FALSE),VLOOKUP(F780,#REF!,9,FALSE)),1)</f>
        <v>1</v>
      </c>
      <c r="Z780" s="167">
        <f t="shared" si="89"/>
        <v>5.2631578947368418E-2</v>
      </c>
      <c r="AA780" s="189">
        <f t="shared" si="92"/>
        <v>1.3443058672145678E-3</v>
      </c>
      <c r="AB780" s="2">
        <f>IFERROR(SUMIFS('Comp2016-2017 (3)'!$G$5:$G$289,'Comp2016-2017 (3)'!$A$5:$A$289,A780,'Comp2016-2017 (3)'!$R$5:$R$289,V780)*AA780/SUMIFS($AA$4:$AA$1116,$A$4:$A$1116,A780,$V$4:$V$1116,V780),0)</f>
        <v>20683.137253977413</v>
      </c>
      <c r="AC780" s="2">
        <f>IF($W780=AC$3,$AB780,IF(NOT($W780=0),"",SUMIFS('Val-Vol (2)'!AC$4:AC$1116,'Val-Vol (2)'!$A$4:$A$1116,$D780,'Val-Vol (2)'!$V$4:$V$1116,$V780)/SUMIFS('Comp2016-2017 (3)'!$G$5:$G$289,'Comp2016-2017 (3)'!$A$5:$A$289,$D780,'Comp2016-2017 (3)'!$R$5:$R$289,$V780)*$AB780))</f>
        <v>2785.944020866094</v>
      </c>
      <c r="AD780" s="2">
        <f>IF($W780=AD$3,$AB780,IF(NOT($W780=0),"",SUMIFS('Val-Vol (2)'!AD$4:AD$1116,'Val-Vol (2)'!$A$4:$A$1116,$D780,'Val-Vol (2)'!$V$4:$V$1116,$V780)/SUMIFS('Comp2016-2017 (3)'!$G$5:$G$289,'Comp2016-2017 (3)'!$A$5:$A$289,$D780,'Comp2016-2017 (3)'!$R$5:$R$289,$V780)*$AB780))</f>
        <v>5617.0446222549981</v>
      </c>
      <c r="AE780" s="2">
        <f>IF($W780=AE$3,$AB780,IF(NOT($W780=0),"",SUMIFS('Val-Vol (2)'!AE$4:AE$1116,'Val-Vol (2)'!$A$4:$A$1116,$D780,'Val-Vol (2)'!$V$4:$V$1116,$V780)/SUMIFS('Comp2016-2017 (3)'!$G$5:$G$289,'Comp2016-2017 (3)'!$A$5:$A$289,$D780,'Comp2016-2017 (3)'!$R$5:$R$289,$V780)*$AB780))</f>
        <v>3.1283800161888795</v>
      </c>
      <c r="AF780" s="2">
        <f>IF($W780=AF$3,$AB780,IF(NOT($W780=0),"",SUMIFS('Val-Vol (2)'!AF$4:AF$1116,'Val-Vol (2)'!$A$4:$A$1116,$D780,'Val-Vol (2)'!$V$4:$V$1116,$V780)/SUMIFS('Comp2016-2017 (3)'!$G$5:$G$289,'Comp2016-2017 (3)'!$A$5:$A$289,$D780,'Comp2016-2017 (3)'!$R$5:$R$289,$V780)*$AB780))</f>
        <v>0</v>
      </c>
      <c r="AG780" s="2">
        <f>IF($W780=AG$3,$AB780,IF(NOT($W780=0),"",SUMIFS('Val-Vol (2)'!AG$4:AG$1116,'Val-Vol (2)'!$A$4:$A$1116,$D780,'Val-Vol (2)'!$V$4:$V$1116,$V780)/SUMIFS('Comp2016-2017 (3)'!$G$5:$G$289,'Comp2016-2017 (3)'!$A$5:$A$289,$D780,'Comp2016-2017 (3)'!$R$5:$R$289,$V780)*$AB780))</f>
        <v>4274.2725493930948</v>
      </c>
      <c r="AH780" s="2">
        <f>IF($W780=AH$3,$AB780,IF(NOT($W780=0),"",SUMIFS('Val-Vol (2)'!AH$4:AH$1116,'Val-Vol (2)'!$A$4:$A$1116,$D780,'Val-Vol (2)'!$V$4:$V$1116,$V780)/SUMIFS('Comp2016-2017 (3)'!$G$5:$G$289,'Comp2016-2017 (3)'!$A$5:$A$289,$D780,'Comp2016-2017 (3)'!$R$5:$R$289,$V780)*$AB780))</f>
        <v>0</v>
      </c>
      <c r="AI780" s="2">
        <f>IF($W780=AI$3,$AB780,IF(NOT($W780=0),"",SUMIFS('Val-Vol (2)'!AI$4:AI$1116,'Val-Vol (2)'!$A$4:$A$1116,$D780,'Val-Vol (2)'!$V$4:$V$1116,$V780)/SUMIFS('Comp2016-2017 (3)'!$G$5:$G$289,'Comp2016-2017 (3)'!$A$5:$A$289,$D780,'Comp2016-2017 (3)'!$R$5:$R$289,$V780)*$AB780))</f>
        <v>0</v>
      </c>
      <c r="AJ780" s="2">
        <f>IF($W780=AJ$3,$AB780,IF(NOT($W780=0),"",SUMIFS('Val-Vol (2)'!AJ$4:AJ$1116,'Val-Vol (2)'!$A$4:$A$1116,$D780,'Val-Vol (2)'!$V$4:$V$1116,$V780)/SUMIFS('Comp2016-2017 (3)'!$G$5:$G$289,'Comp2016-2017 (3)'!$A$5:$A$289,$D780,'Comp2016-2017 (3)'!$R$5:$R$289,$V780)*$AB780))</f>
        <v>8002.7476814470356</v>
      </c>
      <c r="AK780" s="2">
        <f t="shared" si="90"/>
        <v>0</v>
      </c>
      <c r="AL780" t="str">
        <f t="shared" si="91"/>
        <v/>
      </c>
      <c r="AM780" t="str">
        <f>VLOOKUP(A780,'Table corresp.'!$M$4:$U$63,8,FALSE)</f>
        <v>Production intermédiaire</v>
      </c>
      <c r="AN780" t="str">
        <f>VLOOKUP(D780,'Table corresp.'!$M$4:$U$63,9,FALSE)</f>
        <v>Production intermédiaire</v>
      </c>
    </row>
    <row r="781" spans="1:40" x14ac:dyDescent="0.25">
      <c r="A781" t="s">
        <v>81</v>
      </c>
      <c r="B781" t="str">
        <f>VLOOKUP(LEFT(A781,3),'Table corresp.'!$A$4:$D$63,3,FALSE)</f>
        <v>Transformation</v>
      </c>
      <c r="C781" t="str">
        <f>VLOOKUP(A781,'Table corresp.'!$M$4:$P$63,4,FALSE)</f>
        <v>Production et transformation de produits bois</v>
      </c>
      <c r="D781" t="s">
        <v>83</v>
      </c>
      <c r="E781" t="str">
        <f>VLOOKUP(LEFT(D781,3),'Table corresp.'!$A$4:$D$63,4,FALSE)</f>
        <v>Transformation</v>
      </c>
      <c r="F781" t="str">
        <f t="shared" si="85"/>
        <v xml:space="preserve">05  - 14 </v>
      </c>
      <c r="G781" s="164">
        <v>14759.312504298252</v>
      </c>
      <c r="H781" s="164">
        <v>0</v>
      </c>
      <c r="I781" s="164">
        <v>14759.312504298252</v>
      </c>
      <c r="J781" s="164">
        <v>0</v>
      </c>
      <c r="K781" s="164">
        <v>0</v>
      </c>
      <c r="L781" s="164">
        <v>0</v>
      </c>
      <c r="M781" s="164">
        <v>0</v>
      </c>
      <c r="N781" s="164">
        <v>0</v>
      </c>
      <c r="O781" s="164">
        <v>0</v>
      </c>
      <c r="P781" s="164">
        <v>0</v>
      </c>
      <c r="Q781" s="164">
        <v>0</v>
      </c>
      <c r="R781" s="164">
        <v>0</v>
      </c>
      <c r="S781" s="163" t="str">
        <f t="shared" si="87"/>
        <v/>
      </c>
      <c r="T781" s="163">
        <f>VLOOKUP(A781,'Groupe de branches'!$Z$27:$AM$86,14,FALSE)</f>
        <v>0</v>
      </c>
      <c r="U781" s="163">
        <f>VLOOKUP(D781,'Groupe de branches'!$Z$27:$AM$86,14,FALSE)</f>
        <v>0</v>
      </c>
      <c r="V781" s="163">
        <v>2018</v>
      </c>
      <c r="W781">
        <f>VLOOKUP(D781,'Table corresp.'!$M$4:$S$63,7,FALSE)</f>
        <v>0</v>
      </c>
      <c r="X781" s="167">
        <f>IFERROR(G781/SUMIFS('Comp2016-2017 (3)'!$I$5:$I$289,'Comp2016-2017 (3)'!$A$5:$A$289,A781,'Comp2016-2017 (3)'!$R$5:$R$289,V781),0)</f>
        <v>1.3218181181162999E-2</v>
      </c>
      <c r="Y781" s="178">
        <f>IFERROR(IF(RIGHT(F781,3)="Exp",VLOOKUP(F781,#REF!,2,FALSE),VLOOKUP(F781,#REF!,9,FALSE)),1)</f>
        <v>1</v>
      </c>
      <c r="Z781" s="167">
        <f t="shared" si="89"/>
        <v>5.2631578947368418E-2</v>
      </c>
      <c r="AA781" s="189">
        <f t="shared" si="92"/>
        <v>6.9569374637699986E-4</v>
      </c>
      <c r="AB781" s="2">
        <f>IFERROR(SUMIFS('Comp2016-2017 (3)'!$G$5:$G$289,'Comp2016-2017 (3)'!$A$5:$A$289,A781,'Comp2016-2017 (3)'!$R$5:$R$289,V781)*AA781/SUMIFS($AA$4:$AA$1116,$A$4:$A$1116,A781,$V$4:$V$1116,V781),0)</f>
        <v>10703.761393873732</v>
      </c>
      <c r="AC781" s="2">
        <f>IF($W781=AC$3,$AB781,IF(NOT($W781=0),"",SUMIFS('Val-Vol (2)'!AC$4:AC$1116,'Val-Vol (2)'!$A$4:$A$1116,$D781,'Val-Vol (2)'!$V$4:$V$1116,$V781)/SUMIFS('Comp2016-2017 (3)'!$G$5:$G$289,'Comp2016-2017 (3)'!$A$5:$A$289,$D781,'Comp2016-2017 (3)'!$R$5:$R$289,$V781)*$AB781))</f>
        <v>6252.9404573566671</v>
      </c>
      <c r="AD781" s="2">
        <f>IF($W781=AD$3,$AB781,IF(NOT($W781=0),"",SUMIFS('Val-Vol (2)'!AD$4:AD$1116,'Val-Vol (2)'!$A$4:$A$1116,$D781,'Val-Vol (2)'!$V$4:$V$1116,$V781)/SUMIFS('Comp2016-2017 (3)'!$G$5:$G$289,'Comp2016-2017 (3)'!$A$5:$A$289,$D781,'Comp2016-2017 (3)'!$R$5:$R$289,$V781)*$AB781))</f>
        <v>2553.0906693538559</v>
      </c>
      <c r="AE781" s="2">
        <f>IF($W781=AE$3,$AB781,IF(NOT($W781=0),"",SUMIFS('Val-Vol (2)'!AE$4:AE$1116,'Val-Vol (2)'!$A$4:$A$1116,$D781,'Val-Vol (2)'!$V$4:$V$1116,$V781)/SUMIFS('Comp2016-2017 (3)'!$G$5:$G$289,'Comp2016-2017 (3)'!$A$5:$A$289,$D781,'Comp2016-2017 (3)'!$R$5:$R$289,$V781)*$AB781))</f>
        <v>39.380250305105193</v>
      </c>
      <c r="AF781" s="2">
        <f>IF($W781=AF$3,$AB781,IF(NOT($W781=0),"",SUMIFS('Val-Vol (2)'!AF$4:AF$1116,'Val-Vol (2)'!$A$4:$A$1116,$D781,'Val-Vol (2)'!$V$4:$V$1116,$V781)/SUMIFS('Comp2016-2017 (3)'!$G$5:$G$289,'Comp2016-2017 (3)'!$A$5:$A$289,$D781,'Comp2016-2017 (3)'!$R$5:$R$289,$V781)*$AB781))</f>
        <v>0</v>
      </c>
      <c r="AG781" s="2">
        <f>IF($W781=AG$3,$AB781,IF(NOT($W781=0),"",SUMIFS('Val-Vol (2)'!AG$4:AG$1116,'Val-Vol (2)'!$A$4:$A$1116,$D781,'Val-Vol (2)'!$V$4:$V$1116,$V781)/SUMIFS('Comp2016-2017 (3)'!$G$5:$G$289,'Comp2016-2017 (3)'!$A$5:$A$289,$D781,'Comp2016-2017 (3)'!$R$5:$R$289,$V781)*$AB781))</f>
        <v>1474.88389316347</v>
      </c>
      <c r="AH781" s="2">
        <f>IF($W781=AH$3,$AB781,IF(NOT($W781=0),"",SUMIFS('Val-Vol (2)'!AH$4:AH$1116,'Val-Vol (2)'!$A$4:$A$1116,$D781,'Val-Vol (2)'!$V$4:$V$1116,$V781)/SUMIFS('Comp2016-2017 (3)'!$G$5:$G$289,'Comp2016-2017 (3)'!$A$5:$A$289,$D781,'Comp2016-2017 (3)'!$R$5:$R$289,$V781)*$AB781))</f>
        <v>0</v>
      </c>
      <c r="AI781" s="2">
        <f>IF($W781=AI$3,$AB781,IF(NOT($W781=0),"",SUMIFS('Val-Vol (2)'!AI$4:AI$1116,'Val-Vol (2)'!$A$4:$A$1116,$D781,'Val-Vol (2)'!$V$4:$V$1116,$V781)/SUMIFS('Comp2016-2017 (3)'!$G$5:$G$289,'Comp2016-2017 (3)'!$A$5:$A$289,$D781,'Comp2016-2017 (3)'!$R$5:$R$289,$V781)*$AB781))</f>
        <v>0</v>
      </c>
      <c r="AJ781" s="2">
        <f>IF($W781=AJ$3,$AB781,IF(NOT($W781=0),"",SUMIFS('Val-Vol (2)'!AJ$4:AJ$1116,'Val-Vol (2)'!$A$4:$A$1116,$D781,'Val-Vol (2)'!$V$4:$V$1116,$V781)/SUMIFS('Comp2016-2017 (3)'!$G$5:$G$289,'Comp2016-2017 (3)'!$A$5:$A$289,$D781,'Comp2016-2017 (3)'!$R$5:$R$289,$V781)*$AB781))</f>
        <v>383.46612369463378</v>
      </c>
      <c r="AK781" s="2">
        <f t="shared" si="90"/>
        <v>0</v>
      </c>
      <c r="AL781" t="str">
        <f t="shared" si="91"/>
        <v/>
      </c>
      <c r="AM781" t="str">
        <f>VLOOKUP(A781,'Table corresp.'!$M$4:$U$63,8,FALSE)</f>
        <v>Production intermédiaire</v>
      </c>
      <c r="AN781" t="str">
        <f>VLOOKUP(D781,'Table corresp.'!$M$4:$U$63,9,FALSE)</f>
        <v>Production intermédiaire</v>
      </c>
    </row>
    <row r="782" spans="1:40" x14ac:dyDescent="0.25">
      <c r="A782" t="s">
        <v>81</v>
      </c>
      <c r="B782" t="str">
        <f>VLOOKUP(LEFT(A782,3),'Table corresp.'!$A$4:$D$63,3,FALSE)</f>
        <v>Transformation</v>
      </c>
      <c r="C782" t="str">
        <f>VLOOKUP(A782,'Table corresp.'!$M$4:$P$63,4,FALSE)</f>
        <v>Production et transformation de produits bois</v>
      </c>
      <c r="D782" t="s">
        <v>9</v>
      </c>
      <c r="E782" t="str">
        <f>VLOOKUP(LEFT(D782,3),'Table corresp.'!$A$4:$D$63,4,FALSE)</f>
        <v>Transformation</v>
      </c>
      <c r="F782" t="str">
        <f t="shared" si="85"/>
        <v xml:space="preserve">05  - 15 </v>
      </c>
      <c r="G782" s="164">
        <v>33526.609017801798</v>
      </c>
      <c r="H782" s="164">
        <v>0</v>
      </c>
      <c r="I782" s="164">
        <v>33526.609017801798</v>
      </c>
      <c r="J782" s="164">
        <v>0</v>
      </c>
      <c r="K782" s="164">
        <v>0</v>
      </c>
      <c r="L782" s="164">
        <v>0</v>
      </c>
      <c r="M782" s="164">
        <v>0</v>
      </c>
      <c r="N782" s="164">
        <v>0</v>
      </c>
      <c r="O782" s="164">
        <v>0</v>
      </c>
      <c r="P782" s="164">
        <v>0</v>
      </c>
      <c r="Q782" s="164">
        <v>0</v>
      </c>
      <c r="R782" s="164">
        <v>0</v>
      </c>
      <c r="S782" s="163" t="str">
        <f t="shared" si="87"/>
        <v/>
      </c>
      <c r="T782" s="163">
        <f>VLOOKUP(A782,'Groupe de branches'!$Z$27:$AM$86,14,FALSE)</f>
        <v>0</v>
      </c>
      <c r="U782" s="163">
        <f>VLOOKUP(D782,'Groupe de branches'!$Z$27:$AM$86,14,FALSE)</f>
        <v>0</v>
      </c>
      <c r="V782" s="163">
        <v>2018</v>
      </c>
      <c r="W782">
        <f>VLOOKUP(D782,'Table corresp.'!$M$4:$S$63,7,FALSE)</f>
        <v>0</v>
      </c>
      <c r="X782" s="167">
        <f>IFERROR(G782/SUMIFS('Comp2016-2017 (3)'!$I$5:$I$289,'Comp2016-2017 (3)'!$A$5:$A$289,A782,'Comp2016-2017 (3)'!$R$5:$R$289,V782),0)</f>
        <v>3.0025842481366173E-2</v>
      </c>
      <c r="Y782" s="178">
        <f>IFERROR(IF(RIGHT(F782,3)="Exp",VLOOKUP(F782,#REF!,2,FALSE),VLOOKUP(F782,#REF!,9,FALSE)),1)</f>
        <v>1</v>
      </c>
      <c r="Z782" s="167">
        <f t="shared" si="89"/>
        <v>5.2631578947368418E-2</v>
      </c>
      <c r="AA782" s="189">
        <f t="shared" si="92"/>
        <v>1.5803074990192723E-3</v>
      </c>
      <c r="AB782" s="2">
        <f>IFERROR(SUMIFS('Comp2016-2017 (3)'!$G$5:$G$289,'Comp2016-2017 (3)'!$A$5:$A$289,A782,'Comp2016-2017 (3)'!$R$5:$R$289,V782)*AA782/SUMIFS($AA$4:$AA$1116,$A$4:$A$1116,A782,$V$4:$V$1116,V782),0)</f>
        <v>24314.196421258603</v>
      </c>
      <c r="AC782" s="2">
        <f>IF($W782=AC$3,$AB782,IF(NOT($W782=0),"",SUMIFS('Val-Vol (2)'!AC$4:AC$1116,'Val-Vol (2)'!$A$4:$A$1116,$D782,'Val-Vol (2)'!$V$4:$V$1116,$V782)/SUMIFS('Comp2016-2017 (3)'!$G$5:$G$289,'Comp2016-2017 (3)'!$A$5:$A$289,$D782,'Comp2016-2017 (3)'!$R$5:$R$289,$V782)*$AB782))</f>
        <v>725.09120293196747</v>
      </c>
      <c r="AD782" s="2">
        <f>IF($W782=AD$3,$AB782,IF(NOT($W782=0),"",SUMIFS('Val-Vol (2)'!AD$4:AD$1116,'Val-Vol (2)'!$A$4:$A$1116,$D782,'Val-Vol (2)'!$V$4:$V$1116,$V782)/SUMIFS('Comp2016-2017 (3)'!$G$5:$G$289,'Comp2016-2017 (3)'!$A$5:$A$289,$D782,'Comp2016-2017 (3)'!$R$5:$R$289,$V782)*$AB782))</f>
        <v>4551.0191845002882</v>
      </c>
      <c r="AE782" s="2">
        <f>IF($W782=AE$3,$AB782,IF(NOT($W782=0),"",SUMIFS('Val-Vol (2)'!AE$4:AE$1116,'Val-Vol (2)'!$A$4:$A$1116,$D782,'Val-Vol (2)'!$V$4:$V$1116,$V782)/SUMIFS('Comp2016-2017 (3)'!$G$5:$G$289,'Comp2016-2017 (3)'!$A$5:$A$289,$D782,'Comp2016-2017 (3)'!$R$5:$R$289,$V782)*$AB782))</f>
        <v>1.5387621692674656</v>
      </c>
      <c r="AF782" s="2">
        <f>IF($W782=AF$3,$AB782,IF(NOT($W782=0),"",SUMIFS('Val-Vol (2)'!AF$4:AF$1116,'Val-Vol (2)'!$A$4:$A$1116,$D782,'Val-Vol (2)'!$V$4:$V$1116,$V782)/SUMIFS('Comp2016-2017 (3)'!$G$5:$G$289,'Comp2016-2017 (3)'!$A$5:$A$289,$D782,'Comp2016-2017 (3)'!$R$5:$R$289,$V782)*$AB782))</f>
        <v>0</v>
      </c>
      <c r="AG782" s="2">
        <f>IF($W782=AG$3,$AB782,IF(NOT($W782=0),"",SUMIFS('Val-Vol (2)'!AG$4:AG$1116,'Val-Vol (2)'!$A$4:$A$1116,$D782,'Val-Vol (2)'!$V$4:$V$1116,$V782)/SUMIFS('Comp2016-2017 (3)'!$G$5:$G$289,'Comp2016-2017 (3)'!$A$5:$A$289,$D782,'Comp2016-2017 (3)'!$R$5:$R$289,$V782)*$AB782))</f>
        <v>11627.659194280193</v>
      </c>
      <c r="AH782" s="2">
        <f>IF($W782=AH$3,$AB782,IF(NOT($W782=0),"",SUMIFS('Val-Vol (2)'!AH$4:AH$1116,'Val-Vol (2)'!$A$4:$A$1116,$D782,'Val-Vol (2)'!$V$4:$V$1116,$V782)/SUMIFS('Comp2016-2017 (3)'!$G$5:$G$289,'Comp2016-2017 (3)'!$A$5:$A$289,$D782,'Comp2016-2017 (3)'!$R$5:$R$289,$V782)*$AB782))</f>
        <v>0</v>
      </c>
      <c r="AI782" s="2">
        <f>IF($W782=AI$3,$AB782,IF(NOT($W782=0),"",SUMIFS('Val-Vol (2)'!AI$4:AI$1116,'Val-Vol (2)'!$A$4:$A$1116,$D782,'Val-Vol (2)'!$V$4:$V$1116,$V782)/SUMIFS('Comp2016-2017 (3)'!$G$5:$G$289,'Comp2016-2017 (3)'!$A$5:$A$289,$D782,'Comp2016-2017 (3)'!$R$5:$R$289,$V782)*$AB782))</f>
        <v>0</v>
      </c>
      <c r="AJ782" s="2">
        <f>IF($W782=AJ$3,$AB782,IF(NOT($W782=0),"",SUMIFS('Val-Vol (2)'!AJ$4:AJ$1116,'Val-Vol (2)'!$A$4:$A$1116,$D782,'Val-Vol (2)'!$V$4:$V$1116,$V782)/SUMIFS('Comp2016-2017 (3)'!$G$5:$G$289,'Comp2016-2017 (3)'!$A$5:$A$289,$D782,'Comp2016-2017 (3)'!$R$5:$R$289,$V782)*$AB782))</f>
        <v>7408.8880773768851</v>
      </c>
      <c r="AK782" s="2">
        <f t="shared" si="90"/>
        <v>0</v>
      </c>
      <c r="AL782" t="str">
        <f t="shared" si="91"/>
        <v/>
      </c>
      <c r="AM782" t="str">
        <f>VLOOKUP(A782,'Table corresp.'!$M$4:$U$63,8,FALSE)</f>
        <v>Production intermédiaire</v>
      </c>
      <c r="AN782" t="str">
        <f>VLOOKUP(D782,'Table corresp.'!$M$4:$U$63,9,FALSE)</f>
        <v>Production intermédiaire</v>
      </c>
    </row>
    <row r="783" spans="1:40" x14ac:dyDescent="0.25">
      <c r="A783" t="s">
        <v>81</v>
      </c>
      <c r="B783" t="str">
        <f>VLOOKUP(LEFT(A783,3),'Table corresp.'!$A$4:$D$63,3,FALSE)</f>
        <v>Transformation</v>
      </c>
      <c r="C783" t="str">
        <f>VLOOKUP(A783,'Table corresp.'!$M$4:$P$63,4,FALSE)</f>
        <v>Production et transformation de produits bois</v>
      </c>
      <c r="D783" t="s">
        <v>10</v>
      </c>
      <c r="E783" t="str">
        <f>VLOOKUP(LEFT(D783,3),'Table corresp.'!$A$4:$D$63,4,FALSE)</f>
        <v>Transformation</v>
      </c>
      <c r="F783" t="str">
        <f t="shared" si="85"/>
        <v xml:space="preserve">05  - 16 </v>
      </c>
      <c r="G783" s="164">
        <v>3926.3161848914251</v>
      </c>
      <c r="H783" s="164">
        <v>0</v>
      </c>
      <c r="I783" s="164">
        <v>3926.3161848914256</v>
      </c>
      <c r="J783" s="164">
        <v>0</v>
      </c>
      <c r="K783" s="164">
        <v>0</v>
      </c>
      <c r="L783" s="164">
        <v>0</v>
      </c>
      <c r="M783" s="164">
        <v>0</v>
      </c>
      <c r="N783" s="164">
        <v>0</v>
      </c>
      <c r="O783" s="164">
        <v>0</v>
      </c>
      <c r="P783" s="164">
        <v>0</v>
      </c>
      <c r="Q783" s="164">
        <v>0</v>
      </c>
      <c r="R783" s="164">
        <v>0</v>
      </c>
      <c r="S783" s="163" t="str">
        <f t="shared" si="87"/>
        <v/>
      </c>
      <c r="T783" s="163">
        <f>VLOOKUP(A783,'Groupe de branches'!$Z$27:$AM$86,14,FALSE)</f>
        <v>0</v>
      </c>
      <c r="U783" s="163">
        <f>VLOOKUP(D783,'Groupe de branches'!$Z$27:$AM$86,14,FALSE)</f>
        <v>0</v>
      </c>
      <c r="V783" s="163">
        <v>2018</v>
      </c>
      <c r="W783" t="str">
        <f>VLOOKUP(D783,'Table corresp.'!$M$4:$S$63,7,FALSE)</f>
        <v>Emballage bois et carton</v>
      </c>
      <c r="X783" s="167">
        <f>IFERROR(G783/SUMIFS('Comp2016-2017 (3)'!$I$5:$I$289,'Comp2016-2017 (3)'!$A$5:$A$289,A783,'Comp2016-2017 (3)'!$R$5:$R$289,V783),0)</f>
        <v>3.5163398492520175E-3</v>
      </c>
      <c r="Y783" s="178">
        <f>IFERROR(IF(RIGHT(F783,3)="Exp",VLOOKUP(F783,#REF!,2,FALSE),VLOOKUP(F783,#REF!,9,FALSE)),1)</f>
        <v>1</v>
      </c>
      <c r="Z783" s="167">
        <f t="shared" si="89"/>
        <v>5.2631578947368418E-2</v>
      </c>
      <c r="AA783" s="189">
        <f t="shared" si="92"/>
        <v>1.8507051838168511E-4</v>
      </c>
      <c r="AB783" s="2">
        <f>IFERROR(SUMIFS('Comp2016-2017 (3)'!$G$5:$G$289,'Comp2016-2017 (3)'!$A$5:$A$289,A783,'Comp2016-2017 (3)'!$R$5:$R$289,V783)*AA783/SUMIFS($AA$4:$AA$1116,$A$4:$A$1116,A783,$V$4:$V$1116,V783),0)</f>
        <v>2847.4464232492801</v>
      </c>
      <c r="AC783" s="2" t="str">
        <f>IF($W783=AC$3,$AB783,IF(NOT($W783=0),"",SUMIFS('Val-Vol (2)'!AC$4:AC$1116,'Val-Vol (2)'!$A$4:$A$1116,$D783,'Val-Vol (2)'!$V$4:$V$1116,$V783)/SUMIFS('Comp2016-2017 (3)'!$G$5:$G$289,'Comp2016-2017 (3)'!$A$5:$A$289,$D783,'Comp2016-2017 (3)'!$R$5:$R$289,$V783)*$AB783))</f>
        <v/>
      </c>
      <c r="AD783" s="2" t="str">
        <f>IF($W783=AD$3,$AB783,IF(NOT($W783=0),"",SUMIFS('Val-Vol (2)'!AD$4:AD$1116,'Val-Vol (2)'!$A$4:$A$1116,$D783,'Val-Vol (2)'!$V$4:$V$1116,$V783)/SUMIFS('Comp2016-2017 (3)'!$G$5:$G$289,'Comp2016-2017 (3)'!$A$5:$A$289,$D783,'Comp2016-2017 (3)'!$R$5:$R$289,$V783)*$AB783))</f>
        <v/>
      </c>
      <c r="AE783" s="2" t="str">
        <f>IF($W783=AE$3,$AB783,IF(NOT($W783=0),"",SUMIFS('Val-Vol (2)'!AE$4:AE$1116,'Val-Vol (2)'!$A$4:$A$1116,$D783,'Val-Vol (2)'!$V$4:$V$1116,$V783)/SUMIFS('Comp2016-2017 (3)'!$G$5:$G$289,'Comp2016-2017 (3)'!$A$5:$A$289,$D783,'Comp2016-2017 (3)'!$R$5:$R$289,$V783)*$AB783))</f>
        <v/>
      </c>
      <c r="AF783" s="2" t="str">
        <f>IF($W783=AF$3,$AB783,IF(NOT($W783=0),"",SUMIFS('Val-Vol (2)'!AF$4:AF$1116,'Val-Vol (2)'!$A$4:$A$1116,$D783,'Val-Vol (2)'!$V$4:$V$1116,$V783)/SUMIFS('Comp2016-2017 (3)'!$G$5:$G$289,'Comp2016-2017 (3)'!$A$5:$A$289,$D783,'Comp2016-2017 (3)'!$R$5:$R$289,$V783)*$AB783))</f>
        <v/>
      </c>
      <c r="AG783" s="2">
        <f>IF($W783=AG$3,$AB783,IF(NOT($W783=0),"",SUMIFS('Val-Vol (2)'!AG$4:AG$1116,'Val-Vol (2)'!$A$4:$A$1116,$D783,'Val-Vol (2)'!$V$4:$V$1116,$V783)/SUMIFS('Comp2016-2017 (3)'!$G$5:$G$289,'Comp2016-2017 (3)'!$A$5:$A$289,$D783,'Comp2016-2017 (3)'!$R$5:$R$289,$V783)*$AB783))</f>
        <v>2847.4464232492801</v>
      </c>
      <c r="AH783" s="2" t="str">
        <f>IF($W783=AH$3,$AB783,IF(NOT($W783=0),"",SUMIFS('Val-Vol (2)'!AH$4:AH$1116,'Val-Vol (2)'!$A$4:$A$1116,$D783,'Val-Vol (2)'!$V$4:$V$1116,$V783)/SUMIFS('Comp2016-2017 (3)'!$G$5:$G$289,'Comp2016-2017 (3)'!$A$5:$A$289,$D783,'Comp2016-2017 (3)'!$R$5:$R$289,$V783)*$AB783))</f>
        <v/>
      </c>
      <c r="AI783" s="2" t="str">
        <f>IF($W783=AI$3,$AB783,IF(NOT($W783=0),"",SUMIFS('Val-Vol (2)'!AI$4:AI$1116,'Val-Vol (2)'!$A$4:$A$1116,$D783,'Val-Vol (2)'!$V$4:$V$1116,$V783)/SUMIFS('Comp2016-2017 (3)'!$G$5:$G$289,'Comp2016-2017 (3)'!$A$5:$A$289,$D783,'Comp2016-2017 (3)'!$R$5:$R$289,$V783)*$AB783))</f>
        <v/>
      </c>
      <c r="AJ783" s="2" t="str">
        <f>IF($W783=AJ$3,$AB783,IF(NOT($W783=0),"",SUMIFS('Val-Vol (2)'!AJ$4:AJ$1116,'Val-Vol (2)'!$A$4:$A$1116,$D783,'Val-Vol (2)'!$V$4:$V$1116,$V783)/SUMIFS('Comp2016-2017 (3)'!$G$5:$G$289,'Comp2016-2017 (3)'!$A$5:$A$289,$D783,'Comp2016-2017 (3)'!$R$5:$R$289,$V783)*$AB783))</f>
        <v/>
      </c>
      <c r="AK783" s="2">
        <f t="shared" si="90"/>
        <v>0</v>
      </c>
      <c r="AL783" t="str">
        <f t="shared" si="91"/>
        <v/>
      </c>
      <c r="AM783" t="str">
        <f>VLOOKUP(A783,'Table corresp.'!$M$4:$U$63,8,FALSE)</f>
        <v>Production intermédiaire</v>
      </c>
      <c r="AN783" t="str">
        <f>VLOOKUP(D783,'Table corresp.'!$M$4:$U$63,9,FALSE)</f>
        <v>Production intermédiaire</v>
      </c>
    </row>
    <row r="784" spans="1:40" x14ac:dyDescent="0.25">
      <c r="A784" t="s">
        <v>81</v>
      </c>
      <c r="B784" t="str">
        <f>VLOOKUP(LEFT(A784,3),'Table corresp.'!$A$4:$D$63,3,FALSE)</f>
        <v>Transformation</v>
      </c>
      <c r="C784" t="str">
        <f>VLOOKUP(A784,'Table corresp.'!$M$4:$P$63,4,FALSE)</f>
        <v>Production et transformation de produits bois</v>
      </c>
      <c r="D784" t="s">
        <v>84</v>
      </c>
      <c r="E784" t="str">
        <f>VLOOKUP(LEFT(D784,3),'Table corresp.'!$A$4:$D$63,4,FALSE)</f>
        <v>Transformation</v>
      </c>
      <c r="F784" t="str">
        <f t="shared" si="85"/>
        <v xml:space="preserve">05  - 17 </v>
      </c>
      <c r="G784" s="164">
        <v>3901.0361560216288</v>
      </c>
      <c r="H784" s="164">
        <v>0</v>
      </c>
      <c r="I784" s="164">
        <v>3901.0361560216293</v>
      </c>
      <c r="J784" s="164">
        <v>0</v>
      </c>
      <c r="K784" s="164">
        <v>0</v>
      </c>
      <c r="L784" s="164">
        <v>0</v>
      </c>
      <c r="M784" s="164">
        <v>0</v>
      </c>
      <c r="N784" s="164">
        <v>0</v>
      </c>
      <c r="O784" s="164">
        <v>0</v>
      </c>
      <c r="P784" s="164">
        <v>0</v>
      </c>
      <c r="Q784" s="164">
        <v>0</v>
      </c>
      <c r="R784" s="164">
        <v>0</v>
      </c>
      <c r="S784" s="163" t="str">
        <f t="shared" si="87"/>
        <v/>
      </c>
      <c r="T784" s="163">
        <f>VLOOKUP(A784,'Groupe de branches'!$Z$27:$AM$86,14,FALSE)</f>
        <v>0</v>
      </c>
      <c r="U784" s="163">
        <f>VLOOKUP(D784,'Groupe de branches'!$Z$27:$AM$86,14,FALSE)</f>
        <v>0</v>
      </c>
      <c r="V784" s="163">
        <v>2018</v>
      </c>
      <c r="W784" t="str">
        <f>VLOOKUP(D784,'Table corresp.'!$M$4:$S$63,7,FALSE)</f>
        <v>Construction</v>
      </c>
      <c r="X784" s="167">
        <f>IFERROR(G784/SUMIFS('Comp2016-2017 (3)'!$I$5:$I$289,'Comp2016-2017 (3)'!$A$5:$A$289,A784,'Comp2016-2017 (3)'!$R$5:$R$289,V784),0)</f>
        <v>3.4936994991836331E-3</v>
      </c>
      <c r="Y784" s="178">
        <f>IFERROR(IF(RIGHT(F784,3)="Exp",VLOOKUP(F784,#REF!,2,FALSE),VLOOKUP(F784,#REF!,9,FALSE)),1)</f>
        <v>1</v>
      </c>
      <c r="Z784" s="167">
        <f t="shared" si="89"/>
        <v>5.2631578947368418E-2</v>
      </c>
      <c r="AA784" s="189">
        <f t="shared" si="92"/>
        <v>1.8387892100966489E-4</v>
      </c>
      <c r="AB784" s="2">
        <f>IFERROR(SUMIFS('Comp2016-2017 (3)'!$G$5:$G$289,'Comp2016-2017 (3)'!$A$5:$A$289,A784,'Comp2016-2017 (3)'!$R$5:$R$289,V784)*AA784/SUMIFS($AA$4:$AA$1116,$A$4:$A$1116,A784,$V$4:$V$1116,V784),0)</f>
        <v>2829.1128188233465</v>
      </c>
      <c r="AC784" s="2" t="str">
        <f>IF($W784=AC$3,$AB784,IF(NOT($W784=0),"",SUMIFS('Val-Vol (2)'!AC$4:AC$1116,'Val-Vol (2)'!$A$4:$A$1116,$D784,'Val-Vol (2)'!$V$4:$V$1116,$V784)/SUMIFS('Comp2016-2017 (3)'!$G$5:$G$289,'Comp2016-2017 (3)'!$A$5:$A$289,$D784,'Comp2016-2017 (3)'!$R$5:$R$289,$V784)*$AB784))</f>
        <v/>
      </c>
      <c r="AD784" s="2">
        <f>IF($W784=AD$3,$AB784,IF(NOT($W784=0),"",SUMIFS('Val-Vol (2)'!AD$4:AD$1116,'Val-Vol (2)'!$A$4:$A$1116,$D784,'Val-Vol (2)'!$V$4:$V$1116,$V784)/SUMIFS('Comp2016-2017 (3)'!$G$5:$G$289,'Comp2016-2017 (3)'!$A$5:$A$289,$D784,'Comp2016-2017 (3)'!$R$5:$R$289,$V784)*$AB784))</f>
        <v>2829.1128188233465</v>
      </c>
      <c r="AE784" s="2" t="str">
        <f>IF($W784=AE$3,$AB784,IF(NOT($W784=0),"",SUMIFS('Val-Vol (2)'!AE$4:AE$1116,'Val-Vol (2)'!$A$4:$A$1116,$D784,'Val-Vol (2)'!$V$4:$V$1116,$V784)/SUMIFS('Comp2016-2017 (3)'!$G$5:$G$289,'Comp2016-2017 (3)'!$A$5:$A$289,$D784,'Comp2016-2017 (3)'!$R$5:$R$289,$V784)*$AB784))</f>
        <v/>
      </c>
      <c r="AF784" s="2" t="str">
        <f>IF($W784=AF$3,$AB784,IF(NOT($W784=0),"",SUMIFS('Val-Vol (2)'!AF$4:AF$1116,'Val-Vol (2)'!$A$4:$A$1116,$D784,'Val-Vol (2)'!$V$4:$V$1116,$V784)/SUMIFS('Comp2016-2017 (3)'!$G$5:$G$289,'Comp2016-2017 (3)'!$A$5:$A$289,$D784,'Comp2016-2017 (3)'!$R$5:$R$289,$V784)*$AB784))</f>
        <v/>
      </c>
      <c r="AG784" s="2" t="str">
        <f>IF($W784=AG$3,$AB784,IF(NOT($W784=0),"",SUMIFS('Val-Vol (2)'!AG$4:AG$1116,'Val-Vol (2)'!$A$4:$A$1116,$D784,'Val-Vol (2)'!$V$4:$V$1116,$V784)/SUMIFS('Comp2016-2017 (3)'!$G$5:$G$289,'Comp2016-2017 (3)'!$A$5:$A$289,$D784,'Comp2016-2017 (3)'!$R$5:$R$289,$V784)*$AB784))</f>
        <v/>
      </c>
      <c r="AH784" s="2" t="str">
        <f>IF($W784=AH$3,$AB784,IF(NOT($W784=0),"",SUMIFS('Val-Vol (2)'!AH$4:AH$1116,'Val-Vol (2)'!$A$4:$A$1116,$D784,'Val-Vol (2)'!$V$4:$V$1116,$V784)/SUMIFS('Comp2016-2017 (3)'!$G$5:$G$289,'Comp2016-2017 (3)'!$A$5:$A$289,$D784,'Comp2016-2017 (3)'!$R$5:$R$289,$V784)*$AB784))</f>
        <v/>
      </c>
      <c r="AI784" s="2" t="str">
        <f>IF($W784=AI$3,$AB784,IF(NOT($W784=0),"",SUMIFS('Val-Vol (2)'!AI$4:AI$1116,'Val-Vol (2)'!$A$4:$A$1116,$D784,'Val-Vol (2)'!$V$4:$V$1116,$V784)/SUMIFS('Comp2016-2017 (3)'!$G$5:$G$289,'Comp2016-2017 (3)'!$A$5:$A$289,$D784,'Comp2016-2017 (3)'!$R$5:$R$289,$V784)*$AB784))</f>
        <v/>
      </c>
      <c r="AJ784" s="2" t="str">
        <f>IF($W784=AJ$3,$AB784,IF(NOT($W784=0),"",SUMIFS('Val-Vol (2)'!AJ$4:AJ$1116,'Val-Vol (2)'!$A$4:$A$1116,$D784,'Val-Vol (2)'!$V$4:$V$1116,$V784)/SUMIFS('Comp2016-2017 (3)'!$G$5:$G$289,'Comp2016-2017 (3)'!$A$5:$A$289,$D784,'Comp2016-2017 (3)'!$R$5:$R$289,$V784)*$AB784))</f>
        <v/>
      </c>
      <c r="AK784" s="2">
        <f t="shared" si="90"/>
        <v>0</v>
      </c>
      <c r="AL784" t="str">
        <f t="shared" si="91"/>
        <v/>
      </c>
      <c r="AM784" t="str">
        <f>VLOOKUP(A784,'Table corresp.'!$M$4:$U$63,8,FALSE)</f>
        <v>Production intermédiaire</v>
      </c>
      <c r="AN784" t="str">
        <f>VLOOKUP(D784,'Table corresp.'!$M$4:$U$63,9,FALSE)</f>
        <v>Production intermédiaire</v>
      </c>
    </row>
    <row r="785" spans="1:40" x14ac:dyDescent="0.25">
      <c r="A785" t="s">
        <v>81</v>
      </c>
      <c r="B785" t="str">
        <f>VLOOKUP(LEFT(A785,3),'Table corresp.'!$A$4:$D$63,3,FALSE)</f>
        <v>Transformation</v>
      </c>
      <c r="C785" t="str">
        <f>VLOOKUP(A785,'Table corresp.'!$M$4:$P$63,4,FALSE)</f>
        <v>Production et transformation de produits bois</v>
      </c>
      <c r="D785" t="s">
        <v>86</v>
      </c>
      <c r="E785" t="str">
        <f>VLOOKUP(LEFT(D785,3),'Table corresp.'!$A$4:$D$63,4,FALSE)</f>
        <v>Transformation</v>
      </c>
      <c r="F785" t="str">
        <f t="shared" si="85"/>
        <v xml:space="preserve">05  - 30 </v>
      </c>
      <c r="G785" s="164">
        <v>73600.658333720101</v>
      </c>
      <c r="H785" s="164">
        <v>0</v>
      </c>
      <c r="I785" s="164">
        <v>73600.658333720101</v>
      </c>
      <c r="J785" s="164">
        <v>0</v>
      </c>
      <c r="K785" s="164">
        <v>0</v>
      </c>
      <c r="L785" s="164">
        <v>0</v>
      </c>
      <c r="M785" s="164">
        <v>0</v>
      </c>
      <c r="N785" s="164">
        <v>0</v>
      </c>
      <c r="O785" s="164">
        <v>0</v>
      </c>
      <c r="P785" s="164">
        <v>0</v>
      </c>
      <c r="Q785" s="164">
        <v>0</v>
      </c>
      <c r="R785" s="164">
        <v>0</v>
      </c>
      <c r="S785" s="163" t="str">
        <f t="shared" si="87"/>
        <v/>
      </c>
      <c r="T785" s="163">
        <f>VLOOKUP(A785,'Groupe de branches'!$Z$27:$AM$86,14,FALSE)</f>
        <v>0</v>
      </c>
      <c r="U785" s="163">
        <f>VLOOKUP(D785,'Groupe de branches'!$Z$27:$AM$86,14,FALSE)</f>
        <v>1</v>
      </c>
      <c r="V785" s="163">
        <v>2018</v>
      </c>
      <c r="W785" t="str">
        <f>VLOOKUP(D785,'Table corresp.'!$M$4:$S$63,7,FALSE)</f>
        <v>Energie</v>
      </c>
      <c r="X785" s="167">
        <f>IFERROR(G785/SUMIFS('Comp2016-2017 (3)'!$I$5:$I$289,'Comp2016-2017 (3)'!$A$5:$A$289,A785,'Comp2016-2017 (3)'!$R$5:$R$289,V785),0)</f>
        <v>6.5915457554318019E-2</v>
      </c>
      <c r="Y785" s="178">
        <f>IFERROR(IF(RIGHT(F785,3)="Exp",VLOOKUP(F785,#REF!,2,FALSE),VLOOKUP(F785,#REF!,9,FALSE)),1)</f>
        <v>1</v>
      </c>
      <c r="Z785" s="167">
        <f t="shared" si="89"/>
        <v>5.2631578947368418E-2</v>
      </c>
      <c r="AA785" s="189">
        <f t="shared" si="92"/>
        <v>3.469234608122001E-3</v>
      </c>
      <c r="AB785" s="2">
        <f>IFERROR(SUMIFS('Comp2016-2017 (3)'!$G$5:$G$289,'Comp2016-2017 (3)'!$A$5:$A$289,A785,'Comp2016-2017 (3)'!$R$5:$R$289,V785)*AA785/SUMIFS($AA$4:$AA$1116,$A$4:$A$1116,A785,$V$4:$V$1116,V785),0)</f>
        <v>53376.733164687554</v>
      </c>
      <c r="AC785" s="2" t="str">
        <f>IF($W785=AC$3,$AB785,IF(NOT($W785=0),"",SUMIFS('Val-Vol (2)'!AC$4:AC$1116,'Val-Vol (2)'!$A$4:$A$1116,$D785,'Val-Vol (2)'!$V$4:$V$1116,$V785)/SUMIFS('Comp2016-2017 (3)'!$G$5:$G$289,'Comp2016-2017 (3)'!$A$5:$A$289,$D785,'Comp2016-2017 (3)'!$R$5:$R$289,$V785)*$AB785))</f>
        <v/>
      </c>
      <c r="AD785" s="2" t="str">
        <f>IF($W785=AD$3,$AB785,IF(NOT($W785=0),"",SUMIFS('Val-Vol (2)'!AD$4:AD$1116,'Val-Vol (2)'!$A$4:$A$1116,$D785,'Val-Vol (2)'!$V$4:$V$1116,$V785)/SUMIFS('Comp2016-2017 (3)'!$G$5:$G$289,'Comp2016-2017 (3)'!$A$5:$A$289,$D785,'Comp2016-2017 (3)'!$R$5:$R$289,$V785)*$AB785))</f>
        <v/>
      </c>
      <c r="AE785" s="2" t="str">
        <f>IF($W785=AE$3,$AB785,IF(NOT($W785=0),"",SUMIFS('Val-Vol (2)'!AE$4:AE$1116,'Val-Vol (2)'!$A$4:$A$1116,$D785,'Val-Vol (2)'!$V$4:$V$1116,$V785)/SUMIFS('Comp2016-2017 (3)'!$G$5:$G$289,'Comp2016-2017 (3)'!$A$5:$A$289,$D785,'Comp2016-2017 (3)'!$R$5:$R$289,$V785)*$AB785))</f>
        <v/>
      </c>
      <c r="AF785" s="2" t="str">
        <f>IF($W785=AF$3,$AB785,IF(NOT($W785=0),"",SUMIFS('Val-Vol (2)'!AF$4:AF$1116,'Val-Vol (2)'!$A$4:$A$1116,$D785,'Val-Vol (2)'!$V$4:$V$1116,$V785)/SUMIFS('Comp2016-2017 (3)'!$G$5:$G$289,'Comp2016-2017 (3)'!$A$5:$A$289,$D785,'Comp2016-2017 (3)'!$R$5:$R$289,$V785)*$AB785))</f>
        <v/>
      </c>
      <c r="AG785" s="2" t="str">
        <f>IF($W785=AG$3,$AB785,IF(NOT($W785=0),"",SUMIFS('Val-Vol (2)'!AG$4:AG$1116,'Val-Vol (2)'!$A$4:$A$1116,$D785,'Val-Vol (2)'!$V$4:$V$1116,$V785)/SUMIFS('Comp2016-2017 (3)'!$G$5:$G$289,'Comp2016-2017 (3)'!$A$5:$A$289,$D785,'Comp2016-2017 (3)'!$R$5:$R$289,$V785)*$AB785))</f>
        <v/>
      </c>
      <c r="AH785" s="2">
        <f>IF($W785=AH$3,$AB785,IF(NOT($W785=0),"",SUMIFS('Val-Vol (2)'!AH$4:AH$1116,'Val-Vol (2)'!$A$4:$A$1116,$D785,'Val-Vol (2)'!$V$4:$V$1116,$V785)/SUMIFS('Comp2016-2017 (3)'!$G$5:$G$289,'Comp2016-2017 (3)'!$A$5:$A$289,$D785,'Comp2016-2017 (3)'!$R$5:$R$289,$V785)*$AB785))</f>
        <v>53376.733164687554</v>
      </c>
      <c r="AI785" s="2" t="str">
        <f>IF($W785=AI$3,$AB785,IF(NOT($W785=0),"",SUMIFS('Val-Vol (2)'!AI$4:AI$1116,'Val-Vol (2)'!$A$4:$A$1116,$D785,'Val-Vol (2)'!$V$4:$V$1116,$V785)/SUMIFS('Comp2016-2017 (3)'!$G$5:$G$289,'Comp2016-2017 (3)'!$A$5:$A$289,$D785,'Comp2016-2017 (3)'!$R$5:$R$289,$V785)*$AB785))</f>
        <v/>
      </c>
      <c r="AJ785" s="2" t="str">
        <f>IF($W785=AJ$3,$AB785,IF(NOT($W785=0),"",SUMIFS('Val-Vol (2)'!AJ$4:AJ$1116,'Val-Vol (2)'!$A$4:$A$1116,$D785,'Val-Vol (2)'!$V$4:$V$1116,$V785)/SUMIFS('Comp2016-2017 (3)'!$G$5:$G$289,'Comp2016-2017 (3)'!$A$5:$A$289,$D785,'Comp2016-2017 (3)'!$R$5:$R$289,$V785)*$AB785))</f>
        <v/>
      </c>
      <c r="AK785" s="2">
        <f t="shared" si="90"/>
        <v>0</v>
      </c>
      <c r="AL785" t="str">
        <f t="shared" si="91"/>
        <v/>
      </c>
      <c r="AM785" t="str">
        <f>VLOOKUP(A785,'Table corresp.'!$M$4:$U$63,8,FALSE)</f>
        <v>Production intermédiaire</v>
      </c>
      <c r="AN785" t="str">
        <f>VLOOKUP(D785,'Table corresp.'!$M$4:$U$63,9,FALSE)</f>
        <v>Production intermédiaire</v>
      </c>
    </row>
    <row r="786" spans="1:40" x14ac:dyDescent="0.25">
      <c r="A786" t="s">
        <v>81</v>
      </c>
      <c r="B786" t="str">
        <f>VLOOKUP(LEFT(A786,3),'Table corresp.'!$A$4:$D$63,3,FALSE)</f>
        <v>Transformation</v>
      </c>
      <c r="C786" t="str">
        <f>VLOOKUP(A786,'Table corresp.'!$M$4:$P$63,4,FALSE)</f>
        <v>Production et transformation de produits bois</v>
      </c>
      <c r="D786" t="s">
        <v>87</v>
      </c>
      <c r="E786" t="str">
        <f>VLOOKUP(LEFT(D786,3),'Table corresp.'!$A$4:$D$63,4,FALSE)</f>
        <v>Transformation</v>
      </c>
      <c r="F786" t="str">
        <f t="shared" si="85"/>
        <v xml:space="preserve">05  - 31 </v>
      </c>
      <c r="G786" s="164">
        <v>60066.443246032752</v>
      </c>
      <c r="H786" s="164">
        <v>0</v>
      </c>
      <c r="I786" s="164">
        <v>60066.443246032759</v>
      </c>
      <c r="J786" s="164">
        <v>0</v>
      </c>
      <c r="K786" s="164">
        <v>0</v>
      </c>
      <c r="L786" s="164">
        <v>0</v>
      </c>
      <c r="M786" s="164">
        <v>0</v>
      </c>
      <c r="N786" s="164">
        <v>0</v>
      </c>
      <c r="O786" s="164">
        <v>0</v>
      </c>
      <c r="P786" s="164">
        <v>0</v>
      </c>
      <c r="Q786" s="164">
        <v>0</v>
      </c>
      <c r="R786" s="164">
        <v>0</v>
      </c>
      <c r="S786" s="163" t="str">
        <f t="shared" si="87"/>
        <v/>
      </c>
      <c r="T786" s="163">
        <f>VLOOKUP(A786,'Groupe de branches'!$Z$27:$AM$86,14,FALSE)</f>
        <v>0</v>
      </c>
      <c r="U786" s="163">
        <f>VLOOKUP(D786,'Groupe de branches'!$Z$27:$AM$86,14,FALSE)</f>
        <v>0</v>
      </c>
      <c r="V786" s="163">
        <v>2018</v>
      </c>
      <c r="W786">
        <f>VLOOKUP(D786,'Table corresp.'!$M$4:$S$63,7,FALSE)</f>
        <v>0</v>
      </c>
      <c r="X786" s="167">
        <f>IFERROR(G786/SUMIFS('Comp2016-2017 (3)'!$I$5:$I$289,'Comp2016-2017 (3)'!$A$5:$A$289,A786,'Comp2016-2017 (3)'!$R$5:$R$289,V786),0)</f>
        <v>5.37944521130563E-2</v>
      </c>
      <c r="Y786" s="178">
        <f>IFERROR(IF(RIGHT(F786,3)="Exp",VLOOKUP(F786,#REF!,2,FALSE),VLOOKUP(F786,#REF!,9,FALSE)),1)</f>
        <v>1</v>
      </c>
      <c r="Z786" s="167">
        <f t="shared" si="89"/>
        <v>5.2631578947368418E-2</v>
      </c>
      <c r="AA786" s="189">
        <f t="shared" si="92"/>
        <v>2.8312869533187526E-3</v>
      </c>
      <c r="AB786" s="2">
        <f>IFERROR(SUMIFS('Comp2016-2017 (3)'!$G$5:$G$289,'Comp2016-2017 (3)'!$A$5:$A$289,A786,'Comp2016-2017 (3)'!$R$5:$R$289,V786)*AA786/SUMIFS($AA$4:$AA$1116,$A$4:$A$1116,A786,$V$4:$V$1116,V786),0)</f>
        <v>43561.437980051909</v>
      </c>
      <c r="AC786" s="2">
        <f>IF($W786=AC$3,$AB786,IF(NOT($W786=0),"",SUMIFS('Val-Vol (2)'!AC$4:AC$1116,'Val-Vol (2)'!$A$4:$A$1116,$D786,'Val-Vol (2)'!$V$4:$V$1116,$V786)/SUMIFS('Comp2016-2017 (3)'!$G$5:$G$289,'Comp2016-2017 (3)'!$A$5:$A$289,$D786,'Comp2016-2017 (3)'!$R$5:$R$289,$V786)*$AB786))</f>
        <v>24477.323353717122</v>
      </c>
      <c r="AD786" s="2">
        <f>IF($W786=AD$3,$AB786,IF(NOT($W786=0),"",SUMIFS('Val-Vol (2)'!AD$4:AD$1116,'Val-Vol (2)'!$A$4:$A$1116,$D786,'Val-Vol (2)'!$V$4:$V$1116,$V786)/SUMIFS('Comp2016-2017 (3)'!$G$5:$G$289,'Comp2016-2017 (3)'!$A$5:$A$289,$D786,'Comp2016-2017 (3)'!$R$5:$R$289,$V786)*$AB786))</f>
        <v>7749.461034924032</v>
      </c>
      <c r="AE786" s="2">
        <f>IF($W786=AE$3,$AB786,IF(NOT($W786=0),"",SUMIFS('Val-Vol (2)'!AE$4:AE$1116,'Val-Vol (2)'!$A$4:$A$1116,$D786,'Val-Vol (2)'!$V$4:$V$1116,$V786)/SUMIFS('Comp2016-2017 (3)'!$G$5:$G$289,'Comp2016-2017 (3)'!$A$5:$A$289,$D786,'Comp2016-2017 (3)'!$R$5:$R$289,$V786)*$AB786))</f>
        <v>6251.1632764770993</v>
      </c>
      <c r="AF786" s="2">
        <f>IF($W786=AF$3,$AB786,IF(NOT($W786=0),"",SUMIFS('Val-Vol (2)'!AF$4:AF$1116,'Val-Vol (2)'!$A$4:$A$1116,$D786,'Val-Vol (2)'!$V$4:$V$1116,$V786)/SUMIFS('Comp2016-2017 (3)'!$G$5:$G$289,'Comp2016-2017 (3)'!$A$5:$A$289,$D786,'Comp2016-2017 (3)'!$R$5:$R$289,$V786)*$AB786))</f>
        <v>0</v>
      </c>
      <c r="AG786" s="2">
        <f>IF($W786=AG$3,$AB786,IF(NOT($W786=0),"",SUMIFS('Val-Vol (2)'!AG$4:AG$1116,'Val-Vol (2)'!$A$4:$A$1116,$D786,'Val-Vol (2)'!$V$4:$V$1116,$V786)/SUMIFS('Comp2016-2017 (3)'!$G$5:$G$289,'Comp2016-2017 (3)'!$A$5:$A$289,$D786,'Comp2016-2017 (3)'!$R$5:$R$289,$V786)*$AB786))</f>
        <v>3252.3364211683593</v>
      </c>
      <c r="AH786" s="2">
        <f>IF($W786=AH$3,$AB786,IF(NOT($W786=0),"",SUMIFS('Val-Vol (2)'!AH$4:AH$1116,'Val-Vol (2)'!$A$4:$A$1116,$D786,'Val-Vol (2)'!$V$4:$V$1116,$V786)/SUMIFS('Comp2016-2017 (3)'!$G$5:$G$289,'Comp2016-2017 (3)'!$A$5:$A$289,$D786,'Comp2016-2017 (3)'!$R$5:$R$289,$V786)*$AB786))</f>
        <v>0</v>
      </c>
      <c r="AI786" s="2">
        <f>IF($W786=AI$3,$AB786,IF(NOT($W786=0),"",SUMIFS('Val-Vol (2)'!AI$4:AI$1116,'Val-Vol (2)'!$A$4:$A$1116,$D786,'Val-Vol (2)'!$V$4:$V$1116,$V786)/SUMIFS('Comp2016-2017 (3)'!$G$5:$G$289,'Comp2016-2017 (3)'!$A$5:$A$289,$D786,'Comp2016-2017 (3)'!$R$5:$R$289,$V786)*$AB786))</f>
        <v>0</v>
      </c>
      <c r="AJ786" s="2">
        <f>IF($W786=AJ$3,$AB786,IF(NOT($W786=0),"",SUMIFS('Val-Vol (2)'!AJ$4:AJ$1116,'Val-Vol (2)'!$A$4:$A$1116,$D786,'Val-Vol (2)'!$V$4:$V$1116,$V786)/SUMIFS('Comp2016-2017 (3)'!$G$5:$G$289,'Comp2016-2017 (3)'!$A$5:$A$289,$D786,'Comp2016-2017 (3)'!$R$5:$R$289,$V786)*$AB786))</f>
        <v>1831.1538937653017</v>
      </c>
      <c r="AK786" s="2">
        <f t="shared" si="90"/>
        <v>0</v>
      </c>
      <c r="AL786" t="str">
        <f t="shared" si="91"/>
        <v/>
      </c>
      <c r="AM786" t="str">
        <f>VLOOKUP(A786,'Table corresp.'!$M$4:$U$63,8,FALSE)</f>
        <v>Production intermédiaire</v>
      </c>
      <c r="AN786" t="str">
        <f>VLOOKUP(D786,'Table corresp.'!$M$4:$U$63,9,FALSE)</f>
        <v>Production intermédiaire</v>
      </c>
    </row>
    <row r="787" spans="1:40" x14ac:dyDescent="0.25">
      <c r="A787" t="s">
        <v>81</v>
      </c>
      <c r="B787" t="str">
        <f>VLOOKUP(LEFT(A787,3),'Table corresp.'!$A$4:$D$63,3,FALSE)</f>
        <v>Transformation</v>
      </c>
      <c r="C787" t="str">
        <f>VLOOKUP(A787,'Table corresp.'!$M$4:$P$63,4,FALSE)</f>
        <v>Production et transformation de produits bois</v>
      </c>
      <c r="D787" t="s">
        <v>91</v>
      </c>
      <c r="E787" t="str">
        <f>VLOOKUP(LEFT(D787,3),'Table corresp.'!$A$4:$D$63,4,FALSE)</f>
        <v>Transformation</v>
      </c>
      <c r="F787" t="str">
        <f t="shared" si="85"/>
        <v xml:space="preserve">05  - 37 </v>
      </c>
      <c r="G787" s="164">
        <v>18400.541353303386</v>
      </c>
      <c r="H787" s="164">
        <v>0</v>
      </c>
      <c r="I787" s="164">
        <v>18400.541353303386</v>
      </c>
      <c r="J787" s="164">
        <v>0</v>
      </c>
      <c r="K787" s="164">
        <v>0</v>
      </c>
      <c r="L787" s="164">
        <v>0</v>
      </c>
      <c r="M787" s="164">
        <v>0</v>
      </c>
      <c r="N787" s="164">
        <v>0</v>
      </c>
      <c r="O787" s="164">
        <v>0</v>
      </c>
      <c r="P787" s="164">
        <v>0</v>
      </c>
      <c r="Q787" s="164">
        <v>0</v>
      </c>
      <c r="R787" s="164">
        <v>0</v>
      </c>
      <c r="S787" s="163" t="str">
        <f t="shared" si="87"/>
        <v/>
      </c>
      <c r="T787" s="163">
        <f>VLOOKUP(A787,'Groupe de branches'!$Z$27:$AM$86,14,FALSE)</f>
        <v>0</v>
      </c>
      <c r="U787" s="163">
        <f>VLOOKUP(D787,'Groupe de branches'!$Z$27:$AM$86,14,FALSE)</f>
        <v>0</v>
      </c>
      <c r="V787" s="163">
        <v>2018</v>
      </c>
      <c r="W787" t="str">
        <f>VLOOKUP(D787,'Table corresp.'!$M$4:$S$63,7,FALSE)</f>
        <v>Emballage bois et carton</v>
      </c>
      <c r="X787" s="167">
        <f>IFERROR(G787/SUMIFS('Comp2016-2017 (3)'!$I$5:$I$289,'Comp2016-2017 (3)'!$A$5:$A$289,A787,'Comp2016-2017 (3)'!$R$5:$R$289,V787),0)</f>
        <v>1.6479201817063943E-2</v>
      </c>
      <c r="Y787" s="178">
        <f>IFERROR(IF(RIGHT(F787,3)="Exp",VLOOKUP(F787,#REF!,2,FALSE),VLOOKUP(F787,#REF!,9,FALSE)),1)</f>
        <v>1</v>
      </c>
      <c r="Z787" s="167">
        <f t="shared" si="89"/>
        <v>5.2631578947368418E-2</v>
      </c>
      <c r="AA787" s="189">
        <f t="shared" si="92"/>
        <v>8.6732641142441805E-4</v>
      </c>
      <c r="AB787" s="2">
        <f>IFERROR(SUMIFS('Comp2016-2017 (3)'!$G$5:$G$289,'Comp2016-2017 (3)'!$A$5:$A$289,A787,'Comp2016-2017 (3)'!$R$5:$R$289,V787)*AA787/SUMIFS($AA$4:$AA$1116,$A$4:$A$1116,A787,$V$4:$V$1116,V787),0)</f>
        <v>13344.456532545677</v>
      </c>
      <c r="AC787" s="2" t="str">
        <f>IF($W787=AC$3,$AB787,IF(NOT($W787=0),"",SUMIFS('Val-Vol (2)'!AC$4:AC$1116,'Val-Vol (2)'!$A$4:$A$1116,$D787,'Val-Vol (2)'!$V$4:$V$1116,$V787)/SUMIFS('Comp2016-2017 (3)'!$G$5:$G$289,'Comp2016-2017 (3)'!$A$5:$A$289,$D787,'Comp2016-2017 (3)'!$R$5:$R$289,$V787)*$AB787))</f>
        <v/>
      </c>
      <c r="AD787" s="2" t="str">
        <f>IF($W787=AD$3,$AB787,IF(NOT($W787=0),"",SUMIFS('Val-Vol (2)'!AD$4:AD$1116,'Val-Vol (2)'!$A$4:$A$1116,$D787,'Val-Vol (2)'!$V$4:$V$1116,$V787)/SUMIFS('Comp2016-2017 (3)'!$G$5:$G$289,'Comp2016-2017 (3)'!$A$5:$A$289,$D787,'Comp2016-2017 (3)'!$R$5:$R$289,$V787)*$AB787))</f>
        <v/>
      </c>
      <c r="AE787" s="2" t="str">
        <f>IF($W787=AE$3,$AB787,IF(NOT($W787=0),"",SUMIFS('Val-Vol (2)'!AE$4:AE$1116,'Val-Vol (2)'!$A$4:$A$1116,$D787,'Val-Vol (2)'!$V$4:$V$1116,$V787)/SUMIFS('Comp2016-2017 (3)'!$G$5:$G$289,'Comp2016-2017 (3)'!$A$5:$A$289,$D787,'Comp2016-2017 (3)'!$R$5:$R$289,$V787)*$AB787))</f>
        <v/>
      </c>
      <c r="AF787" s="2" t="str">
        <f>IF($W787=AF$3,$AB787,IF(NOT($W787=0),"",SUMIFS('Val-Vol (2)'!AF$4:AF$1116,'Val-Vol (2)'!$A$4:$A$1116,$D787,'Val-Vol (2)'!$V$4:$V$1116,$V787)/SUMIFS('Comp2016-2017 (3)'!$G$5:$G$289,'Comp2016-2017 (3)'!$A$5:$A$289,$D787,'Comp2016-2017 (3)'!$R$5:$R$289,$V787)*$AB787))</f>
        <v/>
      </c>
      <c r="AG787" s="2">
        <f>IF($W787=AG$3,$AB787,IF(NOT($W787=0),"",SUMIFS('Val-Vol (2)'!AG$4:AG$1116,'Val-Vol (2)'!$A$4:$A$1116,$D787,'Val-Vol (2)'!$V$4:$V$1116,$V787)/SUMIFS('Comp2016-2017 (3)'!$G$5:$G$289,'Comp2016-2017 (3)'!$A$5:$A$289,$D787,'Comp2016-2017 (3)'!$R$5:$R$289,$V787)*$AB787))</f>
        <v>13344.456532545677</v>
      </c>
      <c r="AH787" s="2" t="str">
        <f>IF($W787=AH$3,$AB787,IF(NOT($W787=0),"",SUMIFS('Val-Vol (2)'!AH$4:AH$1116,'Val-Vol (2)'!$A$4:$A$1116,$D787,'Val-Vol (2)'!$V$4:$V$1116,$V787)/SUMIFS('Comp2016-2017 (3)'!$G$5:$G$289,'Comp2016-2017 (3)'!$A$5:$A$289,$D787,'Comp2016-2017 (3)'!$R$5:$R$289,$V787)*$AB787))</f>
        <v/>
      </c>
      <c r="AI787" s="2" t="str">
        <f>IF($W787=AI$3,$AB787,IF(NOT($W787=0),"",SUMIFS('Val-Vol (2)'!AI$4:AI$1116,'Val-Vol (2)'!$A$4:$A$1116,$D787,'Val-Vol (2)'!$V$4:$V$1116,$V787)/SUMIFS('Comp2016-2017 (3)'!$G$5:$G$289,'Comp2016-2017 (3)'!$A$5:$A$289,$D787,'Comp2016-2017 (3)'!$R$5:$R$289,$V787)*$AB787))</f>
        <v/>
      </c>
      <c r="AJ787" s="2" t="str">
        <f>IF($W787=AJ$3,$AB787,IF(NOT($W787=0),"",SUMIFS('Val-Vol (2)'!AJ$4:AJ$1116,'Val-Vol (2)'!$A$4:$A$1116,$D787,'Val-Vol (2)'!$V$4:$V$1116,$V787)/SUMIFS('Comp2016-2017 (3)'!$G$5:$G$289,'Comp2016-2017 (3)'!$A$5:$A$289,$D787,'Comp2016-2017 (3)'!$R$5:$R$289,$V787)*$AB787))</f>
        <v/>
      </c>
      <c r="AK787" s="2">
        <f t="shared" si="90"/>
        <v>0</v>
      </c>
      <c r="AL787" t="str">
        <f t="shared" si="91"/>
        <v/>
      </c>
      <c r="AM787" t="str">
        <f>VLOOKUP(A787,'Table corresp.'!$M$4:$U$63,8,FALSE)</f>
        <v>Production intermédiaire</v>
      </c>
      <c r="AN787" t="str">
        <f>VLOOKUP(D787,'Table corresp.'!$M$4:$U$63,9,FALSE)</f>
        <v>Production finale</v>
      </c>
    </row>
    <row r="788" spans="1:40" x14ac:dyDescent="0.25">
      <c r="A788" t="s">
        <v>81</v>
      </c>
      <c r="B788" t="str">
        <f>VLOOKUP(LEFT(A788,3),'Table corresp.'!$A$4:$D$63,3,FALSE)</f>
        <v>Transformation</v>
      </c>
      <c r="C788" t="str">
        <f>VLOOKUP(A788,'Table corresp.'!$M$4:$P$63,4,FALSE)</f>
        <v>Production et transformation de produits bois</v>
      </c>
      <c r="D788" t="s">
        <v>95</v>
      </c>
      <c r="E788" t="str">
        <f>VLOOKUP(LEFT(D788,3),'Table corresp.'!$A$4:$D$63,4,FALSE)</f>
        <v>Transformation</v>
      </c>
      <c r="F788" t="str">
        <f t="shared" si="85"/>
        <v xml:space="preserve">05  - 43 </v>
      </c>
      <c r="G788" s="164">
        <v>58288.306586486557</v>
      </c>
      <c r="H788" s="164">
        <v>0</v>
      </c>
      <c r="I788" s="164">
        <v>58288.306586486557</v>
      </c>
      <c r="J788" s="164">
        <v>0</v>
      </c>
      <c r="K788" s="164">
        <v>0</v>
      </c>
      <c r="L788" s="164">
        <v>0</v>
      </c>
      <c r="M788" s="164">
        <v>0</v>
      </c>
      <c r="N788" s="164">
        <v>0</v>
      </c>
      <c r="O788" s="164">
        <v>0</v>
      </c>
      <c r="P788" s="164">
        <v>0</v>
      </c>
      <c r="Q788" s="164">
        <v>0</v>
      </c>
      <c r="R788" s="164">
        <v>0</v>
      </c>
      <c r="S788" s="163" t="str">
        <f t="shared" si="87"/>
        <v/>
      </c>
      <c r="T788" s="163">
        <f>VLOOKUP(A788,'Groupe de branches'!$Z$27:$AM$86,14,FALSE)</f>
        <v>0</v>
      </c>
      <c r="U788" s="163">
        <f>VLOOKUP(D788,'Groupe de branches'!$Z$27:$AM$86,14,FALSE)</f>
        <v>0</v>
      </c>
      <c r="V788" s="163">
        <v>2018</v>
      </c>
      <c r="W788" t="str">
        <f>VLOOKUP(D788,'Table corresp.'!$M$4:$S$63,7,FALSE)</f>
        <v>Pate &amp; papier &amp; carton</v>
      </c>
      <c r="X788" s="167">
        <f>IFERROR(G788/SUMIFS('Comp2016-2017 (3)'!$I$5:$I$289,'Comp2016-2017 (3)'!$A$5:$A$289,A788,'Comp2016-2017 (3)'!$R$5:$R$289,V788),0)</f>
        <v>5.2201984135709478E-2</v>
      </c>
      <c r="Y788" s="178">
        <f>IFERROR(IF(RIGHT(F788,3)="Exp",VLOOKUP(F788,#REF!,2,FALSE),VLOOKUP(F788,#REF!,9,FALSE)),1)</f>
        <v>1</v>
      </c>
      <c r="Z788" s="167">
        <f t="shared" si="89"/>
        <v>5.2631578947368418E-2</v>
      </c>
      <c r="AA788" s="189">
        <f t="shared" si="92"/>
        <v>2.7474728492478673E-3</v>
      </c>
      <c r="AB788" s="2">
        <f>IFERROR(SUMIFS('Comp2016-2017 (3)'!$G$5:$G$289,'Comp2016-2017 (3)'!$A$5:$A$289,A788,'Comp2016-2017 (3)'!$R$5:$R$289,V788)*AA788/SUMIFS($AA$4:$AA$1116,$A$4:$A$1116,A788,$V$4:$V$1116,V788),0)</f>
        <v>42271.896172197426</v>
      </c>
      <c r="AC788" s="2" t="str">
        <f>IF($W788=AC$3,$AB788,IF(NOT($W788=0),"",SUMIFS('Val-Vol (2)'!AC$4:AC$1116,'Val-Vol (2)'!$A$4:$A$1116,$D788,'Val-Vol (2)'!$V$4:$V$1116,$V788)/SUMIFS('Comp2016-2017 (3)'!$G$5:$G$289,'Comp2016-2017 (3)'!$A$5:$A$289,$D788,'Comp2016-2017 (3)'!$R$5:$R$289,$V788)*$AB788))</f>
        <v/>
      </c>
      <c r="AD788" s="2" t="str">
        <f>IF($W788=AD$3,$AB788,IF(NOT($W788=0),"",SUMIFS('Val-Vol (2)'!AD$4:AD$1116,'Val-Vol (2)'!$A$4:$A$1116,$D788,'Val-Vol (2)'!$V$4:$V$1116,$V788)/SUMIFS('Comp2016-2017 (3)'!$G$5:$G$289,'Comp2016-2017 (3)'!$A$5:$A$289,$D788,'Comp2016-2017 (3)'!$R$5:$R$289,$V788)*$AB788))</f>
        <v/>
      </c>
      <c r="AE788" s="2" t="str">
        <f>IF($W788=AE$3,$AB788,IF(NOT($W788=0),"",SUMIFS('Val-Vol (2)'!AE$4:AE$1116,'Val-Vol (2)'!$A$4:$A$1116,$D788,'Val-Vol (2)'!$V$4:$V$1116,$V788)/SUMIFS('Comp2016-2017 (3)'!$G$5:$G$289,'Comp2016-2017 (3)'!$A$5:$A$289,$D788,'Comp2016-2017 (3)'!$R$5:$R$289,$V788)*$AB788))</f>
        <v/>
      </c>
      <c r="AF788" s="2">
        <f>IF($W788=AF$3,$AB788,IF(NOT($W788=0),"",SUMIFS('Val-Vol (2)'!AF$4:AF$1116,'Val-Vol (2)'!$A$4:$A$1116,$D788,'Val-Vol (2)'!$V$4:$V$1116,$V788)/SUMIFS('Comp2016-2017 (3)'!$G$5:$G$289,'Comp2016-2017 (3)'!$A$5:$A$289,$D788,'Comp2016-2017 (3)'!$R$5:$R$289,$V788)*$AB788))</f>
        <v>42271.896172197426</v>
      </c>
      <c r="AG788" s="2" t="str">
        <f>IF($W788=AG$3,$AB788,IF(NOT($W788=0),"",SUMIFS('Val-Vol (2)'!AG$4:AG$1116,'Val-Vol (2)'!$A$4:$A$1116,$D788,'Val-Vol (2)'!$V$4:$V$1116,$V788)/SUMIFS('Comp2016-2017 (3)'!$G$5:$G$289,'Comp2016-2017 (3)'!$A$5:$A$289,$D788,'Comp2016-2017 (3)'!$R$5:$R$289,$V788)*$AB788))</f>
        <v/>
      </c>
      <c r="AH788" s="2" t="str">
        <f>IF($W788=AH$3,$AB788,IF(NOT($W788=0),"",SUMIFS('Val-Vol (2)'!AH$4:AH$1116,'Val-Vol (2)'!$A$4:$A$1116,$D788,'Val-Vol (2)'!$V$4:$V$1116,$V788)/SUMIFS('Comp2016-2017 (3)'!$G$5:$G$289,'Comp2016-2017 (3)'!$A$5:$A$289,$D788,'Comp2016-2017 (3)'!$R$5:$R$289,$V788)*$AB788))</f>
        <v/>
      </c>
      <c r="AI788" s="2" t="str">
        <f>IF($W788=AI$3,$AB788,IF(NOT($W788=0),"",SUMIFS('Val-Vol (2)'!AI$4:AI$1116,'Val-Vol (2)'!$A$4:$A$1116,$D788,'Val-Vol (2)'!$V$4:$V$1116,$V788)/SUMIFS('Comp2016-2017 (3)'!$G$5:$G$289,'Comp2016-2017 (3)'!$A$5:$A$289,$D788,'Comp2016-2017 (3)'!$R$5:$R$289,$V788)*$AB788))</f>
        <v/>
      </c>
      <c r="AJ788" s="2" t="str">
        <f>IF($W788=AJ$3,$AB788,IF(NOT($W788=0),"",SUMIFS('Val-Vol (2)'!AJ$4:AJ$1116,'Val-Vol (2)'!$A$4:$A$1116,$D788,'Val-Vol (2)'!$V$4:$V$1116,$V788)/SUMIFS('Comp2016-2017 (3)'!$G$5:$G$289,'Comp2016-2017 (3)'!$A$5:$A$289,$D788,'Comp2016-2017 (3)'!$R$5:$R$289,$V788)*$AB788))</f>
        <v/>
      </c>
      <c r="AK788" s="2">
        <f t="shared" si="90"/>
        <v>0</v>
      </c>
      <c r="AL788" t="str">
        <f t="shared" si="91"/>
        <v/>
      </c>
      <c r="AM788" t="str">
        <f>VLOOKUP(A788,'Table corresp.'!$M$4:$U$63,8,FALSE)</f>
        <v>Production intermédiaire</v>
      </c>
      <c r="AN788" t="str">
        <f>VLOOKUP(D788,'Table corresp.'!$M$4:$U$63,9,FALSE)</f>
        <v>Production intermédiaire</v>
      </c>
    </row>
    <row r="789" spans="1:40" x14ac:dyDescent="0.25">
      <c r="A789" t="s">
        <v>81</v>
      </c>
      <c r="B789" t="str">
        <f>VLOOKUP(LEFT(A789,3),'Table corresp.'!$A$4:$D$63,3,FALSE)</f>
        <v>Transformation</v>
      </c>
      <c r="C789" t="str">
        <f>VLOOKUP(A789,'Table corresp.'!$M$4:$P$63,4,FALSE)</f>
        <v>Production et transformation de produits bois</v>
      </c>
      <c r="D789" t="s">
        <v>98</v>
      </c>
      <c r="E789" t="str">
        <f>VLOOKUP(LEFT(D789,3),'Table corresp.'!$A$4:$D$63,4,FALSE)</f>
        <v>Transformation</v>
      </c>
      <c r="F789" t="str">
        <f t="shared" si="85"/>
        <v xml:space="preserve">05  - 46 </v>
      </c>
      <c r="G789" s="164">
        <v>11676.969587183416</v>
      </c>
      <c r="H789" s="164">
        <v>0</v>
      </c>
      <c r="I789" s="164">
        <v>11676.969587183416</v>
      </c>
      <c r="J789" s="164">
        <v>0</v>
      </c>
      <c r="K789" s="164">
        <v>0</v>
      </c>
      <c r="L789" s="164">
        <v>0</v>
      </c>
      <c r="M789" s="164">
        <v>0</v>
      </c>
      <c r="N789" s="164">
        <v>0</v>
      </c>
      <c r="O789" s="164">
        <v>0</v>
      </c>
      <c r="P789" s="164">
        <v>0</v>
      </c>
      <c r="Q789" s="164">
        <v>0</v>
      </c>
      <c r="R789" s="164">
        <v>0</v>
      </c>
      <c r="S789" s="163" t="str">
        <f t="shared" si="87"/>
        <v/>
      </c>
      <c r="T789" s="163">
        <f>VLOOKUP(A789,'Groupe de branches'!$Z$27:$AM$86,14,FALSE)</f>
        <v>0</v>
      </c>
      <c r="U789" s="163">
        <f>VLOOKUP(D789,'Groupe de branches'!$Z$27:$AM$86,14,FALSE)</f>
        <v>0</v>
      </c>
      <c r="V789" s="163">
        <v>2018</v>
      </c>
      <c r="W789" t="str">
        <f>VLOOKUP(D789,'Table corresp.'!$M$4:$S$63,7,FALSE)</f>
        <v>Produits de consommation courante</v>
      </c>
      <c r="X789" s="167">
        <f>IFERROR(G789/SUMIFS('Comp2016-2017 (3)'!$I$5:$I$289,'Comp2016-2017 (3)'!$A$5:$A$289,A789,'Comp2016-2017 (3)'!$R$5:$R$289,V789),0)</f>
        <v>1.0457688974697886E-2</v>
      </c>
      <c r="Y789" s="178">
        <f>IFERROR(IF(RIGHT(F789,3)="Exp",VLOOKUP(F789,#REF!,2,FALSE),VLOOKUP(F789,#REF!,9,FALSE)),1)</f>
        <v>1</v>
      </c>
      <c r="Z789" s="167">
        <f t="shared" si="89"/>
        <v>5.2631578947368418E-2</v>
      </c>
      <c r="AA789" s="189">
        <f t="shared" si="92"/>
        <v>5.5040468287883605E-4</v>
      </c>
      <c r="AB789" s="2">
        <f>IFERROR(SUMIFS('Comp2016-2017 (3)'!$G$5:$G$289,'Comp2016-2017 (3)'!$A$5:$A$289,A789,'Comp2016-2017 (3)'!$R$5:$R$289,V789)*AA789/SUMIFS($AA$4:$AA$1116,$A$4:$A$1116,A789,$V$4:$V$1116,V789),0)</f>
        <v>8468.3819946445528</v>
      </c>
      <c r="AC789" s="2" t="str">
        <f>IF($W789=AC$3,$AB789,IF(NOT($W789=0),"",SUMIFS('Val-Vol (2)'!AC$4:AC$1116,'Val-Vol (2)'!$A$4:$A$1116,$D789,'Val-Vol (2)'!$V$4:$V$1116,$V789)/SUMIFS('Comp2016-2017 (3)'!$G$5:$G$289,'Comp2016-2017 (3)'!$A$5:$A$289,$D789,'Comp2016-2017 (3)'!$R$5:$R$289,$V789)*$AB789))</f>
        <v/>
      </c>
      <c r="AD789" s="2" t="str">
        <f>IF($W789=AD$3,$AB789,IF(NOT($W789=0),"",SUMIFS('Val-Vol (2)'!AD$4:AD$1116,'Val-Vol (2)'!$A$4:$A$1116,$D789,'Val-Vol (2)'!$V$4:$V$1116,$V789)/SUMIFS('Comp2016-2017 (3)'!$G$5:$G$289,'Comp2016-2017 (3)'!$A$5:$A$289,$D789,'Comp2016-2017 (3)'!$R$5:$R$289,$V789)*$AB789))</f>
        <v/>
      </c>
      <c r="AE789" s="2" t="str">
        <f>IF($W789=AE$3,$AB789,IF(NOT($W789=0),"",SUMIFS('Val-Vol (2)'!AE$4:AE$1116,'Val-Vol (2)'!$A$4:$A$1116,$D789,'Val-Vol (2)'!$V$4:$V$1116,$V789)/SUMIFS('Comp2016-2017 (3)'!$G$5:$G$289,'Comp2016-2017 (3)'!$A$5:$A$289,$D789,'Comp2016-2017 (3)'!$R$5:$R$289,$V789)*$AB789))</f>
        <v/>
      </c>
      <c r="AF789" s="2" t="str">
        <f>IF($W789=AF$3,$AB789,IF(NOT($W789=0),"",SUMIFS('Val-Vol (2)'!AF$4:AF$1116,'Val-Vol (2)'!$A$4:$A$1116,$D789,'Val-Vol (2)'!$V$4:$V$1116,$V789)/SUMIFS('Comp2016-2017 (3)'!$G$5:$G$289,'Comp2016-2017 (3)'!$A$5:$A$289,$D789,'Comp2016-2017 (3)'!$R$5:$R$289,$V789)*$AB789))</f>
        <v/>
      </c>
      <c r="AG789" s="2" t="str">
        <f>IF($W789=AG$3,$AB789,IF(NOT($W789=0),"",SUMIFS('Val-Vol (2)'!AG$4:AG$1116,'Val-Vol (2)'!$A$4:$A$1116,$D789,'Val-Vol (2)'!$V$4:$V$1116,$V789)/SUMIFS('Comp2016-2017 (3)'!$G$5:$G$289,'Comp2016-2017 (3)'!$A$5:$A$289,$D789,'Comp2016-2017 (3)'!$R$5:$R$289,$V789)*$AB789))</f>
        <v/>
      </c>
      <c r="AH789" s="2" t="str">
        <f>IF($W789=AH$3,$AB789,IF(NOT($W789=0),"",SUMIFS('Val-Vol (2)'!AH$4:AH$1116,'Val-Vol (2)'!$A$4:$A$1116,$D789,'Val-Vol (2)'!$V$4:$V$1116,$V789)/SUMIFS('Comp2016-2017 (3)'!$G$5:$G$289,'Comp2016-2017 (3)'!$A$5:$A$289,$D789,'Comp2016-2017 (3)'!$R$5:$R$289,$V789)*$AB789))</f>
        <v/>
      </c>
      <c r="AI789" s="2">
        <f>IF($W789=AI$3,$AB789,IF(NOT($W789=0),"",SUMIFS('Val-Vol (2)'!AI$4:AI$1116,'Val-Vol (2)'!$A$4:$A$1116,$D789,'Val-Vol (2)'!$V$4:$V$1116,$V789)/SUMIFS('Comp2016-2017 (3)'!$G$5:$G$289,'Comp2016-2017 (3)'!$A$5:$A$289,$D789,'Comp2016-2017 (3)'!$R$5:$R$289,$V789)*$AB789))</f>
        <v>8468.3819946445528</v>
      </c>
      <c r="AJ789" s="2" t="str">
        <f>IF($W789=AJ$3,$AB789,IF(NOT($W789=0),"",SUMIFS('Val-Vol (2)'!AJ$4:AJ$1116,'Val-Vol (2)'!$A$4:$A$1116,$D789,'Val-Vol (2)'!$V$4:$V$1116,$V789)/SUMIFS('Comp2016-2017 (3)'!$G$5:$G$289,'Comp2016-2017 (3)'!$A$5:$A$289,$D789,'Comp2016-2017 (3)'!$R$5:$R$289,$V789)*$AB789))</f>
        <v/>
      </c>
      <c r="AK789" s="2">
        <f t="shared" si="90"/>
        <v>0</v>
      </c>
      <c r="AL789" t="str">
        <f t="shared" si="91"/>
        <v/>
      </c>
      <c r="AM789" t="str">
        <f>VLOOKUP(A789,'Table corresp.'!$M$4:$U$63,8,FALSE)</f>
        <v>Production intermédiaire</v>
      </c>
      <c r="AN789" t="str">
        <f>VLOOKUP(D789,'Table corresp.'!$M$4:$U$63,9,FALSE)</f>
        <v>Production intermédiaire</v>
      </c>
    </row>
    <row r="790" spans="1:40" x14ac:dyDescent="0.25">
      <c r="A790" t="s">
        <v>81</v>
      </c>
      <c r="B790" t="str">
        <f>VLOOKUP(LEFT(A790,3),'Table corresp.'!$A$4:$D$63,3,FALSE)</f>
        <v>Transformation</v>
      </c>
      <c r="C790" t="str">
        <f>VLOOKUP(A790,'Table corresp.'!$M$4:$P$63,4,FALSE)</f>
        <v>Production et transformation de produits bois</v>
      </c>
      <c r="D790" t="s">
        <v>54</v>
      </c>
      <c r="E790" t="str">
        <f>VLOOKUP(LEFT(D790,3),'Table corresp.'!$A$4:$D$63,4,FALSE)</f>
        <v>Consommation finale</v>
      </c>
      <c r="F790" t="str">
        <f t="shared" si="85"/>
        <v>05  - Con</v>
      </c>
      <c r="G790" s="164">
        <v>19.871761449923273</v>
      </c>
      <c r="H790" s="164">
        <v>0</v>
      </c>
      <c r="I790" s="164">
        <v>19.871761449923273</v>
      </c>
      <c r="J790" s="164">
        <v>0</v>
      </c>
      <c r="K790" s="164">
        <v>0</v>
      </c>
      <c r="L790" s="164">
        <v>0</v>
      </c>
      <c r="M790" s="164">
        <v>0</v>
      </c>
      <c r="N790" s="164">
        <v>0</v>
      </c>
      <c r="O790" s="164">
        <v>0</v>
      </c>
      <c r="P790" s="164">
        <v>0</v>
      </c>
      <c r="Q790" s="164">
        <v>0</v>
      </c>
      <c r="R790" s="164">
        <v>0</v>
      </c>
      <c r="S790" s="163" t="str">
        <f t="shared" si="87"/>
        <v/>
      </c>
      <c r="T790" s="163">
        <f>VLOOKUP(A790,'Groupe de branches'!$Z$27:$AM$86,14,FALSE)</f>
        <v>0</v>
      </c>
      <c r="U790" s="163">
        <f>VLOOKUP(D790,'Groupe de branches'!$Z$27:$AM$86,14,FALSE)</f>
        <v>0</v>
      </c>
      <c r="V790" s="163">
        <v>2018</v>
      </c>
      <c r="W790" t="str">
        <f>VLOOKUP(D790,'Table corresp.'!$M$4:$S$63,7,FALSE)</f>
        <v>Consommation finale</v>
      </c>
      <c r="X790" s="167">
        <f>IFERROR(G790/SUMIFS('Comp2016-2017 (3)'!$I$5:$I$289,'Comp2016-2017 (3)'!$A$5:$A$289,A790,'Comp2016-2017 (3)'!$R$5:$R$289,V790),0)</f>
        <v>1.7796800708531716E-5</v>
      </c>
      <c r="Y790" s="178">
        <f>IFERROR(IF(RIGHT(F790,3)="Exp",VLOOKUP(F790,#REF!,2,FALSE),VLOOKUP(F790,#REF!,9,FALSE)),1)</f>
        <v>1</v>
      </c>
      <c r="Z790" s="167">
        <f t="shared" si="89"/>
        <v>5.2631578947368418E-2</v>
      </c>
      <c r="AA790" s="189">
        <f t="shared" si="92"/>
        <v>9.3667372150166917E-7</v>
      </c>
      <c r="AB790" s="2">
        <f>IFERROR(SUMIFS('Comp2016-2017 (3)'!$G$5:$G$289,'Comp2016-2017 (3)'!$A$5:$A$289,A790,'Comp2016-2017 (3)'!$R$5:$R$289,V790)*AA790/SUMIFS($AA$4:$AA$1116,$A$4:$A$1116,A790,$V$4:$V$1116,V790),0)</f>
        <v>14.411416044887805</v>
      </c>
      <c r="AC790" s="2" t="str">
        <f>IF($W790=AC$3,$AB790,IF(NOT($W790=0),"",SUMIFS('Val-Vol (2)'!AC$4:AC$1116,'Val-Vol (2)'!$A$4:$A$1116,$D790,'Val-Vol (2)'!$V$4:$V$1116,$V790)/SUMIFS('Comp2016-2017 (3)'!$G$5:$G$289,'Comp2016-2017 (3)'!$A$5:$A$289,$D790,'Comp2016-2017 (3)'!$R$5:$R$289,$V790)*$AB790))</f>
        <v/>
      </c>
      <c r="AD790" s="2" t="str">
        <f>IF($W790=AD$3,$AB790,IF(NOT($W790=0),"",SUMIFS('Val-Vol (2)'!AD$4:AD$1116,'Val-Vol (2)'!$A$4:$A$1116,$D790,'Val-Vol (2)'!$V$4:$V$1116,$V790)/SUMIFS('Comp2016-2017 (3)'!$G$5:$G$289,'Comp2016-2017 (3)'!$A$5:$A$289,$D790,'Comp2016-2017 (3)'!$R$5:$R$289,$V790)*$AB790))</f>
        <v/>
      </c>
      <c r="AE790" s="2" t="str">
        <f>IF($W790=AE$3,$AB790,IF(NOT($W790=0),"",SUMIFS('Val-Vol (2)'!AE$4:AE$1116,'Val-Vol (2)'!$A$4:$A$1116,$D790,'Val-Vol (2)'!$V$4:$V$1116,$V790)/SUMIFS('Comp2016-2017 (3)'!$G$5:$G$289,'Comp2016-2017 (3)'!$A$5:$A$289,$D790,'Comp2016-2017 (3)'!$R$5:$R$289,$V790)*$AB790))</f>
        <v/>
      </c>
      <c r="AF790" s="2" t="str">
        <f>IF($W790=AF$3,$AB790,IF(NOT($W790=0),"",SUMIFS('Val-Vol (2)'!AF$4:AF$1116,'Val-Vol (2)'!$A$4:$A$1116,$D790,'Val-Vol (2)'!$V$4:$V$1116,$V790)/SUMIFS('Comp2016-2017 (3)'!$G$5:$G$289,'Comp2016-2017 (3)'!$A$5:$A$289,$D790,'Comp2016-2017 (3)'!$R$5:$R$289,$V790)*$AB790))</f>
        <v/>
      </c>
      <c r="AG790" s="2" t="str">
        <f>IF($W790=AG$3,$AB790,IF(NOT($W790=0),"",SUMIFS('Val-Vol (2)'!AG$4:AG$1116,'Val-Vol (2)'!$A$4:$A$1116,$D790,'Val-Vol (2)'!$V$4:$V$1116,$V790)/SUMIFS('Comp2016-2017 (3)'!$G$5:$G$289,'Comp2016-2017 (3)'!$A$5:$A$289,$D790,'Comp2016-2017 (3)'!$R$5:$R$289,$V790)*$AB790))</f>
        <v/>
      </c>
      <c r="AH790" s="2" t="str">
        <f>IF($W790=AH$3,$AB790,IF(NOT($W790=0),"",SUMIFS('Val-Vol (2)'!AH$4:AH$1116,'Val-Vol (2)'!$A$4:$A$1116,$D790,'Val-Vol (2)'!$V$4:$V$1116,$V790)/SUMIFS('Comp2016-2017 (3)'!$G$5:$G$289,'Comp2016-2017 (3)'!$A$5:$A$289,$D790,'Comp2016-2017 (3)'!$R$5:$R$289,$V790)*$AB790))</f>
        <v/>
      </c>
      <c r="AI790" s="2" t="str">
        <f>IF($W790=AI$3,$AB790,IF(NOT($W790=0),"",SUMIFS('Val-Vol (2)'!AI$4:AI$1116,'Val-Vol (2)'!$A$4:$A$1116,$D790,'Val-Vol (2)'!$V$4:$V$1116,$V790)/SUMIFS('Comp2016-2017 (3)'!$G$5:$G$289,'Comp2016-2017 (3)'!$A$5:$A$289,$D790,'Comp2016-2017 (3)'!$R$5:$R$289,$V790)*$AB790))</f>
        <v/>
      </c>
      <c r="AJ790" s="2">
        <f>IF($W790=AJ$3,$AB790,IF(NOT($W790=0),"",SUMIFS('Val-Vol (2)'!AJ$4:AJ$1116,'Val-Vol (2)'!$A$4:$A$1116,$D790,'Val-Vol (2)'!$V$4:$V$1116,$V790)/SUMIFS('Comp2016-2017 (3)'!$G$5:$G$289,'Comp2016-2017 (3)'!$A$5:$A$289,$D790,'Comp2016-2017 (3)'!$R$5:$R$289,$V790)*$AB790))</f>
        <v>14.411416044887805</v>
      </c>
      <c r="AK790" s="2">
        <f t="shared" si="90"/>
        <v>0</v>
      </c>
      <c r="AL790" t="str">
        <f t="shared" si="91"/>
        <v/>
      </c>
      <c r="AM790" t="str">
        <f>VLOOKUP(A790,'Table corresp.'!$M$4:$U$63,8,FALSE)</f>
        <v>Production intermédiaire</v>
      </c>
      <c r="AN790" t="str">
        <f>VLOOKUP(D790,'Table corresp.'!$M$4:$U$63,9,FALSE)</f>
        <v>Consommation finale française</v>
      </c>
    </row>
    <row r="791" spans="1:40" x14ac:dyDescent="0.25">
      <c r="A791" t="s">
        <v>81</v>
      </c>
      <c r="B791" t="str">
        <f>VLOOKUP(LEFT(A791,3),'Table corresp.'!$A$4:$D$63,3,FALSE)</f>
        <v>Transformation</v>
      </c>
      <c r="C791" t="str">
        <f>VLOOKUP(A791,'Table corresp.'!$M$4:$P$63,4,FALSE)</f>
        <v>Production et transformation de produits bois</v>
      </c>
      <c r="D791" t="s">
        <v>53</v>
      </c>
      <c r="E791" t="str">
        <f>VLOOKUP(LEFT(D791,3),'Table corresp.'!$A$4:$D$63,4,FALSE)</f>
        <v>Exportation</v>
      </c>
      <c r="F791" t="str">
        <f t="shared" si="85"/>
        <v>05  - Exp</v>
      </c>
      <c r="G791" s="164">
        <v>78931.94966465779</v>
      </c>
      <c r="H791" s="164">
        <v>0</v>
      </c>
      <c r="I791" s="164">
        <v>78931.94966465779</v>
      </c>
      <c r="J791" s="164">
        <v>0</v>
      </c>
      <c r="K791" s="164">
        <v>0</v>
      </c>
      <c r="L791" s="164">
        <v>0</v>
      </c>
      <c r="M791" s="164">
        <v>0</v>
      </c>
      <c r="N791" s="164">
        <v>0</v>
      </c>
      <c r="O791" s="164">
        <v>0</v>
      </c>
      <c r="P791" s="164">
        <v>0</v>
      </c>
      <c r="Q791" s="164">
        <v>0</v>
      </c>
      <c r="R791" s="164">
        <v>0</v>
      </c>
      <c r="S791" s="163" t="str">
        <f t="shared" si="87"/>
        <v/>
      </c>
      <c r="T791" s="163">
        <f>VLOOKUP(A791,'Groupe de branches'!$Z$27:$AM$86,14,FALSE)</f>
        <v>0</v>
      </c>
      <c r="U791" s="163">
        <f>VLOOKUP(D791,'Groupe de branches'!$Z$27:$AM$86,14,FALSE)</f>
        <v>0</v>
      </c>
      <c r="V791" s="163">
        <v>2018</v>
      </c>
      <c r="W791" t="str">
        <f>VLOOKUP(D791,'Table corresp.'!$M$4:$S$63,7,FALSE)</f>
        <v>Exportation</v>
      </c>
      <c r="X791" s="167">
        <f>IFERROR(G791/SUMIFS('Comp2016-2017 (3)'!$I$5:$I$289,'Comp2016-2017 (3)'!$A$5:$A$289,A791,'Comp2016-2017 (3)'!$R$5:$R$289,V791),0)</f>
        <v>7.0690068480225007E-2</v>
      </c>
      <c r="Y791" s="178">
        <f>IFERROR(IF(RIGHT(F791,3)="Exp",VLOOKUP(F791,#REF!,2,FALSE),VLOOKUP(F791,#REF!,9,FALSE)),1)</f>
        <v>1</v>
      </c>
      <c r="Z791" s="167">
        <f t="shared" si="89"/>
        <v>5.2631578947368418E-2</v>
      </c>
      <c r="AA791" s="189">
        <f t="shared" si="92"/>
        <v>3.7205299200118421E-3</v>
      </c>
      <c r="AB791" s="2">
        <f>IFERROR(SUMIFS('Comp2016-2017 (3)'!$G$5:$G$289,'Comp2016-2017 (3)'!$A$5:$A$289,A791,'Comp2016-2017 (3)'!$R$5:$R$289,V791)*AA791/SUMIFS($AA$4:$AA$1116,$A$4:$A$1116,A791,$V$4:$V$1116,V791),0)</f>
        <v>57243.096879865065</v>
      </c>
      <c r="AC791" s="2">
        <f>IF($W791=AC$3,$AB791,IF(NOT($W791=0),"",SUMIFS('Val-Vol (2)'!AC$4:AC$1116,'Val-Vol (2)'!$A$4:$A$1116,$D791,'Val-Vol (2)'!$V$4:$V$1116,$V791)/SUMIFS('Comp2016-2017 (3)'!$G$5:$G$289,'Comp2016-2017 (3)'!$A$5:$A$289,$D791,'Comp2016-2017 (3)'!$R$5:$R$289,$V791)*$AB791))</f>
        <v>57243.096879865065</v>
      </c>
      <c r="AD791" s="2" t="str">
        <f>IF($W791=AD$3,$AB791,IF(NOT($W791=0),"",SUMIFS('Val-Vol (2)'!AD$4:AD$1116,'Val-Vol (2)'!$A$4:$A$1116,$D791,'Val-Vol (2)'!$V$4:$V$1116,$V791)/SUMIFS('Comp2016-2017 (3)'!$G$5:$G$289,'Comp2016-2017 (3)'!$A$5:$A$289,$D791,'Comp2016-2017 (3)'!$R$5:$R$289,$V791)*$AB791))</f>
        <v/>
      </c>
      <c r="AE791" s="2" t="str">
        <f>IF($W791=AE$3,$AB791,IF(NOT($W791=0),"",SUMIFS('Val-Vol (2)'!AE$4:AE$1116,'Val-Vol (2)'!$A$4:$A$1116,$D791,'Val-Vol (2)'!$V$4:$V$1116,$V791)/SUMIFS('Comp2016-2017 (3)'!$G$5:$G$289,'Comp2016-2017 (3)'!$A$5:$A$289,$D791,'Comp2016-2017 (3)'!$R$5:$R$289,$V791)*$AB791))</f>
        <v/>
      </c>
      <c r="AF791" s="2" t="str">
        <f>IF($W791=AF$3,$AB791,IF(NOT($W791=0),"",SUMIFS('Val-Vol (2)'!AF$4:AF$1116,'Val-Vol (2)'!$A$4:$A$1116,$D791,'Val-Vol (2)'!$V$4:$V$1116,$V791)/SUMIFS('Comp2016-2017 (3)'!$G$5:$G$289,'Comp2016-2017 (3)'!$A$5:$A$289,$D791,'Comp2016-2017 (3)'!$R$5:$R$289,$V791)*$AB791))</f>
        <v/>
      </c>
      <c r="AG791" s="2" t="str">
        <f>IF($W791=AG$3,$AB791,IF(NOT($W791=0),"",SUMIFS('Val-Vol (2)'!AG$4:AG$1116,'Val-Vol (2)'!$A$4:$A$1116,$D791,'Val-Vol (2)'!$V$4:$V$1116,$V791)/SUMIFS('Comp2016-2017 (3)'!$G$5:$G$289,'Comp2016-2017 (3)'!$A$5:$A$289,$D791,'Comp2016-2017 (3)'!$R$5:$R$289,$V791)*$AB791))</f>
        <v/>
      </c>
      <c r="AH791" s="2" t="str">
        <f>IF($W791=AH$3,$AB791,IF(NOT($W791=0),"",SUMIFS('Val-Vol (2)'!AH$4:AH$1116,'Val-Vol (2)'!$A$4:$A$1116,$D791,'Val-Vol (2)'!$V$4:$V$1116,$V791)/SUMIFS('Comp2016-2017 (3)'!$G$5:$G$289,'Comp2016-2017 (3)'!$A$5:$A$289,$D791,'Comp2016-2017 (3)'!$R$5:$R$289,$V791)*$AB791))</f>
        <v/>
      </c>
      <c r="AI791" s="2" t="str">
        <f>IF($W791=AI$3,$AB791,IF(NOT($W791=0),"",SUMIFS('Val-Vol (2)'!AI$4:AI$1116,'Val-Vol (2)'!$A$4:$A$1116,$D791,'Val-Vol (2)'!$V$4:$V$1116,$V791)/SUMIFS('Comp2016-2017 (3)'!$G$5:$G$289,'Comp2016-2017 (3)'!$A$5:$A$289,$D791,'Comp2016-2017 (3)'!$R$5:$R$289,$V791)*$AB791))</f>
        <v/>
      </c>
      <c r="AJ791" s="2" t="str">
        <f>IF($W791=AJ$3,$AB791,IF(NOT($W791=0),"",SUMIFS('Val-Vol (2)'!AJ$4:AJ$1116,'Val-Vol (2)'!$A$4:$A$1116,$D791,'Val-Vol (2)'!$V$4:$V$1116,$V791)/SUMIFS('Comp2016-2017 (3)'!$G$5:$G$289,'Comp2016-2017 (3)'!$A$5:$A$289,$D791,'Comp2016-2017 (3)'!$R$5:$R$289,$V791)*$AB791))</f>
        <v/>
      </c>
      <c r="AK791" s="2">
        <f t="shared" si="90"/>
        <v>0</v>
      </c>
      <c r="AL791" t="str">
        <f t="shared" si="91"/>
        <v/>
      </c>
      <c r="AM791" t="str">
        <f>VLOOKUP(A791,'Table corresp.'!$M$4:$U$63,8,FALSE)</f>
        <v>Production intermédiaire</v>
      </c>
      <c r="AN791" t="str">
        <f>VLOOKUP(D791,'Table corresp.'!$M$4:$U$63,9,FALSE)</f>
        <v>Exportation</v>
      </c>
    </row>
    <row r="792" spans="1:40" x14ac:dyDescent="0.25">
      <c r="A792" t="s">
        <v>3</v>
      </c>
      <c r="B792" t="str">
        <f>VLOOKUP(LEFT(A792,3),'Table corresp.'!$A$4:$D$63,3,FALSE)</f>
        <v>Transformation</v>
      </c>
      <c r="C792" t="str">
        <f>VLOOKUP(A792,'Table corresp.'!$M$4:$P$63,4,FALSE)</f>
        <v>Production et transformation de produits bois</v>
      </c>
      <c r="D792" t="s">
        <v>0</v>
      </c>
      <c r="E792" t="str">
        <f>VLOOKUP(LEFT(D792,3),'Table corresp.'!$A$4:$D$63,4,FALSE)</f>
        <v>Transformation</v>
      </c>
      <c r="F792" t="str">
        <f t="shared" si="85"/>
        <v xml:space="preserve">06  - 02 </v>
      </c>
      <c r="G792" s="164">
        <v>86918.192517336051</v>
      </c>
      <c r="H792" s="164">
        <v>0</v>
      </c>
      <c r="I792" s="164">
        <v>86918.192517336051</v>
      </c>
      <c r="J792" s="164">
        <v>0</v>
      </c>
      <c r="K792" s="164">
        <v>0</v>
      </c>
      <c r="L792" s="164">
        <v>0</v>
      </c>
      <c r="M792" s="164">
        <v>0</v>
      </c>
      <c r="N792" s="164">
        <v>0</v>
      </c>
      <c r="O792" s="164">
        <v>0</v>
      </c>
      <c r="P792" s="164">
        <v>0</v>
      </c>
      <c r="Q792" s="164">
        <v>0</v>
      </c>
      <c r="R792" s="164">
        <v>0</v>
      </c>
      <c r="S792" s="163" t="str">
        <f t="shared" si="87"/>
        <v/>
      </c>
      <c r="T792" s="163">
        <f>VLOOKUP(A792,'Groupe de branches'!$Z$27:$AM$86,14,FALSE)</f>
        <v>0</v>
      </c>
      <c r="U792" s="163">
        <f>VLOOKUP(D792,'Groupe de branches'!$Z$27:$AM$86,14,FALSE)</f>
        <v>0</v>
      </c>
      <c r="V792" s="163">
        <v>2018</v>
      </c>
      <c r="W792">
        <f>VLOOKUP(D792,'Table corresp.'!$M$4:$S$63,7,FALSE)</f>
        <v>0</v>
      </c>
      <c r="X792" s="167">
        <f>IFERROR(G792/SUMIFS('Comp2016-2017 (3)'!$I$5:$I$289,'Comp2016-2017 (3)'!$A$5:$A$289,A792,'Comp2016-2017 (3)'!$R$5:$R$289,V792),0)</f>
        <v>0.35934087616635002</v>
      </c>
      <c r="Y792" s="178">
        <v>11</v>
      </c>
      <c r="Z792" s="167">
        <f t="shared" si="89"/>
        <v>0.40740740740740738</v>
      </c>
      <c r="AA792" s="189">
        <f t="shared" si="92"/>
        <v>0.14639813473443888</v>
      </c>
      <c r="AB792" s="2">
        <f>IFERROR(SUMIFS('Comp2016-2017 (3)'!$G$5:$G$289,'Comp2016-2017 (3)'!$A$5:$A$289,A792,'Comp2016-2017 (3)'!$R$5:$R$289,V792)*AA792/SUMIFS($AA$4:$AA$1116,$A$4:$A$1116,A792,$V$4:$V$1116,V792),0)</f>
        <v>46138.915810500119</v>
      </c>
      <c r="AC792" s="2">
        <f>IF($W792=AC$3,$AB792,IF(NOT($W792=0),"",SUMIFS('Val-Vol (2)'!AC$4:AC$1116,'Val-Vol (2)'!$A$4:$A$1116,$D792,'Val-Vol (2)'!$V$4:$V$1116,$V792)/SUMIFS('Comp2016-2017 (3)'!$G$5:$G$289,'Comp2016-2017 (3)'!$A$5:$A$289,$D792,'Comp2016-2017 (3)'!$R$5:$R$289,$V792)*$AB792))</f>
        <v>11481.657114569765</v>
      </c>
      <c r="AD792" s="2">
        <f>IF($W792=AD$3,$AB792,IF(NOT($W792=0),"",SUMIFS('Val-Vol (2)'!AD$4:AD$1116,'Val-Vol (2)'!$A$4:$A$1116,$D792,'Val-Vol (2)'!$V$4:$V$1116,$V792)/SUMIFS('Comp2016-2017 (3)'!$G$5:$G$289,'Comp2016-2017 (3)'!$A$5:$A$289,$D792,'Comp2016-2017 (3)'!$R$5:$R$289,$V792)*$AB792))</f>
        <v>13203.711473223402</v>
      </c>
      <c r="AE792" s="2">
        <f>IF($W792=AE$3,$AB792,IF(NOT($W792=0),"",SUMIFS('Val-Vol (2)'!AE$4:AE$1116,'Val-Vol (2)'!$A$4:$A$1116,$D792,'Val-Vol (2)'!$V$4:$V$1116,$V792)/SUMIFS('Comp2016-2017 (3)'!$G$5:$G$289,'Comp2016-2017 (3)'!$A$5:$A$289,$D792,'Comp2016-2017 (3)'!$R$5:$R$289,$V792)*$AB792))</f>
        <v>1389.8912902199831</v>
      </c>
      <c r="AF792" s="2">
        <f>IF($W792=AF$3,$AB792,IF(NOT($W792=0),"",SUMIFS('Val-Vol (2)'!AF$4:AF$1116,'Val-Vol (2)'!$A$4:$A$1116,$D792,'Val-Vol (2)'!$V$4:$V$1116,$V792)/SUMIFS('Comp2016-2017 (3)'!$G$5:$G$289,'Comp2016-2017 (3)'!$A$5:$A$289,$D792,'Comp2016-2017 (3)'!$R$5:$R$289,$V792)*$AB792))</f>
        <v>0</v>
      </c>
      <c r="AG792" s="2">
        <f>IF($W792=AG$3,$AB792,IF(NOT($W792=0),"",SUMIFS('Val-Vol (2)'!AG$4:AG$1116,'Val-Vol (2)'!$A$4:$A$1116,$D792,'Val-Vol (2)'!$V$4:$V$1116,$V792)/SUMIFS('Comp2016-2017 (3)'!$G$5:$G$289,'Comp2016-2017 (3)'!$A$5:$A$289,$D792,'Comp2016-2017 (3)'!$R$5:$R$289,$V792)*$AB792))</f>
        <v>10698.082206581374</v>
      </c>
      <c r="AH792" s="2">
        <f>IF($W792=AH$3,$AB792,IF(NOT($W792=0),"",SUMIFS('Val-Vol (2)'!AH$4:AH$1116,'Val-Vol (2)'!$A$4:$A$1116,$D792,'Val-Vol (2)'!$V$4:$V$1116,$V792)/SUMIFS('Comp2016-2017 (3)'!$G$5:$G$289,'Comp2016-2017 (3)'!$A$5:$A$289,$D792,'Comp2016-2017 (3)'!$R$5:$R$289,$V792)*$AB792))</f>
        <v>0</v>
      </c>
      <c r="AI792" s="2">
        <f>IF($W792=AI$3,$AB792,IF(NOT($W792=0),"",SUMIFS('Val-Vol (2)'!AI$4:AI$1116,'Val-Vol (2)'!$A$4:$A$1116,$D792,'Val-Vol (2)'!$V$4:$V$1116,$V792)/SUMIFS('Comp2016-2017 (3)'!$G$5:$G$289,'Comp2016-2017 (3)'!$A$5:$A$289,$D792,'Comp2016-2017 (3)'!$R$5:$R$289,$V792)*$AB792))</f>
        <v>2745.9723493471006</v>
      </c>
      <c r="AJ792" s="2">
        <f>IF($W792=AJ$3,$AB792,IF(NOT($W792=0),"",SUMIFS('Val-Vol (2)'!AJ$4:AJ$1116,'Val-Vol (2)'!$A$4:$A$1116,$D792,'Val-Vol (2)'!$V$4:$V$1116,$V792)/SUMIFS('Comp2016-2017 (3)'!$G$5:$G$289,'Comp2016-2017 (3)'!$A$5:$A$289,$D792,'Comp2016-2017 (3)'!$R$5:$R$289,$V792)*$AB792))</f>
        <v>6619.6013765585012</v>
      </c>
      <c r="AK792" s="2">
        <f t="shared" si="90"/>
        <v>0</v>
      </c>
      <c r="AL792" t="str">
        <f t="shared" si="91"/>
        <v/>
      </c>
      <c r="AM792" t="str">
        <f>VLOOKUP(A792,'Table corresp.'!$M$4:$U$63,8,FALSE)</f>
        <v>Production intermédiaire</v>
      </c>
      <c r="AN792" t="str">
        <f>VLOOKUP(D792,'Table corresp.'!$M$4:$U$63,9,FALSE)</f>
        <v>Production intermédiaire</v>
      </c>
    </row>
    <row r="793" spans="1:40" x14ac:dyDescent="0.25">
      <c r="A793" t="s">
        <v>3</v>
      </c>
      <c r="B793" t="str">
        <f>VLOOKUP(LEFT(A793,3),'Table corresp.'!$A$4:$D$63,3,FALSE)</f>
        <v>Transformation</v>
      </c>
      <c r="C793" t="str">
        <f>VLOOKUP(A793,'Table corresp.'!$M$4:$P$63,4,FALSE)</f>
        <v>Production et transformation de produits bois</v>
      </c>
      <c r="D793" t="s">
        <v>2</v>
      </c>
      <c r="E793" t="str">
        <f>VLOOKUP(LEFT(D793,3),'Table corresp.'!$A$4:$D$63,4,FALSE)</f>
        <v>Transformation</v>
      </c>
      <c r="F793" t="str">
        <f t="shared" si="85"/>
        <v xml:space="preserve">06  - 04 </v>
      </c>
      <c r="G793" s="164">
        <v>21807.84864210237</v>
      </c>
      <c r="H793" s="164">
        <v>0</v>
      </c>
      <c r="I793" s="164">
        <v>21807.84864210237</v>
      </c>
      <c r="J793" s="164">
        <v>0</v>
      </c>
      <c r="K793" s="164">
        <v>0</v>
      </c>
      <c r="L793" s="164">
        <v>0</v>
      </c>
      <c r="M793" s="164">
        <v>0</v>
      </c>
      <c r="N793" s="164">
        <v>0</v>
      </c>
      <c r="O793" s="164">
        <v>0</v>
      </c>
      <c r="P793" s="164">
        <v>0</v>
      </c>
      <c r="Q793" s="164">
        <v>0</v>
      </c>
      <c r="R793" s="164">
        <v>0</v>
      </c>
      <c r="S793" s="163" t="str">
        <f t="shared" si="87"/>
        <v/>
      </c>
      <c r="T793" s="163">
        <f>VLOOKUP(A793,'Groupe de branches'!$Z$27:$AM$86,14,FALSE)</f>
        <v>0</v>
      </c>
      <c r="U793" s="163">
        <f>VLOOKUP(D793,'Groupe de branches'!$Z$27:$AM$86,14,FALSE)</f>
        <v>0</v>
      </c>
      <c r="V793" s="163">
        <v>2018</v>
      </c>
      <c r="W793" t="str">
        <f>VLOOKUP(D793,'Table corresp.'!$M$4:$S$63,7,FALSE)</f>
        <v>Energie</v>
      </c>
      <c r="X793" s="167">
        <f>IFERROR(G793/SUMIFS('Comp2016-2017 (3)'!$I$5:$I$289,'Comp2016-2017 (3)'!$A$5:$A$289,A793,'Comp2016-2017 (3)'!$R$5:$R$289,V793),0)</f>
        <v>9.0158932340812459E-2</v>
      </c>
      <c r="Y793" s="178">
        <f>IFERROR(IF(RIGHT(F793,3)="Exp",VLOOKUP(F793,#REF!,2,FALSE),VLOOKUP(F793,#REF!,9,FALSE)),1)</f>
        <v>1</v>
      </c>
      <c r="Z793" s="167">
        <f t="shared" si="89"/>
        <v>3.7037037037037035E-2</v>
      </c>
      <c r="AA793" s="189">
        <f t="shared" si="92"/>
        <v>3.3392197163263871E-3</v>
      </c>
      <c r="AB793" s="2">
        <f>IFERROR(SUMIFS('Comp2016-2017 (3)'!$G$5:$G$289,'Comp2016-2017 (3)'!$A$5:$A$289,A793,'Comp2016-2017 (3)'!$R$5:$R$289,V793)*AA793/SUMIFS($AA$4:$AA$1116,$A$4:$A$1116,A793,$V$4:$V$1116,V793),0)</f>
        <v>1052.3903029490041</v>
      </c>
      <c r="AC793" s="2" t="str">
        <f>IF($W793=AC$3,$AB793,IF(NOT($W793=0),"",SUMIFS('Val-Vol (2)'!AC$4:AC$1116,'Val-Vol (2)'!$A$4:$A$1116,$D793,'Val-Vol (2)'!$V$4:$V$1116,$V793)/SUMIFS('Comp2016-2017 (3)'!$G$5:$G$289,'Comp2016-2017 (3)'!$A$5:$A$289,$D793,'Comp2016-2017 (3)'!$R$5:$R$289,$V793)*$AB793))</f>
        <v/>
      </c>
      <c r="AD793" s="2" t="str">
        <f>IF($W793=AD$3,$AB793,IF(NOT($W793=0),"",SUMIFS('Val-Vol (2)'!AD$4:AD$1116,'Val-Vol (2)'!$A$4:$A$1116,$D793,'Val-Vol (2)'!$V$4:$V$1116,$V793)/SUMIFS('Comp2016-2017 (3)'!$G$5:$G$289,'Comp2016-2017 (3)'!$A$5:$A$289,$D793,'Comp2016-2017 (3)'!$R$5:$R$289,$V793)*$AB793))</f>
        <v/>
      </c>
      <c r="AE793" s="2" t="str">
        <f>IF($W793=AE$3,$AB793,IF(NOT($W793=0),"",SUMIFS('Val-Vol (2)'!AE$4:AE$1116,'Val-Vol (2)'!$A$4:$A$1116,$D793,'Val-Vol (2)'!$V$4:$V$1116,$V793)/SUMIFS('Comp2016-2017 (3)'!$G$5:$G$289,'Comp2016-2017 (3)'!$A$5:$A$289,$D793,'Comp2016-2017 (3)'!$R$5:$R$289,$V793)*$AB793))</f>
        <v/>
      </c>
      <c r="AF793" s="2" t="str">
        <f>IF($W793=AF$3,$AB793,IF(NOT($W793=0),"",SUMIFS('Val-Vol (2)'!AF$4:AF$1116,'Val-Vol (2)'!$A$4:$A$1116,$D793,'Val-Vol (2)'!$V$4:$V$1116,$V793)/SUMIFS('Comp2016-2017 (3)'!$G$5:$G$289,'Comp2016-2017 (3)'!$A$5:$A$289,$D793,'Comp2016-2017 (3)'!$R$5:$R$289,$V793)*$AB793))</f>
        <v/>
      </c>
      <c r="AG793" s="2" t="str">
        <f>IF($W793=AG$3,$AB793,IF(NOT($W793=0),"",SUMIFS('Val-Vol (2)'!AG$4:AG$1116,'Val-Vol (2)'!$A$4:$A$1116,$D793,'Val-Vol (2)'!$V$4:$V$1116,$V793)/SUMIFS('Comp2016-2017 (3)'!$G$5:$G$289,'Comp2016-2017 (3)'!$A$5:$A$289,$D793,'Comp2016-2017 (3)'!$R$5:$R$289,$V793)*$AB793))</f>
        <v/>
      </c>
      <c r="AH793" s="2">
        <f>IF($W793=AH$3,$AB793,IF(NOT($W793=0),"",SUMIFS('Val-Vol (2)'!AH$4:AH$1116,'Val-Vol (2)'!$A$4:$A$1116,$D793,'Val-Vol (2)'!$V$4:$V$1116,$V793)/SUMIFS('Comp2016-2017 (3)'!$G$5:$G$289,'Comp2016-2017 (3)'!$A$5:$A$289,$D793,'Comp2016-2017 (3)'!$R$5:$R$289,$V793)*$AB793))</f>
        <v>1052.3903029490041</v>
      </c>
      <c r="AI793" s="2" t="str">
        <f>IF($W793=AI$3,$AB793,IF(NOT($W793=0),"",SUMIFS('Val-Vol (2)'!AI$4:AI$1116,'Val-Vol (2)'!$A$4:$A$1116,$D793,'Val-Vol (2)'!$V$4:$V$1116,$V793)/SUMIFS('Comp2016-2017 (3)'!$G$5:$G$289,'Comp2016-2017 (3)'!$A$5:$A$289,$D793,'Comp2016-2017 (3)'!$R$5:$R$289,$V793)*$AB793))</f>
        <v/>
      </c>
      <c r="AJ793" s="2" t="str">
        <f>IF($W793=AJ$3,$AB793,IF(NOT($W793=0),"",SUMIFS('Val-Vol (2)'!AJ$4:AJ$1116,'Val-Vol (2)'!$A$4:$A$1116,$D793,'Val-Vol (2)'!$V$4:$V$1116,$V793)/SUMIFS('Comp2016-2017 (3)'!$G$5:$G$289,'Comp2016-2017 (3)'!$A$5:$A$289,$D793,'Comp2016-2017 (3)'!$R$5:$R$289,$V793)*$AB793))</f>
        <v/>
      </c>
      <c r="AK793" s="2">
        <f t="shared" si="90"/>
        <v>0</v>
      </c>
      <c r="AL793" t="str">
        <f t="shared" si="91"/>
        <v/>
      </c>
      <c r="AM793" t="str">
        <f>VLOOKUP(A793,'Table corresp.'!$M$4:$U$63,8,FALSE)</f>
        <v>Production intermédiaire</v>
      </c>
      <c r="AN793" t="str">
        <f>VLOOKUP(D793,'Table corresp.'!$M$4:$U$63,9,FALSE)</f>
        <v>Production intermédiaire</v>
      </c>
    </row>
    <row r="794" spans="1:40" x14ac:dyDescent="0.25">
      <c r="A794" t="s">
        <v>3</v>
      </c>
      <c r="B794" t="str">
        <f>VLOOKUP(LEFT(A794,3),'Table corresp.'!$A$4:$D$63,3,FALSE)</f>
        <v>Transformation</v>
      </c>
      <c r="C794" t="str">
        <f>VLOOKUP(A794,'Table corresp.'!$M$4:$P$63,4,FALSE)</f>
        <v>Production et transformation de produits bois</v>
      </c>
      <c r="D794" t="s">
        <v>4</v>
      </c>
      <c r="E794" t="str">
        <f>VLOOKUP(LEFT(D794,3),'Table corresp.'!$A$4:$D$63,4,FALSE)</f>
        <v>Transformation</v>
      </c>
      <c r="F794" t="str">
        <f t="shared" si="85"/>
        <v xml:space="preserve">06  - 08 </v>
      </c>
      <c r="G794" s="164">
        <v>6093.478016500374</v>
      </c>
      <c r="H794" s="164">
        <v>0</v>
      </c>
      <c r="I794" s="164">
        <v>6093.478016500374</v>
      </c>
      <c r="J794" s="164">
        <v>0</v>
      </c>
      <c r="K794" s="164">
        <v>0</v>
      </c>
      <c r="L794" s="164">
        <v>0</v>
      </c>
      <c r="M794" s="164">
        <v>0</v>
      </c>
      <c r="N794" s="164">
        <v>0</v>
      </c>
      <c r="O794" s="164">
        <v>0</v>
      </c>
      <c r="P794" s="164">
        <v>0</v>
      </c>
      <c r="Q794" s="164">
        <v>0</v>
      </c>
      <c r="R794" s="164">
        <v>0</v>
      </c>
      <c r="S794" s="163" t="str">
        <f t="shared" si="87"/>
        <v/>
      </c>
      <c r="T794" s="163">
        <f>VLOOKUP(A794,'Groupe de branches'!$Z$27:$AM$86,14,FALSE)</f>
        <v>0</v>
      </c>
      <c r="U794" s="163">
        <f>VLOOKUP(D794,'Groupe de branches'!$Z$27:$AM$86,14,FALSE)</f>
        <v>0</v>
      </c>
      <c r="V794" s="163">
        <v>2018</v>
      </c>
      <c r="W794">
        <f>VLOOKUP(D794,'Table corresp.'!$M$4:$S$63,7,FALSE)</f>
        <v>0</v>
      </c>
      <c r="X794" s="167">
        <f>IFERROR(G794/SUMIFS('Comp2016-2017 (3)'!$I$5:$I$289,'Comp2016-2017 (3)'!$A$5:$A$289,A794,'Comp2016-2017 (3)'!$R$5:$R$289,V794),0)</f>
        <v>2.5191915132299937E-2</v>
      </c>
      <c r="Y794" s="178">
        <f>IFERROR(IF(RIGHT(F794,3)="Exp",VLOOKUP(F794,#REF!,2,FALSE),VLOOKUP(F794,#REF!,9,FALSE)),1)</f>
        <v>1</v>
      </c>
      <c r="Z794" s="167">
        <f t="shared" si="89"/>
        <v>3.7037037037037035E-2</v>
      </c>
      <c r="AA794" s="189">
        <f t="shared" si="92"/>
        <v>9.3303389378888654E-4</v>
      </c>
      <c r="AB794" s="2">
        <f>IFERROR(SUMIFS('Comp2016-2017 (3)'!$G$5:$G$289,'Comp2016-2017 (3)'!$A$5:$A$289,A794,'Comp2016-2017 (3)'!$R$5:$R$289,V794)*AA794/SUMIFS($AA$4:$AA$1116,$A$4:$A$1116,A794,$V$4:$V$1116,V794),0)</f>
        <v>294.0554697090796</v>
      </c>
      <c r="AC794" s="2">
        <f>IF($W794=AC$3,$AB794,IF(NOT($W794=0),"",SUMIFS('Val-Vol (2)'!AC$4:AC$1116,'Val-Vol (2)'!$A$4:$A$1116,$D794,'Val-Vol (2)'!$V$4:$V$1116,$V794)/SUMIFS('Comp2016-2017 (3)'!$G$5:$G$289,'Comp2016-2017 (3)'!$A$5:$A$289,$D794,'Comp2016-2017 (3)'!$R$5:$R$289,$V794)*$AB794))</f>
        <v>72.091627032616529</v>
      </c>
      <c r="AD794" s="2">
        <f>IF($W794=AD$3,$AB794,IF(NOT($W794=0),"",SUMIFS('Val-Vol (2)'!AD$4:AD$1116,'Val-Vol (2)'!$A$4:$A$1116,$D794,'Val-Vol (2)'!$V$4:$V$1116,$V794)/SUMIFS('Comp2016-2017 (3)'!$G$5:$G$289,'Comp2016-2017 (3)'!$A$5:$A$289,$D794,'Comp2016-2017 (3)'!$R$5:$R$289,$V794)*$AB794))</f>
        <v>81.015289598669213</v>
      </c>
      <c r="AE794" s="2">
        <f>IF($W794=AE$3,$AB794,IF(NOT($W794=0),"",SUMIFS('Val-Vol (2)'!AE$4:AE$1116,'Val-Vol (2)'!$A$4:$A$1116,$D794,'Val-Vol (2)'!$V$4:$V$1116,$V794)/SUMIFS('Comp2016-2017 (3)'!$G$5:$G$289,'Comp2016-2017 (3)'!$A$5:$A$289,$D794,'Comp2016-2017 (3)'!$R$5:$R$289,$V794)*$AB794))</f>
        <v>34.248729008745912</v>
      </c>
      <c r="AF794" s="2">
        <f>IF($W794=AF$3,$AB794,IF(NOT($W794=0),"",SUMIFS('Val-Vol (2)'!AF$4:AF$1116,'Val-Vol (2)'!$A$4:$A$1116,$D794,'Val-Vol (2)'!$V$4:$V$1116,$V794)/SUMIFS('Comp2016-2017 (3)'!$G$5:$G$289,'Comp2016-2017 (3)'!$A$5:$A$289,$D794,'Comp2016-2017 (3)'!$R$5:$R$289,$V794)*$AB794))</f>
        <v>0</v>
      </c>
      <c r="AG794" s="2">
        <f>IF($W794=AG$3,$AB794,IF(NOT($W794=0),"",SUMIFS('Val-Vol (2)'!AG$4:AG$1116,'Val-Vol (2)'!$A$4:$A$1116,$D794,'Val-Vol (2)'!$V$4:$V$1116,$V794)/SUMIFS('Comp2016-2017 (3)'!$G$5:$G$289,'Comp2016-2017 (3)'!$A$5:$A$289,$D794,'Comp2016-2017 (3)'!$R$5:$R$289,$V794)*$AB794))</f>
        <v>0</v>
      </c>
      <c r="AH794" s="2">
        <f>IF($W794=AH$3,$AB794,IF(NOT($W794=0),"",SUMIFS('Val-Vol (2)'!AH$4:AH$1116,'Val-Vol (2)'!$A$4:$A$1116,$D794,'Val-Vol (2)'!$V$4:$V$1116,$V794)/SUMIFS('Comp2016-2017 (3)'!$G$5:$G$289,'Comp2016-2017 (3)'!$A$5:$A$289,$D794,'Comp2016-2017 (3)'!$R$5:$R$289,$V794)*$AB794))</f>
        <v>0</v>
      </c>
      <c r="AI794" s="2">
        <f>IF($W794=AI$3,$AB794,IF(NOT($W794=0),"",SUMIFS('Val-Vol (2)'!AI$4:AI$1116,'Val-Vol (2)'!$A$4:$A$1116,$D794,'Val-Vol (2)'!$V$4:$V$1116,$V794)/SUMIFS('Comp2016-2017 (3)'!$G$5:$G$289,'Comp2016-2017 (3)'!$A$5:$A$289,$D794,'Comp2016-2017 (3)'!$R$5:$R$289,$V794)*$AB794))</f>
        <v>32.700679047509695</v>
      </c>
      <c r="AJ794" s="2">
        <f>IF($W794=AJ$3,$AB794,IF(NOT($W794=0),"",SUMIFS('Val-Vol (2)'!AJ$4:AJ$1116,'Val-Vol (2)'!$A$4:$A$1116,$D794,'Val-Vol (2)'!$V$4:$V$1116,$V794)/SUMIFS('Comp2016-2017 (3)'!$G$5:$G$289,'Comp2016-2017 (3)'!$A$5:$A$289,$D794,'Comp2016-2017 (3)'!$R$5:$R$289,$V794)*$AB794))</f>
        <v>73.999145021538254</v>
      </c>
      <c r="AK794" s="2">
        <f t="shared" si="90"/>
        <v>0</v>
      </c>
      <c r="AL794" t="str">
        <f t="shared" si="91"/>
        <v/>
      </c>
      <c r="AM794" t="str">
        <f>VLOOKUP(A794,'Table corresp.'!$M$4:$U$63,8,FALSE)</f>
        <v>Production intermédiaire</v>
      </c>
      <c r="AN794" t="str">
        <f>VLOOKUP(D794,'Table corresp.'!$M$4:$U$63,9,FALSE)</f>
        <v>Production intermédiaire</v>
      </c>
    </row>
    <row r="795" spans="1:40" x14ac:dyDescent="0.25">
      <c r="A795" t="s">
        <v>3</v>
      </c>
      <c r="B795" t="str">
        <f>VLOOKUP(LEFT(A795,3),'Table corresp.'!$A$4:$D$63,3,FALSE)</f>
        <v>Transformation</v>
      </c>
      <c r="C795" t="str">
        <f>VLOOKUP(A795,'Table corresp.'!$M$4:$P$63,4,FALSE)</f>
        <v>Production et transformation de produits bois</v>
      </c>
      <c r="D795" t="s">
        <v>5</v>
      </c>
      <c r="E795" t="str">
        <f>VLOOKUP(LEFT(D795,3),'Table corresp.'!$A$4:$D$63,4,FALSE)</f>
        <v>Transformation</v>
      </c>
      <c r="F795" t="str">
        <f t="shared" si="85"/>
        <v xml:space="preserve">06  - 09 </v>
      </c>
      <c r="G795" s="164">
        <v>2039.6496115994426</v>
      </c>
      <c r="H795" s="164">
        <v>0</v>
      </c>
      <c r="I795" s="164">
        <v>2039.6496115994426</v>
      </c>
      <c r="J795" s="164">
        <v>0</v>
      </c>
      <c r="K795" s="164">
        <v>0</v>
      </c>
      <c r="L795" s="164">
        <v>0</v>
      </c>
      <c r="M795" s="164">
        <v>0</v>
      </c>
      <c r="N795" s="164">
        <v>0</v>
      </c>
      <c r="O795" s="164">
        <v>0</v>
      </c>
      <c r="P795" s="164">
        <v>0</v>
      </c>
      <c r="Q795" s="164">
        <v>0</v>
      </c>
      <c r="R795" s="164">
        <v>0</v>
      </c>
      <c r="S795" s="163" t="str">
        <f t="shared" si="87"/>
        <v/>
      </c>
      <c r="T795" s="163">
        <f>VLOOKUP(A795,'Groupe de branches'!$Z$27:$AM$86,14,FALSE)</f>
        <v>0</v>
      </c>
      <c r="U795" s="163">
        <f>VLOOKUP(D795,'Groupe de branches'!$Z$27:$AM$86,14,FALSE)</f>
        <v>0</v>
      </c>
      <c r="V795" s="163">
        <v>2018</v>
      </c>
      <c r="W795">
        <f>VLOOKUP(D795,'Table corresp.'!$M$4:$S$63,7,FALSE)</f>
        <v>0</v>
      </c>
      <c r="X795" s="167">
        <f>IFERROR(G795/SUMIFS('Comp2016-2017 (3)'!$I$5:$I$289,'Comp2016-2017 (3)'!$A$5:$A$289,A795,'Comp2016-2017 (3)'!$R$5:$R$289,V795),0)</f>
        <v>8.4324058896912135E-3</v>
      </c>
      <c r="Y795" s="178">
        <f>IFERROR(IF(RIGHT(F795,3)="Exp",VLOOKUP(F795,#REF!,2,FALSE),VLOOKUP(F795,#REF!,9,FALSE)),1)</f>
        <v>1</v>
      </c>
      <c r="Z795" s="167">
        <f t="shared" si="89"/>
        <v>3.7037037037037035E-2</v>
      </c>
      <c r="AA795" s="189">
        <f t="shared" si="92"/>
        <v>3.123113292478227E-4</v>
      </c>
      <c r="AB795" s="2">
        <f>IFERROR(SUMIFS('Comp2016-2017 (3)'!$G$5:$G$289,'Comp2016-2017 (3)'!$A$5:$A$289,A795,'Comp2016-2017 (3)'!$R$5:$R$289,V795)*AA795/SUMIFS($AA$4:$AA$1116,$A$4:$A$1116,A795,$V$4:$V$1116,V795),0)</f>
        <v>98.428208480725402</v>
      </c>
      <c r="AC795" s="2">
        <f>IF($W795=AC$3,$AB795,IF(NOT($W795=0),"",SUMIFS('Val-Vol (2)'!AC$4:AC$1116,'Val-Vol (2)'!$A$4:$A$1116,$D795,'Val-Vol (2)'!$V$4:$V$1116,$V795)/SUMIFS('Comp2016-2017 (3)'!$G$5:$G$289,'Comp2016-2017 (3)'!$A$5:$A$289,$D795,'Comp2016-2017 (3)'!$R$5:$R$289,$V795)*$AB795))</f>
        <v>32.367241625680968</v>
      </c>
      <c r="AD795" s="2">
        <f>IF($W795=AD$3,$AB795,IF(NOT($W795=0),"",SUMIFS('Val-Vol (2)'!AD$4:AD$1116,'Val-Vol (2)'!$A$4:$A$1116,$D795,'Val-Vol (2)'!$V$4:$V$1116,$V795)/SUMIFS('Comp2016-2017 (3)'!$G$5:$G$289,'Comp2016-2017 (3)'!$A$5:$A$289,$D795,'Comp2016-2017 (3)'!$R$5:$R$289,$V795)*$AB795))</f>
        <v>31.11118518688351</v>
      </c>
      <c r="AE795" s="2">
        <f>IF($W795=AE$3,$AB795,IF(NOT($W795=0),"",SUMIFS('Val-Vol (2)'!AE$4:AE$1116,'Val-Vol (2)'!$A$4:$A$1116,$D795,'Val-Vol (2)'!$V$4:$V$1116,$V795)/SUMIFS('Comp2016-2017 (3)'!$G$5:$G$289,'Comp2016-2017 (3)'!$A$5:$A$289,$D795,'Comp2016-2017 (3)'!$R$5:$R$289,$V795)*$AB795))</f>
        <v>1.263837796180719</v>
      </c>
      <c r="AF795" s="2">
        <f>IF($W795=AF$3,$AB795,IF(NOT($W795=0),"",SUMIFS('Val-Vol (2)'!AF$4:AF$1116,'Val-Vol (2)'!$A$4:$A$1116,$D795,'Val-Vol (2)'!$V$4:$V$1116,$V795)/SUMIFS('Comp2016-2017 (3)'!$G$5:$G$289,'Comp2016-2017 (3)'!$A$5:$A$289,$D795,'Comp2016-2017 (3)'!$R$5:$R$289,$V795)*$AB795))</f>
        <v>0</v>
      </c>
      <c r="AG795" s="2">
        <f>IF($W795=AG$3,$AB795,IF(NOT($W795=0),"",SUMIFS('Val-Vol (2)'!AG$4:AG$1116,'Val-Vol (2)'!$A$4:$A$1116,$D795,'Val-Vol (2)'!$V$4:$V$1116,$V795)/SUMIFS('Comp2016-2017 (3)'!$G$5:$G$289,'Comp2016-2017 (3)'!$A$5:$A$289,$D795,'Comp2016-2017 (3)'!$R$5:$R$289,$V795)*$AB795))</f>
        <v>13.190614836074692</v>
      </c>
      <c r="AH795" s="2">
        <f>IF($W795=AH$3,$AB795,IF(NOT($W795=0),"",SUMIFS('Val-Vol (2)'!AH$4:AH$1116,'Val-Vol (2)'!$A$4:$A$1116,$D795,'Val-Vol (2)'!$V$4:$V$1116,$V795)/SUMIFS('Comp2016-2017 (3)'!$G$5:$G$289,'Comp2016-2017 (3)'!$A$5:$A$289,$D795,'Comp2016-2017 (3)'!$R$5:$R$289,$V795)*$AB795))</f>
        <v>0</v>
      </c>
      <c r="AI795" s="2">
        <f>IF($W795=AI$3,$AB795,IF(NOT($W795=0),"",SUMIFS('Val-Vol (2)'!AI$4:AI$1116,'Val-Vol (2)'!$A$4:$A$1116,$D795,'Val-Vol (2)'!$V$4:$V$1116,$V795)/SUMIFS('Comp2016-2017 (3)'!$G$5:$G$289,'Comp2016-2017 (3)'!$A$5:$A$289,$D795,'Comp2016-2017 (3)'!$R$5:$R$289,$V795)*$AB795))</f>
        <v>19.241000426001349</v>
      </c>
      <c r="AJ795" s="2">
        <f>IF($W795=AJ$3,$AB795,IF(NOT($W795=0),"",SUMIFS('Val-Vol (2)'!AJ$4:AJ$1116,'Val-Vol (2)'!$A$4:$A$1116,$D795,'Val-Vol (2)'!$V$4:$V$1116,$V795)/SUMIFS('Comp2016-2017 (3)'!$G$5:$G$289,'Comp2016-2017 (3)'!$A$5:$A$289,$D795,'Comp2016-2017 (3)'!$R$5:$R$289,$V795)*$AB795))</f>
        <v>1.2543286099041442</v>
      </c>
      <c r="AK795" s="2">
        <f t="shared" si="90"/>
        <v>0</v>
      </c>
      <c r="AL795" t="str">
        <f t="shared" si="91"/>
        <v/>
      </c>
      <c r="AM795" t="str">
        <f>VLOOKUP(A795,'Table corresp.'!$M$4:$U$63,8,FALSE)</f>
        <v>Production intermédiaire</v>
      </c>
      <c r="AN795" t="str">
        <f>VLOOKUP(D795,'Table corresp.'!$M$4:$U$63,9,FALSE)</f>
        <v>Production intermédiaire</v>
      </c>
    </row>
    <row r="796" spans="1:40" x14ac:dyDescent="0.25">
      <c r="A796" t="s">
        <v>3</v>
      </c>
      <c r="B796" t="str">
        <f>VLOOKUP(LEFT(A796,3),'Table corresp.'!$A$4:$D$63,3,FALSE)</f>
        <v>Transformation</v>
      </c>
      <c r="C796" t="str">
        <f>VLOOKUP(A796,'Table corresp.'!$M$4:$P$63,4,FALSE)</f>
        <v>Production et transformation de produits bois</v>
      </c>
      <c r="D796" t="s">
        <v>82</v>
      </c>
      <c r="E796" t="str">
        <f>VLOOKUP(LEFT(D796,3),'Table corresp.'!$A$4:$D$63,4,FALSE)</f>
        <v>Transformation</v>
      </c>
      <c r="F796" t="str">
        <f t="shared" si="85"/>
        <v xml:space="preserve">06  - 10 </v>
      </c>
      <c r="G796" s="164">
        <v>1915.0534660788626</v>
      </c>
      <c r="H796" s="164">
        <v>0</v>
      </c>
      <c r="I796" s="164">
        <v>1915.0534660788626</v>
      </c>
      <c r="J796" s="164">
        <v>0</v>
      </c>
      <c r="K796" s="164">
        <v>0</v>
      </c>
      <c r="L796" s="164">
        <v>0</v>
      </c>
      <c r="M796" s="164">
        <v>0</v>
      </c>
      <c r="N796" s="164">
        <v>0</v>
      </c>
      <c r="O796" s="164">
        <v>0</v>
      </c>
      <c r="P796" s="164">
        <v>0</v>
      </c>
      <c r="Q796" s="164">
        <v>0</v>
      </c>
      <c r="R796" s="164">
        <v>0</v>
      </c>
      <c r="S796" s="163" t="str">
        <f t="shared" si="87"/>
        <v/>
      </c>
      <c r="T796" s="163">
        <f>VLOOKUP(A796,'Groupe de branches'!$Z$27:$AM$86,14,FALSE)</f>
        <v>0</v>
      </c>
      <c r="U796" s="163">
        <f>VLOOKUP(D796,'Groupe de branches'!$Z$27:$AM$86,14,FALSE)</f>
        <v>0</v>
      </c>
      <c r="V796" s="163">
        <v>2018</v>
      </c>
      <c r="W796">
        <f>VLOOKUP(D796,'Table corresp.'!$M$4:$S$63,7,FALSE)</f>
        <v>0</v>
      </c>
      <c r="X796" s="167">
        <f>IFERROR(G796/SUMIFS('Comp2016-2017 (3)'!$I$5:$I$289,'Comp2016-2017 (3)'!$A$5:$A$289,A796,'Comp2016-2017 (3)'!$R$5:$R$289,V796),0)</f>
        <v>7.9172952229641606E-3</v>
      </c>
      <c r="Y796" s="178">
        <f>IFERROR(IF(RIGHT(F796,3)="Exp",VLOOKUP(F796,#REF!,2,FALSE),VLOOKUP(F796,#REF!,9,FALSE)),1)</f>
        <v>1</v>
      </c>
      <c r="Z796" s="167">
        <f t="shared" si="89"/>
        <v>3.7037037037037035E-2</v>
      </c>
      <c r="AA796" s="189">
        <f t="shared" si="92"/>
        <v>2.9323315640607998E-4</v>
      </c>
      <c r="AB796" s="2">
        <f>IFERROR(SUMIFS('Comp2016-2017 (3)'!$G$5:$G$289,'Comp2016-2017 (3)'!$A$5:$A$289,A796,'Comp2016-2017 (3)'!$R$5:$R$289,V796)*AA796/SUMIFS($AA$4:$AA$1116,$A$4:$A$1116,A796,$V$4:$V$1116,V796),0)</f>
        <v>92.415521145875985</v>
      </c>
      <c r="AC796" s="2">
        <f>IF($W796=AC$3,$AB796,IF(NOT($W796=0),"",SUMIFS('Val-Vol (2)'!AC$4:AC$1116,'Val-Vol (2)'!$A$4:$A$1116,$D796,'Val-Vol (2)'!$V$4:$V$1116,$V796)/SUMIFS('Comp2016-2017 (3)'!$G$5:$G$289,'Comp2016-2017 (3)'!$A$5:$A$289,$D796,'Comp2016-2017 (3)'!$R$5:$R$289,$V796)*$AB796))</f>
        <v>15.72568939762119</v>
      </c>
      <c r="AD796" s="2">
        <f>IF($W796=AD$3,$AB796,IF(NOT($W796=0),"",SUMIFS('Val-Vol (2)'!AD$4:AD$1116,'Val-Vol (2)'!$A$4:$A$1116,$D796,'Val-Vol (2)'!$V$4:$V$1116,$V796)/SUMIFS('Comp2016-2017 (3)'!$G$5:$G$289,'Comp2016-2017 (3)'!$A$5:$A$289,$D796,'Comp2016-2017 (3)'!$R$5:$R$289,$V796)*$AB796))</f>
        <v>26.628239438811864</v>
      </c>
      <c r="AE796" s="2">
        <f>IF($W796=AE$3,$AB796,IF(NOT($W796=0),"",SUMIFS('Val-Vol (2)'!AE$4:AE$1116,'Val-Vol (2)'!$A$4:$A$1116,$D796,'Val-Vol (2)'!$V$4:$V$1116,$V796)/SUMIFS('Comp2016-2017 (3)'!$G$5:$G$289,'Comp2016-2017 (3)'!$A$5:$A$289,$D796,'Comp2016-2017 (3)'!$R$5:$R$289,$V796)*$AB796))</f>
        <v>6.735792114221244</v>
      </c>
      <c r="AF796" s="2">
        <f>IF($W796=AF$3,$AB796,IF(NOT($W796=0),"",SUMIFS('Val-Vol (2)'!AF$4:AF$1116,'Val-Vol (2)'!$A$4:$A$1116,$D796,'Val-Vol (2)'!$V$4:$V$1116,$V796)/SUMIFS('Comp2016-2017 (3)'!$G$5:$G$289,'Comp2016-2017 (3)'!$A$5:$A$289,$D796,'Comp2016-2017 (3)'!$R$5:$R$289,$V796)*$AB796))</f>
        <v>0</v>
      </c>
      <c r="AG796" s="2">
        <f>IF($W796=AG$3,$AB796,IF(NOT($W796=0),"",SUMIFS('Val-Vol (2)'!AG$4:AG$1116,'Val-Vol (2)'!$A$4:$A$1116,$D796,'Val-Vol (2)'!$V$4:$V$1116,$V796)/SUMIFS('Comp2016-2017 (3)'!$G$5:$G$289,'Comp2016-2017 (3)'!$A$5:$A$289,$D796,'Comp2016-2017 (3)'!$R$5:$R$289,$V796)*$AB796))</f>
        <v>18.100658805977933</v>
      </c>
      <c r="AH796" s="2">
        <f>IF($W796=AH$3,$AB796,IF(NOT($W796=0),"",SUMIFS('Val-Vol (2)'!AH$4:AH$1116,'Val-Vol (2)'!$A$4:$A$1116,$D796,'Val-Vol (2)'!$V$4:$V$1116,$V796)/SUMIFS('Comp2016-2017 (3)'!$G$5:$G$289,'Comp2016-2017 (3)'!$A$5:$A$289,$D796,'Comp2016-2017 (3)'!$R$5:$R$289,$V796)*$AB796))</f>
        <v>0</v>
      </c>
      <c r="AI796" s="2">
        <f>IF($W796=AI$3,$AB796,IF(NOT($W796=0),"",SUMIFS('Val-Vol (2)'!AI$4:AI$1116,'Val-Vol (2)'!$A$4:$A$1116,$D796,'Val-Vol (2)'!$V$4:$V$1116,$V796)/SUMIFS('Comp2016-2017 (3)'!$G$5:$G$289,'Comp2016-2017 (3)'!$A$5:$A$289,$D796,'Comp2016-2017 (3)'!$R$5:$R$289,$V796)*$AB796))</f>
        <v>20.987702630210229</v>
      </c>
      <c r="AJ796" s="2">
        <f>IF($W796=AJ$3,$AB796,IF(NOT($W796=0),"",SUMIFS('Val-Vol (2)'!AJ$4:AJ$1116,'Val-Vol (2)'!$A$4:$A$1116,$D796,'Val-Vol (2)'!$V$4:$V$1116,$V796)/SUMIFS('Comp2016-2017 (3)'!$G$5:$G$289,'Comp2016-2017 (3)'!$A$5:$A$289,$D796,'Comp2016-2017 (3)'!$R$5:$R$289,$V796)*$AB796))</f>
        <v>4.2374387590335489</v>
      </c>
      <c r="AK796" s="2">
        <f t="shared" si="90"/>
        <v>0</v>
      </c>
      <c r="AL796" t="str">
        <f t="shared" si="91"/>
        <v/>
      </c>
      <c r="AM796" t="str">
        <f>VLOOKUP(A796,'Table corresp.'!$M$4:$U$63,8,FALSE)</f>
        <v>Production intermédiaire</v>
      </c>
      <c r="AN796" t="str">
        <f>VLOOKUP(D796,'Table corresp.'!$M$4:$U$63,9,FALSE)</f>
        <v>Production intermédiaire</v>
      </c>
    </row>
    <row r="797" spans="1:40" x14ac:dyDescent="0.25">
      <c r="A797" t="s">
        <v>3</v>
      </c>
      <c r="B797" t="str">
        <f>VLOOKUP(LEFT(A797,3),'Table corresp.'!$A$4:$D$63,3,FALSE)</f>
        <v>Transformation</v>
      </c>
      <c r="C797" t="str">
        <f>VLOOKUP(A797,'Table corresp.'!$M$4:$P$63,4,FALSE)</f>
        <v>Production et transformation de produits bois</v>
      </c>
      <c r="D797" t="s">
        <v>7</v>
      </c>
      <c r="E797" t="str">
        <f>VLOOKUP(LEFT(D797,3),'Table corresp.'!$A$4:$D$63,4,FALSE)</f>
        <v>Transformation</v>
      </c>
      <c r="F797" t="str">
        <f t="shared" si="85"/>
        <v xml:space="preserve">06  - 12 </v>
      </c>
      <c r="G797" s="164">
        <v>25127.013653283622</v>
      </c>
      <c r="H797" s="164">
        <v>0</v>
      </c>
      <c r="I797" s="164">
        <v>25127.013653283622</v>
      </c>
      <c r="J797" s="164">
        <v>0</v>
      </c>
      <c r="K797" s="164">
        <v>0</v>
      </c>
      <c r="L797" s="164">
        <v>0</v>
      </c>
      <c r="M797" s="164">
        <v>0</v>
      </c>
      <c r="N797" s="164">
        <v>0</v>
      </c>
      <c r="O797" s="164">
        <v>0</v>
      </c>
      <c r="P797" s="164">
        <v>0</v>
      </c>
      <c r="Q797" s="164">
        <v>0</v>
      </c>
      <c r="R797" s="164">
        <v>0</v>
      </c>
      <c r="S797" s="163" t="str">
        <f t="shared" si="87"/>
        <v/>
      </c>
      <c r="T797" s="163">
        <f>VLOOKUP(A797,'Groupe de branches'!$Z$27:$AM$86,14,FALSE)</f>
        <v>0</v>
      </c>
      <c r="U797" s="163">
        <f>VLOOKUP(D797,'Groupe de branches'!$Z$27:$AM$86,14,FALSE)</f>
        <v>0</v>
      </c>
      <c r="V797" s="163">
        <v>2018</v>
      </c>
      <c r="W797">
        <f>VLOOKUP(D797,'Table corresp.'!$M$4:$S$63,7,FALSE)</f>
        <v>0</v>
      </c>
      <c r="X797" s="167">
        <f>IFERROR(G797/SUMIFS('Comp2016-2017 (3)'!$I$5:$I$289,'Comp2016-2017 (3)'!$A$5:$A$289,A797,'Comp2016-2017 (3)'!$R$5:$R$289,V797),0)</f>
        <v>0.10388116503704202</v>
      </c>
      <c r="Y797" s="178">
        <f>IFERROR(IF(RIGHT(F797,3)="Exp",VLOOKUP(F797,#REF!,2,FALSE),VLOOKUP(F797,#REF!,9,FALSE)),1)</f>
        <v>1</v>
      </c>
      <c r="Z797" s="167">
        <f t="shared" si="89"/>
        <v>3.7037037037037035E-2</v>
      </c>
      <c r="AA797" s="189">
        <f t="shared" si="92"/>
        <v>3.8474505569274821E-3</v>
      </c>
      <c r="AB797" s="2">
        <f>IFERROR(SUMIFS('Comp2016-2017 (3)'!$G$5:$G$289,'Comp2016-2017 (3)'!$A$5:$A$289,A797,'Comp2016-2017 (3)'!$R$5:$R$289,V797)*AA797/SUMIFS($AA$4:$AA$1116,$A$4:$A$1116,A797,$V$4:$V$1116,V797),0)</f>
        <v>1212.5646112441864</v>
      </c>
      <c r="AC797" s="2">
        <f>IF($W797=AC$3,$AB797,IF(NOT($W797=0),"",SUMIFS('Val-Vol (2)'!AC$4:AC$1116,'Val-Vol (2)'!$A$4:$A$1116,$D797,'Val-Vol (2)'!$V$4:$V$1116,$V797)/SUMIFS('Comp2016-2017 (3)'!$G$5:$G$289,'Comp2016-2017 (3)'!$A$5:$A$289,$D797,'Comp2016-2017 (3)'!$R$5:$R$289,$V797)*$AB797))</f>
        <v>87.289808444341986</v>
      </c>
      <c r="AD797" s="2">
        <f>IF($W797=AD$3,$AB797,IF(NOT($W797=0),"",SUMIFS('Val-Vol (2)'!AD$4:AD$1116,'Val-Vol (2)'!$A$4:$A$1116,$D797,'Val-Vol (2)'!$V$4:$V$1116,$V797)/SUMIFS('Comp2016-2017 (3)'!$G$5:$G$289,'Comp2016-2017 (3)'!$A$5:$A$289,$D797,'Comp2016-2017 (3)'!$R$5:$R$289,$V797)*$AB797))</f>
        <v>770.45115242999941</v>
      </c>
      <c r="AE797" s="2">
        <f>IF($W797=AE$3,$AB797,IF(NOT($W797=0),"",SUMIFS('Val-Vol (2)'!AE$4:AE$1116,'Val-Vol (2)'!$A$4:$A$1116,$D797,'Val-Vol (2)'!$V$4:$V$1116,$V797)/SUMIFS('Comp2016-2017 (3)'!$G$5:$G$289,'Comp2016-2017 (3)'!$A$5:$A$289,$D797,'Comp2016-2017 (3)'!$R$5:$R$289,$V797)*$AB797))</f>
        <v>17.974609013286326</v>
      </c>
      <c r="AF797" s="2">
        <f>IF($W797=AF$3,$AB797,IF(NOT($W797=0),"",SUMIFS('Val-Vol (2)'!AF$4:AF$1116,'Val-Vol (2)'!$A$4:$A$1116,$D797,'Val-Vol (2)'!$V$4:$V$1116,$V797)/SUMIFS('Comp2016-2017 (3)'!$G$5:$G$289,'Comp2016-2017 (3)'!$A$5:$A$289,$D797,'Comp2016-2017 (3)'!$R$5:$R$289,$V797)*$AB797))</f>
        <v>0</v>
      </c>
      <c r="AG797" s="2">
        <f>IF($W797=AG$3,$AB797,IF(NOT($W797=0),"",SUMIFS('Val-Vol (2)'!AG$4:AG$1116,'Val-Vol (2)'!$A$4:$A$1116,$D797,'Val-Vol (2)'!$V$4:$V$1116,$V797)/SUMIFS('Comp2016-2017 (3)'!$G$5:$G$289,'Comp2016-2017 (3)'!$A$5:$A$289,$D797,'Comp2016-2017 (3)'!$R$5:$R$289,$V797)*$AB797))</f>
        <v>132.31177009857615</v>
      </c>
      <c r="AH797" s="2">
        <f>IF($W797=AH$3,$AB797,IF(NOT($W797=0),"",SUMIFS('Val-Vol (2)'!AH$4:AH$1116,'Val-Vol (2)'!$A$4:$A$1116,$D797,'Val-Vol (2)'!$V$4:$V$1116,$V797)/SUMIFS('Comp2016-2017 (3)'!$G$5:$G$289,'Comp2016-2017 (3)'!$A$5:$A$289,$D797,'Comp2016-2017 (3)'!$R$5:$R$289,$V797)*$AB797))</f>
        <v>0</v>
      </c>
      <c r="AI797" s="2">
        <f>IF($W797=AI$3,$AB797,IF(NOT($W797=0),"",SUMIFS('Val-Vol (2)'!AI$4:AI$1116,'Val-Vol (2)'!$A$4:$A$1116,$D797,'Val-Vol (2)'!$V$4:$V$1116,$V797)/SUMIFS('Comp2016-2017 (3)'!$G$5:$G$289,'Comp2016-2017 (3)'!$A$5:$A$289,$D797,'Comp2016-2017 (3)'!$R$5:$R$289,$V797)*$AB797))</f>
        <v>35.049134576616375</v>
      </c>
      <c r="AJ797" s="2">
        <f>IF($W797=AJ$3,$AB797,IF(NOT($W797=0),"",SUMIFS('Val-Vol (2)'!AJ$4:AJ$1116,'Val-Vol (2)'!$A$4:$A$1116,$D797,'Val-Vol (2)'!$V$4:$V$1116,$V797)/SUMIFS('Comp2016-2017 (3)'!$G$5:$G$289,'Comp2016-2017 (3)'!$A$5:$A$289,$D797,'Comp2016-2017 (3)'!$R$5:$R$289,$V797)*$AB797))</f>
        <v>169.48813668136606</v>
      </c>
      <c r="AK797" s="2">
        <f t="shared" si="90"/>
        <v>0</v>
      </c>
      <c r="AL797" t="str">
        <f t="shared" si="91"/>
        <v/>
      </c>
      <c r="AM797" t="str">
        <f>VLOOKUP(A797,'Table corresp.'!$M$4:$U$63,8,FALSE)</f>
        <v>Production intermédiaire</v>
      </c>
      <c r="AN797" t="str">
        <f>VLOOKUP(D797,'Table corresp.'!$M$4:$U$63,9,FALSE)</f>
        <v>Production intermédiaire</v>
      </c>
    </row>
    <row r="798" spans="1:40" x14ac:dyDescent="0.25">
      <c r="A798" t="s">
        <v>3</v>
      </c>
      <c r="B798" t="str">
        <f>VLOOKUP(LEFT(A798,3),'Table corresp.'!$A$4:$D$63,3,FALSE)</f>
        <v>Transformation</v>
      </c>
      <c r="C798" t="str">
        <f>VLOOKUP(A798,'Table corresp.'!$M$4:$P$63,4,FALSE)</f>
        <v>Production et transformation de produits bois</v>
      </c>
      <c r="D798" t="s">
        <v>8</v>
      </c>
      <c r="E798" t="str">
        <f>VLOOKUP(LEFT(D798,3),'Table corresp.'!$A$4:$D$63,4,FALSE)</f>
        <v>Transformation</v>
      </c>
      <c r="F798" t="str">
        <f t="shared" si="85"/>
        <v xml:space="preserve">06  - 13 </v>
      </c>
      <c r="G798" s="164">
        <v>6554.3497720286514</v>
      </c>
      <c r="H798" s="164">
        <v>0</v>
      </c>
      <c r="I798" s="164">
        <v>6554.3497720286514</v>
      </c>
      <c r="J798" s="164">
        <v>0</v>
      </c>
      <c r="K798" s="164">
        <v>0</v>
      </c>
      <c r="L798" s="164">
        <v>0</v>
      </c>
      <c r="M798" s="164">
        <v>0</v>
      </c>
      <c r="N798" s="164">
        <v>0</v>
      </c>
      <c r="O798" s="164">
        <v>0</v>
      </c>
      <c r="P798" s="164">
        <v>0</v>
      </c>
      <c r="Q798" s="164">
        <v>0</v>
      </c>
      <c r="R798" s="164">
        <v>0</v>
      </c>
      <c r="S798" s="163" t="str">
        <f t="shared" si="87"/>
        <v/>
      </c>
      <c r="T798" s="163">
        <f>VLOOKUP(A798,'Groupe de branches'!$Z$27:$AM$86,14,FALSE)</f>
        <v>0</v>
      </c>
      <c r="U798" s="163">
        <f>VLOOKUP(D798,'Groupe de branches'!$Z$27:$AM$86,14,FALSE)</f>
        <v>0</v>
      </c>
      <c r="V798" s="163">
        <v>2018</v>
      </c>
      <c r="W798">
        <f>VLOOKUP(D798,'Table corresp.'!$M$4:$S$63,7,FALSE)</f>
        <v>0</v>
      </c>
      <c r="X798" s="167">
        <f>IFERROR(G798/SUMIFS('Comp2016-2017 (3)'!$I$5:$I$289,'Comp2016-2017 (3)'!$A$5:$A$289,A798,'Comp2016-2017 (3)'!$R$5:$R$289,V798),0)</f>
        <v>2.7097270681413821E-2</v>
      </c>
      <c r="Y798" s="178">
        <f>IFERROR(IF(RIGHT(F798,3)="Exp",VLOOKUP(F798,#REF!,2,FALSE),VLOOKUP(F798,#REF!,9,FALSE)),1)</f>
        <v>1</v>
      </c>
      <c r="Z798" s="167">
        <f t="shared" si="89"/>
        <v>3.7037037037037035E-2</v>
      </c>
      <c r="AA798" s="189">
        <f t="shared" si="92"/>
        <v>1.0036026178301414E-3</v>
      </c>
      <c r="AB798" s="2">
        <f>IFERROR(SUMIFS('Comp2016-2017 (3)'!$G$5:$G$289,'Comp2016-2017 (3)'!$A$5:$A$289,A798,'Comp2016-2017 (3)'!$R$5:$R$289,V798)*AA798/SUMIFS($AA$4:$AA$1116,$A$4:$A$1116,A798,$V$4:$V$1116,V798),0)</f>
        <v>316.29594718032661</v>
      </c>
      <c r="AC798" s="2">
        <f>IF($W798=AC$3,$AB798,IF(NOT($W798=0),"",SUMIFS('Val-Vol (2)'!AC$4:AC$1116,'Val-Vol (2)'!$A$4:$A$1116,$D798,'Val-Vol (2)'!$V$4:$V$1116,$V798)/SUMIFS('Comp2016-2017 (3)'!$G$5:$G$289,'Comp2016-2017 (3)'!$A$5:$A$289,$D798,'Comp2016-2017 (3)'!$R$5:$R$289,$V798)*$AB798))</f>
        <v>42.603923768951219</v>
      </c>
      <c r="AD798" s="2">
        <f>IF($W798=AD$3,$AB798,IF(NOT($W798=0),"",SUMIFS('Val-Vol (2)'!AD$4:AD$1116,'Val-Vol (2)'!$A$4:$A$1116,$D798,'Val-Vol (2)'!$V$4:$V$1116,$V798)/SUMIFS('Comp2016-2017 (3)'!$G$5:$G$289,'Comp2016-2017 (3)'!$A$5:$A$289,$D798,'Comp2016-2017 (3)'!$R$5:$R$289,$V798)*$AB798))</f>
        <v>85.898402516699988</v>
      </c>
      <c r="AE798" s="2">
        <f>IF($W798=AE$3,$AB798,IF(NOT($W798=0),"",SUMIFS('Val-Vol (2)'!AE$4:AE$1116,'Val-Vol (2)'!$A$4:$A$1116,$D798,'Val-Vol (2)'!$V$4:$V$1116,$V798)/SUMIFS('Comp2016-2017 (3)'!$G$5:$G$289,'Comp2016-2017 (3)'!$A$5:$A$289,$D798,'Comp2016-2017 (3)'!$R$5:$R$289,$V798)*$AB798))</f>
        <v>4.7840610842060975E-2</v>
      </c>
      <c r="AF798" s="2">
        <f>IF($W798=AF$3,$AB798,IF(NOT($W798=0),"",SUMIFS('Val-Vol (2)'!AF$4:AF$1116,'Val-Vol (2)'!$A$4:$A$1116,$D798,'Val-Vol (2)'!$V$4:$V$1116,$V798)/SUMIFS('Comp2016-2017 (3)'!$G$5:$G$289,'Comp2016-2017 (3)'!$A$5:$A$289,$D798,'Comp2016-2017 (3)'!$R$5:$R$289,$V798)*$AB798))</f>
        <v>0</v>
      </c>
      <c r="AG798" s="2">
        <f>IF($W798=AG$3,$AB798,IF(NOT($W798=0),"",SUMIFS('Val-Vol (2)'!AG$4:AG$1116,'Val-Vol (2)'!$A$4:$A$1116,$D798,'Val-Vol (2)'!$V$4:$V$1116,$V798)/SUMIFS('Comp2016-2017 (3)'!$G$5:$G$289,'Comp2016-2017 (3)'!$A$5:$A$289,$D798,'Comp2016-2017 (3)'!$R$5:$R$289,$V798)*$AB798))</f>
        <v>65.364120922089725</v>
      </c>
      <c r="AH798" s="2">
        <f>IF($W798=AH$3,$AB798,IF(NOT($W798=0),"",SUMIFS('Val-Vol (2)'!AH$4:AH$1116,'Val-Vol (2)'!$A$4:$A$1116,$D798,'Val-Vol (2)'!$V$4:$V$1116,$V798)/SUMIFS('Comp2016-2017 (3)'!$G$5:$G$289,'Comp2016-2017 (3)'!$A$5:$A$289,$D798,'Comp2016-2017 (3)'!$R$5:$R$289,$V798)*$AB798))</f>
        <v>0</v>
      </c>
      <c r="AI798" s="2">
        <f>IF($W798=AI$3,$AB798,IF(NOT($W798=0),"",SUMIFS('Val-Vol (2)'!AI$4:AI$1116,'Val-Vol (2)'!$A$4:$A$1116,$D798,'Val-Vol (2)'!$V$4:$V$1116,$V798)/SUMIFS('Comp2016-2017 (3)'!$G$5:$G$289,'Comp2016-2017 (3)'!$A$5:$A$289,$D798,'Comp2016-2017 (3)'!$R$5:$R$289,$V798)*$AB798))</f>
        <v>0</v>
      </c>
      <c r="AJ798" s="2">
        <f>IF($W798=AJ$3,$AB798,IF(NOT($W798=0),"",SUMIFS('Val-Vol (2)'!AJ$4:AJ$1116,'Val-Vol (2)'!$A$4:$A$1116,$D798,'Val-Vol (2)'!$V$4:$V$1116,$V798)/SUMIFS('Comp2016-2017 (3)'!$G$5:$G$289,'Comp2016-2017 (3)'!$A$5:$A$289,$D798,'Comp2016-2017 (3)'!$R$5:$R$289,$V798)*$AB798))</f>
        <v>122.3816593617436</v>
      </c>
      <c r="AK798" s="2">
        <f t="shared" si="90"/>
        <v>0</v>
      </c>
      <c r="AL798" t="str">
        <f t="shared" si="91"/>
        <v/>
      </c>
      <c r="AM798" t="str">
        <f>VLOOKUP(A798,'Table corresp.'!$M$4:$U$63,8,FALSE)</f>
        <v>Production intermédiaire</v>
      </c>
      <c r="AN798" t="str">
        <f>VLOOKUP(D798,'Table corresp.'!$M$4:$U$63,9,FALSE)</f>
        <v>Production intermédiaire</v>
      </c>
    </row>
    <row r="799" spans="1:40" x14ac:dyDescent="0.25">
      <c r="A799" t="s">
        <v>3</v>
      </c>
      <c r="B799" t="str">
        <f>VLOOKUP(LEFT(A799,3),'Table corresp.'!$A$4:$D$63,3,FALSE)</f>
        <v>Transformation</v>
      </c>
      <c r="C799" t="str">
        <f>VLOOKUP(A799,'Table corresp.'!$M$4:$P$63,4,FALSE)</f>
        <v>Production et transformation de produits bois</v>
      </c>
      <c r="D799" t="s">
        <v>83</v>
      </c>
      <c r="E799" t="str">
        <f>VLOOKUP(LEFT(D799,3),'Table corresp.'!$A$4:$D$63,4,FALSE)</f>
        <v>Transformation</v>
      </c>
      <c r="F799" t="str">
        <f t="shared" si="85"/>
        <v xml:space="preserve">06  - 14 </v>
      </c>
      <c r="G799" s="164">
        <v>3088.0248126882452</v>
      </c>
      <c r="H799" s="164">
        <v>0</v>
      </c>
      <c r="I799" s="164">
        <v>3088.0248126882452</v>
      </c>
      <c r="J799" s="164">
        <v>0</v>
      </c>
      <c r="K799" s="164">
        <v>0</v>
      </c>
      <c r="L799" s="164">
        <v>0</v>
      </c>
      <c r="M799" s="164">
        <v>0</v>
      </c>
      <c r="N799" s="164">
        <v>0</v>
      </c>
      <c r="O799" s="164">
        <v>0</v>
      </c>
      <c r="P799" s="164">
        <v>0</v>
      </c>
      <c r="Q799" s="164">
        <v>0</v>
      </c>
      <c r="R799" s="164">
        <v>0</v>
      </c>
      <c r="S799" s="163" t="str">
        <f t="shared" si="87"/>
        <v/>
      </c>
      <c r="T799" s="163">
        <f>VLOOKUP(A799,'Groupe de branches'!$Z$27:$AM$86,14,FALSE)</f>
        <v>0</v>
      </c>
      <c r="U799" s="163">
        <f>VLOOKUP(D799,'Groupe de branches'!$Z$27:$AM$86,14,FALSE)</f>
        <v>0</v>
      </c>
      <c r="V799" s="163">
        <v>2018</v>
      </c>
      <c r="W799">
        <f>VLOOKUP(D799,'Table corresp.'!$M$4:$S$63,7,FALSE)</f>
        <v>0</v>
      </c>
      <c r="X799" s="167">
        <f>IFERROR(G799/SUMIFS('Comp2016-2017 (3)'!$I$5:$I$289,'Comp2016-2017 (3)'!$A$5:$A$289,A799,'Comp2016-2017 (3)'!$R$5:$R$289,V799),0)</f>
        <v>1.2766643089057563E-2</v>
      </c>
      <c r="Y799" s="178">
        <f>IFERROR(IF(RIGHT(F799,3)="Exp",VLOOKUP(F799,#REF!,2,FALSE),VLOOKUP(F799,#REF!,9,FALSE)),1)</f>
        <v>1</v>
      </c>
      <c r="Z799" s="167">
        <f t="shared" si="89"/>
        <v>3.7037037037037035E-2</v>
      </c>
      <c r="AA799" s="189">
        <f t="shared" si="92"/>
        <v>4.7283863292805784E-4</v>
      </c>
      <c r="AB799" s="2">
        <f>IFERROR(SUMIFS('Comp2016-2017 (3)'!$G$5:$G$289,'Comp2016-2017 (3)'!$A$5:$A$289,A799,'Comp2016-2017 (3)'!$R$5:$R$289,V799)*AA799/SUMIFS($AA$4:$AA$1116,$A$4:$A$1116,A799,$V$4:$V$1116,V799),0)</f>
        <v>149.02008086505728</v>
      </c>
      <c r="AC799" s="2">
        <f>IF($W799=AC$3,$AB799,IF(NOT($W799=0),"",SUMIFS('Val-Vol (2)'!AC$4:AC$1116,'Val-Vol (2)'!$A$4:$A$1116,$D799,'Val-Vol (2)'!$V$4:$V$1116,$V799)/SUMIFS('Comp2016-2017 (3)'!$G$5:$G$289,'Comp2016-2017 (3)'!$A$5:$A$289,$D799,'Comp2016-2017 (3)'!$R$5:$R$289,$V799)*$AB799))</f>
        <v>87.054789275571835</v>
      </c>
      <c r="AD799" s="2">
        <f>IF($W799=AD$3,$AB799,IF(NOT($W799=0),"",SUMIFS('Val-Vol (2)'!AD$4:AD$1116,'Val-Vol (2)'!$A$4:$A$1116,$D799,'Val-Vol (2)'!$V$4:$V$1116,$V799)/SUMIFS('Comp2016-2017 (3)'!$G$5:$G$289,'Comp2016-2017 (3)'!$A$5:$A$289,$D799,'Comp2016-2017 (3)'!$R$5:$R$289,$V799)*$AB799))</f>
        <v>35.544680416801057</v>
      </c>
      <c r="AE799" s="2">
        <f>IF($W799=AE$3,$AB799,IF(NOT($W799=0),"",SUMIFS('Val-Vol (2)'!AE$4:AE$1116,'Val-Vol (2)'!$A$4:$A$1116,$D799,'Val-Vol (2)'!$V$4:$V$1116,$V799)/SUMIFS('Comp2016-2017 (3)'!$G$5:$G$289,'Comp2016-2017 (3)'!$A$5:$A$289,$D799,'Comp2016-2017 (3)'!$R$5:$R$289,$V799)*$AB799))</f>
        <v>0.54826036091497354</v>
      </c>
      <c r="AF799" s="2">
        <f>IF($W799=AF$3,$AB799,IF(NOT($W799=0),"",SUMIFS('Val-Vol (2)'!AF$4:AF$1116,'Val-Vol (2)'!$A$4:$A$1116,$D799,'Val-Vol (2)'!$V$4:$V$1116,$V799)/SUMIFS('Comp2016-2017 (3)'!$G$5:$G$289,'Comp2016-2017 (3)'!$A$5:$A$289,$D799,'Comp2016-2017 (3)'!$R$5:$R$289,$V799)*$AB799))</f>
        <v>0</v>
      </c>
      <c r="AG799" s="2">
        <f>IF($W799=AG$3,$AB799,IF(NOT($W799=0),"",SUMIFS('Val-Vol (2)'!AG$4:AG$1116,'Val-Vol (2)'!$A$4:$A$1116,$D799,'Val-Vol (2)'!$V$4:$V$1116,$V799)/SUMIFS('Comp2016-2017 (3)'!$G$5:$G$289,'Comp2016-2017 (3)'!$A$5:$A$289,$D799,'Comp2016-2017 (3)'!$R$5:$R$289,$V799)*$AB799))</f>
        <v>20.533652511311161</v>
      </c>
      <c r="AH799" s="2">
        <f>IF($W799=AH$3,$AB799,IF(NOT($W799=0),"",SUMIFS('Val-Vol (2)'!AH$4:AH$1116,'Val-Vol (2)'!$A$4:$A$1116,$D799,'Val-Vol (2)'!$V$4:$V$1116,$V799)/SUMIFS('Comp2016-2017 (3)'!$G$5:$G$289,'Comp2016-2017 (3)'!$A$5:$A$289,$D799,'Comp2016-2017 (3)'!$R$5:$R$289,$V799)*$AB799))</f>
        <v>0</v>
      </c>
      <c r="AI799" s="2">
        <f>IF($W799=AI$3,$AB799,IF(NOT($W799=0),"",SUMIFS('Val-Vol (2)'!AI$4:AI$1116,'Val-Vol (2)'!$A$4:$A$1116,$D799,'Val-Vol (2)'!$V$4:$V$1116,$V799)/SUMIFS('Comp2016-2017 (3)'!$G$5:$G$289,'Comp2016-2017 (3)'!$A$5:$A$289,$D799,'Comp2016-2017 (3)'!$R$5:$R$289,$V799)*$AB799))</f>
        <v>0</v>
      </c>
      <c r="AJ799" s="2">
        <f>IF($W799=AJ$3,$AB799,IF(NOT($W799=0),"",SUMIFS('Val-Vol (2)'!AJ$4:AJ$1116,'Val-Vol (2)'!$A$4:$A$1116,$D799,'Val-Vol (2)'!$V$4:$V$1116,$V799)/SUMIFS('Comp2016-2017 (3)'!$G$5:$G$289,'Comp2016-2017 (3)'!$A$5:$A$289,$D799,'Comp2016-2017 (3)'!$R$5:$R$289,$V799)*$AB799))</f>
        <v>5.3386983004582556</v>
      </c>
      <c r="AK799" s="2">
        <f t="shared" si="90"/>
        <v>0</v>
      </c>
      <c r="AL799" t="str">
        <f t="shared" si="91"/>
        <v/>
      </c>
      <c r="AM799" t="str">
        <f>VLOOKUP(A799,'Table corresp.'!$M$4:$U$63,8,FALSE)</f>
        <v>Production intermédiaire</v>
      </c>
      <c r="AN799" t="str">
        <f>VLOOKUP(D799,'Table corresp.'!$M$4:$U$63,9,FALSE)</f>
        <v>Production intermédiaire</v>
      </c>
    </row>
    <row r="800" spans="1:40" x14ac:dyDescent="0.25">
      <c r="A800" t="s">
        <v>3</v>
      </c>
      <c r="B800" t="str">
        <f>VLOOKUP(LEFT(A800,3),'Table corresp.'!$A$4:$D$63,3,FALSE)</f>
        <v>Transformation</v>
      </c>
      <c r="C800" t="str">
        <f>VLOOKUP(A800,'Table corresp.'!$M$4:$P$63,4,FALSE)</f>
        <v>Production et transformation de produits bois</v>
      </c>
      <c r="D800" t="s">
        <v>9</v>
      </c>
      <c r="E800" t="str">
        <f>VLOOKUP(LEFT(D800,3),'Table corresp.'!$A$4:$D$63,4,FALSE)</f>
        <v>Transformation</v>
      </c>
      <c r="F800" t="str">
        <f t="shared" si="85"/>
        <v xml:space="preserve">06  - 15 </v>
      </c>
      <c r="G800" s="164">
        <v>12418.277808554762</v>
      </c>
      <c r="H800" s="164">
        <v>0</v>
      </c>
      <c r="I800" s="164">
        <v>12418.277808554762</v>
      </c>
      <c r="J800" s="164">
        <v>0</v>
      </c>
      <c r="K800" s="164">
        <v>0</v>
      </c>
      <c r="L800" s="164">
        <v>0</v>
      </c>
      <c r="M800" s="164">
        <v>0</v>
      </c>
      <c r="N800" s="164">
        <v>0</v>
      </c>
      <c r="O800" s="164">
        <v>0</v>
      </c>
      <c r="P800" s="164">
        <v>0</v>
      </c>
      <c r="Q800" s="164">
        <v>0</v>
      </c>
      <c r="R800" s="164">
        <v>0</v>
      </c>
      <c r="S800" s="163" t="str">
        <f t="shared" si="87"/>
        <v/>
      </c>
      <c r="T800" s="163">
        <f>VLOOKUP(A800,'Groupe de branches'!$Z$27:$AM$86,14,FALSE)</f>
        <v>0</v>
      </c>
      <c r="U800" s="163">
        <f>VLOOKUP(D800,'Groupe de branches'!$Z$27:$AM$86,14,FALSE)</f>
        <v>0</v>
      </c>
      <c r="V800" s="163">
        <v>2018</v>
      </c>
      <c r="W800">
        <f>VLOOKUP(D800,'Table corresp.'!$M$4:$S$63,7,FALSE)</f>
        <v>0</v>
      </c>
      <c r="X800" s="167">
        <f>IFERROR(G800/SUMIFS('Comp2016-2017 (3)'!$I$5:$I$289,'Comp2016-2017 (3)'!$A$5:$A$289,A800,'Comp2016-2017 (3)'!$R$5:$R$289,V800),0)</f>
        <v>5.1340170555354947E-2</v>
      </c>
      <c r="Y800" s="178">
        <f>IFERROR(IF(RIGHT(F800,3)="Exp",VLOOKUP(F800,#REF!,2,FALSE),VLOOKUP(F800,#REF!,9,FALSE)),1)</f>
        <v>1</v>
      </c>
      <c r="Z800" s="167">
        <f t="shared" si="89"/>
        <v>3.7037037037037035E-2</v>
      </c>
      <c r="AA800" s="189">
        <f t="shared" si="92"/>
        <v>1.9014877983464795E-3</v>
      </c>
      <c r="AB800" s="2">
        <f>IFERROR(SUMIFS('Comp2016-2017 (3)'!$G$5:$G$289,'Comp2016-2017 (3)'!$A$5:$A$289,A800,'Comp2016-2017 (3)'!$R$5:$R$289,V800)*AA800/SUMIFS($AA$4:$AA$1116,$A$4:$A$1116,A800,$V$4:$V$1116,V800),0)</f>
        <v>599.27392928704523</v>
      </c>
      <c r="AC800" s="2">
        <f>IF($W800=AC$3,$AB800,IF(NOT($W800=0),"",SUMIFS('Val-Vol (2)'!AC$4:AC$1116,'Val-Vol (2)'!$A$4:$A$1116,$D800,'Val-Vol (2)'!$V$4:$V$1116,$V800)/SUMIFS('Comp2016-2017 (3)'!$G$5:$G$289,'Comp2016-2017 (3)'!$A$5:$A$289,$D800,'Comp2016-2017 (3)'!$R$5:$R$289,$V800)*$AB800))</f>
        <v>17.871380437339472</v>
      </c>
      <c r="AD800" s="2">
        <f>IF($W800=AD$3,$AB800,IF(NOT($W800=0),"",SUMIFS('Val-Vol (2)'!AD$4:AD$1116,'Val-Vol (2)'!$A$4:$A$1116,$D800,'Val-Vol (2)'!$V$4:$V$1116,$V800)/SUMIFS('Comp2016-2017 (3)'!$G$5:$G$289,'Comp2016-2017 (3)'!$A$5:$A$289,$D800,'Comp2016-2017 (3)'!$R$5:$R$289,$V800)*$AB800))</f>
        <v>112.16933110615365</v>
      </c>
      <c r="AE800" s="2">
        <f>IF($W800=AE$3,$AB800,IF(NOT($W800=0),"",SUMIFS('Val-Vol (2)'!AE$4:AE$1116,'Val-Vol (2)'!$A$4:$A$1116,$D800,'Val-Vol (2)'!$V$4:$V$1116,$V800)/SUMIFS('Comp2016-2017 (3)'!$G$5:$G$289,'Comp2016-2017 (3)'!$A$5:$A$289,$D800,'Comp2016-2017 (3)'!$R$5:$R$289,$V800)*$AB800))</f>
        <v>3.7925993334861678E-2</v>
      </c>
      <c r="AF800" s="2">
        <f>IF($W800=AF$3,$AB800,IF(NOT($W800=0),"",SUMIFS('Val-Vol (2)'!AF$4:AF$1116,'Val-Vol (2)'!$A$4:$A$1116,$D800,'Val-Vol (2)'!$V$4:$V$1116,$V800)/SUMIFS('Comp2016-2017 (3)'!$G$5:$G$289,'Comp2016-2017 (3)'!$A$5:$A$289,$D800,'Comp2016-2017 (3)'!$R$5:$R$289,$V800)*$AB800))</f>
        <v>0</v>
      </c>
      <c r="AG800" s="2">
        <f>IF($W800=AG$3,$AB800,IF(NOT($W800=0),"",SUMIFS('Val-Vol (2)'!AG$4:AG$1116,'Val-Vol (2)'!$A$4:$A$1116,$D800,'Val-Vol (2)'!$V$4:$V$1116,$V800)/SUMIFS('Comp2016-2017 (3)'!$G$5:$G$289,'Comp2016-2017 (3)'!$A$5:$A$289,$D800,'Comp2016-2017 (3)'!$R$5:$R$289,$V800)*$AB800))</f>
        <v>286.58783918001393</v>
      </c>
      <c r="AH800" s="2">
        <f>IF($W800=AH$3,$AB800,IF(NOT($W800=0),"",SUMIFS('Val-Vol (2)'!AH$4:AH$1116,'Val-Vol (2)'!$A$4:$A$1116,$D800,'Val-Vol (2)'!$V$4:$V$1116,$V800)/SUMIFS('Comp2016-2017 (3)'!$G$5:$G$289,'Comp2016-2017 (3)'!$A$5:$A$289,$D800,'Comp2016-2017 (3)'!$R$5:$R$289,$V800)*$AB800))</f>
        <v>0</v>
      </c>
      <c r="AI800" s="2">
        <f>IF($W800=AI$3,$AB800,IF(NOT($W800=0),"",SUMIFS('Val-Vol (2)'!AI$4:AI$1116,'Val-Vol (2)'!$A$4:$A$1116,$D800,'Val-Vol (2)'!$V$4:$V$1116,$V800)/SUMIFS('Comp2016-2017 (3)'!$G$5:$G$289,'Comp2016-2017 (3)'!$A$5:$A$289,$D800,'Comp2016-2017 (3)'!$R$5:$R$289,$V800)*$AB800))</f>
        <v>0</v>
      </c>
      <c r="AJ800" s="2">
        <f>IF($W800=AJ$3,$AB800,IF(NOT($W800=0),"",SUMIFS('Val-Vol (2)'!AJ$4:AJ$1116,'Val-Vol (2)'!$A$4:$A$1116,$D800,'Val-Vol (2)'!$V$4:$V$1116,$V800)/SUMIFS('Comp2016-2017 (3)'!$G$5:$G$289,'Comp2016-2017 (3)'!$A$5:$A$289,$D800,'Comp2016-2017 (3)'!$R$5:$R$289,$V800)*$AB800))</f>
        <v>182.60745257020332</v>
      </c>
      <c r="AK800" s="2">
        <f t="shared" si="90"/>
        <v>0</v>
      </c>
      <c r="AL800" t="str">
        <f t="shared" si="91"/>
        <v/>
      </c>
      <c r="AM800" t="str">
        <f>VLOOKUP(A800,'Table corresp.'!$M$4:$U$63,8,FALSE)</f>
        <v>Production intermédiaire</v>
      </c>
      <c r="AN800" t="str">
        <f>VLOOKUP(D800,'Table corresp.'!$M$4:$U$63,9,FALSE)</f>
        <v>Production intermédiaire</v>
      </c>
    </row>
    <row r="801" spans="1:40" x14ac:dyDescent="0.25">
      <c r="A801" t="s">
        <v>3</v>
      </c>
      <c r="B801" t="str">
        <f>VLOOKUP(LEFT(A801,3),'Table corresp.'!$A$4:$D$63,3,FALSE)</f>
        <v>Transformation</v>
      </c>
      <c r="C801" t="str">
        <f>VLOOKUP(A801,'Table corresp.'!$M$4:$P$63,4,FALSE)</f>
        <v>Production et transformation de produits bois</v>
      </c>
      <c r="D801" t="s">
        <v>10</v>
      </c>
      <c r="E801" t="str">
        <f>VLOOKUP(LEFT(D801,3),'Table corresp.'!$A$4:$D$63,4,FALSE)</f>
        <v>Transformation</v>
      </c>
      <c r="F801" t="str">
        <f t="shared" si="85"/>
        <v xml:space="preserve">06  - 16 </v>
      </c>
      <c r="G801" s="164">
        <v>882.99302721196898</v>
      </c>
      <c r="H801" s="164">
        <v>0</v>
      </c>
      <c r="I801" s="164">
        <v>882.99302721196898</v>
      </c>
      <c r="J801" s="164">
        <v>0</v>
      </c>
      <c r="K801" s="164">
        <v>0</v>
      </c>
      <c r="L801" s="164">
        <v>0</v>
      </c>
      <c r="M801" s="164">
        <v>0</v>
      </c>
      <c r="N801" s="164">
        <v>0</v>
      </c>
      <c r="O801" s="164">
        <v>0</v>
      </c>
      <c r="P801" s="164">
        <v>0</v>
      </c>
      <c r="Q801" s="164">
        <v>0</v>
      </c>
      <c r="R801" s="164">
        <v>0</v>
      </c>
      <c r="S801" s="163" t="str">
        <f t="shared" si="87"/>
        <v/>
      </c>
      <c r="T801" s="163">
        <f>VLOOKUP(A801,'Groupe de branches'!$Z$27:$AM$86,14,FALSE)</f>
        <v>0</v>
      </c>
      <c r="U801" s="163">
        <f>VLOOKUP(D801,'Groupe de branches'!$Z$27:$AM$86,14,FALSE)</f>
        <v>0</v>
      </c>
      <c r="V801" s="163">
        <v>2018</v>
      </c>
      <c r="W801" t="str">
        <f>VLOOKUP(D801,'Table corresp.'!$M$4:$S$63,7,FALSE)</f>
        <v>Emballage bois et carton</v>
      </c>
      <c r="X801" s="167">
        <f>IFERROR(G801/SUMIFS('Comp2016-2017 (3)'!$I$5:$I$289,'Comp2016-2017 (3)'!$A$5:$A$289,A801,'Comp2016-2017 (3)'!$R$5:$R$289,V801),0)</f>
        <v>3.6505072051957513E-3</v>
      </c>
      <c r="Y801" s="178">
        <f>IFERROR(IF(RIGHT(F801,3)="Exp",VLOOKUP(F801,#REF!,2,FALSE),VLOOKUP(F801,#REF!,9,FALSE)),1)</f>
        <v>1</v>
      </c>
      <c r="Z801" s="167">
        <f t="shared" si="89"/>
        <v>3.7037037037037035E-2</v>
      </c>
      <c r="AA801" s="189">
        <f t="shared" si="92"/>
        <v>1.3520397056280561E-4</v>
      </c>
      <c r="AB801" s="2">
        <f>IFERROR(SUMIFS('Comp2016-2017 (3)'!$G$5:$G$289,'Comp2016-2017 (3)'!$A$5:$A$289,A801,'Comp2016-2017 (3)'!$R$5:$R$289,V801)*AA801/SUMIFS($AA$4:$AA$1116,$A$4:$A$1116,A801,$V$4:$V$1116,V801),0)</f>
        <v>42.610956938477656</v>
      </c>
      <c r="AC801" s="2" t="str">
        <f>IF($W801=AC$3,$AB801,IF(NOT($W801=0),"",SUMIFS('Val-Vol (2)'!AC$4:AC$1116,'Val-Vol (2)'!$A$4:$A$1116,$D801,'Val-Vol (2)'!$V$4:$V$1116,$V801)/SUMIFS('Comp2016-2017 (3)'!$G$5:$G$289,'Comp2016-2017 (3)'!$A$5:$A$289,$D801,'Comp2016-2017 (3)'!$R$5:$R$289,$V801)*$AB801))</f>
        <v/>
      </c>
      <c r="AD801" s="2" t="str">
        <f>IF($W801=AD$3,$AB801,IF(NOT($W801=0),"",SUMIFS('Val-Vol (2)'!AD$4:AD$1116,'Val-Vol (2)'!$A$4:$A$1116,$D801,'Val-Vol (2)'!$V$4:$V$1116,$V801)/SUMIFS('Comp2016-2017 (3)'!$G$5:$G$289,'Comp2016-2017 (3)'!$A$5:$A$289,$D801,'Comp2016-2017 (3)'!$R$5:$R$289,$V801)*$AB801))</f>
        <v/>
      </c>
      <c r="AE801" s="2" t="str">
        <f>IF($W801=AE$3,$AB801,IF(NOT($W801=0),"",SUMIFS('Val-Vol (2)'!AE$4:AE$1116,'Val-Vol (2)'!$A$4:$A$1116,$D801,'Val-Vol (2)'!$V$4:$V$1116,$V801)/SUMIFS('Comp2016-2017 (3)'!$G$5:$G$289,'Comp2016-2017 (3)'!$A$5:$A$289,$D801,'Comp2016-2017 (3)'!$R$5:$R$289,$V801)*$AB801))</f>
        <v/>
      </c>
      <c r="AF801" s="2" t="str">
        <f>IF($W801=AF$3,$AB801,IF(NOT($W801=0),"",SUMIFS('Val-Vol (2)'!AF$4:AF$1116,'Val-Vol (2)'!$A$4:$A$1116,$D801,'Val-Vol (2)'!$V$4:$V$1116,$V801)/SUMIFS('Comp2016-2017 (3)'!$G$5:$G$289,'Comp2016-2017 (3)'!$A$5:$A$289,$D801,'Comp2016-2017 (3)'!$R$5:$R$289,$V801)*$AB801))</f>
        <v/>
      </c>
      <c r="AG801" s="2">
        <f>IF($W801=AG$3,$AB801,IF(NOT($W801=0),"",SUMIFS('Val-Vol (2)'!AG$4:AG$1116,'Val-Vol (2)'!$A$4:$A$1116,$D801,'Val-Vol (2)'!$V$4:$V$1116,$V801)/SUMIFS('Comp2016-2017 (3)'!$G$5:$G$289,'Comp2016-2017 (3)'!$A$5:$A$289,$D801,'Comp2016-2017 (3)'!$R$5:$R$289,$V801)*$AB801))</f>
        <v>42.610956938477656</v>
      </c>
      <c r="AH801" s="2" t="str">
        <f>IF($W801=AH$3,$AB801,IF(NOT($W801=0),"",SUMIFS('Val-Vol (2)'!AH$4:AH$1116,'Val-Vol (2)'!$A$4:$A$1116,$D801,'Val-Vol (2)'!$V$4:$V$1116,$V801)/SUMIFS('Comp2016-2017 (3)'!$G$5:$G$289,'Comp2016-2017 (3)'!$A$5:$A$289,$D801,'Comp2016-2017 (3)'!$R$5:$R$289,$V801)*$AB801))</f>
        <v/>
      </c>
      <c r="AI801" s="2" t="str">
        <f>IF($W801=AI$3,$AB801,IF(NOT($W801=0),"",SUMIFS('Val-Vol (2)'!AI$4:AI$1116,'Val-Vol (2)'!$A$4:$A$1116,$D801,'Val-Vol (2)'!$V$4:$V$1116,$V801)/SUMIFS('Comp2016-2017 (3)'!$G$5:$G$289,'Comp2016-2017 (3)'!$A$5:$A$289,$D801,'Comp2016-2017 (3)'!$R$5:$R$289,$V801)*$AB801))</f>
        <v/>
      </c>
      <c r="AJ801" s="2" t="str">
        <f>IF($W801=AJ$3,$AB801,IF(NOT($W801=0),"",SUMIFS('Val-Vol (2)'!AJ$4:AJ$1116,'Val-Vol (2)'!$A$4:$A$1116,$D801,'Val-Vol (2)'!$V$4:$V$1116,$V801)/SUMIFS('Comp2016-2017 (3)'!$G$5:$G$289,'Comp2016-2017 (3)'!$A$5:$A$289,$D801,'Comp2016-2017 (3)'!$R$5:$R$289,$V801)*$AB801))</f>
        <v/>
      </c>
      <c r="AK801" s="2">
        <f t="shared" si="90"/>
        <v>0</v>
      </c>
      <c r="AL801" t="str">
        <f t="shared" si="91"/>
        <v/>
      </c>
      <c r="AM801" t="str">
        <f>VLOOKUP(A801,'Table corresp.'!$M$4:$U$63,8,FALSE)</f>
        <v>Production intermédiaire</v>
      </c>
      <c r="AN801" t="str">
        <f>VLOOKUP(D801,'Table corresp.'!$M$4:$U$63,9,FALSE)</f>
        <v>Production intermédiaire</v>
      </c>
    </row>
    <row r="802" spans="1:40" x14ac:dyDescent="0.25">
      <c r="A802" t="s">
        <v>3</v>
      </c>
      <c r="B802" t="str">
        <f>VLOOKUP(LEFT(A802,3),'Table corresp.'!$A$4:$D$63,3,FALSE)</f>
        <v>Transformation</v>
      </c>
      <c r="C802" t="str">
        <f>VLOOKUP(A802,'Table corresp.'!$M$4:$P$63,4,FALSE)</f>
        <v>Production et transformation de produits bois</v>
      </c>
      <c r="D802" t="s">
        <v>84</v>
      </c>
      <c r="E802" t="str">
        <f>VLOOKUP(LEFT(D802,3),'Table corresp.'!$A$4:$D$63,4,FALSE)</f>
        <v>Transformation</v>
      </c>
      <c r="F802" t="str">
        <f t="shared" si="85"/>
        <v xml:space="preserve">06  - 17 </v>
      </c>
      <c r="G802" s="164">
        <v>728.93348792539143</v>
      </c>
      <c r="H802" s="164">
        <v>0</v>
      </c>
      <c r="I802" s="164">
        <v>728.93348792539143</v>
      </c>
      <c r="J802" s="164">
        <v>0</v>
      </c>
      <c r="K802" s="164">
        <v>0</v>
      </c>
      <c r="L802" s="164">
        <v>0</v>
      </c>
      <c r="M802" s="164">
        <v>0</v>
      </c>
      <c r="N802" s="164">
        <v>0</v>
      </c>
      <c r="O802" s="164">
        <v>0</v>
      </c>
      <c r="P802" s="164">
        <v>0</v>
      </c>
      <c r="Q802" s="164">
        <v>0</v>
      </c>
      <c r="R802" s="164">
        <v>0</v>
      </c>
      <c r="S802" s="163" t="str">
        <f t="shared" si="87"/>
        <v/>
      </c>
      <c r="T802" s="163">
        <f>VLOOKUP(A802,'Groupe de branches'!$Z$27:$AM$86,14,FALSE)</f>
        <v>0</v>
      </c>
      <c r="U802" s="163">
        <f>VLOOKUP(D802,'Groupe de branches'!$Z$27:$AM$86,14,FALSE)</f>
        <v>0</v>
      </c>
      <c r="V802" s="163">
        <v>2018</v>
      </c>
      <c r="W802" t="str">
        <f>VLOOKUP(D802,'Table corresp.'!$M$4:$S$63,7,FALSE)</f>
        <v>Construction</v>
      </c>
      <c r="X802" s="167">
        <f>IFERROR(G802/SUMIFS('Comp2016-2017 (3)'!$I$5:$I$289,'Comp2016-2017 (3)'!$A$5:$A$289,A802,'Comp2016-2017 (3)'!$R$5:$R$289,V802),0)</f>
        <v>3.013587726940594E-3</v>
      </c>
      <c r="Y802" s="178">
        <f>IFERROR(IF(RIGHT(F802,3)="Exp",VLOOKUP(F802,#REF!,2,FALSE),VLOOKUP(F802,#REF!,9,FALSE)),1)</f>
        <v>1</v>
      </c>
      <c r="Z802" s="167">
        <f t="shared" si="89"/>
        <v>3.7037037037037035E-2</v>
      </c>
      <c r="AA802" s="189">
        <f t="shared" si="92"/>
        <v>1.1161436025705903E-4</v>
      </c>
      <c r="AB802" s="2">
        <f>IFERROR(SUMIFS('Comp2016-2017 (3)'!$G$5:$G$289,'Comp2016-2017 (3)'!$A$5:$A$289,A802,'Comp2016-2017 (3)'!$R$5:$R$289,V802)*AA802/SUMIFS($AA$4:$AA$1116,$A$4:$A$1116,A802,$V$4:$V$1116,V802),0)</f>
        <v>35.176442517418494</v>
      </c>
      <c r="AC802" s="2" t="str">
        <f>IF($W802=AC$3,$AB802,IF(NOT($W802=0),"",SUMIFS('Val-Vol (2)'!AC$4:AC$1116,'Val-Vol (2)'!$A$4:$A$1116,$D802,'Val-Vol (2)'!$V$4:$V$1116,$V802)/SUMIFS('Comp2016-2017 (3)'!$G$5:$G$289,'Comp2016-2017 (3)'!$A$5:$A$289,$D802,'Comp2016-2017 (3)'!$R$5:$R$289,$V802)*$AB802))</f>
        <v/>
      </c>
      <c r="AD802" s="2">
        <f>IF($W802=AD$3,$AB802,IF(NOT($W802=0),"",SUMIFS('Val-Vol (2)'!AD$4:AD$1116,'Val-Vol (2)'!$A$4:$A$1116,$D802,'Val-Vol (2)'!$V$4:$V$1116,$V802)/SUMIFS('Comp2016-2017 (3)'!$G$5:$G$289,'Comp2016-2017 (3)'!$A$5:$A$289,$D802,'Comp2016-2017 (3)'!$R$5:$R$289,$V802)*$AB802))</f>
        <v>35.176442517418494</v>
      </c>
      <c r="AE802" s="2" t="str">
        <f>IF($W802=AE$3,$AB802,IF(NOT($W802=0),"",SUMIFS('Val-Vol (2)'!AE$4:AE$1116,'Val-Vol (2)'!$A$4:$A$1116,$D802,'Val-Vol (2)'!$V$4:$V$1116,$V802)/SUMIFS('Comp2016-2017 (3)'!$G$5:$G$289,'Comp2016-2017 (3)'!$A$5:$A$289,$D802,'Comp2016-2017 (3)'!$R$5:$R$289,$V802)*$AB802))</f>
        <v/>
      </c>
      <c r="AF802" s="2" t="str">
        <f>IF($W802=AF$3,$AB802,IF(NOT($W802=0),"",SUMIFS('Val-Vol (2)'!AF$4:AF$1116,'Val-Vol (2)'!$A$4:$A$1116,$D802,'Val-Vol (2)'!$V$4:$V$1116,$V802)/SUMIFS('Comp2016-2017 (3)'!$G$5:$G$289,'Comp2016-2017 (3)'!$A$5:$A$289,$D802,'Comp2016-2017 (3)'!$R$5:$R$289,$V802)*$AB802))</f>
        <v/>
      </c>
      <c r="AG802" s="2" t="str">
        <f>IF($W802=AG$3,$AB802,IF(NOT($W802=0),"",SUMIFS('Val-Vol (2)'!AG$4:AG$1116,'Val-Vol (2)'!$A$4:$A$1116,$D802,'Val-Vol (2)'!$V$4:$V$1116,$V802)/SUMIFS('Comp2016-2017 (3)'!$G$5:$G$289,'Comp2016-2017 (3)'!$A$5:$A$289,$D802,'Comp2016-2017 (3)'!$R$5:$R$289,$V802)*$AB802))</f>
        <v/>
      </c>
      <c r="AH802" s="2" t="str">
        <f>IF($W802=AH$3,$AB802,IF(NOT($W802=0),"",SUMIFS('Val-Vol (2)'!AH$4:AH$1116,'Val-Vol (2)'!$A$4:$A$1116,$D802,'Val-Vol (2)'!$V$4:$V$1116,$V802)/SUMIFS('Comp2016-2017 (3)'!$G$5:$G$289,'Comp2016-2017 (3)'!$A$5:$A$289,$D802,'Comp2016-2017 (3)'!$R$5:$R$289,$V802)*$AB802))</f>
        <v/>
      </c>
      <c r="AI802" s="2" t="str">
        <f>IF($W802=AI$3,$AB802,IF(NOT($W802=0),"",SUMIFS('Val-Vol (2)'!AI$4:AI$1116,'Val-Vol (2)'!$A$4:$A$1116,$D802,'Val-Vol (2)'!$V$4:$V$1116,$V802)/SUMIFS('Comp2016-2017 (3)'!$G$5:$G$289,'Comp2016-2017 (3)'!$A$5:$A$289,$D802,'Comp2016-2017 (3)'!$R$5:$R$289,$V802)*$AB802))</f>
        <v/>
      </c>
      <c r="AJ802" s="2" t="str">
        <f>IF($W802=AJ$3,$AB802,IF(NOT($W802=0),"",SUMIFS('Val-Vol (2)'!AJ$4:AJ$1116,'Val-Vol (2)'!$A$4:$A$1116,$D802,'Val-Vol (2)'!$V$4:$V$1116,$V802)/SUMIFS('Comp2016-2017 (3)'!$G$5:$G$289,'Comp2016-2017 (3)'!$A$5:$A$289,$D802,'Comp2016-2017 (3)'!$R$5:$R$289,$V802)*$AB802))</f>
        <v/>
      </c>
      <c r="AK802" s="2">
        <f t="shared" si="90"/>
        <v>0</v>
      </c>
      <c r="AL802" t="str">
        <f t="shared" si="91"/>
        <v/>
      </c>
      <c r="AM802" t="str">
        <f>VLOOKUP(A802,'Table corresp.'!$M$4:$U$63,8,FALSE)</f>
        <v>Production intermédiaire</v>
      </c>
      <c r="AN802" t="str">
        <f>VLOOKUP(D802,'Table corresp.'!$M$4:$U$63,9,FALSE)</f>
        <v>Production intermédiaire</v>
      </c>
    </row>
    <row r="803" spans="1:40" x14ac:dyDescent="0.25">
      <c r="A803" t="s">
        <v>3</v>
      </c>
      <c r="B803" t="str">
        <f>VLOOKUP(LEFT(A803,3),'Table corresp.'!$A$4:$D$63,3,FALSE)</f>
        <v>Transformation</v>
      </c>
      <c r="C803" t="str">
        <f>VLOOKUP(A803,'Table corresp.'!$M$4:$P$63,4,FALSE)</f>
        <v>Production et transformation de produits bois</v>
      </c>
      <c r="D803" t="s">
        <v>86</v>
      </c>
      <c r="E803" t="str">
        <f>VLOOKUP(LEFT(D803,3),'Table corresp.'!$A$4:$D$63,4,FALSE)</f>
        <v>Transformation</v>
      </c>
      <c r="F803" t="str">
        <f t="shared" si="85"/>
        <v xml:space="preserve">06  - 30 </v>
      </c>
      <c r="G803" s="164">
        <v>17820.908563836696</v>
      </c>
      <c r="H803" s="164">
        <v>0</v>
      </c>
      <c r="I803" s="164">
        <v>17820.908563836696</v>
      </c>
      <c r="J803" s="164">
        <v>0</v>
      </c>
      <c r="K803" s="164">
        <v>0</v>
      </c>
      <c r="L803" s="164">
        <v>0</v>
      </c>
      <c r="M803" s="164">
        <v>0</v>
      </c>
      <c r="N803" s="164">
        <v>0</v>
      </c>
      <c r="O803" s="164">
        <v>0</v>
      </c>
      <c r="P803" s="164">
        <v>0</v>
      </c>
      <c r="Q803" s="164">
        <v>0</v>
      </c>
      <c r="R803" s="164">
        <v>0</v>
      </c>
      <c r="S803" s="163" t="str">
        <f t="shared" si="87"/>
        <v/>
      </c>
      <c r="T803" s="163">
        <f>VLOOKUP(A803,'Groupe de branches'!$Z$27:$AM$86,14,FALSE)</f>
        <v>0</v>
      </c>
      <c r="U803" s="163">
        <f>VLOOKUP(D803,'Groupe de branches'!$Z$27:$AM$86,14,FALSE)</f>
        <v>1</v>
      </c>
      <c r="V803" s="163">
        <v>2018</v>
      </c>
      <c r="W803" t="str">
        <f>VLOOKUP(D803,'Table corresp.'!$M$4:$S$63,7,FALSE)</f>
        <v>Energie</v>
      </c>
      <c r="X803" s="167">
        <f>IFERROR(G803/SUMIFS('Comp2016-2017 (3)'!$I$5:$I$289,'Comp2016-2017 (3)'!$A$5:$A$289,A803,'Comp2016-2017 (3)'!$R$5:$R$289,V803),0)</f>
        <v>7.3675955653728517E-2</v>
      </c>
      <c r="Y803" s="178">
        <f>IFERROR(IF(RIGHT(F803,3)="Exp",VLOOKUP(F803,#REF!,2,FALSE),VLOOKUP(F803,#REF!,9,FALSE)),1)</f>
        <v>1</v>
      </c>
      <c r="Z803" s="167">
        <f t="shared" ref="Z803:Z808" si="93">Y803/SUMIFS($Y$4:$Y$1116,$V$4:$V$1116,V803,$A$4:$A$1116,A803)</f>
        <v>3.7037037037037035E-2</v>
      </c>
      <c r="AA803" s="189">
        <f t="shared" si="92"/>
        <v>2.7287390982862411E-3</v>
      </c>
      <c r="AB803" s="2">
        <f>IFERROR(SUMIFS('Comp2016-2017 (3)'!$G$5:$G$289,'Comp2016-2017 (3)'!$A$5:$A$289,A803,'Comp2016-2017 (3)'!$R$5:$R$289,V803)*AA803/SUMIFS($AA$4:$AA$1116,$A$4:$A$1116,A803,$V$4:$V$1116,V803),0)</f>
        <v>859.99089915338766</v>
      </c>
      <c r="AC803" s="2" t="str">
        <f>IF($W803=AC$3,$AB803,IF(NOT($W803=0),"",SUMIFS('Val-Vol (2)'!AC$4:AC$1116,'Val-Vol (2)'!$A$4:$A$1116,$D803,'Val-Vol (2)'!$V$4:$V$1116,$V803)/SUMIFS('Comp2016-2017 (3)'!$G$5:$G$289,'Comp2016-2017 (3)'!$A$5:$A$289,$D803,'Comp2016-2017 (3)'!$R$5:$R$289,$V803)*$AB803))</f>
        <v/>
      </c>
      <c r="AD803" s="2" t="str">
        <f>IF($W803=AD$3,$AB803,IF(NOT($W803=0),"",SUMIFS('Val-Vol (2)'!AD$4:AD$1116,'Val-Vol (2)'!$A$4:$A$1116,$D803,'Val-Vol (2)'!$V$4:$V$1116,$V803)/SUMIFS('Comp2016-2017 (3)'!$G$5:$G$289,'Comp2016-2017 (3)'!$A$5:$A$289,$D803,'Comp2016-2017 (3)'!$R$5:$R$289,$V803)*$AB803))</f>
        <v/>
      </c>
      <c r="AE803" s="2" t="str">
        <f>IF($W803=AE$3,$AB803,IF(NOT($W803=0),"",SUMIFS('Val-Vol (2)'!AE$4:AE$1116,'Val-Vol (2)'!$A$4:$A$1116,$D803,'Val-Vol (2)'!$V$4:$V$1116,$V803)/SUMIFS('Comp2016-2017 (3)'!$G$5:$G$289,'Comp2016-2017 (3)'!$A$5:$A$289,$D803,'Comp2016-2017 (3)'!$R$5:$R$289,$V803)*$AB803))</f>
        <v/>
      </c>
      <c r="AF803" s="2" t="str">
        <f>IF($W803=AF$3,$AB803,IF(NOT($W803=0),"",SUMIFS('Val-Vol (2)'!AF$4:AF$1116,'Val-Vol (2)'!$A$4:$A$1116,$D803,'Val-Vol (2)'!$V$4:$V$1116,$V803)/SUMIFS('Comp2016-2017 (3)'!$G$5:$G$289,'Comp2016-2017 (3)'!$A$5:$A$289,$D803,'Comp2016-2017 (3)'!$R$5:$R$289,$V803)*$AB803))</f>
        <v/>
      </c>
      <c r="AG803" s="2" t="str">
        <f>IF($W803=AG$3,$AB803,IF(NOT($W803=0),"",SUMIFS('Val-Vol (2)'!AG$4:AG$1116,'Val-Vol (2)'!$A$4:$A$1116,$D803,'Val-Vol (2)'!$V$4:$V$1116,$V803)/SUMIFS('Comp2016-2017 (3)'!$G$5:$G$289,'Comp2016-2017 (3)'!$A$5:$A$289,$D803,'Comp2016-2017 (3)'!$R$5:$R$289,$V803)*$AB803))</f>
        <v/>
      </c>
      <c r="AH803" s="2">
        <f>IF($W803=AH$3,$AB803,IF(NOT($W803=0),"",SUMIFS('Val-Vol (2)'!AH$4:AH$1116,'Val-Vol (2)'!$A$4:$A$1116,$D803,'Val-Vol (2)'!$V$4:$V$1116,$V803)/SUMIFS('Comp2016-2017 (3)'!$G$5:$G$289,'Comp2016-2017 (3)'!$A$5:$A$289,$D803,'Comp2016-2017 (3)'!$R$5:$R$289,$V803)*$AB803))</f>
        <v>859.99089915338766</v>
      </c>
      <c r="AI803" s="2" t="str">
        <f>IF($W803=AI$3,$AB803,IF(NOT($W803=0),"",SUMIFS('Val-Vol (2)'!AI$4:AI$1116,'Val-Vol (2)'!$A$4:$A$1116,$D803,'Val-Vol (2)'!$V$4:$V$1116,$V803)/SUMIFS('Comp2016-2017 (3)'!$G$5:$G$289,'Comp2016-2017 (3)'!$A$5:$A$289,$D803,'Comp2016-2017 (3)'!$R$5:$R$289,$V803)*$AB803))</f>
        <v/>
      </c>
      <c r="AJ803" s="2" t="str">
        <f>IF($W803=AJ$3,$AB803,IF(NOT($W803=0),"",SUMIFS('Val-Vol (2)'!AJ$4:AJ$1116,'Val-Vol (2)'!$A$4:$A$1116,$D803,'Val-Vol (2)'!$V$4:$V$1116,$V803)/SUMIFS('Comp2016-2017 (3)'!$G$5:$G$289,'Comp2016-2017 (3)'!$A$5:$A$289,$D803,'Comp2016-2017 (3)'!$R$5:$R$289,$V803)*$AB803))</f>
        <v/>
      </c>
      <c r="AK803" s="2">
        <f t="shared" si="90"/>
        <v>0</v>
      </c>
      <c r="AL803" t="str">
        <f t="shared" si="91"/>
        <v/>
      </c>
      <c r="AM803" t="str">
        <f>VLOOKUP(A803,'Table corresp.'!$M$4:$U$63,8,FALSE)</f>
        <v>Production intermédiaire</v>
      </c>
      <c r="AN803" t="str">
        <f>VLOOKUP(D803,'Table corresp.'!$M$4:$U$63,9,FALSE)</f>
        <v>Production intermédiaire</v>
      </c>
    </row>
    <row r="804" spans="1:40" x14ac:dyDescent="0.25">
      <c r="A804" t="s">
        <v>3</v>
      </c>
      <c r="B804" t="str">
        <f>VLOOKUP(LEFT(A804,3),'Table corresp.'!$A$4:$D$63,3,FALSE)</f>
        <v>Transformation</v>
      </c>
      <c r="C804" t="str">
        <f>VLOOKUP(A804,'Table corresp.'!$M$4:$P$63,4,FALSE)</f>
        <v>Production et transformation de produits bois</v>
      </c>
      <c r="D804" t="s">
        <v>87</v>
      </c>
      <c r="E804" t="str">
        <f>VLOOKUP(LEFT(D804,3),'Table corresp.'!$A$4:$D$63,4,FALSE)</f>
        <v>Transformation</v>
      </c>
      <c r="F804" t="str">
        <f t="shared" si="85"/>
        <v xml:space="preserve">06  - 31 </v>
      </c>
      <c r="G804" s="164">
        <v>15241.50035381188</v>
      </c>
      <c r="H804" s="164">
        <v>0</v>
      </c>
      <c r="I804" s="164">
        <v>15241.50035381188</v>
      </c>
      <c r="J804" s="164">
        <v>0</v>
      </c>
      <c r="K804" s="164">
        <v>0</v>
      </c>
      <c r="L804" s="164">
        <v>0</v>
      </c>
      <c r="M804" s="164">
        <v>0</v>
      </c>
      <c r="N804" s="164">
        <v>0</v>
      </c>
      <c r="O804" s="164">
        <v>0</v>
      </c>
      <c r="P804" s="164">
        <v>0</v>
      </c>
      <c r="Q804" s="164">
        <v>0</v>
      </c>
      <c r="R804" s="164">
        <v>0</v>
      </c>
      <c r="S804" s="163" t="str">
        <f t="shared" si="87"/>
        <v/>
      </c>
      <c r="T804" s="163">
        <f>VLOOKUP(A804,'Groupe de branches'!$Z$27:$AM$86,14,FALSE)</f>
        <v>0</v>
      </c>
      <c r="U804" s="163">
        <f>VLOOKUP(D804,'Groupe de branches'!$Z$27:$AM$86,14,FALSE)</f>
        <v>0</v>
      </c>
      <c r="V804" s="163">
        <v>2018</v>
      </c>
      <c r="W804">
        <f>VLOOKUP(D804,'Table corresp.'!$M$4:$S$63,7,FALSE)</f>
        <v>0</v>
      </c>
      <c r="X804" s="167">
        <f>IFERROR(G804/SUMIFS('Comp2016-2017 (3)'!$I$5:$I$289,'Comp2016-2017 (3)'!$A$5:$A$289,A804,'Comp2016-2017 (3)'!$R$5:$R$289,V804),0)</f>
        <v>6.3012056884824363E-2</v>
      </c>
      <c r="Y804" s="178">
        <f>IFERROR(IF(RIGHT(F804,3)="Exp",VLOOKUP(F804,#REF!,2,FALSE),VLOOKUP(F804,#REF!,9,FALSE)),1)</f>
        <v>1</v>
      </c>
      <c r="Z804" s="167">
        <f t="shared" si="93"/>
        <v>3.7037037037037035E-2</v>
      </c>
      <c r="AA804" s="189">
        <f t="shared" si="92"/>
        <v>2.3337798846231246E-3</v>
      </c>
      <c r="AB804" s="2">
        <f>IFERROR(SUMIFS('Comp2016-2017 (3)'!$G$5:$G$289,'Comp2016-2017 (3)'!$A$5:$A$289,A804,'Comp2016-2017 (3)'!$R$5:$R$289,V804)*AA804/SUMIFS($AA$4:$AA$1116,$A$4:$A$1116,A804,$V$4:$V$1116,V804),0)</f>
        <v>735.51533844464143</v>
      </c>
      <c r="AC804" s="2">
        <f>IF($W804=AC$3,$AB804,IF(NOT($W804=0),"",SUMIFS('Val-Vol (2)'!AC$4:AC$1116,'Val-Vol (2)'!$A$4:$A$1116,$D804,'Val-Vol (2)'!$V$4:$V$1116,$V804)/SUMIFS('Comp2016-2017 (3)'!$G$5:$G$289,'Comp2016-2017 (3)'!$A$5:$A$289,$D804,'Comp2016-2017 (3)'!$R$5:$R$289,$V804)*$AB804))</f>
        <v>413.28862419492424</v>
      </c>
      <c r="AD804" s="2">
        <f>IF($W804=AD$3,$AB804,IF(NOT($W804=0),"",SUMIFS('Val-Vol (2)'!AD$4:AD$1116,'Val-Vol (2)'!$A$4:$A$1116,$D804,'Val-Vol (2)'!$V$4:$V$1116,$V804)/SUMIFS('Comp2016-2017 (3)'!$G$5:$G$289,'Comp2016-2017 (3)'!$A$5:$A$289,$D804,'Comp2016-2017 (3)'!$R$5:$R$289,$V804)*$AB804))</f>
        <v>130.8461731331239</v>
      </c>
      <c r="AE804" s="2">
        <f>IF($W804=AE$3,$AB804,IF(NOT($W804=0),"",SUMIFS('Val-Vol (2)'!AE$4:AE$1116,'Val-Vol (2)'!$A$4:$A$1116,$D804,'Val-Vol (2)'!$V$4:$V$1116,$V804)/SUMIFS('Comp2016-2017 (3)'!$G$5:$G$289,'Comp2016-2017 (3)'!$A$5:$A$289,$D804,'Comp2016-2017 (3)'!$R$5:$R$289,$V804)*$AB804))</f>
        <v>105.54808762456948</v>
      </c>
      <c r="AF804" s="2">
        <f>IF($W804=AF$3,$AB804,IF(NOT($W804=0),"",SUMIFS('Val-Vol (2)'!AF$4:AF$1116,'Val-Vol (2)'!$A$4:$A$1116,$D804,'Val-Vol (2)'!$V$4:$V$1116,$V804)/SUMIFS('Comp2016-2017 (3)'!$G$5:$G$289,'Comp2016-2017 (3)'!$A$5:$A$289,$D804,'Comp2016-2017 (3)'!$R$5:$R$289,$V804)*$AB804))</f>
        <v>0</v>
      </c>
      <c r="AG804" s="2">
        <f>IF($W804=AG$3,$AB804,IF(NOT($W804=0),"",SUMIFS('Val-Vol (2)'!AG$4:AG$1116,'Val-Vol (2)'!$A$4:$A$1116,$D804,'Val-Vol (2)'!$V$4:$V$1116,$V804)/SUMIFS('Comp2016-2017 (3)'!$G$5:$G$289,'Comp2016-2017 (3)'!$A$5:$A$289,$D804,'Comp2016-2017 (3)'!$R$5:$R$289,$V804)*$AB804))</f>
        <v>54.914241459313487</v>
      </c>
      <c r="AH804" s="2">
        <f>IF($W804=AH$3,$AB804,IF(NOT($W804=0),"",SUMIFS('Val-Vol (2)'!AH$4:AH$1116,'Val-Vol (2)'!$A$4:$A$1116,$D804,'Val-Vol (2)'!$V$4:$V$1116,$V804)/SUMIFS('Comp2016-2017 (3)'!$G$5:$G$289,'Comp2016-2017 (3)'!$A$5:$A$289,$D804,'Comp2016-2017 (3)'!$R$5:$R$289,$V804)*$AB804))</f>
        <v>0</v>
      </c>
      <c r="AI804" s="2">
        <f>IF($W804=AI$3,$AB804,IF(NOT($W804=0),"",SUMIFS('Val-Vol (2)'!AI$4:AI$1116,'Val-Vol (2)'!$A$4:$A$1116,$D804,'Val-Vol (2)'!$V$4:$V$1116,$V804)/SUMIFS('Comp2016-2017 (3)'!$G$5:$G$289,'Comp2016-2017 (3)'!$A$5:$A$289,$D804,'Comp2016-2017 (3)'!$R$5:$R$289,$V804)*$AB804))</f>
        <v>0</v>
      </c>
      <c r="AJ804" s="2">
        <f>IF($W804=AJ$3,$AB804,IF(NOT($W804=0),"",SUMIFS('Val-Vol (2)'!AJ$4:AJ$1116,'Val-Vol (2)'!$A$4:$A$1116,$D804,'Val-Vol (2)'!$V$4:$V$1116,$V804)/SUMIFS('Comp2016-2017 (3)'!$G$5:$G$289,'Comp2016-2017 (3)'!$A$5:$A$289,$D804,'Comp2016-2017 (3)'!$R$5:$R$289,$V804)*$AB804))</f>
        <v>30.918212032710404</v>
      </c>
      <c r="AK804" s="2">
        <f t="shared" si="90"/>
        <v>0</v>
      </c>
      <c r="AL804" t="str">
        <f t="shared" si="91"/>
        <v/>
      </c>
      <c r="AM804" t="str">
        <f>VLOOKUP(A804,'Table corresp.'!$M$4:$U$63,8,FALSE)</f>
        <v>Production intermédiaire</v>
      </c>
      <c r="AN804" t="str">
        <f>VLOOKUP(D804,'Table corresp.'!$M$4:$U$63,9,FALSE)</f>
        <v>Production intermédiaire</v>
      </c>
    </row>
    <row r="805" spans="1:40" x14ac:dyDescent="0.25">
      <c r="A805" t="s">
        <v>3</v>
      </c>
      <c r="B805" t="str">
        <f>VLOOKUP(LEFT(A805,3),'Table corresp.'!$A$4:$D$63,3,FALSE)</f>
        <v>Transformation</v>
      </c>
      <c r="C805" t="str">
        <f>VLOOKUP(A805,'Table corresp.'!$M$4:$P$63,4,FALSE)</f>
        <v>Production et transformation de produits bois</v>
      </c>
      <c r="D805" t="s">
        <v>91</v>
      </c>
      <c r="E805" t="str">
        <f>VLOOKUP(LEFT(D805,3),'Table corresp.'!$A$4:$D$63,4,FALSE)</f>
        <v>Transformation</v>
      </c>
      <c r="F805" t="str">
        <f t="shared" si="85"/>
        <v xml:space="preserve">06  - 37 </v>
      </c>
      <c r="G805" s="164">
        <v>4651.4314647152005</v>
      </c>
      <c r="H805" s="164">
        <v>0</v>
      </c>
      <c r="I805" s="164">
        <v>4651.4314647152005</v>
      </c>
      <c r="J805" s="164">
        <v>0</v>
      </c>
      <c r="K805" s="164">
        <v>0</v>
      </c>
      <c r="L805" s="164">
        <v>0</v>
      </c>
      <c r="M805" s="164">
        <v>0</v>
      </c>
      <c r="N805" s="164">
        <v>0</v>
      </c>
      <c r="O805" s="164">
        <v>0</v>
      </c>
      <c r="P805" s="164">
        <v>0</v>
      </c>
      <c r="Q805" s="164">
        <v>0</v>
      </c>
      <c r="R805" s="164">
        <v>0</v>
      </c>
      <c r="S805" s="163" t="str">
        <f t="shared" si="87"/>
        <v/>
      </c>
      <c r="T805" s="163">
        <f>VLOOKUP(A805,'Groupe de branches'!$Z$27:$AM$86,14,FALSE)</f>
        <v>0</v>
      </c>
      <c r="U805" s="163">
        <f>VLOOKUP(D805,'Groupe de branches'!$Z$27:$AM$86,14,FALSE)</f>
        <v>0</v>
      </c>
      <c r="V805" s="163">
        <v>2018</v>
      </c>
      <c r="W805" t="str">
        <f>VLOOKUP(D805,'Table corresp.'!$M$4:$S$63,7,FALSE)</f>
        <v>Emballage bois et carton</v>
      </c>
      <c r="X805" s="167">
        <f>IFERROR(G805/SUMIFS('Comp2016-2017 (3)'!$I$5:$I$289,'Comp2016-2017 (3)'!$A$5:$A$289,A805,'Comp2016-2017 (3)'!$R$5:$R$289,V805),0)</f>
        <v>1.9230145146254787E-2</v>
      </c>
      <c r="Y805" s="178">
        <f>IFERROR(IF(RIGHT(F805,3)="Exp",VLOOKUP(F805,#REF!,2,FALSE),VLOOKUP(F805,#REF!,9,FALSE)),1)</f>
        <v>1</v>
      </c>
      <c r="Z805" s="167">
        <f t="shared" si="93"/>
        <v>3.7037037037037035E-2</v>
      </c>
      <c r="AA805" s="189">
        <f t="shared" si="92"/>
        <v>7.1222759800943652E-4</v>
      </c>
      <c r="AB805" s="2">
        <f>IFERROR(SUMIFS('Comp2016-2017 (3)'!$G$5:$G$289,'Comp2016-2017 (3)'!$A$5:$A$289,A805,'Comp2016-2017 (3)'!$R$5:$R$289,V805)*AA805/SUMIFS($AA$4:$AA$1116,$A$4:$A$1116,A805,$V$4:$V$1116,V805),0)</f>
        <v>224.46603737186658</v>
      </c>
      <c r="AC805" s="2" t="str">
        <f>IF($W805=AC$3,$AB805,IF(NOT($W805=0),"",SUMIFS('Val-Vol (2)'!AC$4:AC$1116,'Val-Vol (2)'!$A$4:$A$1116,$D805,'Val-Vol (2)'!$V$4:$V$1116,$V805)/SUMIFS('Comp2016-2017 (3)'!$G$5:$G$289,'Comp2016-2017 (3)'!$A$5:$A$289,$D805,'Comp2016-2017 (3)'!$R$5:$R$289,$V805)*$AB805))</f>
        <v/>
      </c>
      <c r="AD805" s="2" t="str">
        <f>IF($W805=AD$3,$AB805,IF(NOT($W805=0),"",SUMIFS('Val-Vol (2)'!AD$4:AD$1116,'Val-Vol (2)'!$A$4:$A$1116,$D805,'Val-Vol (2)'!$V$4:$V$1116,$V805)/SUMIFS('Comp2016-2017 (3)'!$G$5:$G$289,'Comp2016-2017 (3)'!$A$5:$A$289,$D805,'Comp2016-2017 (3)'!$R$5:$R$289,$V805)*$AB805))</f>
        <v/>
      </c>
      <c r="AE805" s="2" t="str">
        <f>IF($W805=AE$3,$AB805,IF(NOT($W805=0),"",SUMIFS('Val-Vol (2)'!AE$4:AE$1116,'Val-Vol (2)'!$A$4:$A$1116,$D805,'Val-Vol (2)'!$V$4:$V$1116,$V805)/SUMIFS('Comp2016-2017 (3)'!$G$5:$G$289,'Comp2016-2017 (3)'!$A$5:$A$289,$D805,'Comp2016-2017 (3)'!$R$5:$R$289,$V805)*$AB805))</f>
        <v/>
      </c>
      <c r="AF805" s="2" t="str">
        <f>IF($W805=AF$3,$AB805,IF(NOT($W805=0),"",SUMIFS('Val-Vol (2)'!AF$4:AF$1116,'Val-Vol (2)'!$A$4:$A$1116,$D805,'Val-Vol (2)'!$V$4:$V$1116,$V805)/SUMIFS('Comp2016-2017 (3)'!$G$5:$G$289,'Comp2016-2017 (3)'!$A$5:$A$289,$D805,'Comp2016-2017 (3)'!$R$5:$R$289,$V805)*$AB805))</f>
        <v/>
      </c>
      <c r="AG805" s="2">
        <f>IF($W805=AG$3,$AB805,IF(NOT($W805=0),"",SUMIFS('Val-Vol (2)'!AG$4:AG$1116,'Val-Vol (2)'!$A$4:$A$1116,$D805,'Val-Vol (2)'!$V$4:$V$1116,$V805)/SUMIFS('Comp2016-2017 (3)'!$G$5:$G$289,'Comp2016-2017 (3)'!$A$5:$A$289,$D805,'Comp2016-2017 (3)'!$R$5:$R$289,$V805)*$AB805))</f>
        <v>224.46603737186658</v>
      </c>
      <c r="AH805" s="2" t="str">
        <f>IF($W805=AH$3,$AB805,IF(NOT($W805=0),"",SUMIFS('Val-Vol (2)'!AH$4:AH$1116,'Val-Vol (2)'!$A$4:$A$1116,$D805,'Val-Vol (2)'!$V$4:$V$1116,$V805)/SUMIFS('Comp2016-2017 (3)'!$G$5:$G$289,'Comp2016-2017 (3)'!$A$5:$A$289,$D805,'Comp2016-2017 (3)'!$R$5:$R$289,$V805)*$AB805))</f>
        <v/>
      </c>
      <c r="AI805" s="2" t="str">
        <f>IF($W805=AI$3,$AB805,IF(NOT($W805=0),"",SUMIFS('Val-Vol (2)'!AI$4:AI$1116,'Val-Vol (2)'!$A$4:$A$1116,$D805,'Val-Vol (2)'!$V$4:$V$1116,$V805)/SUMIFS('Comp2016-2017 (3)'!$G$5:$G$289,'Comp2016-2017 (3)'!$A$5:$A$289,$D805,'Comp2016-2017 (3)'!$R$5:$R$289,$V805)*$AB805))</f>
        <v/>
      </c>
      <c r="AJ805" s="2" t="str">
        <f>IF($W805=AJ$3,$AB805,IF(NOT($W805=0),"",SUMIFS('Val-Vol (2)'!AJ$4:AJ$1116,'Val-Vol (2)'!$A$4:$A$1116,$D805,'Val-Vol (2)'!$V$4:$V$1116,$V805)/SUMIFS('Comp2016-2017 (3)'!$G$5:$G$289,'Comp2016-2017 (3)'!$A$5:$A$289,$D805,'Comp2016-2017 (3)'!$R$5:$R$289,$V805)*$AB805))</f>
        <v/>
      </c>
      <c r="AK805" s="2">
        <f t="shared" si="90"/>
        <v>0</v>
      </c>
      <c r="AL805" t="str">
        <f t="shared" si="91"/>
        <v/>
      </c>
      <c r="AM805" t="str">
        <f>VLOOKUP(A805,'Table corresp.'!$M$4:$U$63,8,FALSE)</f>
        <v>Production intermédiaire</v>
      </c>
      <c r="AN805" t="str">
        <f>VLOOKUP(D805,'Table corresp.'!$M$4:$U$63,9,FALSE)</f>
        <v>Production finale</v>
      </c>
    </row>
    <row r="806" spans="1:40" x14ac:dyDescent="0.25">
      <c r="A806" t="s">
        <v>3</v>
      </c>
      <c r="B806" t="str">
        <f>VLOOKUP(LEFT(A806,3),'Table corresp.'!$A$4:$D$63,3,FALSE)</f>
        <v>Transformation</v>
      </c>
      <c r="C806" t="str">
        <f>VLOOKUP(A806,'Table corresp.'!$M$4:$P$63,4,FALSE)</f>
        <v>Production et transformation de produits bois</v>
      </c>
      <c r="D806" t="s">
        <v>95</v>
      </c>
      <c r="E806" t="str">
        <f>VLOOKUP(LEFT(D806,3),'Table corresp.'!$A$4:$D$63,4,FALSE)</f>
        <v>Transformation</v>
      </c>
      <c r="F806" t="str">
        <f t="shared" si="85"/>
        <v xml:space="preserve">06  - 43 </v>
      </c>
      <c r="G806" s="164">
        <v>14290.132976875493</v>
      </c>
      <c r="H806" s="164">
        <v>0</v>
      </c>
      <c r="I806" s="164">
        <v>14290.132976875493</v>
      </c>
      <c r="J806" s="164">
        <v>0</v>
      </c>
      <c r="K806" s="164">
        <v>0</v>
      </c>
      <c r="L806" s="164">
        <v>0</v>
      </c>
      <c r="M806" s="164">
        <v>0</v>
      </c>
      <c r="N806" s="164">
        <v>0</v>
      </c>
      <c r="O806" s="164">
        <v>0</v>
      </c>
      <c r="P806" s="164">
        <v>0</v>
      </c>
      <c r="Q806" s="164">
        <v>0</v>
      </c>
      <c r="R806" s="164">
        <v>0</v>
      </c>
      <c r="S806" s="163" t="str">
        <f t="shared" si="87"/>
        <v/>
      </c>
      <c r="T806" s="163">
        <f>VLOOKUP(A806,'Groupe de branches'!$Z$27:$AM$86,14,FALSE)</f>
        <v>0</v>
      </c>
      <c r="U806" s="163">
        <f>VLOOKUP(D806,'Groupe de branches'!$Z$27:$AM$86,14,FALSE)</f>
        <v>0</v>
      </c>
      <c r="V806" s="163">
        <v>2018</v>
      </c>
      <c r="W806" t="str">
        <f>VLOOKUP(D806,'Table corresp.'!$M$4:$S$63,7,FALSE)</f>
        <v>Pate &amp; papier &amp; carton</v>
      </c>
      <c r="X806" s="167">
        <f>IFERROR(G806/SUMIFS('Comp2016-2017 (3)'!$I$5:$I$289,'Comp2016-2017 (3)'!$A$5:$A$289,A806,'Comp2016-2017 (3)'!$R$5:$R$289,V806),0)</f>
        <v>5.9078873544452702E-2</v>
      </c>
      <c r="Y806" s="178">
        <f>IFERROR(IF(RIGHT(F806,3)="Exp",VLOOKUP(F806,#REF!,2,FALSE),VLOOKUP(F806,#REF!,9,FALSE)),1)</f>
        <v>1</v>
      </c>
      <c r="Z806" s="167">
        <f t="shared" si="93"/>
        <v>3.7037037037037035E-2</v>
      </c>
      <c r="AA806" s="189">
        <f t="shared" si="92"/>
        <v>2.1881064275723222E-3</v>
      </c>
      <c r="AB806" s="2">
        <f>IFERROR(SUMIFS('Comp2016-2017 (3)'!$G$5:$G$289,'Comp2016-2017 (3)'!$A$5:$A$289,A806,'Comp2016-2017 (3)'!$R$5:$R$289,V806)*AA806/SUMIFS($AA$4:$AA$1116,$A$4:$A$1116,A806,$V$4:$V$1116,V806),0)</f>
        <v>689.60481244727453</v>
      </c>
      <c r="AC806" s="2" t="str">
        <f>IF($W806=AC$3,$AB806,IF(NOT($W806=0),"",SUMIFS('Val-Vol (2)'!AC$4:AC$1116,'Val-Vol (2)'!$A$4:$A$1116,$D806,'Val-Vol (2)'!$V$4:$V$1116,$V806)/SUMIFS('Comp2016-2017 (3)'!$G$5:$G$289,'Comp2016-2017 (3)'!$A$5:$A$289,$D806,'Comp2016-2017 (3)'!$R$5:$R$289,$V806)*$AB806))</f>
        <v/>
      </c>
      <c r="AD806" s="2" t="str">
        <f>IF($W806=AD$3,$AB806,IF(NOT($W806=0),"",SUMIFS('Val-Vol (2)'!AD$4:AD$1116,'Val-Vol (2)'!$A$4:$A$1116,$D806,'Val-Vol (2)'!$V$4:$V$1116,$V806)/SUMIFS('Comp2016-2017 (3)'!$G$5:$G$289,'Comp2016-2017 (3)'!$A$5:$A$289,$D806,'Comp2016-2017 (3)'!$R$5:$R$289,$V806)*$AB806))</f>
        <v/>
      </c>
      <c r="AE806" s="2" t="str">
        <f>IF($W806=AE$3,$AB806,IF(NOT($W806=0),"",SUMIFS('Val-Vol (2)'!AE$4:AE$1116,'Val-Vol (2)'!$A$4:$A$1116,$D806,'Val-Vol (2)'!$V$4:$V$1116,$V806)/SUMIFS('Comp2016-2017 (3)'!$G$5:$G$289,'Comp2016-2017 (3)'!$A$5:$A$289,$D806,'Comp2016-2017 (3)'!$R$5:$R$289,$V806)*$AB806))</f>
        <v/>
      </c>
      <c r="AF806" s="2">
        <f>IF($W806=AF$3,$AB806,IF(NOT($W806=0),"",SUMIFS('Val-Vol (2)'!AF$4:AF$1116,'Val-Vol (2)'!$A$4:$A$1116,$D806,'Val-Vol (2)'!$V$4:$V$1116,$V806)/SUMIFS('Comp2016-2017 (3)'!$G$5:$G$289,'Comp2016-2017 (3)'!$A$5:$A$289,$D806,'Comp2016-2017 (3)'!$R$5:$R$289,$V806)*$AB806))</f>
        <v>689.60481244727453</v>
      </c>
      <c r="AG806" s="2" t="str">
        <f>IF($W806=AG$3,$AB806,IF(NOT($W806=0),"",SUMIFS('Val-Vol (2)'!AG$4:AG$1116,'Val-Vol (2)'!$A$4:$A$1116,$D806,'Val-Vol (2)'!$V$4:$V$1116,$V806)/SUMIFS('Comp2016-2017 (3)'!$G$5:$G$289,'Comp2016-2017 (3)'!$A$5:$A$289,$D806,'Comp2016-2017 (3)'!$R$5:$R$289,$V806)*$AB806))</f>
        <v/>
      </c>
      <c r="AH806" s="2" t="str">
        <f>IF($W806=AH$3,$AB806,IF(NOT($W806=0),"",SUMIFS('Val-Vol (2)'!AH$4:AH$1116,'Val-Vol (2)'!$A$4:$A$1116,$D806,'Val-Vol (2)'!$V$4:$V$1116,$V806)/SUMIFS('Comp2016-2017 (3)'!$G$5:$G$289,'Comp2016-2017 (3)'!$A$5:$A$289,$D806,'Comp2016-2017 (3)'!$R$5:$R$289,$V806)*$AB806))</f>
        <v/>
      </c>
      <c r="AI806" s="2" t="str">
        <f>IF($W806=AI$3,$AB806,IF(NOT($W806=0),"",SUMIFS('Val-Vol (2)'!AI$4:AI$1116,'Val-Vol (2)'!$A$4:$A$1116,$D806,'Val-Vol (2)'!$V$4:$V$1116,$V806)/SUMIFS('Comp2016-2017 (3)'!$G$5:$G$289,'Comp2016-2017 (3)'!$A$5:$A$289,$D806,'Comp2016-2017 (3)'!$R$5:$R$289,$V806)*$AB806))</f>
        <v/>
      </c>
      <c r="AJ806" s="2" t="str">
        <f>IF($W806=AJ$3,$AB806,IF(NOT($W806=0),"",SUMIFS('Val-Vol (2)'!AJ$4:AJ$1116,'Val-Vol (2)'!$A$4:$A$1116,$D806,'Val-Vol (2)'!$V$4:$V$1116,$V806)/SUMIFS('Comp2016-2017 (3)'!$G$5:$G$289,'Comp2016-2017 (3)'!$A$5:$A$289,$D806,'Comp2016-2017 (3)'!$R$5:$R$289,$V806)*$AB806))</f>
        <v/>
      </c>
      <c r="AK806" s="2">
        <f t="shared" si="90"/>
        <v>0</v>
      </c>
      <c r="AL806" t="str">
        <f t="shared" si="91"/>
        <v/>
      </c>
      <c r="AM806" t="str">
        <f>VLOOKUP(A806,'Table corresp.'!$M$4:$U$63,8,FALSE)</f>
        <v>Production intermédiaire</v>
      </c>
      <c r="AN806" t="str">
        <f>VLOOKUP(D806,'Table corresp.'!$M$4:$U$63,9,FALSE)</f>
        <v>Production intermédiaire</v>
      </c>
    </row>
    <row r="807" spans="1:40" x14ac:dyDescent="0.25">
      <c r="A807" t="s">
        <v>3</v>
      </c>
      <c r="B807" t="str">
        <f>VLOOKUP(LEFT(A807,3),'Table corresp.'!$A$4:$D$63,3,FALSE)</f>
        <v>Transformation</v>
      </c>
      <c r="C807" t="str">
        <f>VLOOKUP(A807,'Table corresp.'!$M$4:$P$63,4,FALSE)</f>
        <v>Production et transformation de produits bois</v>
      </c>
      <c r="D807" t="s">
        <v>98</v>
      </c>
      <c r="E807" t="str">
        <f>VLOOKUP(LEFT(D807,3),'Table corresp.'!$A$4:$D$63,4,FALSE)</f>
        <v>Transformation</v>
      </c>
      <c r="F807" t="str">
        <f t="shared" si="85"/>
        <v xml:space="preserve">06  - 46 </v>
      </c>
      <c r="G807" s="164">
        <v>2571.503679663912</v>
      </c>
      <c r="H807" s="164">
        <v>0</v>
      </c>
      <c r="I807" s="164">
        <v>2571.503679663912</v>
      </c>
      <c r="J807" s="164">
        <v>0</v>
      </c>
      <c r="K807" s="164">
        <v>0</v>
      </c>
      <c r="L807" s="164">
        <v>0</v>
      </c>
      <c r="M807" s="164">
        <v>0</v>
      </c>
      <c r="N807" s="164">
        <v>0</v>
      </c>
      <c r="O807" s="164">
        <v>0</v>
      </c>
      <c r="P807" s="164">
        <v>0</v>
      </c>
      <c r="Q807" s="164">
        <v>0</v>
      </c>
      <c r="R807" s="164">
        <v>0</v>
      </c>
      <c r="S807" s="163" t="str">
        <f t="shared" si="87"/>
        <v/>
      </c>
      <c r="T807" s="163">
        <f>VLOOKUP(A807,'Groupe de branches'!$Z$27:$AM$86,14,FALSE)</f>
        <v>0</v>
      </c>
      <c r="U807" s="163">
        <f>VLOOKUP(D807,'Groupe de branches'!$Z$27:$AM$86,14,FALSE)</f>
        <v>0</v>
      </c>
      <c r="V807" s="163">
        <v>2018</v>
      </c>
      <c r="W807" t="str">
        <f>VLOOKUP(D807,'Table corresp.'!$M$4:$S$63,7,FALSE)</f>
        <v>Produits de consommation courante</v>
      </c>
      <c r="X807" s="167">
        <f>IFERROR(G807/SUMIFS('Comp2016-2017 (3)'!$I$5:$I$289,'Comp2016-2017 (3)'!$A$5:$A$289,A807,'Comp2016-2017 (3)'!$R$5:$R$289,V807),0)</f>
        <v>1.0631219524394964E-2</v>
      </c>
      <c r="Y807" s="178">
        <f>IFERROR(IF(RIGHT(F807,3)="Exp",VLOOKUP(F807,#REF!,2,FALSE),VLOOKUP(F807,#REF!,9,FALSE)),1)</f>
        <v>1</v>
      </c>
      <c r="Z807" s="167">
        <f t="shared" si="93"/>
        <v>3.7037037037037035E-2</v>
      </c>
      <c r="AA807" s="189">
        <f t="shared" si="92"/>
        <v>3.9374887127388754E-4</v>
      </c>
      <c r="AB807" s="2">
        <f>IFERROR(SUMIFS('Comp2016-2017 (3)'!$G$5:$G$289,'Comp2016-2017 (3)'!$A$5:$A$289,A807,'Comp2016-2017 (3)'!$R$5:$R$289,V807)*AA807/SUMIFS($AA$4:$AA$1116,$A$4:$A$1116,A807,$V$4:$V$1116,V807),0)</f>
        <v>124.09410854270729</v>
      </c>
      <c r="AC807" s="2" t="str">
        <f>IF($W807=AC$3,$AB807,IF(NOT($W807=0),"",SUMIFS('Val-Vol (2)'!AC$4:AC$1116,'Val-Vol (2)'!$A$4:$A$1116,$D807,'Val-Vol (2)'!$V$4:$V$1116,$V807)/SUMIFS('Comp2016-2017 (3)'!$G$5:$G$289,'Comp2016-2017 (3)'!$A$5:$A$289,$D807,'Comp2016-2017 (3)'!$R$5:$R$289,$V807)*$AB807))</f>
        <v/>
      </c>
      <c r="AD807" s="2" t="str">
        <f>IF($W807=AD$3,$AB807,IF(NOT($W807=0),"",SUMIFS('Val-Vol (2)'!AD$4:AD$1116,'Val-Vol (2)'!$A$4:$A$1116,$D807,'Val-Vol (2)'!$V$4:$V$1116,$V807)/SUMIFS('Comp2016-2017 (3)'!$G$5:$G$289,'Comp2016-2017 (3)'!$A$5:$A$289,$D807,'Comp2016-2017 (3)'!$R$5:$R$289,$V807)*$AB807))</f>
        <v/>
      </c>
      <c r="AE807" s="2" t="str">
        <f>IF($W807=AE$3,$AB807,IF(NOT($W807=0),"",SUMIFS('Val-Vol (2)'!AE$4:AE$1116,'Val-Vol (2)'!$A$4:$A$1116,$D807,'Val-Vol (2)'!$V$4:$V$1116,$V807)/SUMIFS('Comp2016-2017 (3)'!$G$5:$G$289,'Comp2016-2017 (3)'!$A$5:$A$289,$D807,'Comp2016-2017 (3)'!$R$5:$R$289,$V807)*$AB807))</f>
        <v/>
      </c>
      <c r="AF807" s="2" t="str">
        <f>IF($W807=AF$3,$AB807,IF(NOT($W807=0),"",SUMIFS('Val-Vol (2)'!AF$4:AF$1116,'Val-Vol (2)'!$A$4:$A$1116,$D807,'Val-Vol (2)'!$V$4:$V$1116,$V807)/SUMIFS('Comp2016-2017 (3)'!$G$5:$G$289,'Comp2016-2017 (3)'!$A$5:$A$289,$D807,'Comp2016-2017 (3)'!$R$5:$R$289,$V807)*$AB807))</f>
        <v/>
      </c>
      <c r="AG807" s="2" t="str">
        <f>IF($W807=AG$3,$AB807,IF(NOT($W807=0),"",SUMIFS('Val-Vol (2)'!AG$4:AG$1116,'Val-Vol (2)'!$A$4:$A$1116,$D807,'Val-Vol (2)'!$V$4:$V$1116,$V807)/SUMIFS('Comp2016-2017 (3)'!$G$5:$G$289,'Comp2016-2017 (3)'!$A$5:$A$289,$D807,'Comp2016-2017 (3)'!$R$5:$R$289,$V807)*$AB807))</f>
        <v/>
      </c>
      <c r="AH807" s="2" t="str">
        <f>IF($W807=AH$3,$AB807,IF(NOT($W807=0),"",SUMIFS('Val-Vol (2)'!AH$4:AH$1116,'Val-Vol (2)'!$A$4:$A$1116,$D807,'Val-Vol (2)'!$V$4:$V$1116,$V807)/SUMIFS('Comp2016-2017 (3)'!$G$5:$G$289,'Comp2016-2017 (3)'!$A$5:$A$289,$D807,'Comp2016-2017 (3)'!$R$5:$R$289,$V807)*$AB807))</f>
        <v/>
      </c>
      <c r="AI807" s="2">
        <f>IF($W807=AI$3,$AB807,IF(NOT($W807=0),"",SUMIFS('Val-Vol (2)'!AI$4:AI$1116,'Val-Vol (2)'!$A$4:$A$1116,$D807,'Val-Vol (2)'!$V$4:$V$1116,$V807)/SUMIFS('Comp2016-2017 (3)'!$G$5:$G$289,'Comp2016-2017 (3)'!$A$5:$A$289,$D807,'Comp2016-2017 (3)'!$R$5:$R$289,$V807)*$AB807))</f>
        <v>124.09410854270729</v>
      </c>
      <c r="AJ807" s="2" t="str">
        <f>IF($W807=AJ$3,$AB807,IF(NOT($W807=0),"",SUMIFS('Val-Vol (2)'!AJ$4:AJ$1116,'Val-Vol (2)'!$A$4:$A$1116,$D807,'Val-Vol (2)'!$V$4:$V$1116,$V807)/SUMIFS('Comp2016-2017 (3)'!$G$5:$G$289,'Comp2016-2017 (3)'!$A$5:$A$289,$D807,'Comp2016-2017 (3)'!$R$5:$R$289,$V807)*$AB807))</f>
        <v/>
      </c>
      <c r="AK807" s="2">
        <f t="shared" si="90"/>
        <v>0</v>
      </c>
      <c r="AL807" t="str">
        <f t="shared" si="91"/>
        <v/>
      </c>
      <c r="AM807" t="str">
        <f>VLOOKUP(A807,'Table corresp.'!$M$4:$U$63,8,FALSE)</f>
        <v>Production intermédiaire</v>
      </c>
      <c r="AN807" t="str">
        <f>VLOOKUP(D807,'Table corresp.'!$M$4:$U$63,9,FALSE)</f>
        <v>Production intermédiaire</v>
      </c>
    </row>
    <row r="808" spans="1:40" x14ac:dyDescent="0.25">
      <c r="A808" t="s">
        <v>3</v>
      </c>
      <c r="B808" t="str">
        <f>VLOOKUP(LEFT(A808,3),'Table corresp.'!$A$4:$D$63,3,FALSE)</f>
        <v>Transformation</v>
      </c>
      <c r="C808" t="str">
        <f>VLOOKUP(A808,'Table corresp.'!$M$4:$P$63,4,FALSE)</f>
        <v>Production et transformation de produits bois</v>
      </c>
      <c r="D808" t="s">
        <v>53</v>
      </c>
      <c r="E808" t="str">
        <f>VLOOKUP(LEFT(D808,3),'Table corresp.'!$A$4:$D$63,4,FALSE)</f>
        <v>Exportation</v>
      </c>
      <c r="F808" t="str">
        <f t="shared" si="85"/>
        <v>06  - Exp</v>
      </c>
      <c r="G808" s="164">
        <v>19732.987416164451</v>
      </c>
      <c r="H808" s="164">
        <v>0</v>
      </c>
      <c r="I808" s="164">
        <v>19732.987416164451</v>
      </c>
      <c r="J808" s="164">
        <v>0</v>
      </c>
      <c r="K808" s="164">
        <v>0</v>
      </c>
      <c r="L808" s="164">
        <v>0</v>
      </c>
      <c r="M808" s="164">
        <v>0</v>
      </c>
      <c r="N808" s="164">
        <v>0</v>
      </c>
      <c r="O808" s="164">
        <v>0</v>
      </c>
      <c r="P808" s="164">
        <v>0</v>
      </c>
      <c r="Q808" s="164">
        <v>0</v>
      </c>
      <c r="R808" s="164">
        <v>0</v>
      </c>
      <c r="S808" s="163" t="str">
        <f t="shared" si="87"/>
        <v/>
      </c>
      <c r="T808" s="163">
        <f>VLOOKUP(A808,'Groupe de branches'!$Z$27:$AM$86,14,FALSE)</f>
        <v>0</v>
      </c>
      <c r="U808" s="163">
        <f>VLOOKUP(D808,'Groupe de branches'!$Z$27:$AM$86,14,FALSE)</f>
        <v>0</v>
      </c>
      <c r="V808" s="163">
        <v>2018</v>
      </c>
      <c r="W808" t="str">
        <f>VLOOKUP(D808,'Table corresp.'!$M$4:$S$63,7,FALSE)</f>
        <v>Exportation</v>
      </c>
      <c r="X808" s="167">
        <f>IFERROR(G808/SUMIFS('Comp2016-2017 (3)'!$I$5:$I$289,'Comp2016-2017 (3)'!$A$5:$A$289,A808,'Comp2016-2017 (3)'!$R$5:$R$289,V808),0)</f>
        <v>8.1580953102422166E-2</v>
      </c>
      <c r="Y808" s="178">
        <f>IFERROR(IF(RIGHT(F808,3)="Exp",VLOOKUP(F808,#REF!,2,FALSE),VLOOKUP(F808,#REF!,9,FALSE)),1)</f>
        <v>1</v>
      </c>
      <c r="Z808" s="167">
        <f t="shared" si="93"/>
        <v>3.7037037037037035E-2</v>
      </c>
      <c r="AA808" s="189">
        <f t="shared" si="92"/>
        <v>3.0215167815711911E-3</v>
      </c>
      <c r="AB808" s="2">
        <f>IFERROR(SUMIFS('Comp2016-2017 (3)'!$G$5:$G$289,'Comp2016-2017 (3)'!$A$5:$A$289,A808,'Comp2016-2017 (3)'!$R$5:$R$289,V808)*AA808/SUMIFS($AA$4:$AA$1116,$A$4:$A$1116,A808,$V$4:$V$1116,V808),0)</f>
        <v>952.26287314254705</v>
      </c>
      <c r="AC808" s="2">
        <f>IF($W808=AC$3,$AB808,IF(NOT($W808=0),"",SUMIFS('Val-Vol (2)'!AC$4:AC$1116,'Val-Vol (2)'!$A$4:$A$1116,$D808,'Val-Vol (2)'!$V$4:$V$1116,$V808)/SUMIFS('Comp2016-2017 (3)'!$G$5:$G$289,'Comp2016-2017 (3)'!$A$5:$A$289,$D808,'Comp2016-2017 (3)'!$R$5:$R$289,$V808)*$AB808))</f>
        <v>952.26287314254705</v>
      </c>
      <c r="AD808" s="2" t="str">
        <f>IF($W808=AD$3,$AB808,IF(NOT($W808=0),"",SUMIFS('Val-Vol (2)'!AD$4:AD$1116,'Val-Vol (2)'!$A$4:$A$1116,$D808,'Val-Vol (2)'!$V$4:$V$1116,$V808)/SUMIFS('Comp2016-2017 (3)'!$G$5:$G$289,'Comp2016-2017 (3)'!$A$5:$A$289,$D808,'Comp2016-2017 (3)'!$R$5:$R$289,$V808)*$AB808))</f>
        <v/>
      </c>
      <c r="AE808" s="2" t="str">
        <f>IF($W808=AE$3,$AB808,IF(NOT($W808=0),"",SUMIFS('Val-Vol (2)'!AE$4:AE$1116,'Val-Vol (2)'!$A$4:$A$1116,$D808,'Val-Vol (2)'!$V$4:$V$1116,$V808)/SUMIFS('Comp2016-2017 (3)'!$G$5:$G$289,'Comp2016-2017 (3)'!$A$5:$A$289,$D808,'Comp2016-2017 (3)'!$R$5:$R$289,$V808)*$AB808))</f>
        <v/>
      </c>
      <c r="AF808" s="2" t="str">
        <f>IF($W808=AF$3,$AB808,IF(NOT($W808=0),"",SUMIFS('Val-Vol (2)'!AF$4:AF$1116,'Val-Vol (2)'!$A$4:$A$1116,$D808,'Val-Vol (2)'!$V$4:$V$1116,$V808)/SUMIFS('Comp2016-2017 (3)'!$G$5:$G$289,'Comp2016-2017 (3)'!$A$5:$A$289,$D808,'Comp2016-2017 (3)'!$R$5:$R$289,$V808)*$AB808))</f>
        <v/>
      </c>
      <c r="AG808" s="2" t="str">
        <f>IF($W808=AG$3,$AB808,IF(NOT($W808=0),"",SUMIFS('Val-Vol (2)'!AG$4:AG$1116,'Val-Vol (2)'!$A$4:$A$1116,$D808,'Val-Vol (2)'!$V$4:$V$1116,$V808)/SUMIFS('Comp2016-2017 (3)'!$G$5:$G$289,'Comp2016-2017 (3)'!$A$5:$A$289,$D808,'Comp2016-2017 (3)'!$R$5:$R$289,$V808)*$AB808))</f>
        <v/>
      </c>
      <c r="AH808" s="2" t="str">
        <f>IF($W808=AH$3,$AB808,IF(NOT($W808=0),"",SUMIFS('Val-Vol (2)'!AH$4:AH$1116,'Val-Vol (2)'!$A$4:$A$1116,$D808,'Val-Vol (2)'!$V$4:$V$1116,$V808)/SUMIFS('Comp2016-2017 (3)'!$G$5:$G$289,'Comp2016-2017 (3)'!$A$5:$A$289,$D808,'Comp2016-2017 (3)'!$R$5:$R$289,$V808)*$AB808))</f>
        <v/>
      </c>
      <c r="AI808" s="2" t="str">
        <f>IF($W808=AI$3,$AB808,IF(NOT($W808=0),"",SUMIFS('Val-Vol (2)'!AI$4:AI$1116,'Val-Vol (2)'!$A$4:$A$1116,$D808,'Val-Vol (2)'!$V$4:$V$1116,$V808)/SUMIFS('Comp2016-2017 (3)'!$G$5:$G$289,'Comp2016-2017 (3)'!$A$5:$A$289,$D808,'Comp2016-2017 (3)'!$R$5:$R$289,$V808)*$AB808))</f>
        <v/>
      </c>
      <c r="AJ808" s="2" t="str">
        <f>IF($W808=AJ$3,$AB808,IF(NOT($W808=0),"",SUMIFS('Val-Vol (2)'!AJ$4:AJ$1116,'Val-Vol (2)'!$A$4:$A$1116,$D808,'Val-Vol (2)'!$V$4:$V$1116,$V808)/SUMIFS('Comp2016-2017 (3)'!$G$5:$G$289,'Comp2016-2017 (3)'!$A$5:$A$289,$D808,'Comp2016-2017 (3)'!$R$5:$R$289,$V808)*$AB808))</f>
        <v/>
      </c>
      <c r="AK808" s="2">
        <f t="shared" si="90"/>
        <v>0</v>
      </c>
      <c r="AL808" t="str">
        <f t="shared" si="91"/>
        <v/>
      </c>
      <c r="AM808" t="str">
        <f>VLOOKUP(A808,'Table corresp.'!$M$4:$U$63,8,FALSE)</f>
        <v>Production intermédiaire</v>
      </c>
      <c r="AN808" t="str">
        <f>VLOOKUP(D808,'Table corresp.'!$M$4:$U$63,9,FALSE)</f>
        <v>Exportation</v>
      </c>
    </row>
    <row r="809" spans="1:40" x14ac:dyDescent="0.25">
      <c r="A809" t="s">
        <v>59</v>
      </c>
      <c r="B809" t="str">
        <f>VLOOKUP(LEFT(A809,3),'Table corresp.'!$A$4:$D$63,3,FALSE)</f>
        <v>Transformation</v>
      </c>
      <c r="C809" t="str">
        <f>VLOOKUP(A809,'Table corresp.'!$M$4:$P$63,4,FALSE)</f>
        <v>Production et transformation de produits bois</v>
      </c>
      <c r="D809" t="s">
        <v>54</v>
      </c>
      <c r="E809" t="str">
        <f>VLOOKUP(LEFT(D809,3),'Table corresp.'!$A$4:$D$63,4,FALSE)</f>
        <v>Consommation finale</v>
      </c>
      <c r="F809" t="str">
        <f t="shared" si="85"/>
        <v>07  - Con</v>
      </c>
      <c r="G809" s="164">
        <v>7.1237406977820453E-36</v>
      </c>
      <c r="H809" s="164">
        <v>50616.927999999964</v>
      </c>
      <c r="I809" s="164">
        <v>50616.927999999964</v>
      </c>
      <c r="J809" s="164">
        <v>0</v>
      </c>
      <c r="K809" s="164">
        <v>0</v>
      </c>
      <c r="L809" s="164">
        <v>0</v>
      </c>
      <c r="M809" s="164">
        <v>0</v>
      </c>
      <c r="N809" s="164">
        <v>0</v>
      </c>
      <c r="O809" s="164">
        <v>0</v>
      </c>
      <c r="P809" s="164">
        <v>0</v>
      </c>
      <c r="Q809" s="164">
        <v>0</v>
      </c>
      <c r="R809" s="164">
        <v>0</v>
      </c>
      <c r="S809" s="163" t="str">
        <f t="shared" si="87"/>
        <v/>
      </c>
      <c r="T809" s="163">
        <f>VLOOKUP(A809,'Groupe de branches'!$Z$27:$AM$86,14,FALSE)</f>
        <v>0</v>
      </c>
      <c r="U809" s="163">
        <f>VLOOKUP(D809,'Groupe de branches'!$Z$27:$AM$86,14,FALSE)</f>
        <v>0</v>
      </c>
      <c r="V809" s="163">
        <v>2018</v>
      </c>
      <c r="W809" t="str">
        <f>VLOOKUP(D809,'Table corresp.'!$M$4:$S$63,7,FALSE)</f>
        <v>Consommation finale</v>
      </c>
      <c r="X809" s="167">
        <f>IFERROR(G809/SUMIFS('Comp2016-2017 (3)'!$I$5:$I$289,'Comp2016-2017 (3)'!$A$5:$A$289,A809,'Comp2016-2017 (3)'!$R$5:$R$289,V809),0)</f>
        <v>3.5618703488858442E-36</v>
      </c>
      <c r="Y809" s="232"/>
      <c r="Z809" s="233"/>
      <c r="AA809" s="189">
        <f t="shared" si="92"/>
        <v>0</v>
      </c>
      <c r="AB809" s="2">
        <f>IFERROR(SUMIFS('Comp2016-2017 (3)'!$G$5:$G$289,'Comp2016-2017 (3)'!$A$5:$A$289,A809,'Comp2016-2017 (3)'!$R$5:$R$289,V809)*AA809/SUMIFS($AA$4:$AA$1116,$A$4:$A$1116,A809,$V$4:$V$1116,V809),0)</f>
        <v>0</v>
      </c>
      <c r="AC809" s="2" t="str">
        <f>IF($W809=AC$3,$AB809,IF(NOT($W809=0),"",SUMIFS('Val-Vol (2)'!AC$4:AC$1116,'Val-Vol (2)'!$A$4:$A$1116,$D809,'Val-Vol (2)'!$V$4:$V$1116,$V809)/SUMIFS('Comp2016-2017 (3)'!$G$5:$G$289,'Comp2016-2017 (3)'!$A$5:$A$289,$D809,'Comp2016-2017 (3)'!$R$5:$R$289,$V809)*$AB809))</f>
        <v/>
      </c>
      <c r="AD809" s="2" t="str">
        <f>IF($W809=AD$3,$AB809,IF(NOT($W809=0),"",SUMIFS('Val-Vol (2)'!AD$4:AD$1116,'Val-Vol (2)'!$A$4:$A$1116,$D809,'Val-Vol (2)'!$V$4:$V$1116,$V809)/SUMIFS('Comp2016-2017 (3)'!$G$5:$G$289,'Comp2016-2017 (3)'!$A$5:$A$289,$D809,'Comp2016-2017 (3)'!$R$5:$R$289,$V809)*$AB809))</f>
        <v/>
      </c>
      <c r="AE809" s="2" t="str">
        <f>IF($W809=AE$3,$AB809,IF(NOT($W809=0),"",SUMIFS('Val-Vol (2)'!AE$4:AE$1116,'Val-Vol (2)'!$A$4:$A$1116,$D809,'Val-Vol (2)'!$V$4:$V$1116,$V809)/SUMIFS('Comp2016-2017 (3)'!$G$5:$G$289,'Comp2016-2017 (3)'!$A$5:$A$289,$D809,'Comp2016-2017 (3)'!$R$5:$R$289,$V809)*$AB809))</f>
        <v/>
      </c>
      <c r="AF809" s="2" t="str">
        <f>IF($W809=AF$3,$AB809,IF(NOT($W809=0),"",SUMIFS('Val-Vol (2)'!AF$4:AF$1116,'Val-Vol (2)'!$A$4:$A$1116,$D809,'Val-Vol (2)'!$V$4:$V$1116,$V809)/SUMIFS('Comp2016-2017 (3)'!$G$5:$G$289,'Comp2016-2017 (3)'!$A$5:$A$289,$D809,'Comp2016-2017 (3)'!$R$5:$R$289,$V809)*$AB809))</f>
        <v/>
      </c>
      <c r="AG809" s="2" t="str">
        <f>IF($W809=AG$3,$AB809,IF(NOT($W809=0),"",SUMIFS('Val-Vol (2)'!AG$4:AG$1116,'Val-Vol (2)'!$A$4:$A$1116,$D809,'Val-Vol (2)'!$V$4:$V$1116,$V809)/SUMIFS('Comp2016-2017 (3)'!$G$5:$G$289,'Comp2016-2017 (3)'!$A$5:$A$289,$D809,'Comp2016-2017 (3)'!$R$5:$R$289,$V809)*$AB809))</f>
        <v/>
      </c>
      <c r="AH809" s="2" t="str">
        <f>IF($W809=AH$3,$AB809,IF(NOT($W809=0),"",SUMIFS('Val-Vol (2)'!AH$4:AH$1116,'Val-Vol (2)'!$A$4:$A$1116,$D809,'Val-Vol (2)'!$V$4:$V$1116,$V809)/SUMIFS('Comp2016-2017 (3)'!$G$5:$G$289,'Comp2016-2017 (3)'!$A$5:$A$289,$D809,'Comp2016-2017 (3)'!$R$5:$R$289,$V809)*$AB809))</f>
        <v/>
      </c>
      <c r="AI809" s="2" t="str">
        <f>IF($W809=AI$3,$AB809,IF(NOT($W809=0),"",SUMIFS('Val-Vol (2)'!AI$4:AI$1116,'Val-Vol (2)'!$A$4:$A$1116,$D809,'Val-Vol (2)'!$V$4:$V$1116,$V809)/SUMIFS('Comp2016-2017 (3)'!$G$5:$G$289,'Comp2016-2017 (3)'!$A$5:$A$289,$D809,'Comp2016-2017 (3)'!$R$5:$R$289,$V809)*$AB809))</f>
        <v/>
      </c>
      <c r="AJ809" s="2">
        <f>IF($W809=AJ$3,$AB809,IF(NOT($W809=0),"",SUMIFS('Val-Vol (2)'!AJ$4:AJ$1116,'Val-Vol (2)'!$A$4:$A$1116,$D809,'Val-Vol (2)'!$V$4:$V$1116,$V809)/SUMIFS('Comp2016-2017 (3)'!$G$5:$G$289,'Comp2016-2017 (3)'!$A$5:$A$289,$D809,'Comp2016-2017 (3)'!$R$5:$R$289,$V809)*$AB809))</f>
        <v>0</v>
      </c>
      <c r="AK809" s="2">
        <f t="shared" si="90"/>
        <v>0</v>
      </c>
      <c r="AL809" t="str">
        <f t="shared" si="91"/>
        <v/>
      </c>
      <c r="AM809" t="str">
        <f>VLOOKUP(A809,'Table corresp.'!$M$4:$U$63,8,FALSE)</f>
        <v>Production intermédiaire</v>
      </c>
      <c r="AN809" t="str">
        <f>VLOOKUP(D809,'Table corresp.'!$M$4:$U$63,9,FALSE)</f>
        <v>Consommation finale française</v>
      </c>
    </row>
    <row r="810" spans="1:40" x14ac:dyDescent="0.25">
      <c r="A810" t="s">
        <v>59</v>
      </c>
      <c r="B810" t="str">
        <f>VLOOKUP(LEFT(A810,3),'Table corresp.'!$A$4:$D$63,3,FALSE)</f>
        <v>Transformation</v>
      </c>
      <c r="C810" t="str">
        <f>VLOOKUP(A810,'Table corresp.'!$M$4:$P$63,4,FALSE)</f>
        <v>Production et transformation de produits bois</v>
      </c>
      <c r="D810" t="s">
        <v>53</v>
      </c>
      <c r="E810" t="str">
        <f>VLOOKUP(LEFT(D810,3),'Table corresp.'!$A$4:$D$63,4,FALSE)</f>
        <v>Exportation</v>
      </c>
      <c r="F810" t="str">
        <f t="shared" ref="F810:F873" si="94">LEFT(A810,3)&amp;" - "&amp;LEFT(D810,3)</f>
        <v>07  - Exp</v>
      </c>
      <c r="G810" s="164">
        <v>1.9999999999999991</v>
      </c>
      <c r="H810" s="68">
        <v>1732.8569999999995</v>
      </c>
      <c r="I810" s="164">
        <v>1734.8569999999993</v>
      </c>
      <c r="J810" s="164">
        <v>0</v>
      </c>
      <c r="K810" s="164">
        <v>0</v>
      </c>
      <c r="L810" s="164">
        <v>0</v>
      </c>
      <c r="M810" s="164">
        <v>0</v>
      </c>
      <c r="N810" s="164">
        <v>0</v>
      </c>
      <c r="O810" s="164">
        <v>0</v>
      </c>
      <c r="P810" s="164">
        <v>0</v>
      </c>
      <c r="Q810" s="164">
        <v>0</v>
      </c>
      <c r="R810" s="164">
        <v>0</v>
      </c>
      <c r="S810" s="163" t="str">
        <f t="shared" si="87"/>
        <v/>
      </c>
      <c r="T810" s="163">
        <f>VLOOKUP(A810,'Groupe de branches'!$Z$27:$AM$86,14,FALSE)</f>
        <v>0</v>
      </c>
      <c r="U810" s="163">
        <f>VLOOKUP(D810,'Groupe de branches'!$Z$27:$AM$86,14,FALSE)</f>
        <v>0</v>
      </c>
      <c r="V810" s="163">
        <v>2018</v>
      </c>
      <c r="W810" t="str">
        <f>VLOOKUP(D810,'Table corresp.'!$M$4:$S$63,7,FALSE)</f>
        <v>Exportation</v>
      </c>
      <c r="X810" s="167">
        <f>IFERROR(G810/SUMIFS('Comp2016-2017 (3)'!$I$5:$I$289,'Comp2016-2017 (3)'!$A$5:$A$289,A810,'Comp2016-2017 (3)'!$R$5:$R$289,V810),0)</f>
        <v>0.99999999999854561</v>
      </c>
      <c r="Y810" s="232"/>
      <c r="Z810" s="233"/>
      <c r="AA810" s="189">
        <f t="shared" si="92"/>
        <v>0</v>
      </c>
      <c r="AB810" s="2">
        <f>IFERROR(SUMIFS('Comp2016-2017 (3)'!$G$5:$G$289,'Comp2016-2017 (3)'!$A$5:$A$289,A810,'Comp2016-2017 (3)'!$R$5:$R$289,V810)*AA810/SUMIFS($AA$4:$AA$1116,$A$4:$A$1116,A810,$V$4:$V$1116,V810),0)</f>
        <v>0</v>
      </c>
      <c r="AC810" s="2">
        <f>IF($W810=AC$3,$AB810,IF(NOT($W810=0),"",SUMIFS('Val-Vol (2)'!AC$4:AC$1116,'Val-Vol (2)'!$A$4:$A$1116,$D810,'Val-Vol (2)'!$V$4:$V$1116,$V810)/SUMIFS('Comp2016-2017 (3)'!$G$5:$G$289,'Comp2016-2017 (3)'!$A$5:$A$289,$D810,'Comp2016-2017 (3)'!$R$5:$R$289,$V810)*$AB810))</f>
        <v>0</v>
      </c>
      <c r="AD810" s="2" t="str">
        <f>IF($W810=AD$3,$AB810,IF(NOT($W810=0),"",SUMIFS('Val-Vol (2)'!AD$4:AD$1116,'Val-Vol (2)'!$A$4:$A$1116,$D810,'Val-Vol (2)'!$V$4:$V$1116,$V810)/SUMIFS('Comp2016-2017 (3)'!$G$5:$G$289,'Comp2016-2017 (3)'!$A$5:$A$289,$D810,'Comp2016-2017 (3)'!$R$5:$R$289,$V810)*$AB810))</f>
        <v/>
      </c>
      <c r="AE810" s="2" t="str">
        <f>IF($W810=AE$3,$AB810,IF(NOT($W810=0),"",SUMIFS('Val-Vol (2)'!AE$4:AE$1116,'Val-Vol (2)'!$A$4:$A$1116,$D810,'Val-Vol (2)'!$V$4:$V$1116,$V810)/SUMIFS('Comp2016-2017 (3)'!$G$5:$G$289,'Comp2016-2017 (3)'!$A$5:$A$289,$D810,'Comp2016-2017 (3)'!$R$5:$R$289,$V810)*$AB810))</f>
        <v/>
      </c>
      <c r="AF810" s="2" t="str">
        <f>IF($W810=AF$3,$AB810,IF(NOT($W810=0),"",SUMIFS('Val-Vol (2)'!AF$4:AF$1116,'Val-Vol (2)'!$A$4:$A$1116,$D810,'Val-Vol (2)'!$V$4:$V$1116,$V810)/SUMIFS('Comp2016-2017 (3)'!$G$5:$G$289,'Comp2016-2017 (3)'!$A$5:$A$289,$D810,'Comp2016-2017 (3)'!$R$5:$R$289,$V810)*$AB810))</f>
        <v/>
      </c>
      <c r="AG810" s="2" t="str">
        <f>IF($W810=AG$3,$AB810,IF(NOT($W810=0),"",SUMIFS('Val-Vol (2)'!AG$4:AG$1116,'Val-Vol (2)'!$A$4:$A$1116,$D810,'Val-Vol (2)'!$V$4:$V$1116,$V810)/SUMIFS('Comp2016-2017 (3)'!$G$5:$G$289,'Comp2016-2017 (3)'!$A$5:$A$289,$D810,'Comp2016-2017 (3)'!$R$5:$R$289,$V810)*$AB810))</f>
        <v/>
      </c>
      <c r="AH810" s="2" t="str">
        <f>IF($W810=AH$3,$AB810,IF(NOT($W810=0),"",SUMIFS('Val-Vol (2)'!AH$4:AH$1116,'Val-Vol (2)'!$A$4:$A$1116,$D810,'Val-Vol (2)'!$V$4:$V$1116,$V810)/SUMIFS('Comp2016-2017 (3)'!$G$5:$G$289,'Comp2016-2017 (3)'!$A$5:$A$289,$D810,'Comp2016-2017 (3)'!$R$5:$R$289,$V810)*$AB810))</f>
        <v/>
      </c>
      <c r="AI810" s="2" t="str">
        <f>IF($W810=AI$3,$AB810,IF(NOT($W810=0),"",SUMIFS('Val-Vol (2)'!AI$4:AI$1116,'Val-Vol (2)'!$A$4:$A$1116,$D810,'Val-Vol (2)'!$V$4:$V$1116,$V810)/SUMIFS('Comp2016-2017 (3)'!$G$5:$G$289,'Comp2016-2017 (3)'!$A$5:$A$289,$D810,'Comp2016-2017 (3)'!$R$5:$R$289,$V810)*$AB810))</f>
        <v/>
      </c>
      <c r="AJ810" s="2" t="str">
        <f>IF($W810=AJ$3,$AB810,IF(NOT($W810=0),"",SUMIFS('Val-Vol (2)'!AJ$4:AJ$1116,'Val-Vol (2)'!$A$4:$A$1116,$D810,'Val-Vol (2)'!$V$4:$V$1116,$V810)/SUMIFS('Comp2016-2017 (3)'!$G$5:$G$289,'Comp2016-2017 (3)'!$A$5:$A$289,$D810,'Comp2016-2017 (3)'!$R$5:$R$289,$V810)*$AB810))</f>
        <v/>
      </c>
      <c r="AK810" s="2">
        <f t="shared" si="90"/>
        <v>0</v>
      </c>
      <c r="AL810" t="str">
        <f t="shared" si="91"/>
        <v/>
      </c>
      <c r="AM810" t="str">
        <f>VLOOKUP(A810,'Table corresp.'!$M$4:$U$63,8,FALSE)</f>
        <v>Production intermédiaire</v>
      </c>
      <c r="AN810" t="str">
        <f>VLOOKUP(D810,'Table corresp.'!$M$4:$U$63,9,FALSE)</f>
        <v>Exportation</v>
      </c>
    </row>
    <row r="811" spans="1:40" x14ac:dyDescent="0.25">
      <c r="A811" t="s">
        <v>4</v>
      </c>
      <c r="B811" t="str">
        <f>VLOOKUP(LEFT(A811,3),'Table corresp.'!$A$4:$D$63,3,FALSE)</f>
        <v>Transformation</v>
      </c>
      <c r="C811" t="str">
        <f>VLOOKUP(A811,'Table corresp.'!$M$4:$P$63,4,FALSE)</f>
        <v>Production et transformation de produits bois</v>
      </c>
      <c r="D811" t="s">
        <v>13</v>
      </c>
      <c r="E811" t="str">
        <f>VLOOKUP(LEFT(D811,3),'Table corresp.'!$A$4:$D$63,4,FALSE)</f>
        <v>Transformation</v>
      </c>
      <c r="F811" t="str">
        <f t="shared" si="94"/>
        <v xml:space="preserve">08  - 20 </v>
      </c>
      <c r="G811" s="164">
        <v>54165.849304601812</v>
      </c>
      <c r="H811" s="164">
        <v>1806.500691914538</v>
      </c>
      <c r="I811" s="164">
        <v>55972.349996516321</v>
      </c>
      <c r="J811" s="164">
        <v>202.5044789059709</v>
      </c>
      <c r="K811" s="164">
        <v>5.2353584591424376</v>
      </c>
      <c r="L811" s="164">
        <v>207.73983736511335</v>
      </c>
      <c r="M811" s="164">
        <v>0</v>
      </c>
      <c r="N811" s="164">
        <v>0</v>
      </c>
      <c r="O811" s="164">
        <v>0</v>
      </c>
      <c r="P811" s="164">
        <v>0</v>
      </c>
      <c r="Q811" s="164">
        <v>0</v>
      </c>
      <c r="R811" s="164">
        <v>0</v>
      </c>
      <c r="S811" s="163" t="str">
        <f t="shared" ref="S811:S874" si="95">IF(VLOOKUP(F811,$F$4:$S$374,14,FALSE)=0,"",VLOOKUP(F811,$F$4:$S$374,14,FALSE))</f>
        <v/>
      </c>
      <c r="T811" s="163">
        <f>VLOOKUP(A811,'Groupe de branches'!$Z$27:$AM$86,14,FALSE)</f>
        <v>0</v>
      </c>
      <c r="U811" s="163">
        <f>VLOOKUP(D811,'Groupe de branches'!$Z$27:$AM$86,14,FALSE)</f>
        <v>0</v>
      </c>
      <c r="V811" s="163">
        <v>2018</v>
      </c>
      <c r="W811">
        <f>VLOOKUP(D811,'Table corresp.'!$M$4:$S$63,7,FALSE)</f>
        <v>0</v>
      </c>
      <c r="X811" s="167">
        <f>IFERROR(G811/SUMIFS('Comp2016-2017 (3)'!$I$5:$I$289,'Comp2016-2017 (3)'!$A$5:$A$289,A811,'Comp2016-2017 (3)'!$R$5:$R$289,V811),0)</f>
        <v>0.10307836128907219</v>
      </c>
      <c r="Y811" s="178">
        <f>IFERROR(IF(RIGHT(F811,3)="Exp",VLOOKUP(F811,#REF!,2,FALSE),VLOOKUP(F811,#REF!,9,FALSE)),1)</f>
        <v>1</v>
      </c>
      <c r="Z811" s="167">
        <f t="shared" ref="Z811:Z842" si="96">Y811/SUMIFS($Y$4:$Y$1116,$V$4:$V$1116,V811,$A$4:$A$1116,A811)</f>
        <v>7.1428571428571425E-2</v>
      </c>
      <c r="AA811" s="189">
        <f t="shared" si="92"/>
        <v>7.3627400920765846E-3</v>
      </c>
      <c r="AB811" s="2">
        <f>IFERROR(SUMIFS('Comp2016-2017 (3)'!$G$5:$G$289,'Comp2016-2017 (3)'!$A$5:$A$289,A811,'Comp2016-2017 (3)'!$R$5:$R$289,V811)*AA811/SUMIFS($AA$4:$AA$1116,$A$4:$A$1116,A811,$V$4:$V$1116,V811),0)</f>
        <v>13735.260450558129</v>
      </c>
      <c r="AC811" s="2">
        <f>IF($W811=AC$3,$AB811,IF(NOT($W811=0),"",SUMIFS('Val-Vol (2)'!AC$4:AC$1116,'Val-Vol (2)'!$A$4:$A$1116,$D811,'Val-Vol (2)'!$V$4:$V$1116,$V811)/SUMIFS('Comp2016-2017 (3)'!$G$5:$G$289,'Comp2016-2017 (3)'!$A$5:$A$289,$D811,'Comp2016-2017 (3)'!$R$5:$R$289,$V811)*$AB811))</f>
        <v>1444.8232705116213</v>
      </c>
      <c r="AD811" s="2">
        <f>IF($W811=AD$3,$AB811,IF(NOT($W811=0),"",SUMIFS('Val-Vol (2)'!AD$4:AD$1116,'Val-Vol (2)'!$A$4:$A$1116,$D811,'Val-Vol (2)'!$V$4:$V$1116,$V811)/SUMIFS('Comp2016-2017 (3)'!$G$5:$G$289,'Comp2016-2017 (3)'!$A$5:$A$289,$D811,'Comp2016-2017 (3)'!$R$5:$R$289,$V811)*$AB811))</f>
        <v>7531.9600856719653</v>
      </c>
      <c r="AE811" s="2">
        <f>IF($W811=AE$3,$AB811,IF(NOT($W811=0),"",SUMIFS('Val-Vol (2)'!AE$4:AE$1116,'Val-Vol (2)'!$A$4:$A$1116,$D811,'Val-Vol (2)'!$V$4:$V$1116,$V811)/SUMIFS('Comp2016-2017 (3)'!$G$5:$G$289,'Comp2016-2017 (3)'!$A$5:$A$289,$D811,'Comp2016-2017 (3)'!$R$5:$R$289,$V811)*$AB811))</f>
        <v>0</v>
      </c>
      <c r="AF811" s="2">
        <f>IF($W811=AF$3,$AB811,IF(NOT($W811=0),"",SUMIFS('Val-Vol (2)'!AF$4:AF$1116,'Val-Vol (2)'!$A$4:$A$1116,$D811,'Val-Vol (2)'!$V$4:$V$1116,$V811)/SUMIFS('Comp2016-2017 (3)'!$G$5:$G$289,'Comp2016-2017 (3)'!$A$5:$A$289,$D811,'Comp2016-2017 (3)'!$R$5:$R$289,$V811)*$AB811))</f>
        <v>0</v>
      </c>
      <c r="AG811" s="2">
        <f>IF($W811=AG$3,$AB811,IF(NOT($W811=0),"",SUMIFS('Val-Vol (2)'!AG$4:AG$1116,'Val-Vol (2)'!$A$4:$A$1116,$D811,'Val-Vol (2)'!$V$4:$V$1116,$V811)/SUMIFS('Comp2016-2017 (3)'!$G$5:$G$289,'Comp2016-2017 (3)'!$A$5:$A$289,$D811,'Comp2016-2017 (3)'!$R$5:$R$289,$V811)*$AB811))</f>
        <v>0</v>
      </c>
      <c r="AH811" s="2">
        <f>IF($W811=AH$3,$AB811,IF(NOT($W811=0),"",SUMIFS('Val-Vol (2)'!AH$4:AH$1116,'Val-Vol (2)'!$A$4:$A$1116,$D811,'Val-Vol (2)'!$V$4:$V$1116,$V811)/SUMIFS('Comp2016-2017 (3)'!$G$5:$G$289,'Comp2016-2017 (3)'!$A$5:$A$289,$D811,'Comp2016-2017 (3)'!$R$5:$R$289,$V811)*$AB811))</f>
        <v>0</v>
      </c>
      <c r="AI811" s="2">
        <f>IF($W811=AI$3,$AB811,IF(NOT($W811=0),"",SUMIFS('Val-Vol (2)'!AI$4:AI$1116,'Val-Vol (2)'!$A$4:$A$1116,$D811,'Val-Vol (2)'!$V$4:$V$1116,$V811)/SUMIFS('Comp2016-2017 (3)'!$G$5:$G$289,'Comp2016-2017 (3)'!$A$5:$A$289,$D811,'Comp2016-2017 (3)'!$R$5:$R$289,$V811)*$AB811))</f>
        <v>0</v>
      </c>
      <c r="AJ811" s="2">
        <f>IF($W811=AJ$3,$AB811,IF(NOT($W811=0),"",SUMIFS('Val-Vol (2)'!AJ$4:AJ$1116,'Val-Vol (2)'!$A$4:$A$1116,$D811,'Val-Vol (2)'!$V$4:$V$1116,$V811)/SUMIFS('Comp2016-2017 (3)'!$G$5:$G$289,'Comp2016-2017 (3)'!$A$5:$A$289,$D811,'Comp2016-2017 (3)'!$R$5:$R$289,$V811)*$AB811))</f>
        <v>4758.4770943745398</v>
      </c>
      <c r="AK811" s="2">
        <f t="shared" si="90"/>
        <v>0</v>
      </c>
      <c r="AL811" t="str">
        <f t="shared" si="91"/>
        <v/>
      </c>
      <c r="AM811" t="str">
        <f>VLOOKUP(A811,'Table corresp.'!$M$4:$U$63,8,FALSE)</f>
        <v>Production intermédiaire</v>
      </c>
      <c r="AN811" t="str">
        <f>VLOOKUP(D811,'Table corresp.'!$M$4:$U$63,9,FALSE)</f>
        <v>Production intermédiaire</v>
      </c>
    </row>
    <row r="812" spans="1:40" x14ac:dyDescent="0.25">
      <c r="A812" t="s">
        <v>4</v>
      </c>
      <c r="B812" t="str">
        <f>VLOOKUP(LEFT(A812,3),'Table corresp.'!$A$4:$D$63,3,FALSE)</f>
        <v>Transformation</v>
      </c>
      <c r="C812" t="str">
        <f>VLOOKUP(A812,'Table corresp.'!$M$4:$P$63,4,FALSE)</f>
        <v>Production et transformation de produits bois</v>
      </c>
      <c r="D812" t="s">
        <v>14</v>
      </c>
      <c r="E812" t="str">
        <f>VLOOKUP(LEFT(D812,3),'Table corresp.'!$A$4:$D$63,4,FALSE)</f>
        <v>Transformation</v>
      </c>
      <c r="F812" t="str">
        <f t="shared" si="94"/>
        <v>08  - 20b</v>
      </c>
      <c r="G812" s="164">
        <v>2824.3715183727891</v>
      </c>
      <c r="H812" s="164">
        <v>1479.4825152129956</v>
      </c>
      <c r="I812" s="164">
        <v>4303.8540335857833</v>
      </c>
      <c r="J812" s="164">
        <v>15.838795751597935</v>
      </c>
      <c r="K812" s="164">
        <v>6.4314572387167255</v>
      </c>
      <c r="L812" s="164">
        <v>22.27025299031466</v>
      </c>
      <c r="M812" s="164">
        <v>0</v>
      </c>
      <c r="N812" s="164">
        <v>0</v>
      </c>
      <c r="O812" s="164">
        <v>0</v>
      </c>
      <c r="P812" s="164">
        <v>0</v>
      </c>
      <c r="Q812" s="164">
        <v>0</v>
      </c>
      <c r="R812" s="164">
        <v>0</v>
      </c>
      <c r="S812" s="163" t="str">
        <f t="shared" si="95"/>
        <v/>
      </c>
      <c r="T812" s="163">
        <f>VLOOKUP(A812,'Groupe de branches'!$Z$27:$AM$86,14,FALSE)</f>
        <v>0</v>
      </c>
      <c r="U812" s="163">
        <f>VLOOKUP(D812,'Groupe de branches'!$Z$27:$AM$86,14,FALSE)</f>
        <v>0</v>
      </c>
      <c r="V812" s="163">
        <v>2018</v>
      </c>
      <c r="W812">
        <f>VLOOKUP(D812,'Table corresp.'!$M$4:$S$63,7,FALSE)</f>
        <v>0</v>
      </c>
      <c r="X812" s="167">
        <f>IFERROR(G812/SUMIFS('Comp2016-2017 (3)'!$I$5:$I$289,'Comp2016-2017 (3)'!$A$5:$A$289,A812,'Comp2016-2017 (3)'!$R$5:$R$289,V812),0)</f>
        <v>5.3748181099906034E-3</v>
      </c>
      <c r="Y812" s="178">
        <f>IFERROR(IF(RIGHT(F812,3)="Exp",VLOOKUP(F812,#REF!,2,FALSE),VLOOKUP(F812,#REF!,9,FALSE)),1)</f>
        <v>1</v>
      </c>
      <c r="Z812" s="167">
        <f t="shared" si="96"/>
        <v>7.1428571428571425E-2</v>
      </c>
      <c r="AA812" s="189">
        <f t="shared" si="92"/>
        <v>3.8391557928504308E-4</v>
      </c>
      <c r="AB812" s="2">
        <f>IFERROR(SUMIFS('Comp2016-2017 (3)'!$G$5:$G$289,'Comp2016-2017 (3)'!$A$5:$A$289,A812,'Comp2016-2017 (3)'!$R$5:$R$289,V812)*AA812/SUMIFS($AA$4:$AA$1116,$A$4:$A$1116,A812,$V$4:$V$1116,V812),0)</f>
        <v>716.19810105502722</v>
      </c>
      <c r="AC812" s="2">
        <f>IF($W812=AC$3,$AB812,IF(NOT($W812=0),"",SUMIFS('Val-Vol (2)'!AC$4:AC$1116,'Val-Vol (2)'!$A$4:$A$1116,$D812,'Val-Vol (2)'!$V$4:$V$1116,$V812)/SUMIFS('Comp2016-2017 (3)'!$G$5:$G$289,'Comp2016-2017 (3)'!$A$5:$A$289,$D812,'Comp2016-2017 (3)'!$R$5:$R$289,$V812)*$AB812))</f>
        <v>194.96339763112942</v>
      </c>
      <c r="AD812" s="2">
        <f>IF($W812=AD$3,$AB812,IF(NOT($W812=0),"",SUMIFS('Val-Vol (2)'!AD$4:AD$1116,'Val-Vol (2)'!$A$4:$A$1116,$D812,'Val-Vol (2)'!$V$4:$V$1116,$V812)/SUMIFS('Comp2016-2017 (3)'!$G$5:$G$289,'Comp2016-2017 (3)'!$A$5:$A$289,$D812,'Comp2016-2017 (3)'!$R$5:$R$289,$V812)*$AB812))</f>
        <v>461.30814547794012</v>
      </c>
      <c r="AE812" s="2">
        <f>IF($W812=AE$3,$AB812,IF(NOT($W812=0),"",SUMIFS('Val-Vol (2)'!AE$4:AE$1116,'Val-Vol (2)'!$A$4:$A$1116,$D812,'Val-Vol (2)'!$V$4:$V$1116,$V812)/SUMIFS('Comp2016-2017 (3)'!$G$5:$G$289,'Comp2016-2017 (3)'!$A$5:$A$289,$D812,'Comp2016-2017 (3)'!$R$5:$R$289,$V812)*$AB812))</f>
        <v>4.3469960027448371</v>
      </c>
      <c r="AF812" s="2">
        <f>IF($W812=AF$3,$AB812,IF(NOT($W812=0),"",SUMIFS('Val-Vol (2)'!AF$4:AF$1116,'Val-Vol (2)'!$A$4:$A$1116,$D812,'Val-Vol (2)'!$V$4:$V$1116,$V812)/SUMIFS('Comp2016-2017 (3)'!$G$5:$G$289,'Comp2016-2017 (3)'!$A$5:$A$289,$D812,'Comp2016-2017 (3)'!$R$5:$R$289,$V812)*$AB812))</f>
        <v>0</v>
      </c>
      <c r="AG812" s="2">
        <f>IF($W812=AG$3,$AB812,IF(NOT($W812=0),"",SUMIFS('Val-Vol (2)'!AG$4:AG$1116,'Val-Vol (2)'!$A$4:$A$1116,$D812,'Val-Vol (2)'!$V$4:$V$1116,$V812)/SUMIFS('Comp2016-2017 (3)'!$G$5:$G$289,'Comp2016-2017 (3)'!$A$5:$A$289,$D812,'Comp2016-2017 (3)'!$R$5:$R$289,$V812)*$AB812))</f>
        <v>0</v>
      </c>
      <c r="AH812" s="2">
        <f>IF($W812=AH$3,$AB812,IF(NOT($W812=0),"",SUMIFS('Val-Vol (2)'!AH$4:AH$1116,'Val-Vol (2)'!$A$4:$A$1116,$D812,'Val-Vol (2)'!$V$4:$V$1116,$V812)/SUMIFS('Comp2016-2017 (3)'!$G$5:$G$289,'Comp2016-2017 (3)'!$A$5:$A$289,$D812,'Comp2016-2017 (3)'!$R$5:$R$289,$V812)*$AB812))</f>
        <v>0</v>
      </c>
      <c r="AI812" s="2">
        <f>IF($W812=AI$3,$AB812,IF(NOT($W812=0),"",SUMIFS('Val-Vol (2)'!AI$4:AI$1116,'Val-Vol (2)'!$A$4:$A$1116,$D812,'Val-Vol (2)'!$V$4:$V$1116,$V812)/SUMIFS('Comp2016-2017 (3)'!$G$5:$G$289,'Comp2016-2017 (3)'!$A$5:$A$289,$D812,'Comp2016-2017 (3)'!$R$5:$R$289,$V812)*$AB812))</f>
        <v>0</v>
      </c>
      <c r="AJ812" s="2">
        <f>IF($W812=AJ$3,$AB812,IF(NOT($W812=0),"",SUMIFS('Val-Vol (2)'!AJ$4:AJ$1116,'Val-Vol (2)'!$A$4:$A$1116,$D812,'Val-Vol (2)'!$V$4:$V$1116,$V812)/SUMIFS('Comp2016-2017 (3)'!$G$5:$G$289,'Comp2016-2017 (3)'!$A$5:$A$289,$D812,'Comp2016-2017 (3)'!$R$5:$R$289,$V812)*$AB812))</f>
        <v>55.579561943212951</v>
      </c>
      <c r="AK812" s="2">
        <f t="shared" si="90"/>
        <v>0</v>
      </c>
      <c r="AL812" t="str">
        <f t="shared" si="91"/>
        <v/>
      </c>
      <c r="AM812" t="str">
        <f>VLOOKUP(A812,'Table corresp.'!$M$4:$U$63,8,FALSE)</f>
        <v>Production intermédiaire</v>
      </c>
      <c r="AN812" t="str">
        <f>VLOOKUP(D812,'Table corresp.'!$M$4:$U$63,9,FALSE)</f>
        <v>Production intermédiaire</v>
      </c>
    </row>
    <row r="813" spans="1:40" x14ac:dyDescent="0.25">
      <c r="A813" t="s">
        <v>4</v>
      </c>
      <c r="B813" t="str">
        <f>VLOOKUP(LEFT(A813,3),'Table corresp.'!$A$4:$D$63,3,FALSE)</f>
        <v>Transformation</v>
      </c>
      <c r="C813" t="str">
        <f>VLOOKUP(A813,'Table corresp.'!$M$4:$P$63,4,FALSE)</f>
        <v>Production et transformation de produits bois</v>
      </c>
      <c r="D813" t="s">
        <v>89</v>
      </c>
      <c r="E813" t="str">
        <f>VLOOKUP(LEFT(D813,3),'Table corresp.'!$A$4:$D$63,4,FALSE)</f>
        <v>Transformation</v>
      </c>
      <c r="F813" t="str">
        <f t="shared" si="94"/>
        <v xml:space="preserve">08  - 33 </v>
      </c>
      <c r="G813" s="164">
        <v>1158.6705131185017</v>
      </c>
      <c r="H813" s="164">
        <v>1215.4235170440165</v>
      </c>
      <c r="I813" s="164">
        <v>2374.0940301625174</v>
      </c>
      <c r="J813" s="164">
        <v>4.331806322528057</v>
      </c>
      <c r="K813" s="164">
        <v>3.5223777216787653</v>
      </c>
      <c r="L813" s="164">
        <v>7.8541840442068223</v>
      </c>
      <c r="M813" s="164">
        <v>0</v>
      </c>
      <c r="N813" s="164">
        <v>0</v>
      </c>
      <c r="O813" s="164">
        <v>0</v>
      </c>
      <c r="P813" s="164">
        <v>0</v>
      </c>
      <c r="Q813" s="164">
        <v>0</v>
      </c>
      <c r="R813" s="164">
        <v>0</v>
      </c>
      <c r="S813" s="163" t="str">
        <f t="shared" si="95"/>
        <v/>
      </c>
      <c r="T813" s="163">
        <f>VLOOKUP(A813,'Groupe de branches'!$Z$27:$AM$86,14,FALSE)</f>
        <v>0</v>
      </c>
      <c r="U813" s="163">
        <f>VLOOKUP(D813,'Groupe de branches'!$Z$27:$AM$86,14,FALSE)</f>
        <v>0</v>
      </c>
      <c r="V813" s="163">
        <v>2018</v>
      </c>
      <c r="W813" t="str">
        <f>VLOOKUP(D813,'Table corresp.'!$M$4:$S$63,7,FALSE)</f>
        <v>Construction</v>
      </c>
      <c r="X813" s="167">
        <f>IFERROR(G813/SUMIFS('Comp2016-2017 (3)'!$I$5:$I$289,'Comp2016-2017 (3)'!$A$5:$A$289,A813,'Comp2016-2017 (3)'!$R$5:$R$289,V813),0)</f>
        <v>2.2049660311719093E-3</v>
      </c>
      <c r="Y813" s="178">
        <f>IFERROR(IF(RIGHT(F813,3)="Exp",VLOOKUP(F813,#REF!,2,FALSE),VLOOKUP(F813,#REF!,9,FALSE)),1)</f>
        <v>1</v>
      </c>
      <c r="Z813" s="167">
        <f t="shared" si="96"/>
        <v>7.1428571428571425E-2</v>
      </c>
      <c r="AA813" s="189">
        <f t="shared" si="92"/>
        <v>1.5749757365513637E-4</v>
      </c>
      <c r="AB813" s="2">
        <f>IFERROR(SUMIFS('Comp2016-2017 (3)'!$G$5:$G$289,'Comp2016-2017 (3)'!$A$5:$A$289,A813,'Comp2016-2017 (3)'!$R$5:$R$289,V813)*AA813/SUMIFS($AA$4:$AA$1116,$A$4:$A$1116,A813,$V$4:$V$1116,V813),0)</f>
        <v>293.81319555368583</v>
      </c>
      <c r="AC813" s="2" t="str">
        <f>IF($W813=AC$3,$AB813,IF(NOT($W813=0),"",SUMIFS('Val-Vol (2)'!AC$4:AC$1116,'Val-Vol (2)'!$A$4:$A$1116,$D813,'Val-Vol (2)'!$V$4:$V$1116,$V813)/SUMIFS('Comp2016-2017 (3)'!$G$5:$G$289,'Comp2016-2017 (3)'!$A$5:$A$289,$D813,'Comp2016-2017 (3)'!$R$5:$R$289,$V813)*$AB813))</f>
        <v/>
      </c>
      <c r="AD813" s="2">
        <f>IF($W813=AD$3,$AB813,IF(NOT($W813=0),"",SUMIFS('Val-Vol (2)'!AD$4:AD$1116,'Val-Vol (2)'!$A$4:$A$1116,$D813,'Val-Vol (2)'!$V$4:$V$1116,$V813)/SUMIFS('Comp2016-2017 (3)'!$G$5:$G$289,'Comp2016-2017 (3)'!$A$5:$A$289,$D813,'Comp2016-2017 (3)'!$R$5:$R$289,$V813)*$AB813))</f>
        <v>293.81319555368583</v>
      </c>
      <c r="AE813" s="2" t="str">
        <f>IF($W813=AE$3,$AB813,IF(NOT($W813=0),"",SUMIFS('Val-Vol (2)'!AE$4:AE$1116,'Val-Vol (2)'!$A$4:$A$1116,$D813,'Val-Vol (2)'!$V$4:$V$1116,$V813)/SUMIFS('Comp2016-2017 (3)'!$G$5:$G$289,'Comp2016-2017 (3)'!$A$5:$A$289,$D813,'Comp2016-2017 (3)'!$R$5:$R$289,$V813)*$AB813))</f>
        <v/>
      </c>
      <c r="AF813" s="2" t="str">
        <f>IF($W813=AF$3,$AB813,IF(NOT($W813=0),"",SUMIFS('Val-Vol (2)'!AF$4:AF$1116,'Val-Vol (2)'!$A$4:$A$1116,$D813,'Val-Vol (2)'!$V$4:$V$1116,$V813)/SUMIFS('Comp2016-2017 (3)'!$G$5:$G$289,'Comp2016-2017 (3)'!$A$5:$A$289,$D813,'Comp2016-2017 (3)'!$R$5:$R$289,$V813)*$AB813))</f>
        <v/>
      </c>
      <c r="AG813" s="2" t="str">
        <f>IF($W813=AG$3,$AB813,IF(NOT($W813=0),"",SUMIFS('Val-Vol (2)'!AG$4:AG$1116,'Val-Vol (2)'!$A$4:$A$1116,$D813,'Val-Vol (2)'!$V$4:$V$1116,$V813)/SUMIFS('Comp2016-2017 (3)'!$G$5:$G$289,'Comp2016-2017 (3)'!$A$5:$A$289,$D813,'Comp2016-2017 (3)'!$R$5:$R$289,$V813)*$AB813))</f>
        <v/>
      </c>
      <c r="AH813" s="2" t="str">
        <f>IF($W813=AH$3,$AB813,IF(NOT($W813=0),"",SUMIFS('Val-Vol (2)'!AH$4:AH$1116,'Val-Vol (2)'!$A$4:$A$1116,$D813,'Val-Vol (2)'!$V$4:$V$1116,$V813)/SUMIFS('Comp2016-2017 (3)'!$G$5:$G$289,'Comp2016-2017 (3)'!$A$5:$A$289,$D813,'Comp2016-2017 (3)'!$R$5:$R$289,$V813)*$AB813))</f>
        <v/>
      </c>
      <c r="AI813" s="2" t="str">
        <f>IF($W813=AI$3,$AB813,IF(NOT($W813=0),"",SUMIFS('Val-Vol (2)'!AI$4:AI$1116,'Val-Vol (2)'!$A$4:$A$1116,$D813,'Val-Vol (2)'!$V$4:$V$1116,$V813)/SUMIFS('Comp2016-2017 (3)'!$G$5:$G$289,'Comp2016-2017 (3)'!$A$5:$A$289,$D813,'Comp2016-2017 (3)'!$R$5:$R$289,$V813)*$AB813))</f>
        <v/>
      </c>
      <c r="AJ813" s="2" t="str">
        <f>IF($W813=AJ$3,$AB813,IF(NOT($W813=0),"",SUMIFS('Val-Vol (2)'!AJ$4:AJ$1116,'Val-Vol (2)'!$A$4:$A$1116,$D813,'Val-Vol (2)'!$V$4:$V$1116,$V813)/SUMIFS('Comp2016-2017 (3)'!$G$5:$G$289,'Comp2016-2017 (3)'!$A$5:$A$289,$D813,'Comp2016-2017 (3)'!$R$5:$R$289,$V813)*$AB813))</f>
        <v/>
      </c>
      <c r="AK813" s="2">
        <f t="shared" si="90"/>
        <v>0</v>
      </c>
      <c r="AL813" t="str">
        <f t="shared" si="91"/>
        <v/>
      </c>
      <c r="AM813" t="str">
        <f>VLOOKUP(A813,'Table corresp.'!$M$4:$U$63,8,FALSE)</f>
        <v>Production intermédiaire</v>
      </c>
      <c r="AN813" t="str">
        <f>VLOOKUP(D813,'Table corresp.'!$M$4:$U$63,9,FALSE)</f>
        <v>Production finale</v>
      </c>
    </row>
    <row r="814" spans="1:40" x14ac:dyDescent="0.25">
      <c r="A814" t="s">
        <v>4</v>
      </c>
      <c r="B814" t="str">
        <f>VLOOKUP(LEFT(A814,3),'Table corresp.'!$A$4:$D$63,3,FALSE)</f>
        <v>Transformation</v>
      </c>
      <c r="C814" t="str">
        <f>VLOOKUP(A814,'Table corresp.'!$M$4:$P$63,4,FALSE)</f>
        <v>Production et transformation de produits bois</v>
      </c>
      <c r="D814" t="s">
        <v>15</v>
      </c>
      <c r="E814" t="str">
        <f>VLOOKUP(LEFT(D814,3),'Table corresp.'!$A$4:$D$63,4,FALSE)</f>
        <v>Transformation</v>
      </c>
      <c r="F814" t="str">
        <f t="shared" si="94"/>
        <v xml:space="preserve">08  - 35 </v>
      </c>
      <c r="G814" s="164">
        <v>13739.749887090273</v>
      </c>
      <c r="H814" s="164">
        <v>1711.9346539799187</v>
      </c>
      <c r="I814" s="164">
        <v>15451.684541070186</v>
      </c>
      <c r="J814" s="164">
        <v>34.244958485889924</v>
      </c>
      <c r="K814" s="164">
        <v>3.3075332187166233</v>
      </c>
      <c r="L814" s="164">
        <v>37.552491704606545</v>
      </c>
      <c r="M814" s="164">
        <v>0</v>
      </c>
      <c r="N814" s="164">
        <v>0</v>
      </c>
      <c r="O814" s="164">
        <v>0</v>
      </c>
      <c r="P814" s="164">
        <v>0</v>
      </c>
      <c r="Q814" s="164">
        <v>0</v>
      </c>
      <c r="R814" s="164">
        <v>0</v>
      </c>
      <c r="S814" s="163" t="str">
        <f t="shared" si="95"/>
        <v/>
      </c>
      <c r="T814" s="163">
        <f>VLOOKUP(A814,'Groupe de branches'!$Z$27:$AM$86,14,FALSE)</f>
        <v>0</v>
      </c>
      <c r="U814" s="163">
        <f>VLOOKUP(D814,'Groupe de branches'!$Z$27:$AM$86,14,FALSE)</f>
        <v>0</v>
      </c>
      <c r="V814" s="163">
        <v>2018</v>
      </c>
      <c r="W814" t="str">
        <f>VLOOKUP(D814,'Table corresp.'!$M$4:$S$63,7,FALSE)</f>
        <v>Construction</v>
      </c>
      <c r="X814" s="167">
        <f>IFERROR(G814/SUMIFS('Comp2016-2017 (3)'!$I$5:$I$289,'Comp2016-2017 (3)'!$A$5:$A$289,A814,'Comp2016-2017 (3)'!$R$5:$R$289,V814),0)</f>
        <v>2.6146934296526515E-2</v>
      </c>
      <c r="Y814" s="178">
        <f>IFERROR(IF(RIGHT(F814,3)="Exp",VLOOKUP(F814,#REF!,2,FALSE),VLOOKUP(F814,#REF!,9,FALSE)),1)</f>
        <v>1</v>
      </c>
      <c r="Z814" s="167">
        <f t="shared" si="96"/>
        <v>7.1428571428571425E-2</v>
      </c>
      <c r="AA814" s="189">
        <f t="shared" si="92"/>
        <v>1.8676381640376082E-3</v>
      </c>
      <c r="AB814" s="2">
        <f>IFERROR(SUMIFS('Comp2016-2017 (3)'!$G$5:$G$289,'Comp2016-2017 (3)'!$A$5:$A$289,A814,'Comp2016-2017 (3)'!$R$5:$R$289,V814)*AA814/SUMIFS($AA$4:$AA$1116,$A$4:$A$1116,A814,$V$4:$V$1116,V814),0)</f>
        <v>3484.0964491011573</v>
      </c>
      <c r="AC814" s="2" t="str">
        <f>IF($W814=AC$3,$AB814,IF(NOT($W814=0),"",SUMIFS('Val-Vol (2)'!AC$4:AC$1116,'Val-Vol (2)'!$A$4:$A$1116,$D814,'Val-Vol (2)'!$V$4:$V$1116,$V814)/SUMIFS('Comp2016-2017 (3)'!$G$5:$G$289,'Comp2016-2017 (3)'!$A$5:$A$289,$D814,'Comp2016-2017 (3)'!$R$5:$R$289,$V814)*$AB814))</f>
        <v/>
      </c>
      <c r="AD814" s="2">
        <f>IF($W814=AD$3,$AB814,IF(NOT($W814=0),"",SUMIFS('Val-Vol (2)'!AD$4:AD$1116,'Val-Vol (2)'!$A$4:$A$1116,$D814,'Val-Vol (2)'!$V$4:$V$1116,$V814)/SUMIFS('Comp2016-2017 (3)'!$G$5:$G$289,'Comp2016-2017 (3)'!$A$5:$A$289,$D814,'Comp2016-2017 (3)'!$R$5:$R$289,$V814)*$AB814))</f>
        <v>3484.0964491011573</v>
      </c>
      <c r="AE814" s="2" t="str">
        <f>IF($W814=AE$3,$AB814,IF(NOT($W814=0),"",SUMIFS('Val-Vol (2)'!AE$4:AE$1116,'Val-Vol (2)'!$A$4:$A$1116,$D814,'Val-Vol (2)'!$V$4:$V$1116,$V814)/SUMIFS('Comp2016-2017 (3)'!$G$5:$G$289,'Comp2016-2017 (3)'!$A$5:$A$289,$D814,'Comp2016-2017 (3)'!$R$5:$R$289,$V814)*$AB814))</f>
        <v/>
      </c>
      <c r="AF814" s="2" t="str">
        <f>IF($W814=AF$3,$AB814,IF(NOT($W814=0),"",SUMIFS('Val-Vol (2)'!AF$4:AF$1116,'Val-Vol (2)'!$A$4:$A$1116,$D814,'Val-Vol (2)'!$V$4:$V$1116,$V814)/SUMIFS('Comp2016-2017 (3)'!$G$5:$G$289,'Comp2016-2017 (3)'!$A$5:$A$289,$D814,'Comp2016-2017 (3)'!$R$5:$R$289,$V814)*$AB814))</f>
        <v/>
      </c>
      <c r="AG814" s="2" t="str">
        <f>IF($W814=AG$3,$AB814,IF(NOT($W814=0),"",SUMIFS('Val-Vol (2)'!AG$4:AG$1116,'Val-Vol (2)'!$A$4:$A$1116,$D814,'Val-Vol (2)'!$V$4:$V$1116,$V814)/SUMIFS('Comp2016-2017 (3)'!$G$5:$G$289,'Comp2016-2017 (3)'!$A$5:$A$289,$D814,'Comp2016-2017 (3)'!$R$5:$R$289,$V814)*$AB814))</f>
        <v/>
      </c>
      <c r="AH814" s="2" t="str">
        <f>IF($W814=AH$3,$AB814,IF(NOT($W814=0),"",SUMIFS('Val-Vol (2)'!AH$4:AH$1116,'Val-Vol (2)'!$A$4:$A$1116,$D814,'Val-Vol (2)'!$V$4:$V$1116,$V814)/SUMIFS('Comp2016-2017 (3)'!$G$5:$G$289,'Comp2016-2017 (3)'!$A$5:$A$289,$D814,'Comp2016-2017 (3)'!$R$5:$R$289,$V814)*$AB814))</f>
        <v/>
      </c>
      <c r="AI814" s="2" t="str">
        <f>IF($W814=AI$3,$AB814,IF(NOT($W814=0),"",SUMIFS('Val-Vol (2)'!AI$4:AI$1116,'Val-Vol (2)'!$A$4:$A$1116,$D814,'Val-Vol (2)'!$V$4:$V$1116,$V814)/SUMIFS('Comp2016-2017 (3)'!$G$5:$G$289,'Comp2016-2017 (3)'!$A$5:$A$289,$D814,'Comp2016-2017 (3)'!$R$5:$R$289,$V814)*$AB814))</f>
        <v/>
      </c>
      <c r="AJ814" s="2" t="str">
        <f>IF($W814=AJ$3,$AB814,IF(NOT($W814=0),"",SUMIFS('Val-Vol (2)'!AJ$4:AJ$1116,'Val-Vol (2)'!$A$4:$A$1116,$D814,'Val-Vol (2)'!$V$4:$V$1116,$V814)/SUMIFS('Comp2016-2017 (3)'!$G$5:$G$289,'Comp2016-2017 (3)'!$A$5:$A$289,$D814,'Comp2016-2017 (3)'!$R$5:$R$289,$V814)*$AB814))</f>
        <v/>
      </c>
      <c r="AK814" s="2">
        <f t="shared" si="90"/>
        <v>0</v>
      </c>
      <c r="AL814" t="str">
        <f t="shared" si="91"/>
        <v/>
      </c>
      <c r="AM814" t="str">
        <f>VLOOKUP(A814,'Table corresp.'!$M$4:$U$63,8,FALSE)</f>
        <v>Production intermédiaire</v>
      </c>
      <c r="AN814" t="str">
        <f>VLOOKUP(D814,'Table corresp.'!$M$4:$U$63,9,FALSE)</f>
        <v>Production finale</v>
      </c>
    </row>
    <row r="815" spans="1:40" x14ac:dyDescent="0.25">
      <c r="A815" t="s">
        <v>4</v>
      </c>
      <c r="B815" t="str">
        <f>VLOOKUP(LEFT(A815,3),'Table corresp.'!$A$4:$D$63,3,FALSE)</f>
        <v>Transformation</v>
      </c>
      <c r="C815" t="str">
        <f>VLOOKUP(A815,'Table corresp.'!$M$4:$P$63,4,FALSE)</f>
        <v>Production et transformation de produits bois</v>
      </c>
      <c r="D815" t="s">
        <v>16</v>
      </c>
      <c r="E815" t="str">
        <f>VLOOKUP(LEFT(D815,3),'Table corresp.'!$A$4:$D$63,4,FALSE)</f>
        <v>Transformation</v>
      </c>
      <c r="F815" t="str">
        <f t="shared" si="94"/>
        <v xml:space="preserve">08  - 36 </v>
      </c>
      <c r="G815" s="164">
        <v>5546.9383835535864</v>
      </c>
      <c r="H815" s="164">
        <v>1544.4063777190345</v>
      </c>
      <c r="I815" s="164">
        <v>7091.3447612726195</v>
      </c>
      <c r="J815" s="164">
        <v>17.775246337568266</v>
      </c>
      <c r="K815" s="164">
        <v>3.8363929763533862</v>
      </c>
      <c r="L815" s="164">
        <v>21.611639313921653</v>
      </c>
      <c r="M815" s="164">
        <v>0</v>
      </c>
      <c r="N815" s="164">
        <v>0</v>
      </c>
      <c r="O815" s="164">
        <v>0</v>
      </c>
      <c r="P815" s="164">
        <v>0</v>
      </c>
      <c r="Q815" s="164">
        <v>0</v>
      </c>
      <c r="R815" s="164">
        <v>0</v>
      </c>
      <c r="S815" s="163" t="str">
        <f t="shared" si="95"/>
        <v/>
      </c>
      <c r="T815" s="163">
        <f>VLOOKUP(A815,'Groupe de branches'!$Z$27:$AM$86,14,FALSE)</f>
        <v>0</v>
      </c>
      <c r="U815" s="163">
        <f>VLOOKUP(D815,'Groupe de branches'!$Z$27:$AM$86,14,FALSE)</f>
        <v>0</v>
      </c>
      <c r="V815" s="163">
        <v>2018</v>
      </c>
      <c r="W815" t="str">
        <f>VLOOKUP(D815,'Table corresp.'!$M$4:$S$63,7,FALSE)</f>
        <v>Construction</v>
      </c>
      <c r="X815" s="167">
        <f>IFERROR(G815/SUMIFS('Comp2016-2017 (3)'!$I$5:$I$289,'Comp2016-2017 (3)'!$A$5:$A$289,A815,'Comp2016-2017 (3)'!$R$5:$R$289,V815),0)</f>
        <v>1.0555900555215377E-2</v>
      </c>
      <c r="Y815" s="178">
        <f>IFERROR(IF(RIGHT(F815,3)="Exp",VLOOKUP(F815,#REF!,2,FALSE),VLOOKUP(F815,#REF!,9,FALSE)),1)</f>
        <v>1</v>
      </c>
      <c r="Z815" s="167">
        <f t="shared" si="96"/>
        <v>7.1428571428571425E-2</v>
      </c>
      <c r="AA815" s="189">
        <f t="shared" si="92"/>
        <v>7.5399289680109832E-4</v>
      </c>
      <c r="AB815" s="2">
        <f>IFERROR(SUMIFS('Comp2016-2017 (3)'!$G$5:$G$289,'Comp2016-2017 (3)'!$A$5:$A$289,A815,'Comp2016-2017 (3)'!$R$5:$R$289,V815)*AA815/SUMIFS($AA$4:$AA$1116,$A$4:$A$1116,A815,$V$4:$V$1116,V815),0)</f>
        <v>1406.5807954539653</v>
      </c>
      <c r="AC815" s="2" t="str">
        <f>IF($W815=AC$3,$AB815,IF(NOT($W815=0),"",SUMIFS('Val-Vol (2)'!AC$4:AC$1116,'Val-Vol (2)'!$A$4:$A$1116,$D815,'Val-Vol (2)'!$V$4:$V$1116,$V815)/SUMIFS('Comp2016-2017 (3)'!$G$5:$G$289,'Comp2016-2017 (3)'!$A$5:$A$289,$D815,'Comp2016-2017 (3)'!$R$5:$R$289,$V815)*$AB815))</f>
        <v/>
      </c>
      <c r="AD815" s="2">
        <f>IF($W815=AD$3,$AB815,IF(NOT($W815=0),"",SUMIFS('Val-Vol (2)'!AD$4:AD$1116,'Val-Vol (2)'!$A$4:$A$1116,$D815,'Val-Vol (2)'!$V$4:$V$1116,$V815)/SUMIFS('Comp2016-2017 (3)'!$G$5:$G$289,'Comp2016-2017 (3)'!$A$5:$A$289,$D815,'Comp2016-2017 (3)'!$R$5:$R$289,$V815)*$AB815))</f>
        <v>1406.5807954539653</v>
      </c>
      <c r="AE815" s="2" t="str">
        <f>IF($W815=AE$3,$AB815,IF(NOT($W815=0),"",SUMIFS('Val-Vol (2)'!AE$4:AE$1116,'Val-Vol (2)'!$A$4:$A$1116,$D815,'Val-Vol (2)'!$V$4:$V$1116,$V815)/SUMIFS('Comp2016-2017 (3)'!$G$5:$G$289,'Comp2016-2017 (3)'!$A$5:$A$289,$D815,'Comp2016-2017 (3)'!$R$5:$R$289,$V815)*$AB815))</f>
        <v/>
      </c>
      <c r="AF815" s="2" t="str">
        <f>IF($W815=AF$3,$AB815,IF(NOT($W815=0),"",SUMIFS('Val-Vol (2)'!AF$4:AF$1116,'Val-Vol (2)'!$A$4:$A$1116,$D815,'Val-Vol (2)'!$V$4:$V$1116,$V815)/SUMIFS('Comp2016-2017 (3)'!$G$5:$G$289,'Comp2016-2017 (3)'!$A$5:$A$289,$D815,'Comp2016-2017 (3)'!$R$5:$R$289,$V815)*$AB815))</f>
        <v/>
      </c>
      <c r="AG815" s="2" t="str">
        <f>IF($W815=AG$3,$AB815,IF(NOT($W815=0),"",SUMIFS('Val-Vol (2)'!AG$4:AG$1116,'Val-Vol (2)'!$A$4:$A$1116,$D815,'Val-Vol (2)'!$V$4:$V$1116,$V815)/SUMIFS('Comp2016-2017 (3)'!$G$5:$G$289,'Comp2016-2017 (3)'!$A$5:$A$289,$D815,'Comp2016-2017 (3)'!$R$5:$R$289,$V815)*$AB815))</f>
        <v/>
      </c>
      <c r="AH815" s="2" t="str">
        <f>IF($W815=AH$3,$AB815,IF(NOT($W815=0),"",SUMIFS('Val-Vol (2)'!AH$4:AH$1116,'Val-Vol (2)'!$A$4:$A$1116,$D815,'Val-Vol (2)'!$V$4:$V$1116,$V815)/SUMIFS('Comp2016-2017 (3)'!$G$5:$G$289,'Comp2016-2017 (3)'!$A$5:$A$289,$D815,'Comp2016-2017 (3)'!$R$5:$R$289,$V815)*$AB815))</f>
        <v/>
      </c>
      <c r="AI815" s="2" t="str">
        <f>IF($W815=AI$3,$AB815,IF(NOT($W815=0),"",SUMIFS('Val-Vol (2)'!AI$4:AI$1116,'Val-Vol (2)'!$A$4:$A$1116,$D815,'Val-Vol (2)'!$V$4:$V$1116,$V815)/SUMIFS('Comp2016-2017 (3)'!$G$5:$G$289,'Comp2016-2017 (3)'!$A$5:$A$289,$D815,'Comp2016-2017 (3)'!$R$5:$R$289,$V815)*$AB815))</f>
        <v/>
      </c>
      <c r="AJ815" s="2" t="str">
        <f>IF($W815=AJ$3,$AB815,IF(NOT($W815=0),"",SUMIFS('Val-Vol (2)'!AJ$4:AJ$1116,'Val-Vol (2)'!$A$4:$A$1116,$D815,'Val-Vol (2)'!$V$4:$V$1116,$V815)/SUMIFS('Comp2016-2017 (3)'!$G$5:$G$289,'Comp2016-2017 (3)'!$A$5:$A$289,$D815,'Comp2016-2017 (3)'!$R$5:$R$289,$V815)*$AB815))</f>
        <v/>
      </c>
      <c r="AK815" s="2">
        <f t="shared" si="90"/>
        <v>0</v>
      </c>
      <c r="AL815" t="str">
        <f t="shared" si="91"/>
        <v/>
      </c>
      <c r="AM815" t="str">
        <f>VLOOKUP(A815,'Table corresp.'!$M$4:$U$63,8,FALSE)</f>
        <v>Production intermédiaire</v>
      </c>
      <c r="AN815" t="str">
        <f>VLOOKUP(D815,'Table corresp.'!$M$4:$U$63,9,FALSE)</f>
        <v>Production finale</v>
      </c>
    </row>
    <row r="816" spans="1:40" x14ac:dyDescent="0.25">
      <c r="A816" t="s">
        <v>4</v>
      </c>
      <c r="B816" t="str">
        <f>VLOOKUP(LEFT(A816,3),'Table corresp.'!$A$4:$D$63,3,FALSE)</f>
        <v>Transformation</v>
      </c>
      <c r="C816" t="str">
        <f>VLOOKUP(A816,'Table corresp.'!$M$4:$P$63,4,FALSE)</f>
        <v>Production et transformation de produits bois</v>
      </c>
      <c r="D816" t="s">
        <v>92</v>
      </c>
      <c r="E816" t="str">
        <f>VLOOKUP(LEFT(D816,3),'Table corresp.'!$A$4:$D$63,4,FALSE)</f>
        <v>Transformation</v>
      </c>
      <c r="F816" t="str">
        <f t="shared" si="94"/>
        <v xml:space="preserve">08  - 40 </v>
      </c>
      <c r="G816" s="164">
        <v>2305.0977631786945</v>
      </c>
      <c r="H816" s="164">
        <v>0</v>
      </c>
      <c r="I816" s="164">
        <v>2305.0977631786936</v>
      </c>
      <c r="J816" s="164">
        <v>9.4012799715751978</v>
      </c>
      <c r="K816" s="164">
        <v>0</v>
      </c>
      <c r="L816" s="164">
        <v>9.4012799715751978</v>
      </c>
      <c r="M816" s="164">
        <v>0</v>
      </c>
      <c r="N816" s="164">
        <v>0</v>
      </c>
      <c r="O816" s="164">
        <v>0</v>
      </c>
      <c r="P816" s="164">
        <v>0</v>
      </c>
      <c r="Q816" s="164">
        <v>0</v>
      </c>
      <c r="R816" s="164">
        <v>0</v>
      </c>
      <c r="S816" s="163" t="str">
        <f t="shared" si="95"/>
        <v/>
      </c>
      <c r="T816" s="163">
        <f>VLOOKUP(A816,'Groupe de branches'!$Z$27:$AM$86,14,FALSE)</f>
        <v>0</v>
      </c>
      <c r="U816" s="163">
        <f>VLOOKUP(D816,'Groupe de branches'!$Z$27:$AM$86,14,FALSE)</f>
        <v>0</v>
      </c>
      <c r="V816" s="163">
        <v>2018</v>
      </c>
      <c r="W816" t="str">
        <f>VLOOKUP(D816,'Table corresp.'!$M$4:$S$63,7,FALSE)</f>
        <v>Construction</v>
      </c>
      <c r="X816" s="167">
        <f>IFERROR(G816/SUMIFS('Comp2016-2017 (3)'!$I$5:$I$289,'Comp2016-2017 (3)'!$A$5:$A$289,A816,'Comp2016-2017 (3)'!$R$5:$R$289,V816),0)</f>
        <v>4.3866329632050874E-3</v>
      </c>
      <c r="Y816" s="178">
        <f>IFERROR(IF(RIGHT(F816,3)="Exp",VLOOKUP(F816,#REF!,2,FALSE),VLOOKUP(F816,#REF!,9,FALSE)),1)</f>
        <v>1</v>
      </c>
      <c r="Z816" s="167">
        <f t="shared" si="96"/>
        <v>7.1428571428571425E-2</v>
      </c>
      <c r="AA816" s="189">
        <f t="shared" si="92"/>
        <v>3.1333092594322049E-4</v>
      </c>
      <c r="AB816" s="2">
        <f>IFERROR(SUMIFS('Comp2016-2017 (3)'!$G$5:$G$289,'Comp2016-2017 (3)'!$A$5:$A$289,A816,'Comp2016-2017 (3)'!$R$5:$R$289,V816)*AA816/SUMIFS($AA$4:$AA$1116,$A$4:$A$1116,A816,$V$4:$V$1116,V816),0)</f>
        <v>584.52177059408677</v>
      </c>
      <c r="AC816" s="2" t="str">
        <f>IF($W816=AC$3,$AB816,IF(NOT($W816=0),"",SUMIFS('Val-Vol (2)'!AC$4:AC$1116,'Val-Vol (2)'!$A$4:$A$1116,$D816,'Val-Vol (2)'!$V$4:$V$1116,$V816)/SUMIFS('Comp2016-2017 (3)'!$G$5:$G$289,'Comp2016-2017 (3)'!$A$5:$A$289,$D816,'Comp2016-2017 (3)'!$R$5:$R$289,$V816)*$AB816))</f>
        <v/>
      </c>
      <c r="AD816" s="2">
        <f>IF($W816=AD$3,$AB816,IF(NOT($W816=0),"",SUMIFS('Val-Vol (2)'!AD$4:AD$1116,'Val-Vol (2)'!$A$4:$A$1116,$D816,'Val-Vol (2)'!$V$4:$V$1116,$V816)/SUMIFS('Comp2016-2017 (3)'!$G$5:$G$289,'Comp2016-2017 (3)'!$A$5:$A$289,$D816,'Comp2016-2017 (3)'!$R$5:$R$289,$V816)*$AB816))</f>
        <v>584.52177059408677</v>
      </c>
      <c r="AE816" s="2" t="str">
        <f>IF($W816=AE$3,$AB816,IF(NOT($W816=0),"",SUMIFS('Val-Vol (2)'!AE$4:AE$1116,'Val-Vol (2)'!$A$4:$A$1116,$D816,'Val-Vol (2)'!$V$4:$V$1116,$V816)/SUMIFS('Comp2016-2017 (3)'!$G$5:$G$289,'Comp2016-2017 (3)'!$A$5:$A$289,$D816,'Comp2016-2017 (3)'!$R$5:$R$289,$V816)*$AB816))</f>
        <v/>
      </c>
      <c r="AF816" s="2" t="str">
        <f>IF($W816=AF$3,$AB816,IF(NOT($W816=0),"",SUMIFS('Val-Vol (2)'!AF$4:AF$1116,'Val-Vol (2)'!$A$4:$A$1116,$D816,'Val-Vol (2)'!$V$4:$V$1116,$V816)/SUMIFS('Comp2016-2017 (3)'!$G$5:$G$289,'Comp2016-2017 (3)'!$A$5:$A$289,$D816,'Comp2016-2017 (3)'!$R$5:$R$289,$V816)*$AB816))</f>
        <v/>
      </c>
      <c r="AG816" s="2" t="str">
        <f>IF($W816=AG$3,$AB816,IF(NOT($W816=0),"",SUMIFS('Val-Vol (2)'!AG$4:AG$1116,'Val-Vol (2)'!$A$4:$A$1116,$D816,'Val-Vol (2)'!$V$4:$V$1116,$V816)/SUMIFS('Comp2016-2017 (3)'!$G$5:$G$289,'Comp2016-2017 (3)'!$A$5:$A$289,$D816,'Comp2016-2017 (3)'!$R$5:$R$289,$V816)*$AB816))</f>
        <v/>
      </c>
      <c r="AH816" s="2" t="str">
        <f>IF($W816=AH$3,$AB816,IF(NOT($W816=0),"",SUMIFS('Val-Vol (2)'!AH$4:AH$1116,'Val-Vol (2)'!$A$4:$A$1116,$D816,'Val-Vol (2)'!$V$4:$V$1116,$V816)/SUMIFS('Comp2016-2017 (3)'!$G$5:$G$289,'Comp2016-2017 (3)'!$A$5:$A$289,$D816,'Comp2016-2017 (3)'!$R$5:$R$289,$V816)*$AB816))</f>
        <v/>
      </c>
      <c r="AI816" s="2" t="str">
        <f>IF($W816=AI$3,$AB816,IF(NOT($W816=0),"",SUMIFS('Val-Vol (2)'!AI$4:AI$1116,'Val-Vol (2)'!$A$4:$A$1116,$D816,'Val-Vol (2)'!$V$4:$V$1116,$V816)/SUMIFS('Comp2016-2017 (3)'!$G$5:$G$289,'Comp2016-2017 (3)'!$A$5:$A$289,$D816,'Comp2016-2017 (3)'!$R$5:$R$289,$V816)*$AB816))</f>
        <v/>
      </c>
      <c r="AJ816" s="2" t="str">
        <f>IF($W816=AJ$3,$AB816,IF(NOT($W816=0),"",SUMIFS('Val-Vol (2)'!AJ$4:AJ$1116,'Val-Vol (2)'!$A$4:$A$1116,$D816,'Val-Vol (2)'!$V$4:$V$1116,$V816)/SUMIFS('Comp2016-2017 (3)'!$G$5:$G$289,'Comp2016-2017 (3)'!$A$5:$A$289,$D816,'Comp2016-2017 (3)'!$R$5:$R$289,$V816)*$AB816))</f>
        <v/>
      </c>
      <c r="AK816" s="2">
        <f t="shared" si="90"/>
        <v>0</v>
      </c>
      <c r="AL816" t="str">
        <f t="shared" si="91"/>
        <v/>
      </c>
      <c r="AM816" t="str">
        <f>VLOOKUP(A816,'Table corresp.'!$M$4:$U$63,8,FALSE)</f>
        <v>Production intermédiaire</v>
      </c>
      <c r="AN816" t="str">
        <f>VLOOKUP(D816,'Table corresp.'!$M$4:$U$63,9,FALSE)</f>
        <v>Production finale</v>
      </c>
    </row>
    <row r="817" spans="1:40" x14ac:dyDescent="0.25">
      <c r="A817" t="s">
        <v>4</v>
      </c>
      <c r="B817" t="str">
        <f>VLOOKUP(LEFT(A817,3),'Table corresp.'!$A$4:$D$63,3,FALSE)</f>
        <v>Transformation</v>
      </c>
      <c r="C817" t="str">
        <f>VLOOKUP(A817,'Table corresp.'!$M$4:$P$63,4,FALSE)</f>
        <v>Production et transformation de produits bois</v>
      </c>
      <c r="D817" t="s">
        <v>99</v>
      </c>
      <c r="E817" t="str">
        <f>VLOOKUP(LEFT(D817,3),'Table corresp.'!$A$4:$D$63,4,FALSE)</f>
        <v>Transformation</v>
      </c>
      <c r="F817" t="str">
        <f t="shared" si="94"/>
        <v xml:space="preserve">08  - 47 </v>
      </c>
      <c r="G817" s="164">
        <v>61185.933096293651</v>
      </c>
      <c r="H817" s="164">
        <v>23109.222407457713</v>
      </c>
      <c r="I817" s="164">
        <v>84295.155503751317</v>
      </c>
      <c r="J817" s="164">
        <v>152.49984577752366</v>
      </c>
      <c r="K817" s="164">
        <v>44.648036415222606</v>
      </c>
      <c r="L817" s="164">
        <v>197.14788219274627</v>
      </c>
      <c r="M817" s="164">
        <v>0</v>
      </c>
      <c r="N817" s="164">
        <v>0</v>
      </c>
      <c r="O817" s="164">
        <v>0</v>
      </c>
      <c r="P817" s="164">
        <v>0</v>
      </c>
      <c r="Q817" s="164">
        <v>0</v>
      </c>
      <c r="R817" s="164">
        <v>0</v>
      </c>
      <c r="S817" s="163" t="str">
        <f t="shared" si="95"/>
        <v/>
      </c>
      <c r="T817" s="163">
        <f>VLOOKUP(A817,'Groupe de branches'!$Z$27:$AM$86,14,FALSE)</f>
        <v>0</v>
      </c>
      <c r="U817" s="163">
        <f>VLOOKUP(D817,'Groupe de branches'!$Z$27:$AM$86,14,FALSE)</f>
        <v>0</v>
      </c>
      <c r="V817" s="163">
        <v>2018</v>
      </c>
      <c r="W817" t="str">
        <f>VLOOKUP(D817,'Table corresp.'!$M$4:$S$63,7,FALSE)</f>
        <v>Meuble</v>
      </c>
      <c r="X817" s="167">
        <f>IFERROR(G817/SUMIFS('Comp2016-2017 (3)'!$I$5:$I$289,'Comp2016-2017 (3)'!$A$5:$A$289,A817,'Comp2016-2017 (3)'!$R$5:$R$289,V817),0)</f>
        <v>0.11643767795537792</v>
      </c>
      <c r="Y817" s="178">
        <f>IFERROR(IF(RIGHT(F817,3)="Exp",VLOOKUP(F817,#REF!,2,FALSE),VLOOKUP(F817,#REF!,9,FALSE)),1)</f>
        <v>1</v>
      </c>
      <c r="Z817" s="167">
        <f t="shared" si="96"/>
        <v>7.1428571428571425E-2</v>
      </c>
      <c r="AA817" s="189">
        <f t="shared" si="92"/>
        <v>8.3169769968127073E-3</v>
      </c>
      <c r="AB817" s="2">
        <f>IFERROR(SUMIFS('Comp2016-2017 (3)'!$G$5:$G$289,'Comp2016-2017 (3)'!$A$5:$A$289,A817,'Comp2016-2017 (3)'!$R$5:$R$289,V817)*AA817/SUMIFS($AA$4:$AA$1116,$A$4:$A$1116,A817,$V$4:$V$1116,V817),0)</f>
        <v>15515.398314203463</v>
      </c>
      <c r="AC817" s="2" t="str">
        <f>IF($W817=AC$3,$AB817,IF(NOT($W817=0),"",SUMIFS('Val-Vol (2)'!AC$4:AC$1116,'Val-Vol (2)'!$A$4:$A$1116,$D817,'Val-Vol (2)'!$V$4:$V$1116,$V817)/SUMIFS('Comp2016-2017 (3)'!$G$5:$G$289,'Comp2016-2017 (3)'!$A$5:$A$289,$D817,'Comp2016-2017 (3)'!$R$5:$R$289,$V817)*$AB817))</f>
        <v/>
      </c>
      <c r="AD817" s="2" t="str">
        <f>IF($W817=AD$3,$AB817,IF(NOT($W817=0),"",SUMIFS('Val-Vol (2)'!AD$4:AD$1116,'Val-Vol (2)'!$A$4:$A$1116,$D817,'Val-Vol (2)'!$V$4:$V$1116,$V817)/SUMIFS('Comp2016-2017 (3)'!$G$5:$G$289,'Comp2016-2017 (3)'!$A$5:$A$289,$D817,'Comp2016-2017 (3)'!$R$5:$R$289,$V817)*$AB817))</f>
        <v/>
      </c>
      <c r="AE817" s="2">
        <f>IF($W817=AE$3,$AB817,IF(NOT($W817=0),"",SUMIFS('Val-Vol (2)'!AE$4:AE$1116,'Val-Vol (2)'!$A$4:$A$1116,$D817,'Val-Vol (2)'!$V$4:$V$1116,$V817)/SUMIFS('Comp2016-2017 (3)'!$G$5:$G$289,'Comp2016-2017 (3)'!$A$5:$A$289,$D817,'Comp2016-2017 (3)'!$R$5:$R$289,$V817)*$AB817))</f>
        <v>15515.398314203463</v>
      </c>
      <c r="AF817" s="2" t="str">
        <f>IF($W817=AF$3,$AB817,IF(NOT($W817=0),"",SUMIFS('Val-Vol (2)'!AF$4:AF$1116,'Val-Vol (2)'!$A$4:$A$1116,$D817,'Val-Vol (2)'!$V$4:$V$1116,$V817)/SUMIFS('Comp2016-2017 (3)'!$G$5:$G$289,'Comp2016-2017 (3)'!$A$5:$A$289,$D817,'Comp2016-2017 (3)'!$R$5:$R$289,$V817)*$AB817))</f>
        <v/>
      </c>
      <c r="AG817" s="2" t="str">
        <f>IF($W817=AG$3,$AB817,IF(NOT($W817=0),"",SUMIFS('Val-Vol (2)'!AG$4:AG$1116,'Val-Vol (2)'!$A$4:$A$1116,$D817,'Val-Vol (2)'!$V$4:$V$1116,$V817)/SUMIFS('Comp2016-2017 (3)'!$G$5:$G$289,'Comp2016-2017 (3)'!$A$5:$A$289,$D817,'Comp2016-2017 (3)'!$R$5:$R$289,$V817)*$AB817))</f>
        <v/>
      </c>
      <c r="AH817" s="2" t="str">
        <f>IF($W817=AH$3,$AB817,IF(NOT($W817=0),"",SUMIFS('Val-Vol (2)'!AH$4:AH$1116,'Val-Vol (2)'!$A$4:$A$1116,$D817,'Val-Vol (2)'!$V$4:$V$1116,$V817)/SUMIFS('Comp2016-2017 (3)'!$G$5:$G$289,'Comp2016-2017 (3)'!$A$5:$A$289,$D817,'Comp2016-2017 (3)'!$R$5:$R$289,$V817)*$AB817))</f>
        <v/>
      </c>
      <c r="AI817" s="2" t="str">
        <f>IF($W817=AI$3,$AB817,IF(NOT($W817=0),"",SUMIFS('Val-Vol (2)'!AI$4:AI$1116,'Val-Vol (2)'!$A$4:$A$1116,$D817,'Val-Vol (2)'!$V$4:$V$1116,$V817)/SUMIFS('Comp2016-2017 (3)'!$G$5:$G$289,'Comp2016-2017 (3)'!$A$5:$A$289,$D817,'Comp2016-2017 (3)'!$R$5:$R$289,$V817)*$AB817))</f>
        <v/>
      </c>
      <c r="AJ817" s="2" t="str">
        <f>IF($W817=AJ$3,$AB817,IF(NOT($W817=0),"",SUMIFS('Val-Vol (2)'!AJ$4:AJ$1116,'Val-Vol (2)'!$A$4:$A$1116,$D817,'Val-Vol (2)'!$V$4:$V$1116,$V817)/SUMIFS('Comp2016-2017 (3)'!$G$5:$G$289,'Comp2016-2017 (3)'!$A$5:$A$289,$D817,'Comp2016-2017 (3)'!$R$5:$R$289,$V817)*$AB817))</f>
        <v/>
      </c>
      <c r="AK817" s="2">
        <f t="shared" si="90"/>
        <v>0</v>
      </c>
      <c r="AL817" t="str">
        <f t="shared" si="91"/>
        <v/>
      </c>
      <c r="AM817" t="str">
        <f>VLOOKUP(A817,'Table corresp.'!$M$4:$U$63,8,FALSE)</f>
        <v>Production intermédiaire</v>
      </c>
      <c r="AN817" t="str">
        <f>VLOOKUP(D817,'Table corresp.'!$M$4:$U$63,9,FALSE)</f>
        <v>Production finale</v>
      </c>
    </row>
    <row r="818" spans="1:40" x14ac:dyDescent="0.25">
      <c r="A818" t="s">
        <v>4</v>
      </c>
      <c r="B818" t="str">
        <f>VLOOKUP(LEFT(A818,3),'Table corresp.'!$A$4:$D$63,3,FALSE)</f>
        <v>Transformation</v>
      </c>
      <c r="C818" t="str">
        <f>VLOOKUP(A818,'Table corresp.'!$M$4:$P$63,4,FALSE)</f>
        <v>Production et transformation de produits bois</v>
      </c>
      <c r="D818" t="s">
        <v>100</v>
      </c>
      <c r="E818" t="str">
        <f>VLOOKUP(LEFT(D818,3),'Table corresp.'!$A$4:$D$63,4,FALSE)</f>
        <v>Transformation</v>
      </c>
      <c r="F818" t="str">
        <f t="shared" si="94"/>
        <v xml:space="preserve">08  - 48 </v>
      </c>
      <c r="G818" s="164">
        <v>58436.683478453997</v>
      </c>
      <c r="H818" s="164">
        <v>0</v>
      </c>
      <c r="I818" s="164">
        <v>58436.683478453975</v>
      </c>
      <c r="J818" s="164">
        <v>131.08285337040351</v>
      </c>
      <c r="K818" s="164">
        <v>0</v>
      </c>
      <c r="L818" s="164">
        <v>131.08285337040351</v>
      </c>
      <c r="M818" s="164">
        <v>0</v>
      </c>
      <c r="N818" s="164">
        <v>0</v>
      </c>
      <c r="O818" s="164">
        <v>0</v>
      </c>
      <c r="P818" s="164">
        <v>0</v>
      </c>
      <c r="Q818" s="164">
        <v>0</v>
      </c>
      <c r="R818" s="164">
        <v>0</v>
      </c>
      <c r="S818" s="163" t="str">
        <f t="shared" si="95"/>
        <v/>
      </c>
      <c r="T818" s="163">
        <f>VLOOKUP(A818,'Groupe de branches'!$Z$27:$AM$86,14,FALSE)</f>
        <v>0</v>
      </c>
      <c r="U818" s="163">
        <f>VLOOKUP(D818,'Groupe de branches'!$Z$27:$AM$86,14,FALSE)</f>
        <v>0</v>
      </c>
      <c r="V818" s="163">
        <v>2018</v>
      </c>
      <c r="W818" t="str">
        <f>VLOOKUP(D818,'Table corresp.'!$M$4:$S$63,7,FALSE)</f>
        <v>Produits de consommation courante</v>
      </c>
      <c r="X818" s="167">
        <f>IFERROR(G818/SUMIFS('Comp2016-2017 (3)'!$I$5:$I$289,'Comp2016-2017 (3)'!$A$5:$A$289,A818,'Comp2016-2017 (3)'!$R$5:$R$289,V818),0)</f>
        <v>0.11120581786235352</v>
      </c>
      <c r="Y818" s="178">
        <f>IFERROR(IF(RIGHT(F818,3)="Exp",VLOOKUP(F818,#REF!,2,FALSE),VLOOKUP(F818,#REF!,9,FALSE)),1)</f>
        <v>1</v>
      </c>
      <c r="Z818" s="167">
        <f t="shared" si="96"/>
        <v>7.1428571428571425E-2</v>
      </c>
      <c r="AA818" s="189">
        <f t="shared" si="92"/>
        <v>7.9432727044538229E-3</v>
      </c>
      <c r="AB818" s="2">
        <f>IFERROR(SUMIFS('Comp2016-2017 (3)'!$G$5:$G$289,'Comp2016-2017 (3)'!$A$5:$A$289,A818,'Comp2016-2017 (3)'!$R$5:$R$289,V818)*AA818/SUMIFS($AA$4:$AA$1116,$A$4:$A$1116,A818,$V$4:$V$1116,V818),0)</f>
        <v>14818.249464339186</v>
      </c>
      <c r="AC818" s="2" t="str">
        <f>IF($W818=AC$3,$AB818,IF(NOT($W818=0),"",SUMIFS('Val-Vol (2)'!AC$4:AC$1116,'Val-Vol (2)'!$A$4:$A$1116,$D818,'Val-Vol (2)'!$V$4:$V$1116,$V818)/SUMIFS('Comp2016-2017 (3)'!$G$5:$G$289,'Comp2016-2017 (3)'!$A$5:$A$289,$D818,'Comp2016-2017 (3)'!$R$5:$R$289,$V818)*$AB818))</f>
        <v/>
      </c>
      <c r="AD818" s="2" t="str">
        <f>IF($W818=AD$3,$AB818,IF(NOT($W818=0),"",SUMIFS('Val-Vol (2)'!AD$4:AD$1116,'Val-Vol (2)'!$A$4:$A$1116,$D818,'Val-Vol (2)'!$V$4:$V$1116,$V818)/SUMIFS('Comp2016-2017 (3)'!$G$5:$G$289,'Comp2016-2017 (3)'!$A$5:$A$289,$D818,'Comp2016-2017 (3)'!$R$5:$R$289,$V818)*$AB818))</f>
        <v/>
      </c>
      <c r="AE818" s="2" t="str">
        <f>IF($W818=AE$3,$AB818,IF(NOT($W818=0),"",SUMIFS('Val-Vol (2)'!AE$4:AE$1116,'Val-Vol (2)'!$A$4:$A$1116,$D818,'Val-Vol (2)'!$V$4:$V$1116,$V818)/SUMIFS('Comp2016-2017 (3)'!$G$5:$G$289,'Comp2016-2017 (3)'!$A$5:$A$289,$D818,'Comp2016-2017 (3)'!$R$5:$R$289,$V818)*$AB818))</f>
        <v/>
      </c>
      <c r="AF818" s="2" t="str">
        <f>IF($W818=AF$3,$AB818,IF(NOT($W818=0),"",SUMIFS('Val-Vol (2)'!AF$4:AF$1116,'Val-Vol (2)'!$A$4:$A$1116,$D818,'Val-Vol (2)'!$V$4:$V$1116,$V818)/SUMIFS('Comp2016-2017 (3)'!$G$5:$G$289,'Comp2016-2017 (3)'!$A$5:$A$289,$D818,'Comp2016-2017 (3)'!$R$5:$R$289,$V818)*$AB818))</f>
        <v/>
      </c>
      <c r="AG818" s="2" t="str">
        <f>IF($W818=AG$3,$AB818,IF(NOT($W818=0),"",SUMIFS('Val-Vol (2)'!AG$4:AG$1116,'Val-Vol (2)'!$A$4:$A$1116,$D818,'Val-Vol (2)'!$V$4:$V$1116,$V818)/SUMIFS('Comp2016-2017 (3)'!$G$5:$G$289,'Comp2016-2017 (3)'!$A$5:$A$289,$D818,'Comp2016-2017 (3)'!$R$5:$R$289,$V818)*$AB818))</f>
        <v/>
      </c>
      <c r="AH818" s="2" t="str">
        <f>IF($W818=AH$3,$AB818,IF(NOT($W818=0),"",SUMIFS('Val-Vol (2)'!AH$4:AH$1116,'Val-Vol (2)'!$A$4:$A$1116,$D818,'Val-Vol (2)'!$V$4:$V$1116,$V818)/SUMIFS('Comp2016-2017 (3)'!$G$5:$G$289,'Comp2016-2017 (3)'!$A$5:$A$289,$D818,'Comp2016-2017 (3)'!$R$5:$R$289,$V818)*$AB818))</f>
        <v/>
      </c>
      <c r="AI818" s="2">
        <f>IF($W818=AI$3,$AB818,IF(NOT($W818=0),"",SUMIFS('Val-Vol (2)'!AI$4:AI$1116,'Val-Vol (2)'!$A$4:$A$1116,$D818,'Val-Vol (2)'!$V$4:$V$1116,$V818)/SUMIFS('Comp2016-2017 (3)'!$G$5:$G$289,'Comp2016-2017 (3)'!$A$5:$A$289,$D818,'Comp2016-2017 (3)'!$R$5:$R$289,$V818)*$AB818))</f>
        <v>14818.249464339186</v>
      </c>
      <c r="AJ818" s="2" t="str">
        <f>IF($W818=AJ$3,$AB818,IF(NOT($W818=0),"",SUMIFS('Val-Vol (2)'!AJ$4:AJ$1116,'Val-Vol (2)'!$A$4:$A$1116,$D818,'Val-Vol (2)'!$V$4:$V$1116,$V818)/SUMIFS('Comp2016-2017 (3)'!$G$5:$G$289,'Comp2016-2017 (3)'!$A$5:$A$289,$D818,'Comp2016-2017 (3)'!$R$5:$R$289,$V818)*$AB818))</f>
        <v/>
      </c>
      <c r="AK818" s="2">
        <f t="shared" si="90"/>
        <v>0</v>
      </c>
      <c r="AL818" t="str">
        <f t="shared" si="91"/>
        <v/>
      </c>
      <c r="AM818" t="str">
        <f>VLOOKUP(A818,'Table corresp.'!$M$4:$U$63,8,FALSE)</f>
        <v>Production intermédiaire</v>
      </c>
      <c r="AN818" t="str">
        <f>VLOOKUP(D818,'Table corresp.'!$M$4:$U$63,9,FALSE)</f>
        <v>Production finale</v>
      </c>
    </row>
    <row r="819" spans="1:40" x14ac:dyDescent="0.25">
      <c r="A819" t="s">
        <v>4</v>
      </c>
      <c r="B819" t="str">
        <f>VLOOKUP(LEFT(A819,3),'Table corresp.'!$A$4:$D$63,3,FALSE)</f>
        <v>Transformation</v>
      </c>
      <c r="C819" t="str">
        <f>VLOOKUP(A819,'Table corresp.'!$M$4:$P$63,4,FALSE)</f>
        <v>Production et transformation de produits bois</v>
      </c>
      <c r="D819" t="s">
        <v>19</v>
      </c>
      <c r="E819" t="str">
        <f>VLOOKUP(LEFT(D819,3),'Table corresp.'!$A$4:$D$63,4,FALSE)</f>
        <v>Transformation</v>
      </c>
      <c r="F819" t="str">
        <f t="shared" si="94"/>
        <v xml:space="preserve">08  - 52 </v>
      </c>
      <c r="G819" s="164">
        <v>34182.3353461386</v>
      </c>
      <c r="H819" s="164">
        <v>0</v>
      </c>
      <c r="I819" s="164">
        <v>34182.335346138585</v>
      </c>
      <c r="J819" s="164">
        <v>191.69115123071273</v>
      </c>
      <c r="K819" s="164">
        <v>0</v>
      </c>
      <c r="L819" s="164">
        <v>191.69115123071273</v>
      </c>
      <c r="M819" s="164">
        <v>0</v>
      </c>
      <c r="N819" s="164">
        <v>0</v>
      </c>
      <c r="O819" s="164">
        <v>0</v>
      </c>
      <c r="P819" s="164">
        <v>0</v>
      </c>
      <c r="Q819" s="164">
        <v>0</v>
      </c>
      <c r="R819" s="164">
        <v>0</v>
      </c>
      <c r="S819" s="163" t="str">
        <f t="shared" si="95"/>
        <v/>
      </c>
      <c r="T819" s="163">
        <f>VLOOKUP(A819,'Groupe de branches'!$Z$27:$AM$86,14,FALSE)</f>
        <v>0</v>
      </c>
      <c r="U819" s="163">
        <f>VLOOKUP(D819,'Groupe de branches'!$Z$27:$AM$86,14,FALSE)</f>
        <v>0</v>
      </c>
      <c r="V819" s="163">
        <v>2018</v>
      </c>
      <c r="W819" t="str">
        <f>VLOOKUP(D819,'Table corresp.'!$M$4:$S$63,7,FALSE)</f>
        <v>Construction</v>
      </c>
      <c r="X819" s="167">
        <f>IFERROR(G819/SUMIFS('Comp2016-2017 (3)'!$I$5:$I$289,'Comp2016-2017 (3)'!$A$5:$A$289,A819,'Comp2016-2017 (3)'!$R$5:$R$289,V819),0)</f>
        <v>6.5049457504105859E-2</v>
      </c>
      <c r="Y819" s="178">
        <f>IFERROR(IF(RIGHT(F819,3)="Exp",VLOOKUP(F819,#REF!,2,FALSE),VLOOKUP(F819,#REF!,9,FALSE)),1)</f>
        <v>1</v>
      </c>
      <c r="Z819" s="167">
        <f t="shared" si="96"/>
        <v>7.1428571428571425E-2</v>
      </c>
      <c r="AA819" s="189">
        <f t="shared" si="92"/>
        <v>4.6463898217218467E-3</v>
      </c>
      <c r="AB819" s="2">
        <f>IFERROR(SUMIFS('Comp2016-2017 (3)'!$G$5:$G$289,'Comp2016-2017 (3)'!$A$5:$A$289,A819,'Comp2016-2017 (3)'!$R$5:$R$289,V819)*AA819/SUMIFS($AA$4:$AA$1116,$A$4:$A$1116,A819,$V$4:$V$1116,V819),0)</f>
        <v>8667.8836354485975</v>
      </c>
      <c r="AC819" s="2" t="str">
        <f>IF($W819=AC$3,$AB819,IF(NOT($W819=0),"",SUMIFS('Val-Vol (2)'!AC$4:AC$1116,'Val-Vol (2)'!$A$4:$A$1116,$D819,'Val-Vol (2)'!$V$4:$V$1116,$V819)/SUMIFS('Comp2016-2017 (3)'!$G$5:$G$289,'Comp2016-2017 (3)'!$A$5:$A$289,$D819,'Comp2016-2017 (3)'!$R$5:$R$289,$V819)*$AB819))</f>
        <v/>
      </c>
      <c r="AD819" s="2">
        <f>IF($W819=AD$3,$AB819,IF(NOT($W819=0),"",SUMIFS('Val-Vol (2)'!AD$4:AD$1116,'Val-Vol (2)'!$A$4:$A$1116,$D819,'Val-Vol (2)'!$V$4:$V$1116,$V819)/SUMIFS('Comp2016-2017 (3)'!$G$5:$G$289,'Comp2016-2017 (3)'!$A$5:$A$289,$D819,'Comp2016-2017 (3)'!$R$5:$R$289,$V819)*$AB819))</f>
        <v>8667.8836354485975</v>
      </c>
      <c r="AE819" s="2" t="str">
        <f>IF($W819=AE$3,$AB819,IF(NOT($W819=0),"",SUMIFS('Val-Vol (2)'!AE$4:AE$1116,'Val-Vol (2)'!$A$4:$A$1116,$D819,'Val-Vol (2)'!$V$4:$V$1116,$V819)/SUMIFS('Comp2016-2017 (3)'!$G$5:$G$289,'Comp2016-2017 (3)'!$A$5:$A$289,$D819,'Comp2016-2017 (3)'!$R$5:$R$289,$V819)*$AB819))</f>
        <v/>
      </c>
      <c r="AF819" s="2" t="str">
        <f>IF($W819=AF$3,$AB819,IF(NOT($W819=0),"",SUMIFS('Val-Vol (2)'!AF$4:AF$1116,'Val-Vol (2)'!$A$4:$A$1116,$D819,'Val-Vol (2)'!$V$4:$V$1116,$V819)/SUMIFS('Comp2016-2017 (3)'!$G$5:$G$289,'Comp2016-2017 (3)'!$A$5:$A$289,$D819,'Comp2016-2017 (3)'!$R$5:$R$289,$V819)*$AB819))</f>
        <v/>
      </c>
      <c r="AG819" s="2" t="str">
        <f>IF($W819=AG$3,$AB819,IF(NOT($W819=0),"",SUMIFS('Val-Vol (2)'!AG$4:AG$1116,'Val-Vol (2)'!$A$4:$A$1116,$D819,'Val-Vol (2)'!$V$4:$V$1116,$V819)/SUMIFS('Comp2016-2017 (3)'!$G$5:$G$289,'Comp2016-2017 (3)'!$A$5:$A$289,$D819,'Comp2016-2017 (3)'!$R$5:$R$289,$V819)*$AB819))</f>
        <v/>
      </c>
      <c r="AH819" s="2" t="str">
        <f>IF($W819=AH$3,$AB819,IF(NOT($W819=0),"",SUMIFS('Val-Vol (2)'!AH$4:AH$1116,'Val-Vol (2)'!$A$4:$A$1116,$D819,'Val-Vol (2)'!$V$4:$V$1116,$V819)/SUMIFS('Comp2016-2017 (3)'!$G$5:$G$289,'Comp2016-2017 (3)'!$A$5:$A$289,$D819,'Comp2016-2017 (3)'!$R$5:$R$289,$V819)*$AB819))</f>
        <v/>
      </c>
      <c r="AI819" s="2" t="str">
        <f>IF($W819=AI$3,$AB819,IF(NOT($W819=0),"",SUMIFS('Val-Vol (2)'!AI$4:AI$1116,'Val-Vol (2)'!$A$4:$A$1116,$D819,'Val-Vol (2)'!$V$4:$V$1116,$V819)/SUMIFS('Comp2016-2017 (3)'!$G$5:$G$289,'Comp2016-2017 (3)'!$A$5:$A$289,$D819,'Comp2016-2017 (3)'!$R$5:$R$289,$V819)*$AB819))</f>
        <v/>
      </c>
      <c r="AJ819" s="2" t="str">
        <f>IF($W819=AJ$3,$AB819,IF(NOT($W819=0),"",SUMIFS('Val-Vol (2)'!AJ$4:AJ$1116,'Val-Vol (2)'!$A$4:$A$1116,$D819,'Val-Vol (2)'!$V$4:$V$1116,$V819)/SUMIFS('Comp2016-2017 (3)'!$G$5:$G$289,'Comp2016-2017 (3)'!$A$5:$A$289,$D819,'Comp2016-2017 (3)'!$R$5:$R$289,$V819)*$AB819))</f>
        <v/>
      </c>
      <c r="AK819" s="2">
        <f t="shared" si="90"/>
        <v>0</v>
      </c>
      <c r="AL819" t="str">
        <f t="shared" si="91"/>
        <v/>
      </c>
      <c r="AM819" t="str">
        <f>VLOOKUP(A819,'Table corresp.'!$M$4:$U$63,8,FALSE)</f>
        <v>Production intermédiaire</v>
      </c>
      <c r="AN819" t="str">
        <f>VLOOKUP(D819,'Table corresp.'!$M$4:$U$63,9,FALSE)</f>
        <v xml:space="preserve">Mise en œuvre </v>
      </c>
    </row>
    <row r="820" spans="1:40" x14ac:dyDescent="0.25">
      <c r="A820" t="s">
        <v>4</v>
      </c>
      <c r="B820" t="str">
        <f>VLOOKUP(LEFT(A820,3),'Table corresp.'!$A$4:$D$63,3,FALSE)</f>
        <v>Transformation</v>
      </c>
      <c r="C820" t="str">
        <f>VLOOKUP(A820,'Table corresp.'!$M$4:$P$63,4,FALSE)</f>
        <v>Production et transformation de produits bois</v>
      </c>
      <c r="D820" t="s">
        <v>21</v>
      </c>
      <c r="E820" t="str">
        <f>VLOOKUP(LEFT(D820,3),'Table corresp.'!$A$4:$D$63,4,FALSE)</f>
        <v>Transformation</v>
      </c>
      <c r="F820" t="str">
        <f t="shared" si="94"/>
        <v xml:space="preserve">08  - 54 </v>
      </c>
      <c r="G820" s="164">
        <v>39498.637340070934</v>
      </c>
      <c r="H820" s="164">
        <v>0</v>
      </c>
      <c r="I820" s="164">
        <v>39498.63734007092</v>
      </c>
      <c r="J820" s="164">
        <v>93.265030017052595</v>
      </c>
      <c r="K820" s="164">
        <v>0</v>
      </c>
      <c r="L820" s="164">
        <v>93.265030017052595</v>
      </c>
      <c r="M820" s="164">
        <v>0</v>
      </c>
      <c r="N820" s="164">
        <v>0</v>
      </c>
      <c r="O820" s="164">
        <v>0</v>
      </c>
      <c r="P820" s="164">
        <v>0</v>
      </c>
      <c r="Q820" s="164">
        <v>0</v>
      </c>
      <c r="R820" s="164">
        <v>0</v>
      </c>
      <c r="S820" s="163" t="str">
        <f t="shared" si="95"/>
        <v/>
      </c>
      <c r="T820" s="163">
        <f>VLOOKUP(A820,'Groupe de branches'!$Z$27:$AM$86,14,FALSE)</f>
        <v>0</v>
      </c>
      <c r="U820" s="163">
        <f>VLOOKUP(D820,'Groupe de branches'!$Z$27:$AM$86,14,FALSE)</f>
        <v>0</v>
      </c>
      <c r="V820" s="163">
        <v>2018</v>
      </c>
      <c r="W820" t="str">
        <f>VLOOKUP(D820,'Table corresp.'!$M$4:$S$63,7,FALSE)</f>
        <v>Construction</v>
      </c>
      <c r="X820" s="167">
        <f>IFERROR(G820/SUMIFS('Comp2016-2017 (3)'!$I$5:$I$289,'Comp2016-2017 (3)'!$A$5:$A$289,A820,'Comp2016-2017 (3)'!$R$5:$R$289,V820),0)</f>
        <v>7.5166453816131101E-2</v>
      </c>
      <c r="Y820" s="178">
        <f>IFERROR(IF(RIGHT(F820,3)="Exp",VLOOKUP(F820,#REF!,2,FALSE),VLOOKUP(F820,#REF!,9,FALSE)),1)</f>
        <v>1</v>
      </c>
      <c r="Z820" s="167">
        <f t="shared" si="96"/>
        <v>7.1428571428571425E-2</v>
      </c>
      <c r="AA820" s="189">
        <f t="shared" si="92"/>
        <v>5.3690324154379359E-3</v>
      </c>
      <c r="AB820" s="2">
        <f>IFERROR(SUMIFS('Comp2016-2017 (3)'!$G$5:$G$289,'Comp2016-2017 (3)'!$A$5:$A$289,A820,'Comp2016-2017 (3)'!$R$5:$R$289,V820)*AA820/SUMIFS($AA$4:$AA$1116,$A$4:$A$1116,A820,$V$4:$V$1116,V820),0)</f>
        <v>10015.980147511935</v>
      </c>
      <c r="AC820" s="2" t="str">
        <f>IF($W820=AC$3,$AB820,IF(NOT($W820=0),"",SUMIFS('Val-Vol (2)'!AC$4:AC$1116,'Val-Vol (2)'!$A$4:$A$1116,$D820,'Val-Vol (2)'!$V$4:$V$1116,$V820)/SUMIFS('Comp2016-2017 (3)'!$G$5:$G$289,'Comp2016-2017 (3)'!$A$5:$A$289,$D820,'Comp2016-2017 (3)'!$R$5:$R$289,$V820)*$AB820))</f>
        <v/>
      </c>
      <c r="AD820" s="2">
        <f>IF($W820=AD$3,$AB820,IF(NOT($W820=0),"",SUMIFS('Val-Vol (2)'!AD$4:AD$1116,'Val-Vol (2)'!$A$4:$A$1116,$D820,'Val-Vol (2)'!$V$4:$V$1116,$V820)/SUMIFS('Comp2016-2017 (3)'!$G$5:$G$289,'Comp2016-2017 (3)'!$A$5:$A$289,$D820,'Comp2016-2017 (3)'!$R$5:$R$289,$V820)*$AB820))</f>
        <v>10015.980147511935</v>
      </c>
      <c r="AE820" s="2" t="str">
        <f>IF($W820=AE$3,$AB820,IF(NOT($W820=0),"",SUMIFS('Val-Vol (2)'!AE$4:AE$1116,'Val-Vol (2)'!$A$4:$A$1116,$D820,'Val-Vol (2)'!$V$4:$V$1116,$V820)/SUMIFS('Comp2016-2017 (3)'!$G$5:$G$289,'Comp2016-2017 (3)'!$A$5:$A$289,$D820,'Comp2016-2017 (3)'!$R$5:$R$289,$V820)*$AB820))</f>
        <v/>
      </c>
      <c r="AF820" s="2" t="str">
        <f>IF($W820=AF$3,$AB820,IF(NOT($W820=0),"",SUMIFS('Val-Vol (2)'!AF$4:AF$1116,'Val-Vol (2)'!$A$4:$A$1116,$D820,'Val-Vol (2)'!$V$4:$V$1116,$V820)/SUMIFS('Comp2016-2017 (3)'!$G$5:$G$289,'Comp2016-2017 (3)'!$A$5:$A$289,$D820,'Comp2016-2017 (3)'!$R$5:$R$289,$V820)*$AB820))</f>
        <v/>
      </c>
      <c r="AG820" s="2" t="str">
        <f>IF($W820=AG$3,$AB820,IF(NOT($W820=0),"",SUMIFS('Val-Vol (2)'!AG$4:AG$1116,'Val-Vol (2)'!$A$4:$A$1116,$D820,'Val-Vol (2)'!$V$4:$V$1116,$V820)/SUMIFS('Comp2016-2017 (3)'!$G$5:$G$289,'Comp2016-2017 (3)'!$A$5:$A$289,$D820,'Comp2016-2017 (3)'!$R$5:$R$289,$V820)*$AB820))</f>
        <v/>
      </c>
      <c r="AH820" s="2" t="str">
        <f>IF($W820=AH$3,$AB820,IF(NOT($W820=0),"",SUMIFS('Val-Vol (2)'!AH$4:AH$1116,'Val-Vol (2)'!$A$4:$A$1116,$D820,'Val-Vol (2)'!$V$4:$V$1116,$V820)/SUMIFS('Comp2016-2017 (3)'!$G$5:$G$289,'Comp2016-2017 (3)'!$A$5:$A$289,$D820,'Comp2016-2017 (3)'!$R$5:$R$289,$V820)*$AB820))</f>
        <v/>
      </c>
      <c r="AI820" s="2" t="str">
        <f>IF($W820=AI$3,$AB820,IF(NOT($W820=0),"",SUMIFS('Val-Vol (2)'!AI$4:AI$1116,'Val-Vol (2)'!$A$4:$A$1116,$D820,'Val-Vol (2)'!$V$4:$V$1116,$V820)/SUMIFS('Comp2016-2017 (3)'!$G$5:$G$289,'Comp2016-2017 (3)'!$A$5:$A$289,$D820,'Comp2016-2017 (3)'!$R$5:$R$289,$V820)*$AB820))</f>
        <v/>
      </c>
      <c r="AJ820" s="2" t="str">
        <f>IF($W820=AJ$3,$AB820,IF(NOT($W820=0),"",SUMIFS('Val-Vol (2)'!AJ$4:AJ$1116,'Val-Vol (2)'!$A$4:$A$1116,$D820,'Val-Vol (2)'!$V$4:$V$1116,$V820)/SUMIFS('Comp2016-2017 (3)'!$G$5:$G$289,'Comp2016-2017 (3)'!$A$5:$A$289,$D820,'Comp2016-2017 (3)'!$R$5:$R$289,$V820)*$AB820))</f>
        <v/>
      </c>
      <c r="AK820" s="2">
        <f t="shared" si="90"/>
        <v>0</v>
      </c>
      <c r="AL820" t="str">
        <f t="shared" si="91"/>
        <v/>
      </c>
      <c r="AM820" t="str">
        <f>VLOOKUP(A820,'Table corresp.'!$M$4:$U$63,8,FALSE)</f>
        <v>Production intermédiaire</v>
      </c>
      <c r="AN820" t="str">
        <f>VLOOKUP(D820,'Table corresp.'!$M$4:$U$63,9,FALSE)</f>
        <v xml:space="preserve">Mise en œuvre </v>
      </c>
    </row>
    <row r="821" spans="1:40" x14ac:dyDescent="0.25">
      <c r="A821" t="s">
        <v>4</v>
      </c>
      <c r="B821" t="str">
        <f>VLOOKUP(LEFT(A821,3),'Table corresp.'!$A$4:$D$63,3,FALSE)</f>
        <v>Transformation</v>
      </c>
      <c r="C821" t="str">
        <f>VLOOKUP(A821,'Table corresp.'!$M$4:$P$63,4,FALSE)</f>
        <v>Production et transformation de produits bois</v>
      </c>
      <c r="D821" t="s">
        <v>22</v>
      </c>
      <c r="E821" t="str">
        <f>VLOOKUP(LEFT(D821,3),'Table corresp.'!$A$4:$D$63,4,FALSE)</f>
        <v>Transformation</v>
      </c>
      <c r="F821" t="str">
        <f t="shared" si="94"/>
        <v xml:space="preserve">08  - 55 </v>
      </c>
      <c r="G821" s="164">
        <v>4095.222411507239</v>
      </c>
      <c r="H821" s="164">
        <v>0</v>
      </c>
      <c r="I821" s="164">
        <v>4095.2224115072372</v>
      </c>
      <c r="J821" s="164">
        <v>9.6697270300070368</v>
      </c>
      <c r="K821" s="164">
        <v>0</v>
      </c>
      <c r="L821" s="164">
        <v>9.6697270300070368</v>
      </c>
      <c r="M821" s="164">
        <v>0</v>
      </c>
      <c r="N821" s="164">
        <v>0</v>
      </c>
      <c r="O821" s="164">
        <v>0</v>
      </c>
      <c r="P821" s="164">
        <v>0</v>
      </c>
      <c r="Q821" s="164">
        <v>0</v>
      </c>
      <c r="R821" s="164">
        <v>0</v>
      </c>
      <c r="S821" s="163" t="str">
        <f t="shared" si="95"/>
        <v/>
      </c>
      <c r="T821" s="163">
        <f>VLOOKUP(A821,'Groupe de branches'!$Z$27:$AM$86,14,FALSE)</f>
        <v>0</v>
      </c>
      <c r="U821" s="163">
        <f>VLOOKUP(D821,'Groupe de branches'!$Z$27:$AM$86,14,FALSE)</f>
        <v>0</v>
      </c>
      <c r="V821" s="163">
        <v>2018</v>
      </c>
      <c r="W821" t="str">
        <f>VLOOKUP(D821,'Table corresp.'!$M$4:$S$63,7,FALSE)</f>
        <v>Construction</v>
      </c>
      <c r="X821" s="167">
        <f>IFERROR(G821/SUMIFS('Comp2016-2017 (3)'!$I$5:$I$289,'Comp2016-2017 (3)'!$A$5:$A$289,A821,'Comp2016-2017 (3)'!$R$5:$R$289,V821),0)</f>
        <v>7.7932649577523664E-3</v>
      </c>
      <c r="Y821" s="178">
        <f>IFERROR(IF(RIGHT(F821,3)="Exp",VLOOKUP(F821,#REF!,2,FALSE),VLOOKUP(F821,#REF!,9,FALSE)),1)</f>
        <v>1</v>
      </c>
      <c r="Z821" s="167">
        <f t="shared" si="96"/>
        <v>7.1428571428571425E-2</v>
      </c>
      <c r="AA821" s="189">
        <f t="shared" si="92"/>
        <v>5.566617826965976E-4</v>
      </c>
      <c r="AB821" s="2">
        <f>IFERROR(SUMIFS('Comp2016-2017 (3)'!$G$5:$G$289,'Comp2016-2017 (3)'!$A$5:$A$289,A821,'Comp2016-2017 (3)'!$R$5:$R$289,V821)*AA821/SUMIFS($AA$4:$AA$1116,$A$4:$A$1116,A821,$V$4:$V$1116,V821),0)</f>
        <v>1038.4577579260053</v>
      </c>
      <c r="AC821" s="2" t="str">
        <f>IF($W821=AC$3,$AB821,IF(NOT($W821=0),"",SUMIFS('Val-Vol (2)'!AC$4:AC$1116,'Val-Vol (2)'!$A$4:$A$1116,$D821,'Val-Vol (2)'!$V$4:$V$1116,$V821)/SUMIFS('Comp2016-2017 (3)'!$G$5:$G$289,'Comp2016-2017 (3)'!$A$5:$A$289,$D821,'Comp2016-2017 (3)'!$R$5:$R$289,$V821)*$AB821))</f>
        <v/>
      </c>
      <c r="AD821" s="2">
        <f>IF($W821=AD$3,$AB821,IF(NOT($W821=0),"",SUMIFS('Val-Vol (2)'!AD$4:AD$1116,'Val-Vol (2)'!$A$4:$A$1116,$D821,'Val-Vol (2)'!$V$4:$V$1116,$V821)/SUMIFS('Comp2016-2017 (3)'!$G$5:$G$289,'Comp2016-2017 (3)'!$A$5:$A$289,$D821,'Comp2016-2017 (3)'!$R$5:$R$289,$V821)*$AB821))</f>
        <v>1038.4577579260053</v>
      </c>
      <c r="AE821" s="2" t="str">
        <f>IF($W821=AE$3,$AB821,IF(NOT($W821=0),"",SUMIFS('Val-Vol (2)'!AE$4:AE$1116,'Val-Vol (2)'!$A$4:$A$1116,$D821,'Val-Vol (2)'!$V$4:$V$1116,$V821)/SUMIFS('Comp2016-2017 (3)'!$G$5:$G$289,'Comp2016-2017 (3)'!$A$5:$A$289,$D821,'Comp2016-2017 (3)'!$R$5:$R$289,$V821)*$AB821))</f>
        <v/>
      </c>
      <c r="AF821" s="2" t="str">
        <f>IF($W821=AF$3,$AB821,IF(NOT($W821=0),"",SUMIFS('Val-Vol (2)'!AF$4:AF$1116,'Val-Vol (2)'!$A$4:$A$1116,$D821,'Val-Vol (2)'!$V$4:$V$1116,$V821)/SUMIFS('Comp2016-2017 (3)'!$G$5:$G$289,'Comp2016-2017 (3)'!$A$5:$A$289,$D821,'Comp2016-2017 (3)'!$R$5:$R$289,$V821)*$AB821))</f>
        <v/>
      </c>
      <c r="AG821" s="2" t="str">
        <f>IF($W821=AG$3,$AB821,IF(NOT($W821=0),"",SUMIFS('Val-Vol (2)'!AG$4:AG$1116,'Val-Vol (2)'!$A$4:$A$1116,$D821,'Val-Vol (2)'!$V$4:$V$1116,$V821)/SUMIFS('Comp2016-2017 (3)'!$G$5:$G$289,'Comp2016-2017 (3)'!$A$5:$A$289,$D821,'Comp2016-2017 (3)'!$R$5:$R$289,$V821)*$AB821))</f>
        <v/>
      </c>
      <c r="AH821" s="2" t="str">
        <f>IF($W821=AH$3,$AB821,IF(NOT($W821=0),"",SUMIFS('Val-Vol (2)'!AH$4:AH$1116,'Val-Vol (2)'!$A$4:$A$1116,$D821,'Val-Vol (2)'!$V$4:$V$1116,$V821)/SUMIFS('Comp2016-2017 (3)'!$G$5:$G$289,'Comp2016-2017 (3)'!$A$5:$A$289,$D821,'Comp2016-2017 (3)'!$R$5:$R$289,$V821)*$AB821))</f>
        <v/>
      </c>
      <c r="AI821" s="2" t="str">
        <f>IF($W821=AI$3,$AB821,IF(NOT($W821=0),"",SUMIFS('Val-Vol (2)'!AI$4:AI$1116,'Val-Vol (2)'!$A$4:$A$1116,$D821,'Val-Vol (2)'!$V$4:$V$1116,$V821)/SUMIFS('Comp2016-2017 (3)'!$G$5:$G$289,'Comp2016-2017 (3)'!$A$5:$A$289,$D821,'Comp2016-2017 (3)'!$R$5:$R$289,$V821)*$AB821))</f>
        <v/>
      </c>
      <c r="AJ821" s="2" t="str">
        <f>IF($W821=AJ$3,$AB821,IF(NOT($W821=0),"",SUMIFS('Val-Vol (2)'!AJ$4:AJ$1116,'Val-Vol (2)'!$A$4:$A$1116,$D821,'Val-Vol (2)'!$V$4:$V$1116,$V821)/SUMIFS('Comp2016-2017 (3)'!$G$5:$G$289,'Comp2016-2017 (3)'!$A$5:$A$289,$D821,'Comp2016-2017 (3)'!$R$5:$R$289,$V821)*$AB821))</f>
        <v/>
      </c>
      <c r="AK821" s="2">
        <f t="shared" si="90"/>
        <v>0</v>
      </c>
      <c r="AL821" t="str">
        <f t="shared" si="91"/>
        <v/>
      </c>
      <c r="AM821" t="str">
        <f>VLOOKUP(A821,'Table corresp.'!$M$4:$U$63,8,FALSE)</f>
        <v>Production intermédiaire</v>
      </c>
      <c r="AN821" t="str">
        <f>VLOOKUP(D821,'Table corresp.'!$M$4:$U$63,9,FALSE)</f>
        <v xml:space="preserve">Mise en œuvre </v>
      </c>
    </row>
    <row r="822" spans="1:40" x14ac:dyDescent="0.25">
      <c r="A822" t="s">
        <v>4</v>
      </c>
      <c r="B822" t="str">
        <f>VLOOKUP(LEFT(A822,3),'Table corresp.'!$A$4:$D$63,3,FALSE)</f>
        <v>Transformation</v>
      </c>
      <c r="C822" t="str">
        <f>VLOOKUP(A822,'Table corresp.'!$M$4:$P$63,4,FALSE)</f>
        <v>Production et transformation de produits bois</v>
      </c>
      <c r="D822" t="s">
        <v>24</v>
      </c>
      <c r="E822" t="str">
        <f>VLOOKUP(LEFT(D822,3),'Table corresp.'!$A$4:$D$63,4,FALSE)</f>
        <v>Transformation</v>
      </c>
      <c r="F822" t="str">
        <f t="shared" si="94"/>
        <v xml:space="preserve">08  - 57 </v>
      </c>
      <c r="G822" s="164">
        <v>12727.13531798771</v>
      </c>
      <c r="H822" s="164">
        <v>0</v>
      </c>
      <c r="I822" s="164">
        <v>12727.135317987704</v>
      </c>
      <c r="J822" s="164">
        <v>81.568587860846662</v>
      </c>
      <c r="K822" s="164">
        <v>0</v>
      </c>
      <c r="L822" s="164">
        <v>81.568587860846662</v>
      </c>
      <c r="M822" s="164">
        <v>0</v>
      </c>
      <c r="N822" s="164">
        <v>0</v>
      </c>
      <c r="O822" s="164">
        <v>0</v>
      </c>
      <c r="P822" s="164">
        <v>0</v>
      </c>
      <c r="Q822" s="164">
        <v>0</v>
      </c>
      <c r="R822" s="164">
        <v>0</v>
      </c>
      <c r="S822" s="163" t="str">
        <f t="shared" si="95"/>
        <v/>
      </c>
      <c r="T822" s="163">
        <f>VLOOKUP(A822,'Groupe de branches'!$Z$27:$AM$86,14,FALSE)</f>
        <v>0</v>
      </c>
      <c r="U822" s="163">
        <f>VLOOKUP(D822,'Groupe de branches'!$Z$27:$AM$86,14,FALSE)</f>
        <v>0</v>
      </c>
      <c r="V822" s="163">
        <v>2018</v>
      </c>
      <c r="W822" t="str">
        <f>VLOOKUP(D822,'Table corresp.'!$M$4:$S$63,7,FALSE)</f>
        <v>Construction</v>
      </c>
      <c r="X822" s="167">
        <f>IFERROR(G822/SUMIFS('Comp2016-2017 (3)'!$I$5:$I$289,'Comp2016-2017 (3)'!$A$5:$A$289,A822,'Comp2016-2017 (3)'!$R$5:$R$289,V822),0)</f>
        <v>2.4219914749328823E-2</v>
      </c>
      <c r="Y822" s="178">
        <f>IFERROR(IF(RIGHT(F822,3)="Exp",VLOOKUP(F822,#REF!,2,FALSE),VLOOKUP(F822,#REF!,9,FALSE)),1)</f>
        <v>1</v>
      </c>
      <c r="Z822" s="167">
        <f t="shared" si="96"/>
        <v>7.1428571428571425E-2</v>
      </c>
      <c r="AA822" s="189">
        <f t="shared" si="92"/>
        <v>1.7299939106663444E-3</v>
      </c>
      <c r="AB822" s="2">
        <f>IFERROR(SUMIFS('Comp2016-2017 (3)'!$G$5:$G$289,'Comp2016-2017 (3)'!$A$5:$A$289,A822,'Comp2016-2017 (3)'!$R$5:$R$289,V822)*AA822/SUMIFS($AA$4:$AA$1116,$A$4:$A$1116,A822,$V$4:$V$1116,V822),0)</f>
        <v>3227.3198080770544</v>
      </c>
      <c r="AC822" s="2" t="str">
        <f>IF($W822=AC$3,$AB822,IF(NOT($W822=0),"",SUMIFS('Val-Vol (2)'!AC$4:AC$1116,'Val-Vol (2)'!$A$4:$A$1116,$D822,'Val-Vol (2)'!$V$4:$V$1116,$V822)/SUMIFS('Comp2016-2017 (3)'!$G$5:$G$289,'Comp2016-2017 (3)'!$A$5:$A$289,$D822,'Comp2016-2017 (3)'!$R$5:$R$289,$V822)*$AB822))</f>
        <v/>
      </c>
      <c r="AD822" s="2">
        <f>IF($W822=AD$3,$AB822,IF(NOT($W822=0),"",SUMIFS('Val-Vol (2)'!AD$4:AD$1116,'Val-Vol (2)'!$A$4:$A$1116,$D822,'Val-Vol (2)'!$V$4:$V$1116,$V822)/SUMIFS('Comp2016-2017 (3)'!$G$5:$G$289,'Comp2016-2017 (3)'!$A$5:$A$289,$D822,'Comp2016-2017 (3)'!$R$5:$R$289,$V822)*$AB822))</f>
        <v>3227.3198080770544</v>
      </c>
      <c r="AE822" s="2" t="str">
        <f>IF($W822=AE$3,$AB822,IF(NOT($W822=0),"",SUMIFS('Val-Vol (2)'!AE$4:AE$1116,'Val-Vol (2)'!$A$4:$A$1116,$D822,'Val-Vol (2)'!$V$4:$V$1116,$V822)/SUMIFS('Comp2016-2017 (3)'!$G$5:$G$289,'Comp2016-2017 (3)'!$A$5:$A$289,$D822,'Comp2016-2017 (3)'!$R$5:$R$289,$V822)*$AB822))</f>
        <v/>
      </c>
      <c r="AF822" s="2" t="str">
        <f>IF($W822=AF$3,$AB822,IF(NOT($W822=0),"",SUMIFS('Val-Vol (2)'!AF$4:AF$1116,'Val-Vol (2)'!$A$4:$A$1116,$D822,'Val-Vol (2)'!$V$4:$V$1116,$V822)/SUMIFS('Comp2016-2017 (3)'!$G$5:$G$289,'Comp2016-2017 (3)'!$A$5:$A$289,$D822,'Comp2016-2017 (3)'!$R$5:$R$289,$V822)*$AB822))</f>
        <v/>
      </c>
      <c r="AG822" s="2" t="str">
        <f>IF($W822=AG$3,$AB822,IF(NOT($W822=0),"",SUMIFS('Val-Vol (2)'!AG$4:AG$1116,'Val-Vol (2)'!$A$4:$A$1116,$D822,'Val-Vol (2)'!$V$4:$V$1116,$V822)/SUMIFS('Comp2016-2017 (3)'!$G$5:$G$289,'Comp2016-2017 (3)'!$A$5:$A$289,$D822,'Comp2016-2017 (3)'!$R$5:$R$289,$V822)*$AB822))</f>
        <v/>
      </c>
      <c r="AH822" s="2" t="str">
        <f>IF($W822=AH$3,$AB822,IF(NOT($W822=0),"",SUMIFS('Val-Vol (2)'!AH$4:AH$1116,'Val-Vol (2)'!$A$4:$A$1116,$D822,'Val-Vol (2)'!$V$4:$V$1116,$V822)/SUMIFS('Comp2016-2017 (3)'!$G$5:$G$289,'Comp2016-2017 (3)'!$A$5:$A$289,$D822,'Comp2016-2017 (3)'!$R$5:$R$289,$V822)*$AB822))</f>
        <v/>
      </c>
      <c r="AI822" s="2" t="str">
        <f>IF($W822=AI$3,$AB822,IF(NOT($W822=0),"",SUMIFS('Val-Vol (2)'!AI$4:AI$1116,'Val-Vol (2)'!$A$4:$A$1116,$D822,'Val-Vol (2)'!$V$4:$V$1116,$V822)/SUMIFS('Comp2016-2017 (3)'!$G$5:$G$289,'Comp2016-2017 (3)'!$A$5:$A$289,$D822,'Comp2016-2017 (3)'!$R$5:$R$289,$V822)*$AB822))</f>
        <v/>
      </c>
      <c r="AJ822" s="2" t="str">
        <f>IF($W822=AJ$3,$AB822,IF(NOT($W822=0),"",SUMIFS('Val-Vol (2)'!AJ$4:AJ$1116,'Val-Vol (2)'!$A$4:$A$1116,$D822,'Val-Vol (2)'!$V$4:$V$1116,$V822)/SUMIFS('Comp2016-2017 (3)'!$G$5:$G$289,'Comp2016-2017 (3)'!$A$5:$A$289,$D822,'Comp2016-2017 (3)'!$R$5:$R$289,$V822)*$AB822))</f>
        <v/>
      </c>
      <c r="AK822" s="2">
        <f t="shared" si="90"/>
        <v>0</v>
      </c>
      <c r="AL822" t="str">
        <f t="shared" si="91"/>
        <v/>
      </c>
      <c r="AM822" t="str">
        <f>VLOOKUP(A822,'Table corresp.'!$M$4:$U$63,8,FALSE)</f>
        <v>Production intermédiaire</v>
      </c>
      <c r="AN822" t="str">
        <f>VLOOKUP(D822,'Table corresp.'!$M$4:$U$63,9,FALSE)</f>
        <v xml:space="preserve">Mise en œuvre </v>
      </c>
    </row>
    <row r="823" spans="1:40" x14ac:dyDescent="0.25">
      <c r="A823" t="s">
        <v>4</v>
      </c>
      <c r="B823" t="str">
        <f>VLOOKUP(LEFT(A823,3),'Table corresp.'!$A$4:$D$63,3,FALSE)</f>
        <v>Transformation</v>
      </c>
      <c r="C823" t="str">
        <f>VLOOKUP(A823,'Table corresp.'!$M$4:$P$63,4,FALSE)</f>
        <v>Production et transformation de produits bois</v>
      </c>
      <c r="D823" t="s">
        <v>54</v>
      </c>
      <c r="E823" t="str">
        <f>VLOOKUP(LEFT(D823,3),'Table corresp.'!$A$4:$D$63,4,FALSE)</f>
        <v>Consommation finale</v>
      </c>
      <c r="F823" t="str">
        <f t="shared" si="94"/>
        <v>08  - Con</v>
      </c>
      <c r="G823" s="164">
        <v>113253.23182569409</v>
      </c>
      <c r="H823" s="164">
        <v>2028.4488366718062</v>
      </c>
      <c r="I823" s="164">
        <v>115281.68066236583</v>
      </c>
      <c r="J823" s="164">
        <v>314.67881620799074</v>
      </c>
      <c r="K823" s="164">
        <v>5.242777442609408</v>
      </c>
      <c r="L823" s="164">
        <v>319.92159365060013</v>
      </c>
      <c r="M823" s="164">
        <v>0</v>
      </c>
      <c r="N823" s="164">
        <v>0</v>
      </c>
      <c r="O823" s="164">
        <v>0</v>
      </c>
      <c r="P823" s="164">
        <v>0</v>
      </c>
      <c r="Q823" s="164">
        <v>0</v>
      </c>
      <c r="R823" s="164">
        <v>0</v>
      </c>
      <c r="S823" s="163" t="str">
        <f t="shared" si="95"/>
        <v/>
      </c>
      <c r="T823" s="163">
        <f>VLOOKUP(A823,'Groupe de branches'!$Z$27:$AM$86,14,FALSE)</f>
        <v>0</v>
      </c>
      <c r="U823" s="163">
        <f>VLOOKUP(D823,'Groupe de branches'!$Z$27:$AM$86,14,FALSE)</f>
        <v>0</v>
      </c>
      <c r="V823" s="163">
        <v>2018</v>
      </c>
      <c r="W823" t="str">
        <f>VLOOKUP(D823,'Table corresp.'!$M$4:$S$63,7,FALSE)</f>
        <v>Consommation finale</v>
      </c>
      <c r="X823" s="167">
        <f>IFERROR(G823/SUMIFS('Comp2016-2017 (3)'!$I$5:$I$289,'Comp2016-2017 (3)'!$A$5:$A$289,A823,'Comp2016-2017 (3)'!$R$5:$R$289,V823),0)</f>
        <v>0.21552246844013118</v>
      </c>
      <c r="Y823" s="178">
        <f>IFERROR(IF(RIGHT(F823,3)="Exp",VLOOKUP(F823,#REF!,2,FALSE),VLOOKUP(F823,#REF!,9,FALSE)),1)</f>
        <v>1</v>
      </c>
      <c r="Z823" s="167">
        <f t="shared" si="96"/>
        <v>7.1428571428571425E-2</v>
      </c>
      <c r="AA823" s="189">
        <f t="shared" si="92"/>
        <v>1.539446203143794E-2</v>
      </c>
      <c r="AB823" s="2">
        <f>IFERROR(SUMIFS('Comp2016-2017 (3)'!$G$5:$G$289,'Comp2016-2017 (3)'!$A$5:$A$289,A823,'Comp2016-2017 (3)'!$R$5:$R$289,V823)*AA823/SUMIFS($AA$4:$AA$1116,$A$4:$A$1116,A823,$V$4:$V$1116,V823),0)</f>
        <v>28718.512789223267</v>
      </c>
      <c r="AC823" s="2" t="str">
        <f>IF($W823=AC$3,$AB823,IF(NOT($W823=0),"",SUMIFS('Val-Vol (2)'!AC$4:AC$1116,'Val-Vol (2)'!$A$4:$A$1116,$D823,'Val-Vol (2)'!$V$4:$V$1116,$V823)/SUMIFS('Comp2016-2017 (3)'!$G$5:$G$289,'Comp2016-2017 (3)'!$A$5:$A$289,$D823,'Comp2016-2017 (3)'!$R$5:$R$289,$V823)*$AB823))</f>
        <v/>
      </c>
      <c r="AD823" s="2" t="str">
        <f>IF($W823=AD$3,$AB823,IF(NOT($W823=0),"",SUMIFS('Val-Vol (2)'!AD$4:AD$1116,'Val-Vol (2)'!$A$4:$A$1116,$D823,'Val-Vol (2)'!$V$4:$V$1116,$V823)/SUMIFS('Comp2016-2017 (3)'!$G$5:$G$289,'Comp2016-2017 (3)'!$A$5:$A$289,$D823,'Comp2016-2017 (3)'!$R$5:$R$289,$V823)*$AB823))</f>
        <v/>
      </c>
      <c r="AE823" s="2" t="str">
        <f>IF($W823=AE$3,$AB823,IF(NOT($W823=0),"",SUMIFS('Val-Vol (2)'!AE$4:AE$1116,'Val-Vol (2)'!$A$4:$A$1116,$D823,'Val-Vol (2)'!$V$4:$V$1116,$V823)/SUMIFS('Comp2016-2017 (3)'!$G$5:$G$289,'Comp2016-2017 (3)'!$A$5:$A$289,$D823,'Comp2016-2017 (3)'!$R$5:$R$289,$V823)*$AB823))</f>
        <v/>
      </c>
      <c r="AF823" s="2" t="str">
        <f>IF($W823=AF$3,$AB823,IF(NOT($W823=0),"",SUMIFS('Val-Vol (2)'!AF$4:AF$1116,'Val-Vol (2)'!$A$4:$A$1116,$D823,'Val-Vol (2)'!$V$4:$V$1116,$V823)/SUMIFS('Comp2016-2017 (3)'!$G$5:$G$289,'Comp2016-2017 (3)'!$A$5:$A$289,$D823,'Comp2016-2017 (3)'!$R$5:$R$289,$V823)*$AB823))</f>
        <v/>
      </c>
      <c r="AG823" s="2" t="str">
        <f>IF($W823=AG$3,$AB823,IF(NOT($W823=0),"",SUMIFS('Val-Vol (2)'!AG$4:AG$1116,'Val-Vol (2)'!$A$4:$A$1116,$D823,'Val-Vol (2)'!$V$4:$V$1116,$V823)/SUMIFS('Comp2016-2017 (3)'!$G$5:$G$289,'Comp2016-2017 (3)'!$A$5:$A$289,$D823,'Comp2016-2017 (3)'!$R$5:$R$289,$V823)*$AB823))</f>
        <v/>
      </c>
      <c r="AH823" s="2" t="str">
        <f>IF($W823=AH$3,$AB823,IF(NOT($W823=0),"",SUMIFS('Val-Vol (2)'!AH$4:AH$1116,'Val-Vol (2)'!$A$4:$A$1116,$D823,'Val-Vol (2)'!$V$4:$V$1116,$V823)/SUMIFS('Comp2016-2017 (3)'!$G$5:$G$289,'Comp2016-2017 (3)'!$A$5:$A$289,$D823,'Comp2016-2017 (3)'!$R$5:$R$289,$V823)*$AB823))</f>
        <v/>
      </c>
      <c r="AI823" s="2" t="str">
        <f>IF($W823=AI$3,$AB823,IF(NOT($W823=0),"",SUMIFS('Val-Vol (2)'!AI$4:AI$1116,'Val-Vol (2)'!$A$4:$A$1116,$D823,'Val-Vol (2)'!$V$4:$V$1116,$V823)/SUMIFS('Comp2016-2017 (3)'!$G$5:$G$289,'Comp2016-2017 (3)'!$A$5:$A$289,$D823,'Comp2016-2017 (3)'!$R$5:$R$289,$V823)*$AB823))</f>
        <v/>
      </c>
      <c r="AJ823" s="2">
        <f>IF($W823=AJ$3,$AB823,IF(NOT($W823=0),"",SUMIFS('Val-Vol (2)'!AJ$4:AJ$1116,'Val-Vol (2)'!$A$4:$A$1116,$D823,'Val-Vol (2)'!$V$4:$V$1116,$V823)/SUMIFS('Comp2016-2017 (3)'!$G$5:$G$289,'Comp2016-2017 (3)'!$A$5:$A$289,$D823,'Comp2016-2017 (3)'!$R$5:$R$289,$V823)*$AB823))</f>
        <v>28718.512789223267</v>
      </c>
      <c r="AK823" s="2">
        <f t="shared" si="90"/>
        <v>0</v>
      </c>
      <c r="AL823" t="str">
        <f t="shared" si="91"/>
        <v/>
      </c>
      <c r="AM823" t="str">
        <f>VLOOKUP(A823,'Table corresp.'!$M$4:$U$63,8,FALSE)</f>
        <v>Production intermédiaire</v>
      </c>
      <c r="AN823" t="str">
        <f>VLOOKUP(D823,'Table corresp.'!$M$4:$U$63,9,FALSE)</f>
        <v>Consommation finale française</v>
      </c>
    </row>
    <row r="824" spans="1:40" x14ac:dyDescent="0.25">
      <c r="A824" t="s">
        <v>4</v>
      </c>
      <c r="B824" t="str">
        <f>VLOOKUP(LEFT(A824,3),'Table corresp.'!$A$4:$D$63,3,FALSE)</f>
        <v>Transformation</v>
      </c>
      <c r="C824" t="str">
        <f>VLOOKUP(A824,'Table corresp.'!$M$4:$P$63,4,FALSE)</f>
        <v>Production et transformation de produits bois</v>
      </c>
      <c r="D824" t="s">
        <v>53</v>
      </c>
      <c r="E824" t="str">
        <f>VLOOKUP(LEFT(D824,3),'Table corresp.'!$A$4:$D$63,4,FALSE)</f>
        <v>Exportation</v>
      </c>
      <c r="F824" t="str">
        <f t="shared" si="94"/>
        <v>08  - Exp</v>
      </c>
      <c r="G824" s="164">
        <v>122362.39400000004</v>
      </c>
      <c r="H824" s="164">
        <v>0</v>
      </c>
      <c r="I824" s="164">
        <v>122362.394</v>
      </c>
      <c r="J824" s="164">
        <v>460.36287754129995</v>
      </c>
      <c r="K824" s="164">
        <v>0</v>
      </c>
      <c r="L824" s="164">
        <v>460.36287754129995</v>
      </c>
      <c r="M824" s="164">
        <v>0</v>
      </c>
      <c r="N824" s="164">
        <v>0</v>
      </c>
      <c r="O824" s="164">
        <v>0</v>
      </c>
      <c r="P824" s="164">
        <v>0</v>
      </c>
      <c r="Q824" s="164">
        <v>0</v>
      </c>
      <c r="R824" s="164">
        <v>0</v>
      </c>
      <c r="S824" s="163" t="str">
        <f t="shared" si="95"/>
        <v/>
      </c>
      <c r="T824" s="163">
        <f>VLOOKUP(A824,'Groupe de branches'!$Z$27:$AM$86,14,FALSE)</f>
        <v>0</v>
      </c>
      <c r="U824" s="163">
        <f>VLOOKUP(D824,'Groupe de branches'!$Z$27:$AM$86,14,FALSE)</f>
        <v>0</v>
      </c>
      <c r="V824" s="163">
        <v>2018</v>
      </c>
      <c r="W824" t="str">
        <f>VLOOKUP(D824,'Table corresp.'!$M$4:$S$63,7,FALSE)</f>
        <v>Exportation</v>
      </c>
      <c r="X824" s="167">
        <f>IFERROR(G824/SUMIFS('Comp2016-2017 (3)'!$I$5:$I$289,'Comp2016-2017 (3)'!$A$5:$A$289,A824,'Comp2016-2017 (3)'!$R$5:$R$289,V824),0)</f>
        <v>0.23285733019709595</v>
      </c>
      <c r="Y824" s="178">
        <f>IFERROR(IF(RIGHT(F824,3)="Exp",VLOOKUP(F824,#REF!,2,FALSE),VLOOKUP(F824,#REF!,9,FALSE)),1)</f>
        <v>1</v>
      </c>
      <c r="Z824" s="167">
        <f t="shared" si="96"/>
        <v>7.1428571428571425E-2</v>
      </c>
      <c r="AA824" s="189">
        <f t="shared" si="92"/>
        <v>1.6632666442649709E-2</v>
      </c>
      <c r="AB824" s="2">
        <f>IFERROR(SUMIFS('Comp2016-2017 (3)'!$G$5:$G$289,'Comp2016-2017 (3)'!$A$5:$A$289,A824,'Comp2016-2017 (3)'!$R$5:$R$289,V824)*AA824/SUMIFS($AA$4:$AA$1116,$A$4:$A$1116,A824,$V$4:$V$1116,V824),0)</f>
        <v>31028.394690028894</v>
      </c>
      <c r="AC824" s="2">
        <f>IF($W824=AC$3,$AB824,IF(NOT($W824=0),"",SUMIFS('Val-Vol (2)'!AC$4:AC$1116,'Val-Vol (2)'!$A$4:$A$1116,$D824,'Val-Vol (2)'!$V$4:$V$1116,$V824)/SUMIFS('Comp2016-2017 (3)'!$G$5:$G$289,'Comp2016-2017 (3)'!$A$5:$A$289,$D824,'Comp2016-2017 (3)'!$R$5:$R$289,$V824)*$AB824))</f>
        <v>31028.394690028894</v>
      </c>
      <c r="AD824" s="2" t="str">
        <f>IF($W824=AD$3,$AB824,IF(NOT($W824=0),"",SUMIFS('Val-Vol (2)'!AD$4:AD$1116,'Val-Vol (2)'!$A$4:$A$1116,$D824,'Val-Vol (2)'!$V$4:$V$1116,$V824)/SUMIFS('Comp2016-2017 (3)'!$G$5:$G$289,'Comp2016-2017 (3)'!$A$5:$A$289,$D824,'Comp2016-2017 (3)'!$R$5:$R$289,$V824)*$AB824))</f>
        <v/>
      </c>
      <c r="AE824" s="2" t="str">
        <f>IF($W824=AE$3,$AB824,IF(NOT($W824=0),"",SUMIFS('Val-Vol (2)'!AE$4:AE$1116,'Val-Vol (2)'!$A$4:$A$1116,$D824,'Val-Vol (2)'!$V$4:$V$1116,$V824)/SUMIFS('Comp2016-2017 (3)'!$G$5:$G$289,'Comp2016-2017 (3)'!$A$5:$A$289,$D824,'Comp2016-2017 (3)'!$R$5:$R$289,$V824)*$AB824))</f>
        <v/>
      </c>
      <c r="AF824" s="2" t="str">
        <f>IF($W824=AF$3,$AB824,IF(NOT($W824=0),"",SUMIFS('Val-Vol (2)'!AF$4:AF$1116,'Val-Vol (2)'!$A$4:$A$1116,$D824,'Val-Vol (2)'!$V$4:$V$1116,$V824)/SUMIFS('Comp2016-2017 (3)'!$G$5:$G$289,'Comp2016-2017 (3)'!$A$5:$A$289,$D824,'Comp2016-2017 (3)'!$R$5:$R$289,$V824)*$AB824))</f>
        <v/>
      </c>
      <c r="AG824" s="2" t="str">
        <f>IF($W824=AG$3,$AB824,IF(NOT($W824=0),"",SUMIFS('Val-Vol (2)'!AG$4:AG$1116,'Val-Vol (2)'!$A$4:$A$1116,$D824,'Val-Vol (2)'!$V$4:$V$1116,$V824)/SUMIFS('Comp2016-2017 (3)'!$G$5:$G$289,'Comp2016-2017 (3)'!$A$5:$A$289,$D824,'Comp2016-2017 (3)'!$R$5:$R$289,$V824)*$AB824))</f>
        <v/>
      </c>
      <c r="AH824" s="2" t="str">
        <f>IF($W824=AH$3,$AB824,IF(NOT($W824=0),"",SUMIFS('Val-Vol (2)'!AH$4:AH$1116,'Val-Vol (2)'!$A$4:$A$1116,$D824,'Val-Vol (2)'!$V$4:$V$1116,$V824)/SUMIFS('Comp2016-2017 (3)'!$G$5:$G$289,'Comp2016-2017 (3)'!$A$5:$A$289,$D824,'Comp2016-2017 (3)'!$R$5:$R$289,$V824)*$AB824))</f>
        <v/>
      </c>
      <c r="AI824" s="2" t="str">
        <f>IF($W824=AI$3,$AB824,IF(NOT($W824=0),"",SUMIFS('Val-Vol (2)'!AI$4:AI$1116,'Val-Vol (2)'!$A$4:$A$1116,$D824,'Val-Vol (2)'!$V$4:$V$1116,$V824)/SUMIFS('Comp2016-2017 (3)'!$G$5:$G$289,'Comp2016-2017 (3)'!$A$5:$A$289,$D824,'Comp2016-2017 (3)'!$R$5:$R$289,$V824)*$AB824))</f>
        <v/>
      </c>
      <c r="AJ824" s="2" t="str">
        <f>IF($W824=AJ$3,$AB824,IF(NOT($W824=0),"",SUMIFS('Val-Vol (2)'!AJ$4:AJ$1116,'Val-Vol (2)'!$A$4:$A$1116,$D824,'Val-Vol (2)'!$V$4:$V$1116,$V824)/SUMIFS('Comp2016-2017 (3)'!$G$5:$G$289,'Comp2016-2017 (3)'!$A$5:$A$289,$D824,'Comp2016-2017 (3)'!$R$5:$R$289,$V824)*$AB824))</f>
        <v/>
      </c>
      <c r="AK824" s="2">
        <f t="shared" si="90"/>
        <v>0</v>
      </c>
      <c r="AL824" t="str">
        <f t="shared" si="91"/>
        <v/>
      </c>
      <c r="AM824" t="str">
        <f>VLOOKUP(A824,'Table corresp.'!$M$4:$U$63,8,FALSE)</f>
        <v>Production intermédiaire</v>
      </c>
      <c r="AN824" t="str">
        <f>VLOOKUP(D824,'Table corresp.'!$M$4:$U$63,9,FALSE)</f>
        <v>Exportation</v>
      </c>
    </row>
    <row r="825" spans="1:40" x14ac:dyDescent="0.25">
      <c r="A825" t="s">
        <v>5</v>
      </c>
      <c r="B825" t="str">
        <f>VLOOKUP(LEFT(A825,3),'Table corresp.'!$A$4:$D$63,3,FALSE)</f>
        <v>Transformation</v>
      </c>
      <c r="C825" t="str">
        <f>VLOOKUP(A825,'Table corresp.'!$M$4:$P$63,4,FALSE)</f>
        <v>Production et transformation de produits bois</v>
      </c>
      <c r="D825" t="s">
        <v>14</v>
      </c>
      <c r="E825" t="str">
        <f>VLOOKUP(LEFT(D825,3),'Table corresp.'!$A$4:$D$63,4,FALSE)</f>
        <v>Transformation</v>
      </c>
      <c r="F825" t="str">
        <f t="shared" si="94"/>
        <v>09  - 20b</v>
      </c>
      <c r="G825" s="164">
        <v>762.17866030413279</v>
      </c>
      <c r="H825" s="164">
        <v>1240.7445776576187</v>
      </c>
      <c r="I825" s="164">
        <v>2002.9226598406685</v>
      </c>
      <c r="J825" s="164">
        <v>6.7521513476516359</v>
      </c>
      <c r="K825" s="164">
        <v>4.3793361234030801</v>
      </c>
      <c r="L825" s="164">
        <v>11.131487471054715</v>
      </c>
      <c r="M825" s="164">
        <v>0</v>
      </c>
      <c r="N825" s="164">
        <v>0</v>
      </c>
      <c r="O825" s="164">
        <v>0</v>
      </c>
      <c r="P825" s="164">
        <v>0</v>
      </c>
      <c r="Q825" s="164">
        <v>0</v>
      </c>
      <c r="R825" s="164">
        <v>0</v>
      </c>
      <c r="S825" s="163" t="str">
        <f t="shared" si="95"/>
        <v/>
      </c>
      <c r="T825" s="163">
        <f>VLOOKUP(A825,'Groupe de branches'!$Z$27:$AM$86,14,FALSE)</f>
        <v>0</v>
      </c>
      <c r="U825" s="163">
        <f>VLOOKUP(D825,'Groupe de branches'!$Z$27:$AM$86,14,FALSE)</f>
        <v>0</v>
      </c>
      <c r="V825" s="163">
        <v>2018</v>
      </c>
      <c r="W825">
        <f>VLOOKUP(D825,'Table corresp.'!$M$4:$S$63,7,FALSE)</f>
        <v>0</v>
      </c>
      <c r="X825" s="167">
        <f>IFERROR(G825/SUMIFS('Comp2016-2017 (3)'!$I$5:$I$289,'Comp2016-2017 (3)'!$A$5:$A$289,A825,'Comp2016-2017 (3)'!$R$5:$R$289,V825),0)</f>
        <v>7.7061273852112719E-3</v>
      </c>
      <c r="Y825" s="178">
        <f>IFERROR(IF(RIGHT(F825,3)="Exp",VLOOKUP(F825,#REF!,2,FALSE),VLOOKUP(F825,#REF!,9,FALSE)),1)</f>
        <v>1</v>
      </c>
      <c r="Z825" s="167">
        <f t="shared" si="96"/>
        <v>8.3333333333333329E-2</v>
      </c>
      <c r="AA825" s="189">
        <f t="shared" si="92"/>
        <v>6.4217728210093925E-4</v>
      </c>
      <c r="AB825" s="2">
        <f>IFERROR(SUMIFS('Comp2016-2017 (3)'!$G$5:$G$289,'Comp2016-2017 (3)'!$A$5:$A$289,A825,'Comp2016-2017 (3)'!$R$5:$R$289,V825)*AA825/SUMIFS($AA$4:$AA$1116,$A$4:$A$1116,A825,$V$4:$V$1116,V825),0)</f>
        <v>199.68306593198565</v>
      </c>
      <c r="AC825" s="2">
        <f>IF($W825=AC$3,$AB825,IF(NOT($W825=0),"",SUMIFS('Val-Vol (2)'!AC$4:AC$1116,'Val-Vol (2)'!$A$4:$A$1116,$D825,'Val-Vol (2)'!$V$4:$V$1116,$V825)/SUMIFS('Comp2016-2017 (3)'!$G$5:$G$289,'Comp2016-2017 (3)'!$A$5:$A$289,$D825,'Comp2016-2017 (3)'!$R$5:$R$289,$V825)*$AB825))</f>
        <v>54.357710424185555</v>
      </c>
      <c r="AD825" s="2">
        <f>IF($W825=AD$3,$AB825,IF(NOT($W825=0),"",SUMIFS('Val-Vol (2)'!AD$4:AD$1116,'Val-Vol (2)'!$A$4:$A$1116,$D825,'Val-Vol (2)'!$V$4:$V$1116,$V825)/SUMIFS('Comp2016-2017 (3)'!$G$5:$G$289,'Comp2016-2017 (3)'!$A$5:$A$289,$D825,'Comp2016-2017 (3)'!$R$5:$R$289,$V825)*$AB825))</f>
        <v>128.61724248184805</v>
      </c>
      <c r="AE825" s="2">
        <f>IF($W825=AE$3,$AB825,IF(NOT($W825=0),"",SUMIFS('Val-Vol (2)'!AE$4:AE$1116,'Val-Vol (2)'!$A$4:$A$1116,$D825,'Val-Vol (2)'!$V$4:$V$1116,$V825)/SUMIFS('Comp2016-2017 (3)'!$G$5:$G$289,'Comp2016-2017 (3)'!$A$5:$A$289,$D825,'Comp2016-2017 (3)'!$R$5:$R$289,$V825)*$AB825))</f>
        <v>1.2119851869803873</v>
      </c>
      <c r="AF825" s="2">
        <f>IF($W825=AF$3,$AB825,IF(NOT($W825=0),"",SUMIFS('Val-Vol (2)'!AF$4:AF$1116,'Val-Vol (2)'!$A$4:$A$1116,$D825,'Val-Vol (2)'!$V$4:$V$1116,$V825)/SUMIFS('Comp2016-2017 (3)'!$G$5:$G$289,'Comp2016-2017 (3)'!$A$5:$A$289,$D825,'Comp2016-2017 (3)'!$R$5:$R$289,$V825)*$AB825))</f>
        <v>0</v>
      </c>
      <c r="AG825" s="2">
        <f>IF($W825=AG$3,$AB825,IF(NOT($W825=0),"",SUMIFS('Val-Vol (2)'!AG$4:AG$1116,'Val-Vol (2)'!$A$4:$A$1116,$D825,'Val-Vol (2)'!$V$4:$V$1116,$V825)/SUMIFS('Comp2016-2017 (3)'!$G$5:$G$289,'Comp2016-2017 (3)'!$A$5:$A$289,$D825,'Comp2016-2017 (3)'!$R$5:$R$289,$V825)*$AB825))</f>
        <v>0</v>
      </c>
      <c r="AH825" s="2">
        <f>IF($W825=AH$3,$AB825,IF(NOT($W825=0),"",SUMIFS('Val-Vol (2)'!AH$4:AH$1116,'Val-Vol (2)'!$A$4:$A$1116,$D825,'Val-Vol (2)'!$V$4:$V$1116,$V825)/SUMIFS('Comp2016-2017 (3)'!$G$5:$G$289,'Comp2016-2017 (3)'!$A$5:$A$289,$D825,'Comp2016-2017 (3)'!$R$5:$R$289,$V825)*$AB825))</f>
        <v>0</v>
      </c>
      <c r="AI825" s="2">
        <f>IF($W825=AI$3,$AB825,IF(NOT($W825=0),"",SUMIFS('Val-Vol (2)'!AI$4:AI$1116,'Val-Vol (2)'!$A$4:$A$1116,$D825,'Val-Vol (2)'!$V$4:$V$1116,$V825)/SUMIFS('Comp2016-2017 (3)'!$G$5:$G$289,'Comp2016-2017 (3)'!$A$5:$A$289,$D825,'Comp2016-2017 (3)'!$R$5:$R$289,$V825)*$AB825))</f>
        <v>0</v>
      </c>
      <c r="AJ825" s="2">
        <f>IF($W825=AJ$3,$AB825,IF(NOT($W825=0),"",SUMIFS('Val-Vol (2)'!AJ$4:AJ$1116,'Val-Vol (2)'!$A$4:$A$1116,$D825,'Val-Vol (2)'!$V$4:$V$1116,$V825)/SUMIFS('Comp2016-2017 (3)'!$G$5:$G$289,'Comp2016-2017 (3)'!$A$5:$A$289,$D825,'Comp2016-2017 (3)'!$R$5:$R$289,$V825)*$AB825))</f>
        <v>15.496127838971697</v>
      </c>
      <c r="AK825" s="2">
        <f t="shared" si="90"/>
        <v>0</v>
      </c>
      <c r="AL825" t="str">
        <f t="shared" si="91"/>
        <v/>
      </c>
      <c r="AM825" t="str">
        <f>VLOOKUP(A825,'Table corresp.'!$M$4:$U$63,8,FALSE)</f>
        <v>Production intermédiaire</v>
      </c>
      <c r="AN825" t="str">
        <f>VLOOKUP(D825,'Table corresp.'!$M$4:$U$63,9,FALSE)</f>
        <v>Production intermédiaire</v>
      </c>
    </row>
    <row r="826" spans="1:40" x14ac:dyDescent="0.25">
      <c r="A826" t="s">
        <v>5</v>
      </c>
      <c r="B826" t="str">
        <f>VLOOKUP(LEFT(A826,3),'Table corresp.'!$A$4:$D$63,3,FALSE)</f>
        <v>Transformation</v>
      </c>
      <c r="C826" t="str">
        <f>VLOOKUP(A826,'Table corresp.'!$M$4:$P$63,4,FALSE)</f>
        <v>Production et transformation de produits bois</v>
      </c>
      <c r="D826" t="s">
        <v>89</v>
      </c>
      <c r="E826" t="str">
        <f>VLOOKUP(LEFT(D826,3),'Table corresp.'!$A$4:$D$63,4,FALSE)</f>
        <v>Transformation</v>
      </c>
      <c r="F826" t="str">
        <f t="shared" si="94"/>
        <v xml:space="preserve">09  - 33 </v>
      </c>
      <c r="G826" s="164">
        <v>73.658350302704307</v>
      </c>
      <c r="H826" s="164">
        <v>390.6798026871349</v>
      </c>
      <c r="I826" s="164">
        <v>464.33794882104564</v>
      </c>
      <c r="J826" s="164">
        <v>0.65254034935029848</v>
      </c>
      <c r="K826" s="164">
        <v>1.3789447106202728</v>
      </c>
      <c r="L826" s="164">
        <v>2.0314850599705712</v>
      </c>
      <c r="M826" s="164">
        <v>0</v>
      </c>
      <c r="N826" s="164">
        <v>0</v>
      </c>
      <c r="O826" s="164">
        <v>0</v>
      </c>
      <c r="P826" s="164">
        <v>0</v>
      </c>
      <c r="Q826" s="164">
        <v>0</v>
      </c>
      <c r="R826" s="164">
        <v>0</v>
      </c>
      <c r="S826" s="163" t="str">
        <f t="shared" si="95"/>
        <v/>
      </c>
      <c r="T826" s="163">
        <f>VLOOKUP(A826,'Groupe de branches'!$Z$27:$AM$86,14,FALSE)</f>
        <v>0</v>
      </c>
      <c r="U826" s="163">
        <f>VLOOKUP(D826,'Groupe de branches'!$Z$27:$AM$86,14,FALSE)</f>
        <v>0</v>
      </c>
      <c r="V826" s="163">
        <v>2018</v>
      </c>
      <c r="W826" t="str">
        <f>VLOOKUP(D826,'Table corresp.'!$M$4:$S$63,7,FALSE)</f>
        <v>Construction</v>
      </c>
      <c r="X826" s="167">
        <f>IFERROR(G826/SUMIFS('Comp2016-2017 (3)'!$I$5:$I$289,'Comp2016-2017 (3)'!$A$5:$A$289,A826,'Comp2016-2017 (3)'!$R$5:$R$289,V826),0)</f>
        <v>7.4473435164224683E-4</v>
      </c>
      <c r="Y826" s="178">
        <f>IFERROR(IF(RIGHT(F826,3)="Exp",VLOOKUP(F826,#REF!,2,FALSE),VLOOKUP(F826,#REF!,9,FALSE)),1)</f>
        <v>1</v>
      </c>
      <c r="Z826" s="167">
        <f t="shared" si="96"/>
        <v>8.3333333333333329E-2</v>
      </c>
      <c r="AA826" s="189">
        <f t="shared" si="92"/>
        <v>6.2061195970187236E-5</v>
      </c>
      <c r="AB826" s="2">
        <f>IFERROR(SUMIFS('Comp2016-2017 (3)'!$G$5:$G$289,'Comp2016-2017 (3)'!$A$5:$A$289,A826,'Comp2016-2017 (3)'!$R$5:$R$289,V826)*AA826/SUMIFS($AA$4:$AA$1116,$A$4:$A$1116,A826,$V$4:$V$1116,V826),0)</f>
        <v>19.297739474977067</v>
      </c>
      <c r="AC826" s="2" t="str">
        <f>IF($W826=AC$3,$AB826,IF(NOT($W826=0),"",SUMIFS('Val-Vol (2)'!AC$4:AC$1116,'Val-Vol (2)'!$A$4:$A$1116,$D826,'Val-Vol (2)'!$V$4:$V$1116,$V826)/SUMIFS('Comp2016-2017 (3)'!$G$5:$G$289,'Comp2016-2017 (3)'!$A$5:$A$289,$D826,'Comp2016-2017 (3)'!$R$5:$R$289,$V826)*$AB826))</f>
        <v/>
      </c>
      <c r="AD826" s="2">
        <f>IF($W826=AD$3,$AB826,IF(NOT($W826=0),"",SUMIFS('Val-Vol (2)'!AD$4:AD$1116,'Val-Vol (2)'!$A$4:$A$1116,$D826,'Val-Vol (2)'!$V$4:$V$1116,$V826)/SUMIFS('Comp2016-2017 (3)'!$G$5:$G$289,'Comp2016-2017 (3)'!$A$5:$A$289,$D826,'Comp2016-2017 (3)'!$R$5:$R$289,$V826)*$AB826))</f>
        <v>19.297739474977067</v>
      </c>
      <c r="AE826" s="2" t="str">
        <f>IF($W826=AE$3,$AB826,IF(NOT($W826=0),"",SUMIFS('Val-Vol (2)'!AE$4:AE$1116,'Val-Vol (2)'!$A$4:$A$1116,$D826,'Val-Vol (2)'!$V$4:$V$1116,$V826)/SUMIFS('Comp2016-2017 (3)'!$G$5:$G$289,'Comp2016-2017 (3)'!$A$5:$A$289,$D826,'Comp2016-2017 (3)'!$R$5:$R$289,$V826)*$AB826))</f>
        <v/>
      </c>
      <c r="AF826" s="2" t="str">
        <f>IF($W826=AF$3,$AB826,IF(NOT($W826=0),"",SUMIFS('Val-Vol (2)'!AF$4:AF$1116,'Val-Vol (2)'!$A$4:$A$1116,$D826,'Val-Vol (2)'!$V$4:$V$1116,$V826)/SUMIFS('Comp2016-2017 (3)'!$G$5:$G$289,'Comp2016-2017 (3)'!$A$5:$A$289,$D826,'Comp2016-2017 (3)'!$R$5:$R$289,$V826)*$AB826))</f>
        <v/>
      </c>
      <c r="AG826" s="2" t="str">
        <f>IF($W826=AG$3,$AB826,IF(NOT($W826=0),"",SUMIFS('Val-Vol (2)'!AG$4:AG$1116,'Val-Vol (2)'!$A$4:$A$1116,$D826,'Val-Vol (2)'!$V$4:$V$1116,$V826)/SUMIFS('Comp2016-2017 (3)'!$G$5:$G$289,'Comp2016-2017 (3)'!$A$5:$A$289,$D826,'Comp2016-2017 (3)'!$R$5:$R$289,$V826)*$AB826))</f>
        <v/>
      </c>
      <c r="AH826" s="2" t="str">
        <f>IF($W826=AH$3,$AB826,IF(NOT($W826=0),"",SUMIFS('Val-Vol (2)'!AH$4:AH$1116,'Val-Vol (2)'!$A$4:$A$1116,$D826,'Val-Vol (2)'!$V$4:$V$1116,$V826)/SUMIFS('Comp2016-2017 (3)'!$G$5:$G$289,'Comp2016-2017 (3)'!$A$5:$A$289,$D826,'Comp2016-2017 (3)'!$R$5:$R$289,$V826)*$AB826))</f>
        <v/>
      </c>
      <c r="AI826" s="2" t="str">
        <f>IF($W826=AI$3,$AB826,IF(NOT($W826=0),"",SUMIFS('Val-Vol (2)'!AI$4:AI$1116,'Val-Vol (2)'!$A$4:$A$1116,$D826,'Val-Vol (2)'!$V$4:$V$1116,$V826)/SUMIFS('Comp2016-2017 (3)'!$G$5:$G$289,'Comp2016-2017 (3)'!$A$5:$A$289,$D826,'Comp2016-2017 (3)'!$R$5:$R$289,$V826)*$AB826))</f>
        <v/>
      </c>
      <c r="AJ826" s="2" t="str">
        <f>IF($W826=AJ$3,$AB826,IF(NOT($W826=0),"",SUMIFS('Val-Vol (2)'!AJ$4:AJ$1116,'Val-Vol (2)'!$A$4:$A$1116,$D826,'Val-Vol (2)'!$V$4:$V$1116,$V826)/SUMIFS('Comp2016-2017 (3)'!$G$5:$G$289,'Comp2016-2017 (3)'!$A$5:$A$289,$D826,'Comp2016-2017 (3)'!$R$5:$R$289,$V826)*$AB826))</f>
        <v/>
      </c>
      <c r="AK826" s="2">
        <f t="shared" si="90"/>
        <v>0</v>
      </c>
      <c r="AL826" t="str">
        <f t="shared" si="91"/>
        <v/>
      </c>
      <c r="AM826" t="str">
        <f>VLOOKUP(A826,'Table corresp.'!$M$4:$U$63,8,FALSE)</f>
        <v>Production intermédiaire</v>
      </c>
      <c r="AN826" t="str">
        <f>VLOOKUP(D826,'Table corresp.'!$M$4:$U$63,9,FALSE)</f>
        <v>Production finale</v>
      </c>
    </row>
    <row r="827" spans="1:40" x14ac:dyDescent="0.25">
      <c r="A827" t="s">
        <v>5</v>
      </c>
      <c r="B827" t="str">
        <f>VLOOKUP(LEFT(A827,3),'Table corresp.'!$A$4:$D$63,3,FALSE)</f>
        <v>Transformation</v>
      </c>
      <c r="C827" t="str">
        <f>VLOOKUP(A827,'Table corresp.'!$M$4:$P$63,4,FALSE)</f>
        <v>Production et transformation de produits bois</v>
      </c>
      <c r="D827" t="s">
        <v>16</v>
      </c>
      <c r="E827" t="str">
        <f>VLOOKUP(LEFT(D827,3),'Table corresp.'!$A$4:$D$63,4,FALSE)</f>
        <v>Transformation</v>
      </c>
      <c r="F827" t="str">
        <f t="shared" si="94"/>
        <v xml:space="preserve">09  - 36 </v>
      </c>
      <c r="G827" s="164">
        <v>2168.3631605218661</v>
      </c>
      <c r="H827" s="164">
        <v>2946.6184791129867</v>
      </c>
      <c r="I827" s="164">
        <v>5114.9803143410609</v>
      </c>
      <c r="J827" s="164">
        <v>19.209559384244137</v>
      </c>
      <c r="K827" s="164">
        <v>10.400394230880492</v>
      </c>
      <c r="L827" s="164">
        <v>29.609953615124631</v>
      </c>
      <c r="M827" s="164">
        <v>0</v>
      </c>
      <c r="N827" s="164">
        <v>0</v>
      </c>
      <c r="O827" s="164">
        <v>0</v>
      </c>
      <c r="P827" s="164">
        <v>0</v>
      </c>
      <c r="Q827" s="164">
        <v>0</v>
      </c>
      <c r="R827" s="164">
        <v>0</v>
      </c>
      <c r="S827" s="163" t="str">
        <f t="shared" si="95"/>
        <v/>
      </c>
      <c r="T827" s="163">
        <f>VLOOKUP(A827,'Groupe de branches'!$Z$27:$AM$86,14,FALSE)</f>
        <v>0</v>
      </c>
      <c r="U827" s="163">
        <f>VLOOKUP(D827,'Groupe de branches'!$Z$27:$AM$86,14,FALSE)</f>
        <v>0</v>
      </c>
      <c r="V827" s="163">
        <v>2018</v>
      </c>
      <c r="W827" t="str">
        <f>VLOOKUP(D827,'Table corresp.'!$M$4:$S$63,7,FALSE)</f>
        <v>Construction</v>
      </c>
      <c r="X827" s="167">
        <f>IFERROR(G827/SUMIFS('Comp2016-2017 (3)'!$I$5:$I$289,'Comp2016-2017 (3)'!$A$5:$A$289,A827,'Comp2016-2017 (3)'!$R$5:$R$289,V827),0)</f>
        <v>2.1923577243310826E-2</v>
      </c>
      <c r="Y827" s="178">
        <f>IFERROR(IF(RIGHT(F827,3)="Exp",VLOOKUP(F827,#REF!,2,FALSE),VLOOKUP(F827,#REF!,9,FALSE)),1)</f>
        <v>1</v>
      </c>
      <c r="Z827" s="167">
        <f t="shared" si="96"/>
        <v>8.3333333333333329E-2</v>
      </c>
      <c r="AA827" s="189">
        <f t="shared" si="92"/>
        <v>1.826964770275902E-3</v>
      </c>
      <c r="AB827" s="2">
        <f>IFERROR(SUMIFS('Comp2016-2017 (3)'!$G$5:$G$289,'Comp2016-2017 (3)'!$A$5:$A$289,A827,'Comp2016-2017 (3)'!$R$5:$R$289,V827)*AA827/SUMIFS($AA$4:$AA$1116,$A$4:$A$1116,A827,$V$4:$V$1116,V827),0)</f>
        <v>568.08911938600079</v>
      </c>
      <c r="AC827" s="2" t="str">
        <f>IF($W827=AC$3,$AB827,IF(NOT($W827=0),"",SUMIFS('Val-Vol (2)'!AC$4:AC$1116,'Val-Vol (2)'!$A$4:$A$1116,$D827,'Val-Vol (2)'!$V$4:$V$1116,$V827)/SUMIFS('Comp2016-2017 (3)'!$G$5:$G$289,'Comp2016-2017 (3)'!$A$5:$A$289,$D827,'Comp2016-2017 (3)'!$R$5:$R$289,$V827)*$AB827))</f>
        <v/>
      </c>
      <c r="AD827" s="2">
        <f>IF($W827=AD$3,$AB827,IF(NOT($W827=0),"",SUMIFS('Val-Vol (2)'!AD$4:AD$1116,'Val-Vol (2)'!$A$4:$A$1116,$D827,'Val-Vol (2)'!$V$4:$V$1116,$V827)/SUMIFS('Comp2016-2017 (3)'!$G$5:$G$289,'Comp2016-2017 (3)'!$A$5:$A$289,$D827,'Comp2016-2017 (3)'!$R$5:$R$289,$V827)*$AB827))</f>
        <v>568.08911938600079</v>
      </c>
      <c r="AE827" s="2" t="str">
        <f>IF($W827=AE$3,$AB827,IF(NOT($W827=0),"",SUMIFS('Val-Vol (2)'!AE$4:AE$1116,'Val-Vol (2)'!$A$4:$A$1116,$D827,'Val-Vol (2)'!$V$4:$V$1116,$V827)/SUMIFS('Comp2016-2017 (3)'!$G$5:$G$289,'Comp2016-2017 (3)'!$A$5:$A$289,$D827,'Comp2016-2017 (3)'!$R$5:$R$289,$V827)*$AB827))</f>
        <v/>
      </c>
      <c r="AF827" s="2" t="str">
        <f>IF($W827=AF$3,$AB827,IF(NOT($W827=0),"",SUMIFS('Val-Vol (2)'!AF$4:AF$1116,'Val-Vol (2)'!$A$4:$A$1116,$D827,'Val-Vol (2)'!$V$4:$V$1116,$V827)/SUMIFS('Comp2016-2017 (3)'!$G$5:$G$289,'Comp2016-2017 (3)'!$A$5:$A$289,$D827,'Comp2016-2017 (3)'!$R$5:$R$289,$V827)*$AB827))</f>
        <v/>
      </c>
      <c r="AG827" s="2" t="str">
        <f>IF($W827=AG$3,$AB827,IF(NOT($W827=0),"",SUMIFS('Val-Vol (2)'!AG$4:AG$1116,'Val-Vol (2)'!$A$4:$A$1116,$D827,'Val-Vol (2)'!$V$4:$V$1116,$V827)/SUMIFS('Comp2016-2017 (3)'!$G$5:$G$289,'Comp2016-2017 (3)'!$A$5:$A$289,$D827,'Comp2016-2017 (3)'!$R$5:$R$289,$V827)*$AB827))</f>
        <v/>
      </c>
      <c r="AH827" s="2" t="str">
        <f>IF($W827=AH$3,$AB827,IF(NOT($W827=0),"",SUMIFS('Val-Vol (2)'!AH$4:AH$1116,'Val-Vol (2)'!$A$4:$A$1116,$D827,'Val-Vol (2)'!$V$4:$V$1116,$V827)/SUMIFS('Comp2016-2017 (3)'!$G$5:$G$289,'Comp2016-2017 (3)'!$A$5:$A$289,$D827,'Comp2016-2017 (3)'!$R$5:$R$289,$V827)*$AB827))</f>
        <v/>
      </c>
      <c r="AI827" s="2" t="str">
        <f>IF($W827=AI$3,$AB827,IF(NOT($W827=0),"",SUMIFS('Val-Vol (2)'!AI$4:AI$1116,'Val-Vol (2)'!$A$4:$A$1116,$D827,'Val-Vol (2)'!$V$4:$V$1116,$V827)/SUMIFS('Comp2016-2017 (3)'!$G$5:$G$289,'Comp2016-2017 (3)'!$A$5:$A$289,$D827,'Comp2016-2017 (3)'!$R$5:$R$289,$V827)*$AB827))</f>
        <v/>
      </c>
      <c r="AJ827" s="2" t="str">
        <f>IF($W827=AJ$3,$AB827,IF(NOT($W827=0),"",SUMIFS('Val-Vol (2)'!AJ$4:AJ$1116,'Val-Vol (2)'!$A$4:$A$1116,$D827,'Val-Vol (2)'!$V$4:$V$1116,$V827)/SUMIFS('Comp2016-2017 (3)'!$G$5:$G$289,'Comp2016-2017 (3)'!$A$5:$A$289,$D827,'Comp2016-2017 (3)'!$R$5:$R$289,$V827)*$AB827))</f>
        <v/>
      </c>
      <c r="AK827" s="2">
        <f t="shared" si="90"/>
        <v>0</v>
      </c>
      <c r="AL827" t="str">
        <f t="shared" si="91"/>
        <v/>
      </c>
      <c r="AM827" t="str">
        <f>VLOOKUP(A827,'Table corresp.'!$M$4:$U$63,8,FALSE)</f>
        <v>Production intermédiaire</v>
      </c>
      <c r="AN827" t="str">
        <f>VLOOKUP(D827,'Table corresp.'!$M$4:$U$63,9,FALSE)</f>
        <v>Production finale</v>
      </c>
    </row>
    <row r="828" spans="1:40" x14ac:dyDescent="0.25">
      <c r="A828" t="s">
        <v>5</v>
      </c>
      <c r="B828" t="str">
        <f>VLOOKUP(LEFT(A828,3),'Table corresp.'!$A$4:$D$63,3,FALSE)</f>
        <v>Transformation</v>
      </c>
      <c r="C828" t="str">
        <f>VLOOKUP(A828,'Table corresp.'!$M$4:$P$63,4,FALSE)</f>
        <v>Production et transformation de produits bois</v>
      </c>
      <c r="D828" t="s">
        <v>91</v>
      </c>
      <c r="E828" t="str">
        <f>VLOOKUP(LEFT(D828,3),'Table corresp.'!$A$4:$D$63,4,FALSE)</f>
        <v>Transformation</v>
      </c>
      <c r="F828" t="str">
        <f t="shared" si="94"/>
        <v xml:space="preserve">09  - 37 </v>
      </c>
      <c r="G828" s="164">
        <v>13254.582868695448</v>
      </c>
      <c r="H828" s="164">
        <v>0</v>
      </c>
      <c r="I828" s="164">
        <v>13254.584632390148</v>
      </c>
      <c r="J828" s="164">
        <v>202.74957520520582</v>
      </c>
      <c r="K828" s="164">
        <v>0</v>
      </c>
      <c r="L828" s="164">
        <v>202.74957520520582</v>
      </c>
      <c r="M828" s="164">
        <v>0</v>
      </c>
      <c r="N828" s="164">
        <v>0</v>
      </c>
      <c r="O828" s="164">
        <v>0</v>
      </c>
      <c r="P828" s="164">
        <v>0</v>
      </c>
      <c r="Q828" s="164">
        <v>0</v>
      </c>
      <c r="R828" s="164">
        <v>0</v>
      </c>
      <c r="S828" s="163" t="str">
        <f t="shared" si="95"/>
        <v/>
      </c>
      <c r="T828" s="163">
        <f>VLOOKUP(A828,'Groupe de branches'!$Z$27:$AM$86,14,FALSE)</f>
        <v>0</v>
      </c>
      <c r="U828" s="163">
        <f>VLOOKUP(D828,'Groupe de branches'!$Z$27:$AM$86,14,FALSE)</f>
        <v>0</v>
      </c>
      <c r="V828" s="163">
        <v>2018</v>
      </c>
      <c r="W828" t="str">
        <f>VLOOKUP(D828,'Table corresp.'!$M$4:$S$63,7,FALSE)</f>
        <v>Emballage bois et carton</v>
      </c>
      <c r="X828" s="167">
        <f>IFERROR(G828/SUMIFS('Comp2016-2017 (3)'!$I$5:$I$289,'Comp2016-2017 (3)'!$A$5:$A$289,A828,'Comp2016-2017 (3)'!$R$5:$R$289,V828),0)</f>
        <v>0.13401254763974704</v>
      </c>
      <c r="Y828" s="178">
        <f>IFERROR(IF(RIGHT(F828,3)="Exp",VLOOKUP(F828,#REF!,2,FALSE),VLOOKUP(F828,#REF!,9,FALSE)),1)</f>
        <v>1</v>
      </c>
      <c r="Z828" s="167">
        <f t="shared" si="96"/>
        <v>8.3333333333333329E-2</v>
      </c>
      <c r="AA828" s="189">
        <f t="shared" si="92"/>
        <v>1.1167712303312254E-2</v>
      </c>
      <c r="AB828" s="2">
        <f>IFERROR(SUMIFS('Comp2016-2017 (3)'!$G$5:$G$289,'Comp2016-2017 (3)'!$A$5:$A$289,A828,'Comp2016-2017 (3)'!$R$5:$R$289,V828)*AA828/SUMIFS($AA$4:$AA$1116,$A$4:$A$1116,A828,$V$4:$V$1116,V828),0)</f>
        <v>3472.5660566441989</v>
      </c>
      <c r="AC828" s="2" t="str">
        <f>IF($W828=AC$3,$AB828,IF(NOT($W828=0),"",SUMIFS('Val-Vol (2)'!AC$4:AC$1116,'Val-Vol (2)'!$A$4:$A$1116,$D828,'Val-Vol (2)'!$V$4:$V$1116,$V828)/SUMIFS('Comp2016-2017 (3)'!$G$5:$G$289,'Comp2016-2017 (3)'!$A$5:$A$289,$D828,'Comp2016-2017 (3)'!$R$5:$R$289,$V828)*$AB828))</f>
        <v/>
      </c>
      <c r="AD828" s="2" t="str">
        <f>IF($W828=AD$3,$AB828,IF(NOT($W828=0),"",SUMIFS('Val-Vol (2)'!AD$4:AD$1116,'Val-Vol (2)'!$A$4:$A$1116,$D828,'Val-Vol (2)'!$V$4:$V$1116,$V828)/SUMIFS('Comp2016-2017 (3)'!$G$5:$G$289,'Comp2016-2017 (3)'!$A$5:$A$289,$D828,'Comp2016-2017 (3)'!$R$5:$R$289,$V828)*$AB828))</f>
        <v/>
      </c>
      <c r="AE828" s="2" t="str">
        <f>IF($W828=AE$3,$AB828,IF(NOT($W828=0),"",SUMIFS('Val-Vol (2)'!AE$4:AE$1116,'Val-Vol (2)'!$A$4:$A$1116,$D828,'Val-Vol (2)'!$V$4:$V$1116,$V828)/SUMIFS('Comp2016-2017 (3)'!$G$5:$G$289,'Comp2016-2017 (3)'!$A$5:$A$289,$D828,'Comp2016-2017 (3)'!$R$5:$R$289,$V828)*$AB828))</f>
        <v/>
      </c>
      <c r="AF828" s="2" t="str">
        <f>IF($W828=AF$3,$AB828,IF(NOT($W828=0),"",SUMIFS('Val-Vol (2)'!AF$4:AF$1116,'Val-Vol (2)'!$A$4:$A$1116,$D828,'Val-Vol (2)'!$V$4:$V$1116,$V828)/SUMIFS('Comp2016-2017 (3)'!$G$5:$G$289,'Comp2016-2017 (3)'!$A$5:$A$289,$D828,'Comp2016-2017 (3)'!$R$5:$R$289,$V828)*$AB828))</f>
        <v/>
      </c>
      <c r="AG828" s="2">
        <f>IF($W828=AG$3,$AB828,IF(NOT($W828=0),"",SUMIFS('Val-Vol (2)'!AG$4:AG$1116,'Val-Vol (2)'!$A$4:$A$1116,$D828,'Val-Vol (2)'!$V$4:$V$1116,$V828)/SUMIFS('Comp2016-2017 (3)'!$G$5:$G$289,'Comp2016-2017 (3)'!$A$5:$A$289,$D828,'Comp2016-2017 (3)'!$R$5:$R$289,$V828)*$AB828))</f>
        <v>3472.5660566441989</v>
      </c>
      <c r="AH828" s="2" t="str">
        <f>IF($W828=AH$3,$AB828,IF(NOT($W828=0),"",SUMIFS('Val-Vol (2)'!AH$4:AH$1116,'Val-Vol (2)'!$A$4:$A$1116,$D828,'Val-Vol (2)'!$V$4:$V$1116,$V828)/SUMIFS('Comp2016-2017 (3)'!$G$5:$G$289,'Comp2016-2017 (3)'!$A$5:$A$289,$D828,'Comp2016-2017 (3)'!$R$5:$R$289,$V828)*$AB828))</f>
        <v/>
      </c>
      <c r="AI828" s="2" t="str">
        <f>IF($W828=AI$3,$AB828,IF(NOT($W828=0),"",SUMIFS('Val-Vol (2)'!AI$4:AI$1116,'Val-Vol (2)'!$A$4:$A$1116,$D828,'Val-Vol (2)'!$V$4:$V$1116,$V828)/SUMIFS('Comp2016-2017 (3)'!$G$5:$G$289,'Comp2016-2017 (3)'!$A$5:$A$289,$D828,'Comp2016-2017 (3)'!$R$5:$R$289,$V828)*$AB828))</f>
        <v/>
      </c>
      <c r="AJ828" s="2" t="str">
        <f>IF($W828=AJ$3,$AB828,IF(NOT($W828=0),"",SUMIFS('Val-Vol (2)'!AJ$4:AJ$1116,'Val-Vol (2)'!$A$4:$A$1116,$D828,'Val-Vol (2)'!$V$4:$V$1116,$V828)/SUMIFS('Comp2016-2017 (3)'!$G$5:$G$289,'Comp2016-2017 (3)'!$A$5:$A$289,$D828,'Comp2016-2017 (3)'!$R$5:$R$289,$V828)*$AB828))</f>
        <v/>
      </c>
      <c r="AK828" s="2">
        <f t="shared" si="90"/>
        <v>0</v>
      </c>
      <c r="AL828" t="str">
        <f t="shared" si="91"/>
        <v/>
      </c>
      <c r="AM828" t="str">
        <f>VLOOKUP(A828,'Table corresp.'!$M$4:$U$63,8,FALSE)</f>
        <v>Production intermédiaire</v>
      </c>
      <c r="AN828" t="str">
        <f>VLOOKUP(D828,'Table corresp.'!$M$4:$U$63,9,FALSE)</f>
        <v>Production finale</v>
      </c>
    </row>
    <row r="829" spans="1:40" x14ac:dyDescent="0.25">
      <c r="A829" t="s">
        <v>5</v>
      </c>
      <c r="B829" t="str">
        <f>VLOOKUP(LEFT(A829,3),'Table corresp.'!$A$4:$D$63,3,FALSE)</f>
        <v>Transformation</v>
      </c>
      <c r="C829" t="str">
        <f>VLOOKUP(A829,'Table corresp.'!$M$4:$P$63,4,FALSE)</f>
        <v>Production et transformation de produits bois</v>
      </c>
      <c r="D829" t="s">
        <v>93</v>
      </c>
      <c r="E829" t="str">
        <f>VLOOKUP(LEFT(D829,3),'Table corresp.'!$A$4:$D$63,4,FALSE)</f>
        <v>Transformation</v>
      </c>
      <c r="F829" t="str">
        <f t="shared" si="94"/>
        <v xml:space="preserve">09  - 41 </v>
      </c>
      <c r="G829" s="164">
        <v>2609.3727172595977</v>
      </c>
      <c r="H829" s="164">
        <v>9874.0388131778836</v>
      </c>
      <c r="I829" s="164">
        <v>12483.406469772188</v>
      </c>
      <c r="J829" s="164">
        <v>26.031154422655373</v>
      </c>
      <c r="K829" s="164">
        <v>39.245751686767335</v>
      </c>
      <c r="L829" s="164">
        <v>65.276906109422711</v>
      </c>
      <c r="M829" s="164">
        <v>0</v>
      </c>
      <c r="N829" s="164">
        <v>0</v>
      </c>
      <c r="O829" s="164">
        <v>0</v>
      </c>
      <c r="P829" s="164">
        <v>0</v>
      </c>
      <c r="Q829" s="164">
        <v>0</v>
      </c>
      <c r="R829" s="164">
        <v>0</v>
      </c>
      <c r="S829" s="163" t="str">
        <f t="shared" si="95"/>
        <v/>
      </c>
      <c r="T829" s="163">
        <f>VLOOKUP(A829,'Groupe de branches'!$Z$27:$AM$86,14,FALSE)</f>
        <v>0</v>
      </c>
      <c r="U829" s="163">
        <f>VLOOKUP(D829,'Groupe de branches'!$Z$27:$AM$86,14,FALSE)</f>
        <v>0</v>
      </c>
      <c r="V829" s="163">
        <v>2018</v>
      </c>
      <c r="W829" t="str">
        <f>VLOOKUP(D829,'Table corresp.'!$M$4:$S$63,7,FALSE)</f>
        <v>Produits de consommation courante</v>
      </c>
      <c r="X829" s="167">
        <f>IFERROR(G829/SUMIFS('Comp2016-2017 (3)'!$I$5:$I$289,'Comp2016-2017 (3)'!$A$5:$A$289,A829,'Comp2016-2017 (3)'!$R$5:$R$289,V829),0)</f>
        <v>2.638247382401596E-2</v>
      </c>
      <c r="Y829" s="178">
        <f>IFERROR(IF(RIGHT(F829,3)="Exp",VLOOKUP(F829,#REF!,2,FALSE),VLOOKUP(F829,#REF!,9,FALSE)),1)</f>
        <v>1</v>
      </c>
      <c r="Z829" s="167">
        <f t="shared" si="96"/>
        <v>8.3333333333333329E-2</v>
      </c>
      <c r="AA829" s="189">
        <f t="shared" si="92"/>
        <v>2.1985394853346633E-3</v>
      </c>
      <c r="AB829" s="2">
        <f>IFERROR(SUMIFS('Comp2016-2017 (3)'!$G$5:$G$289,'Comp2016-2017 (3)'!$A$5:$A$289,A829,'Comp2016-2017 (3)'!$R$5:$R$289,V829)*AA829/SUMIFS($AA$4:$AA$1116,$A$4:$A$1116,A829,$V$4:$V$1116,V829),0)</f>
        <v>683.62914298041198</v>
      </c>
      <c r="AC829" s="2" t="str">
        <f>IF($W829=AC$3,$AB829,IF(NOT($W829=0),"",SUMIFS('Val-Vol (2)'!AC$4:AC$1116,'Val-Vol (2)'!$A$4:$A$1116,$D829,'Val-Vol (2)'!$V$4:$V$1116,$V829)/SUMIFS('Comp2016-2017 (3)'!$G$5:$G$289,'Comp2016-2017 (3)'!$A$5:$A$289,$D829,'Comp2016-2017 (3)'!$R$5:$R$289,$V829)*$AB829))</f>
        <v/>
      </c>
      <c r="AD829" s="2" t="str">
        <f>IF($W829=AD$3,$AB829,IF(NOT($W829=0),"",SUMIFS('Val-Vol (2)'!AD$4:AD$1116,'Val-Vol (2)'!$A$4:$A$1116,$D829,'Val-Vol (2)'!$V$4:$V$1116,$V829)/SUMIFS('Comp2016-2017 (3)'!$G$5:$G$289,'Comp2016-2017 (3)'!$A$5:$A$289,$D829,'Comp2016-2017 (3)'!$R$5:$R$289,$V829)*$AB829))</f>
        <v/>
      </c>
      <c r="AE829" s="2" t="str">
        <f>IF($W829=AE$3,$AB829,IF(NOT($W829=0),"",SUMIFS('Val-Vol (2)'!AE$4:AE$1116,'Val-Vol (2)'!$A$4:$A$1116,$D829,'Val-Vol (2)'!$V$4:$V$1116,$V829)/SUMIFS('Comp2016-2017 (3)'!$G$5:$G$289,'Comp2016-2017 (3)'!$A$5:$A$289,$D829,'Comp2016-2017 (3)'!$R$5:$R$289,$V829)*$AB829))</f>
        <v/>
      </c>
      <c r="AF829" s="2" t="str">
        <f>IF($W829=AF$3,$AB829,IF(NOT($W829=0),"",SUMIFS('Val-Vol (2)'!AF$4:AF$1116,'Val-Vol (2)'!$A$4:$A$1116,$D829,'Val-Vol (2)'!$V$4:$V$1116,$V829)/SUMIFS('Comp2016-2017 (3)'!$G$5:$G$289,'Comp2016-2017 (3)'!$A$5:$A$289,$D829,'Comp2016-2017 (3)'!$R$5:$R$289,$V829)*$AB829))</f>
        <v/>
      </c>
      <c r="AG829" s="2" t="str">
        <f>IF($W829=AG$3,$AB829,IF(NOT($W829=0),"",SUMIFS('Val-Vol (2)'!AG$4:AG$1116,'Val-Vol (2)'!$A$4:$A$1116,$D829,'Val-Vol (2)'!$V$4:$V$1116,$V829)/SUMIFS('Comp2016-2017 (3)'!$G$5:$G$289,'Comp2016-2017 (3)'!$A$5:$A$289,$D829,'Comp2016-2017 (3)'!$R$5:$R$289,$V829)*$AB829))</f>
        <v/>
      </c>
      <c r="AH829" s="2" t="str">
        <f>IF($W829=AH$3,$AB829,IF(NOT($W829=0),"",SUMIFS('Val-Vol (2)'!AH$4:AH$1116,'Val-Vol (2)'!$A$4:$A$1116,$D829,'Val-Vol (2)'!$V$4:$V$1116,$V829)/SUMIFS('Comp2016-2017 (3)'!$G$5:$G$289,'Comp2016-2017 (3)'!$A$5:$A$289,$D829,'Comp2016-2017 (3)'!$R$5:$R$289,$V829)*$AB829))</f>
        <v/>
      </c>
      <c r="AI829" s="2">
        <f>IF($W829=AI$3,$AB829,IF(NOT($W829=0),"",SUMIFS('Val-Vol (2)'!AI$4:AI$1116,'Val-Vol (2)'!$A$4:$A$1116,$D829,'Val-Vol (2)'!$V$4:$V$1116,$V829)/SUMIFS('Comp2016-2017 (3)'!$G$5:$G$289,'Comp2016-2017 (3)'!$A$5:$A$289,$D829,'Comp2016-2017 (3)'!$R$5:$R$289,$V829)*$AB829))</f>
        <v>683.62914298041198</v>
      </c>
      <c r="AJ829" s="2" t="str">
        <f>IF($W829=AJ$3,$AB829,IF(NOT($W829=0),"",SUMIFS('Val-Vol (2)'!AJ$4:AJ$1116,'Val-Vol (2)'!$A$4:$A$1116,$D829,'Val-Vol (2)'!$V$4:$V$1116,$V829)/SUMIFS('Comp2016-2017 (3)'!$G$5:$G$289,'Comp2016-2017 (3)'!$A$5:$A$289,$D829,'Comp2016-2017 (3)'!$R$5:$R$289,$V829)*$AB829))</f>
        <v/>
      </c>
      <c r="AK829" s="2">
        <f t="shared" si="90"/>
        <v>0</v>
      </c>
      <c r="AL829" t="str">
        <f t="shared" si="91"/>
        <v/>
      </c>
      <c r="AM829" t="str">
        <f>VLOOKUP(A829,'Table corresp.'!$M$4:$U$63,8,FALSE)</f>
        <v>Production intermédiaire</v>
      </c>
      <c r="AN829" t="str">
        <f>VLOOKUP(D829,'Table corresp.'!$M$4:$U$63,9,FALSE)</f>
        <v>Production finale</v>
      </c>
    </row>
    <row r="830" spans="1:40" x14ac:dyDescent="0.25">
      <c r="A830" t="s">
        <v>5</v>
      </c>
      <c r="B830" t="str">
        <f>VLOOKUP(LEFT(A830,3),'Table corresp.'!$A$4:$D$63,3,FALSE)</f>
        <v>Transformation</v>
      </c>
      <c r="C830" t="str">
        <f>VLOOKUP(A830,'Table corresp.'!$M$4:$P$63,4,FALSE)</f>
        <v>Production et transformation de produits bois</v>
      </c>
      <c r="D830" t="s">
        <v>99</v>
      </c>
      <c r="E830" t="str">
        <f>VLOOKUP(LEFT(D830,3),'Table corresp.'!$A$4:$D$63,4,FALSE)</f>
        <v>Transformation</v>
      </c>
      <c r="F830" t="str">
        <f t="shared" si="94"/>
        <v xml:space="preserve">09  - 47 </v>
      </c>
      <c r="G830" s="164">
        <v>1265.3407145218107</v>
      </c>
      <c r="H830" s="164">
        <v>5269.5341325141017</v>
      </c>
      <c r="I830" s="164">
        <v>6534.8721293540393</v>
      </c>
      <c r="J830" s="164">
        <v>9.677682613651303</v>
      </c>
      <c r="K830" s="164">
        <v>16.057451719596077</v>
      </c>
      <c r="L830" s="164">
        <v>25.73513433324738</v>
      </c>
      <c r="M830" s="164">
        <v>0</v>
      </c>
      <c r="N830" s="164">
        <v>0</v>
      </c>
      <c r="O830" s="164">
        <v>0</v>
      </c>
      <c r="P830" s="164">
        <v>0</v>
      </c>
      <c r="Q830" s="164">
        <v>0</v>
      </c>
      <c r="R830" s="164">
        <v>0</v>
      </c>
      <c r="S830" s="163" t="str">
        <f t="shared" si="95"/>
        <v/>
      </c>
      <c r="T830" s="163">
        <f>VLOOKUP(A830,'Groupe de branches'!$Z$27:$AM$86,14,FALSE)</f>
        <v>0</v>
      </c>
      <c r="U830" s="163">
        <f>VLOOKUP(D830,'Groupe de branches'!$Z$27:$AM$86,14,FALSE)</f>
        <v>0</v>
      </c>
      <c r="V830" s="163">
        <v>2018</v>
      </c>
      <c r="W830" t="str">
        <f>VLOOKUP(D830,'Table corresp.'!$M$4:$S$63,7,FALSE)</f>
        <v>Meuble</v>
      </c>
      <c r="X830" s="167">
        <f>IFERROR(G830/SUMIFS('Comp2016-2017 (3)'!$I$5:$I$289,'Comp2016-2017 (3)'!$A$5:$A$289,A830,'Comp2016-2017 (3)'!$R$5:$R$289,V830),0)</f>
        <v>1.2793426580466611E-2</v>
      </c>
      <c r="Y830" s="178">
        <f>IFERROR(IF(RIGHT(F830,3)="Exp",VLOOKUP(F830,#REF!,2,FALSE),VLOOKUP(F830,#REF!,9,FALSE)),1)</f>
        <v>1</v>
      </c>
      <c r="Z830" s="167">
        <f t="shared" si="96"/>
        <v>8.3333333333333329E-2</v>
      </c>
      <c r="AA830" s="189">
        <f t="shared" si="92"/>
        <v>1.0661188817055508E-3</v>
      </c>
      <c r="AB830" s="2">
        <f>IFERROR(SUMIFS('Comp2016-2017 (3)'!$G$5:$G$289,'Comp2016-2017 (3)'!$A$5:$A$289,A830,'Comp2016-2017 (3)'!$R$5:$R$289,V830)*AA830/SUMIFS($AA$4:$AA$1116,$A$4:$A$1116,A830,$V$4:$V$1116,V830),0)</f>
        <v>331.50641245119954</v>
      </c>
      <c r="AC830" s="2" t="str">
        <f>IF($W830=AC$3,$AB830,IF(NOT($W830=0),"",SUMIFS('Val-Vol (2)'!AC$4:AC$1116,'Val-Vol (2)'!$A$4:$A$1116,$D830,'Val-Vol (2)'!$V$4:$V$1116,$V830)/SUMIFS('Comp2016-2017 (3)'!$G$5:$G$289,'Comp2016-2017 (3)'!$A$5:$A$289,$D830,'Comp2016-2017 (3)'!$R$5:$R$289,$V830)*$AB830))</f>
        <v/>
      </c>
      <c r="AD830" s="2" t="str">
        <f>IF($W830=AD$3,$AB830,IF(NOT($W830=0),"",SUMIFS('Val-Vol (2)'!AD$4:AD$1116,'Val-Vol (2)'!$A$4:$A$1116,$D830,'Val-Vol (2)'!$V$4:$V$1116,$V830)/SUMIFS('Comp2016-2017 (3)'!$G$5:$G$289,'Comp2016-2017 (3)'!$A$5:$A$289,$D830,'Comp2016-2017 (3)'!$R$5:$R$289,$V830)*$AB830))</f>
        <v/>
      </c>
      <c r="AE830" s="2">
        <f>IF($W830=AE$3,$AB830,IF(NOT($W830=0),"",SUMIFS('Val-Vol (2)'!AE$4:AE$1116,'Val-Vol (2)'!$A$4:$A$1116,$D830,'Val-Vol (2)'!$V$4:$V$1116,$V830)/SUMIFS('Comp2016-2017 (3)'!$G$5:$G$289,'Comp2016-2017 (3)'!$A$5:$A$289,$D830,'Comp2016-2017 (3)'!$R$5:$R$289,$V830)*$AB830))</f>
        <v>331.50641245119954</v>
      </c>
      <c r="AF830" s="2" t="str">
        <f>IF($W830=AF$3,$AB830,IF(NOT($W830=0),"",SUMIFS('Val-Vol (2)'!AF$4:AF$1116,'Val-Vol (2)'!$A$4:$A$1116,$D830,'Val-Vol (2)'!$V$4:$V$1116,$V830)/SUMIFS('Comp2016-2017 (3)'!$G$5:$G$289,'Comp2016-2017 (3)'!$A$5:$A$289,$D830,'Comp2016-2017 (3)'!$R$5:$R$289,$V830)*$AB830))</f>
        <v/>
      </c>
      <c r="AG830" s="2" t="str">
        <f>IF($W830=AG$3,$AB830,IF(NOT($W830=0),"",SUMIFS('Val-Vol (2)'!AG$4:AG$1116,'Val-Vol (2)'!$A$4:$A$1116,$D830,'Val-Vol (2)'!$V$4:$V$1116,$V830)/SUMIFS('Comp2016-2017 (3)'!$G$5:$G$289,'Comp2016-2017 (3)'!$A$5:$A$289,$D830,'Comp2016-2017 (3)'!$R$5:$R$289,$V830)*$AB830))</f>
        <v/>
      </c>
      <c r="AH830" s="2" t="str">
        <f>IF($W830=AH$3,$AB830,IF(NOT($W830=0),"",SUMIFS('Val-Vol (2)'!AH$4:AH$1116,'Val-Vol (2)'!$A$4:$A$1116,$D830,'Val-Vol (2)'!$V$4:$V$1116,$V830)/SUMIFS('Comp2016-2017 (3)'!$G$5:$G$289,'Comp2016-2017 (3)'!$A$5:$A$289,$D830,'Comp2016-2017 (3)'!$R$5:$R$289,$V830)*$AB830))</f>
        <v/>
      </c>
      <c r="AI830" s="2" t="str">
        <f>IF($W830=AI$3,$AB830,IF(NOT($W830=0),"",SUMIFS('Val-Vol (2)'!AI$4:AI$1116,'Val-Vol (2)'!$A$4:$A$1116,$D830,'Val-Vol (2)'!$V$4:$V$1116,$V830)/SUMIFS('Comp2016-2017 (3)'!$G$5:$G$289,'Comp2016-2017 (3)'!$A$5:$A$289,$D830,'Comp2016-2017 (3)'!$R$5:$R$289,$V830)*$AB830))</f>
        <v/>
      </c>
      <c r="AJ830" s="2" t="str">
        <f>IF($W830=AJ$3,$AB830,IF(NOT($W830=0),"",SUMIFS('Val-Vol (2)'!AJ$4:AJ$1116,'Val-Vol (2)'!$A$4:$A$1116,$D830,'Val-Vol (2)'!$V$4:$V$1116,$V830)/SUMIFS('Comp2016-2017 (3)'!$G$5:$G$289,'Comp2016-2017 (3)'!$A$5:$A$289,$D830,'Comp2016-2017 (3)'!$R$5:$R$289,$V830)*$AB830))</f>
        <v/>
      </c>
      <c r="AK830" s="2">
        <f t="shared" si="90"/>
        <v>0</v>
      </c>
      <c r="AL830" t="str">
        <f t="shared" si="91"/>
        <v/>
      </c>
      <c r="AM830" t="str">
        <f>VLOOKUP(A830,'Table corresp.'!$M$4:$U$63,8,FALSE)</f>
        <v>Production intermédiaire</v>
      </c>
      <c r="AN830" t="str">
        <f>VLOOKUP(D830,'Table corresp.'!$M$4:$U$63,9,FALSE)</f>
        <v>Production finale</v>
      </c>
    </row>
    <row r="831" spans="1:40" x14ac:dyDescent="0.25">
      <c r="A831" t="s">
        <v>5</v>
      </c>
      <c r="B831" t="str">
        <f>VLOOKUP(LEFT(A831,3),'Table corresp.'!$A$4:$D$63,3,FALSE)</f>
        <v>Transformation</v>
      </c>
      <c r="C831" t="str">
        <f>VLOOKUP(A831,'Table corresp.'!$M$4:$P$63,4,FALSE)</f>
        <v>Production et transformation de produits bois</v>
      </c>
      <c r="D831" t="s">
        <v>100</v>
      </c>
      <c r="E831" t="str">
        <f>VLOOKUP(LEFT(D831,3),'Table corresp.'!$A$4:$D$63,4,FALSE)</f>
        <v>Transformation</v>
      </c>
      <c r="F831" t="str">
        <f t="shared" si="94"/>
        <v xml:space="preserve">09  - 48 </v>
      </c>
      <c r="G831" s="164">
        <v>16724.937153237115</v>
      </c>
      <c r="H831" s="164">
        <v>0</v>
      </c>
      <c r="I831" s="164">
        <v>16724.939378707601</v>
      </c>
      <c r="J831" s="164">
        <v>69.772928628359239</v>
      </c>
      <c r="K831" s="164">
        <v>0</v>
      </c>
      <c r="L831" s="164">
        <v>69.772928628359239</v>
      </c>
      <c r="M831" s="164">
        <v>0</v>
      </c>
      <c r="N831" s="164">
        <v>0</v>
      </c>
      <c r="O831" s="164">
        <v>0</v>
      </c>
      <c r="P831" s="164">
        <v>0</v>
      </c>
      <c r="Q831" s="164">
        <v>0</v>
      </c>
      <c r="R831" s="164">
        <v>0</v>
      </c>
      <c r="S831" s="163" t="str">
        <f t="shared" si="95"/>
        <v/>
      </c>
      <c r="T831" s="163">
        <f>VLOOKUP(A831,'Groupe de branches'!$Z$27:$AM$86,14,FALSE)</f>
        <v>0</v>
      </c>
      <c r="U831" s="163">
        <f>VLOOKUP(D831,'Groupe de branches'!$Z$27:$AM$86,14,FALSE)</f>
        <v>0</v>
      </c>
      <c r="V831" s="163">
        <v>2018</v>
      </c>
      <c r="W831" t="str">
        <f>VLOOKUP(D831,'Table corresp.'!$M$4:$S$63,7,FALSE)</f>
        <v>Produits de consommation courante</v>
      </c>
      <c r="X831" s="167">
        <f>IFERROR(G831/SUMIFS('Comp2016-2017 (3)'!$I$5:$I$289,'Comp2016-2017 (3)'!$A$5:$A$289,A831,'Comp2016-2017 (3)'!$R$5:$R$289,V831),0)</f>
        <v>0.16910011120105239</v>
      </c>
      <c r="Y831" s="178">
        <f>IFERROR(IF(RIGHT(F831,3)="Exp",VLOOKUP(F831,#REF!,2,FALSE),VLOOKUP(F831,#REF!,9,FALSE)),1)</f>
        <v>1</v>
      </c>
      <c r="Z831" s="167">
        <f t="shared" si="96"/>
        <v>8.3333333333333329E-2</v>
      </c>
      <c r="AA831" s="189">
        <f t="shared" si="92"/>
        <v>1.4091675933421033E-2</v>
      </c>
      <c r="AB831" s="2">
        <f>IFERROR(SUMIFS('Comp2016-2017 (3)'!$G$5:$G$289,'Comp2016-2017 (3)'!$A$5:$A$289,A831,'Comp2016-2017 (3)'!$R$5:$R$289,V831)*AA831/SUMIFS($AA$4:$AA$1116,$A$4:$A$1116,A831,$V$4:$V$1116,V831),0)</f>
        <v>4381.7636234338097</v>
      </c>
      <c r="AC831" s="2" t="str">
        <f>IF($W831=AC$3,$AB831,IF(NOT($W831=0),"",SUMIFS('Val-Vol (2)'!AC$4:AC$1116,'Val-Vol (2)'!$A$4:$A$1116,$D831,'Val-Vol (2)'!$V$4:$V$1116,$V831)/SUMIFS('Comp2016-2017 (3)'!$G$5:$G$289,'Comp2016-2017 (3)'!$A$5:$A$289,$D831,'Comp2016-2017 (3)'!$R$5:$R$289,$V831)*$AB831))</f>
        <v/>
      </c>
      <c r="AD831" s="2" t="str">
        <f>IF($W831=AD$3,$AB831,IF(NOT($W831=0),"",SUMIFS('Val-Vol (2)'!AD$4:AD$1116,'Val-Vol (2)'!$A$4:$A$1116,$D831,'Val-Vol (2)'!$V$4:$V$1116,$V831)/SUMIFS('Comp2016-2017 (3)'!$G$5:$G$289,'Comp2016-2017 (3)'!$A$5:$A$289,$D831,'Comp2016-2017 (3)'!$R$5:$R$289,$V831)*$AB831))</f>
        <v/>
      </c>
      <c r="AE831" s="2" t="str">
        <f>IF($W831=AE$3,$AB831,IF(NOT($W831=0),"",SUMIFS('Val-Vol (2)'!AE$4:AE$1116,'Val-Vol (2)'!$A$4:$A$1116,$D831,'Val-Vol (2)'!$V$4:$V$1116,$V831)/SUMIFS('Comp2016-2017 (3)'!$G$5:$G$289,'Comp2016-2017 (3)'!$A$5:$A$289,$D831,'Comp2016-2017 (3)'!$R$5:$R$289,$V831)*$AB831))</f>
        <v/>
      </c>
      <c r="AF831" s="2" t="str">
        <f>IF($W831=AF$3,$AB831,IF(NOT($W831=0),"",SUMIFS('Val-Vol (2)'!AF$4:AF$1116,'Val-Vol (2)'!$A$4:$A$1116,$D831,'Val-Vol (2)'!$V$4:$V$1116,$V831)/SUMIFS('Comp2016-2017 (3)'!$G$5:$G$289,'Comp2016-2017 (3)'!$A$5:$A$289,$D831,'Comp2016-2017 (3)'!$R$5:$R$289,$V831)*$AB831))</f>
        <v/>
      </c>
      <c r="AG831" s="2" t="str">
        <f>IF($W831=AG$3,$AB831,IF(NOT($W831=0),"",SUMIFS('Val-Vol (2)'!AG$4:AG$1116,'Val-Vol (2)'!$A$4:$A$1116,$D831,'Val-Vol (2)'!$V$4:$V$1116,$V831)/SUMIFS('Comp2016-2017 (3)'!$G$5:$G$289,'Comp2016-2017 (3)'!$A$5:$A$289,$D831,'Comp2016-2017 (3)'!$R$5:$R$289,$V831)*$AB831))</f>
        <v/>
      </c>
      <c r="AH831" s="2" t="str">
        <f>IF($W831=AH$3,$AB831,IF(NOT($W831=0),"",SUMIFS('Val-Vol (2)'!AH$4:AH$1116,'Val-Vol (2)'!$A$4:$A$1116,$D831,'Val-Vol (2)'!$V$4:$V$1116,$V831)/SUMIFS('Comp2016-2017 (3)'!$G$5:$G$289,'Comp2016-2017 (3)'!$A$5:$A$289,$D831,'Comp2016-2017 (3)'!$R$5:$R$289,$V831)*$AB831))</f>
        <v/>
      </c>
      <c r="AI831" s="2">
        <f>IF($W831=AI$3,$AB831,IF(NOT($W831=0),"",SUMIFS('Val-Vol (2)'!AI$4:AI$1116,'Val-Vol (2)'!$A$4:$A$1116,$D831,'Val-Vol (2)'!$V$4:$V$1116,$V831)/SUMIFS('Comp2016-2017 (3)'!$G$5:$G$289,'Comp2016-2017 (3)'!$A$5:$A$289,$D831,'Comp2016-2017 (3)'!$R$5:$R$289,$V831)*$AB831))</f>
        <v>4381.7636234338097</v>
      </c>
      <c r="AJ831" s="2" t="str">
        <f>IF($W831=AJ$3,$AB831,IF(NOT($W831=0),"",SUMIFS('Val-Vol (2)'!AJ$4:AJ$1116,'Val-Vol (2)'!$A$4:$A$1116,$D831,'Val-Vol (2)'!$V$4:$V$1116,$V831)/SUMIFS('Comp2016-2017 (3)'!$G$5:$G$289,'Comp2016-2017 (3)'!$A$5:$A$289,$D831,'Comp2016-2017 (3)'!$R$5:$R$289,$V831)*$AB831))</f>
        <v/>
      </c>
      <c r="AK831" s="2">
        <f t="shared" si="90"/>
        <v>0</v>
      </c>
      <c r="AL831" t="str">
        <f t="shared" si="91"/>
        <v/>
      </c>
      <c r="AM831" t="str">
        <f>VLOOKUP(A831,'Table corresp.'!$M$4:$U$63,8,FALSE)</f>
        <v>Production intermédiaire</v>
      </c>
      <c r="AN831" t="str">
        <f>VLOOKUP(D831,'Table corresp.'!$M$4:$U$63,9,FALSE)</f>
        <v>Production finale</v>
      </c>
    </row>
    <row r="832" spans="1:40" x14ac:dyDescent="0.25">
      <c r="A832" t="s">
        <v>5</v>
      </c>
      <c r="B832" t="str">
        <f>VLOOKUP(LEFT(A832,3),'Table corresp.'!$A$4:$D$63,3,FALSE)</f>
        <v>Transformation</v>
      </c>
      <c r="C832" t="str">
        <f>VLOOKUP(A832,'Table corresp.'!$M$4:$P$63,4,FALSE)</f>
        <v>Production et transformation de produits bois</v>
      </c>
      <c r="D832" t="s">
        <v>19</v>
      </c>
      <c r="E832" t="str">
        <f>VLOOKUP(LEFT(D832,3),'Table corresp.'!$A$4:$D$63,4,FALSE)</f>
        <v>Transformation</v>
      </c>
      <c r="F832" t="str">
        <f t="shared" si="94"/>
        <v xml:space="preserve">09  - 52 </v>
      </c>
      <c r="G832" s="164">
        <v>9053.6793103372293</v>
      </c>
      <c r="H832" s="164">
        <v>1522.1039001732161</v>
      </c>
      <c r="I832" s="164">
        <v>10575.783581584741</v>
      </c>
      <c r="J832" s="164">
        <v>59.352936448992509</v>
      </c>
      <c r="K832" s="164">
        <v>3.9755929528842291</v>
      </c>
      <c r="L832" s="164">
        <v>63.328529401876736</v>
      </c>
      <c r="M832" s="164">
        <v>0</v>
      </c>
      <c r="N832" s="164">
        <v>0</v>
      </c>
      <c r="O832" s="164">
        <v>0</v>
      </c>
      <c r="P832" s="164">
        <v>0</v>
      </c>
      <c r="Q832" s="164">
        <v>0</v>
      </c>
      <c r="R832" s="164">
        <v>0</v>
      </c>
      <c r="S832" s="163" t="str">
        <f t="shared" si="95"/>
        <v/>
      </c>
      <c r="T832" s="163">
        <f>VLOOKUP(A832,'Groupe de branches'!$Z$27:$AM$86,14,FALSE)</f>
        <v>0</v>
      </c>
      <c r="U832" s="163">
        <f>VLOOKUP(D832,'Groupe de branches'!$Z$27:$AM$86,14,FALSE)</f>
        <v>0</v>
      </c>
      <c r="V832" s="163">
        <v>2018</v>
      </c>
      <c r="W832" t="str">
        <f>VLOOKUP(D832,'Table corresp.'!$M$4:$S$63,7,FALSE)</f>
        <v>Construction</v>
      </c>
      <c r="X832" s="167">
        <f>IFERROR(G832/SUMIFS('Comp2016-2017 (3)'!$I$5:$I$289,'Comp2016-2017 (3)'!$A$5:$A$289,A832,'Comp2016-2017 (3)'!$R$5:$R$289,V832),0)</f>
        <v>9.1538650586819786E-2</v>
      </c>
      <c r="Y832" s="178">
        <f>IFERROR(IF(RIGHT(F832,3)="Exp",VLOOKUP(F832,#REF!,2,FALSE),VLOOKUP(F832,#REF!,9,FALSE)),1)</f>
        <v>1</v>
      </c>
      <c r="Z832" s="167">
        <f t="shared" si="96"/>
        <v>8.3333333333333329E-2</v>
      </c>
      <c r="AA832" s="189">
        <f t="shared" si="92"/>
        <v>7.6282208822349819E-3</v>
      </c>
      <c r="AB832" s="2">
        <f>IFERROR(SUMIFS('Comp2016-2017 (3)'!$G$5:$G$289,'Comp2016-2017 (3)'!$A$5:$A$289,A832,'Comp2016-2017 (3)'!$R$5:$R$289,V832)*AA832/SUMIFS($AA$4:$AA$1116,$A$4:$A$1116,A832,$V$4:$V$1116,V832),0)</f>
        <v>2371.9720018554822</v>
      </c>
      <c r="AC832" s="2" t="str">
        <f>IF($W832=AC$3,$AB832,IF(NOT($W832=0),"",SUMIFS('Val-Vol (2)'!AC$4:AC$1116,'Val-Vol (2)'!$A$4:$A$1116,$D832,'Val-Vol (2)'!$V$4:$V$1116,$V832)/SUMIFS('Comp2016-2017 (3)'!$G$5:$G$289,'Comp2016-2017 (3)'!$A$5:$A$289,$D832,'Comp2016-2017 (3)'!$R$5:$R$289,$V832)*$AB832))</f>
        <v/>
      </c>
      <c r="AD832" s="2">
        <f>IF($W832=AD$3,$AB832,IF(NOT($W832=0),"",SUMIFS('Val-Vol (2)'!AD$4:AD$1116,'Val-Vol (2)'!$A$4:$A$1116,$D832,'Val-Vol (2)'!$V$4:$V$1116,$V832)/SUMIFS('Comp2016-2017 (3)'!$G$5:$G$289,'Comp2016-2017 (3)'!$A$5:$A$289,$D832,'Comp2016-2017 (3)'!$R$5:$R$289,$V832)*$AB832))</f>
        <v>2371.9720018554822</v>
      </c>
      <c r="AE832" s="2" t="str">
        <f>IF($W832=AE$3,$AB832,IF(NOT($W832=0),"",SUMIFS('Val-Vol (2)'!AE$4:AE$1116,'Val-Vol (2)'!$A$4:$A$1116,$D832,'Val-Vol (2)'!$V$4:$V$1116,$V832)/SUMIFS('Comp2016-2017 (3)'!$G$5:$G$289,'Comp2016-2017 (3)'!$A$5:$A$289,$D832,'Comp2016-2017 (3)'!$R$5:$R$289,$V832)*$AB832))</f>
        <v/>
      </c>
      <c r="AF832" s="2" t="str">
        <f>IF($W832=AF$3,$AB832,IF(NOT($W832=0),"",SUMIFS('Val-Vol (2)'!AF$4:AF$1116,'Val-Vol (2)'!$A$4:$A$1116,$D832,'Val-Vol (2)'!$V$4:$V$1116,$V832)/SUMIFS('Comp2016-2017 (3)'!$G$5:$G$289,'Comp2016-2017 (3)'!$A$5:$A$289,$D832,'Comp2016-2017 (3)'!$R$5:$R$289,$V832)*$AB832))</f>
        <v/>
      </c>
      <c r="AG832" s="2" t="str">
        <f>IF($W832=AG$3,$AB832,IF(NOT($W832=0),"",SUMIFS('Val-Vol (2)'!AG$4:AG$1116,'Val-Vol (2)'!$A$4:$A$1116,$D832,'Val-Vol (2)'!$V$4:$V$1116,$V832)/SUMIFS('Comp2016-2017 (3)'!$G$5:$G$289,'Comp2016-2017 (3)'!$A$5:$A$289,$D832,'Comp2016-2017 (3)'!$R$5:$R$289,$V832)*$AB832))</f>
        <v/>
      </c>
      <c r="AH832" s="2" t="str">
        <f>IF($W832=AH$3,$AB832,IF(NOT($W832=0),"",SUMIFS('Val-Vol (2)'!AH$4:AH$1116,'Val-Vol (2)'!$A$4:$A$1116,$D832,'Val-Vol (2)'!$V$4:$V$1116,$V832)/SUMIFS('Comp2016-2017 (3)'!$G$5:$G$289,'Comp2016-2017 (3)'!$A$5:$A$289,$D832,'Comp2016-2017 (3)'!$R$5:$R$289,$V832)*$AB832))</f>
        <v/>
      </c>
      <c r="AI832" s="2" t="str">
        <f>IF($W832=AI$3,$AB832,IF(NOT($W832=0),"",SUMIFS('Val-Vol (2)'!AI$4:AI$1116,'Val-Vol (2)'!$A$4:$A$1116,$D832,'Val-Vol (2)'!$V$4:$V$1116,$V832)/SUMIFS('Comp2016-2017 (3)'!$G$5:$G$289,'Comp2016-2017 (3)'!$A$5:$A$289,$D832,'Comp2016-2017 (3)'!$R$5:$R$289,$V832)*$AB832))</f>
        <v/>
      </c>
      <c r="AJ832" s="2" t="str">
        <f>IF($W832=AJ$3,$AB832,IF(NOT($W832=0),"",SUMIFS('Val-Vol (2)'!AJ$4:AJ$1116,'Val-Vol (2)'!$A$4:$A$1116,$D832,'Val-Vol (2)'!$V$4:$V$1116,$V832)/SUMIFS('Comp2016-2017 (3)'!$G$5:$G$289,'Comp2016-2017 (3)'!$A$5:$A$289,$D832,'Comp2016-2017 (3)'!$R$5:$R$289,$V832)*$AB832))</f>
        <v/>
      </c>
      <c r="AK832" s="2">
        <f t="shared" si="90"/>
        <v>0</v>
      </c>
      <c r="AL832" t="str">
        <f t="shared" si="91"/>
        <v/>
      </c>
      <c r="AM832" t="str">
        <f>VLOOKUP(A832,'Table corresp.'!$M$4:$U$63,8,FALSE)</f>
        <v>Production intermédiaire</v>
      </c>
      <c r="AN832" t="str">
        <f>VLOOKUP(D832,'Table corresp.'!$M$4:$U$63,9,FALSE)</f>
        <v xml:space="preserve">Mise en œuvre </v>
      </c>
    </row>
    <row r="833" spans="1:40" x14ac:dyDescent="0.25">
      <c r="A833" t="s">
        <v>5</v>
      </c>
      <c r="B833" t="str">
        <f>VLOOKUP(LEFT(A833,3),'Table corresp.'!$A$4:$D$63,3,FALSE)</f>
        <v>Transformation</v>
      </c>
      <c r="C833" t="str">
        <f>VLOOKUP(A833,'Table corresp.'!$M$4:$P$63,4,FALSE)</f>
        <v>Production et transformation de produits bois</v>
      </c>
      <c r="D833" t="s">
        <v>21</v>
      </c>
      <c r="E833" t="str">
        <f>VLOOKUP(LEFT(D833,3),'Table corresp.'!$A$4:$D$63,4,FALSE)</f>
        <v>Transformation</v>
      </c>
      <c r="F833" t="str">
        <f t="shared" si="94"/>
        <v xml:space="preserve">09  - 54 </v>
      </c>
      <c r="G833" s="164">
        <v>17737.55053625222</v>
      </c>
      <c r="H833" s="164">
        <v>1498.0774813285639</v>
      </c>
      <c r="I833" s="164">
        <v>19235.629557316068</v>
      </c>
      <c r="J833" s="164">
        <v>67.830894265629269</v>
      </c>
      <c r="K833" s="164">
        <v>2.2824889471937708</v>
      </c>
      <c r="L833" s="164">
        <v>70.113383212823038</v>
      </c>
      <c r="M833" s="164">
        <v>0</v>
      </c>
      <c r="N833" s="164">
        <v>0</v>
      </c>
      <c r="O833" s="164">
        <v>0</v>
      </c>
      <c r="P833" s="164">
        <v>0</v>
      </c>
      <c r="Q833" s="164">
        <v>0</v>
      </c>
      <c r="R833" s="164">
        <v>0</v>
      </c>
      <c r="S833" s="163" t="str">
        <f t="shared" si="95"/>
        <v/>
      </c>
      <c r="T833" s="163">
        <f>VLOOKUP(A833,'Groupe de branches'!$Z$27:$AM$86,14,FALSE)</f>
        <v>0</v>
      </c>
      <c r="U833" s="163">
        <f>VLOOKUP(D833,'Groupe de branches'!$Z$27:$AM$86,14,FALSE)</f>
        <v>0</v>
      </c>
      <c r="V833" s="163">
        <v>2018</v>
      </c>
      <c r="W833" t="str">
        <f>VLOOKUP(D833,'Table corresp.'!$M$4:$S$63,7,FALSE)</f>
        <v>Construction</v>
      </c>
      <c r="X833" s="167">
        <f>IFERROR(G833/SUMIFS('Comp2016-2017 (3)'!$I$5:$I$289,'Comp2016-2017 (3)'!$A$5:$A$289,A833,'Comp2016-2017 (3)'!$R$5:$R$289,V833),0)</f>
        <v>0.17933829829273815</v>
      </c>
      <c r="Y833" s="178">
        <f>IFERROR(IF(RIGHT(F833,3)="Exp",VLOOKUP(F833,#REF!,2,FALSE),VLOOKUP(F833,#REF!,9,FALSE)),1)</f>
        <v>1</v>
      </c>
      <c r="Z833" s="167">
        <f t="shared" si="96"/>
        <v>8.3333333333333329E-2</v>
      </c>
      <c r="AA833" s="189">
        <f t="shared" si="92"/>
        <v>1.4944858191061512E-2</v>
      </c>
      <c r="AB833" s="2">
        <f>IFERROR(SUMIFS('Comp2016-2017 (3)'!$G$5:$G$289,'Comp2016-2017 (3)'!$A$5:$A$289,A833,'Comp2016-2017 (3)'!$R$5:$R$289,V833)*AA833/SUMIFS($AA$4:$AA$1116,$A$4:$A$1116,A833,$V$4:$V$1116,V833),0)</f>
        <v>4647.058042518609</v>
      </c>
      <c r="AC833" s="2" t="str">
        <f>IF($W833=AC$3,$AB833,IF(NOT($W833=0),"",SUMIFS('Val-Vol (2)'!AC$4:AC$1116,'Val-Vol (2)'!$A$4:$A$1116,$D833,'Val-Vol (2)'!$V$4:$V$1116,$V833)/SUMIFS('Comp2016-2017 (3)'!$G$5:$G$289,'Comp2016-2017 (3)'!$A$5:$A$289,$D833,'Comp2016-2017 (3)'!$R$5:$R$289,$V833)*$AB833))</f>
        <v/>
      </c>
      <c r="AD833" s="2">
        <f>IF($W833=AD$3,$AB833,IF(NOT($W833=0),"",SUMIFS('Val-Vol (2)'!AD$4:AD$1116,'Val-Vol (2)'!$A$4:$A$1116,$D833,'Val-Vol (2)'!$V$4:$V$1116,$V833)/SUMIFS('Comp2016-2017 (3)'!$G$5:$G$289,'Comp2016-2017 (3)'!$A$5:$A$289,$D833,'Comp2016-2017 (3)'!$R$5:$R$289,$V833)*$AB833))</f>
        <v>4647.058042518609</v>
      </c>
      <c r="AE833" s="2" t="str">
        <f>IF($W833=AE$3,$AB833,IF(NOT($W833=0),"",SUMIFS('Val-Vol (2)'!AE$4:AE$1116,'Val-Vol (2)'!$A$4:$A$1116,$D833,'Val-Vol (2)'!$V$4:$V$1116,$V833)/SUMIFS('Comp2016-2017 (3)'!$G$5:$G$289,'Comp2016-2017 (3)'!$A$5:$A$289,$D833,'Comp2016-2017 (3)'!$R$5:$R$289,$V833)*$AB833))</f>
        <v/>
      </c>
      <c r="AF833" s="2" t="str">
        <f>IF($W833=AF$3,$AB833,IF(NOT($W833=0),"",SUMIFS('Val-Vol (2)'!AF$4:AF$1116,'Val-Vol (2)'!$A$4:$A$1116,$D833,'Val-Vol (2)'!$V$4:$V$1116,$V833)/SUMIFS('Comp2016-2017 (3)'!$G$5:$G$289,'Comp2016-2017 (3)'!$A$5:$A$289,$D833,'Comp2016-2017 (3)'!$R$5:$R$289,$V833)*$AB833))</f>
        <v/>
      </c>
      <c r="AG833" s="2" t="str">
        <f>IF($W833=AG$3,$AB833,IF(NOT($W833=0),"",SUMIFS('Val-Vol (2)'!AG$4:AG$1116,'Val-Vol (2)'!$A$4:$A$1116,$D833,'Val-Vol (2)'!$V$4:$V$1116,$V833)/SUMIFS('Comp2016-2017 (3)'!$G$5:$G$289,'Comp2016-2017 (3)'!$A$5:$A$289,$D833,'Comp2016-2017 (3)'!$R$5:$R$289,$V833)*$AB833))</f>
        <v/>
      </c>
      <c r="AH833" s="2" t="str">
        <f>IF($W833=AH$3,$AB833,IF(NOT($W833=0),"",SUMIFS('Val-Vol (2)'!AH$4:AH$1116,'Val-Vol (2)'!$A$4:$A$1116,$D833,'Val-Vol (2)'!$V$4:$V$1116,$V833)/SUMIFS('Comp2016-2017 (3)'!$G$5:$G$289,'Comp2016-2017 (3)'!$A$5:$A$289,$D833,'Comp2016-2017 (3)'!$R$5:$R$289,$V833)*$AB833))</f>
        <v/>
      </c>
      <c r="AI833" s="2" t="str">
        <f>IF($W833=AI$3,$AB833,IF(NOT($W833=0),"",SUMIFS('Val-Vol (2)'!AI$4:AI$1116,'Val-Vol (2)'!$A$4:$A$1116,$D833,'Val-Vol (2)'!$V$4:$V$1116,$V833)/SUMIFS('Comp2016-2017 (3)'!$G$5:$G$289,'Comp2016-2017 (3)'!$A$5:$A$289,$D833,'Comp2016-2017 (3)'!$R$5:$R$289,$V833)*$AB833))</f>
        <v/>
      </c>
      <c r="AJ833" s="2" t="str">
        <f>IF($W833=AJ$3,$AB833,IF(NOT($W833=0),"",SUMIFS('Val-Vol (2)'!AJ$4:AJ$1116,'Val-Vol (2)'!$A$4:$A$1116,$D833,'Val-Vol (2)'!$V$4:$V$1116,$V833)/SUMIFS('Comp2016-2017 (3)'!$G$5:$G$289,'Comp2016-2017 (3)'!$A$5:$A$289,$D833,'Comp2016-2017 (3)'!$R$5:$R$289,$V833)*$AB833))</f>
        <v/>
      </c>
      <c r="AK833" s="2">
        <f t="shared" si="90"/>
        <v>0</v>
      </c>
      <c r="AL833" t="str">
        <f t="shared" si="91"/>
        <v/>
      </c>
      <c r="AM833" t="str">
        <f>VLOOKUP(A833,'Table corresp.'!$M$4:$U$63,8,FALSE)</f>
        <v>Production intermédiaire</v>
      </c>
      <c r="AN833" t="str">
        <f>VLOOKUP(D833,'Table corresp.'!$M$4:$U$63,9,FALSE)</f>
        <v xml:space="preserve">Mise en œuvre </v>
      </c>
    </row>
    <row r="834" spans="1:40" x14ac:dyDescent="0.25">
      <c r="A834" t="s">
        <v>5</v>
      </c>
      <c r="B834" t="str">
        <f>VLOOKUP(LEFT(A834,3),'Table corresp.'!$A$4:$D$63,3,FALSE)</f>
        <v>Transformation</v>
      </c>
      <c r="C834" t="str">
        <f>VLOOKUP(A834,'Table corresp.'!$M$4:$P$63,4,FALSE)</f>
        <v>Production et transformation de produits bois</v>
      </c>
      <c r="D834" t="s">
        <v>22</v>
      </c>
      <c r="E834" t="str">
        <f>VLOOKUP(LEFT(D834,3),'Table corresp.'!$A$4:$D$63,4,FALSE)</f>
        <v>Transformation</v>
      </c>
      <c r="F834" t="str">
        <f t="shared" si="94"/>
        <v xml:space="preserve">09  - 55 </v>
      </c>
      <c r="G834" s="164">
        <v>1737.8833249294084</v>
      </c>
      <c r="H834" s="164">
        <v>0</v>
      </c>
      <c r="I834" s="164">
        <v>1737.8835561773953</v>
      </c>
      <c r="J834" s="164">
        <v>6.6459108780751839</v>
      </c>
      <c r="K834" s="164">
        <v>0</v>
      </c>
      <c r="L834" s="164">
        <v>6.6459108780751839</v>
      </c>
      <c r="M834" s="164">
        <v>0</v>
      </c>
      <c r="N834" s="164">
        <v>0</v>
      </c>
      <c r="O834" s="164">
        <v>0</v>
      </c>
      <c r="P834" s="164">
        <v>0</v>
      </c>
      <c r="Q834" s="164">
        <v>0</v>
      </c>
      <c r="R834" s="164">
        <v>0</v>
      </c>
      <c r="S834" s="163" t="str">
        <f t="shared" si="95"/>
        <v/>
      </c>
      <c r="T834" s="163">
        <f>VLOOKUP(A834,'Groupe de branches'!$Z$27:$AM$86,14,FALSE)</f>
        <v>0</v>
      </c>
      <c r="U834" s="163">
        <f>VLOOKUP(D834,'Groupe de branches'!$Z$27:$AM$86,14,FALSE)</f>
        <v>0</v>
      </c>
      <c r="V834" s="163">
        <v>2018</v>
      </c>
      <c r="W834" t="str">
        <f>VLOOKUP(D834,'Table corresp.'!$M$4:$S$63,7,FALSE)</f>
        <v>Construction</v>
      </c>
      <c r="X834" s="167">
        <f>IFERROR(G834/SUMIFS('Comp2016-2017 (3)'!$I$5:$I$289,'Comp2016-2017 (3)'!$A$5:$A$289,A834,'Comp2016-2017 (3)'!$R$5:$R$289,V834),0)</f>
        <v>1.7571143066635549E-2</v>
      </c>
      <c r="Y834" s="178">
        <f>IFERROR(IF(RIGHT(F834,3)="Exp",VLOOKUP(F834,#REF!,2,FALSE),VLOOKUP(F834,#REF!,9,FALSE)),1)</f>
        <v>1</v>
      </c>
      <c r="Z834" s="167">
        <f t="shared" si="96"/>
        <v>8.3333333333333329E-2</v>
      </c>
      <c r="AA834" s="189">
        <f t="shared" si="92"/>
        <v>1.4642619222196289E-3</v>
      </c>
      <c r="AB834" s="2">
        <f>IFERROR(SUMIFS('Comp2016-2017 (3)'!$G$5:$G$289,'Comp2016-2017 (3)'!$A$5:$A$289,A834,'Comp2016-2017 (3)'!$R$5:$R$289,V834)*AA834/SUMIFS($AA$4:$AA$1116,$A$4:$A$1116,A834,$V$4:$V$1116,V834),0)</f>
        <v>455.30777575890602</v>
      </c>
      <c r="AC834" s="2" t="str">
        <f>IF($W834=AC$3,$AB834,IF(NOT($W834=0),"",SUMIFS('Val-Vol (2)'!AC$4:AC$1116,'Val-Vol (2)'!$A$4:$A$1116,$D834,'Val-Vol (2)'!$V$4:$V$1116,$V834)/SUMIFS('Comp2016-2017 (3)'!$G$5:$G$289,'Comp2016-2017 (3)'!$A$5:$A$289,$D834,'Comp2016-2017 (3)'!$R$5:$R$289,$V834)*$AB834))</f>
        <v/>
      </c>
      <c r="AD834" s="2">
        <f>IF($W834=AD$3,$AB834,IF(NOT($W834=0),"",SUMIFS('Val-Vol (2)'!AD$4:AD$1116,'Val-Vol (2)'!$A$4:$A$1116,$D834,'Val-Vol (2)'!$V$4:$V$1116,$V834)/SUMIFS('Comp2016-2017 (3)'!$G$5:$G$289,'Comp2016-2017 (3)'!$A$5:$A$289,$D834,'Comp2016-2017 (3)'!$R$5:$R$289,$V834)*$AB834))</f>
        <v>455.30777575890602</v>
      </c>
      <c r="AE834" s="2" t="str">
        <f>IF($W834=AE$3,$AB834,IF(NOT($W834=0),"",SUMIFS('Val-Vol (2)'!AE$4:AE$1116,'Val-Vol (2)'!$A$4:$A$1116,$D834,'Val-Vol (2)'!$V$4:$V$1116,$V834)/SUMIFS('Comp2016-2017 (3)'!$G$5:$G$289,'Comp2016-2017 (3)'!$A$5:$A$289,$D834,'Comp2016-2017 (3)'!$R$5:$R$289,$V834)*$AB834))</f>
        <v/>
      </c>
      <c r="AF834" s="2" t="str">
        <f>IF($W834=AF$3,$AB834,IF(NOT($W834=0),"",SUMIFS('Val-Vol (2)'!AF$4:AF$1116,'Val-Vol (2)'!$A$4:$A$1116,$D834,'Val-Vol (2)'!$V$4:$V$1116,$V834)/SUMIFS('Comp2016-2017 (3)'!$G$5:$G$289,'Comp2016-2017 (3)'!$A$5:$A$289,$D834,'Comp2016-2017 (3)'!$R$5:$R$289,$V834)*$AB834))</f>
        <v/>
      </c>
      <c r="AG834" s="2" t="str">
        <f>IF($W834=AG$3,$AB834,IF(NOT($W834=0),"",SUMIFS('Val-Vol (2)'!AG$4:AG$1116,'Val-Vol (2)'!$A$4:$A$1116,$D834,'Val-Vol (2)'!$V$4:$V$1116,$V834)/SUMIFS('Comp2016-2017 (3)'!$G$5:$G$289,'Comp2016-2017 (3)'!$A$5:$A$289,$D834,'Comp2016-2017 (3)'!$R$5:$R$289,$V834)*$AB834))</f>
        <v/>
      </c>
      <c r="AH834" s="2" t="str">
        <f>IF($W834=AH$3,$AB834,IF(NOT($W834=0),"",SUMIFS('Val-Vol (2)'!AH$4:AH$1116,'Val-Vol (2)'!$A$4:$A$1116,$D834,'Val-Vol (2)'!$V$4:$V$1116,$V834)/SUMIFS('Comp2016-2017 (3)'!$G$5:$G$289,'Comp2016-2017 (3)'!$A$5:$A$289,$D834,'Comp2016-2017 (3)'!$R$5:$R$289,$V834)*$AB834))</f>
        <v/>
      </c>
      <c r="AI834" s="2" t="str">
        <f>IF($W834=AI$3,$AB834,IF(NOT($W834=0),"",SUMIFS('Val-Vol (2)'!AI$4:AI$1116,'Val-Vol (2)'!$A$4:$A$1116,$D834,'Val-Vol (2)'!$V$4:$V$1116,$V834)/SUMIFS('Comp2016-2017 (3)'!$G$5:$G$289,'Comp2016-2017 (3)'!$A$5:$A$289,$D834,'Comp2016-2017 (3)'!$R$5:$R$289,$V834)*$AB834))</f>
        <v/>
      </c>
      <c r="AJ834" s="2" t="str">
        <f>IF($W834=AJ$3,$AB834,IF(NOT($W834=0),"",SUMIFS('Val-Vol (2)'!AJ$4:AJ$1116,'Val-Vol (2)'!$A$4:$A$1116,$D834,'Val-Vol (2)'!$V$4:$V$1116,$V834)/SUMIFS('Comp2016-2017 (3)'!$G$5:$G$289,'Comp2016-2017 (3)'!$A$5:$A$289,$D834,'Comp2016-2017 (3)'!$R$5:$R$289,$V834)*$AB834))</f>
        <v/>
      </c>
      <c r="AK834" s="2">
        <f t="shared" si="90"/>
        <v>0</v>
      </c>
      <c r="AL834" t="str">
        <f t="shared" si="91"/>
        <v/>
      </c>
      <c r="AM834" t="str">
        <f>VLOOKUP(A834,'Table corresp.'!$M$4:$U$63,8,FALSE)</f>
        <v>Production intermédiaire</v>
      </c>
      <c r="AN834" t="str">
        <f>VLOOKUP(D834,'Table corresp.'!$M$4:$U$63,9,FALSE)</f>
        <v xml:space="preserve">Mise en œuvre </v>
      </c>
    </row>
    <row r="835" spans="1:40" x14ac:dyDescent="0.25">
      <c r="A835" t="s">
        <v>5</v>
      </c>
      <c r="B835" t="str">
        <f>VLOOKUP(LEFT(A835,3),'Table corresp.'!$A$4:$D$63,3,FALSE)</f>
        <v>Transformation</v>
      </c>
      <c r="C835" t="str">
        <f>VLOOKUP(A835,'Table corresp.'!$M$4:$P$63,4,FALSE)</f>
        <v>Production et transformation de produits bois</v>
      </c>
      <c r="D835" t="s">
        <v>54</v>
      </c>
      <c r="E835" t="str">
        <f>VLOOKUP(LEFT(D835,3),'Table corresp.'!$A$4:$D$63,4,FALSE)</f>
        <v>Consommation finale</v>
      </c>
      <c r="F835" t="str">
        <f t="shared" si="94"/>
        <v>09  - Con</v>
      </c>
      <c r="G835" s="164">
        <v>1201.2636708024249</v>
      </c>
      <c r="H835" s="164">
        <v>1287.7748133485063</v>
      </c>
      <c r="I835" s="164">
        <v>2489.0379386980039</v>
      </c>
      <c r="J835" s="164">
        <v>9.9315680471237116</v>
      </c>
      <c r="K835" s="164">
        <v>6.8609804333881916</v>
      </c>
      <c r="L835" s="164">
        <v>16.792548480511904</v>
      </c>
      <c r="M835" s="164">
        <v>0</v>
      </c>
      <c r="N835" s="164">
        <v>0</v>
      </c>
      <c r="O835" s="164">
        <v>0</v>
      </c>
      <c r="P835" s="164">
        <v>0</v>
      </c>
      <c r="Q835" s="164">
        <v>0</v>
      </c>
      <c r="R835" s="164">
        <v>0</v>
      </c>
      <c r="S835" s="163" t="str">
        <f t="shared" si="95"/>
        <v/>
      </c>
      <c r="T835" s="163">
        <f>VLOOKUP(A835,'Groupe de branches'!$Z$27:$AM$86,14,FALSE)</f>
        <v>0</v>
      </c>
      <c r="U835" s="163">
        <f>VLOOKUP(D835,'Groupe de branches'!$Z$27:$AM$86,14,FALSE)</f>
        <v>0</v>
      </c>
      <c r="V835" s="163">
        <v>2018</v>
      </c>
      <c r="W835" t="str">
        <f>VLOOKUP(D835,'Table corresp.'!$M$4:$S$63,7,FALSE)</f>
        <v>Consommation finale</v>
      </c>
      <c r="X835" s="167">
        <f>IFERROR(G835/SUMIFS('Comp2016-2017 (3)'!$I$5:$I$289,'Comp2016-2017 (3)'!$A$5:$A$289,A835,'Comp2016-2017 (3)'!$R$5:$R$289,V835),0)</f>
        <v>1.2145565538053927E-2</v>
      </c>
      <c r="Y835" s="178">
        <f>IFERROR(IF(RIGHT(F835,3)="Exp",VLOOKUP(F835,#REF!,2,FALSE),VLOOKUP(F835,#REF!,9,FALSE)),1)</f>
        <v>1</v>
      </c>
      <c r="Z835" s="167">
        <f t="shared" si="96"/>
        <v>8.3333333333333329E-2</v>
      </c>
      <c r="AA835" s="189">
        <f t="shared" si="92"/>
        <v>1.0121304615044939E-3</v>
      </c>
      <c r="AB835" s="2">
        <f>IFERROR(SUMIFS('Comp2016-2017 (3)'!$G$5:$G$289,'Comp2016-2017 (3)'!$A$5:$A$289,A835,'Comp2016-2017 (3)'!$R$5:$R$289,V835)*AA835/SUMIFS($AA$4:$AA$1116,$A$4:$A$1116,A835,$V$4:$V$1116,V835),0)</f>
        <v>314.71887796336807</v>
      </c>
      <c r="AC835" s="2" t="str">
        <f>IF($W835=AC$3,$AB835,IF(NOT($W835=0),"",SUMIFS('Val-Vol (2)'!AC$4:AC$1116,'Val-Vol (2)'!$A$4:$A$1116,$D835,'Val-Vol (2)'!$V$4:$V$1116,$V835)/SUMIFS('Comp2016-2017 (3)'!$G$5:$G$289,'Comp2016-2017 (3)'!$A$5:$A$289,$D835,'Comp2016-2017 (3)'!$R$5:$R$289,$V835)*$AB835))</f>
        <v/>
      </c>
      <c r="AD835" s="2" t="str">
        <f>IF($W835=AD$3,$AB835,IF(NOT($W835=0),"",SUMIFS('Val-Vol (2)'!AD$4:AD$1116,'Val-Vol (2)'!$A$4:$A$1116,$D835,'Val-Vol (2)'!$V$4:$V$1116,$V835)/SUMIFS('Comp2016-2017 (3)'!$G$5:$G$289,'Comp2016-2017 (3)'!$A$5:$A$289,$D835,'Comp2016-2017 (3)'!$R$5:$R$289,$V835)*$AB835))</f>
        <v/>
      </c>
      <c r="AE835" s="2" t="str">
        <f>IF($W835=AE$3,$AB835,IF(NOT($W835=0),"",SUMIFS('Val-Vol (2)'!AE$4:AE$1116,'Val-Vol (2)'!$A$4:$A$1116,$D835,'Val-Vol (2)'!$V$4:$V$1116,$V835)/SUMIFS('Comp2016-2017 (3)'!$G$5:$G$289,'Comp2016-2017 (3)'!$A$5:$A$289,$D835,'Comp2016-2017 (3)'!$R$5:$R$289,$V835)*$AB835))</f>
        <v/>
      </c>
      <c r="AF835" s="2" t="str">
        <f>IF($W835=AF$3,$AB835,IF(NOT($W835=0),"",SUMIFS('Val-Vol (2)'!AF$4:AF$1116,'Val-Vol (2)'!$A$4:$A$1116,$D835,'Val-Vol (2)'!$V$4:$V$1116,$V835)/SUMIFS('Comp2016-2017 (3)'!$G$5:$G$289,'Comp2016-2017 (3)'!$A$5:$A$289,$D835,'Comp2016-2017 (3)'!$R$5:$R$289,$V835)*$AB835))</f>
        <v/>
      </c>
      <c r="AG835" s="2" t="str">
        <f>IF($W835=AG$3,$AB835,IF(NOT($W835=0),"",SUMIFS('Val-Vol (2)'!AG$4:AG$1116,'Val-Vol (2)'!$A$4:$A$1116,$D835,'Val-Vol (2)'!$V$4:$V$1116,$V835)/SUMIFS('Comp2016-2017 (3)'!$G$5:$G$289,'Comp2016-2017 (3)'!$A$5:$A$289,$D835,'Comp2016-2017 (3)'!$R$5:$R$289,$V835)*$AB835))</f>
        <v/>
      </c>
      <c r="AH835" s="2" t="str">
        <f>IF($W835=AH$3,$AB835,IF(NOT($W835=0),"",SUMIFS('Val-Vol (2)'!AH$4:AH$1116,'Val-Vol (2)'!$A$4:$A$1116,$D835,'Val-Vol (2)'!$V$4:$V$1116,$V835)/SUMIFS('Comp2016-2017 (3)'!$G$5:$G$289,'Comp2016-2017 (3)'!$A$5:$A$289,$D835,'Comp2016-2017 (3)'!$R$5:$R$289,$V835)*$AB835))</f>
        <v/>
      </c>
      <c r="AI835" s="2" t="str">
        <f>IF($W835=AI$3,$AB835,IF(NOT($W835=0),"",SUMIFS('Val-Vol (2)'!AI$4:AI$1116,'Val-Vol (2)'!$A$4:$A$1116,$D835,'Val-Vol (2)'!$V$4:$V$1116,$V835)/SUMIFS('Comp2016-2017 (3)'!$G$5:$G$289,'Comp2016-2017 (3)'!$A$5:$A$289,$D835,'Comp2016-2017 (3)'!$R$5:$R$289,$V835)*$AB835))</f>
        <v/>
      </c>
      <c r="AJ835" s="2">
        <f>IF($W835=AJ$3,$AB835,IF(NOT($W835=0),"",SUMIFS('Val-Vol (2)'!AJ$4:AJ$1116,'Val-Vol (2)'!$A$4:$A$1116,$D835,'Val-Vol (2)'!$V$4:$V$1116,$V835)/SUMIFS('Comp2016-2017 (3)'!$G$5:$G$289,'Comp2016-2017 (3)'!$A$5:$A$289,$D835,'Comp2016-2017 (3)'!$R$5:$R$289,$V835)*$AB835))</f>
        <v>314.71887796336807</v>
      </c>
      <c r="AK835" s="2">
        <f t="shared" ref="AK835:AK864" si="97">SUM(AC835:AJ835)-AB835</f>
        <v>0</v>
      </c>
      <c r="AL835" t="str">
        <f t="shared" si="91"/>
        <v/>
      </c>
      <c r="AM835" t="str">
        <f>VLOOKUP(A835,'Table corresp.'!$M$4:$U$63,8,FALSE)</f>
        <v>Production intermédiaire</v>
      </c>
      <c r="AN835" t="str">
        <f>VLOOKUP(D835,'Table corresp.'!$M$4:$U$63,9,FALSE)</f>
        <v>Consommation finale française</v>
      </c>
    </row>
    <row r="836" spans="1:40" x14ac:dyDescent="0.25">
      <c r="A836" t="s">
        <v>5</v>
      </c>
      <c r="B836" t="str">
        <f>VLOOKUP(LEFT(A836,3),'Table corresp.'!$A$4:$D$63,3,FALSE)</f>
        <v>Transformation</v>
      </c>
      <c r="C836" t="str">
        <f>VLOOKUP(A836,'Table corresp.'!$M$4:$P$63,4,FALSE)</f>
        <v>Production et transformation de produits bois</v>
      </c>
      <c r="D836" t="s">
        <v>53</v>
      </c>
      <c r="E836" t="str">
        <f>VLOOKUP(LEFT(D836,3),'Table corresp.'!$A$4:$D$63,4,FALSE)</f>
        <v>Exportation</v>
      </c>
      <c r="F836" t="str">
        <f t="shared" si="94"/>
        <v>09  - Exp</v>
      </c>
      <c r="G836" s="164">
        <v>32316.726699839062</v>
      </c>
      <c r="H836" s="164">
        <v>0</v>
      </c>
      <c r="I836" s="164">
        <v>32316.731</v>
      </c>
      <c r="J836" s="164">
        <v>255.62464200541527</v>
      </c>
      <c r="K836" s="164">
        <v>0</v>
      </c>
      <c r="L836" s="164">
        <v>255.62464200541527</v>
      </c>
      <c r="M836" s="164">
        <v>0</v>
      </c>
      <c r="N836" s="164">
        <v>0</v>
      </c>
      <c r="O836" s="164">
        <v>0</v>
      </c>
      <c r="P836" s="164">
        <v>0</v>
      </c>
      <c r="Q836" s="164">
        <v>0</v>
      </c>
      <c r="R836" s="164">
        <v>0</v>
      </c>
      <c r="S836" s="163" t="str">
        <f t="shared" si="95"/>
        <v/>
      </c>
      <c r="T836" s="163">
        <f>VLOOKUP(A836,'Groupe de branches'!$Z$27:$AM$86,14,FALSE)</f>
        <v>0</v>
      </c>
      <c r="U836" s="163">
        <f>VLOOKUP(D836,'Groupe de branches'!$Z$27:$AM$86,14,FALSE)</f>
        <v>0</v>
      </c>
      <c r="V836" s="163">
        <v>2018</v>
      </c>
      <c r="W836" t="str">
        <f>VLOOKUP(D836,'Table corresp.'!$M$4:$S$63,7,FALSE)</f>
        <v>Exportation</v>
      </c>
      <c r="X836" s="167">
        <f>IFERROR(G836/SUMIFS('Comp2016-2017 (3)'!$I$5:$I$289,'Comp2016-2017 (3)'!$A$5:$A$289,A836,'Comp2016-2017 (3)'!$R$5:$R$289,V836),0)</f>
        <v>0.3267433550588319</v>
      </c>
      <c r="Y836" s="178">
        <f>IFERROR(IF(RIGHT(F836,3)="Exp",VLOOKUP(F836,#REF!,2,FALSE),VLOOKUP(F836,#REF!,9,FALSE)),1)</f>
        <v>1</v>
      </c>
      <c r="Z836" s="167">
        <f t="shared" si="96"/>
        <v>8.3333333333333329E-2</v>
      </c>
      <c r="AA836" s="189">
        <f t="shared" si="92"/>
        <v>2.7228612921569324E-2</v>
      </c>
      <c r="AB836" s="2">
        <f>IFERROR(SUMIFS('Comp2016-2017 (3)'!$G$5:$G$289,'Comp2016-2017 (3)'!$A$5:$A$289,A836,'Comp2016-2017 (3)'!$R$5:$R$289,V836)*AA836/SUMIFS($AA$4:$AA$1116,$A$4:$A$1116,A836,$V$4:$V$1116,V836),0)</f>
        <v>8466.6540857165128</v>
      </c>
      <c r="AC836" s="2">
        <f>IF($W836=AC$3,$AB836,IF(NOT($W836=0),"",SUMIFS('Val-Vol (2)'!AC$4:AC$1116,'Val-Vol (2)'!$A$4:$A$1116,$D836,'Val-Vol (2)'!$V$4:$V$1116,$V836)/SUMIFS('Comp2016-2017 (3)'!$G$5:$G$289,'Comp2016-2017 (3)'!$A$5:$A$289,$D836,'Comp2016-2017 (3)'!$R$5:$R$289,$V836)*$AB836))</f>
        <v>8466.6540857165128</v>
      </c>
      <c r="AD836" s="2" t="str">
        <f>IF($W836=AD$3,$AB836,IF(NOT($W836=0),"",SUMIFS('Val-Vol (2)'!AD$4:AD$1116,'Val-Vol (2)'!$A$4:$A$1116,$D836,'Val-Vol (2)'!$V$4:$V$1116,$V836)/SUMIFS('Comp2016-2017 (3)'!$G$5:$G$289,'Comp2016-2017 (3)'!$A$5:$A$289,$D836,'Comp2016-2017 (3)'!$R$5:$R$289,$V836)*$AB836))</f>
        <v/>
      </c>
      <c r="AE836" s="2" t="str">
        <f>IF($W836=AE$3,$AB836,IF(NOT($W836=0),"",SUMIFS('Val-Vol (2)'!AE$4:AE$1116,'Val-Vol (2)'!$A$4:$A$1116,$D836,'Val-Vol (2)'!$V$4:$V$1116,$V836)/SUMIFS('Comp2016-2017 (3)'!$G$5:$G$289,'Comp2016-2017 (3)'!$A$5:$A$289,$D836,'Comp2016-2017 (3)'!$R$5:$R$289,$V836)*$AB836))</f>
        <v/>
      </c>
      <c r="AF836" s="2" t="str">
        <f>IF($W836=AF$3,$AB836,IF(NOT($W836=0),"",SUMIFS('Val-Vol (2)'!AF$4:AF$1116,'Val-Vol (2)'!$A$4:$A$1116,$D836,'Val-Vol (2)'!$V$4:$V$1116,$V836)/SUMIFS('Comp2016-2017 (3)'!$G$5:$G$289,'Comp2016-2017 (3)'!$A$5:$A$289,$D836,'Comp2016-2017 (3)'!$R$5:$R$289,$V836)*$AB836))</f>
        <v/>
      </c>
      <c r="AG836" s="2" t="str">
        <f>IF($W836=AG$3,$AB836,IF(NOT($W836=0),"",SUMIFS('Val-Vol (2)'!AG$4:AG$1116,'Val-Vol (2)'!$A$4:$A$1116,$D836,'Val-Vol (2)'!$V$4:$V$1116,$V836)/SUMIFS('Comp2016-2017 (3)'!$G$5:$G$289,'Comp2016-2017 (3)'!$A$5:$A$289,$D836,'Comp2016-2017 (3)'!$R$5:$R$289,$V836)*$AB836))</f>
        <v/>
      </c>
      <c r="AH836" s="2" t="str">
        <f>IF($W836=AH$3,$AB836,IF(NOT($W836=0),"",SUMIFS('Val-Vol (2)'!AH$4:AH$1116,'Val-Vol (2)'!$A$4:$A$1116,$D836,'Val-Vol (2)'!$V$4:$V$1116,$V836)/SUMIFS('Comp2016-2017 (3)'!$G$5:$G$289,'Comp2016-2017 (3)'!$A$5:$A$289,$D836,'Comp2016-2017 (3)'!$R$5:$R$289,$V836)*$AB836))</f>
        <v/>
      </c>
      <c r="AI836" s="2" t="str">
        <f>IF($W836=AI$3,$AB836,IF(NOT($W836=0),"",SUMIFS('Val-Vol (2)'!AI$4:AI$1116,'Val-Vol (2)'!$A$4:$A$1116,$D836,'Val-Vol (2)'!$V$4:$V$1116,$V836)/SUMIFS('Comp2016-2017 (3)'!$G$5:$G$289,'Comp2016-2017 (3)'!$A$5:$A$289,$D836,'Comp2016-2017 (3)'!$R$5:$R$289,$V836)*$AB836))</f>
        <v/>
      </c>
      <c r="AJ836" s="2" t="str">
        <f>IF($W836=AJ$3,$AB836,IF(NOT($W836=0),"",SUMIFS('Val-Vol (2)'!AJ$4:AJ$1116,'Val-Vol (2)'!$A$4:$A$1116,$D836,'Val-Vol (2)'!$V$4:$V$1116,$V836)/SUMIFS('Comp2016-2017 (3)'!$G$5:$G$289,'Comp2016-2017 (3)'!$A$5:$A$289,$D836,'Comp2016-2017 (3)'!$R$5:$R$289,$V836)*$AB836))</f>
        <v/>
      </c>
      <c r="AK836" s="2">
        <f t="shared" si="97"/>
        <v>0</v>
      </c>
      <c r="AL836" t="str">
        <f t="shared" ref="AL836:AL899" si="98">IF(A836=D836,"remplir à la main","")</f>
        <v/>
      </c>
      <c r="AM836" t="str">
        <f>VLOOKUP(A836,'Table corresp.'!$M$4:$U$63,8,FALSE)</f>
        <v>Production intermédiaire</v>
      </c>
      <c r="AN836" t="str">
        <f>VLOOKUP(D836,'Table corresp.'!$M$4:$U$63,9,FALSE)</f>
        <v>Exportation</v>
      </c>
    </row>
    <row r="837" spans="1:40" x14ac:dyDescent="0.25">
      <c r="A837" t="s">
        <v>82</v>
      </c>
      <c r="B837" t="str">
        <f>VLOOKUP(LEFT(A837,3),'Table corresp.'!$A$4:$D$63,3,FALSE)</f>
        <v>Transformation</v>
      </c>
      <c r="C837" t="str">
        <f>VLOOKUP(A837,'Table corresp.'!$M$4:$P$63,4,FALSE)</f>
        <v>Production et transformation de produits bois</v>
      </c>
      <c r="D837" t="s">
        <v>13</v>
      </c>
      <c r="E837" t="str">
        <f>VLOOKUP(LEFT(D837,3),'Table corresp.'!$A$4:$D$63,4,FALSE)</f>
        <v>Transformation</v>
      </c>
      <c r="F837" t="str">
        <f t="shared" si="94"/>
        <v xml:space="preserve">10  - 20 </v>
      </c>
      <c r="G837" s="164">
        <v>1717.8928086643814</v>
      </c>
      <c r="H837" s="164">
        <v>1007.1486363555388</v>
      </c>
      <c r="I837" s="164">
        <v>2725.0414447705143</v>
      </c>
      <c r="J837" s="164">
        <v>9.3343391509400888</v>
      </c>
      <c r="K837" s="164">
        <v>3.2424455748836176</v>
      </c>
      <c r="L837" s="164">
        <v>12.576784725823707</v>
      </c>
      <c r="M837" s="164">
        <v>0</v>
      </c>
      <c r="N837" s="164">
        <v>0</v>
      </c>
      <c r="O837" s="164">
        <v>0</v>
      </c>
      <c r="P837" s="164">
        <v>0</v>
      </c>
      <c r="Q837" s="164">
        <v>0</v>
      </c>
      <c r="R837" s="164">
        <v>0</v>
      </c>
      <c r="S837" s="163" t="str">
        <f t="shared" si="95"/>
        <v/>
      </c>
      <c r="T837" s="163">
        <f>VLOOKUP(A837,'Groupe de branches'!$Z$27:$AM$86,14,FALSE)</f>
        <v>0</v>
      </c>
      <c r="U837" s="163">
        <f>VLOOKUP(D837,'Groupe de branches'!$Z$27:$AM$86,14,FALSE)</f>
        <v>0</v>
      </c>
      <c r="V837" s="163">
        <v>2018</v>
      </c>
      <c r="W837">
        <f>VLOOKUP(D837,'Table corresp.'!$M$4:$S$63,7,FALSE)</f>
        <v>0</v>
      </c>
      <c r="X837" s="167">
        <f>IFERROR(G837/SUMIFS('Comp2016-2017 (3)'!$I$5:$I$289,'Comp2016-2017 (3)'!$A$5:$A$289,A837,'Comp2016-2017 (3)'!$R$5:$R$289,V837),0)</f>
        <v>1.7036939333297182E-2</v>
      </c>
      <c r="Y837" s="178">
        <f>IFERROR(IF(RIGHT(F837,3)="Exp",VLOOKUP(F837,#REF!,2,FALSE),VLOOKUP(F837,#REF!,9,FALSE)),1)</f>
        <v>1</v>
      </c>
      <c r="Z837" s="167">
        <f t="shared" si="96"/>
        <v>7.6923076923076927E-2</v>
      </c>
      <c r="AA837" s="189">
        <f t="shared" ref="AA837:AA900" si="99">X837*Z837</f>
        <v>1.3105337948690142E-3</v>
      </c>
      <c r="AB837" s="2">
        <f>IFERROR(SUMIFS('Comp2016-2017 (3)'!$G$5:$G$289,'Comp2016-2017 (3)'!$A$5:$A$289,A837,'Comp2016-2017 (3)'!$R$5:$R$289,V837)*AA837/SUMIFS($AA$4:$AA$1116,$A$4:$A$1116,A837,$V$4:$V$1116,V837),0)</f>
        <v>595.77689423131005</v>
      </c>
      <c r="AC837" s="2">
        <f>IF($W837=AC$3,$AB837,IF(NOT($W837=0),"",SUMIFS('Val-Vol (2)'!AC$4:AC$1116,'Val-Vol (2)'!$A$4:$A$1116,$D837,'Val-Vol (2)'!$V$4:$V$1116,$V837)/SUMIFS('Comp2016-2017 (3)'!$G$5:$G$289,'Comp2016-2017 (3)'!$A$5:$A$289,$D837,'Comp2016-2017 (3)'!$R$5:$R$289,$V837)*$AB837))</f>
        <v>62.670258341082977</v>
      </c>
      <c r="AD837" s="2">
        <f>IF($W837=AD$3,$AB837,IF(NOT($W837=0),"",SUMIFS('Val-Vol (2)'!AD$4:AD$1116,'Val-Vol (2)'!$A$4:$A$1116,$D837,'Val-Vol (2)'!$V$4:$V$1116,$V837)/SUMIFS('Comp2016-2017 (3)'!$G$5:$G$289,'Comp2016-2017 (3)'!$A$5:$A$289,$D837,'Comp2016-2017 (3)'!$R$5:$R$289,$V837)*$AB837))</f>
        <v>326.70423713250318</v>
      </c>
      <c r="AE837" s="2">
        <f>IF($W837=AE$3,$AB837,IF(NOT($W837=0),"",SUMIFS('Val-Vol (2)'!AE$4:AE$1116,'Val-Vol (2)'!$A$4:$A$1116,$D837,'Val-Vol (2)'!$V$4:$V$1116,$V837)/SUMIFS('Comp2016-2017 (3)'!$G$5:$G$289,'Comp2016-2017 (3)'!$A$5:$A$289,$D837,'Comp2016-2017 (3)'!$R$5:$R$289,$V837)*$AB837))</f>
        <v>0</v>
      </c>
      <c r="AF837" s="2">
        <f>IF($W837=AF$3,$AB837,IF(NOT($W837=0),"",SUMIFS('Val-Vol (2)'!AF$4:AF$1116,'Val-Vol (2)'!$A$4:$A$1116,$D837,'Val-Vol (2)'!$V$4:$V$1116,$V837)/SUMIFS('Comp2016-2017 (3)'!$G$5:$G$289,'Comp2016-2017 (3)'!$A$5:$A$289,$D837,'Comp2016-2017 (3)'!$R$5:$R$289,$V837)*$AB837))</f>
        <v>0</v>
      </c>
      <c r="AG837" s="2">
        <f>IF($W837=AG$3,$AB837,IF(NOT($W837=0),"",SUMIFS('Val-Vol (2)'!AG$4:AG$1116,'Val-Vol (2)'!$A$4:$A$1116,$D837,'Val-Vol (2)'!$V$4:$V$1116,$V837)/SUMIFS('Comp2016-2017 (3)'!$G$5:$G$289,'Comp2016-2017 (3)'!$A$5:$A$289,$D837,'Comp2016-2017 (3)'!$R$5:$R$289,$V837)*$AB837))</f>
        <v>0</v>
      </c>
      <c r="AH837" s="2">
        <f>IF($W837=AH$3,$AB837,IF(NOT($W837=0),"",SUMIFS('Val-Vol (2)'!AH$4:AH$1116,'Val-Vol (2)'!$A$4:$A$1116,$D837,'Val-Vol (2)'!$V$4:$V$1116,$V837)/SUMIFS('Comp2016-2017 (3)'!$G$5:$G$289,'Comp2016-2017 (3)'!$A$5:$A$289,$D837,'Comp2016-2017 (3)'!$R$5:$R$289,$V837)*$AB837))</f>
        <v>0</v>
      </c>
      <c r="AI837" s="2">
        <f>IF($W837=AI$3,$AB837,IF(NOT($W837=0),"",SUMIFS('Val-Vol (2)'!AI$4:AI$1116,'Val-Vol (2)'!$A$4:$A$1116,$D837,'Val-Vol (2)'!$V$4:$V$1116,$V837)/SUMIFS('Comp2016-2017 (3)'!$G$5:$G$289,'Comp2016-2017 (3)'!$A$5:$A$289,$D837,'Comp2016-2017 (3)'!$R$5:$R$289,$V837)*$AB837))</f>
        <v>0</v>
      </c>
      <c r="AJ837" s="2">
        <f>IF($W837=AJ$3,$AB837,IF(NOT($W837=0),"",SUMIFS('Val-Vol (2)'!AJ$4:AJ$1116,'Val-Vol (2)'!$A$4:$A$1116,$D837,'Val-Vol (2)'!$V$4:$V$1116,$V837)/SUMIFS('Comp2016-2017 (3)'!$G$5:$G$289,'Comp2016-2017 (3)'!$A$5:$A$289,$D837,'Comp2016-2017 (3)'!$R$5:$R$289,$V837)*$AB837))</f>
        <v>206.40239875772377</v>
      </c>
      <c r="AK837" s="2">
        <f t="shared" si="97"/>
        <v>0</v>
      </c>
      <c r="AL837" t="str">
        <f t="shared" si="98"/>
        <v/>
      </c>
      <c r="AM837" t="str">
        <f>VLOOKUP(A837,'Table corresp.'!$M$4:$U$63,8,FALSE)</f>
        <v>Production intermédiaire</v>
      </c>
      <c r="AN837" t="str">
        <f>VLOOKUP(D837,'Table corresp.'!$M$4:$U$63,9,FALSE)</f>
        <v>Production intermédiaire</v>
      </c>
    </row>
    <row r="838" spans="1:40" x14ac:dyDescent="0.25">
      <c r="A838" t="s">
        <v>82</v>
      </c>
      <c r="B838" t="str">
        <f>VLOOKUP(LEFT(A838,3),'Table corresp.'!$A$4:$D$63,3,FALSE)</f>
        <v>Transformation</v>
      </c>
      <c r="C838" t="str">
        <f>VLOOKUP(A838,'Table corresp.'!$M$4:$P$63,4,FALSE)</f>
        <v>Production et transformation de produits bois</v>
      </c>
      <c r="D838" t="s">
        <v>89</v>
      </c>
      <c r="E838" t="str">
        <f>VLOOKUP(LEFT(D838,3),'Table corresp.'!$A$4:$D$63,4,FALSE)</f>
        <v>Transformation</v>
      </c>
      <c r="F838" t="str">
        <f t="shared" si="94"/>
        <v xml:space="preserve">10  - 33 </v>
      </c>
      <c r="G838" s="164">
        <v>373.94465789243759</v>
      </c>
      <c r="H838" s="164">
        <v>784.78772918159348</v>
      </c>
      <c r="I838" s="164">
        <v>1158.7323868414553</v>
      </c>
      <c r="J838" s="164">
        <v>2.0446440185810464</v>
      </c>
      <c r="K838" s="164">
        <v>2.542460346935477</v>
      </c>
      <c r="L838" s="164">
        <v>4.5871043655165238</v>
      </c>
      <c r="M838" s="164">
        <v>0</v>
      </c>
      <c r="N838" s="164">
        <v>0</v>
      </c>
      <c r="O838" s="164">
        <v>0</v>
      </c>
      <c r="P838" s="164">
        <v>0</v>
      </c>
      <c r="Q838" s="164">
        <v>0</v>
      </c>
      <c r="R838" s="164">
        <v>0</v>
      </c>
      <c r="S838" s="163" t="str">
        <f t="shared" si="95"/>
        <v/>
      </c>
      <c r="T838" s="163">
        <f>VLOOKUP(A838,'Groupe de branches'!$Z$27:$AM$86,14,FALSE)</f>
        <v>0</v>
      </c>
      <c r="U838" s="163">
        <f>VLOOKUP(D838,'Groupe de branches'!$Z$27:$AM$86,14,FALSE)</f>
        <v>0</v>
      </c>
      <c r="V838" s="163">
        <v>2018</v>
      </c>
      <c r="W838" t="str">
        <f>VLOOKUP(D838,'Table corresp.'!$M$4:$S$63,7,FALSE)</f>
        <v>Construction</v>
      </c>
      <c r="X838" s="167">
        <f>IFERROR(G838/SUMIFS('Comp2016-2017 (3)'!$I$5:$I$289,'Comp2016-2017 (3)'!$A$5:$A$289,A838,'Comp2016-2017 (3)'!$R$5:$R$289,V838),0)</f>
        <v>3.7085389835686093E-3</v>
      </c>
      <c r="Y838" s="178">
        <f>IFERROR(IF(RIGHT(F838,3)="Exp",VLOOKUP(F838,#REF!,2,FALSE),VLOOKUP(F838,#REF!,9,FALSE)),1)</f>
        <v>1</v>
      </c>
      <c r="Z838" s="167">
        <f t="shared" si="96"/>
        <v>7.6923076923076927E-2</v>
      </c>
      <c r="AA838" s="189">
        <f t="shared" si="99"/>
        <v>2.8527222950527767E-4</v>
      </c>
      <c r="AB838" s="2">
        <f>IFERROR(SUMIFS('Comp2016-2017 (3)'!$G$5:$G$289,'Comp2016-2017 (3)'!$A$5:$A$289,A838,'Comp2016-2017 (3)'!$R$5:$R$289,V838)*AA838/SUMIFS($AA$4:$AA$1116,$A$4:$A$1116,A838,$V$4:$V$1116,V838),0)</f>
        <v>129.68654724549313</v>
      </c>
      <c r="AC838" s="2" t="str">
        <f>IF($W838=AC$3,$AB838,IF(NOT($W838=0),"",SUMIFS('Val-Vol (2)'!AC$4:AC$1116,'Val-Vol (2)'!$A$4:$A$1116,$D838,'Val-Vol (2)'!$V$4:$V$1116,$V838)/SUMIFS('Comp2016-2017 (3)'!$G$5:$G$289,'Comp2016-2017 (3)'!$A$5:$A$289,$D838,'Comp2016-2017 (3)'!$R$5:$R$289,$V838)*$AB838))</f>
        <v/>
      </c>
      <c r="AD838" s="2">
        <f>IF($W838=AD$3,$AB838,IF(NOT($W838=0),"",SUMIFS('Val-Vol (2)'!AD$4:AD$1116,'Val-Vol (2)'!$A$4:$A$1116,$D838,'Val-Vol (2)'!$V$4:$V$1116,$V838)/SUMIFS('Comp2016-2017 (3)'!$G$5:$G$289,'Comp2016-2017 (3)'!$A$5:$A$289,$D838,'Comp2016-2017 (3)'!$R$5:$R$289,$V838)*$AB838))</f>
        <v>129.68654724549313</v>
      </c>
      <c r="AE838" s="2" t="str">
        <f>IF($W838=AE$3,$AB838,IF(NOT($W838=0),"",SUMIFS('Val-Vol (2)'!AE$4:AE$1116,'Val-Vol (2)'!$A$4:$A$1116,$D838,'Val-Vol (2)'!$V$4:$V$1116,$V838)/SUMIFS('Comp2016-2017 (3)'!$G$5:$G$289,'Comp2016-2017 (3)'!$A$5:$A$289,$D838,'Comp2016-2017 (3)'!$R$5:$R$289,$V838)*$AB838))</f>
        <v/>
      </c>
      <c r="AF838" s="2" t="str">
        <f>IF($W838=AF$3,$AB838,IF(NOT($W838=0),"",SUMIFS('Val-Vol (2)'!AF$4:AF$1116,'Val-Vol (2)'!$A$4:$A$1116,$D838,'Val-Vol (2)'!$V$4:$V$1116,$V838)/SUMIFS('Comp2016-2017 (3)'!$G$5:$G$289,'Comp2016-2017 (3)'!$A$5:$A$289,$D838,'Comp2016-2017 (3)'!$R$5:$R$289,$V838)*$AB838))</f>
        <v/>
      </c>
      <c r="AG838" s="2" t="str">
        <f>IF($W838=AG$3,$AB838,IF(NOT($W838=0),"",SUMIFS('Val-Vol (2)'!AG$4:AG$1116,'Val-Vol (2)'!$A$4:$A$1116,$D838,'Val-Vol (2)'!$V$4:$V$1116,$V838)/SUMIFS('Comp2016-2017 (3)'!$G$5:$G$289,'Comp2016-2017 (3)'!$A$5:$A$289,$D838,'Comp2016-2017 (3)'!$R$5:$R$289,$V838)*$AB838))</f>
        <v/>
      </c>
      <c r="AH838" s="2" t="str">
        <f>IF($W838=AH$3,$AB838,IF(NOT($W838=0),"",SUMIFS('Val-Vol (2)'!AH$4:AH$1116,'Val-Vol (2)'!$A$4:$A$1116,$D838,'Val-Vol (2)'!$V$4:$V$1116,$V838)/SUMIFS('Comp2016-2017 (3)'!$G$5:$G$289,'Comp2016-2017 (3)'!$A$5:$A$289,$D838,'Comp2016-2017 (3)'!$R$5:$R$289,$V838)*$AB838))</f>
        <v/>
      </c>
      <c r="AI838" s="2" t="str">
        <f>IF($W838=AI$3,$AB838,IF(NOT($W838=0),"",SUMIFS('Val-Vol (2)'!AI$4:AI$1116,'Val-Vol (2)'!$A$4:$A$1116,$D838,'Val-Vol (2)'!$V$4:$V$1116,$V838)/SUMIFS('Comp2016-2017 (3)'!$G$5:$G$289,'Comp2016-2017 (3)'!$A$5:$A$289,$D838,'Comp2016-2017 (3)'!$R$5:$R$289,$V838)*$AB838))</f>
        <v/>
      </c>
      <c r="AJ838" s="2" t="str">
        <f>IF($W838=AJ$3,$AB838,IF(NOT($W838=0),"",SUMIFS('Val-Vol (2)'!AJ$4:AJ$1116,'Val-Vol (2)'!$A$4:$A$1116,$D838,'Val-Vol (2)'!$V$4:$V$1116,$V838)/SUMIFS('Comp2016-2017 (3)'!$G$5:$G$289,'Comp2016-2017 (3)'!$A$5:$A$289,$D838,'Comp2016-2017 (3)'!$R$5:$R$289,$V838)*$AB838))</f>
        <v/>
      </c>
      <c r="AK838" s="2">
        <f t="shared" si="97"/>
        <v>0</v>
      </c>
      <c r="AL838" t="str">
        <f t="shared" si="98"/>
        <v/>
      </c>
      <c r="AM838" t="str">
        <f>VLOOKUP(A838,'Table corresp.'!$M$4:$U$63,8,FALSE)</f>
        <v>Production intermédiaire</v>
      </c>
      <c r="AN838" t="str">
        <f>VLOOKUP(D838,'Table corresp.'!$M$4:$U$63,9,FALSE)</f>
        <v>Production finale</v>
      </c>
    </row>
    <row r="839" spans="1:40" x14ac:dyDescent="0.25">
      <c r="A839" t="s">
        <v>82</v>
      </c>
      <c r="B839" t="str">
        <f>VLOOKUP(LEFT(A839,3),'Table corresp.'!$A$4:$D$63,3,FALSE)</f>
        <v>Transformation</v>
      </c>
      <c r="C839" t="str">
        <f>VLOOKUP(A839,'Table corresp.'!$M$4:$P$63,4,FALSE)</f>
        <v>Production et transformation de produits bois</v>
      </c>
      <c r="D839" t="s">
        <v>91</v>
      </c>
      <c r="E839" t="str">
        <f>VLOOKUP(LEFT(D839,3),'Table corresp.'!$A$4:$D$63,4,FALSE)</f>
        <v>Transformation</v>
      </c>
      <c r="F839" t="str">
        <f t="shared" si="94"/>
        <v xml:space="preserve">10  - 37 </v>
      </c>
      <c r="G839" s="164">
        <v>19749.401893935246</v>
      </c>
      <c r="H839" s="164">
        <v>0</v>
      </c>
      <c r="I839" s="164">
        <v>19749.401894718008</v>
      </c>
      <c r="J839" s="164">
        <v>264.14846321053886</v>
      </c>
      <c r="K839" s="164">
        <v>0</v>
      </c>
      <c r="L839" s="164">
        <v>264.14846321053886</v>
      </c>
      <c r="M839" s="164">
        <v>0</v>
      </c>
      <c r="N839" s="164">
        <v>0</v>
      </c>
      <c r="O839" s="164">
        <v>0</v>
      </c>
      <c r="P839" s="164">
        <v>0</v>
      </c>
      <c r="Q839" s="164">
        <v>0</v>
      </c>
      <c r="R839" s="164">
        <v>0</v>
      </c>
      <c r="S839" s="163" t="str">
        <f t="shared" si="95"/>
        <v/>
      </c>
      <c r="T839" s="163">
        <f>VLOOKUP(A839,'Groupe de branches'!$Z$27:$AM$86,14,FALSE)</f>
        <v>0</v>
      </c>
      <c r="U839" s="163">
        <f>VLOOKUP(D839,'Groupe de branches'!$Z$27:$AM$86,14,FALSE)</f>
        <v>0</v>
      </c>
      <c r="V839" s="163">
        <v>2018</v>
      </c>
      <c r="W839" t="str">
        <f>VLOOKUP(D839,'Table corresp.'!$M$4:$S$63,7,FALSE)</f>
        <v>Emballage bois et carton</v>
      </c>
      <c r="X839" s="167">
        <f>IFERROR(G839/SUMIFS('Comp2016-2017 (3)'!$I$5:$I$289,'Comp2016-2017 (3)'!$A$5:$A$289,A839,'Comp2016-2017 (3)'!$R$5:$R$289,V839),0)</f>
        <v>0.19586167439485108</v>
      </c>
      <c r="Y839" s="178">
        <f>IFERROR(IF(RIGHT(F839,3)="Exp",VLOOKUP(F839,#REF!,2,FALSE),VLOOKUP(F839,#REF!,9,FALSE)),1)</f>
        <v>1</v>
      </c>
      <c r="Z839" s="167">
        <f t="shared" si="96"/>
        <v>7.6923076923076927E-2</v>
      </c>
      <c r="AA839" s="189">
        <f t="shared" si="99"/>
        <v>1.5066282645757776E-2</v>
      </c>
      <c r="AB839" s="2">
        <f>IFERROR(SUMIFS('Comp2016-2017 (3)'!$G$5:$G$289,'Comp2016-2017 (3)'!$A$5:$A$289,A839,'Comp2016-2017 (3)'!$R$5:$R$289,V839)*AA839/SUMIFS($AA$4:$AA$1116,$A$4:$A$1116,A839,$V$4:$V$1116,V839),0)</f>
        <v>6849.2267177267295</v>
      </c>
      <c r="AC839" s="2" t="str">
        <f>IF($W839=AC$3,$AB839,IF(NOT($W839=0),"",SUMIFS('Val-Vol (2)'!AC$4:AC$1116,'Val-Vol (2)'!$A$4:$A$1116,$D839,'Val-Vol (2)'!$V$4:$V$1116,$V839)/SUMIFS('Comp2016-2017 (3)'!$G$5:$G$289,'Comp2016-2017 (3)'!$A$5:$A$289,$D839,'Comp2016-2017 (3)'!$R$5:$R$289,$V839)*$AB839))</f>
        <v/>
      </c>
      <c r="AD839" s="2" t="str">
        <f>IF($W839=AD$3,$AB839,IF(NOT($W839=0),"",SUMIFS('Val-Vol (2)'!AD$4:AD$1116,'Val-Vol (2)'!$A$4:$A$1116,$D839,'Val-Vol (2)'!$V$4:$V$1116,$V839)/SUMIFS('Comp2016-2017 (3)'!$G$5:$G$289,'Comp2016-2017 (3)'!$A$5:$A$289,$D839,'Comp2016-2017 (3)'!$R$5:$R$289,$V839)*$AB839))</f>
        <v/>
      </c>
      <c r="AE839" s="2" t="str">
        <f>IF($W839=AE$3,$AB839,IF(NOT($W839=0),"",SUMIFS('Val-Vol (2)'!AE$4:AE$1116,'Val-Vol (2)'!$A$4:$A$1116,$D839,'Val-Vol (2)'!$V$4:$V$1116,$V839)/SUMIFS('Comp2016-2017 (3)'!$G$5:$G$289,'Comp2016-2017 (3)'!$A$5:$A$289,$D839,'Comp2016-2017 (3)'!$R$5:$R$289,$V839)*$AB839))</f>
        <v/>
      </c>
      <c r="AF839" s="2" t="str">
        <f>IF($W839=AF$3,$AB839,IF(NOT($W839=0),"",SUMIFS('Val-Vol (2)'!AF$4:AF$1116,'Val-Vol (2)'!$A$4:$A$1116,$D839,'Val-Vol (2)'!$V$4:$V$1116,$V839)/SUMIFS('Comp2016-2017 (3)'!$G$5:$G$289,'Comp2016-2017 (3)'!$A$5:$A$289,$D839,'Comp2016-2017 (3)'!$R$5:$R$289,$V839)*$AB839))</f>
        <v/>
      </c>
      <c r="AG839" s="2">
        <f>IF($W839=AG$3,$AB839,IF(NOT($W839=0),"",SUMIFS('Val-Vol (2)'!AG$4:AG$1116,'Val-Vol (2)'!$A$4:$A$1116,$D839,'Val-Vol (2)'!$V$4:$V$1116,$V839)/SUMIFS('Comp2016-2017 (3)'!$G$5:$G$289,'Comp2016-2017 (3)'!$A$5:$A$289,$D839,'Comp2016-2017 (3)'!$R$5:$R$289,$V839)*$AB839))</f>
        <v>6849.2267177267295</v>
      </c>
      <c r="AH839" s="2" t="str">
        <f>IF($W839=AH$3,$AB839,IF(NOT($W839=0),"",SUMIFS('Val-Vol (2)'!AH$4:AH$1116,'Val-Vol (2)'!$A$4:$A$1116,$D839,'Val-Vol (2)'!$V$4:$V$1116,$V839)/SUMIFS('Comp2016-2017 (3)'!$G$5:$G$289,'Comp2016-2017 (3)'!$A$5:$A$289,$D839,'Comp2016-2017 (3)'!$R$5:$R$289,$V839)*$AB839))</f>
        <v/>
      </c>
      <c r="AI839" s="2" t="str">
        <f>IF($W839=AI$3,$AB839,IF(NOT($W839=0),"",SUMIFS('Val-Vol (2)'!AI$4:AI$1116,'Val-Vol (2)'!$A$4:$A$1116,$D839,'Val-Vol (2)'!$V$4:$V$1116,$V839)/SUMIFS('Comp2016-2017 (3)'!$G$5:$G$289,'Comp2016-2017 (3)'!$A$5:$A$289,$D839,'Comp2016-2017 (3)'!$R$5:$R$289,$V839)*$AB839))</f>
        <v/>
      </c>
      <c r="AJ839" s="2" t="str">
        <f>IF($W839=AJ$3,$AB839,IF(NOT($W839=0),"",SUMIFS('Val-Vol (2)'!AJ$4:AJ$1116,'Val-Vol (2)'!$A$4:$A$1116,$D839,'Val-Vol (2)'!$V$4:$V$1116,$V839)/SUMIFS('Comp2016-2017 (3)'!$G$5:$G$289,'Comp2016-2017 (3)'!$A$5:$A$289,$D839,'Comp2016-2017 (3)'!$R$5:$R$289,$V839)*$AB839))</f>
        <v/>
      </c>
      <c r="AK839" s="2">
        <f t="shared" si="97"/>
        <v>0</v>
      </c>
      <c r="AL839" t="str">
        <f t="shared" si="98"/>
        <v/>
      </c>
      <c r="AM839" t="str">
        <f>VLOOKUP(A839,'Table corresp.'!$M$4:$U$63,8,FALSE)</f>
        <v>Production intermédiaire</v>
      </c>
      <c r="AN839" t="str">
        <f>VLOOKUP(D839,'Table corresp.'!$M$4:$U$63,9,FALSE)</f>
        <v>Production finale</v>
      </c>
    </row>
    <row r="840" spans="1:40" x14ac:dyDescent="0.25">
      <c r="A840" t="s">
        <v>82</v>
      </c>
      <c r="B840" t="str">
        <f>VLOOKUP(LEFT(A840,3),'Table corresp.'!$A$4:$D$63,3,FALSE)</f>
        <v>Transformation</v>
      </c>
      <c r="C840" t="str">
        <f>VLOOKUP(A840,'Table corresp.'!$M$4:$P$63,4,FALSE)</f>
        <v>Production et transformation de produits bois</v>
      </c>
      <c r="D840" t="s">
        <v>92</v>
      </c>
      <c r="E840" t="str">
        <f>VLOOKUP(LEFT(D840,3),'Table corresp.'!$A$4:$D$63,4,FALSE)</f>
        <v>Transformation</v>
      </c>
      <c r="F840" t="str">
        <f t="shared" si="94"/>
        <v xml:space="preserve">10  - 40 </v>
      </c>
      <c r="G840" s="164">
        <v>7840.5753517935682</v>
      </c>
      <c r="H840" s="164">
        <v>0</v>
      </c>
      <c r="I840" s="164">
        <v>7840.5753521043271</v>
      </c>
      <c r="J840" s="164">
        <v>61.967324453237509</v>
      </c>
      <c r="K840" s="164">
        <v>0</v>
      </c>
      <c r="L840" s="164">
        <v>61.967324453237509</v>
      </c>
      <c r="M840" s="164">
        <v>0</v>
      </c>
      <c r="N840" s="164">
        <v>0</v>
      </c>
      <c r="O840" s="164">
        <v>0</v>
      </c>
      <c r="P840" s="164">
        <v>0</v>
      </c>
      <c r="Q840" s="164">
        <v>0</v>
      </c>
      <c r="R840" s="164">
        <v>0</v>
      </c>
      <c r="S840" s="163" t="str">
        <f t="shared" si="95"/>
        <v/>
      </c>
      <c r="T840" s="163">
        <f>VLOOKUP(A840,'Groupe de branches'!$Z$27:$AM$86,14,FALSE)</f>
        <v>0</v>
      </c>
      <c r="U840" s="163">
        <f>VLOOKUP(D840,'Groupe de branches'!$Z$27:$AM$86,14,FALSE)</f>
        <v>0</v>
      </c>
      <c r="V840" s="163">
        <v>2018</v>
      </c>
      <c r="W840" t="str">
        <f>VLOOKUP(D840,'Table corresp.'!$M$4:$S$63,7,FALSE)</f>
        <v>Construction</v>
      </c>
      <c r="X840" s="167">
        <f>IFERROR(G840/SUMIFS('Comp2016-2017 (3)'!$I$5:$I$289,'Comp2016-2017 (3)'!$A$5:$A$289,A840,'Comp2016-2017 (3)'!$R$5:$R$289,V840),0)</f>
        <v>7.7757707543177207E-2</v>
      </c>
      <c r="Y840" s="178">
        <f>IFERROR(IF(RIGHT(F840,3)="Exp",VLOOKUP(F840,#REF!,2,FALSE),VLOOKUP(F840,#REF!,9,FALSE)),1)</f>
        <v>1</v>
      </c>
      <c r="Z840" s="167">
        <f t="shared" si="96"/>
        <v>7.6923076923076927E-2</v>
      </c>
      <c r="AA840" s="189">
        <f t="shared" si="99"/>
        <v>5.9813621187059397E-3</v>
      </c>
      <c r="AB840" s="2">
        <f>IFERROR(SUMIFS('Comp2016-2017 (3)'!$G$5:$G$289,'Comp2016-2017 (3)'!$A$5:$A$289,A840,'Comp2016-2017 (3)'!$R$5:$R$289,V840)*AA840/SUMIFS($AA$4:$AA$1116,$A$4:$A$1116,A840,$V$4:$V$1116,V840),0)</f>
        <v>2719.1647863698208</v>
      </c>
      <c r="AC840" s="2" t="str">
        <f>IF($W840=AC$3,$AB840,IF(NOT($W840=0),"",SUMIFS('Val-Vol (2)'!AC$4:AC$1116,'Val-Vol (2)'!$A$4:$A$1116,$D840,'Val-Vol (2)'!$V$4:$V$1116,$V840)/SUMIFS('Comp2016-2017 (3)'!$G$5:$G$289,'Comp2016-2017 (3)'!$A$5:$A$289,$D840,'Comp2016-2017 (3)'!$R$5:$R$289,$V840)*$AB840))</f>
        <v/>
      </c>
      <c r="AD840" s="2">
        <f>IF($W840=AD$3,$AB840,IF(NOT($W840=0),"",SUMIFS('Val-Vol (2)'!AD$4:AD$1116,'Val-Vol (2)'!$A$4:$A$1116,$D840,'Val-Vol (2)'!$V$4:$V$1116,$V840)/SUMIFS('Comp2016-2017 (3)'!$G$5:$G$289,'Comp2016-2017 (3)'!$A$5:$A$289,$D840,'Comp2016-2017 (3)'!$R$5:$R$289,$V840)*$AB840))</f>
        <v>2719.1647863698208</v>
      </c>
      <c r="AE840" s="2" t="str">
        <f>IF($W840=AE$3,$AB840,IF(NOT($W840=0),"",SUMIFS('Val-Vol (2)'!AE$4:AE$1116,'Val-Vol (2)'!$A$4:$A$1116,$D840,'Val-Vol (2)'!$V$4:$V$1116,$V840)/SUMIFS('Comp2016-2017 (3)'!$G$5:$G$289,'Comp2016-2017 (3)'!$A$5:$A$289,$D840,'Comp2016-2017 (3)'!$R$5:$R$289,$V840)*$AB840))</f>
        <v/>
      </c>
      <c r="AF840" s="2" t="str">
        <f>IF($W840=AF$3,$AB840,IF(NOT($W840=0),"",SUMIFS('Val-Vol (2)'!AF$4:AF$1116,'Val-Vol (2)'!$A$4:$A$1116,$D840,'Val-Vol (2)'!$V$4:$V$1116,$V840)/SUMIFS('Comp2016-2017 (3)'!$G$5:$G$289,'Comp2016-2017 (3)'!$A$5:$A$289,$D840,'Comp2016-2017 (3)'!$R$5:$R$289,$V840)*$AB840))</f>
        <v/>
      </c>
      <c r="AG840" s="2" t="str">
        <f>IF($W840=AG$3,$AB840,IF(NOT($W840=0),"",SUMIFS('Val-Vol (2)'!AG$4:AG$1116,'Val-Vol (2)'!$A$4:$A$1116,$D840,'Val-Vol (2)'!$V$4:$V$1116,$V840)/SUMIFS('Comp2016-2017 (3)'!$G$5:$G$289,'Comp2016-2017 (3)'!$A$5:$A$289,$D840,'Comp2016-2017 (3)'!$R$5:$R$289,$V840)*$AB840))</f>
        <v/>
      </c>
      <c r="AH840" s="2" t="str">
        <f>IF($W840=AH$3,$AB840,IF(NOT($W840=0),"",SUMIFS('Val-Vol (2)'!AH$4:AH$1116,'Val-Vol (2)'!$A$4:$A$1116,$D840,'Val-Vol (2)'!$V$4:$V$1116,$V840)/SUMIFS('Comp2016-2017 (3)'!$G$5:$G$289,'Comp2016-2017 (3)'!$A$5:$A$289,$D840,'Comp2016-2017 (3)'!$R$5:$R$289,$V840)*$AB840))</f>
        <v/>
      </c>
      <c r="AI840" s="2" t="str">
        <f>IF($W840=AI$3,$AB840,IF(NOT($W840=0),"",SUMIFS('Val-Vol (2)'!AI$4:AI$1116,'Val-Vol (2)'!$A$4:$A$1116,$D840,'Val-Vol (2)'!$V$4:$V$1116,$V840)/SUMIFS('Comp2016-2017 (3)'!$G$5:$G$289,'Comp2016-2017 (3)'!$A$5:$A$289,$D840,'Comp2016-2017 (3)'!$R$5:$R$289,$V840)*$AB840))</f>
        <v/>
      </c>
      <c r="AJ840" s="2" t="str">
        <f>IF($W840=AJ$3,$AB840,IF(NOT($W840=0),"",SUMIFS('Val-Vol (2)'!AJ$4:AJ$1116,'Val-Vol (2)'!$A$4:$A$1116,$D840,'Val-Vol (2)'!$V$4:$V$1116,$V840)/SUMIFS('Comp2016-2017 (3)'!$G$5:$G$289,'Comp2016-2017 (3)'!$A$5:$A$289,$D840,'Comp2016-2017 (3)'!$R$5:$R$289,$V840)*$AB840))</f>
        <v/>
      </c>
      <c r="AK840" s="2">
        <f t="shared" si="97"/>
        <v>0</v>
      </c>
      <c r="AL840" t="str">
        <f t="shared" si="98"/>
        <v/>
      </c>
      <c r="AM840" t="str">
        <f>VLOOKUP(A840,'Table corresp.'!$M$4:$U$63,8,FALSE)</f>
        <v>Production intermédiaire</v>
      </c>
      <c r="AN840" t="str">
        <f>VLOOKUP(D840,'Table corresp.'!$M$4:$U$63,9,FALSE)</f>
        <v>Production finale</v>
      </c>
    </row>
    <row r="841" spans="1:40" x14ac:dyDescent="0.25">
      <c r="A841" t="s">
        <v>82</v>
      </c>
      <c r="B841" t="str">
        <f>VLOOKUP(LEFT(A841,3),'Table corresp.'!$A$4:$D$63,3,FALSE)</f>
        <v>Transformation</v>
      </c>
      <c r="C841" t="str">
        <f>VLOOKUP(A841,'Table corresp.'!$M$4:$P$63,4,FALSE)</f>
        <v>Production et transformation de produits bois</v>
      </c>
      <c r="D841" t="s">
        <v>93</v>
      </c>
      <c r="E841" t="str">
        <f>VLOOKUP(LEFT(D841,3),'Table corresp.'!$A$4:$D$63,4,FALSE)</f>
        <v>Transformation</v>
      </c>
      <c r="F841" t="str">
        <f t="shared" si="94"/>
        <v xml:space="preserve">10  - 41 </v>
      </c>
      <c r="G841" s="164">
        <v>12819.30800654719</v>
      </c>
      <c r="H841" s="164">
        <v>1699.8341635807401</v>
      </c>
      <c r="I841" s="164">
        <v>14519.142170100164</v>
      </c>
      <c r="J841" s="164">
        <v>89.158359038901409</v>
      </c>
      <c r="K841" s="164">
        <v>7.0047985375364501</v>
      </c>
      <c r="L841" s="164">
        <v>96.163157576437854</v>
      </c>
      <c r="M841" s="164">
        <v>0</v>
      </c>
      <c r="N841" s="164">
        <v>0</v>
      </c>
      <c r="O841" s="164">
        <v>0</v>
      </c>
      <c r="P841" s="164">
        <v>0</v>
      </c>
      <c r="Q841" s="164">
        <v>0</v>
      </c>
      <c r="R841" s="164">
        <v>0</v>
      </c>
      <c r="S841" s="163" t="str">
        <f t="shared" si="95"/>
        <v/>
      </c>
      <c r="T841" s="163">
        <f>VLOOKUP(A841,'Groupe de branches'!$Z$27:$AM$86,14,FALSE)</f>
        <v>0</v>
      </c>
      <c r="U841" s="163">
        <f>VLOOKUP(D841,'Groupe de branches'!$Z$27:$AM$86,14,FALSE)</f>
        <v>0</v>
      </c>
      <c r="V841" s="163">
        <v>2018</v>
      </c>
      <c r="W841" t="str">
        <f>VLOOKUP(D841,'Table corresp.'!$M$4:$S$63,7,FALSE)</f>
        <v>Produits de consommation courante</v>
      </c>
      <c r="X841" s="167">
        <f>IFERROR(G841/SUMIFS('Comp2016-2017 (3)'!$I$5:$I$289,'Comp2016-2017 (3)'!$A$5:$A$289,A841,'Comp2016-2017 (3)'!$R$5:$R$289,V841),0)</f>
        <v>0.12713352759896424</v>
      </c>
      <c r="Y841" s="178">
        <f>IFERROR(IF(RIGHT(F841,3)="Exp",VLOOKUP(F841,#REF!,2,FALSE),VLOOKUP(F841,#REF!,9,FALSE)),1)</f>
        <v>1</v>
      </c>
      <c r="Z841" s="167">
        <f t="shared" si="96"/>
        <v>7.6923076923076927E-2</v>
      </c>
      <c r="AA841" s="189">
        <f t="shared" si="99"/>
        <v>9.7795021229972502E-3</v>
      </c>
      <c r="AB841" s="2">
        <f>IFERROR(SUMIFS('Comp2016-2017 (3)'!$G$5:$G$289,'Comp2016-2017 (3)'!$A$5:$A$289,A841,'Comp2016-2017 (3)'!$R$5:$R$289,V841)*AA841/SUMIFS($AA$4:$AA$1116,$A$4:$A$1116,A841,$V$4:$V$1116,V841),0)</f>
        <v>4445.823087339877</v>
      </c>
      <c r="AC841" s="2" t="str">
        <f>IF($W841=AC$3,$AB841,IF(NOT($W841=0),"",SUMIFS('Val-Vol (2)'!AC$4:AC$1116,'Val-Vol (2)'!$A$4:$A$1116,$D841,'Val-Vol (2)'!$V$4:$V$1116,$V841)/SUMIFS('Comp2016-2017 (3)'!$G$5:$G$289,'Comp2016-2017 (3)'!$A$5:$A$289,$D841,'Comp2016-2017 (3)'!$R$5:$R$289,$V841)*$AB841))</f>
        <v/>
      </c>
      <c r="AD841" s="2" t="str">
        <f>IF($W841=AD$3,$AB841,IF(NOT($W841=0),"",SUMIFS('Val-Vol (2)'!AD$4:AD$1116,'Val-Vol (2)'!$A$4:$A$1116,$D841,'Val-Vol (2)'!$V$4:$V$1116,$V841)/SUMIFS('Comp2016-2017 (3)'!$G$5:$G$289,'Comp2016-2017 (3)'!$A$5:$A$289,$D841,'Comp2016-2017 (3)'!$R$5:$R$289,$V841)*$AB841))</f>
        <v/>
      </c>
      <c r="AE841" s="2" t="str">
        <f>IF($W841=AE$3,$AB841,IF(NOT($W841=0),"",SUMIFS('Val-Vol (2)'!AE$4:AE$1116,'Val-Vol (2)'!$A$4:$A$1116,$D841,'Val-Vol (2)'!$V$4:$V$1116,$V841)/SUMIFS('Comp2016-2017 (3)'!$G$5:$G$289,'Comp2016-2017 (3)'!$A$5:$A$289,$D841,'Comp2016-2017 (3)'!$R$5:$R$289,$V841)*$AB841))</f>
        <v/>
      </c>
      <c r="AF841" s="2" t="str">
        <f>IF($W841=AF$3,$AB841,IF(NOT($W841=0),"",SUMIFS('Val-Vol (2)'!AF$4:AF$1116,'Val-Vol (2)'!$A$4:$A$1116,$D841,'Val-Vol (2)'!$V$4:$V$1116,$V841)/SUMIFS('Comp2016-2017 (3)'!$G$5:$G$289,'Comp2016-2017 (3)'!$A$5:$A$289,$D841,'Comp2016-2017 (3)'!$R$5:$R$289,$V841)*$AB841))</f>
        <v/>
      </c>
      <c r="AG841" s="2" t="str">
        <f>IF($W841=AG$3,$AB841,IF(NOT($W841=0),"",SUMIFS('Val-Vol (2)'!AG$4:AG$1116,'Val-Vol (2)'!$A$4:$A$1116,$D841,'Val-Vol (2)'!$V$4:$V$1116,$V841)/SUMIFS('Comp2016-2017 (3)'!$G$5:$G$289,'Comp2016-2017 (3)'!$A$5:$A$289,$D841,'Comp2016-2017 (3)'!$R$5:$R$289,$V841)*$AB841))</f>
        <v/>
      </c>
      <c r="AH841" s="2" t="str">
        <f>IF($W841=AH$3,$AB841,IF(NOT($W841=0),"",SUMIFS('Val-Vol (2)'!AH$4:AH$1116,'Val-Vol (2)'!$A$4:$A$1116,$D841,'Val-Vol (2)'!$V$4:$V$1116,$V841)/SUMIFS('Comp2016-2017 (3)'!$G$5:$G$289,'Comp2016-2017 (3)'!$A$5:$A$289,$D841,'Comp2016-2017 (3)'!$R$5:$R$289,$V841)*$AB841))</f>
        <v/>
      </c>
      <c r="AI841" s="2">
        <f>IF($W841=AI$3,$AB841,IF(NOT($W841=0),"",SUMIFS('Val-Vol (2)'!AI$4:AI$1116,'Val-Vol (2)'!$A$4:$A$1116,$D841,'Val-Vol (2)'!$V$4:$V$1116,$V841)/SUMIFS('Comp2016-2017 (3)'!$G$5:$G$289,'Comp2016-2017 (3)'!$A$5:$A$289,$D841,'Comp2016-2017 (3)'!$R$5:$R$289,$V841)*$AB841))</f>
        <v>4445.823087339877</v>
      </c>
      <c r="AJ841" s="2" t="str">
        <f>IF($W841=AJ$3,$AB841,IF(NOT($W841=0),"",SUMIFS('Val-Vol (2)'!AJ$4:AJ$1116,'Val-Vol (2)'!$A$4:$A$1116,$D841,'Val-Vol (2)'!$V$4:$V$1116,$V841)/SUMIFS('Comp2016-2017 (3)'!$G$5:$G$289,'Comp2016-2017 (3)'!$A$5:$A$289,$D841,'Comp2016-2017 (3)'!$R$5:$R$289,$V841)*$AB841))</f>
        <v/>
      </c>
      <c r="AK841" s="2">
        <f t="shared" si="97"/>
        <v>0</v>
      </c>
      <c r="AL841" t="str">
        <f t="shared" si="98"/>
        <v/>
      </c>
      <c r="AM841" t="str">
        <f>VLOOKUP(A841,'Table corresp.'!$M$4:$U$63,8,FALSE)</f>
        <v>Production intermédiaire</v>
      </c>
      <c r="AN841" t="str">
        <f>VLOOKUP(D841,'Table corresp.'!$M$4:$U$63,9,FALSE)</f>
        <v>Production finale</v>
      </c>
    </row>
    <row r="842" spans="1:40" x14ac:dyDescent="0.25">
      <c r="A842" t="s">
        <v>82</v>
      </c>
      <c r="B842" t="str">
        <f>VLOOKUP(LEFT(A842,3),'Table corresp.'!$A$4:$D$63,3,FALSE)</f>
        <v>Transformation</v>
      </c>
      <c r="C842" t="str">
        <f>VLOOKUP(A842,'Table corresp.'!$M$4:$P$63,4,FALSE)</f>
        <v>Production et transformation de produits bois</v>
      </c>
      <c r="D842" t="s">
        <v>99</v>
      </c>
      <c r="E842" t="str">
        <f>VLOOKUP(LEFT(D842,3),'Table corresp.'!$A$4:$D$63,4,FALSE)</f>
        <v>Transformation</v>
      </c>
      <c r="F842" t="str">
        <f t="shared" si="94"/>
        <v xml:space="preserve">10  - 47 </v>
      </c>
      <c r="G842" s="164">
        <v>7349.3383287143815</v>
      </c>
      <c r="H842" s="164">
        <v>9185.791470882119</v>
      </c>
      <c r="I842" s="164">
        <v>16535.129796992052</v>
      </c>
      <c r="J842" s="164">
        <v>44.064387301643009</v>
      </c>
      <c r="K842" s="164">
        <v>32.63230027636547</v>
      </c>
      <c r="L842" s="164">
        <v>76.696687578008479</v>
      </c>
      <c r="M842" s="164">
        <v>0</v>
      </c>
      <c r="N842" s="164">
        <v>0</v>
      </c>
      <c r="O842" s="164">
        <v>0</v>
      </c>
      <c r="P842" s="164">
        <v>0</v>
      </c>
      <c r="Q842" s="164">
        <v>0</v>
      </c>
      <c r="R842" s="164">
        <v>0</v>
      </c>
      <c r="S842" s="163" t="str">
        <f t="shared" si="95"/>
        <v/>
      </c>
      <c r="T842" s="163">
        <f>VLOOKUP(A842,'Groupe de branches'!$Z$27:$AM$86,14,FALSE)</f>
        <v>0</v>
      </c>
      <c r="U842" s="163">
        <f>VLOOKUP(D842,'Groupe de branches'!$Z$27:$AM$86,14,FALSE)</f>
        <v>0</v>
      </c>
      <c r="V842" s="163">
        <v>2018</v>
      </c>
      <c r="W842" t="str">
        <f>VLOOKUP(D842,'Table corresp.'!$M$4:$S$63,7,FALSE)</f>
        <v>Meuble</v>
      </c>
      <c r="X842" s="167">
        <f>IFERROR(G842/SUMIFS('Comp2016-2017 (3)'!$I$5:$I$289,'Comp2016-2017 (3)'!$A$5:$A$289,A842,'Comp2016-2017 (3)'!$R$5:$R$289,V842),0)</f>
        <v>7.2885939457148344E-2</v>
      </c>
      <c r="Y842" s="178">
        <f>IFERROR(IF(RIGHT(F842,3)="Exp",VLOOKUP(F842,#REF!,2,FALSE),VLOOKUP(F842,#REF!,9,FALSE)),1)</f>
        <v>1</v>
      </c>
      <c r="Z842" s="167">
        <f t="shared" si="96"/>
        <v>7.6923076923076927E-2</v>
      </c>
      <c r="AA842" s="189">
        <f t="shared" si="99"/>
        <v>5.6066107274729497E-3</v>
      </c>
      <c r="AB842" s="2">
        <f>IFERROR(SUMIFS('Comp2016-2017 (3)'!$G$5:$G$289,'Comp2016-2017 (3)'!$A$5:$A$289,A842,'Comp2016-2017 (3)'!$R$5:$R$289,V842)*AA842/SUMIFS($AA$4:$AA$1116,$A$4:$A$1116,A842,$V$4:$V$1116,V842),0)</f>
        <v>2548.8004502101658</v>
      </c>
      <c r="AC842" s="2" t="str">
        <f>IF($W842=AC$3,$AB842,IF(NOT($W842=0),"",SUMIFS('Val-Vol (2)'!AC$4:AC$1116,'Val-Vol (2)'!$A$4:$A$1116,$D842,'Val-Vol (2)'!$V$4:$V$1116,$V842)/SUMIFS('Comp2016-2017 (3)'!$G$5:$G$289,'Comp2016-2017 (3)'!$A$5:$A$289,$D842,'Comp2016-2017 (3)'!$R$5:$R$289,$V842)*$AB842))</f>
        <v/>
      </c>
      <c r="AD842" s="2" t="str">
        <f>IF($W842=AD$3,$AB842,IF(NOT($W842=0),"",SUMIFS('Val-Vol (2)'!AD$4:AD$1116,'Val-Vol (2)'!$A$4:$A$1116,$D842,'Val-Vol (2)'!$V$4:$V$1116,$V842)/SUMIFS('Comp2016-2017 (3)'!$G$5:$G$289,'Comp2016-2017 (3)'!$A$5:$A$289,$D842,'Comp2016-2017 (3)'!$R$5:$R$289,$V842)*$AB842))</f>
        <v/>
      </c>
      <c r="AE842" s="2">
        <f>IF($W842=AE$3,$AB842,IF(NOT($W842=0),"",SUMIFS('Val-Vol (2)'!AE$4:AE$1116,'Val-Vol (2)'!$A$4:$A$1116,$D842,'Val-Vol (2)'!$V$4:$V$1116,$V842)/SUMIFS('Comp2016-2017 (3)'!$G$5:$G$289,'Comp2016-2017 (3)'!$A$5:$A$289,$D842,'Comp2016-2017 (3)'!$R$5:$R$289,$V842)*$AB842))</f>
        <v>2548.8004502101658</v>
      </c>
      <c r="AF842" s="2" t="str">
        <f>IF($W842=AF$3,$AB842,IF(NOT($W842=0),"",SUMIFS('Val-Vol (2)'!AF$4:AF$1116,'Val-Vol (2)'!$A$4:$A$1116,$D842,'Val-Vol (2)'!$V$4:$V$1116,$V842)/SUMIFS('Comp2016-2017 (3)'!$G$5:$G$289,'Comp2016-2017 (3)'!$A$5:$A$289,$D842,'Comp2016-2017 (3)'!$R$5:$R$289,$V842)*$AB842))</f>
        <v/>
      </c>
      <c r="AG842" s="2" t="str">
        <f>IF($W842=AG$3,$AB842,IF(NOT($W842=0),"",SUMIFS('Val-Vol (2)'!AG$4:AG$1116,'Val-Vol (2)'!$A$4:$A$1116,$D842,'Val-Vol (2)'!$V$4:$V$1116,$V842)/SUMIFS('Comp2016-2017 (3)'!$G$5:$G$289,'Comp2016-2017 (3)'!$A$5:$A$289,$D842,'Comp2016-2017 (3)'!$R$5:$R$289,$V842)*$AB842))</f>
        <v/>
      </c>
      <c r="AH842" s="2" t="str">
        <f>IF($W842=AH$3,$AB842,IF(NOT($W842=0),"",SUMIFS('Val-Vol (2)'!AH$4:AH$1116,'Val-Vol (2)'!$A$4:$A$1116,$D842,'Val-Vol (2)'!$V$4:$V$1116,$V842)/SUMIFS('Comp2016-2017 (3)'!$G$5:$G$289,'Comp2016-2017 (3)'!$A$5:$A$289,$D842,'Comp2016-2017 (3)'!$R$5:$R$289,$V842)*$AB842))</f>
        <v/>
      </c>
      <c r="AI842" s="2" t="str">
        <f>IF($W842=AI$3,$AB842,IF(NOT($W842=0),"",SUMIFS('Val-Vol (2)'!AI$4:AI$1116,'Val-Vol (2)'!$A$4:$A$1116,$D842,'Val-Vol (2)'!$V$4:$V$1116,$V842)/SUMIFS('Comp2016-2017 (3)'!$G$5:$G$289,'Comp2016-2017 (3)'!$A$5:$A$289,$D842,'Comp2016-2017 (3)'!$R$5:$R$289,$V842)*$AB842))</f>
        <v/>
      </c>
      <c r="AJ842" s="2" t="str">
        <f>IF($W842=AJ$3,$AB842,IF(NOT($W842=0),"",SUMIFS('Val-Vol (2)'!AJ$4:AJ$1116,'Val-Vol (2)'!$A$4:$A$1116,$D842,'Val-Vol (2)'!$V$4:$V$1116,$V842)/SUMIFS('Comp2016-2017 (3)'!$G$5:$G$289,'Comp2016-2017 (3)'!$A$5:$A$289,$D842,'Comp2016-2017 (3)'!$R$5:$R$289,$V842)*$AB842))</f>
        <v/>
      </c>
      <c r="AK842" s="2">
        <f t="shared" si="97"/>
        <v>0</v>
      </c>
      <c r="AL842" t="str">
        <f t="shared" si="98"/>
        <v/>
      </c>
      <c r="AM842" t="str">
        <f>VLOOKUP(A842,'Table corresp.'!$M$4:$U$63,8,FALSE)</f>
        <v>Production intermédiaire</v>
      </c>
      <c r="AN842" t="str">
        <f>VLOOKUP(D842,'Table corresp.'!$M$4:$U$63,9,FALSE)</f>
        <v>Production finale</v>
      </c>
    </row>
    <row r="843" spans="1:40" x14ac:dyDescent="0.25">
      <c r="A843" t="s">
        <v>82</v>
      </c>
      <c r="B843" t="str">
        <f>VLOOKUP(LEFT(A843,3),'Table corresp.'!$A$4:$D$63,3,FALSE)</f>
        <v>Transformation</v>
      </c>
      <c r="C843" t="str">
        <f>VLOOKUP(A843,'Table corresp.'!$M$4:$P$63,4,FALSE)</f>
        <v>Production et transformation de produits bois</v>
      </c>
      <c r="D843" t="s">
        <v>100</v>
      </c>
      <c r="E843" t="str">
        <f>VLOOKUP(LEFT(D843,3),'Table corresp.'!$A$4:$D$63,4,FALSE)</f>
        <v>Transformation</v>
      </c>
      <c r="F843" t="str">
        <f t="shared" si="94"/>
        <v xml:space="preserve">10  - 48 </v>
      </c>
      <c r="G843" s="164">
        <v>10080.111208930892</v>
      </c>
      <c r="H843" s="164">
        <v>0</v>
      </c>
      <c r="I843" s="164">
        <v>10080.111209330415</v>
      </c>
      <c r="J843" s="164">
        <v>43.817018723773423</v>
      </c>
      <c r="K843" s="164">
        <v>0</v>
      </c>
      <c r="L843" s="164">
        <v>43.817018723773423</v>
      </c>
      <c r="M843" s="164">
        <v>0</v>
      </c>
      <c r="N843" s="164">
        <v>0</v>
      </c>
      <c r="O843" s="164">
        <v>0</v>
      </c>
      <c r="P843" s="164">
        <v>0</v>
      </c>
      <c r="Q843" s="164">
        <v>0</v>
      </c>
      <c r="R843" s="164">
        <v>0</v>
      </c>
      <c r="S843" s="163" t="str">
        <f t="shared" si="95"/>
        <v/>
      </c>
      <c r="T843" s="163">
        <f>VLOOKUP(A843,'Groupe de branches'!$Z$27:$AM$86,14,FALSE)</f>
        <v>0</v>
      </c>
      <c r="U843" s="163">
        <f>VLOOKUP(D843,'Groupe de branches'!$Z$27:$AM$86,14,FALSE)</f>
        <v>0</v>
      </c>
      <c r="V843" s="163">
        <v>2018</v>
      </c>
      <c r="W843" t="str">
        <f>VLOOKUP(D843,'Table corresp.'!$M$4:$S$63,7,FALSE)</f>
        <v>Produits de consommation courante</v>
      </c>
      <c r="X843" s="167">
        <f>IFERROR(G843/SUMIFS('Comp2016-2017 (3)'!$I$5:$I$289,'Comp2016-2017 (3)'!$A$5:$A$289,A843,'Comp2016-2017 (3)'!$R$5:$R$289,V843),0)</f>
        <v>9.9967962071488961E-2</v>
      </c>
      <c r="Y843" s="178">
        <f>IFERROR(IF(RIGHT(F843,3)="Exp",VLOOKUP(F843,#REF!,2,FALSE),VLOOKUP(F843,#REF!,9,FALSE)),1)</f>
        <v>1</v>
      </c>
      <c r="Z843" s="167">
        <f t="shared" ref="Z843:Z874" si="100">Y843/SUMIFS($Y$4:$Y$1116,$V$4:$V$1116,V843,$A$4:$A$1116,A843)</f>
        <v>7.6923076923076927E-2</v>
      </c>
      <c r="AA843" s="189">
        <f t="shared" si="99"/>
        <v>7.6898432362683816E-3</v>
      </c>
      <c r="AB843" s="2">
        <f>IFERROR(SUMIFS('Comp2016-2017 (3)'!$G$5:$G$289,'Comp2016-2017 (3)'!$A$5:$A$289,A843,'Comp2016-2017 (3)'!$R$5:$R$289,V843)*AA843/SUMIFS($AA$4:$AA$1116,$A$4:$A$1116,A843,$V$4:$V$1116,V843),0)</f>
        <v>3495.85103288964</v>
      </c>
      <c r="AC843" s="2" t="str">
        <f>IF($W843=AC$3,$AB843,IF(NOT($W843=0),"",SUMIFS('Val-Vol (2)'!AC$4:AC$1116,'Val-Vol (2)'!$A$4:$A$1116,$D843,'Val-Vol (2)'!$V$4:$V$1116,$V843)/SUMIFS('Comp2016-2017 (3)'!$G$5:$G$289,'Comp2016-2017 (3)'!$A$5:$A$289,$D843,'Comp2016-2017 (3)'!$R$5:$R$289,$V843)*$AB843))</f>
        <v/>
      </c>
      <c r="AD843" s="2" t="str">
        <f>IF($W843=AD$3,$AB843,IF(NOT($W843=0),"",SUMIFS('Val-Vol (2)'!AD$4:AD$1116,'Val-Vol (2)'!$A$4:$A$1116,$D843,'Val-Vol (2)'!$V$4:$V$1116,$V843)/SUMIFS('Comp2016-2017 (3)'!$G$5:$G$289,'Comp2016-2017 (3)'!$A$5:$A$289,$D843,'Comp2016-2017 (3)'!$R$5:$R$289,$V843)*$AB843))</f>
        <v/>
      </c>
      <c r="AE843" s="2" t="str">
        <f>IF($W843=AE$3,$AB843,IF(NOT($W843=0),"",SUMIFS('Val-Vol (2)'!AE$4:AE$1116,'Val-Vol (2)'!$A$4:$A$1116,$D843,'Val-Vol (2)'!$V$4:$V$1116,$V843)/SUMIFS('Comp2016-2017 (3)'!$G$5:$G$289,'Comp2016-2017 (3)'!$A$5:$A$289,$D843,'Comp2016-2017 (3)'!$R$5:$R$289,$V843)*$AB843))</f>
        <v/>
      </c>
      <c r="AF843" s="2" t="str">
        <f>IF($W843=AF$3,$AB843,IF(NOT($W843=0),"",SUMIFS('Val-Vol (2)'!AF$4:AF$1116,'Val-Vol (2)'!$A$4:$A$1116,$D843,'Val-Vol (2)'!$V$4:$V$1116,$V843)/SUMIFS('Comp2016-2017 (3)'!$G$5:$G$289,'Comp2016-2017 (3)'!$A$5:$A$289,$D843,'Comp2016-2017 (3)'!$R$5:$R$289,$V843)*$AB843))</f>
        <v/>
      </c>
      <c r="AG843" s="2" t="str">
        <f>IF($W843=AG$3,$AB843,IF(NOT($W843=0),"",SUMIFS('Val-Vol (2)'!AG$4:AG$1116,'Val-Vol (2)'!$A$4:$A$1116,$D843,'Val-Vol (2)'!$V$4:$V$1116,$V843)/SUMIFS('Comp2016-2017 (3)'!$G$5:$G$289,'Comp2016-2017 (3)'!$A$5:$A$289,$D843,'Comp2016-2017 (3)'!$R$5:$R$289,$V843)*$AB843))</f>
        <v/>
      </c>
      <c r="AH843" s="2" t="str">
        <f>IF($W843=AH$3,$AB843,IF(NOT($W843=0),"",SUMIFS('Val-Vol (2)'!AH$4:AH$1116,'Val-Vol (2)'!$A$4:$A$1116,$D843,'Val-Vol (2)'!$V$4:$V$1116,$V843)/SUMIFS('Comp2016-2017 (3)'!$G$5:$G$289,'Comp2016-2017 (3)'!$A$5:$A$289,$D843,'Comp2016-2017 (3)'!$R$5:$R$289,$V843)*$AB843))</f>
        <v/>
      </c>
      <c r="AI843" s="2">
        <f>IF($W843=AI$3,$AB843,IF(NOT($W843=0),"",SUMIFS('Val-Vol (2)'!AI$4:AI$1116,'Val-Vol (2)'!$A$4:$A$1116,$D843,'Val-Vol (2)'!$V$4:$V$1116,$V843)/SUMIFS('Comp2016-2017 (3)'!$G$5:$G$289,'Comp2016-2017 (3)'!$A$5:$A$289,$D843,'Comp2016-2017 (3)'!$R$5:$R$289,$V843)*$AB843))</f>
        <v>3495.85103288964</v>
      </c>
      <c r="AJ843" s="2" t="str">
        <f>IF($W843=AJ$3,$AB843,IF(NOT($W843=0),"",SUMIFS('Val-Vol (2)'!AJ$4:AJ$1116,'Val-Vol (2)'!$A$4:$A$1116,$D843,'Val-Vol (2)'!$V$4:$V$1116,$V843)/SUMIFS('Comp2016-2017 (3)'!$G$5:$G$289,'Comp2016-2017 (3)'!$A$5:$A$289,$D843,'Comp2016-2017 (3)'!$R$5:$R$289,$V843)*$AB843))</f>
        <v/>
      </c>
      <c r="AK843" s="2">
        <f t="shared" si="97"/>
        <v>0</v>
      </c>
      <c r="AL843" t="str">
        <f t="shared" si="98"/>
        <v/>
      </c>
      <c r="AM843" t="str">
        <f>VLOOKUP(A843,'Table corresp.'!$M$4:$U$63,8,FALSE)</f>
        <v>Production intermédiaire</v>
      </c>
      <c r="AN843" t="str">
        <f>VLOOKUP(D843,'Table corresp.'!$M$4:$U$63,9,FALSE)</f>
        <v>Production finale</v>
      </c>
    </row>
    <row r="844" spans="1:40" x14ac:dyDescent="0.25">
      <c r="A844" t="s">
        <v>82</v>
      </c>
      <c r="B844" t="str">
        <f>VLOOKUP(LEFT(A844,3),'Table corresp.'!$A$4:$D$63,3,FALSE)</f>
        <v>Transformation</v>
      </c>
      <c r="C844" t="str">
        <f>VLOOKUP(A844,'Table corresp.'!$M$4:$P$63,4,FALSE)</f>
        <v>Production et transformation de produits bois</v>
      </c>
      <c r="D844" t="s">
        <v>21</v>
      </c>
      <c r="E844" t="str">
        <f>VLOOKUP(LEFT(D844,3),'Table corresp.'!$A$4:$D$63,4,FALSE)</f>
        <v>Transformation</v>
      </c>
      <c r="F844" t="str">
        <f t="shared" si="94"/>
        <v xml:space="preserve">10  - 54 </v>
      </c>
      <c r="G844" s="164">
        <v>12203.047256256299</v>
      </c>
      <c r="H844" s="164">
        <v>0</v>
      </c>
      <c r="I844" s="164">
        <v>12203.047256739961</v>
      </c>
      <c r="J844" s="164">
        <v>60.623044333165531</v>
      </c>
      <c r="K844" s="164">
        <v>0</v>
      </c>
      <c r="L844" s="164">
        <v>60.623044333165531</v>
      </c>
      <c r="M844" s="164">
        <v>0</v>
      </c>
      <c r="N844" s="164">
        <v>0</v>
      </c>
      <c r="O844" s="164">
        <v>0</v>
      </c>
      <c r="P844" s="164">
        <v>0</v>
      </c>
      <c r="Q844" s="164">
        <v>0</v>
      </c>
      <c r="R844" s="164">
        <v>0</v>
      </c>
      <c r="S844" s="163" t="str">
        <f t="shared" si="95"/>
        <v/>
      </c>
      <c r="T844" s="163">
        <f>VLOOKUP(A844,'Groupe de branches'!$Z$27:$AM$86,14,FALSE)</f>
        <v>0</v>
      </c>
      <c r="U844" s="163">
        <f>VLOOKUP(D844,'Groupe de branches'!$Z$27:$AM$86,14,FALSE)</f>
        <v>0</v>
      </c>
      <c r="V844" s="163">
        <v>2018</v>
      </c>
      <c r="W844" t="str">
        <f>VLOOKUP(D844,'Table corresp.'!$M$4:$S$63,7,FALSE)</f>
        <v>Construction</v>
      </c>
      <c r="X844" s="167">
        <f>IFERROR(G844/SUMIFS('Comp2016-2017 (3)'!$I$5:$I$289,'Comp2016-2017 (3)'!$A$5:$A$289,A844,'Comp2016-2017 (3)'!$R$5:$R$289,V844),0)</f>
        <v>0.12102185580940655</v>
      </c>
      <c r="Y844" s="178">
        <f>IFERROR(IF(RIGHT(F844,3)="Exp",VLOOKUP(F844,#REF!,2,FALSE),VLOOKUP(F844,#REF!,9,FALSE)),1)</f>
        <v>1</v>
      </c>
      <c r="Z844" s="167">
        <f t="shared" si="100"/>
        <v>7.6923076923076927E-2</v>
      </c>
      <c r="AA844" s="189">
        <f t="shared" si="99"/>
        <v>9.309373523800504E-3</v>
      </c>
      <c r="AB844" s="2">
        <f>IFERROR(SUMIFS('Comp2016-2017 (3)'!$G$5:$G$289,'Comp2016-2017 (3)'!$A$5:$A$289,A844,'Comp2016-2017 (3)'!$R$5:$R$289,V844)*AA844/SUMIFS($AA$4:$AA$1116,$A$4:$A$1116,A844,$V$4:$V$1116,V844),0)</f>
        <v>4232.0996734032306</v>
      </c>
      <c r="AC844" s="2" t="str">
        <f>IF($W844=AC$3,$AB844,IF(NOT($W844=0),"",SUMIFS('Val-Vol (2)'!AC$4:AC$1116,'Val-Vol (2)'!$A$4:$A$1116,$D844,'Val-Vol (2)'!$V$4:$V$1116,$V844)/SUMIFS('Comp2016-2017 (3)'!$G$5:$G$289,'Comp2016-2017 (3)'!$A$5:$A$289,$D844,'Comp2016-2017 (3)'!$R$5:$R$289,$V844)*$AB844))</f>
        <v/>
      </c>
      <c r="AD844" s="2">
        <f>IF($W844=AD$3,$AB844,IF(NOT($W844=0),"",SUMIFS('Val-Vol (2)'!AD$4:AD$1116,'Val-Vol (2)'!$A$4:$A$1116,$D844,'Val-Vol (2)'!$V$4:$V$1116,$V844)/SUMIFS('Comp2016-2017 (3)'!$G$5:$G$289,'Comp2016-2017 (3)'!$A$5:$A$289,$D844,'Comp2016-2017 (3)'!$R$5:$R$289,$V844)*$AB844))</f>
        <v>4232.0996734032306</v>
      </c>
      <c r="AE844" s="2" t="str">
        <f>IF($W844=AE$3,$AB844,IF(NOT($W844=0),"",SUMIFS('Val-Vol (2)'!AE$4:AE$1116,'Val-Vol (2)'!$A$4:$A$1116,$D844,'Val-Vol (2)'!$V$4:$V$1116,$V844)/SUMIFS('Comp2016-2017 (3)'!$G$5:$G$289,'Comp2016-2017 (3)'!$A$5:$A$289,$D844,'Comp2016-2017 (3)'!$R$5:$R$289,$V844)*$AB844))</f>
        <v/>
      </c>
      <c r="AF844" s="2" t="str">
        <f>IF($W844=AF$3,$AB844,IF(NOT($W844=0),"",SUMIFS('Val-Vol (2)'!AF$4:AF$1116,'Val-Vol (2)'!$A$4:$A$1116,$D844,'Val-Vol (2)'!$V$4:$V$1116,$V844)/SUMIFS('Comp2016-2017 (3)'!$G$5:$G$289,'Comp2016-2017 (3)'!$A$5:$A$289,$D844,'Comp2016-2017 (3)'!$R$5:$R$289,$V844)*$AB844))</f>
        <v/>
      </c>
      <c r="AG844" s="2" t="str">
        <f>IF($W844=AG$3,$AB844,IF(NOT($W844=0),"",SUMIFS('Val-Vol (2)'!AG$4:AG$1116,'Val-Vol (2)'!$A$4:$A$1116,$D844,'Val-Vol (2)'!$V$4:$V$1116,$V844)/SUMIFS('Comp2016-2017 (3)'!$G$5:$G$289,'Comp2016-2017 (3)'!$A$5:$A$289,$D844,'Comp2016-2017 (3)'!$R$5:$R$289,$V844)*$AB844))</f>
        <v/>
      </c>
      <c r="AH844" s="2" t="str">
        <f>IF($W844=AH$3,$AB844,IF(NOT($W844=0),"",SUMIFS('Val-Vol (2)'!AH$4:AH$1116,'Val-Vol (2)'!$A$4:$A$1116,$D844,'Val-Vol (2)'!$V$4:$V$1116,$V844)/SUMIFS('Comp2016-2017 (3)'!$G$5:$G$289,'Comp2016-2017 (3)'!$A$5:$A$289,$D844,'Comp2016-2017 (3)'!$R$5:$R$289,$V844)*$AB844))</f>
        <v/>
      </c>
      <c r="AI844" s="2" t="str">
        <f>IF($W844=AI$3,$AB844,IF(NOT($W844=0),"",SUMIFS('Val-Vol (2)'!AI$4:AI$1116,'Val-Vol (2)'!$A$4:$A$1116,$D844,'Val-Vol (2)'!$V$4:$V$1116,$V844)/SUMIFS('Comp2016-2017 (3)'!$G$5:$G$289,'Comp2016-2017 (3)'!$A$5:$A$289,$D844,'Comp2016-2017 (3)'!$R$5:$R$289,$V844)*$AB844))</f>
        <v/>
      </c>
      <c r="AJ844" s="2" t="str">
        <f>IF($W844=AJ$3,$AB844,IF(NOT($W844=0),"",SUMIFS('Val-Vol (2)'!AJ$4:AJ$1116,'Val-Vol (2)'!$A$4:$A$1116,$D844,'Val-Vol (2)'!$V$4:$V$1116,$V844)/SUMIFS('Comp2016-2017 (3)'!$G$5:$G$289,'Comp2016-2017 (3)'!$A$5:$A$289,$D844,'Comp2016-2017 (3)'!$R$5:$R$289,$V844)*$AB844))</f>
        <v/>
      </c>
      <c r="AK844" s="2">
        <f t="shared" si="97"/>
        <v>0</v>
      </c>
      <c r="AL844" t="str">
        <f t="shared" si="98"/>
        <v/>
      </c>
      <c r="AM844" t="str">
        <f>VLOOKUP(A844,'Table corresp.'!$M$4:$U$63,8,FALSE)</f>
        <v>Production intermédiaire</v>
      </c>
      <c r="AN844" t="str">
        <f>VLOOKUP(D844,'Table corresp.'!$M$4:$U$63,9,FALSE)</f>
        <v xml:space="preserve">Mise en œuvre </v>
      </c>
    </row>
    <row r="845" spans="1:40" x14ac:dyDescent="0.25">
      <c r="A845" t="s">
        <v>82</v>
      </c>
      <c r="B845" t="str">
        <f>VLOOKUP(LEFT(A845,3),'Table corresp.'!$A$4:$D$63,3,FALSE)</f>
        <v>Transformation</v>
      </c>
      <c r="C845" t="str">
        <f>VLOOKUP(A845,'Table corresp.'!$M$4:$P$63,4,FALSE)</f>
        <v>Production et transformation de produits bois</v>
      </c>
      <c r="D845" t="s">
        <v>22</v>
      </c>
      <c r="E845" t="str">
        <f>VLOOKUP(LEFT(D845,3),'Table corresp.'!$A$4:$D$63,4,FALSE)</f>
        <v>Transformation</v>
      </c>
      <c r="F845" t="str">
        <f t="shared" si="94"/>
        <v xml:space="preserve">10  - 55 </v>
      </c>
      <c r="G845" s="164">
        <v>2284.2858005640669</v>
      </c>
      <c r="H845" s="164">
        <v>0</v>
      </c>
      <c r="I845" s="164">
        <v>2284.2858006546039</v>
      </c>
      <c r="J845" s="164">
        <v>9.9295128415930645</v>
      </c>
      <c r="K845" s="164">
        <v>0</v>
      </c>
      <c r="L845" s="164">
        <v>9.9295128415930645</v>
      </c>
      <c r="M845" s="164">
        <v>0</v>
      </c>
      <c r="N845" s="164">
        <v>0</v>
      </c>
      <c r="O845" s="164">
        <v>0</v>
      </c>
      <c r="P845" s="164">
        <v>0</v>
      </c>
      <c r="Q845" s="164">
        <v>0</v>
      </c>
      <c r="R845" s="164">
        <v>0</v>
      </c>
      <c r="S845" s="163" t="str">
        <f t="shared" si="95"/>
        <v/>
      </c>
      <c r="T845" s="163">
        <f>VLOOKUP(A845,'Groupe de branches'!$Z$27:$AM$86,14,FALSE)</f>
        <v>0</v>
      </c>
      <c r="U845" s="163">
        <f>VLOOKUP(D845,'Groupe de branches'!$Z$27:$AM$86,14,FALSE)</f>
        <v>0</v>
      </c>
      <c r="V845" s="163">
        <v>2018</v>
      </c>
      <c r="W845" t="str">
        <f>VLOOKUP(D845,'Table corresp.'!$M$4:$S$63,7,FALSE)</f>
        <v>Construction</v>
      </c>
      <c r="X845" s="167">
        <f>IFERROR(G845/SUMIFS('Comp2016-2017 (3)'!$I$5:$I$289,'Comp2016-2017 (3)'!$A$5:$A$289,A845,'Comp2016-2017 (3)'!$R$5:$R$289,V845),0)</f>
        <v>2.2654055251782195E-2</v>
      </c>
      <c r="Y845" s="178">
        <f>IFERROR(IF(RIGHT(F845,3)="Exp",VLOOKUP(F845,#REF!,2,FALSE),VLOOKUP(F845,#REF!,9,FALSE)),1)</f>
        <v>1</v>
      </c>
      <c r="Z845" s="167">
        <f t="shared" si="100"/>
        <v>7.6923076923076927E-2</v>
      </c>
      <c r="AA845" s="189">
        <f t="shared" si="99"/>
        <v>1.7426196347524766E-3</v>
      </c>
      <c r="AB845" s="2">
        <f>IFERROR(SUMIFS('Comp2016-2017 (3)'!$G$5:$G$289,'Comp2016-2017 (3)'!$A$5:$A$289,A845,'Comp2016-2017 (3)'!$R$5:$R$289,V845)*AA845/SUMIFS($AA$4:$AA$1116,$A$4:$A$1116,A845,$V$4:$V$1116,V845),0)</f>
        <v>792.20583084856514</v>
      </c>
      <c r="AC845" s="2" t="str">
        <f>IF($W845=AC$3,$AB845,IF(NOT($W845=0),"",SUMIFS('Val-Vol (2)'!AC$4:AC$1116,'Val-Vol (2)'!$A$4:$A$1116,$D845,'Val-Vol (2)'!$V$4:$V$1116,$V845)/SUMIFS('Comp2016-2017 (3)'!$G$5:$G$289,'Comp2016-2017 (3)'!$A$5:$A$289,$D845,'Comp2016-2017 (3)'!$R$5:$R$289,$V845)*$AB845))</f>
        <v/>
      </c>
      <c r="AD845" s="2">
        <f>IF($W845=AD$3,$AB845,IF(NOT($W845=0),"",SUMIFS('Val-Vol (2)'!AD$4:AD$1116,'Val-Vol (2)'!$A$4:$A$1116,$D845,'Val-Vol (2)'!$V$4:$V$1116,$V845)/SUMIFS('Comp2016-2017 (3)'!$G$5:$G$289,'Comp2016-2017 (3)'!$A$5:$A$289,$D845,'Comp2016-2017 (3)'!$R$5:$R$289,$V845)*$AB845))</f>
        <v>792.20583084856514</v>
      </c>
      <c r="AE845" s="2" t="str">
        <f>IF($W845=AE$3,$AB845,IF(NOT($W845=0),"",SUMIFS('Val-Vol (2)'!AE$4:AE$1116,'Val-Vol (2)'!$A$4:$A$1116,$D845,'Val-Vol (2)'!$V$4:$V$1116,$V845)/SUMIFS('Comp2016-2017 (3)'!$G$5:$G$289,'Comp2016-2017 (3)'!$A$5:$A$289,$D845,'Comp2016-2017 (3)'!$R$5:$R$289,$V845)*$AB845))</f>
        <v/>
      </c>
      <c r="AF845" s="2" t="str">
        <f>IF($W845=AF$3,$AB845,IF(NOT($W845=0),"",SUMIFS('Val-Vol (2)'!AF$4:AF$1116,'Val-Vol (2)'!$A$4:$A$1116,$D845,'Val-Vol (2)'!$V$4:$V$1116,$V845)/SUMIFS('Comp2016-2017 (3)'!$G$5:$G$289,'Comp2016-2017 (3)'!$A$5:$A$289,$D845,'Comp2016-2017 (3)'!$R$5:$R$289,$V845)*$AB845))</f>
        <v/>
      </c>
      <c r="AG845" s="2" t="str">
        <f>IF($W845=AG$3,$AB845,IF(NOT($W845=0),"",SUMIFS('Val-Vol (2)'!AG$4:AG$1116,'Val-Vol (2)'!$A$4:$A$1116,$D845,'Val-Vol (2)'!$V$4:$V$1116,$V845)/SUMIFS('Comp2016-2017 (3)'!$G$5:$G$289,'Comp2016-2017 (3)'!$A$5:$A$289,$D845,'Comp2016-2017 (3)'!$R$5:$R$289,$V845)*$AB845))</f>
        <v/>
      </c>
      <c r="AH845" s="2" t="str">
        <f>IF($W845=AH$3,$AB845,IF(NOT($W845=0),"",SUMIFS('Val-Vol (2)'!AH$4:AH$1116,'Val-Vol (2)'!$A$4:$A$1116,$D845,'Val-Vol (2)'!$V$4:$V$1116,$V845)/SUMIFS('Comp2016-2017 (3)'!$G$5:$G$289,'Comp2016-2017 (3)'!$A$5:$A$289,$D845,'Comp2016-2017 (3)'!$R$5:$R$289,$V845)*$AB845))</f>
        <v/>
      </c>
      <c r="AI845" s="2" t="str">
        <f>IF($W845=AI$3,$AB845,IF(NOT($W845=0),"",SUMIFS('Val-Vol (2)'!AI$4:AI$1116,'Val-Vol (2)'!$A$4:$A$1116,$D845,'Val-Vol (2)'!$V$4:$V$1116,$V845)/SUMIFS('Comp2016-2017 (3)'!$G$5:$G$289,'Comp2016-2017 (3)'!$A$5:$A$289,$D845,'Comp2016-2017 (3)'!$R$5:$R$289,$V845)*$AB845))</f>
        <v/>
      </c>
      <c r="AJ845" s="2" t="str">
        <f>IF($W845=AJ$3,$AB845,IF(NOT($W845=0),"",SUMIFS('Val-Vol (2)'!AJ$4:AJ$1116,'Val-Vol (2)'!$A$4:$A$1116,$D845,'Val-Vol (2)'!$V$4:$V$1116,$V845)/SUMIFS('Comp2016-2017 (3)'!$G$5:$G$289,'Comp2016-2017 (3)'!$A$5:$A$289,$D845,'Comp2016-2017 (3)'!$R$5:$R$289,$V845)*$AB845))</f>
        <v/>
      </c>
      <c r="AK845" s="2">
        <f t="shared" si="97"/>
        <v>0</v>
      </c>
      <c r="AL845" t="str">
        <f t="shared" si="98"/>
        <v/>
      </c>
      <c r="AM845" t="str">
        <f>VLOOKUP(A845,'Table corresp.'!$M$4:$U$63,8,FALSE)</f>
        <v>Production intermédiaire</v>
      </c>
      <c r="AN845" t="str">
        <f>VLOOKUP(D845,'Table corresp.'!$M$4:$U$63,9,FALSE)</f>
        <v xml:space="preserve">Mise en œuvre </v>
      </c>
    </row>
    <row r="846" spans="1:40" x14ac:dyDescent="0.25">
      <c r="A846" t="s">
        <v>82</v>
      </c>
      <c r="B846" t="str">
        <f>VLOOKUP(LEFT(A846,3),'Table corresp.'!$A$4:$D$63,3,FALSE)</f>
        <v>Transformation</v>
      </c>
      <c r="C846" t="str">
        <f>VLOOKUP(A846,'Table corresp.'!$M$4:$P$63,4,FALSE)</f>
        <v>Production et transformation de produits bois</v>
      </c>
      <c r="D846" t="s">
        <v>24</v>
      </c>
      <c r="E846" t="str">
        <f>VLOOKUP(LEFT(D846,3),'Table corresp.'!$A$4:$D$63,4,FALSE)</f>
        <v>Transformation</v>
      </c>
      <c r="F846" t="str">
        <f t="shared" si="94"/>
        <v xml:space="preserve">10  - 57 </v>
      </c>
      <c r="G846" s="164">
        <v>4365.8952457688765</v>
      </c>
      <c r="H846" s="164">
        <v>0</v>
      </c>
      <c r="I846" s="164">
        <v>4365.8952459419179</v>
      </c>
      <c r="J846" s="164">
        <v>21.689161361110795</v>
      </c>
      <c r="K846" s="164">
        <v>0</v>
      </c>
      <c r="L846" s="164">
        <v>21.689161361110795</v>
      </c>
      <c r="M846" s="164">
        <v>0</v>
      </c>
      <c r="N846" s="164">
        <v>0</v>
      </c>
      <c r="O846" s="164">
        <v>0</v>
      </c>
      <c r="P846" s="164">
        <v>0</v>
      </c>
      <c r="Q846" s="164">
        <v>0</v>
      </c>
      <c r="R846" s="164">
        <v>0</v>
      </c>
      <c r="S846" s="163" t="str">
        <f t="shared" si="95"/>
        <v/>
      </c>
      <c r="T846" s="163">
        <f>VLOOKUP(A846,'Groupe de branches'!$Z$27:$AM$86,14,FALSE)</f>
        <v>0</v>
      </c>
      <c r="U846" s="163">
        <f>VLOOKUP(D846,'Groupe de branches'!$Z$27:$AM$86,14,FALSE)</f>
        <v>0</v>
      </c>
      <c r="V846" s="163">
        <v>2018</v>
      </c>
      <c r="W846" t="str">
        <f>VLOOKUP(D846,'Table corresp.'!$M$4:$S$63,7,FALSE)</f>
        <v>Construction</v>
      </c>
      <c r="X846" s="167">
        <f>IFERROR(G846/SUMIFS('Comp2016-2017 (3)'!$I$5:$I$289,'Comp2016-2017 (3)'!$A$5:$A$289,A846,'Comp2016-2017 (3)'!$R$5:$R$289,V846),0)</f>
        <v>4.3298098730342023E-2</v>
      </c>
      <c r="Y846" s="178">
        <f>IFERROR(IF(RIGHT(F846,3)="Exp",VLOOKUP(F846,#REF!,2,FALSE),VLOOKUP(F846,#REF!,9,FALSE)),1)</f>
        <v>1</v>
      </c>
      <c r="Z846" s="167">
        <f t="shared" si="100"/>
        <v>7.6923076923076927E-2</v>
      </c>
      <c r="AA846" s="189">
        <f t="shared" si="99"/>
        <v>3.3306229792570787E-3</v>
      </c>
      <c r="AB846" s="2">
        <f>IFERROR(SUMIFS('Comp2016-2017 (3)'!$G$5:$G$289,'Comp2016-2017 (3)'!$A$5:$A$289,A846,'Comp2016-2017 (3)'!$R$5:$R$289,V846)*AA846/SUMIFS($AA$4:$AA$1116,$A$4:$A$1116,A846,$V$4:$V$1116,V846),0)</f>
        <v>1514.122125050231</v>
      </c>
      <c r="AC846" s="2" t="str">
        <f>IF($W846=AC$3,$AB846,IF(NOT($W846=0),"",SUMIFS('Val-Vol (2)'!AC$4:AC$1116,'Val-Vol (2)'!$A$4:$A$1116,$D846,'Val-Vol (2)'!$V$4:$V$1116,$V846)/SUMIFS('Comp2016-2017 (3)'!$G$5:$G$289,'Comp2016-2017 (3)'!$A$5:$A$289,$D846,'Comp2016-2017 (3)'!$R$5:$R$289,$V846)*$AB846))</f>
        <v/>
      </c>
      <c r="AD846" s="2">
        <f>IF($W846=AD$3,$AB846,IF(NOT($W846=0),"",SUMIFS('Val-Vol (2)'!AD$4:AD$1116,'Val-Vol (2)'!$A$4:$A$1116,$D846,'Val-Vol (2)'!$V$4:$V$1116,$V846)/SUMIFS('Comp2016-2017 (3)'!$G$5:$G$289,'Comp2016-2017 (3)'!$A$5:$A$289,$D846,'Comp2016-2017 (3)'!$R$5:$R$289,$V846)*$AB846))</f>
        <v>1514.122125050231</v>
      </c>
      <c r="AE846" s="2" t="str">
        <f>IF($W846=AE$3,$AB846,IF(NOT($W846=0),"",SUMIFS('Val-Vol (2)'!AE$4:AE$1116,'Val-Vol (2)'!$A$4:$A$1116,$D846,'Val-Vol (2)'!$V$4:$V$1116,$V846)/SUMIFS('Comp2016-2017 (3)'!$G$5:$G$289,'Comp2016-2017 (3)'!$A$5:$A$289,$D846,'Comp2016-2017 (3)'!$R$5:$R$289,$V846)*$AB846))</f>
        <v/>
      </c>
      <c r="AF846" s="2" t="str">
        <f>IF($W846=AF$3,$AB846,IF(NOT($W846=0),"",SUMIFS('Val-Vol (2)'!AF$4:AF$1116,'Val-Vol (2)'!$A$4:$A$1116,$D846,'Val-Vol (2)'!$V$4:$V$1116,$V846)/SUMIFS('Comp2016-2017 (3)'!$G$5:$G$289,'Comp2016-2017 (3)'!$A$5:$A$289,$D846,'Comp2016-2017 (3)'!$R$5:$R$289,$V846)*$AB846))</f>
        <v/>
      </c>
      <c r="AG846" s="2" t="str">
        <f>IF($W846=AG$3,$AB846,IF(NOT($W846=0),"",SUMIFS('Val-Vol (2)'!AG$4:AG$1116,'Val-Vol (2)'!$A$4:$A$1116,$D846,'Val-Vol (2)'!$V$4:$V$1116,$V846)/SUMIFS('Comp2016-2017 (3)'!$G$5:$G$289,'Comp2016-2017 (3)'!$A$5:$A$289,$D846,'Comp2016-2017 (3)'!$R$5:$R$289,$V846)*$AB846))</f>
        <v/>
      </c>
      <c r="AH846" s="2" t="str">
        <f>IF($W846=AH$3,$AB846,IF(NOT($W846=0),"",SUMIFS('Val-Vol (2)'!AH$4:AH$1116,'Val-Vol (2)'!$A$4:$A$1116,$D846,'Val-Vol (2)'!$V$4:$V$1116,$V846)/SUMIFS('Comp2016-2017 (3)'!$G$5:$G$289,'Comp2016-2017 (3)'!$A$5:$A$289,$D846,'Comp2016-2017 (3)'!$R$5:$R$289,$V846)*$AB846))</f>
        <v/>
      </c>
      <c r="AI846" s="2" t="str">
        <f>IF($W846=AI$3,$AB846,IF(NOT($W846=0),"",SUMIFS('Val-Vol (2)'!AI$4:AI$1116,'Val-Vol (2)'!$A$4:$A$1116,$D846,'Val-Vol (2)'!$V$4:$V$1116,$V846)/SUMIFS('Comp2016-2017 (3)'!$G$5:$G$289,'Comp2016-2017 (3)'!$A$5:$A$289,$D846,'Comp2016-2017 (3)'!$R$5:$R$289,$V846)*$AB846))</f>
        <v/>
      </c>
      <c r="AJ846" s="2" t="str">
        <f>IF($W846=AJ$3,$AB846,IF(NOT($W846=0),"",SUMIFS('Val-Vol (2)'!AJ$4:AJ$1116,'Val-Vol (2)'!$A$4:$A$1116,$D846,'Val-Vol (2)'!$V$4:$V$1116,$V846)/SUMIFS('Comp2016-2017 (3)'!$G$5:$G$289,'Comp2016-2017 (3)'!$A$5:$A$289,$D846,'Comp2016-2017 (3)'!$R$5:$R$289,$V846)*$AB846))</f>
        <v/>
      </c>
      <c r="AK846" s="2">
        <f t="shared" si="97"/>
        <v>0</v>
      </c>
      <c r="AL846" t="str">
        <f t="shared" si="98"/>
        <v/>
      </c>
      <c r="AM846" t="str">
        <f>VLOOKUP(A846,'Table corresp.'!$M$4:$U$63,8,FALSE)</f>
        <v>Production intermédiaire</v>
      </c>
      <c r="AN846" t="str">
        <f>VLOOKUP(D846,'Table corresp.'!$M$4:$U$63,9,FALSE)</f>
        <v xml:space="preserve">Mise en œuvre </v>
      </c>
    </row>
    <row r="847" spans="1:40" x14ac:dyDescent="0.25">
      <c r="A847" t="s">
        <v>82</v>
      </c>
      <c r="B847" t="str">
        <f>VLOOKUP(LEFT(A847,3),'Table corresp.'!$A$4:$D$63,3,FALSE)</f>
        <v>Transformation</v>
      </c>
      <c r="C847" t="str">
        <f>VLOOKUP(A847,'Table corresp.'!$M$4:$P$63,4,FALSE)</f>
        <v>Production et transformation de produits bois</v>
      </c>
      <c r="D847" t="s">
        <v>25</v>
      </c>
      <c r="E847" t="str">
        <f>VLOOKUP(LEFT(D847,3),'Table corresp.'!$A$4:$D$63,4,FALSE)</f>
        <v>Transformation</v>
      </c>
      <c r="F847" t="str">
        <f t="shared" si="94"/>
        <v xml:space="preserve">10  - 58 </v>
      </c>
      <c r="G847" s="164">
        <v>1043.9546089188589</v>
      </c>
      <c r="H847" s="164">
        <v>0</v>
      </c>
      <c r="I847" s="164">
        <v>1043.9546089602359</v>
      </c>
      <c r="J847" s="164">
        <v>9.0758876956117938</v>
      </c>
      <c r="K847" s="164">
        <v>0</v>
      </c>
      <c r="L847" s="164">
        <v>9.0758876956117938</v>
      </c>
      <c r="M847" s="164">
        <v>0</v>
      </c>
      <c r="N847" s="164">
        <v>0</v>
      </c>
      <c r="O847" s="164">
        <v>0</v>
      </c>
      <c r="P847" s="164">
        <v>0</v>
      </c>
      <c r="Q847" s="164">
        <v>0</v>
      </c>
      <c r="R847" s="164">
        <v>0</v>
      </c>
      <c r="S847" s="163" t="str">
        <f t="shared" si="95"/>
        <v/>
      </c>
      <c r="T847" s="163">
        <f>VLOOKUP(A847,'Groupe de branches'!$Z$27:$AM$86,14,FALSE)</f>
        <v>0</v>
      </c>
      <c r="U847" s="163">
        <f>VLOOKUP(D847,'Groupe de branches'!$Z$27:$AM$86,14,FALSE)</f>
        <v>0</v>
      </c>
      <c r="V847" s="163">
        <v>2018</v>
      </c>
      <c r="W847" t="str">
        <f>VLOOKUP(D847,'Table corresp.'!$M$4:$S$63,7,FALSE)</f>
        <v>Construction</v>
      </c>
      <c r="X847" s="167">
        <f>IFERROR(G847/SUMIFS('Comp2016-2017 (3)'!$I$5:$I$289,'Comp2016-2017 (3)'!$A$5:$A$289,A847,'Comp2016-2017 (3)'!$R$5:$R$289,V847),0)</f>
        <v>1.0353260255332572E-2</v>
      </c>
      <c r="Y847" s="178">
        <f>IFERROR(IF(RIGHT(F847,3)="Exp",VLOOKUP(F847,#REF!,2,FALSE),VLOOKUP(F847,#REF!,9,FALSE)),1)</f>
        <v>1</v>
      </c>
      <c r="Z847" s="167">
        <f t="shared" si="100"/>
        <v>7.6923076923076927E-2</v>
      </c>
      <c r="AA847" s="189">
        <f t="shared" si="99"/>
        <v>7.9640463502558248E-4</v>
      </c>
      <c r="AB847" s="2">
        <f>IFERROR(SUMIFS('Comp2016-2017 (3)'!$G$5:$G$289,'Comp2016-2017 (3)'!$A$5:$A$289,A847,'Comp2016-2017 (3)'!$R$5:$R$289,V847)*AA847/SUMIFS($AA$4:$AA$1116,$A$4:$A$1116,A847,$V$4:$V$1116,V847),0)</f>
        <v>362.05054906988113</v>
      </c>
      <c r="AC847" s="2" t="str">
        <f>IF($W847=AC$3,$AB847,IF(NOT($W847=0),"",SUMIFS('Val-Vol (2)'!AC$4:AC$1116,'Val-Vol (2)'!$A$4:$A$1116,$D847,'Val-Vol (2)'!$V$4:$V$1116,$V847)/SUMIFS('Comp2016-2017 (3)'!$G$5:$G$289,'Comp2016-2017 (3)'!$A$5:$A$289,$D847,'Comp2016-2017 (3)'!$R$5:$R$289,$V847)*$AB847))</f>
        <v/>
      </c>
      <c r="AD847" s="2">
        <f>IF($W847=AD$3,$AB847,IF(NOT($W847=0),"",SUMIFS('Val-Vol (2)'!AD$4:AD$1116,'Val-Vol (2)'!$A$4:$A$1116,$D847,'Val-Vol (2)'!$V$4:$V$1116,$V847)/SUMIFS('Comp2016-2017 (3)'!$G$5:$G$289,'Comp2016-2017 (3)'!$A$5:$A$289,$D847,'Comp2016-2017 (3)'!$R$5:$R$289,$V847)*$AB847))</f>
        <v>362.05054906988113</v>
      </c>
      <c r="AE847" s="2" t="str">
        <f>IF($W847=AE$3,$AB847,IF(NOT($W847=0),"",SUMIFS('Val-Vol (2)'!AE$4:AE$1116,'Val-Vol (2)'!$A$4:$A$1116,$D847,'Val-Vol (2)'!$V$4:$V$1116,$V847)/SUMIFS('Comp2016-2017 (3)'!$G$5:$G$289,'Comp2016-2017 (3)'!$A$5:$A$289,$D847,'Comp2016-2017 (3)'!$R$5:$R$289,$V847)*$AB847))</f>
        <v/>
      </c>
      <c r="AF847" s="2" t="str">
        <f>IF($W847=AF$3,$AB847,IF(NOT($W847=0),"",SUMIFS('Val-Vol (2)'!AF$4:AF$1116,'Val-Vol (2)'!$A$4:$A$1116,$D847,'Val-Vol (2)'!$V$4:$V$1116,$V847)/SUMIFS('Comp2016-2017 (3)'!$G$5:$G$289,'Comp2016-2017 (3)'!$A$5:$A$289,$D847,'Comp2016-2017 (3)'!$R$5:$R$289,$V847)*$AB847))</f>
        <v/>
      </c>
      <c r="AG847" s="2" t="str">
        <f>IF($W847=AG$3,$AB847,IF(NOT($W847=0),"",SUMIFS('Val-Vol (2)'!AG$4:AG$1116,'Val-Vol (2)'!$A$4:$A$1116,$D847,'Val-Vol (2)'!$V$4:$V$1116,$V847)/SUMIFS('Comp2016-2017 (3)'!$G$5:$G$289,'Comp2016-2017 (3)'!$A$5:$A$289,$D847,'Comp2016-2017 (3)'!$R$5:$R$289,$V847)*$AB847))</f>
        <v/>
      </c>
      <c r="AH847" s="2" t="str">
        <f>IF($W847=AH$3,$AB847,IF(NOT($W847=0),"",SUMIFS('Val-Vol (2)'!AH$4:AH$1116,'Val-Vol (2)'!$A$4:$A$1116,$D847,'Val-Vol (2)'!$V$4:$V$1116,$V847)/SUMIFS('Comp2016-2017 (3)'!$G$5:$G$289,'Comp2016-2017 (3)'!$A$5:$A$289,$D847,'Comp2016-2017 (3)'!$R$5:$R$289,$V847)*$AB847))</f>
        <v/>
      </c>
      <c r="AI847" s="2" t="str">
        <f>IF($W847=AI$3,$AB847,IF(NOT($W847=0),"",SUMIFS('Val-Vol (2)'!AI$4:AI$1116,'Val-Vol (2)'!$A$4:$A$1116,$D847,'Val-Vol (2)'!$V$4:$V$1116,$V847)/SUMIFS('Comp2016-2017 (3)'!$G$5:$G$289,'Comp2016-2017 (3)'!$A$5:$A$289,$D847,'Comp2016-2017 (3)'!$R$5:$R$289,$V847)*$AB847))</f>
        <v/>
      </c>
      <c r="AJ847" s="2" t="str">
        <f>IF($W847=AJ$3,$AB847,IF(NOT($W847=0),"",SUMIFS('Val-Vol (2)'!AJ$4:AJ$1116,'Val-Vol (2)'!$A$4:$A$1116,$D847,'Val-Vol (2)'!$V$4:$V$1116,$V847)/SUMIFS('Comp2016-2017 (3)'!$G$5:$G$289,'Comp2016-2017 (3)'!$A$5:$A$289,$D847,'Comp2016-2017 (3)'!$R$5:$R$289,$V847)*$AB847))</f>
        <v/>
      </c>
      <c r="AK847" s="2">
        <f t="shared" si="97"/>
        <v>0</v>
      </c>
      <c r="AL847" t="str">
        <f t="shared" si="98"/>
        <v/>
      </c>
      <c r="AM847" t="str">
        <f>VLOOKUP(A847,'Table corresp.'!$M$4:$U$63,8,FALSE)</f>
        <v>Production intermédiaire</v>
      </c>
      <c r="AN847" t="str">
        <f>VLOOKUP(D847,'Table corresp.'!$M$4:$U$63,9,FALSE)</f>
        <v xml:space="preserve">Mise en œuvre </v>
      </c>
    </row>
    <row r="848" spans="1:40" x14ac:dyDescent="0.25">
      <c r="A848" t="s">
        <v>82</v>
      </c>
      <c r="B848" t="str">
        <f>VLOOKUP(LEFT(A848,3),'Table corresp.'!$A$4:$D$63,3,FALSE)</f>
        <v>Transformation</v>
      </c>
      <c r="C848" t="str">
        <f>VLOOKUP(A848,'Table corresp.'!$M$4:$P$63,4,FALSE)</f>
        <v>Production et transformation de produits bois</v>
      </c>
      <c r="D848" t="s">
        <v>54</v>
      </c>
      <c r="E848" t="str">
        <f>VLOOKUP(LEFT(D848,3),'Table corresp.'!$A$4:$D$63,4,FALSE)</f>
        <v>Consommation finale</v>
      </c>
      <c r="F848" t="str">
        <f t="shared" si="94"/>
        <v>10  - Con</v>
      </c>
      <c r="G848" s="164">
        <v>4028.2653348861104</v>
      </c>
      <c r="H848" s="164">
        <v>0</v>
      </c>
      <c r="I848" s="164">
        <v>4028.2653350457699</v>
      </c>
      <c r="J848" s="164">
        <v>28.400588418293612</v>
      </c>
      <c r="K848" s="164">
        <v>0</v>
      </c>
      <c r="L848" s="164">
        <v>28.400588418293612</v>
      </c>
      <c r="M848" s="164">
        <v>0</v>
      </c>
      <c r="N848" s="164">
        <v>0</v>
      </c>
      <c r="O848" s="164">
        <v>0</v>
      </c>
      <c r="P848" s="164">
        <v>0</v>
      </c>
      <c r="Q848" s="164">
        <v>0</v>
      </c>
      <c r="R848" s="164">
        <v>0</v>
      </c>
      <c r="S848" s="163" t="str">
        <f t="shared" si="95"/>
        <v/>
      </c>
      <c r="T848" s="163">
        <f>VLOOKUP(A848,'Groupe de branches'!$Z$27:$AM$86,14,FALSE)</f>
        <v>0</v>
      </c>
      <c r="U848" s="163">
        <f>VLOOKUP(D848,'Groupe de branches'!$Z$27:$AM$86,14,FALSE)</f>
        <v>0</v>
      </c>
      <c r="V848" s="163">
        <v>2018</v>
      </c>
      <c r="W848" t="str">
        <f>VLOOKUP(D848,'Table corresp.'!$M$4:$S$63,7,FALSE)</f>
        <v>Consommation finale</v>
      </c>
      <c r="X848" s="167">
        <f>IFERROR(G848/SUMIFS('Comp2016-2017 (3)'!$I$5:$I$289,'Comp2016-2017 (3)'!$A$5:$A$289,A848,'Comp2016-2017 (3)'!$R$5:$R$289,V848),0)</f>
        <v>3.994970569917939E-2</v>
      </c>
      <c r="Y848" s="178">
        <f>IFERROR(IF(RIGHT(F848,3)="Exp",VLOOKUP(F848,#REF!,2,FALSE),VLOOKUP(F848,#REF!,9,FALSE)),1)</f>
        <v>1</v>
      </c>
      <c r="Z848" s="167">
        <f t="shared" si="100"/>
        <v>7.6923076923076927E-2</v>
      </c>
      <c r="AA848" s="189">
        <f t="shared" si="99"/>
        <v>3.0730542845522611E-3</v>
      </c>
      <c r="AB848" s="2">
        <f>IFERROR(SUMIFS('Comp2016-2017 (3)'!$G$5:$G$289,'Comp2016-2017 (3)'!$A$5:$A$289,A848,'Comp2016-2017 (3)'!$R$5:$R$289,V848)*AA848/SUMIFS($AA$4:$AA$1116,$A$4:$A$1116,A848,$V$4:$V$1116,V848),0)</f>
        <v>1397.0297787229194</v>
      </c>
      <c r="AC848" s="2" t="str">
        <f>IF($W848=AC$3,$AB848,IF(NOT($W848=0),"",SUMIFS('Val-Vol (2)'!AC$4:AC$1116,'Val-Vol (2)'!$A$4:$A$1116,$D848,'Val-Vol (2)'!$V$4:$V$1116,$V848)/SUMIFS('Comp2016-2017 (3)'!$G$5:$G$289,'Comp2016-2017 (3)'!$A$5:$A$289,$D848,'Comp2016-2017 (3)'!$R$5:$R$289,$V848)*$AB848))</f>
        <v/>
      </c>
      <c r="AD848" s="2" t="str">
        <f>IF($W848=AD$3,$AB848,IF(NOT($W848=0),"",SUMIFS('Val-Vol (2)'!AD$4:AD$1116,'Val-Vol (2)'!$A$4:$A$1116,$D848,'Val-Vol (2)'!$V$4:$V$1116,$V848)/SUMIFS('Comp2016-2017 (3)'!$G$5:$G$289,'Comp2016-2017 (3)'!$A$5:$A$289,$D848,'Comp2016-2017 (3)'!$R$5:$R$289,$V848)*$AB848))</f>
        <v/>
      </c>
      <c r="AE848" s="2" t="str">
        <f>IF($W848=AE$3,$AB848,IF(NOT($W848=0),"",SUMIFS('Val-Vol (2)'!AE$4:AE$1116,'Val-Vol (2)'!$A$4:$A$1116,$D848,'Val-Vol (2)'!$V$4:$V$1116,$V848)/SUMIFS('Comp2016-2017 (3)'!$G$5:$G$289,'Comp2016-2017 (3)'!$A$5:$A$289,$D848,'Comp2016-2017 (3)'!$R$5:$R$289,$V848)*$AB848))</f>
        <v/>
      </c>
      <c r="AF848" s="2" t="str">
        <f>IF($W848=AF$3,$AB848,IF(NOT($W848=0),"",SUMIFS('Val-Vol (2)'!AF$4:AF$1116,'Val-Vol (2)'!$A$4:$A$1116,$D848,'Val-Vol (2)'!$V$4:$V$1116,$V848)/SUMIFS('Comp2016-2017 (3)'!$G$5:$G$289,'Comp2016-2017 (3)'!$A$5:$A$289,$D848,'Comp2016-2017 (3)'!$R$5:$R$289,$V848)*$AB848))</f>
        <v/>
      </c>
      <c r="AG848" s="2" t="str">
        <f>IF($W848=AG$3,$AB848,IF(NOT($W848=0),"",SUMIFS('Val-Vol (2)'!AG$4:AG$1116,'Val-Vol (2)'!$A$4:$A$1116,$D848,'Val-Vol (2)'!$V$4:$V$1116,$V848)/SUMIFS('Comp2016-2017 (3)'!$G$5:$G$289,'Comp2016-2017 (3)'!$A$5:$A$289,$D848,'Comp2016-2017 (3)'!$R$5:$R$289,$V848)*$AB848))</f>
        <v/>
      </c>
      <c r="AH848" s="2" t="str">
        <f>IF($W848=AH$3,$AB848,IF(NOT($W848=0),"",SUMIFS('Val-Vol (2)'!AH$4:AH$1116,'Val-Vol (2)'!$A$4:$A$1116,$D848,'Val-Vol (2)'!$V$4:$V$1116,$V848)/SUMIFS('Comp2016-2017 (3)'!$G$5:$G$289,'Comp2016-2017 (3)'!$A$5:$A$289,$D848,'Comp2016-2017 (3)'!$R$5:$R$289,$V848)*$AB848))</f>
        <v/>
      </c>
      <c r="AI848" s="2" t="str">
        <f>IF($W848=AI$3,$AB848,IF(NOT($W848=0),"",SUMIFS('Val-Vol (2)'!AI$4:AI$1116,'Val-Vol (2)'!$A$4:$A$1116,$D848,'Val-Vol (2)'!$V$4:$V$1116,$V848)/SUMIFS('Comp2016-2017 (3)'!$G$5:$G$289,'Comp2016-2017 (3)'!$A$5:$A$289,$D848,'Comp2016-2017 (3)'!$R$5:$R$289,$V848)*$AB848))</f>
        <v/>
      </c>
      <c r="AJ848" s="2">
        <f>IF($W848=AJ$3,$AB848,IF(NOT($W848=0),"",SUMIFS('Val-Vol (2)'!AJ$4:AJ$1116,'Val-Vol (2)'!$A$4:$A$1116,$D848,'Val-Vol (2)'!$V$4:$V$1116,$V848)/SUMIFS('Comp2016-2017 (3)'!$G$5:$G$289,'Comp2016-2017 (3)'!$A$5:$A$289,$D848,'Comp2016-2017 (3)'!$R$5:$R$289,$V848)*$AB848))</f>
        <v>1397.0297787229194</v>
      </c>
      <c r="AK848" s="2">
        <f t="shared" si="97"/>
        <v>0</v>
      </c>
      <c r="AL848" t="str">
        <f t="shared" si="98"/>
        <v/>
      </c>
      <c r="AM848" t="str">
        <f>VLOOKUP(A848,'Table corresp.'!$M$4:$U$63,8,FALSE)</f>
        <v>Production intermédiaire</v>
      </c>
      <c r="AN848" t="str">
        <f>VLOOKUP(D848,'Table corresp.'!$M$4:$U$63,9,FALSE)</f>
        <v>Consommation finale française</v>
      </c>
    </row>
    <row r="849" spans="1:40" x14ac:dyDescent="0.25">
      <c r="A849" t="s">
        <v>82</v>
      </c>
      <c r="B849" t="str">
        <f>VLOOKUP(LEFT(A849,3),'Table corresp.'!$A$4:$D$63,3,FALSE)</f>
        <v>Transformation</v>
      </c>
      <c r="C849" t="str">
        <f>VLOOKUP(A849,'Table corresp.'!$M$4:$P$63,4,FALSE)</f>
        <v>Production et transformation de produits bois</v>
      </c>
      <c r="D849" t="s">
        <v>53</v>
      </c>
      <c r="E849" t="str">
        <f>VLOOKUP(LEFT(D849,3),'Table corresp.'!$A$4:$D$63,4,FALSE)</f>
        <v>Exportation</v>
      </c>
      <c r="F849" t="str">
        <f t="shared" si="94"/>
        <v>10  - Exp</v>
      </c>
      <c r="G849" s="164">
        <v>16977.395999327095</v>
      </c>
      <c r="H849" s="164">
        <v>0</v>
      </c>
      <c r="I849" s="164">
        <v>16977.39599999999</v>
      </c>
      <c r="J849" s="164">
        <v>60.857924741581776</v>
      </c>
      <c r="K849" s="164">
        <v>0</v>
      </c>
      <c r="L849" s="164">
        <v>60.857924741581776</v>
      </c>
      <c r="M849" s="164">
        <v>0</v>
      </c>
      <c r="N849" s="164">
        <v>0</v>
      </c>
      <c r="O849" s="164">
        <v>0</v>
      </c>
      <c r="P849" s="164">
        <v>0</v>
      </c>
      <c r="Q849" s="164">
        <v>0</v>
      </c>
      <c r="R849" s="164">
        <v>0</v>
      </c>
      <c r="S849" s="163" t="str">
        <f t="shared" si="95"/>
        <v/>
      </c>
      <c r="T849" s="163">
        <f>VLOOKUP(A849,'Groupe de branches'!$Z$27:$AM$86,14,FALSE)</f>
        <v>0</v>
      </c>
      <c r="U849" s="163">
        <f>VLOOKUP(D849,'Groupe de branches'!$Z$27:$AM$86,14,FALSE)</f>
        <v>0</v>
      </c>
      <c r="V849" s="163">
        <v>2018</v>
      </c>
      <c r="W849" t="str">
        <f>VLOOKUP(D849,'Table corresp.'!$M$4:$S$63,7,FALSE)</f>
        <v>Exportation</v>
      </c>
      <c r="X849" s="167">
        <f>IFERROR(G849/SUMIFS('Comp2016-2017 (3)'!$I$5:$I$289,'Comp2016-2017 (3)'!$A$5:$A$289,A849,'Comp2016-2017 (3)'!$R$5:$R$289,V849),0)</f>
        <v>0.16837072966314884</v>
      </c>
      <c r="Y849" s="178">
        <f>IFERROR(IF(RIGHT(F849,3)="Exp",VLOOKUP(F849,#REF!,2,FALSE),VLOOKUP(F849,#REF!,9,FALSE)),1)</f>
        <v>1</v>
      </c>
      <c r="Z849" s="167">
        <f t="shared" si="100"/>
        <v>7.6923076923076927E-2</v>
      </c>
      <c r="AA849" s="189">
        <f t="shared" si="99"/>
        <v>1.2951594589472988E-2</v>
      </c>
      <c r="AB849" s="2">
        <f>IFERROR(SUMIFS('Comp2016-2017 (3)'!$G$5:$G$289,'Comp2016-2017 (3)'!$A$5:$A$289,A849,'Comp2016-2017 (3)'!$R$5:$R$289,V849)*AA849/SUMIFS($AA$4:$AA$1116,$A$4:$A$1116,A849,$V$4:$V$1116,V849),0)</f>
        <v>5887.8762455953947</v>
      </c>
      <c r="AC849" s="2">
        <f>IF($W849=AC$3,$AB849,IF(NOT($W849=0),"",SUMIFS('Val-Vol (2)'!AC$4:AC$1116,'Val-Vol (2)'!$A$4:$A$1116,$D849,'Val-Vol (2)'!$V$4:$V$1116,$V849)/SUMIFS('Comp2016-2017 (3)'!$G$5:$G$289,'Comp2016-2017 (3)'!$A$5:$A$289,$D849,'Comp2016-2017 (3)'!$R$5:$R$289,$V849)*$AB849))</f>
        <v>5887.8762455953947</v>
      </c>
      <c r="AD849" s="2" t="str">
        <f>IF($W849=AD$3,$AB849,IF(NOT($W849=0),"",SUMIFS('Val-Vol (2)'!AD$4:AD$1116,'Val-Vol (2)'!$A$4:$A$1116,$D849,'Val-Vol (2)'!$V$4:$V$1116,$V849)/SUMIFS('Comp2016-2017 (3)'!$G$5:$G$289,'Comp2016-2017 (3)'!$A$5:$A$289,$D849,'Comp2016-2017 (3)'!$R$5:$R$289,$V849)*$AB849))</f>
        <v/>
      </c>
      <c r="AE849" s="2" t="str">
        <f>IF($W849=AE$3,$AB849,IF(NOT($W849=0),"",SUMIFS('Val-Vol (2)'!AE$4:AE$1116,'Val-Vol (2)'!$A$4:$A$1116,$D849,'Val-Vol (2)'!$V$4:$V$1116,$V849)/SUMIFS('Comp2016-2017 (3)'!$G$5:$G$289,'Comp2016-2017 (3)'!$A$5:$A$289,$D849,'Comp2016-2017 (3)'!$R$5:$R$289,$V849)*$AB849))</f>
        <v/>
      </c>
      <c r="AF849" s="2" t="str">
        <f>IF($W849=AF$3,$AB849,IF(NOT($W849=0),"",SUMIFS('Val-Vol (2)'!AF$4:AF$1116,'Val-Vol (2)'!$A$4:$A$1116,$D849,'Val-Vol (2)'!$V$4:$V$1116,$V849)/SUMIFS('Comp2016-2017 (3)'!$G$5:$G$289,'Comp2016-2017 (3)'!$A$5:$A$289,$D849,'Comp2016-2017 (3)'!$R$5:$R$289,$V849)*$AB849))</f>
        <v/>
      </c>
      <c r="AG849" s="2" t="str">
        <f>IF($W849=AG$3,$AB849,IF(NOT($W849=0),"",SUMIFS('Val-Vol (2)'!AG$4:AG$1116,'Val-Vol (2)'!$A$4:$A$1116,$D849,'Val-Vol (2)'!$V$4:$V$1116,$V849)/SUMIFS('Comp2016-2017 (3)'!$G$5:$G$289,'Comp2016-2017 (3)'!$A$5:$A$289,$D849,'Comp2016-2017 (3)'!$R$5:$R$289,$V849)*$AB849))</f>
        <v/>
      </c>
      <c r="AH849" s="2" t="str">
        <f>IF($W849=AH$3,$AB849,IF(NOT($W849=0),"",SUMIFS('Val-Vol (2)'!AH$4:AH$1116,'Val-Vol (2)'!$A$4:$A$1116,$D849,'Val-Vol (2)'!$V$4:$V$1116,$V849)/SUMIFS('Comp2016-2017 (3)'!$G$5:$G$289,'Comp2016-2017 (3)'!$A$5:$A$289,$D849,'Comp2016-2017 (3)'!$R$5:$R$289,$V849)*$AB849))</f>
        <v/>
      </c>
      <c r="AI849" s="2" t="str">
        <f>IF($W849=AI$3,$AB849,IF(NOT($W849=0),"",SUMIFS('Val-Vol (2)'!AI$4:AI$1116,'Val-Vol (2)'!$A$4:$A$1116,$D849,'Val-Vol (2)'!$V$4:$V$1116,$V849)/SUMIFS('Comp2016-2017 (3)'!$G$5:$G$289,'Comp2016-2017 (3)'!$A$5:$A$289,$D849,'Comp2016-2017 (3)'!$R$5:$R$289,$V849)*$AB849))</f>
        <v/>
      </c>
      <c r="AJ849" s="2" t="str">
        <f>IF($W849=AJ$3,$AB849,IF(NOT($W849=0),"",SUMIFS('Val-Vol (2)'!AJ$4:AJ$1116,'Val-Vol (2)'!$A$4:$A$1116,$D849,'Val-Vol (2)'!$V$4:$V$1116,$V849)/SUMIFS('Comp2016-2017 (3)'!$G$5:$G$289,'Comp2016-2017 (3)'!$A$5:$A$289,$D849,'Comp2016-2017 (3)'!$R$5:$R$289,$V849)*$AB849))</f>
        <v/>
      </c>
      <c r="AK849" s="2">
        <f t="shared" si="97"/>
        <v>0</v>
      </c>
      <c r="AL849" t="str">
        <f t="shared" si="98"/>
        <v/>
      </c>
      <c r="AM849" t="str">
        <f>VLOOKUP(A849,'Table corresp.'!$M$4:$U$63,8,FALSE)</f>
        <v>Production intermédiaire</v>
      </c>
      <c r="AN849" t="str">
        <f>VLOOKUP(D849,'Table corresp.'!$M$4:$U$63,9,FALSE)</f>
        <v>Exportation</v>
      </c>
    </row>
    <row r="850" spans="1:40" x14ac:dyDescent="0.25">
      <c r="A850" t="s">
        <v>6</v>
      </c>
      <c r="B850" t="str">
        <f>VLOOKUP(LEFT(A850,3),'Table corresp.'!$A$4:$D$63,3,FALSE)</f>
        <v>Transformation</v>
      </c>
      <c r="C850" t="str">
        <f>VLOOKUP(A850,'Table corresp.'!$M$4:$P$63,4,FALSE)</f>
        <v>Production et transformation de produits bois</v>
      </c>
      <c r="D850" t="s">
        <v>13</v>
      </c>
      <c r="E850" t="str">
        <f>VLOOKUP(LEFT(D850,3),'Table corresp.'!$A$4:$D$63,4,FALSE)</f>
        <v>Transformation</v>
      </c>
      <c r="F850" t="str">
        <f t="shared" si="94"/>
        <v xml:space="preserve">11  - 20 </v>
      </c>
      <c r="G850" s="164">
        <v>100.85198982862286</v>
      </c>
      <c r="H850" s="164">
        <v>2069.5881235825332</v>
      </c>
      <c r="I850" s="164">
        <v>2170.4370961262593</v>
      </c>
      <c r="J850" s="164">
        <v>0.40101769240067558</v>
      </c>
      <c r="K850" s="164">
        <v>7.7158085843786859</v>
      </c>
      <c r="L850" s="164">
        <v>8.1168262767793617</v>
      </c>
      <c r="M850" s="164">
        <v>0</v>
      </c>
      <c r="N850" s="164">
        <v>0</v>
      </c>
      <c r="O850" s="164">
        <v>0</v>
      </c>
      <c r="P850" s="164">
        <v>0</v>
      </c>
      <c r="Q850" s="164">
        <v>0</v>
      </c>
      <c r="R850" s="164">
        <v>0</v>
      </c>
      <c r="S850" s="163" t="str">
        <f t="shared" si="95"/>
        <v/>
      </c>
      <c r="T850" s="163">
        <f>VLOOKUP(A850,'Groupe de branches'!$Z$27:$AM$86,14,FALSE)</f>
        <v>0</v>
      </c>
      <c r="U850" s="163">
        <f>VLOOKUP(D850,'Groupe de branches'!$Z$27:$AM$86,14,FALSE)</f>
        <v>0</v>
      </c>
      <c r="V850" s="163">
        <v>2018</v>
      </c>
      <c r="W850">
        <f>VLOOKUP(D850,'Table corresp.'!$M$4:$S$63,7,FALSE)</f>
        <v>0</v>
      </c>
      <c r="X850" s="167">
        <f>IFERROR(G850/SUMIFS('Comp2016-2017 (3)'!$I$5:$I$289,'Comp2016-2017 (3)'!$A$5:$A$289,A850,'Comp2016-2017 (3)'!$R$5:$R$289,V850),0)</f>
        <v>7.8673835290962949E-3</v>
      </c>
      <c r="Y850" s="178">
        <f>IFERROR(IF(RIGHT(F850,3)="Exp",VLOOKUP(F850,#REF!,2,FALSE),VLOOKUP(F850,#REF!,9,FALSE)),1)</f>
        <v>1</v>
      </c>
      <c r="Z850" s="167">
        <f t="shared" si="100"/>
        <v>9.0909090909090912E-2</v>
      </c>
      <c r="AA850" s="189">
        <f t="shared" si="99"/>
        <v>7.1521668446329959E-4</v>
      </c>
      <c r="AB850" s="2">
        <f>IFERROR(SUMIFS('Comp2016-2017 (3)'!$G$5:$G$289,'Comp2016-2017 (3)'!$A$5:$A$289,A850,'Comp2016-2017 (3)'!$R$5:$R$289,V850)*AA850/SUMIFS($AA$4:$AA$1116,$A$4:$A$1116,A850,$V$4:$V$1116,V850),0)</f>
        <v>25.512345067950054</v>
      </c>
      <c r="AC850" s="2">
        <f>IF($W850=AC$3,$AB850,IF(NOT($W850=0),"",SUMIFS('Val-Vol (2)'!AC$4:AC$1116,'Val-Vol (2)'!$A$4:$A$1116,$D850,'Val-Vol (2)'!$V$4:$V$1116,$V850)/SUMIFS('Comp2016-2017 (3)'!$G$5:$G$289,'Comp2016-2017 (3)'!$A$5:$A$289,$D850,'Comp2016-2017 (3)'!$R$5:$R$289,$V850)*$AB850))</f>
        <v>2.6836644250163308</v>
      </c>
      <c r="AD850" s="2">
        <f>IF($W850=AD$3,$AB850,IF(NOT($W850=0),"",SUMIFS('Val-Vol (2)'!AD$4:AD$1116,'Val-Vol (2)'!$A$4:$A$1116,$D850,'Val-Vol (2)'!$V$4:$V$1116,$V850)/SUMIFS('Comp2016-2017 (3)'!$G$5:$G$289,'Comp2016-2017 (3)'!$A$5:$A$289,$D850,'Comp2016-2017 (3)'!$R$5:$R$289,$V850)*$AB850))</f>
        <v>13.990121660625775</v>
      </c>
      <c r="AE850" s="2">
        <f>IF($W850=AE$3,$AB850,IF(NOT($W850=0),"",SUMIFS('Val-Vol (2)'!AE$4:AE$1116,'Val-Vol (2)'!$A$4:$A$1116,$D850,'Val-Vol (2)'!$V$4:$V$1116,$V850)/SUMIFS('Comp2016-2017 (3)'!$G$5:$G$289,'Comp2016-2017 (3)'!$A$5:$A$289,$D850,'Comp2016-2017 (3)'!$R$5:$R$289,$V850)*$AB850))</f>
        <v>0</v>
      </c>
      <c r="AF850" s="2">
        <f>IF($W850=AF$3,$AB850,IF(NOT($W850=0),"",SUMIFS('Val-Vol (2)'!AF$4:AF$1116,'Val-Vol (2)'!$A$4:$A$1116,$D850,'Val-Vol (2)'!$V$4:$V$1116,$V850)/SUMIFS('Comp2016-2017 (3)'!$G$5:$G$289,'Comp2016-2017 (3)'!$A$5:$A$289,$D850,'Comp2016-2017 (3)'!$R$5:$R$289,$V850)*$AB850))</f>
        <v>0</v>
      </c>
      <c r="AG850" s="2">
        <f>IF($W850=AG$3,$AB850,IF(NOT($W850=0),"",SUMIFS('Val-Vol (2)'!AG$4:AG$1116,'Val-Vol (2)'!$A$4:$A$1116,$D850,'Val-Vol (2)'!$V$4:$V$1116,$V850)/SUMIFS('Comp2016-2017 (3)'!$G$5:$G$289,'Comp2016-2017 (3)'!$A$5:$A$289,$D850,'Comp2016-2017 (3)'!$R$5:$R$289,$V850)*$AB850))</f>
        <v>0</v>
      </c>
      <c r="AH850" s="2">
        <f>IF($W850=AH$3,$AB850,IF(NOT($W850=0),"",SUMIFS('Val-Vol (2)'!AH$4:AH$1116,'Val-Vol (2)'!$A$4:$A$1116,$D850,'Val-Vol (2)'!$V$4:$V$1116,$V850)/SUMIFS('Comp2016-2017 (3)'!$G$5:$G$289,'Comp2016-2017 (3)'!$A$5:$A$289,$D850,'Comp2016-2017 (3)'!$R$5:$R$289,$V850)*$AB850))</f>
        <v>0</v>
      </c>
      <c r="AI850" s="2">
        <f>IF($W850=AI$3,$AB850,IF(NOT($W850=0),"",SUMIFS('Val-Vol (2)'!AI$4:AI$1116,'Val-Vol (2)'!$A$4:$A$1116,$D850,'Val-Vol (2)'!$V$4:$V$1116,$V850)/SUMIFS('Comp2016-2017 (3)'!$G$5:$G$289,'Comp2016-2017 (3)'!$A$5:$A$289,$D850,'Comp2016-2017 (3)'!$R$5:$R$289,$V850)*$AB850))</f>
        <v>0</v>
      </c>
      <c r="AJ850" s="2">
        <f>IF($W850=AJ$3,$AB850,IF(NOT($W850=0),"",SUMIFS('Val-Vol (2)'!AJ$4:AJ$1116,'Val-Vol (2)'!$A$4:$A$1116,$D850,'Val-Vol (2)'!$V$4:$V$1116,$V850)/SUMIFS('Comp2016-2017 (3)'!$G$5:$G$289,'Comp2016-2017 (3)'!$A$5:$A$289,$D850,'Comp2016-2017 (3)'!$R$5:$R$289,$V850)*$AB850))</f>
        <v>8.8385589823079425</v>
      </c>
      <c r="AK850" s="2">
        <f t="shared" si="97"/>
        <v>0</v>
      </c>
      <c r="AL850" t="str">
        <f t="shared" si="98"/>
        <v/>
      </c>
      <c r="AM850" t="str">
        <f>VLOOKUP(A850,'Table corresp.'!$M$4:$U$63,8,FALSE)</f>
        <v>Production intermédiaire</v>
      </c>
      <c r="AN850" t="str">
        <f>VLOOKUP(D850,'Table corresp.'!$M$4:$U$63,9,FALSE)</f>
        <v>Production intermédiaire</v>
      </c>
    </row>
    <row r="851" spans="1:40" x14ac:dyDescent="0.25">
      <c r="A851" t="s">
        <v>6</v>
      </c>
      <c r="B851" t="str">
        <f>VLOOKUP(LEFT(A851,3),'Table corresp.'!$A$4:$D$63,3,FALSE)</f>
        <v>Transformation</v>
      </c>
      <c r="C851" t="str">
        <f>VLOOKUP(A851,'Table corresp.'!$M$4:$P$63,4,FALSE)</f>
        <v>Production et transformation de produits bois</v>
      </c>
      <c r="D851" t="s">
        <v>89</v>
      </c>
      <c r="E851" t="str">
        <f>VLOOKUP(LEFT(D851,3),'Table corresp.'!$A$4:$D$63,4,FALSE)</f>
        <v>Transformation</v>
      </c>
      <c r="F851" t="str">
        <f t="shared" si="94"/>
        <v xml:space="preserve">11  - 33 </v>
      </c>
      <c r="G851" s="164">
        <v>77.528922720167628</v>
      </c>
      <c r="H851" s="164">
        <v>1855.4864229442403</v>
      </c>
      <c r="I851" s="164">
        <v>1933.0125147348408</v>
      </c>
      <c r="J851" s="164">
        <v>0.3082781979451647</v>
      </c>
      <c r="K851" s="164">
        <v>6.9175977129056712</v>
      </c>
      <c r="L851" s="164">
        <v>7.2258759108508359</v>
      </c>
      <c r="M851" s="164">
        <v>0</v>
      </c>
      <c r="N851" s="164">
        <v>0</v>
      </c>
      <c r="O851" s="164">
        <v>0</v>
      </c>
      <c r="P851" s="164">
        <v>0</v>
      </c>
      <c r="Q851" s="164">
        <v>0</v>
      </c>
      <c r="R851" s="164">
        <v>0</v>
      </c>
      <c r="S851" s="163" t="str">
        <f t="shared" si="95"/>
        <v/>
      </c>
      <c r="T851" s="163">
        <f>VLOOKUP(A851,'Groupe de branches'!$Z$27:$AM$86,14,FALSE)</f>
        <v>0</v>
      </c>
      <c r="U851" s="163">
        <f>VLOOKUP(D851,'Groupe de branches'!$Z$27:$AM$86,14,FALSE)</f>
        <v>0</v>
      </c>
      <c r="V851" s="163">
        <v>2018</v>
      </c>
      <c r="W851" t="str">
        <f>VLOOKUP(D851,'Table corresp.'!$M$4:$S$63,7,FALSE)</f>
        <v>Construction</v>
      </c>
      <c r="X851" s="167">
        <f>IFERROR(G851/SUMIFS('Comp2016-2017 (3)'!$I$5:$I$289,'Comp2016-2017 (3)'!$A$5:$A$289,A851,'Comp2016-2017 (3)'!$R$5:$R$289,V851),0)</f>
        <v>6.0479696104530018E-3</v>
      </c>
      <c r="Y851" s="178">
        <f>IFERROR(IF(RIGHT(F851,3)="Exp",VLOOKUP(F851,#REF!,2,FALSE),VLOOKUP(F851,#REF!,9,FALSE)),1)</f>
        <v>1</v>
      </c>
      <c r="Z851" s="167">
        <f t="shared" si="100"/>
        <v>9.0909090909090912E-2</v>
      </c>
      <c r="AA851" s="189">
        <f t="shared" si="99"/>
        <v>5.4981541913209106E-4</v>
      </c>
      <c r="AB851" s="2">
        <f>IFERROR(SUMIFS('Comp2016-2017 (3)'!$G$5:$G$289,'Comp2016-2017 (3)'!$A$5:$A$289,A851,'Comp2016-2017 (3)'!$R$5:$R$289,V851)*AA851/SUMIFS($AA$4:$AA$1116,$A$4:$A$1116,A851,$V$4:$V$1116,V851),0)</f>
        <v>19.612351055685245</v>
      </c>
      <c r="AC851" s="2" t="str">
        <f>IF($W851=AC$3,$AB851,IF(NOT($W851=0),"",SUMIFS('Val-Vol (2)'!AC$4:AC$1116,'Val-Vol (2)'!$A$4:$A$1116,$D851,'Val-Vol (2)'!$V$4:$V$1116,$V851)/SUMIFS('Comp2016-2017 (3)'!$G$5:$G$289,'Comp2016-2017 (3)'!$A$5:$A$289,$D851,'Comp2016-2017 (3)'!$R$5:$R$289,$V851)*$AB851))</f>
        <v/>
      </c>
      <c r="AD851" s="2">
        <f>IF($W851=AD$3,$AB851,IF(NOT($W851=0),"",SUMIFS('Val-Vol (2)'!AD$4:AD$1116,'Val-Vol (2)'!$A$4:$A$1116,$D851,'Val-Vol (2)'!$V$4:$V$1116,$V851)/SUMIFS('Comp2016-2017 (3)'!$G$5:$G$289,'Comp2016-2017 (3)'!$A$5:$A$289,$D851,'Comp2016-2017 (3)'!$R$5:$R$289,$V851)*$AB851))</f>
        <v>19.612351055685245</v>
      </c>
      <c r="AE851" s="2" t="str">
        <f>IF($W851=AE$3,$AB851,IF(NOT($W851=0),"",SUMIFS('Val-Vol (2)'!AE$4:AE$1116,'Val-Vol (2)'!$A$4:$A$1116,$D851,'Val-Vol (2)'!$V$4:$V$1116,$V851)/SUMIFS('Comp2016-2017 (3)'!$G$5:$G$289,'Comp2016-2017 (3)'!$A$5:$A$289,$D851,'Comp2016-2017 (3)'!$R$5:$R$289,$V851)*$AB851))</f>
        <v/>
      </c>
      <c r="AF851" s="2" t="str">
        <f>IF($W851=AF$3,$AB851,IF(NOT($W851=0),"",SUMIFS('Val-Vol (2)'!AF$4:AF$1116,'Val-Vol (2)'!$A$4:$A$1116,$D851,'Val-Vol (2)'!$V$4:$V$1116,$V851)/SUMIFS('Comp2016-2017 (3)'!$G$5:$G$289,'Comp2016-2017 (3)'!$A$5:$A$289,$D851,'Comp2016-2017 (3)'!$R$5:$R$289,$V851)*$AB851))</f>
        <v/>
      </c>
      <c r="AG851" s="2" t="str">
        <f>IF($W851=AG$3,$AB851,IF(NOT($W851=0),"",SUMIFS('Val-Vol (2)'!AG$4:AG$1116,'Val-Vol (2)'!$A$4:$A$1116,$D851,'Val-Vol (2)'!$V$4:$V$1116,$V851)/SUMIFS('Comp2016-2017 (3)'!$G$5:$G$289,'Comp2016-2017 (3)'!$A$5:$A$289,$D851,'Comp2016-2017 (3)'!$R$5:$R$289,$V851)*$AB851))</f>
        <v/>
      </c>
      <c r="AH851" s="2" t="str">
        <f>IF($W851=AH$3,$AB851,IF(NOT($W851=0),"",SUMIFS('Val-Vol (2)'!AH$4:AH$1116,'Val-Vol (2)'!$A$4:$A$1116,$D851,'Val-Vol (2)'!$V$4:$V$1116,$V851)/SUMIFS('Comp2016-2017 (3)'!$G$5:$G$289,'Comp2016-2017 (3)'!$A$5:$A$289,$D851,'Comp2016-2017 (3)'!$R$5:$R$289,$V851)*$AB851))</f>
        <v/>
      </c>
      <c r="AI851" s="2" t="str">
        <f>IF($W851=AI$3,$AB851,IF(NOT($W851=0),"",SUMIFS('Val-Vol (2)'!AI$4:AI$1116,'Val-Vol (2)'!$A$4:$A$1116,$D851,'Val-Vol (2)'!$V$4:$V$1116,$V851)/SUMIFS('Comp2016-2017 (3)'!$G$5:$G$289,'Comp2016-2017 (3)'!$A$5:$A$289,$D851,'Comp2016-2017 (3)'!$R$5:$R$289,$V851)*$AB851))</f>
        <v/>
      </c>
      <c r="AJ851" s="2" t="str">
        <f>IF($W851=AJ$3,$AB851,IF(NOT($W851=0),"",SUMIFS('Val-Vol (2)'!AJ$4:AJ$1116,'Val-Vol (2)'!$A$4:$A$1116,$D851,'Val-Vol (2)'!$V$4:$V$1116,$V851)/SUMIFS('Comp2016-2017 (3)'!$G$5:$G$289,'Comp2016-2017 (3)'!$A$5:$A$289,$D851,'Comp2016-2017 (3)'!$R$5:$R$289,$V851)*$AB851))</f>
        <v/>
      </c>
      <c r="AK851" s="2">
        <f t="shared" si="97"/>
        <v>0</v>
      </c>
      <c r="AL851" t="str">
        <f t="shared" si="98"/>
        <v/>
      </c>
      <c r="AM851" t="str">
        <f>VLOOKUP(A851,'Table corresp.'!$M$4:$U$63,8,FALSE)</f>
        <v>Production intermédiaire</v>
      </c>
      <c r="AN851" t="str">
        <f>VLOOKUP(D851,'Table corresp.'!$M$4:$U$63,9,FALSE)</f>
        <v>Production finale</v>
      </c>
    </row>
    <row r="852" spans="1:40" x14ac:dyDescent="0.25">
      <c r="A852" t="s">
        <v>6</v>
      </c>
      <c r="B852" t="str">
        <f>VLOOKUP(LEFT(A852,3),'Table corresp.'!$A$4:$D$63,3,FALSE)</f>
        <v>Transformation</v>
      </c>
      <c r="C852" t="str">
        <f>VLOOKUP(A852,'Table corresp.'!$M$4:$P$63,4,FALSE)</f>
        <v>Production et transformation de produits bois</v>
      </c>
      <c r="D852" t="s">
        <v>15</v>
      </c>
      <c r="E852" t="str">
        <f>VLOOKUP(LEFT(D852,3),'Table corresp.'!$A$4:$D$63,4,FALSE)</f>
        <v>Transformation</v>
      </c>
      <c r="F852" t="str">
        <f t="shared" si="94"/>
        <v xml:space="preserve">11  - 35 </v>
      </c>
      <c r="G852" s="164">
        <v>1268.7029093968115</v>
      </c>
      <c r="H852" s="164">
        <v>26276.993828247476</v>
      </c>
      <c r="I852" s="164">
        <v>27545.658312976935</v>
      </c>
      <c r="J852" s="164">
        <v>5.0447424382293926</v>
      </c>
      <c r="K852" s="164">
        <v>97.965509292106361</v>
      </c>
      <c r="L852" s="164">
        <v>103.01025173033575</v>
      </c>
      <c r="M852" s="164">
        <v>0</v>
      </c>
      <c r="N852" s="164">
        <v>0</v>
      </c>
      <c r="O852" s="164">
        <v>0</v>
      </c>
      <c r="P852" s="164">
        <v>0</v>
      </c>
      <c r="Q852" s="164">
        <v>0</v>
      </c>
      <c r="R852" s="164">
        <v>0</v>
      </c>
      <c r="S852" s="163" t="str">
        <f t="shared" si="95"/>
        <v/>
      </c>
      <c r="T852" s="163">
        <f>VLOOKUP(A852,'Groupe de branches'!$Z$27:$AM$86,14,FALSE)</f>
        <v>0</v>
      </c>
      <c r="U852" s="163">
        <f>VLOOKUP(D852,'Groupe de branches'!$Z$27:$AM$86,14,FALSE)</f>
        <v>0</v>
      </c>
      <c r="V852" s="163">
        <v>2018</v>
      </c>
      <c r="W852" t="str">
        <f>VLOOKUP(D852,'Table corresp.'!$M$4:$S$63,7,FALSE)</f>
        <v>Construction</v>
      </c>
      <c r="X852" s="167">
        <f>IFERROR(G852/SUMIFS('Comp2016-2017 (3)'!$I$5:$I$289,'Comp2016-2017 (3)'!$A$5:$A$289,A852,'Comp2016-2017 (3)'!$R$5:$R$289,V852),0)</f>
        <v>9.8970505090343844E-2</v>
      </c>
      <c r="Y852" s="178">
        <f>IFERROR(IF(RIGHT(F852,3)="Exp",VLOOKUP(F852,#REF!,2,FALSE),VLOOKUP(F852,#REF!,9,FALSE)),1)</f>
        <v>1</v>
      </c>
      <c r="Z852" s="167">
        <f t="shared" si="100"/>
        <v>9.0909090909090912E-2</v>
      </c>
      <c r="AA852" s="189">
        <f t="shared" si="99"/>
        <v>8.9973186445767139E-3</v>
      </c>
      <c r="AB852" s="2">
        <f>IFERROR(SUMIFS('Comp2016-2017 (3)'!$G$5:$G$289,'Comp2016-2017 (3)'!$A$5:$A$289,A852,'Comp2016-2017 (3)'!$R$5:$R$289,V852)*AA852/SUMIFS($AA$4:$AA$1116,$A$4:$A$1116,A852,$V$4:$V$1116,V852),0)</f>
        <v>320.94147540614381</v>
      </c>
      <c r="AC852" s="2" t="str">
        <f>IF($W852=AC$3,$AB852,IF(NOT($W852=0),"",SUMIFS('Val-Vol (2)'!AC$4:AC$1116,'Val-Vol (2)'!$A$4:$A$1116,$D852,'Val-Vol (2)'!$V$4:$V$1116,$V852)/SUMIFS('Comp2016-2017 (3)'!$G$5:$G$289,'Comp2016-2017 (3)'!$A$5:$A$289,$D852,'Comp2016-2017 (3)'!$R$5:$R$289,$V852)*$AB852))</f>
        <v/>
      </c>
      <c r="AD852" s="2">
        <f>IF($W852=AD$3,$AB852,IF(NOT($W852=0),"",SUMIFS('Val-Vol (2)'!AD$4:AD$1116,'Val-Vol (2)'!$A$4:$A$1116,$D852,'Val-Vol (2)'!$V$4:$V$1116,$V852)/SUMIFS('Comp2016-2017 (3)'!$G$5:$G$289,'Comp2016-2017 (3)'!$A$5:$A$289,$D852,'Comp2016-2017 (3)'!$R$5:$R$289,$V852)*$AB852))</f>
        <v>320.94147540614381</v>
      </c>
      <c r="AE852" s="2" t="str">
        <f>IF($W852=AE$3,$AB852,IF(NOT($W852=0),"",SUMIFS('Val-Vol (2)'!AE$4:AE$1116,'Val-Vol (2)'!$A$4:$A$1116,$D852,'Val-Vol (2)'!$V$4:$V$1116,$V852)/SUMIFS('Comp2016-2017 (3)'!$G$5:$G$289,'Comp2016-2017 (3)'!$A$5:$A$289,$D852,'Comp2016-2017 (3)'!$R$5:$R$289,$V852)*$AB852))</f>
        <v/>
      </c>
      <c r="AF852" s="2" t="str">
        <f>IF($W852=AF$3,$AB852,IF(NOT($W852=0),"",SUMIFS('Val-Vol (2)'!AF$4:AF$1116,'Val-Vol (2)'!$A$4:$A$1116,$D852,'Val-Vol (2)'!$V$4:$V$1116,$V852)/SUMIFS('Comp2016-2017 (3)'!$G$5:$G$289,'Comp2016-2017 (3)'!$A$5:$A$289,$D852,'Comp2016-2017 (3)'!$R$5:$R$289,$V852)*$AB852))</f>
        <v/>
      </c>
      <c r="AG852" s="2" t="str">
        <f>IF($W852=AG$3,$AB852,IF(NOT($W852=0),"",SUMIFS('Val-Vol (2)'!AG$4:AG$1116,'Val-Vol (2)'!$A$4:$A$1116,$D852,'Val-Vol (2)'!$V$4:$V$1116,$V852)/SUMIFS('Comp2016-2017 (3)'!$G$5:$G$289,'Comp2016-2017 (3)'!$A$5:$A$289,$D852,'Comp2016-2017 (3)'!$R$5:$R$289,$V852)*$AB852))</f>
        <v/>
      </c>
      <c r="AH852" s="2" t="str">
        <f>IF($W852=AH$3,$AB852,IF(NOT($W852=0),"",SUMIFS('Val-Vol (2)'!AH$4:AH$1116,'Val-Vol (2)'!$A$4:$A$1116,$D852,'Val-Vol (2)'!$V$4:$V$1116,$V852)/SUMIFS('Comp2016-2017 (3)'!$G$5:$G$289,'Comp2016-2017 (3)'!$A$5:$A$289,$D852,'Comp2016-2017 (3)'!$R$5:$R$289,$V852)*$AB852))</f>
        <v/>
      </c>
      <c r="AI852" s="2" t="str">
        <f>IF($W852=AI$3,$AB852,IF(NOT($W852=0),"",SUMIFS('Val-Vol (2)'!AI$4:AI$1116,'Val-Vol (2)'!$A$4:$A$1116,$D852,'Val-Vol (2)'!$V$4:$V$1116,$V852)/SUMIFS('Comp2016-2017 (3)'!$G$5:$G$289,'Comp2016-2017 (3)'!$A$5:$A$289,$D852,'Comp2016-2017 (3)'!$R$5:$R$289,$V852)*$AB852))</f>
        <v/>
      </c>
      <c r="AJ852" s="2" t="str">
        <f>IF($W852=AJ$3,$AB852,IF(NOT($W852=0),"",SUMIFS('Val-Vol (2)'!AJ$4:AJ$1116,'Val-Vol (2)'!$A$4:$A$1116,$D852,'Val-Vol (2)'!$V$4:$V$1116,$V852)/SUMIFS('Comp2016-2017 (3)'!$G$5:$G$289,'Comp2016-2017 (3)'!$A$5:$A$289,$D852,'Comp2016-2017 (3)'!$R$5:$R$289,$V852)*$AB852))</f>
        <v/>
      </c>
      <c r="AK852" s="2">
        <f t="shared" si="97"/>
        <v>0</v>
      </c>
      <c r="AL852" t="str">
        <f t="shared" si="98"/>
        <v/>
      </c>
      <c r="AM852" t="str">
        <f>VLOOKUP(A852,'Table corresp.'!$M$4:$U$63,8,FALSE)</f>
        <v>Production intermédiaire</v>
      </c>
      <c r="AN852" t="str">
        <f>VLOOKUP(D852,'Table corresp.'!$M$4:$U$63,9,FALSE)</f>
        <v>Production finale</v>
      </c>
    </row>
    <row r="853" spans="1:40" x14ac:dyDescent="0.25">
      <c r="A853" t="s">
        <v>6</v>
      </c>
      <c r="B853" t="str">
        <f>VLOOKUP(LEFT(A853,3),'Table corresp.'!$A$4:$D$63,3,FALSE)</f>
        <v>Transformation</v>
      </c>
      <c r="C853" t="str">
        <f>VLOOKUP(A853,'Table corresp.'!$M$4:$P$63,4,FALSE)</f>
        <v>Production et transformation de produits bois</v>
      </c>
      <c r="D853" t="s">
        <v>16</v>
      </c>
      <c r="E853" t="str">
        <f>VLOOKUP(LEFT(D853,3),'Table corresp.'!$A$4:$D$63,4,FALSE)</f>
        <v>Transformation</v>
      </c>
      <c r="F853" t="str">
        <f t="shared" si="94"/>
        <v xml:space="preserve">11  - 36 </v>
      </c>
      <c r="G853" s="164">
        <v>65.435862591838671</v>
      </c>
      <c r="H853" s="164">
        <v>1256.6754386681735</v>
      </c>
      <c r="I853" s="164">
        <v>1322.1095100949979</v>
      </c>
      <c r="J853" s="164">
        <v>0.26019257192067202</v>
      </c>
      <c r="K853" s="164">
        <v>4.685119240377718</v>
      </c>
      <c r="L853" s="164">
        <v>4.9453118122983897</v>
      </c>
      <c r="M853" s="164">
        <v>0</v>
      </c>
      <c r="N853" s="164">
        <v>0</v>
      </c>
      <c r="O853" s="164">
        <v>0</v>
      </c>
      <c r="P853" s="164">
        <v>0</v>
      </c>
      <c r="Q853" s="164">
        <v>0</v>
      </c>
      <c r="R853" s="164">
        <v>0</v>
      </c>
      <c r="S853" s="163" t="str">
        <f t="shared" si="95"/>
        <v/>
      </c>
      <c r="T853" s="163">
        <f>VLOOKUP(A853,'Groupe de branches'!$Z$27:$AM$86,14,FALSE)</f>
        <v>0</v>
      </c>
      <c r="U853" s="163">
        <f>VLOOKUP(D853,'Groupe de branches'!$Z$27:$AM$86,14,FALSE)</f>
        <v>0</v>
      </c>
      <c r="V853" s="163">
        <v>2018</v>
      </c>
      <c r="W853" t="str">
        <f>VLOOKUP(D853,'Table corresp.'!$M$4:$S$63,7,FALSE)</f>
        <v>Construction</v>
      </c>
      <c r="X853" s="167">
        <f>IFERROR(G853/SUMIFS('Comp2016-2017 (3)'!$I$5:$I$289,'Comp2016-2017 (3)'!$A$5:$A$289,A853,'Comp2016-2017 (3)'!$R$5:$R$289,V853),0)</f>
        <v>5.1045996062353523E-3</v>
      </c>
      <c r="Y853" s="178">
        <f>IFERROR(IF(RIGHT(F853,3)="Exp",VLOOKUP(F853,#REF!,2,FALSE),VLOOKUP(F853,#REF!,9,FALSE)),1)</f>
        <v>1</v>
      </c>
      <c r="Z853" s="167">
        <f t="shared" si="100"/>
        <v>9.0909090909090912E-2</v>
      </c>
      <c r="AA853" s="189">
        <f t="shared" si="99"/>
        <v>4.6405450965775934E-4</v>
      </c>
      <c r="AB853" s="2">
        <f>IFERROR(SUMIFS('Comp2016-2017 (3)'!$G$5:$G$289,'Comp2016-2017 (3)'!$A$5:$A$289,A853,'Comp2016-2017 (3)'!$R$5:$R$289,V853)*AA853/SUMIFS($AA$4:$AA$1116,$A$4:$A$1116,A853,$V$4:$V$1116,V853),0)</f>
        <v>16.553191554264735</v>
      </c>
      <c r="AC853" s="2" t="str">
        <f>IF($W853=AC$3,$AB853,IF(NOT($W853=0),"",SUMIFS('Val-Vol (2)'!AC$4:AC$1116,'Val-Vol (2)'!$A$4:$A$1116,$D853,'Val-Vol (2)'!$V$4:$V$1116,$V853)/SUMIFS('Comp2016-2017 (3)'!$G$5:$G$289,'Comp2016-2017 (3)'!$A$5:$A$289,$D853,'Comp2016-2017 (3)'!$R$5:$R$289,$V853)*$AB853))</f>
        <v/>
      </c>
      <c r="AD853" s="2">
        <f>IF($W853=AD$3,$AB853,IF(NOT($W853=0),"",SUMIFS('Val-Vol (2)'!AD$4:AD$1116,'Val-Vol (2)'!$A$4:$A$1116,$D853,'Val-Vol (2)'!$V$4:$V$1116,$V853)/SUMIFS('Comp2016-2017 (3)'!$G$5:$G$289,'Comp2016-2017 (3)'!$A$5:$A$289,$D853,'Comp2016-2017 (3)'!$R$5:$R$289,$V853)*$AB853))</f>
        <v>16.553191554264735</v>
      </c>
      <c r="AE853" s="2" t="str">
        <f>IF($W853=AE$3,$AB853,IF(NOT($W853=0),"",SUMIFS('Val-Vol (2)'!AE$4:AE$1116,'Val-Vol (2)'!$A$4:$A$1116,$D853,'Val-Vol (2)'!$V$4:$V$1116,$V853)/SUMIFS('Comp2016-2017 (3)'!$G$5:$G$289,'Comp2016-2017 (3)'!$A$5:$A$289,$D853,'Comp2016-2017 (3)'!$R$5:$R$289,$V853)*$AB853))</f>
        <v/>
      </c>
      <c r="AF853" s="2" t="str">
        <f>IF($W853=AF$3,$AB853,IF(NOT($W853=0),"",SUMIFS('Val-Vol (2)'!AF$4:AF$1116,'Val-Vol (2)'!$A$4:$A$1116,$D853,'Val-Vol (2)'!$V$4:$V$1116,$V853)/SUMIFS('Comp2016-2017 (3)'!$G$5:$G$289,'Comp2016-2017 (3)'!$A$5:$A$289,$D853,'Comp2016-2017 (3)'!$R$5:$R$289,$V853)*$AB853))</f>
        <v/>
      </c>
      <c r="AG853" s="2" t="str">
        <f>IF($W853=AG$3,$AB853,IF(NOT($W853=0),"",SUMIFS('Val-Vol (2)'!AG$4:AG$1116,'Val-Vol (2)'!$A$4:$A$1116,$D853,'Val-Vol (2)'!$V$4:$V$1116,$V853)/SUMIFS('Comp2016-2017 (3)'!$G$5:$G$289,'Comp2016-2017 (3)'!$A$5:$A$289,$D853,'Comp2016-2017 (3)'!$R$5:$R$289,$V853)*$AB853))</f>
        <v/>
      </c>
      <c r="AH853" s="2" t="str">
        <f>IF($W853=AH$3,$AB853,IF(NOT($W853=0),"",SUMIFS('Val-Vol (2)'!AH$4:AH$1116,'Val-Vol (2)'!$A$4:$A$1116,$D853,'Val-Vol (2)'!$V$4:$V$1116,$V853)/SUMIFS('Comp2016-2017 (3)'!$G$5:$G$289,'Comp2016-2017 (3)'!$A$5:$A$289,$D853,'Comp2016-2017 (3)'!$R$5:$R$289,$V853)*$AB853))</f>
        <v/>
      </c>
      <c r="AI853" s="2" t="str">
        <f>IF($W853=AI$3,$AB853,IF(NOT($W853=0),"",SUMIFS('Val-Vol (2)'!AI$4:AI$1116,'Val-Vol (2)'!$A$4:$A$1116,$D853,'Val-Vol (2)'!$V$4:$V$1116,$V853)/SUMIFS('Comp2016-2017 (3)'!$G$5:$G$289,'Comp2016-2017 (3)'!$A$5:$A$289,$D853,'Comp2016-2017 (3)'!$R$5:$R$289,$V853)*$AB853))</f>
        <v/>
      </c>
      <c r="AJ853" s="2" t="str">
        <f>IF($W853=AJ$3,$AB853,IF(NOT($W853=0),"",SUMIFS('Val-Vol (2)'!AJ$4:AJ$1116,'Val-Vol (2)'!$A$4:$A$1116,$D853,'Val-Vol (2)'!$V$4:$V$1116,$V853)/SUMIFS('Comp2016-2017 (3)'!$G$5:$G$289,'Comp2016-2017 (3)'!$A$5:$A$289,$D853,'Comp2016-2017 (3)'!$R$5:$R$289,$V853)*$AB853))</f>
        <v/>
      </c>
      <c r="AK853" s="2">
        <f t="shared" si="97"/>
        <v>0</v>
      </c>
      <c r="AL853" t="str">
        <f t="shared" si="98"/>
        <v/>
      </c>
      <c r="AM853" t="str">
        <f>VLOOKUP(A853,'Table corresp.'!$M$4:$U$63,8,FALSE)</f>
        <v>Production intermédiaire</v>
      </c>
      <c r="AN853" t="str">
        <f>VLOOKUP(D853,'Table corresp.'!$M$4:$U$63,9,FALSE)</f>
        <v>Production finale</v>
      </c>
    </row>
    <row r="854" spans="1:40" x14ac:dyDescent="0.25">
      <c r="A854" t="s">
        <v>6</v>
      </c>
      <c r="B854" t="str">
        <f>VLOOKUP(LEFT(A854,3),'Table corresp.'!$A$4:$D$63,3,FALSE)</f>
        <v>Transformation</v>
      </c>
      <c r="C854" t="str">
        <f>VLOOKUP(A854,'Table corresp.'!$M$4:$P$63,4,FALSE)</f>
        <v>Production et transformation de produits bois</v>
      </c>
      <c r="D854" t="s">
        <v>93</v>
      </c>
      <c r="E854" t="str">
        <f>VLOOKUP(LEFT(D854,3),'Table corresp.'!$A$4:$D$63,4,FALSE)</f>
        <v>Transformation</v>
      </c>
      <c r="F854" t="str">
        <f t="shared" si="94"/>
        <v xml:space="preserve">11  - 41 </v>
      </c>
      <c r="G854" s="164">
        <v>318.24707260357582</v>
      </c>
      <c r="H854" s="164">
        <v>4111.8015405750893</v>
      </c>
      <c r="I854" s="164">
        <v>4430.0437688392867</v>
      </c>
      <c r="J854" s="164">
        <v>1.2654455988981943</v>
      </c>
      <c r="K854" s="164">
        <v>15.329559182583692</v>
      </c>
      <c r="L854" s="164">
        <v>16.595004781481887</v>
      </c>
      <c r="M854" s="164">
        <v>0</v>
      </c>
      <c r="N854" s="164">
        <v>0</v>
      </c>
      <c r="O854" s="164">
        <v>0</v>
      </c>
      <c r="P854" s="164">
        <v>0</v>
      </c>
      <c r="Q854" s="164">
        <v>0</v>
      </c>
      <c r="R854" s="164">
        <v>0</v>
      </c>
      <c r="S854" s="163" t="str">
        <f t="shared" si="95"/>
        <v/>
      </c>
      <c r="T854" s="163">
        <f>VLOOKUP(A854,'Groupe de branches'!$Z$27:$AM$86,14,FALSE)</f>
        <v>0</v>
      </c>
      <c r="U854" s="163">
        <f>VLOOKUP(D854,'Groupe de branches'!$Z$27:$AM$86,14,FALSE)</f>
        <v>0</v>
      </c>
      <c r="V854" s="163">
        <v>2018</v>
      </c>
      <c r="W854" t="str">
        <f>VLOOKUP(D854,'Table corresp.'!$M$4:$S$63,7,FALSE)</f>
        <v>Produits de consommation courante</v>
      </c>
      <c r="X854" s="167">
        <f>IFERROR(G854/SUMIFS('Comp2016-2017 (3)'!$I$5:$I$289,'Comp2016-2017 (3)'!$A$5:$A$289,A854,'Comp2016-2017 (3)'!$R$5:$R$289,V854),0)</f>
        <v>2.4826201063946566E-2</v>
      </c>
      <c r="Y854" s="178">
        <f>IFERROR(IF(RIGHT(F854,3)="Exp",VLOOKUP(F854,#REF!,2,FALSE),VLOOKUP(F854,#REF!,9,FALSE)),1)</f>
        <v>1</v>
      </c>
      <c r="Z854" s="167">
        <f t="shared" si="100"/>
        <v>9.0909090909090912E-2</v>
      </c>
      <c r="AA854" s="189">
        <f t="shared" si="99"/>
        <v>2.256927369449688E-3</v>
      </c>
      <c r="AB854" s="2">
        <f>IFERROR(SUMIFS('Comp2016-2017 (3)'!$G$5:$G$289,'Comp2016-2017 (3)'!$A$5:$A$289,A854,'Comp2016-2017 (3)'!$R$5:$R$289,V854)*AA854/SUMIFS($AA$4:$AA$1116,$A$4:$A$1116,A854,$V$4:$V$1116,V854),0)</f>
        <v>80.506385118670778</v>
      </c>
      <c r="AC854" s="2" t="str">
        <f>IF($W854=AC$3,$AB854,IF(NOT($W854=0),"",SUMIFS('Val-Vol (2)'!AC$4:AC$1116,'Val-Vol (2)'!$A$4:$A$1116,$D854,'Val-Vol (2)'!$V$4:$V$1116,$V854)/SUMIFS('Comp2016-2017 (3)'!$G$5:$G$289,'Comp2016-2017 (3)'!$A$5:$A$289,$D854,'Comp2016-2017 (3)'!$R$5:$R$289,$V854)*$AB854))</f>
        <v/>
      </c>
      <c r="AD854" s="2" t="str">
        <f>IF($W854=AD$3,$AB854,IF(NOT($W854=0),"",SUMIFS('Val-Vol (2)'!AD$4:AD$1116,'Val-Vol (2)'!$A$4:$A$1116,$D854,'Val-Vol (2)'!$V$4:$V$1116,$V854)/SUMIFS('Comp2016-2017 (3)'!$G$5:$G$289,'Comp2016-2017 (3)'!$A$5:$A$289,$D854,'Comp2016-2017 (3)'!$R$5:$R$289,$V854)*$AB854))</f>
        <v/>
      </c>
      <c r="AE854" s="2" t="str">
        <f>IF($W854=AE$3,$AB854,IF(NOT($W854=0),"",SUMIFS('Val-Vol (2)'!AE$4:AE$1116,'Val-Vol (2)'!$A$4:$A$1116,$D854,'Val-Vol (2)'!$V$4:$V$1116,$V854)/SUMIFS('Comp2016-2017 (3)'!$G$5:$G$289,'Comp2016-2017 (3)'!$A$5:$A$289,$D854,'Comp2016-2017 (3)'!$R$5:$R$289,$V854)*$AB854))</f>
        <v/>
      </c>
      <c r="AF854" s="2" t="str">
        <f>IF($W854=AF$3,$AB854,IF(NOT($W854=0),"",SUMIFS('Val-Vol (2)'!AF$4:AF$1116,'Val-Vol (2)'!$A$4:$A$1116,$D854,'Val-Vol (2)'!$V$4:$V$1116,$V854)/SUMIFS('Comp2016-2017 (3)'!$G$5:$G$289,'Comp2016-2017 (3)'!$A$5:$A$289,$D854,'Comp2016-2017 (3)'!$R$5:$R$289,$V854)*$AB854))</f>
        <v/>
      </c>
      <c r="AG854" s="2" t="str">
        <f>IF($W854=AG$3,$AB854,IF(NOT($W854=0),"",SUMIFS('Val-Vol (2)'!AG$4:AG$1116,'Val-Vol (2)'!$A$4:$A$1116,$D854,'Val-Vol (2)'!$V$4:$V$1116,$V854)/SUMIFS('Comp2016-2017 (3)'!$G$5:$G$289,'Comp2016-2017 (3)'!$A$5:$A$289,$D854,'Comp2016-2017 (3)'!$R$5:$R$289,$V854)*$AB854))</f>
        <v/>
      </c>
      <c r="AH854" s="2" t="str">
        <f>IF($W854=AH$3,$AB854,IF(NOT($W854=0),"",SUMIFS('Val-Vol (2)'!AH$4:AH$1116,'Val-Vol (2)'!$A$4:$A$1116,$D854,'Val-Vol (2)'!$V$4:$V$1116,$V854)/SUMIFS('Comp2016-2017 (3)'!$G$5:$G$289,'Comp2016-2017 (3)'!$A$5:$A$289,$D854,'Comp2016-2017 (3)'!$R$5:$R$289,$V854)*$AB854))</f>
        <v/>
      </c>
      <c r="AI854" s="2">
        <f>IF($W854=AI$3,$AB854,IF(NOT($W854=0),"",SUMIFS('Val-Vol (2)'!AI$4:AI$1116,'Val-Vol (2)'!$A$4:$A$1116,$D854,'Val-Vol (2)'!$V$4:$V$1116,$V854)/SUMIFS('Comp2016-2017 (3)'!$G$5:$G$289,'Comp2016-2017 (3)'!$A$5:$A$289,$D854,'Comp2016-2017 (3)'!$R$5:$R$289,$V854)*$AB854))</f>
        <v>80.506385118670778</v>
      </c>
      <c r="AJ854" s="2" t="str">
        <f>IF($W854=AJ$3,$AB854,IF(NOT($W854=0),"",SUMIFS('Val-Vol (2)'!AJ$4:AJ$1116,'Val-Vol (2)'!$A$4:$A$1116,$D854,'Val-Vol (2)'!$V$4:$V$1116,$V854)/SUMIFS('Comp2016-2017 (3)'!$G$5:$G$289,'Comp2016-2017 (3)'!$A$5:$A$289,$D854,'Comp2016-2017 (3)'!$R$5:$R$289,$V854)*$AB854))</f>
        <v/>
      </c>
      <c r="AK854" s="2">
        <f t="shared" si="97"/>
        <v>0</v>
      </c>
      <c r="AL854" t="str">
        <f t="shared" si="98"/>
        <v/>
      </c>
      <c r="AM854" t="str">
        <f>VLOOKUP(A854,'Table corresp.'!$M$4:$U$63,8,FALSE)</f>
        <v>Production intermédiaire</v>
      </c>
      <c r="AN854" t="str">
        <f>VLOOKUP(D854,'Table corresp.'!$M$4:$U$63,9,FALSE)</f>
        <v>Production finale</v>
      </c>
    </row>
    <row r="855" spans="1:40" x14ac:dyDescent="0.25">
      <c r="A855" t="s">
        <v>6</v>
      </c>
      <c r="B855" t="str">
        <f>VLOOKUP(LEFT(A855,3),'Table corresp.'!$A$4:$D$63,3,FALSE)</f>
        <v>Transformation</v>
      </c>
      <c r="C855" t="str">
        <f>VLOOKUP(A855,'Table corresp.'!$M$4:$P$63,4,FALSE)</f>
        <v>Production et transformation de produits bois</v>
      </c>
      <c r="D855" t="s">
        <v>99</v>
      </c>
      <c r="E855" t="str">
        <f>VLOOKUP(LEFT(D855,3),'Table corresp.'!$A$4:$D$63,4,FALSE)</f>
        <v>Transformation</v>
      </c>
      <c r="F855" t="str">
        <f t="shared" si="94"/>
        <v xml:space="preserve">11  - 47 </v>
      </c>
      <c r="G855" s="164">
        <v>501.59200320601809</v>
      </c>
      <c r="H855" s="164">
        <v>10330.413647275211</v>
      </c>
      <c r="I855" s="164">
        <v>10831.990571908889</v>
      </c>
      <c r="J855" s="164">
        <v>1.9944799105512734</v>
      </c>
      <c r="K855" s="164">
        <v>38.51369912282459</v>
      </c>
      <c r="L855" s="164">
        <v>40.50817903337586</v>
      </c>
      <c r="M855" s="164">
        <v>0</v>
      </c>
      <c r="N855" s="164">
        <v>0</v>
      </c>
      <c r="O855" s="164">
        <v>0</v>
      </c>
      <c r="P855" s="164">
        <v>0</v>
      </c>
      <c r="Q855" s="164">
        <v>0</v>
      </c>
      <c r="R855" s="164">
        <v>0</v>
      </c>
      <c r="S855" s="163" t="str">
        <f t="shared" si="95"/>
        <v/>
      </c>
      <c r="T855" s="163">
        <f>VLOOKUP(A855,'Groupe de branches'!$Z$27:$AM$86,14,FALSE)</f>
        <v>0</v>
      </c>
      <c r="U855" s="163">
        <f>VLOOKUP(D855,'Groupe de branches'!$Z$27:$AM$86,14,FALSE)</f>
        <v>0</v>
      </c>
      <c r="V855" s="163">
        <v>2018</v>
      </c>
      <c r="W855" t="str">
        <f>VLOOKUP(D855,'Table corresp.'!$M$4:$S$63,7,FALSE)</f>
        <v>Meuble</v>
      </c>
      <c r="X855" s="167">
        <f>IFERROR(G855/SUMIFS('Comp2016-2017 (3)'!$I$5:$I$289,'Comp2016-2017 (3)'!$A$5:$A$289,A855,'Comp2016-2017 (3)'!$R$5:$R$289,V855),0)</f>
        <v>3.9128793304477417E-2</v>
      </c>
      <c r="Y855" s="178">
        <f>IFERROR(IF(RIGHT(F855,3)="Exp",VLOOKUP(F855,#REF!,2,FALSE),VLOOKUP(F855,#REF!,9,FALSE)),1)</f>
        <v>1</v>
      </c>
      <c r="Z855" s="167">
        <f t="shared" si="100"/>
        <v>9.0909090909090912E-2</v>
      </c>
      <c r="AA855" s="189">
        <f t="shared" si="99"/>
        <v>3.5571630276797655E-3</v>
      </c>
      <c r="AB855" s="2">
        <f>IFERROR(SUMIFS('Comp2016-2017 (3)'!$G$5:$G$289,'Comp2016-2017 (3)'!$A$5:$A$289,A855,'Comp2016-2017 (3)'!$R$5:$R$289,V855)*AA855/SUMIFS($AA$4:$AA$1116,$A$4:$A$1116,A855,$V$4:$V$1116,V855),0)</f>
        <v>126.88681989182112</v>
      </c>
      <c r="AC855" s="2" t="str">
        <f>IF($W855=AC$3,$AB855,IF(NOT($W855=0),"",SUMIFS('Val-Vol (2)'!AC$4:AC$1116,'Val-Vol (2)'!$A$4:$A$1116,$D855,'Val-Vol (2)'!$V$4:$V$1116,$V855)/SUMIFS('Comp2016-2017 (3)'!$G$5:$G$289,'Comp2016-2017 (3)'!$A$5:$A$289,$D855,'Comp2016-2017 (3)'!$R$5:$R$289,$V855)*$AB855))</f>
        <v/>
      </c>
      <c r="AD855" s="2" t="str">
        <f>IF($W855=AD$3,$AB855,IF(NOT($W855=0),"",SUMIFS('Val-Vol (2)'!AD$4:AD$1116,'Val-Vol (2)'!$A$4:$A$1116,$D855,'Val-Vol (2)'!$V$4:$V$1116,$V855)/SUMIFS('Comp2016-2017 (3)'!$G$5:$G$289,'Comp2016-2017 (3)'!$A$5:$A$289,$D855,'Comp2016-2017 (3)'!$R$5:$R$289,$V855)*$AB855))</f>
        <v/>
      </c>
      <c r="AE855" s="2">
        <f>IF($W855=AE$3,$AB855,IF(NOT($W855=0),"",SUMIFS('Val-Vol (2)'!AE$4:AE$1116,'Val-Vol (2)'!$A$4:$A$1116,$D855,'Val-Vol (2)'!$V$4:$V$1116,$V855)/SUMIFS('Comp2016-2017 (3)'!$G$5:$G$289,'Comp2016-2017 (3)'!$A$5:$A$289,$D855,'Comp2016-2017 (3)'!$R$5:$R$289,$V855)*$AB855))</f>
        <v>126.88681989182112</v>
      </c>
      <c r="AF855" s="2" t="str">
        <f>IF($W855=AF$3,$AB855,IF(NOT($W855=0),"",SUMIFS('Val-Vol (2)'!AF$4:AF$1116,'Val-Vol (2)'!$A$4:$A$1116,$D855,'Val-Vol (2)'!$V$4:$V$1116,$V855)/SUMIFS('Comp2016-2017 (3)'!$G$5:$G$289,'Comp2016-2017 (3)'!$A$5:$A$289,$D855,'Comp2016-2017 (3)'!$R$5:$R$289,$V855)*$AB855))</f>
        <v/>
      </c>
      <c r="AG855" s="2" t="str">
        <f>IF($W855=AG$3,$AB855,IF(NOT($W855=0),"",SUMIFS('Val-Vol (2)'!AG$4:AG$1116,'Val-Vol (2)'!$A$4:$A$1116,$D855,'Val-Vol (2)'!$V$4:$V$1116,$V855)/SUMIFS('Comp2016-2017 (3)'!$G$5:$G$289,'Comp2016-2017 (3)'!$A$5:$A$289,$D855,'Comp2016-2017 (3)'!$R$5:$R$289,$V855)*$AB855))</f>
        <v/>
      </c>
      <c r="AH855" s="2" t="str">
        <f>IF($W855=AH$3,$AB855,IF(NOT($W855=0),"",SUMIFS('Val-Vol (2)'!AH$4:AH$1116,'Val-Vol (2)'!$A$4:$A$1116,$D855,'Val-Vol (2)'!$V$4:$V$1116,$V855)/SUMIFS('Comp2016-2017 (3)'!$G$5:$G$289,'Comp2016-2017 (3)'!$A$5:$A$289,$D855,'Comp2016-2017 (3)'!$R$5:$R$289,$V855)*$AB855))</f>
        <v/>
      </c>
      <c r="AI855" s="2" t="str">
        <f>IF($W855=AI$3,$AB855,IF(NOT($W855=0),"",SUMIFS('Val-Vol (2)'!AI$4:AI$1116,'Val-Vol (2)'!$A$4:$A$1116,$D855,'Val-Vol (2)'!$V$4:$V$1116,$V855)/SUMIFS('Comp2016-2017 (3)'!$G$5:$G$289,'Comp2016-2017 (3)'!$A$5:$A$289,$D855,'Comp2016-2017 (3)'!$R$5:$R$289,$V855)*$AB855))</f>
        <v/>
      </c>
      <c r="AJ855" s="2" t="str">
        <f>IF($W855=AJ$3,$AB855,IF(NOT($W855=0),"",SUMIFS('Val-Vol (2)'!AJ$4:AJ$1116,'Val-Vol (2)'!$A$4:$A$1116,$D855,'Val-Vol (2)'!$V$4:$V$1116,$V855)/SUMIFS('Comp2016-2017 (3)'!$G$5:$G$289,'Comp2016-2017 (3)'!$A$5:$A$289,$D855,'Comp2016-2017 (3)'!$R$5:$R$289,$V855)*$AB855))</f>
        <v/>
      </c>
      <c r="AK855" s="2">
        <f t="shared" si="97"/>
        <v>0</v>
      </c>
      <c r="AL855" t="str">
        <f t="shared" si="98"/>
        <v/>
      </c>
      <c r="AM855" t="str">
        <f>VLOOKUP(A855,'Table corresp.'!$M$4:$U$63,8,FALSE)</f>
        <v>Production intermédiaire</v>
      </c>
      <c r="AN855" t="str">
        <f>VLOOKUP(D855,'Table corresp.'!$M$4:$U$63,9,FALSE)</f>
        <v>Production finale</v>
      </c>
    </row>
    <row r="856" spans="1:40" x14ac:dyDescent="0.25">
      <c r="A856" t="s">
        <v>6</v>
      </c>
      <c r="B856" t="str">
        <f>VLOOKUP(LEFT(A856,3),'Table corresp.'!$A$4:$D$63,3,FALSE)</f>
        <v>Transformation</v>
      </c>
      <c r="C856" t="str">
        <f>VLOOKUP(A856,'Table corresp.'!$M$4:$P$63,4,FALSE)</f>
        <v>Production et transformation de produits bois</v>
      </c>
      <c r="D856" t="s">
        <v>100</v>
      </c>
      <c r="E856" t="str">
        <f>VLOOKUP(LEFT(D856,3),'Table corresp.'!$A$4:$D$63,4,FALSE)</f>
        <v>Transformation</v>
      </c>
      <c r="F856" t="str">
        <f t="shared" si="94"/>
        <v xml:space="preserve">11  - 48 </v>
      </c>
      <c r="G856" s="164">
        <v>6640.3724201032792</v>
      </c>
      <c r="H856" s="164">
        <v>0</v>
      </c>
      <c r="I856" s="164">
        <v>6640.437221133202</v>
      </c>
      <c r="J856" s="164">
        <v>26.404107931989913</v>
      </c>
      <c r="K856" s="164">
        <v>0</v>
      </c>
      <c r="L856" s="164">
        <v>26.404107931989913</v>
      </c>
      <c r="M856" s="164">
        <v>0</v>
      </c>
      <c r="N856" s="164">
        <v>0</v>
      </c>
      <c r="O856" s="164">
        <v>0</v>
      </c>
      <c r="P856" s="164">
        <v>0</v>
      </c>
      <c r="Q856" s="164">
        <v>0</v>
      </c>
      <c r="R856" s="164">
        <v>0</v>
      </c>
      <c r="S856" s="163" t="str">
        <f t="shared" si="95"/>
        <v/>
      </c>
      <c r="T856" s="163">
        <f>VLOOKUP(A856,'Groupe de branches'!$Z$27:$AM$86,14,FALSE)</f>
        <v>0</v>
      </c>
      <c r="U856" s="163">
        <f>VLOOKUP(D856,'Groupe de branches'!$Z$27:$AM$86,14,FALSE)</f>
        <v>0</v>
      </c>
      <c r="V856" s="163">
        <v>2018</v>
      </c>
      <c r="W856" t="str">
        <f>VLOOKUP(D856,'Table corresp.'!$M$4:$S$63,7,FALSE)</f>
        <v>Produits de consommation courante</v>
      </c>
      <c r="X856" s="167">
        <f>IFERROR(G856/SUMIFS('Comp2016-2017 (3)'!$I$5:$I$289,'Comp2016-2017 (3)'!$A$5:$A$289,A856,'Comp2016-2017 (3)'!$R$5:$R$289,V856),0)</f>
        <v>0.51801017207256839</v>
      </c>
      <c r="Y856" s="178">
        <f>IFERROR(IF(RIGHT(F856,3)="Exp",VLOOKUP(F856,#REF!,2,FALSE),VLOOKUP(F856,#REF!,9,FALSE)),1)</f>
        <v>1</v>
      </c>
      <c r="Z856" s="167">
        <f t="shared" si="100"/>
        <v>9.0909090909090912E-2</v>
      </c>
      <c r="AA856" s="189">
        <f t="shared" si="99"/>
        <v>4.7091833824778946E-2</v>
      </c>
      <c r="AB856" s="2">
        <f>IFERROR(SUMIFS('Comp2016-2017 (3)'!$G$5:$G$289,'Comp2016-2017 (3)'!$A$5:$A$289,A856,'Comp2016-2017 (3)'!$R$5:$R$289,V856)*AA856/SUMIFS($AA$4:$AA$1116,$A$4:$A$1116,A856,$V$4:$V$1116,V856),0)</f>
        <v>1679.8029751247675</v>
      </c>
      <c r="AC856" s="2" t="str">
        <f>IF($W856=AC$3,$AB856,IF(NOT($W856=0),"",SUMIFS('Val-Vol (2)'!AC$4:AC$1116,'Val-Vol (2)'!$A$4:$A$1116,$D856,'Val-Vol (2)'!$V$4:$V$1116,$V856)/SUMIFS('Comp2016-2017 (3)'!$G$5:$G$289,'Comp2016-2017 (3)'!$A$5:$A$289,$D856,'Comp2016-2017 (3)'!$R$5:$R$289,$V856)*$AB856))</f>
        <v/>
      </c>
      <c r="AD856" s="2" t="str">
        <f>IF($W856=AD$3,$AB856,IF(NOT($W856=0),"",SUMIFS('Val-Vol (2)'!AD$4:AD$1116,'Val-Vol (2)'!$A$4:$A$1116,$D856,'Val-Vol (2)'!$V$4:$V$1116,$V856)/SUMIFS('Comp2016-2017 (3)'!$G$5:$G$289,'Comp2016-2017 (3)'!$A$5:$A$289,$D856,'Comp2016-2017 (3)'!$R$5:$R$289,$V856)*$AB856))</f>
        <v/>
      </c>
      <c r="AE856" s="2" t="str">
        <f>IF($W856=AE$3,$AB856,IF(NOT($W856=0),"",SUMIFS('Val-Vol (2)'!AE$4:AE$1116,'Val-Vol (2)'!$A$4:$A$1116,$D856,'Val-Vol (2)'!$V$4:$V$1116,$V856)/SUMIFS('Comp2016-2017 (3)'!$G$5:$G$289,'Comp2016-2017 (3)'!$A$5:$A$289,$D856,'Comp2016-2017 (3)'!$R$5:$R$289,$V856)*$AB856))</f>
        <v/>
      </c>
      <c r="AF856" s="2" t="str">
        <f>IF($W856=AF$3,$AB856,IF(NOT($W856=0),"",SUMIFS('Val-Vol (2)'!AF$4:AF$1116,'Val-Vol (2)'!$A$4:$A$1116,$D856,'Val-Vol (2)'!$V$4:$V$1116,$V856)/SUMIFS('Comp2016-2017 (3)'!$G$5:$G$289,'Comp2016-2017 (3)'!$A$5:$A$289,$D856,'Comp2016-2017 (3)'!$R$5:$R$289,$V856)*$AB856))</f>
        <v/>
      </c>
      <c r="AG856" s="2" t="str">
        <f>IF($W856=AG$3,$AB856,IF(NOT($W856=0),"",SUMIFS('Val-Vol (2)'!AG$4:AG$1116,'Val-Vol (2)'!$A$4:$A$1116,$D856,'Val-Vol (2)'!$V$4:$V$1116,$V856)/SUMIFS('Comp2016-2017 (3)'!$G$5:$G$289,'Comp2016-2017 (3)'!$A$5:$A$289,$D856,'Comp2016-2017 (3)'!$R$5:$R$289,$V856)*$AB856))</f>
        <v/>
      </c>
      <c r="AH856" s="2" t="str">
        <f>IF($W856=AH$3,$AB856,IF(NOT($W856=0),"",SUMIFS('Val-Vol (2)'!AH$4:AH$1116,'Val-Vol (2)'!$A$4:$A$1116,$D856,'Val-Vol (2)'!$V$4:$V$1116,$V856)/SUMIFS('Comp2016-2017 (3)'!$G$5:$G$289,'Comp2016-2017 (3)'!$A$5:$A$289,$D856,'Comp2016-2017 (3)'!$R$5:$R$289,$V856)*$AB856))</f>
        <v/>
      </c>
      <c r="AI856" s="2">
        <f>IF($W856=AI$3,$AB856,IF(NOT($W856=0),"",SUMIFS('Val-Vol (2)'!AI$4:AI$1116,'Val-Vol (2)'!$A$4:$A$1116,$D856,'Val-Vol (2)'!$V$4:$V$1116,$V856)/SUMIFS('Comp2016-2017 (3)'!$G$5:$G$289,'Comp2016-2017 (3)'!$A$5:$A$289,$D856,'Comp2016-2017 (3)'!$R$5:$R$289,$V856)*$AB856))</f>
        <v>1679.8029751247675</v>
      </c>
      <c r="AJ856" s="2" t="str">
        <f>IF($W856=AJ$3,$AB856,IF(NOT($W856=0),"",SUMIFS('Val-Vol (2)'!AJ$4:AJ$1116,'Val-Vol (2)'!$A$4:$A$1116,$D856,'Val-Vol (2)'!$V$4:$V$1116,$V856)/SUMIFS('Comp2016-2017 (3)'!$G$5:$G$289,'Comp2016-2017 (3)'!$A$5:$A$289,$D856,'Comp2016-2017 (3)'!$R$5:$R$289,$V856)*$AB856))</f>
        <v/>
      </c>
      <c r="AK856" s="2">
        <f t="shared" si="97"/>
        <v>0</v>
      </c>
      <c r="AL856" t="str">
        <f t="shared" si="98"/>
        <v/>
      </c>
      <c r="AM856" t="str">
        <f>VLOOKUP(A856,'Table corresp.'!$M$4:$U$63,8,FALSE)</f>
        <v>Production intermédiaire</v>
      </c>
      <c r="AN856" t="str">
        <f>VLOOKUP(D856,'Table corresp.'!$M$4:$U$63,9,FALSE)</f>
        <v>Production finale</v>
      </c>
    </row>
    <row r="857" spans="1:40" x14ac:dyDescent="0.25">
      <c r="A857" t="s">
        <v>6</v>
      </c>
      <c r="B857" t="str">
        <f>VLOOKUP(LEFT(A857,3),'Table corresp.'!$A$4:$D$63,3,FALSE)</f>
        <v>Transformation</v>
      </c>
      <c r="C857" t="str">
        <f>VLOOKUP(A857,'Table corresp.'!$M$4:$P$63,4,FALSE)</f>
        <v>Production et transformation de produits bois</v>
      </c>
      <c r="D857" t="s">
        <v>21</v>
      </c>
      <c r="E857" t="str">
        <f>VLOOKUP(LEFT(D857,3),'Table corresp.'!$A$4:$D$63,4,FALSE)</f>
        <v>Transformation</v>
      </c>
      <c r="F857" t="str">
        <f t="shared" si="94"/>
        <v xml:space="preserve">11  - 54 </v>
      </c>
      <c r="G857" s="164">
        <v>1386.3752784587775</v>
      </c>
      <c r="H857" s="164">
        <v>16004.926026647572</v>
      </c>
      <c r="I857" s="164">
        <v>17391.283889382539</v>
      </c>
      <c r="J857" s="164">
        <v>5.5126429921077813</v>
      </c>
      <c r="K857" s="164">
        <v>59.669334309372537</v>
      </c>
      <c r="L857" s="164">
        <v>65.181977301480316</v>
      </c>
      <c r="M857" s="164">
        <v>0</v>
      </c>
      <c r="N857" s="164">
        <v>0</v>
      </c>
      <c r="O857" s="164">
        <v>0</v>
      </c>
      <c r="P857" s="164">
        <v>0</v>
      </c>
      <c r="Q857" s="164">
        <v>0</v>
      </c>
      <c r="R857" s="164">
        <v>0</v>
      </c>
      <c r="S857" s="163" t="str">
        <f t="shared" si="95"/>
        <v/>
      </c>
      <c r="T857" s="163">
        <f>VLOOKUP(A857,'Groupe de branches'!$Z$27:$AM$86,14,FALSE)</f>
        <v>0</v>
      </c>
      <c r="U857" s="163">
        <f>VLOOKUP(D857,'Groupe de branches'!$Z$27:$AM$86,14,FALSE)</f>
        <v>0</v>
      </c>
      <c r="V857" s="163">
        <v>2018</v>
      </c>
      <c r="W857" t="str">
        <f>VLOOKUP(D857,'Table corresp.'!$M$4:$S$63,7,FALSE)</f>
        <v>Construction</v>
      </c>
      <c r="X857" s="167">
        <f>IFERROR(G857/SUMIFS('Comp2016-2017 (3)'!$I$5:$I$289,'Comp2016-2017 (3)'!$A$5:$A$289,A857,'Comp2016-2017 (3)'!$R$5:$R$289,V857),0)</f>
        <v>0.10815003302787897</v>
      </c>
      <c r="Y857" s="178">
        <f>IFERROR(IF(RIGHT(F857,3)="Exp",VLOOKUP(F857,#REF!,2,FALSE),VLOOKUP(F857,#REF!,9,FALSE)),1)</f>
        <v>1</v>
      </c>
      <c r="Z857" s="167">
        <f t="shared" si="100"/>
        <v>9.0909090909090912E-2</v>
      </c>
      <c r="AA857" s="189">
        <f t="shared" si="99"/>
        <v>9.8318211843526331E-3</v>
      </c>
      <c r="AB857" s="2">
        <f>IFERROR(SUMIFS('Comp2016-2017 (3)'!$G$5:$G$289,'Comp2016-2017 (3)'!$A$5:$A$289,A857,'Comp2016-2017 (3)'!$R$5:$R$289,V857)*AA857/SUMIFS($AA$4:$AA$1116,$A$4:$A$1116,A857,$V$4:$V$1116,V857),0)</f>
        <v>350.70884132102054</v>
      </c>
      <c r="AC857" s="2" t="str">
        <f>IF($W857=AC$3,$AB857,IF(NOT($W857=0),"",SUMIFS('Val-Vol (2)'!AC$4:AC$1116,'Val-Vol (2)'!$A$4:$A$1116,$D857,'Val-Vol (2)'!$V$4:$V$1116,$V857)/SUMIFS('Comp2016-2017 (3)'!$G$5:$G$289,'Comp2016-2017 (3)'!$A$5:$A$289,$D857,'Comp2016-2017 (3)'!$R$5:$R$289,$V857)*$AB857))</f>
        <v/>
      </c>
      <c r="AD857" s="2">
        <f>IF($W857=AD$3,$AB857,IF(NOT($W857=0),"",SUMIFS('Val-Vol (2)'!AD$4:AD$1116,'Val-Vol (2)'!$A$4:$A$1116,$D857,'Val-Vol (2)'!$V$4:$V$1116,$V857)/SUMIFS('Comp2016-2017 (3)'!$G$5:$G$289,'Comp2016-2017 (3)'!$A$5:$A$289,$D857,'Comp2016-2017 (3)'!$R$5:$R$289,$V857)*$AB857))</f>
        <v>350.70884132102054</v>
      </c>
      <c r="AE857" s="2" t="str">
        <f>IF($W857=AE$3,$AB857,IF(NOT($W857=0),"",SUMIFS('Val-Vol (2)'!AE$4:AE$1116,'Val-Vol (2)'!$A$4:$A$1116,$D857,'Val-Vol (2)'!$V$4:$V$1116,$V857)/SUMIFS('Comp2016-2017 (3)'!$G$5:$G$289,'Comp2016-2017 (3)'!$A$5:$A$289,$D857,'Comp2016-2017 (3)'!$R$5:$R$289,$V857)*$AB857))</f>
        <v/>
      </c>
      <c r="AF857" s="2" t="str">
        <f>IF($W857=AF$3,$AB857,IF(NOT($W857=0),"",SUMIFS('Val-Vol (2)'!AF$4:AF$1116,'Val-Vol (2)'!$A$4:$A$1116,$D857,'Val-Vol (2)'!$V$4:$V$1116,$V857)/SUMIFS('Comp2016-2017 (3)'!$G$5:$G$289,'Comp2016-2017 (3)'!$A$5:$A$289,$D857,'Comp2016-2017 (3)'!$R$5:$R$289,$V857)*$AB857))</f>
        <v/>
      </c>
      <c r="AG857" s="2" t="str">
        <f>IF($W857=AG$3,$AB857,IF(NOT($W857=0),"",SUMIFS('Val-Vol (2)'!AG$4:AG$1116,'Val-Vol (2)'!$A$4:$A$1116,$D857,'Val-Vol (2)'!$V$4:$V$1116,$V857)/SUMIFS('Comp2016-2017 (3)'!$G$5:$G$289,'Comp2016-2017 (3)'!$A$5:$A$289,$D857,'Comp2016-2017 (3)'!$R$5:$R$289,$V857)*$AB857))</f>
        <v/>
      </c>
      <c r="AH857" s="2" t="str">
        <f>IF($W857=AH$3,$AB857,IF(NOT($W857=0),"",SUMIFS('Val-Vol (2)'!AH$4:AH$1116,'Val-Vol (2)'!$A$4:$A$1116,$D857,'Val-Vol (2)'!$V$4:$V$1116,$V857)/SUMIFS('Comp2016-2017 (3)'!$G$5:$G$289,'Comp2016-2017 (3)'!$A$5:$A$289,$D857,'Comp2016-2017 (3)'!$R$5:$R$289,$V857)*$AB857))</f>
        <v/>
      </c>
      <c r="AI857" s="2" t="str">
        <f>IF($W857=AI$3,$AB857,IF(NOT($W857=0),"",SUMIFS('Val-Vol (2)'!AI$4:AI$1116,'Val-Vol (2)'!$A$4:$A$1116,$D857,'Val-Vol (2)'!$V$4:$V$1116,$V857)/SUMIFS('Comp2016-2017 (3)'!$G$5:$G$289,'Comp2016-2017 (3)'!$A$5:$A$289,$D857,'Comp2016-2017 (3)'!$R$5:$R$289,$V857)*$AB857))</f>
        <v/>
      </c>
      <c r="AJ857" s="2" t="str">
        <f>IF($W857=AJ$3,$AB857,IF(NOT($W857=0),"",SUMIFS('Val-Vol (2)'!AJ$4:AJ$1116,'Val-Vol (2)'!$A$4:$A$1116,$D857,'Val-Vol (2)'!$V$4:$V$1116,$V857)/SUMIFS('Comp2016-2017 (3)'!$G$5:$G$289,'Comp2016-2017 (3)'!$A$5:$A$289,$D857,'Comp2016-2017 (3)'!$R$5:$R$289,$V857)*$AB857))</f>
        <v/>
      </c>
      <c r="AK857" s="2">
        <f t="shared" si="97"/>
        <v>0</v>
      </c>
      <c r="AL857" t="str">
        <f t="shared" si="98"/>
        <v/>
      </c>
      <c r="AM857" t="str">
        <f>VLOOKUP(A857,'Table corresp.'!$M$4:$U$63,8,FALSE)</f>
        <v>Production intermédiaire</v>
      </c>
      <c r="AN857" t="str">
        <f>VLOOKUP(D857,'Table corresp.'!$M$4:$U$63,9,FALSE)</f>
        <v xml:space="preserve">Mise en œuvre </v>
      </c>
    </row>
    <row r="858" spans="1:40" x14ac:dyDescent="0.25">
      <c r="A858" t="s">
        <v>6</v>
      </c>
      <c r="B858" t="str">
        <f>VLOOKUP(LEFT(A858,3),'Table corresp.'!$A$4:$D$63,3,FALSE)</f>
        <v>Transformation</v>
      </c>
      <c r="C858" t="str">
        <f>VLOOKUP(A858,'Table corresp.'!$M$4:$P$63,4,FALSE)</f>
        <v>Production et transformation de produits bois</v>
      </c>
      <c r="D858" t="s">
        <v>22</v>
      </c>
      <c r="E858" t="str">
        <f>VLOOKUP(LEFT(D858,3),'Table corresp.'!$A$4:$D$63,4,FALSE)</f>
        <v>Transformation</v>
      </c>
      <c r="F858" t="str">
        <f t="shared" si="94"/>
        <v xml:space="preserve">11  - 55 </v>
      </c>
      <c r="G858" s="164">
        <v>8.4749618838863352</v>
      </c>
      <c r="H858" s="164">
        <v>160.62731328854647</v>
      </c>
      <c r="I858" s="164">
        <v>169.10204731026141</v>
      </c>
      <c r="J858" s="164">
        <v>3.3698984656971236E-2</v>
      </c>
      <c r="K858" s="164">
        <v>0.59884843203103477</v>
      </c>
      <c r="L858" s="164">
        <v>0.63254741668800596</v>
      </c>
      <c r="M858" s="164">
        <v>0</v>
      </c>
      <c r="N858" s="164">
        <v>0</v>
      </c>
      <c r="O858" s="164">
        <v>0</v>
      </c>
      <c r="P858" s="164">
        <v>0</v>
      </c>
      <c r="Q858" s="164">
        <v>0</v>
      </c>
      <c r="R858" s="164">
        <v>0</v>
      </c>
      <c r="S858" s="163" t="str">
        <f t="shared" si="95"/>
        <v/>
      </c>
      <c r="T858" s="163">
        <f>VLOOKUP(A858,'Groupe de branches'!$Z$27:$AM$86,14,FALSE)</f>
        <v>0</v>
      </c>
      <c r="U858" s="163">
        <f>VLOOKUP(D858,'Groupe de branches'!$Z$27:$AM$86,14,FALSE)</f>
        <v>0</v>
      </c>
      <c r="V858" s="163">
        <v>2018</v>
      </c>
      <c r="W858" t="str">
        <f>VLOOKUP(D858,'Table corresp.'!$M$4:$S$63,7,FALSE)</f>
        <v>Construction</v>
      </c>
      <c r="X858" s="167">
        <f>IFERROR(G858/SUMIFS('Comp2016-2017 (3)'!$I$5:$I$289,'Comp2016-2017 (3)'!$A$5:$A$289,A858,'Comp2016-2017 (3)'!$R$5:$R$289,V858),0)</f>
        <v>6.6112503727797523E-4</v>
      </c>
      <c r="Y858" s="178">
        <f>IFERROR(IF(RIGHT(F858,3)="Exp",VLOOKUP(F858,#REF!,2,FALSE),VLOOKUP(F858,#REF!,9,FALSE)),1)</f>
        <v>1</v>
      </c>
      <c r="Z858" s="167">
        <f t="shared" si="100"/>
        <v>9.0909090909090912E-2</v>
      </c>
      <c r="AA858" s="189">
        <f t="shared" si="99"/>
        <v>6.0102276116179571E-5</v>
      </c>
      <c r="AB858" s="2">
        <f>IFERROR(SUMIFS('Comp2016-2017 (3)'!$G$5:$G$289,'Comp2016-2017 (3)'!$A$5:$A$289,A858,'Comp2016-2017 (3)'!$R$5:$R$289,V858)*AA858/SUMIFS($AA$4:$AA$1116,$A$4:$A$1116,A858,$V$4:$V$1116,V858),0)</f>
        <v>2.1438957464978823</v>
      </c>
      <c r="AC858" s="2" t="str">
        <f>IF($W858=AC$3,$AB858,IF(NOT($W858=0),"",SUMIFS('Val-Vol (2)'!AC$4:AC$1116,'Val-Vol (2)'!$A$4:$A$1116,$D858,'Val-Vol (2)'!$V$4:$V$1116,$V858)/SUMIFS('Comp2016-2017 (3)'!$G$5:$G$289,'Comp2016-2017 (3)'!$A$5:$A$289,$D858,'Comp2016-2017 (3)'!$R$5:$R$289,$V858)*$AB858))</f>
        <v/>
      </c>
      <c r="AD858" s="2">
        <f>IF($W858=AD$3,$AB858,IF(NOT($W858=0),"",SUMIFS('Val-Vol (2)'!AD$4:AD$1116,'Val-Vol (2)'!$A$4:$A$1116,$D858,'Val-Vol (2)'!$V$4:$V$1116,$V858)/SUMIFS('Comp2016-2017 (3)'!$G$5:$G$289,'Comp2016-2017 (3)'!$A$5:$A$289,$D858,'Comp2016-2017 (3)'!$R$5:$R$289,$V858)*$AB858))</f>
        <v>2.1438957464978823</v>
      </c>
      <c r="AE858" s="2" t="str">
        <f>IF($W858=AE$3,$AB858,IF(NOT($W858=0),"",SUMIFS('Val-Vol (2)'!AE$4:AE$1116,'Val-Vol (2)'!$A$4:$A$1116,$D858,'Val-Vol (2)'!$V$4:$V$1116,$V858)/SUMIFS('Comp2016-2017 (3)'!$G$5:$G$289,'Comp2016-2017 (3)'!$A$5:$A$289,$D858,'Comp2016-2017 (3)'!$R$5:$R$289,$V858)*$AB858))</f>
        <v/>
      </c>
      <c r="AF858" s="2" t="str">
        <f>IF($W858=AF$3,$AB858,IF(NOT($W858=0),"",SUMIFS('Val-Vol (2)'!AF$4:AF$1116,'Val-Vol (2)'!$A$4:$A$1116,$D858,'Val-Vol (2)'!$V$4:$V$1116,$V858)/SUMIFS('Comp2016-2017 (3)'!$G$5:$G$289,'Comp2016-2017 (3)'!$A$5:$A$289,$D858,'Comp2016-2017 (3)'!$R$5:$R$289,$V858)*$AB858))</f>
        <v/>
      </c>
      <c r="AG858" s="2" t="str">
        <f>IF($W858=AG$3,$AB858,IF(NOT($W858=0),"",SUMIFS('Val-Vol (2)'!AG$4:AG$1116,'Val-Vol (2)'!$A$4:$A$1116,$D858,'Val-Vol (2)'!$V$4:$V$1116,$V858)/SUMIFS('Comp2016-2017 (3)'!$G$5:$G$289,'Comp2016-2017 (3)'!$A$5:$A$289,$D858,'Comp2016-2017 (3)'!$R$5:$R$289,$V858)*$AB858))</f>
        <v/>
      </c>
      <c r="AH858" s="2" t="str">
        <f>IF($W858=AH$3,$AB858,IF(NOT($W858=0),"",SUMIFS('Val-Vol (2)'!AH$4:AH$1116,'Val-Vol (2)'!$A$4:$A$1116,$D858,'Val-Vol (2)'!$V$4:$V$1116,$V858)/SUMIFS('Comp2016-2017 (3)'!$G$5:$G$289,'Comp2016-2017 (3)'!$A$5:$A$289,$D858,'Comp2016-2017 (3)'!$R$5:$R$289,$V858)*$AB858))</f>
        <v/>
      </c>
      <c r="AI858" s="2" t="str">
        <f>IF($W858=AI$3,$AB858,IF(NOT($W858=0),"",SUMIFS('Val-Vol (2)'!AI$4:AI$1116,'Val-Vol (2)'!$A$4:$A$1116,$D858,'Val-Vol (2)'!$V$4:$V$1116,$V858)/SUMIFS('Comp2016-2017 (3)'!$G$5:$G$289,'Comp2016-2017 (3)'!$A$5:$A$289,$D858,'Comp2016-2017 (3)'!$R$5:$R$289,$V858)*$AB858))</f>
        <v/>
      </c>
      <c r="AJ858" s="2" t="str">
        <f>IF($W858=AJ$3,$AB858,IF(NOT($W858=0),"",SUMIFS('Val-Vol (2)'!AJ$4:AJ$1116,'Val-Vol (2)'!$A$4:$A$1116,$D858,'Val-Vol (2)'!$V$4:$V$1116,$V858)/SUMIFS('Comp2016-2017 (3)'!$G$5:$G$289,'Comp2016-2017 (3)'!$A$5:$A$289,$D858,'Comp2016-2017 (3)'!$R$5:$R$289,$V858)*$AB858))</f>
        <v/>
      </c>
      <c r="AK858" s="2">
        <f t="shared" si="97"/>
        <v>0</v>
      </c>
      <c r="AL858" t="str">
        <f t="shared" si="98"/>
        <v/>
      </c>
      <c r="AM858" t="str">
        <f>VLOOKUP(A858,'Table corresp.'!$M$4:$U$63,8,FALSE)</f>
        <v>Production intermédiaire</v>
      </c>
      <c r="AN858" t="str">
        <f>VLOOKUP(D858,'Table corresp.'!$M$4:$U$63,9,FALSE)</f>
        <v xml:space="preserve">Mise en œuvre </v>
      </c>
    </row>
    <row r="859" spans="1:40" x14ac:dyDescent="0.25">
      <c r="A859" t="s">
        <v>6</v>
      </c>
      <c r="B859" t="str">
        <f>VLOOKUP(LEFT(A859,3),'Table corresp.'!$A$4:$D$63,3,FALSE)</f>
        <v>Transformation</v>
      </c>
      <c r="C859" t="str">
        <f>VLOOKUP(A859,'Table corresp.'!$M$4:$P$63,4,FALSE)</f>
        <v>Production et transformation de produits bois</v>
      </c>
      <c r="D859" t="s">
        <v>54</v>
      </c>
      <c r="E859" t="str">
        <f>VLOOKUP(LEFT(D859,3),'Table corresp.'!$A$4:$D$63,4,FALSE)</f>
        <v>Consommation finale</v>
      </c>
      <c r="F859" t="str">
        <f t="shared" si="94"/>
        <v>11  - Con</v>
      </c>
      <c r="G859" s="164">
        <v>125.77277588986033</v>
      </c>
      <c r="H859" s="164">
        <v>2634.2056587711477</v>
      </c>
      <c r="I859" s="164">
        <v>2759.9745689043971</v>
      </c>
      <c r="J859" s="164">
        <v>0.50011019554385172</v>
      </c>
      <c r="K859" s="164">
        <v>9.8208075333279172</v>
      </c>
      <c r="L859" s="164">
        <v>10.32091772887177</v>
      </c>
      <c r="M859" s="164">
        <v>0</v>
      </c>
      <c r="N859" s="164">
        <v>0</v>
      </c>
      <c r="O859" s="164">
        <v>0</v>
      </c>
      <c r="P859" s="164">
        <v>0</v>
      </c>
      <c r="Q859" s="164">
        <v>0</v>
      </c>
      <c r="R859" s="164">
        <v>0</v>
      </c>
      <c r="S859" s="163" t="str">
        <f t="shared" si="95"/>
        <v/>
      </c>
      <c r="T859" s="163">
        <f>VLOOKUP(A859,'Groupe de branches'!$Z$27:$AM$86,14,FALSE)</f>
        <v>0</v>
      </c>
      <c r="U859" s="163">
        <f>VLOOKUP(D859,'Groupe de branches'!$Z$27:$AM$86,14,FALSE)</f>
        <v>0</v>
      </c>
      <c r="V859" s="163">
        <v>2018</v>
      </c>
      <c r="W859" t="str">
        <f>VLOOKUP(D859,'Table corresp.'!$M$4:$S$63,7,FALSE)</f>
        <v>Consommation finale</v>
      </c>
      <c r="X859" s="167">
        <f>IFERROR(G859/SUMIFS('Comp2016-2017 (3)'!$I$5:$I$289,'Comp2016-2017 (3)'!$A$5:$A$289,A859,'Comp2016-2017 (3)'!$R$5:$R$289,V859),0)</f>
        <v>9.8114342327410928E-3</v>
      </c>
      <c r="Y859" s="178">
        <f>IFERROR(IF(RIGHT(F859,3)="Exp",VLOOKUP(F859,#REF!,2,FALSE),VLOOKUP(F859,#REF!,9,FALSE)),1)</f>
        <v>1</v>
      </c>
      <c r="Z859" s="167">
        <f t="shared" si="100"/>
        <v>9.0909090909090912E-2</v>
      </c>
      <c r="AA859" s="189">
        <f t="shared" si="99"/>
        <v>8.9194856661282669E-4</v>
      </c>
      <c r="AB859" s="2">
        <f>IFERROR(SUMIFS('Comp2016-2017 (3)'!$G$5:$G$289,'Comp2016-2017 (3)'!$A$5:$A$289,A859,'Comp2016-2017 (3)'!$R$5:$R$289,V859)*AA859/SUMIFS($AA$4:$AA$1116,$A$4:$A$1116,A859,$V$4:$V$1116,V859),0)</f>
        <v>31.816511147759091</v>
      </c>
      <c r="AC859" s="2" t="str">
        <f>IF($W859=AC$3,$AB859,IF(NOT($W859=0),"",SUMIFS('Val-Vol (2)'!AC$4:AC$1116,'Val-Vol (2)'!$A$4:$A$1116,$D859,'Val-Vol (2)'!$V$4:$V$1116,$V859)/SUMIFS('Comp2016-2017 (3)'!$G$5:$G$289,'Comp2016-2017 (3)'!$A$5:$A$289,$D859,'Comp2016-2017 (3)'!$R$5:$R$289,$V859)*$AB859))</f>
        <v/>
      </c>
      <c r="AD859" s="2" t="str">
        <f>IF($W859=AD$3,$AB859,IF(NOT($W859=0),"",SUMIFS('Val-Vol (2)'!AD$4:AD$1116,'Val-Vol (2)'!$A$4:$A$1116,$D859,'Val-Vol (2)'!$V$4:$V$1116,$V859)/SUMIFS('Comp2016-2017 (3)'!$G$5:$G$289,'Comp2016-2017 (3)'!$A$5:$A$289,$D859,'Comp2016-2017 (3)'!$R$5:$R$289,$V859)*$AB859))</f>
        <v/>
      </c>
      <c r="AE859" s="2" t="str">
        <f>IF($W859=AE$3,$AB859,IF(NOT($W859=0),"",SUMIFS('Val-Vol (2)'!AE$4:AE$1116,'Val-Vol (2)'!$A$4:$A$1116,$D859,'Val-Vol (2)'!$V$4:$V$1116,$V859)/SUMIFS('Comp2016-2017 (3)'!$G$5:$G$289,'Comp2016-2017 (3)'!$A$5:$A$289,$D859,'Comp2016-2017 (3)'!$R$5:$R$289,$V859)*$AB859))</f>
        <v/>
      </c>
      <c r="AF859" s="2" t="str">
        <f>IF($W859=AF$3,$AB859,IF(NOT($W859=0),"",SUMIFS('Val-Vol (2)'!AF$4:AF$1116,'Val-Vol (2)'!$A$4:$A$1116,$D859,'Val-Vol (2)'!$V$4:$V$1116,$V859)/SUMIFS('Comp2016-2017 (3)'!$G$5:$G$289,'Comp2016-2017 (3)'!$A$5:$A$289,$D859,'Comp2016-2017 (3)'!$R$5:$R$289,$V859)*$AB859))</f>
        <v/>
      </c>
      <c r="AG859" s="2" t="str">
        <f>IF($W859=AG$3,$AB859,IF(NOT($W859=0),"",SUMIFS('Val-Vol (2)'!AG$4:AG$1116,'Val-Vol (2)'!$A$4:$A$1116,$D859,'Val-Vol (2)'!$V$4:$V$1116,$V859)/SUMIFS('Comp2016-2017 (3)'!$G$5:$G$289,'Comp2016-2017 (3)'!$A$5:$A$289,$D859,'Comp2016-2017 (3)'!$R$5:$R$289,$V859)*$AB859))</f>
        <v/>
      </c>
      <c r="AH859" s="2" t="str">
        <f>IF($W859=AH$3,$AB859,IF(NOT($W859=0),"",SUMIFS('Val-Vol (2)'!AH$4:AH$1116,'Val-Vol (2)'!$A$4:$A$1116,$D859,'Val-Vol (2)'!$V$4:$V$1116,$V859)/SUMIFS('Comp2016-2017 (3)'!$G$5:$G$289,'Comp2016-2017 (3)'!$A$5:$A$289,$D859,'Comp2016-2017 (3)'!$R$5:$R$289,$V859)*$AB859))</f>
        <v/>
      </c>
      <c r="AI859" s="2" t="str">
        <f>IF($W859=AI$3,$AB859,IF(NOT($W859=0),"",SUMIFS('Val-Vol (2)'!AI$4:AI$1116,'Val-Vol (2)'!$A$4:$A$1116,$D859,'Val-Vol (2)'!$V$4:$V$1116,$V859)/SUMIFS('Comp2016-2017 (3)'!$G$5:$G$289,'Comp2016-2017 (3)'!$A$5:$A$289,$D859,'Comp2016-2017 (3)'!$R$5:$R$289,$V859)*$AB859))</f>
        <v/>
      </c>
      <c r="AJ859" s="2">
        <f>IF($W859=AJ$3,$AB859,IF(NOT($W859=0),"",SUMIFS('Val-Vol (2)'!AJ$4:AJ$1116,'Val-Vol (2)'!$A$4:$A$1116,$D859,'Val-Vol (2)'!$V$4:$V$1116,$V859)/SUMIFS('Comp2016-2017 (3)'!$G$5:$G$289,'Comp2016-2017 (3)'!$A$5:$A$289,$D859,'Comp2016-2017 (3)'!$R$5:$R$289,$V859)*$AB859))</f>
        <v>31.816511147759091</v>
      </c>
      <c r="AK859" s="2">
        <f t="shared" si="97"/>
        <v>0</v>
      </c>
      <c r="AL859" t="str">
        <f t="shared" si="98"/>
        <v/>
      </c>
      <c r="AM859" t="str">
        <f>VLOOKUP(A859,'Table corresp.'!$M$4:$U$63,8,FALSE)</f>
        <v>Production intermédiaire</v>
      </c>
      <c r="AN859" t="str">
        <f>VLOOKUP(D859,'Table corresp.'!$M$4:$U$63,9,FALSE)</f>
        <v>Consommation finale française</v>
      </c>
    </row>
    <row r="860" spans="1:40" x14ac:dyDescent="0.25">
      <c r="A860" t="s">
        <v>6</v>
      </c>
      <c r="B860" t="str">
        <f>VLOOKUP(LEFT(A860,3),'Table corresp.'!$A$4:$D$63,3,FALSE)</f>
        <v>Transformation</v>
      </c>
      <c r="C860" t="str">
        <f>VLOOKUP(A860,'Table corresp.'!$M$4:$P$63,4,FALSE)</f>
        <v>Production et transformation de produits bois</v>
      </c>
      <c r="D860" t="s">
        <v>53</v>
      </c>
      <c r="E860" t="str">
        <f>VLOOKUP(LEFT(D860,3),'Table corresp.'!$A$4:$D$63,4,FALSE)</f>
        <v>Exportation</v>
      </c>
      <c r="F860" t="str">
        <f t="shared" si="94"/>
        <v>11  - Exp</v>
      </c>
      <c r="G860" s="164">
        <v>2325.6583047287313</v>
      </c>
      <c r="H860" s="164">
        <v>0</v>
      </c>
      <c r="I860" s="164">
        <v>2325.6809999999996</v>
      </c>
      <c r="J860" s="164">
        <v>6.977015750904461</v>
      </c>
      <c r="K860" s="164">
        <v>0</v>
      </c>
      <c r="L860" s="164">
        <v>6.977015750904461</v>
      </c>
      <c r="M860" s="164">
        <v>0</v>
      </c>
      <c r="N860" s="164">
        <v>0</v>
      </c>
      <c r="O860" s="164">
        <v>0</v>
      </c>
      <c r="P860" s="164">
        <v>0</v>
      </c>
      <c r="Q860" s="164">
        <v>0</v>
      </c>
      <c r="R860" s="164">
        <v>0</v>
      </c>
      <c r="S860" s="163" t="str">
        <f t="shared" si="95"/>
        <v/>
      </c>
      <c r="T860" s="163">
        <f>VLOOKUP(A860,'Groupe de branches'!$Z$27:$AM$86,14,FALSE)</f>
        <v>0</v>
      </c>
      <c r="U860" s="163">
        <f>VLOOKUP(D860,'Groupe de branches'!$Z$27:$AM$86,14,FALSE)</f>
        <v>0</v>
      </c>
      <c r="V860" s="163">
        <v>2018</v>
      </c>
      <c r="W860" t="str">
        <f>VLOOKUP(D860,'Table corresp.'!$M$4:$S$63,7,FALSE)</f>
        <v>Exportation</v>
      </c>
      <c r="X860" s="167">
        <f>IFERROR(G860/SUMIFS('Comp2016-2017 (3)'!$I$5:$I$289,'Comp2016-2017 (3)'!$A$5:$A$289,A860,'Comp2016-2017 (3)'!$R$5:$R$289,V860),0)</f>
        <v>0.18142275498996643</v>
      </c>
      <c r="Y860" s="178">
        <f>IFERROR(IF(RIGHT(F860,3)="Exp",VLOOKUP(F860,#REF!,2,FALSE),VLOOKUP(F860,#REF!,9,FALSE)),1)</f>
        <v>1</v>
      </c>
      <c r="Z860" s="167">
        <f t="shared" si="100"/>
        <v>9.0909090909090912E-2</v>
      </c>
      <c r="AA860" s="189">
        <f t="shared" si="99"/>
        <v>1.6492977726360585E-2</v>
      </c>
      <c r="AB860" s="2">
        <f>IFERROR(SUMIFS('Comp2016-2017 (3)'!$G$5:$G$289,'Comp2016-2017 (3)'!$A$5:$A$289,A860,'Comp2016-2017 (3)'!$R$5:$R$289,V860)*AA860/SUMIFS($AA$4:$AA$1116,$A$4:$A$1116,A860,$V$4:$V$1116,V860),0)</f>
        <v>588.31756598166589</v>
      </c>
      <c r="AC860" s="2">
        <f>IF($W860=AC$3,$AB860,IF(NOT($W860=0),"",SUMIFS('Val-Vol (2)'!AC$4:AC$1116,'Val-Vol (2)'!$A$4:$A$1116,$D860,'Val-Vol (2)'!$V$4:$V$1116,$V860)/SUMIFS('Comp2016-2017 (3)'!$G$5:$G$289,'Comp2016-2017 (3)'!$A$5:$A$289,$D860,'Comp2016-2017 (3)'!$R$5:$R$289,$V860)*$AB860))</f>
        <v>588.31756598166589</v>
      </c>
      <c r="AD860" s="2" t="str">
        <f>IF($W860=AD$3,$AB860,IF(NOT($W860=0),"",SUMIFS('Val-Vol (2)'!AD$4:AD$1116,'Val-Vol (2)'!$A$4:$A$1116,$D860,'Val-Vol (2)'!$V$4:$V$1116,$V860)/SUMIFS('Comp2016-2017 (3)'!$G$5:$G$289,'Comp2016-2017 (3)'!$A$5:$A$289,$D860,'Comp2016-2017 (3)'!$R$5:$R$289,$V860)*$AB860))</f>
        <v/>
      </c>
      <c r="AE860" s="2" t="str">
        <f>IF($W860=AE$3,$AB860,IF(NOT($W860=0),"",SUMIFS('Val-Vol (2)'!AE$4:AE$1116,'Val-Vol (2)'!$A$4:$A$1116,$D860,'Val-Vol (2)'!$V$4:$V$1116,$V860)/SUMIFS('Comp2016-2017 (3)'!$G$5:$G$289,'Comp2016-2017 (3)'!$A$5:$A$289,$D860,'Comp2016-2017 (3)'!$R$5:$R$289,$V860)*$AB860))</f>
        <v/>
      </c>
      <c r="AF860" s="2" t="str">
        <f>IF($W860=AF$3,$AB860,IF(NOT($W860=0),"",SUMIFS('Val-Vol (2)'!AF$4:AF$1116,'Val-Vol (2)'!$A$4:$A$1116,$D860,'Val-Vol (2)'!$V$4:$V$1116,$V860)/SUMIFS('Comp2016-2017 (3)'!$G$5:$G$289,'Comp2016-2017 (3)'!$A$5:$A$289,$D860,'Comp2016-2017 (3)'!$R$5:$R$289,$V860)*$AB860))</f>
        <v/>
      </c>
      <c r="AG860" s="2" t="str">
        <f>IF($W860=AG$3,$AB860,IF(NOT($W860=0),"",SUMIFS('Val-Vol (2)'!AG$4:AG$1116,'Val-Vol (2)'!$A$4:$A$1116,$D860,'Val-Vol (2)'!$V$4:$V$1116,$V860)/SUMIFS('Comp2016-2017 (3)'!$G$5:$G$289,'Comp2016-2017 (3)'!$A$5:$A$289,$D860,'Comp2016-2017 (3)'!$R$5:$R$289,$V860)*$AB860))</f>
        <v/>
      </c>
      <c r="AH860" s="2" t="str">
        <f>IF($W860=AH$3,$AB860,IF(NOT($W860=0),"",SUMIFS('Val-Vol (2)'!AH$4:AH$1116,'Val-Vol (2)'!$A$4:$A$1116,$D860,'Val-Vol (2)'!$V$4:$V$1116,$V860)/SUMIFS('Comp2016-2017 (3)'!$G$5:$G$289,'Comp2016-2017 (3)'!$A$5:$A$289,$D860,'Comp2016-2017 (3)'!$R$5:$R$289,$V860)*$AB860))</f>
        <v/>
      </c>
      <c r="AI860" s="2" t="str">
        <f>IF($W860=AI$3,$AB860,IF(NOT($W860=0),"",SUMIFS('Val-Vol (2)'!AI$4:AI$1116,'Val-Vol (2)'!$A$4:$A$1116,$D860,'Val-Vol (2)'!$V$4:$V$1116,$V860)/SUMIFS('Comp2016-2017 (3)'!$G$5:$G$289,'Comp2016-2017 (3)'!$A$5:$A$289,$D860,'Comp2016-2017 (3)'!$R$5:$R$289,$V860)*$AB860))</f>
        <v/>
      </c>
      <c r="AJ860" s="2" t="str">
        <f>IF($W860=AJ$3,$AB860,IF(NOT($W860=0),"",SUMIFS('Val-Vol (2)'!AJ$4:AJ$1116,'Val-Vol (2)'!$A$4:$A$1116,$D860,'Val-Vol (2)'!$V$4:$V$1116,$V860)/SUMIFS('Comp2016-2017 (3)'!$G$5:$G$289,'Comp2016-2017 (3)'!$A$5:$A$289,$D860,'Comp2016-2017 (3)'!$R$5:$R$289,$V860)*$AB860))</f>
        <v/>
      </c>
      <c r="AK860" s="2">
        <f t="shared" si="97"/>
        <v>0</v>
      </c>
      <c r="AL860" t="str">
        <f t="shared" si="98"/>
        <v/>
      </c>
      <c r="AM860" t="str">
        <f>VLOOKUP(A860,'Table corresp.'!$M$4:$U$63,8,FALSE)</f>
        <v>Production intermédiaire</v>
      </c>
      <c r="AN860" t="str">
        <f>VLOOKUP(D860,'Table corresp.'!$M$4:$U$63,9,FALSE)</f>
        <v>Exportation</v>
      </c>
    </row>
    <row r="861" spans="1:40" x14ac:dyDescent="0.25">
      <c r="A861" t="s">
        <v>7</v>
      </c>
      <c r="B861" t="str">
        <f>VLOOKUP(LEFT(A861,3),'Table corresp.'!$A$4:$D$63,3,FALSE)</f>
        <v>Transformation</v>
      </c>
      <c r="C861" t="str">
        <f>VLOOKUP(A861,'Table corresp.'!$M$4:$P$63,4,FALSE)</f>
        <v>Production et transformation de produits bois</v>
      </c>
      <c r="D861" t="s">
        <v>13</v>
      </c>
      <c r="E861" t="str">
        <f>VLOOKUP(LEFT(D861,3),'Table corresp.'!$A$4:$D$63,4,FALSE)</f>
        <v>Transformation</v>
      </c>
      <c r="F861" t="str">
        <f t="shared" si="94"/>
        <v xml:space="preserve">12  - 20 </v>
      </c>
      <c r="G861" s="164">
        <v>54790.383711243856</v>
      </c>
      <c r="H861" s="164">
        <v>91834.501599754702</v>
      </c>
      <c r="I861" s="164">
        <v>146624.88531099836</v>
      </c>
      <c r="J861" s="164">
        <v>411.51829927550489</v>
      </c>
      <c r="K861" s="164">
        <v>736.56364281284846</v>
      </c>
      <c r="L861" s="164">
        <v>1148.0819420883533</v>
      </c>
      <c r="M861" s="164">
        <v>0</v>
      </c>
      <c r="N861" s="164">
        <v>0</v>
      </c>
      <c r="O861" s="164">
        <v>0</v>
      </c>
      <c r="P861" s="164">
        <v>0</v>
      </c>
      <c r="Q861" s="164">
        <v>0</v>
      </c>
      <c r="R861" s="164">
        <v>0</v>
      </c>
      <c r="S861" s="163" t="str">
        <f t="shared" si="95"/>
        <v/>
      </c>
      <c r="T861" s="163">
        <f>VLOOKUP(A861,'Groupe de branches'!$Z$27:$AM$86,14,FALSE)</f>
        <v>0</v>
      </c>
      <c r="U861" s="163">
        <f>VLOOKUP(D861,'Groupe de branches'!$Z$27:$AM$86,14,FALSE)</f>
        <v>0</v>
      </c>
      <c r="V861" s="163">
        <v>2018</v>
      </c>
      <c r="W861">
        <f>VLOOKUP(D861,'Table corresp.'!$M$4:$S$63,7,FALSE)</f>
        <v>0</v>
      </c>
      <c r="X861" s="167">
        <f>IFERROR(G861/SUMIFS('Comp2016-2017 (3)'!$I$5:$I$289,'Comp2016-2017 (3)'!$A$5:$A$289,A861,'Comp2016-2017 (3)'!$R$5:$R$289,V861),0)</f>
        <v>7.1610904345821333E-2</v>
      </c>
      <c r="Y861" s="178">
        <f>IFERROR(IF(RIGHT(F861,3)="Exp",VLOOKUP(F861,#REF!,2,FALSE),VLOOKUP(F861,#REF!,9,FALSE)),1)</f>
        <v>1</v>
      </c>
      <c r="Z861" s="167">
        <f t="shared" si="100"/>
        <v>4.5454545454545456E-2</v>
      </c>
      <c r="AA861" s="189">
        <f t="shared" si="99"/>
        <v>3.2550411066282424E-3</v>
      </c>
      <c r="AB861" s="2">
        <f>IFERROR(SUMIFS('Comp2016-2017 (3)'!$G$5:$G$289,'Comp2016-2017 (3)'!$A$5:$A$289,A861,'Comp2016-2017 (3)'!$R$5:$R$289,V861)*AA861/SUMIFS($AA$4:$AA$1116,$A$4:$A$1116,A861,$V$4:$V$1116,V861),0)</f>
        <v>12900.819482507348</v>
      </c>
      <c r="AC861" s="2">
        <f>IF($W861=AC$3,$AB861,IF(NOT($W861=0),"",SUMIFS('Val-Vol (2)'!AC$4:AC$1116,'Val-Vol (2)'!$A$4:$A$1116,$D861,'Val-Vol (2)'!$V$4:$V$1116,$V861)/SUMIFS('Comp2016-2017 (3)'!$G$5:$G$289,'Comp2016-2017 (3)'!$A$5:$A$289,$D861,'Comp2016-2017 (3)'!$R$5:$R$289,$V861)*$AB861))</f>
        <v>1357.0477432220007</v>
      </c>
      <c r="AD861" s="2">
        <f>IF($W861=AD$3,$AB861,IF(NOT($W861=0),"",SUMIFS('Val-Vol (2)'!AD$4:AD$1116,'Val-Vol (2)'!$A$4:$A$1116,$D861,'Val-Vol (2)'!$V$4:$V$1116,$V861)/SUMIFS('Comp2016-2017 (3)'!$G$5:$G$289,'Comp2016-2017 (3)'!$A$5:$A$289,$D861,'Comp2016-2017 (3)'!$R$5:$R$289,$V861)*$AB861))</f>
        <v>7074.3804068714389</v>
      </c>
      <c r="AE861" s="2">
        <f>IF($W861=AE$3,$AB861,IF(NOT($W861=0),"",SUMIFS('Val-Vol (2)'!AE$4:AE$1116,'Val-Vol (2)'!$A$4:$A$1116,$D861,'Val-Vol (2)'!$V$4:$V$1116,$V861)/SUMIFS('Comp2016-2017 (3)'!$G$5:$G$289,'Comp2016-2017 (3)'!$A$5:$A$289,$D861,'Comp2016-2017 (3)'!$R$5:$R$289,$V861)*$AB861))</f>
        <v>0</v>
      </c>
      <c r="AF861" s="2">
        <f>IF($W861=AF$3,$AB861,IF(NOT($W861=0),"",SUMIFS('Val-Vol (2)'!AF$4:AF$1116,'Val-Vol (2)'!$A$4:$A$1116,$D861,'Val-Vol (2)'!$V$4:$V$1116,$V861)/SUMIFS('Comp2016-2017 (3)'!$G$5:$G$289,'Comp2016-2017 (3)'!$A$5:$A$289,$D861,'Comp2016-2017 (3)'!$R$5:$R$289,$V861)*$AB861))</f>
        <v>0</v>
      </c>
      <c r="AG861" s="2">
        <f>IF($W861=AG$3,$AB861,IF(NOT($W861=0),"",SUMIFS('Val-Vol (2)'!AG$4:AG$1116,'Val-Vol (2)'!$A$4:$A$1116,$D861,'Val-Vol (2)'!$V$4:$V$1116,$V861)/SUMIFS('Comp2016-2017 (3)'!$G$5:$G$289,'Comp2016-2017 (3)'!$A$5:$A$289,$D861,'Comp2016-2017 (3)'!$R$5:$R$289,$V861)*$AB861))</f>
        <v>0</v>
      </c>
      <c r="AH861" s="2">
        <f>IF($W861=AH$3,$AB861,IF(NOT($W861=0),"",SUMIFS('Val-Vol (2)'!AH$4:AH$1116,'Val-Vol (2)'!$A$4:$A$1116,$D861,'Val-Vol (2)'!$V$4:$V$1116,$V861)/SUMIFS('Comp2016-2017 (3)'!$G$5:$G$289,'Comp2016-2017 (3)'!$A$5:$A$289,$D861,'Comp2016-2017 (3)'!$R$5:$R$289,$V861)*$AB861))</f>
        <v>0</v>
      </c>
      <c r="AI861" s="2">
        <f>IF($W861=AI$3,$AB861,IF(NOT($W861=0),"",SUMIFS('Val-Vol (2)'!AI$4:AI$1116,'Val-Vol (2)'!$A$4:$A$1116,$D861,'Val-Vol (2)'!$V$4:$V$1116,$V861)/SUMIFS('Comp2016-2017 (3)'!$G$5:$G$289,'Comp2016-2017 (3)'!$A$5:$A$289,$D861,'Comp2016-2017 (3)'!$R$5:$R$289,$V861)*$AB861))</f>
        <v>0</v>
      </c>
      <c r="AJ861" s="2">
        <f>IF($W861=AJ$3,$AB861,IF(NOT($W861=0),"",SUMIFS('Val-Vol (2)'!AJ$4:AJ$1116,'Val-Vol (2)'!$A$4:$A$1116,$D861,'Val-Vol (2)'!$V$4:$V$1116,$V861)/SUMIFS('Comp2016-2017 (3)'!$G$5:$G$289,'Comp2016-2017 (3)'!$A$5:$A$289,$D861,'Comp2016-2017 (3)'!$R$5:$R$289,$V861)*$AB861))</f>
        <v>4469.3913324139057</v>
      </c>
      <c r="AK861" s="2">
        <f t="shared" si="97"/>
        <v>0</v>
      </c>
      <c r="AL861" t="str">
        <f t="shared" si="98"/>
        <v/>
      </c>
      <c r="AM861" t="str">
        <f>VLOOKUP(A861,'Table corresp.'!$M$4:$U$63,8,FALSE)</f>
        <v>Production intermédiaire</v>
      </c>
      <c r="AN861" t="str">
        <f>VLOOKUP(D861,'Table corresp.'!$M$4:$U$63,9,FALSE)</f>
        <v>Production intermédiaire</v>
      </c>
    </row>
    <row r="862" spans="1:40" x14ac:dyDescent="0.25">
      <c r="A862" t="s">
        <v>7</v>
      </c>
      <c r="B862" t="str">
        <f>VLOOKUP(LEFT(A862,3),'Table corresp.'!$A$4:$D$63,3,FALSE)</f>
        <v>Transformation</v>
      </c>
      <c r="C862" t="str">
        <f>VLOOKUP(A862,'Table corresp.'!$M$4:$P$63,4,FALSE)</f>
        <v>Production et transformation de produits bois</v>
      </c>
      <c r="D862" t="s">
        <v>14</v>
      </c>
      <c r="E862" t="str">
        <f>VLOOKUP(LEFT(D862,3),'Table corresp.'!$A$4:$D$63,4,FALSE)</f>
        <v>Transformation</v>
      </c>
      <c r="F862" t="str">
        <f t="shared" si="94"/>
        <v>12  - 20b</v>
      </c>
      <c r="G862" s="164">
        <v>28826.787665974993</v>
      </c>
      <c r="H862" s="164">
        <v>36760.662263986713</v>
      </c>
      <c r="I862" s="164">
        <v>65587.449929961629</v>
      </c>
      <c r="J862" s="164">
        <v>190.91618802317629</v>
      </c>
      <c r="K862" s="164">
        <v>257.98578946897987</v>
      </c>
      <c r="L862" s="164">
        <v>448.90197749215616</v>
      </c>
      <c r="M862" s="164">
        <v>0</v>
      </c>
      <c r="N862" s="164">
        <v>0</v>
      </c>
      <c r="O862" s="164">
        <v>0</v>
      </c>
      <c r="P862" s="164">
        <v>0</v>
      </c>
      <c r="Q862" s="164">
        <v>0</v>
      </c>
      <c r="R862" s="164">
        <v>0</v>
      </c>
      <c r="S862" s="163" t="str">
        <f t="shared" si="95"/>
        <v/>
      </c>
      <c r="T862" s="163">
        <f>VLOOKUP(A862,'Groupe de branches'!$Z$27:$AM$86,14,FALSE)</f>
        <v>0</v>
      </c>
      <c r="U862" s="163">
        <f>VLOOKUP(D862,'Groupe de branches'!$Z$27:$AM$86,14,FALSE)</f>
        <v>0</v>
      </c>
      <c r="V862" s="163">
        <v>2018</v>
      </c>
      <c r="W862">
        <f>VLOOKUP(D862,'Table corresp.'!$M$4:$S$63,7,FALSE)</f>
        <v>0</v>
      </c>
      <c r="X862" s="167">
        <f>IFERROR(G862/SUMIFS('Comp2016-2017 (3)'!$I$5:$I$289,'Comp2016-2017 (3)'!$A$5:$A$289,A862,'Comp2016-2017 (3)'!$R$5:$R$289,V862),0)</f>
        <v>3.7676544574405078E-2</v>
      </c>
      <c r="Y862" s="178">
        <f>IFERROR(IF(RIGHT(F862,3)="Exp",VLOOKUP(F862,#REF!,2,FALSE),VLOOKUP(F862,#REF!,9,FALSE)),1)</f>
        <v>1</v>
      </c>
      <c r="Z862" s="167">
        <f t="shared" si="100"/>
        <v>4.5454545454545456E-2</v>
      </c>
      <c r="AA862" s="189">
        <f t="shared" si="99"/>
        <v>1.7125702079275036E-3</v>
      </c>
      <c r="AB862" s="2">
        <f>IFERROR(SUMIFS('Comp2016-2017 (3)'!$G$5:$G$289,'Comp2016-2017 (3)'!$A$5:$A$289,A862,'Comp2016-2017 (3)'!$R$5:$R$289,V862)*AA862/SUMIFS($AA$4:$AA$1116,$A$4:$A$1116,A862,$V$4:$V$1116,V862),0)</f>
        <v>6787.4900438595605</v>
      </c>
      <c r="AC862" s="2">
        <f>IF($W862=AC$3,$AB862,IF(NOT($W862=0),"",SUMIFS('Val-Vol (2)'!AC$4:AC$1116,'Val-Vol (2)'!$A$4:$A$1116,$D862,'Val-Vol (2)'!$V$4:$V$1116,$V862)/SUMIFS('Comp2016-2017 (3)'!$G$5:$G$289,'Comp2016-2017 (3)'!$A$5:$A$289,$D862,'Comp2016-2017 (3)'!$R$5:$R$289,$V862)*$AB862))</f>
        <v>1847.6900712092929</v>
      </c>
      <c r="AD862" s="2">
        <f>IF($W862=AD$3,$AB862,IF(NOT($W862=0),"",SUMIFS('Val-Vol (2)'!AD$4:AD$1116,'Val-Vol (2)'!$A$4:$A$1116,$D862,'Val-Vol (2)'!$V$4:$V$1116,$V862)/SUMIFS('Comp2016-2017 (3)'!$G$5:$G$289,'Comp2016-2017 (3)'!$A$5:$A$289,$D862,'Comp2016-2017 (3)'!$R$5:$R$289,$V862)*$AB862))</f>
        <v>4371.8692355793673</v>
      </c>
      <c r="AE862" s="2">
        <f>IF($W862=AE$3,$AB862,IF(NOT($W862=0),"",SUMIFS('Val-Vol (2)'!AE$4:AE$1116,'Val-Vol (2)'!$A$4:$A$1116,$D862,'Val-Vol (2)'!$V$4:$V$1116,$V862)/SUMIFS('Comp2016-2017 (3)'!$G$5:$G$289,'Comp2016-2017 (3)'!$A$5:$A$289,$D862,'Comp2016-2017 (3)'!$R$5:$R$289,$V862)*$AB862))</f>
        <v>41.196970567031613</v>
      </c>
      <c r="AF862" s="2">
        <f>IF($W862=AF$3,$AB862,IF(NOT($W862=0),"",SUMIFS('Val-Vol (2)'!AF$4:AF$1116,'Val-Vol (2)'!$A$4:$A$1116,$D862,'Val-Vol (2)'!$V$4:$V$1116,$V862)/SUMIFS('Comp2016-2017 (3)'!$G$5:$G$289,'Comp2016-2017 (3)'!$A$5:$A$289,$D862,'Comp2016-2017 (3)'!$R$5:$R$289,$V862)*$AB862))</f>
        <v>0</v>
      </c>
      <c r="AG862" s="2">
        <f>IF($W862=AG$3,$AB862,IF(NOT($W862=0),"",SUMIFS('Val-Vol (2)'!AG$4:AG$1116,'Val-Vol (2)'!$A$4:$A$1116,$D862,'Val-Vol (2)'!$V$4:$V$1116,$V862)/SUMIFS('Comp2016-2017 (3)'!$G$5:$G$289,'Comp2016-2017 (3)'!$A$5:$A$289,$D862,'Comp2016-2017 (3)'!$R$5:$R$289,$V862)*$AB862))</f>
        <v>0</v>
      </c>
      <c r="AH862" s="2">
        <f>IF($W862=AH$3,$AB862,IF(NOT($W862=0),"",SUMIFS('Val-Vol (2)'!AH$4:AH$1116,'Val-Vol (2)'!$A$4:$A$1116,$D862,'Val-Vol (2)'!$V$4:$V$1116,$V862)/SUMIFS('Comp2016-2017 (3)'!$G$5:$G$289,'Comp2016-2017 (3)'!$A$5:$A$289,$D862,'Comp2016-2017 (3)'!$R$5:$R$289,$V862)*$AB862))</f>
        <v>0</v>
      </c>
      <c r="AI862" s="2">
        <f>IF($W862=AI$3,$AB862,IF(NOT($W862=0),"",SUMIFS('Val-Vol (2)'!AI$4:AI$1116,'Val-Vol (2)'!$A$4:$A$1116,$D862,'Val-Vol (2)'!$V$4:$V$1116,$V862)/SUMIFS('Comp2016-2017 (3)'!$G$5:$G$289,'Comp2016-2017 (3)'!$A$5:$A$289,$D862,'Comp2016-2017 (3)'!$R$5:$R$289,$V862)*$AB862))</f>
        <v>0</v>
      </c>
      <c r="AJ862" s="2">
        <f>IF($W862=AJ$3,$AB862,IF(NOT($W862=0),"",SUMIFS('Val-Vol (2)'!AJ$4:AJ$1116,'Val-Vol (2)'!$A$4:$A$1116,$D862,'Val-Vol (2)'!$V$4:$V$1116,$V862)/SUMIFS('Comp2016-2017 (3)'!$G$5:$G$289,'Comp2016-2017 (3)'!$A$5:$A$289,$D862,'Comp2016-2017 (3)'!$R$5:$R$289,$V862)*$AB862))</f>
        <v>526.73376650386979</v>
      </c>
      <c r="AK862" s="2">
        <f t="shared" si="97"/>
        <v>0</v>
      </c>
      <c r="AL862" t="str">
        <f t="shared" si="98"/>
        <v/>
      </c>
      <c r="AM862" t="str">
        <f>VLOOKUP(A862,'Table corresp.'!$M$4:$U$63,8,FALSE)</f>
        <v>Production intermédiaire</v>
      </c>
      <c r="AN862" t="str">
        <f>VLOOKUP(D862,'Table corresp.'!$M$4:$U$63,9,FALSE)</f>
        <v>Production intermédiaire</v>
      </c>
    </row>
    <row r="863" spans="1:40" x14ac:dyDescent="0.25">
      <c r="A863" t="s">
        <v>7</v>
      </c>
      <c r="B863" t="str">
        <f>VLOOKUP(LEFT(A863,3),'Table corresp.'!$A$4:$D$63,3,FALSE)</f>
        <v>Transformation</v>
      </c>
      <c r="C863" t="str">
        <f>VLOOKUP(A863,'Table corresp.'!$M$4:$P$63,4,FALSE)</f>
        <v>Production et transformation de produits bois</v>
      </c>
      <c r="D863" t="s">
        <v>85</v>
      </c>
      <c r="E863" t="str">
        <f>VLOOKUP(LEFT(D863,3),'Table corresp.'!$A$4:$D$63,4,FALSE)</f>
        <v>Transformation</v>
      </c>
      <c r="F863" t="str">
        <f t="shared" si="94"/>
        <v xml:space="preserve">12  - 29 </v>
      </c>
      <c r="G863" s="164">
        <v>4343.97469123878</v>
      </c>
      <c r="H863" s="164">
        <v>0</v>
      </c>
      <c r="I863" s="164">
        <v>4343.9746912387745</v>
      </c>
      <c r="J863" s="164">
        <v>41.236423608022477</v>
      </c>
      <c r="K863" s="164">
        <v>0</v>
      </c>
      <c r="L863" s="164">
        <v>41.236423608022477</v>
      </c>
      <c r="M863" s="164">
        <v>0</v>
      </c>
      <c r="N863" s="164">
        <v>0</v>
      </c>
      <c r="O863" s="164">
        <v>0</v>
      </c>
      <c r="P863" s="164">
        <v>0</v>
      </c>
      <c r="Q863" s="164">
        <v>0</v>
      </c>
      <c r="R863" s="164">
        <v>0</v>
      </c>
      <c r="S863" s="163" t="str">
        <f t="shared" si="95"/>
        <v/>
      </c>
      <c r="T863" s="163">
        <f>VLOOKUP(A863,'Groupe de branches'!$Z$27:$AM$86,14,FALSE)</f>
        <v>0</v>
      </c>
      <c r="U863" s="163">
        <f>VLOOKUP(D863,'Groupe de branches'!$Z$27:$AM$86,14,FALSE)</f>
        <v>0</v>
      </c>
      <c r="V863" s="163">
        <v>2018</v>
      </c>
      <c r="W863" t="str">
        <f>VLOOKUP(D863,'Table corresp.'!$M$4:$S$63,7,FALSE)</f>
        <v>Construction</v>
      </c>
      <c r="X863" s="167">
        <f>IFERROR(G863/SUMIFS('Comp2016-2017 (3)'!$I$5:$I$289,'Comp2016-2017 (3)'!$A$5:$A$289,A863,'Comp2016-2017 (3)'!$R$5:$R$289,V863),0)</f>
        <v>5.6775648393776676E-3</v>
      </c>
      <c r="Y863" s="178">
        <f>IFERROR(IF(RIGHT(F863,3)="Exp",VLOOKUP(F863,#REF!,2,FALSE),VLOOKUP(F863,#REF!,9,FALSE)),1)</f>
        <v>1</v>
      </c>
      <c r="Z863" s="167">
        <f t="shared" si="100"/>
        <v>4.5454545454545456E-2</v>
      </c>
      <c r="AA863" s="189">
        <f t="shared" si="99"/>
        <v>2.5807112906262128E-4</v>
      </c>
      <c r="AB863" s="2">
        <f>IFERROR(SUMIFS('Comp2016-2017 (3)'!$G$5:$G$289,'Comp2016-2017 (3)'!$A$5:$A$289,A863,'Comp2016-2017 (3)'!$R$5:$R$289,V863)*AA863/SUMIFS($AA$4:$AA$1116,$A$4:$A$1116,A863,$V$4:$V$1116,V863),0)</f>
        <v>1022.8224285414454</v>
      </c>
      <c r="AC863" s="2" t="str">
        <f>IF($W863=AC$3,$AB863,IF(NOT($W863=0),"",SUMIFS('Val-Vol (2)'!AC$4:AC$1116,'Val-Vol (2)'!$A$4:$A$1116,$D863,'Val-Vol (2)'!$V$4:$V$1116,$V863)/SUMIFS('Comp2016-2017 (3)'!$G$5:$G$289,'Comp2016-2017 (3)'!$A$5:$A$289,$D863,'Comp2016-2017 (3)'!$R$5:$R$289,$V863)*$AB863))</f>
        <v/>
      </c>
      <c r="AD863" s="2">
        <f>IF($W863=AD$3,$AB863,IF(NOT($W863=0),"",SUMIFS('Val-Vol (2)'!AD$4:AD$1116,'Val-Vol (2)'!$A$4:$A$1116,$D863,'Val-Vol (2)'!$V$4:$V$1116,$V863)/SUMIFS('Comp2016-2017 (3)'!$G$5:$G$289,'Comp2016-2017 (3)'!$A$5:$A$289,$D863,'Comp2016-2017 (3)'!$R$5:$R$289,$V863)*$AB863))</f>
        <v>1022.8224285414454</v>
      </c>
      <c r="AE863" s="2" t="str">
        <f>IF($W863=AE$3,$AB863,IF(NOT($W863=0),"",SUMIFS('Val-Vol (2)'!AE$4:AE$1116,'Val-Vol (2)'!$A$4:$A$1116,$D863,'Val-Vol (2)'!$V$4:$V$1116,$V863)/SUMIFS('Comp2016-2017 (3)'!$G$5:$G$289,'Comp2016-2017 (3)'!$A$5:$A$289,$D863,'Comp2016-2017 (3)'!$R$5:$R$289,$V863)*$AB863))</f>
        <v/>
      </c>
      <c r="AF863" s="2" t="str">
        <f>IF($W863=AF$3,$AB863,IF(NOT($W863=0),"",SUMIFS('Val-Vol (2)'!AF$4:AF$1116,'Val-Vol (2)'!$A$4:$A$1116,$D863,'Val-Vol (2)'!$V$4:$V$1116,$V863)/SUMIFS('Comp2016-2017 (3)'!$G$5:$G$289,'Comp2016-2017 (3)'!$A$5:$A$289,$D863,'Comp2016-2017 (3)'!$R$5:$R$289,$V863)*$AB863))</f>
        <v/>
      </c>
      <c r="AG863" s="2" t="str">
        <f>IF($W863=AG$3,$AB863,IF(NOT($W863=0),"",SUMIFS('Val-Vol (2)'!AG$4:AG$1116,'Val-Vol (2)'!$A$4:$A$1116,$D863,'Val-Vol (2)'!$V$4:$V$1116,$V863)/SUMIFS('Comp2016-2017 (3)'!$G$5:$G$289,'Comp2016-2017 (3)'!$A$5:$A$289,$D863,'Comp2016-2017 (3)'!$R$5:$R$289,$V863)*$AB863))</f>
        <v/>
      </c>
      <c r="AH863" s="2" t="str">
        <f>IF($W863=AH$3,$AB863,IF(NOT($W863=0),"",SUMIFS('Val-Vol (2)'!AH$4:AH$1116,'Val-Vol (2)'!$A$4:$A$1116,$D863,'Val-Vol (2)'!$V$4:$V$1116,$V863)/SUMIFS('Comp2016-2017 (3)'!$G$5:$G$289,'Comp2016-2017 (3)'!$A$5:$A$289,$D863,'Comp2016-2017 (3)'!$R$5:$R$289,$V863)*$AB863))</f>
        <v/>
      </c>
      <c r="AI863" s="2" t="str">
        <f>IF($W863=AI$3,$AB863,IF(NOT($W863=0),"",SUMIFS('Val-Vol (2)'!AI$4:AI$1116,'Val-Vol (2)'!$A$4:$A$1116,$D863,'Val-Vol (2)'!$V$4:$V$1116,$V863)/SUMIFS('Comp2016-2017 (3)'!$G$5:$G$289,'Comp2016-2017 (3)'!$A$5:$A$289,$D863,'Comp2016-2017 (3)'!$R$5:$R$289,$V863)*$AB863))</f>
        <v/>
      </c>
      <c r="AJ863" s="2" t="str">
        <f>IF($W863=AJ$3,$AB863,IF(NOT($W863=0),"",SUMIFS('Val-Vol (2)'!AJ$4:AJ$1116,'Val-Vol (2)'!$A$4:$A$1116,$D863,'Val-Vol (2)'!$V$4:$V$1116,$V863)/SUMIFS('Comp2016-2017 (3)'!$G$5:$G$289,'Comp2016-2017 (3)'!$A$5:$A$289,$D863,'Comp2016-2017 (3)'!$R$5:$R$289,$V863)*$AB863))</f>
        <v/>
      </c>
      <c r="AK863" s="2">
        <f t="shared" si="97"/>
        <v>0</v>
      </c>
      <c r="AL863" t="str">
        <f t="shared" si="98"/>
        <v/>
      </c>
      <c r="AM863" t="str">
        <f>VLOOKUP(A863,'Table corresp.'!$M$4:$U$63,8,FALSE)</f>
        <v>Production intermédiaire</v>
      </c>
      <c r="AN863" t="str">
        <f>VLOOKUP(D863,'Table corresp.'!$M$4:$U$63,9,FALSE)</f>
        <v>Production intermédiaire</v>
      </c>
    </row>
    <row r="864" spans="1:40" x14ac:dyDescent="0.25">
      <c r="A864" t="s">
        <v>7</v>
      </c>
      <c r="B864" t="str">
        <f>VLOOKUP(LEFT(A864,3),'Table corresp.'!$A$4:$D$63,3,FALSE)</f>
        <v>Transformation</v>
      </c>
      <c r="C864" t="str">
        <f>VLOOKUP(A864,'Table corresp.'!$M$4:$P$63,4,FALSE)</f>
        <v>Production et transformation de produits bois</v>
      </c>
      <c r="D864" t="s">
        <v>88</v>
      </c>
      <c r="E864" t="str">
        <f>VLOOKUP(LEFT(D864,3),'Table corresp.'!$A$4:$D$63,4,FALSE)</f>
        <v>Transformation</v>
      </c>
      <c r="F864" t="str">
        <f t="shared" si="94"/>
        <v xml:space="preserve">12  - 32 </v>
      </c>
      <c r="G864" s="164">
        <v>0</v>
      </c>
      <c r="H864" s="164">
        <v>0</v>
      </c>
      <c r="I864" s="164">
        <v>0</v>
      </c>
      <c r="J864" s="164">
        <v>0</v>
      </c>
      <c r="K864" s="164">
        <v>0</v>
      </c>
      <c r="L864" s="164">
        <v>0</v>
      </c>
      <c r="M864" s="164">
        <v>0</v>
      </c>
      <c r="N864" s="164">
        <v>0</v>
      </c>
      <c r="O864" s="164">
        <v>0</v>
      </c>
      <c r="P864" s="164">
        <v>0</v>
      </c>
      <c r="Q864" s="164">
        <v>0</v>
      </c>
      <c r="R864" s="164">
        <v>0</v>
      </c>
      <c r="S864" s="163" t="str">
        <f t="shared" si="95"/>
        <v/>
      </c>
      <c r="T864" s="163">
        <f>VLOOKUP(A864,'Groupe de branches'!$Z$27:$AM$86,14,FALSE)</f>
        <v>0</v>
      </c>
      <c r="U864" s="163">
        <f>VLOOKUP(D864,'Groupe de branches'!$Z$27:$AM$86,14,FALSE)</f>
        <v>0</v>
      </c>
      <c r="V864" s="163">
        <v>2018</v>
      </c>
      <c r="W864" t="str">
        <f>VLOOKUP(D864,'Table corresp.'!$M$4:$S$63,7,FALSE)</f>
        <v>Construction</v>
      </c>
      <c r="X864" s="167">
        <f>IFERROR(G864/SUMIFS('Comp2016-2017 (3)'!$I$5:$I$289,'Comp2016-2017 (3)'!$A$5:$A$289,A864,'Comp2016-2017 (3)'!$R$5:$R$289,V864),0)</f>
        <v>0</v>
      </c>
      <c r="Y864" s="232"/>
      <c r="Z864" s="233"/>
      <c r="AA864" s="189">
        <f t="shared" si="99"/>
        <v>0</v>
      </c>
      <c r="AB864" s="2">
        <f>IFERROR(SUMIFS('Comp2016-2017 (3)'!$G$5:$G$289,'Comp2016-2017 (3)'!$A$5:$A$289,A864,'Comp2016-2017 (3)'!$R$5:$R$289,V864)*AA864/SUMIFS($AA$4:$AA$1116,$A$4:$A$1116,A864,$V$4:$V$1116,V864),0)</f>
        <v>0</v>
      </c>
      <c r="AC864" s="2" t="str">
        <f>IF($W864=AC$3,$AB864,IF(NOT($W864=0),"",SUMIFS('Val-Vol (2)'!AC$4:AC$1116,'Val-Vol (2)'!$A$4:$A$1116,$D864,'Val-Vol (2)'!$V$4:$V$1116,$V864)/SUMIFS('Comp2016-2017 (3)'!$G$5:$G$289,'Comp2016-2017 (3)'!$A$5:$A$289,$D864,'Comp2016-2017 (3)'!$R$5:$R$289,$V864)*$AB864))</f>
        <v/>
      </c>
      <c r="AD864" s="2">
        <f>IF($W864=AD$3,$AB864,IF(NOT($W864=0),"",SUMIFS('Val-Vol (2)'!AD$4:AD$1116,'Val-Vol (2)'!$A$4:$A$1116,$D864,'Val-Vol (2)'!$V$4:$V$1116,$V864)/SUMIFS('Comp2016-2017 (3)'!$G$5:$G$289,'Comp2016-2017 (3)'!$A$5:$A$289,$D864,'Comp2016-2017 (3)'!$R$5:$R$289,$V864)*$AB864))</f>
        <v>0</v>
      </c>
      <c r="AE864" s="2" t="str">
        <f>IF($W864=AE$3,$AB864,IF(NOT($W864=0),"",SUMIFS('Val-Vol (2)'!AE$4:AE$1116,'Val-Vol (2)'!$A$4:$A$1116,$D864,'Val-Vol (2)'!$V$4:$V$1116,$V864)/SUMIFS('Comp2016-2017 (3)'!$G$5:$G$289,'Comp2016-2017 (3)'!$A$5:$A$289,$D864,'Comp2016-2017 (3)'!$R$5:$R$289,$V864)*$AB864))</f>
        <v/>
      </c>
      <c r="AF864" s="2" t="str">
        <f>IF($W864=AF$3,$AB864,IF(NOT($W864=0),"",SUMIFS('Val-Vol (2)'!AF$4:AF$1116,'Val-Vol (2)'!$A$4:$A$1116,$D864,'Val-Vol (2)'!$V$4:$V$1116,$V864)/SUMIFS('Comp2016-2017 (3)'!$G$5:$G$289,'Comp2016-2017 (3)'!$A$5:$A$289,$D864,'Comp2016-2017 (3)'!$R$5:$R$289,$V864)*$AB864))</f>
        <v/>
      </c>
      <c r="AG864" s="2" t="str">
        <f>IF($W864=AG$3,$AB864,IF(NOT($W864=0),"",SUMIFS('Val-Vol (2)'!AG$4:AG$1116,'Val-Vol (2)'!$A$4:$A$1116,$D864,'Val-Vol (2)'!$V$4:$V$1116,$V864)/SUMIFS('Comp2016-2017 (3)'!$G$5:$G$289,'Comp2016-2017 (3)'!$A$5:$A$289,$D864,'Comp2016-2017 (3)'!$R$5:$R$289,$V864)*$AB864))</f>
        <v/>
      </c>
      <c r="AH864" s="2" t="str">
        <f>IF($W864=AH$3,$AB864,IF(NOT($W864=0),"",SUMIFS('Val-Vol (2)'!AH$4:AH$1116,'Val-Vol (2)'!$A$4:$A$1116,$D864,'Val-Vol (2)'!$V$4:$V$1116,$V864)/SUMIFS('Comp2016-2017 (3)'!$G$5:$G$289,'Comp2016-2017 (3)'!$A$5:$A$289,$D864,'Comp2016-2017 (3)'!$R$5:$R$289,$V864)*$AB864))</f>
        <v/>
      </c>
      <c r="AI864" s="2" t="str">
        <f>IF($W864=AI$3,$AB864,IF(NOT($W864=0),"",SUMIFS('Val-Vol (2)'!AI$4:AI$1116,'Val-Vol (2)'!$A$4:$A$1116,$D864,'Val-Vol (2)'!$V$4:$V$1116,$V864)/SUMIFS('Comp2016-2017 (3)'!$G$5:$G$289,'Comp2016-2017 (3)'!$A$5:$A$289,$D864,'Comp2016-2017 (3)'!$R$5:$R$289,$V864)*$AB864))</f>
        <v/>
      </c>
      <c r="AJ864" s="2" t="str">
        <f>IF($W864=AJ$3,$AB864,IF(NOT($W864=0),"",SUMIFS('Val-Vol (2)'!AJ$4:AJ$1116,'Val-Vol (2)'!$A$4:$A$1116,$D864,'Val-Vol (2)'!$V$4:$V$1116,$V864)/SUMIFS('Comp2016-2017 (3)'!$G$5:$G$289,'Comp2016-2017 (3)'!$A$5:$A$289,$D864,'Comp2016-2017 (3)'!$R$5:$R$289,$V864)*$AB864))</f>
        <v/>
      </c>
      <c r="AK864" s="2">
        <f t="shared" si="97"/>
        <v>0</v>
      </c>
      <c r="AL864" t="str">
        <f t="shared" si="98"/>
        <v/>
      </c>
      <c r="AM864" t="str">
        <f>VLOOKUP(A864,'Table corresp.'!$M$4:$U$63,8,FALSE)</f>
        <v>Production intermédiaire</v>
      </c>
      <c r="AN864" t="str">
        <f>VLOOKUP(D864,'Table corresp.'!$M$4:$U$63,9,FALSE)</f>
        <v>Production finale</v>
      </c>
    </row>
    <row r="865" spans="1:40" x14ac:dyDescent="0.25">
      <c r="A865" t="s">
        <v>7</v>
      </c>
      <c r="B865" t="str">
        <f>VLOOKUP(LEFT(A865,3),'Table corresp.'!$A$4:$D$63,3,FALSE)</f>
        <v>Transformation</v>
      </c>
      <c r="C865" t="str">
        <f>VLOOKUP(A865,'Table corresp.'!$M$4:$P$63,4,FALSE)</f>
        <v>Production et transformation de produits bois</v>
      </c>
      <c r="D865" t="s">
        <v>90</v>
      </c>
      <c r="E865" t="str">
        <f>VLOOKUP(LEFT(D865,3),'Table corresp.'!$A$4:$D$63,4,FALSE)</f>
        <v>Transformation</v>
      </c>
      <c r="F865" t="str">
        <f t="shared" si="94"/>
        <v xml:space="preserve">12  - 34 </v>
      </c>
      <c r="G865" s="164">
        <v>30101.227000309154</v>
      </c>
      <c r="H865" s="164">
        <v>36480.422807705458</v>
      </c>
      <c r="I865" s="164">
        <v>66581.649808014525</v>
      </c>
      <c r="J865" s="164">
        <v>302.55301743883558</v>
      </c>
      <c r="K865" s="164">
        <v>341.35876409126104</v>
      </c>
      <c r="L865" s="164">
        <v>643.91178153009662</v>
      </c>
      <c r="M865" s="164">
        <v>0</v>
      </c>
      <c r="N865" s="164">
        <v>0</v>
      </c>
      <c r="O865" s="164">
        <v>0</v>
      </c>
      <c r="P865" s="164">
        <v>0</v>
      </c>
      <c r="Q865" s="164">
        <v>0</v>
      </c>
      <c r="R865" s="164">
        <v>0</v>
      </c>
      <c r="S865" s="163" t="str">
        <f t="shared" si="95"/>
        <v/>
      </c>
      <c r="T865" s="163">
        <f>VLOOKUP(A865,'Groupe de branches'!$Z$27:$AM$86,14,FALSE)</f>
        <v>0</v>
      </c>
      <c r="U865" s="163">
        <f>VLOOKUP(D865,'Groupe de branches'!$Z$27:$AM$86,14,FALSE)</f>
        <v>0</v>
      </c>
      <c r="V865" s="163">
        <v>2018</v>
      </c>
      <c r="W865" t="str">
        <f>VLOOKUP(D865,'Table corresp.'!$M$4:$S$63,7,FALSE)</f>
        <v>Construction</v>
      </c>
      <c r="X865" s="167">
        <f>IFERROR(G865/SUMIFS('Comp2016-2017 (3)'!$I$5:$I$289,'Comp2016-2017 (3)'!$A$5:$A$289,A865,'Comp2016-2017 (3)'!$R$5:$R$289,V865),0)</f>
        <v>3.9342233826492344E-2</v>
      </c>
      <c r="Y865" s="178">
        <f>IFERROR(IF(RIGHT(F865,3)="Exp",VLOOKUP(F865,#REF!,2,FALSE),VLOOKUP(F865,#REF!,9,FALSE)),1)</f>
        <v>1</v>
      </c>
      <c r="Z865" s="167">
        <f t="shared" si="100"/>
        <v>4.5454545454545456E-2</v>
      </c>
      <c r="AA865" s="189">
        <f t="shared" si="99"/>
        <v>1.7882833557496521E-3</v>
      </c>
      <c r="AB865" s="2">
        <f>IFERROR(SUMIFS('Comp2016-2017 (3)'!$G$5:$G$289,'Comp2016-2017 (3)'!$A$5:$A$289,A865,'Comp2016-2017 (3)'!$R$5:$R$289,V865)*AA865/SUMIFS($AA$4:$AA$1116,$A$4:$A$1116,A865,$V$4:$V$1116,V865),0)</f>
        <v>7087.5666390573761</v>
      </c>
      <c r="AC865" s="2" t="str">
        <f>IF($W865=AC$3,$AB865,IF(NOT($W865=0),"",SUMIFS('Val-Vol (2)'!AC$4:AC$1116,'Val-Vol (2)'!$A$4:$A$1116,$D865,'Val-Vol (2)'!$V$4:$V$1116,$V865)/SUMIFS('Comp2016-2017 (3)'!$G$5:$G$289,'Comp2016-2017 (3)'!$A$5:$A$289,$D865,'Comp2016-2017 (3)'!$R$5:$R$289,$V865)*$AB865))</f>
        <v/>
      </c>
      <c r="AD865" s="2">
        <f>IF($W865=AD$3,$AB865,IF(NOT($W865=0),"",SUMIFS('Val-Vol (2)'!AD$4:AD$1116,'Val-Vol (2)'!$A$4:$A$1116,$D865,'Val-Vol (2)'!$V$4:$V$1116,$V865)/SUMIFS('Comp2016-2017 (3)'!$G$5:$G$289,'Comp2016-2017 (3)'!$A$5:$A$289,$D865,'Comp2016-2017 (3)'!$R$5:$R$289,$V865)*$AB865))</f>
        <v>7087.5666390573761</v>
      </c>
      <c r="AE865" s="2" t="str">
        <f>IF($W865=AE$3,$AB865,IF(NOT($W865=0),"",SUMIFS('Val-Vol (2)'!AE$4:AE$1116,'Val-Vol (2)'!$A$4:$A$1116,$D865,'Val-Vol (2)'!$V$4:$V$1116,$V865)/SUMIFS('Comp2016-2017 (3)'!$G$5:$G$289,'Comp2016-2017 (3)'!$A$5:$A$289,$D865,'Comp2016-2017 (3)'!$R$5:$R$289,$V865)*$AB865))</f>
        <v/>
      </c>
      <c r="AF865" s="2" t="str">
        <f>IF($W865=AF$3,$AB865,IF(NOT($W865=0),"",SUMIFS('Val-Vol (2)'!AF$4:AF$1116,'Val-Vol (2)'!$A$4:$A$1116,$D865,'Val-Vol (2)'!$V$4:$V$1116,$V865)/SUMIFS('Comp2016-2017 (3)'!$G$5:$G$289,'Comp2016-2017 (3)'!$A$5:$A$289,$D865,'Comp2016-2017 (3)'!$R$5:$R$289,$V865)*$AB865))</f>
        <v/>
      </c>
      <c r="AG865" s="2" t="str">
        <f>IF($W865=AG$3,$AB865,IF(NOT($W865=0),"",SUMIFS('Val-Vol (2)'!AG$4:AG$1116,'Val-Vol (2)'!$A$4:$A$1116,$D865,'Val-Vol (2)'!$V$4:$V$1116,$V865)/SUMIFS('Comp2016-2017 (3)'!$G$5:$G$289,'Comp2016-2017 (3)'!$A$5:$A$289,$D865,'Comp2016-2017 (3)'!$R$5:$R$289,$V865)*$AB865))</f>
        <v/>
      </c>
      <c r="AH865" s="2" t="str">
        <f>IF($W865=AH$3,$AB865,IF(NOT($W865=0),"",SUMIFS('Val-Vol (2)'!AH$4:AH$1116,'Val-Vol (2)'!$A$4:$A$1116,$D865,'Val-Vol (2)'!$V$4:$V$1116,$V865)/SUMIFS('Comp2016-2017 (3)'!$G$5:$G$289,'Comp2016-2017 (3)'!$A$5:$A$289,$D865,'Comp2016-2017 (3)'!$R$5:$R$289,$V865)*$AB865))</f>
        <v/>
      </c>
      <c r="AI865" s="2" t="str">
        <f>IF($W865=AI$3,$AB865,IF(NOT($W865=0),"",SUMIFS('Val-Vol (2)'!AI$4:AI$1116,'Val-Vol (2)'!$A$4:$A$1116,$D865,'Val-Vol (2)'!$V$4:$V$1116,$V865)/SUMIFS('Comp2016-2017 (3)'!$G$5:$G$289,'Comp2016-2017 (3)'!$A$5:$A$289,$D865,'Comp2016-2017 (3)'!$R$5:$R$289,$V865)*$AB865))</f>
        <v/>
      </c>
      <c r="AJ865" s="2" t="str">
        <f>IF($W865=AJ$3,$AB865,IF(NOT($W865=0),"",SUMIFS('Val-Vol (2)'!AJ$4:AJ$1116,'Val-Vol (2)'!$A$4:$A$1116,$D865,'Val-Vol (2)'!$V$4:$V$1116,$V865)/SUMIFS('Comp2016-2017 (3)'!$G$5:$G$289,'Comp2016-2017 (3)'!$A$5:$A$289,$D865,'Comp2016-2017 (3)'!$R$5:$R$289,$V865)*$AB865))</f>
        <v/>
      </c>
      <c r="AK865" s="2">
        <f t="shared" ref="AK865:AK928" si="101">SUM(AC865:AJ865)-AB865</f>
        <v>0</v>
      </c>
      <c r="AL865" t="str">
        <f t="shared" si="98"/>
        <v/>
      </c>
      <c r="AM865" t="str">
        <f>VLOOKUP(A865,'Table corresp.'!$M$4:$U$63,8,FALSE)</f>
        <v>Production intermédiaire</v>
      </c>
      <c r="AN865" t="str">
        <f>VLOOKUP(D865,'Table corresp.'!$M$4:$U$63,9,FALSE)</f>
        <v>Production finale</v>
      </c>
    </row>
    <row r="866" spans="1:40" x14ac:dyDescent="0.25">
      <c r="A866" t="s">
        <v>7</v>
      </c>
      <c r="B866" t="str">
        <f>VLOOKUP(LEFT(A866,3),'Table corresp.'!$A$4:$D$63,3,FALSE)</f>
        <v>Transformation</v>
      </c>
      <c r="C866" t="str">
        <f>VLOOKUP(A866,'Table corresp.'!$M$4:$P$63,4,FALSE)</f>
        <v>Production et transformation de produits bois</v>
      </c>
      <c r="D866" t="s">
        <v>15</v>
      </c>
      <c r="E866" t="str">
        <f>VLOOKUP(LEFT(D866,3),'Table corresp.'!$A$4:$D$63,4,FALSE)</f>
        <v>Transformation</v>
      </c>
      <c r="F866" t="str">
        <f t="shared" si="94"/>
        <v xml:space="preserve">12  - 35 </v>
      </c>
      <c r="G866" s="164">
        <v>4508.2027134879363</v>
      </c>
      <c r="H866" s="164">
        <v>2247.2574035091116</v>
      </c>
      <c r="I866" s="164">
        <v>6755.4601169970392</v>
      </c>
      <c r="J866" s="164">
        <v>25.67724308051309</v>
      </c>
      <c r="K866" s="164">
        <v>13.51818818607741</v>
      </c>
      <c r="L866" s="164">
        <v>39.195431266590504</v>
      </c>
      <c r="M866" s="164">
        <v>0</v>
      </c>
      <c r="N866" s="164">
        <v>0</v>
      </c>
      <c r="O866" s="164">
        <v>0</v>
      </c>
      <c r="P866" s="164">
        <v>0</v>
      </c>
      <c r="Q866" s="164">
        <v>0</v>
      </c>
      <c r="R866" s="164">
        <v>0</v>
      </c>
      <c r="S866" s="163" t="str">
        <f t="shared" si="95"/>
        <v/>
      </c>
      <c r="T866" s="163">
        <f>VLOOKUP(A866,'Groupe de branches'!$Z$27:$AM$86,14,FALSE)</f>
        <v>0</v>
      </c>
      <c r="U866" s="163">
        <f>VLOOKUP(D866,'Groupe de branches'!$Z$27:$AM$86,14,FALSE)</f>
        <v>0</v>
      </c>
      <c r="V866" s="163">
        <v>2018</v>
      </c>
      <c r="W866" t="str">
        <f>VLOOKUP(D866,'Table corresp.'!$M$4:$S$63,7,FALSE)</f>
        <v>Construction</v>
      </c>
      <c r="X866" s="167">
        <f>IFERROR(G866/SUMIFS('Comp2016-2017 (3)'!$I$5:$I$289,'Comp2016-2017 (3)'!$A$5:$A$289,A866,'Comp2016-2017 (3)'!$R$5:$R$289,V866),0)</f>
        <v>5.8922104832951844E-3</v>
      </c>
      <c r="Y866" s="178">
        <f>IFERROR(IF(RIGHT(F866,3)="Exp",VLOOKUP(F866,#REF!,2,FALSE),VLOOKUP(F866,#REF!,9,FALSE)),1)</f>
        <v>1</v>
      </c>
      <c r="Z866" s="167">
        <f t="shared" si="100"/>
        <v>4.5454545454545456E-2</v>
      </c>
      <c r="AA866" s="189">
        <f t="shared" si="99"/>
        <v>2.6782774924069021E-4</v>
      </c>
      <c r="AB866" s="2">
        <f>IFERROR(SUMIFS('Comp2016-2017 (3)'!$G$5:$G$289,'Comp2016-2017 (3)'!$A$5:$A$289,A866,'Comp2016-2017 (3)'!$R$5:$R$289,V866)*AA866/SUMIFS($AA$4:$AA$1116,$A$4:$A$1116,A866,$V$4:$V$1116,V866),0)</f>
        <v>1061.4911861864257</v>
      </c>
      <c r="AC866" s="2" t="str">
        <f>IF($W866=AC$3,$AB866,IF(NOT($W866=0),"",SUMIFS('Val-Vol (2)'!AC$4:AC$1116,'Val-Vol (2)'!$A$4:$A$1116,$D866,'Val-Vol (2)'!$V$4:$V$1116,$V866)/SUMIFS('Comp2016-2017 (3)'!$G$5:$G$289,'Comp2016-2017 (3)'!$A$5:$A$289,$D866,'Comp2016-2017 (3)'!$R$5:$R$289,$V866)*$AB866))</f>
        <v/>
      </c>
      <c r="AD866" s="2">
        <f>IF($W866=AD$3,$AB866,IF(NOT($W866=0),"",SUMIFS('Val-Vol (2)'!AD$4:AD$1116,'Val-Vol (2)'!$A$4:$A$1116,$D866,'Val-Vol (2)'!$V$4:$V$1116,$V866)/SUMIFS('Comp2016-2017 (3)'!$G$5:$G$289,'Comp2016-2017 (3)'!$A$5:$A$289,$D866,'Comp2016-2017 (3)'!$R$5:$R$289,$V866)*$AB866))</f>
        <v>1061.4911861864257</v>
      </c>
      <c r="AE866" s="2" t="str">
        <f>IF($W866=AE$3,$AB866,IF(NOT($W866=0),"",SUMIFS('Val-Vol (2)'!AE$4:AE$1116,'Val-Vol (2)'!$A$4:$A$1116,$D866,'Val-Vol (2)'!$V$4:$V$1116,$V866)/SUMIFS('Comp2016-2017 (3)'!$G$5:$G$289,'Comp2016-2017 (3)'!$A$5:$A$289,$D866,'Comp2016-2017 (3)'!$R$5:$R$289,$V866)*$AB866))</f>
        <v/>
      </c>
      <c r="AF866" s="2" t="str">
        <f>IF($W866=AF$3,$AB866,IF(NOT($W866=0),"",SUMIFS('Val-Vol (2)'!AF$4:AF$1116,'Val-Vol (2)'!$A$4:$A$1116,$D866,'Val-Vol (2)'!$V$4:$V$1116,$V866)/SUMIFS('Comp2016-2017 (3)'!$G$5:$G$289,'Comp2016-2017 (3)'!$A$5:$A$289,$D866,'Comp2016-2017 (3)'!$R$5:$R$289,$V866)*$AB866))</f>
        <v/>
      </c>
      <c r="AG866" s="2" t="str">
        <f>IF($W866=AG$3,$AB866,IF(NOT($W866=0),"",SUMIFS('Val-Vol (2)'!AG$4:AG$1116,'Val-Vol (2)'!$A$4:$A$1116,$D866,'Val-Vol (2)'!$V$4:$V$1116,$V866)/SUMIFS('Comp2016-2017 (3)'!$G$5:$G$289,'Comp2016-2017 (3)'!$A$5:$A$289,$D866,'Comp2016-2017 (3)'!$R$5:$R$289,$V866)*$AB866))</f>
        <v/>
      </c>
      <c r="AH866" s="2" t="str">
        <f>IF($W866=AH$3,$AB866,IF(NOT($W866=0),"",SUMIFS('Val-Vol (2)'!AH$4:AH$1116,'Val-Vol (2)'!$A$4:$A$1116,$D866,'Val-Vol (2)'!$V$4:$V$1116,$V866)/SUMIFS('Comp2016-2017 (3)'!$G$5:$G$289,'Comp2016-2017 (3)'!$A$5:$A$289,$D866,'Comp2016-2017 (3)'!$R$5:$R$289,$V866)*$AB866))</f>
        <v/>
      </c>
      <c r="AI866" s="2" t="str">
        <f>IF($W866=AI$3,$AB866,IF(NOT($W866=0),"",SUMIFS('Val-Vol (2)'!AI$4:AI$1116,'Val-Vol (2)'!$A$4:$A$1116,$D866,'Val-Vol (2)'!$V$4:$V$1116,$V866)/SUMIFS('Comp2016-2017 (3)'!$G$5:$G$289,'Comp2016-2017 (3)'!$A$5:$A$289,$D866,'Comp2016-2017 (3)'!$R$5:$R$289,$V866)*$AB866))</f>
        <v/>
      </c>
      <c r="AJ866" s="2" t="str">
        <f>IF($W866=AJ$3,$AB866,IF(NOT($W866=0),"",SUMIFS('Val-Vol (2)'!AJ$4:AJ$1116,'Val-Vol (2)'!$A$4:$A$1116,$D866,'Val-Vol (2)'!$V$4:$V$1116,$V866)/SUMIFS('Comp2016-2017 (3)'!$G$5:$G$289,'Comp2016-2017 (3)'!$A$5:$A$289,$D866,'Comp2016-2017 (3)'!$R$5:$R$289,$V866)*$AB866))</f>
        <v/>
      </c>
      <c r="AK866" s="2">
        <f t="shared" si="101"/>
        <v>0</v>
      </c>
      <c r="AL866" t="str">
        <f t="shared" si="98"/>
        <v/>
      </c>
      <c r="AM866" t="str">
        <f>VLOOKUP(A866,'Table corresp.'!$M$4:$U$63,8,FALSE)</f>
        <v>Production intermédiaire</v>
      </c>
      <c r="AN866" t="str">
        <f>VLOOKUP(D866,'Table corresp.'!$M$4:$U$63,9,FALSE)</f>
        <v>Production finale</v>
      </c>
    </row>
    <row r="867" spans="1:40" x14ac:dyDescent="0.25">
      <c r="A867" t="s">
        <v>7</v>
      </c>
      <c r="B867" t="str">
        <f>VLOOKUP(LEFT(A867,3),'Table corresp.'!$A$4:$D$63,3,FALSE)</f>
        <v>Transformation</v>
      </c>
      <c r="C867" t="str">
        <f>VLOOKUP(A867,'Table corresp.'!$M$4:$P$63,4,FALSE)</f>
        <v>Production et transformation de produits bois</v>
      </c>
      <c r="D867" t="s">
        <v>16</v>
      </c>
      <c r="E867" t="str">
        <f>VLOOKUP(LEFT(D867,3),'Table corresp.'!$A$4:$D$63,4,FALSE)</f>
        <v>Transformation</v>
      </c>
      <c r="F867" t="str">
        <f t="shared" si="94"/>
        <v xml:space="preserve">12  - 36 </v>
      </c>
      <c r="G867" s="164">
        <v>9491.0559308664215</v>
      </c>
      <c r="H867" s="164">
        <v>7485.3336213012499</v>
      </c>
      <c r="I867" s="164">
        <v>16976.38955216765</v>
      </c>
      <c r="J867" s="164">
        <v>64.869527583169017</v>
      </c>
      <c r="K867" s="164">
        <v>50.430683274089752</v>
      </c>
      <c r="L867" s="164">
        <v>115.30021085725878</v>
      </c>
      <c r="M867" s="164">
        <v>0</v>
      </c>
      <c r="N867" s="164">
        <v>0</v>
      </c>
      <c r="O867" s="164">
        <v>0</v>
      </c>
      <c r="P867" s="164">
        <v>0</v>
      </c>
      <c r="Q867" s="164">
        <v>0</v>
      </c>
      <c r="R867" s="164">
        <v>0</v>
      </c>
      <c r="S867" s="163" t="str">
        <f t="shared" si="95"/>
        <v/>
      </c>
      <c r="T867" s="163">
        <f>VLOOKUP(A867,'Groupe de branches'!$Z$27:$AM$86,14,FALSE)</f>
        <v>0</v>
      </c>
      <c r="U867" s="163">
        <f>VLOOKUP(D867,'Groupe de branches'!$Z$27:$AM$86,14,FALSE)</f>
        <v>0</v>
      </c>
      <c r="V867" s="163">
        <v>2018</v>
      </c>
      <c r="W867" t="str">
        <f>VLOOKUP(D867,'Table corresp.'!$M$4:$S$63,7,FALSE)</f>
        <v>Construction</v>
      </c>
      <c r="X867" s="167">
        <f>IFERROR(G867/SUMIFS('Comp2016-2017 (3)'!$I$5:$I$289,'Comp2016-2017 (3)'!$A$5:$A$289,A867,'Comp2016-2017 (3)'!$R$5:$R$289,V867),0)</f>
        <v>1.2404788073543603E-2</v>
      </c>
      <c r="Y867" s="178">
        <f>IFERROR(IF(RIGHT(F867,3)="Exp",VLOOKUP(F867,#REF!,2,FALSE),VLOOKUP(F867,#REF!,9,FALSE)),1)</f>
        <v>1</v>
      </c>
      <c r="Z867" s="167">
        <f t="shared" si="100"/>
        <v>4.5454545454545456E-2</v>
      </c>
      <c r="AA867" s="189">
        <f t="shared" si="99"/>
        <v>5.6385400334289109E-4</v>
      </c>
      <c r="AB867" s="2">
        <f>IFERROR(SUMIFS('Comp2016-2017 (3)'!$G$5:$G$289,'Comp2016-2017 (3)'!$A$5:$A$289,A867,'Comp2016-2017 (3)'!$R$5:$R$289,V867)*AA867/SUMIFS($AA$4:$AA$1116,$A$4:$A$1116,A867,$V$4:$V$1116,V867),0)</f>
        <v>2234.7425034981334</v>
      </c>
      <c r="AC867" s="2" t="str">
        <f>IF($W867=AC$3,$AB867,IF(NOT($W867=0),"",SUMIFS('Val-Vol (2)'!AC$4:AC$1116,'Val-Vol (2)'!$A$4:$A$1116,$D867,'Val-Vol (2)'!$V$4:$V$1116,$V867)/SUMIFS('Comp2016-2017 (3)'!$G$5:$G$289,'Comp2016-2017 (3)'!$A$5:$A$289,$D867,'Comp2016-2017 (3)'!$R$5:$R$289,$V867)*$AB867))</f>
        <v/>
      </c>
      <c r="AD867" s="2">
        <f>IF($W867=AD$3,$AB867,IF(NOT($W867=0),"",SUMIFS('Val-Vol (2)'!AD$4:AD$1116,'Val-Vol (2)'!$A$4:$A$1116,$D867,'Val-Vol (2)'!$V$4:$V$1116,$V867)/SUMIFS('Comp2016-2017 (3)'!$G$5:$G$289,'Comp2016-2017 (3)'!$A$5:$A$289,$D867,'Comp2016-2017 (3)'!$R$5:$R$289,$V867)*$AB867))</f>
        <v>2234.7425034981334</v>
      </c>
      <c r="AE867" s="2" t="str">
        <f>IF($W867=AE$3,$AB867,IF(NOT($W867=0),"",SUMIFS('Val-Vol (2)'!AE$4:AE$1116,'Val-Vol (2)'!$A$4:$A$1116,$D867,'Val-Vol (2)'!$V$4:$V$1116,$V867)/SUMIFS('Comp2016-2017 (3)'!$G$5:$G$289,'Comp2016-2017 (3)'!$A$5:$A$289,$D867,'Comp2016-2017 (3)'!$R$5:$R$289,$V867)*$AB867))</f>
        <v/>
      </c>
      <c r="AF867" s="2" t="str">
        <f>IF($W867=AF$3,$AB867,IF(NOT($W867=0),"",SUMIFS('Val-Vol (2)'!AF$4:AF$1116,'Val-Vol (2)'!$A$4:$A$1116,$D867,'Val-Vol (2)'!$V$4:$V$1116,$V867)/SUMIFS('Comp2016-2017 (3)'!$G$5:$G$289,'Comp2016-2017 (3)'!$A$5:$A$289,$D867,'Comp2016-2017 (3)'!$R$5:$R$289,$V867)*$AB867))</f>
        <v/>
      </c>
      <c r="AG867" s="2" t="str">
        <f>IF($W867=AG$3,$AB867,IF(NOT($W867=0),"",SUMIFS('Val-Vol (2)'!AG$4:AG$1116,'Val-Vol (2)'!$A$4:$A$1116,$D867,'Val-Vol (2)'!$V$4:$V$1116,$V867)/SUMIFS('Comp2016-2017 (3)'!$G$5:$G$289,'Comp2016-2017 (3)'!$A$5:$A$289,$D867,'Comp2016-2017 (3)'!$R$5:$R$289,$V867)*$AB867))</f>
        <v/>
      </c>
      <c r="AH867" s="2" t="str">
        <f>IF($W867=AH$3,$AB867,IF(NOT($W867=0),"",SUMIFS('Val-Vol (2)'!AH$4:AH$1116,'Val-Vol (2)'!$A$4:$A$1116,$D867,'Val-Vol (2)'!$V$4:$V$1116,$V867)/SUMIFS('Comp2016-2017 (3)'!$G$5:$G$289,'Comp2016-2017 (3)'!$A$5:$A$289,$D867,'Comp2016-2017 (3)'!$R$5:$R$289,$V867)*$AB867))</f>
        <v/>
      </c>
      <c r="AI867" s="2" t="str">
        <f>IF($W867=AI$3,$AB867,IF(NOT($W867=0),"",SUMIFS('Val-Vol (2)'!AI$4:AI$1116,'Val-Vol (2)'!$A$4:$A$1116,$D867,'Val-Vol (2)'!$V$4:$V$1116,$V867)/SUMIFS('Comp2016-2017 (3)'!$G$5:$G$289,'Comp2016-2017 (3)'!$A$5:$A$289,$D867,'Comp2016-2017 (3)'!$R$5:$R$289,$V867)*$AB867))</f>
        <v/>
      </c>
      <c r="AJ867" s="2" t="str">
        <f>IF($W867=AJ$3,$AB867,IF(NOT($W867=0),"",SUMIFS('Val-Vol (2)'!AJ$4:AJ$1116,'Val-Vol (2)'!$A$4:$A$1116,$D867,'Val-Vol (2)'!$V$4:$V$1116,$V867)/SUMIFS('Comp2016-2017 (3)'!$G$5:$G$289,'Comp2016-2017 (3)'!$A$5:$A$289,$D867,'Comp2016-2017 (3)'!$R$5:$R$289,$V867)*$AB867))</f>
        <v/>
      </c>
      <c r="AK867" s="2">
        <f t="shared" si="101"/>
        <v>0</v>
      </c>
      <c r="AL867" t="str">
        <f t="shared" si="98"/>
        <v/>
      </c>
      <c r="AM867" t="str">
        <f>VLOOKUP(A867,'Table corresp.'!$M$4:$U$63,8,FALSE)</f>
        <v>Production intermédiaire</v>
      </c>
      <c r="AN867" t="str">
        <f>VLOOKUP(D867,'Table corresp.'!$M$4:$U$63,9,FALSE)</f>
        <v>Production finale</v>
      </c>
    </row>
    <row r="868" spans="1:40" x14ac:dyDescent="0.25">
      <c r="A868" t="s">
        <v>7</v>
      </c>
      <c r="B868" t="str">
        <f>VLOOKUP(LEFT(A868,3),'Table corresp.'!$A$4:$D$63,3,FALSE)</f>
        <v>Transformation</v>
      </c>
      <c r="C868" t="str">
        <f>VLOOKUP(A868,'Table corresp.'!$M$4:$P$63,4,FALSE)</f>
        <v>Production et transformation de produits bois</v>
      </c>
      <c r="D868" t="s">
        <v>91</v>
      </c>
      <c r="E868" t="str">
        <f>VLOOKUP(LEFT(D868,3),'Table corresp.'!$A$4:$D$63,4,FALSE)</f>
        <v>Transformation</v>
      </c>
      <c r="F868" t="str">
        <f t="shared" si="94"/>
        <v xml:space="preserve">12  - 37 </v>
      </c>
      <c r="G868" s="164">
        <v>83486.984175959427</v>
      </c>
      <c r="H868" s="164">
        <v>27236.847505304388</v>
      </c>
      <c r="I868" s="164">
        <v>110723.83168126368</v>
      </c>
      <c r="J868" s="164">
        <v>1097.3410655671742</v>
      </c>
      <c r="K868" s="164">
        <v>305.83647512514062</v>
      </c>
      <c r="L868" s="164">
        <v>1403.1775406923148</v>
      </c>
      <c r="M868" s="164">
        <v>0</v>
      </c>
      <c r="N868" s="164">
        <v>0</v>
      </c>
      <c r="O868" s="164">
        <v>0</v>
      </c>
      <c r="P868" s="164">
        <v>0</v>
      </c>
      <c r="Q868" s="164">
        <v>0</v>
      </c>
      <c r="R868" s="164">
        <v>0</v>
      </c>
      <c r="S868" s="163" t="str">
        <f t="shared" si="95"/>
        <v/>
      </c>
      <c r="T868" s="163">
        <f>VLOOKUP(A868,'Groupe de branches'!$Z$27:$AM$86,14,FALSE)</f>
        <v>0</v>
      </c>
      <c r="U868" s="163">
        <f>VLOOKUP(D868,'Groupe de branches'!$Z$27:$AM$86,14,FALSE)</f>
        <v>0</v>
      </c>
      <c r="V868" s="163">
        <v>2018</v>
      </c>
      <c r="W868" t="str">
        <f>VLOOKUP(D868,'Table corresp.'!$M$4:$S$63,7,FALSE)</f>
        <v>Emballage bois et carton</v>
      </c>
      <c r="X868" s="167">
        <f>IFERROR(G868/SUMIFS('Comp2016-2017 (3)'!$I$5:$I$289,'Comp2016-2017 (3)'!$A$5:$A$289,A868,'Comp2016-2017 (3)'!$R$5:$R$289,V868),0)</f>
        <v>0.10911729455033603</v>
      </c>
      <c r="Y868" s="178">
        <f>IFERROR(IF(RIGHT(F868,3)="Exp",VLOOKUP(F868,#REF!,2,FALSE),VLOOKUP(F868,#REF!,9,FALSE)),1)</f>
        <v>1</v>
      </c>
      <c r="Z868" s="167">
        <f t="shared" si="100"/>
        <v>4.5454545454545456E-2</v>
      </c>
      <c r="AA868" s="189">
        <f t="shared" si="99"/>
        <v>4.9598770250152743E-3</v>
      </c>
      <c r="AB868" s="2">
        <f>IFERROR(SUMIFS('Comp2016-2017 (3)'!$G$5:$G$289,'Comp2016-2017 (3)'!$A$5:$A$289,A868,'Comp2016-2017 (3)'!$R$5:$R$289,V868)*AA868/SUMIFS($AA$4:$AA$1116,$A$4:$A$1116,A868,$V$4:$V$1116,V868),0)</f>
        <v>19657.655943226626</v>
      </c>
      <c r="AC868" s="2" t="str">
        <f>IF($W868=AC$3,$AB868,IF(NOT($W868=0),"",SUMIFS('Val-Vol (2)'!AC$4:AC$1116,'Val-Vol (2)'!$A$4:$A$1116,$D868,'Val-Vol (2)'!$V$4:$V$1116,$V868)/SUMIFS('Comp2016-2017 (3)'!$G$5:$G$289,'Comp2016-2017 (3)'!$A$5:$A$289,$D868,'Comp2016-2017 (3)'!$R$5:$R$289,$V868)*$AB868))</f>
        <v/>
      </c>
      <c r="AD868" s="2" t="str">
        <f>IF($W868=AD$3,$AB868,IF(NOT($W868=0),"",SUMIFS('Val-Vol (2)'!AD$4:AD$1116,'Val-Vol (2)'!$A$4:$A$1116,$D868,'Val-Vol (2)'!$V$4:$V$1116,$V868)/SUMIFS('Comp2016-2017 (3)'!$G$5:$G$289,'Comp2016-2017 (3)'!$A$5:$A$289,$D868,'Comp2016-2017 (3)'!$R$5:$R$289,$V868)*$AB868))</f>
        <v/>
      </c>
      <c r="AE868" s="2" t="str">
        <f>IF($W868=AE$3,$AB868,IF(NOT($W868=0),"",SUMIFS('Val-Vol (2)'!AE$4:AE$1116,'Val-Vol (2)'!$A$4:$A$1116,$D868,'Val-Vol (2)'!$V$4:$V$1116,$V868)/SUMIFS('Comp2016-2017 (3)'!$G$5:$G$289,'Comp2016-2017 (3)'!$A$5:$A$289,$D868,'Comp2016-2017 (3)'!$R$5:$R$289,$V868)*$AB868))</f>
        <v/>
      </c>
      <c r="AF868" s="2" t="str">
        <f>IF($W868=AF$3,$AB868,IF(NOT($W868=0),"",SUMIFS('Val-Vol (2)'!AF$4:AF$1116,'Val-Vol (2)'!$A$4:$A$1116,$D868,'Val-Vol (2)'!$V$4:$V$1116,$V868)/SUMIFS('Comp2016-2017 (3)'!$G$5:$G$289,'Comp2016-2017 (3)'!$A$5:$A$289,$D868,'Comp2016-2017 (3)'!$R$5:$R$289,$V868)*$AB868))</f>
        <v/>
      </c>
      <c r="AG868" s="2">
        <f>IF($W868=AG$3,$AB868,IF(NOT($W868=0),"",SUMIFS('Val-Vol (2)'!AG$4:AG$1116,'Val-Vol (2)'!$A$4:$A$1116,$D868,'Val-Vol (2)'!$V$4:$V$1116,$V868)/SUMIFS('Comp2016-2017 (3)'!$G$5:$G$289,'Comp2016-2017 (3)'!$A$5:$A$289,$D868,'Comp2016-2017 (3)'!$R$5:$R$289,$V868)*$AB868))</f>
        <v>19657.655943226626</v>
      </c>
      <c r="AH868" s="2" t="str">
        <f>IF($W868=AH$3,$AB868,IF(NOT($W868=0),"",SUMIFS('Val-Vol (2)'!AH$4:AH$1116,'Val-Vol (2)'!$A$4:$A$1116,$D868,'Val-Vol (2)'!$V$4:$V$1116,$V868)/SUMIFS('Comp2016-2017 (3)'!$G$5:$G$289,'Comp2016-2017 (3)'!$A$5:$A$289,$D868,'Comp2016-2017 (3)'!$R$5:$R$289,$V868)*$AB868))</f>
        <v/>
      </c>
      <c r="AI868" s="2" t="str">
        <f>IF($W868=AI$3,$AB868,IF(NOT($W868=0),"",SUMIFS('Val-Vol (2)'!AI$4:AI$1116,'Val-Vol (2)'!$A$4:$A$1116,$D868,'Val-Vol (2)'!$V$4:$V$1116,$V868)/SUMIFS('Comp2016-2017 (3)'!$G$5:$G$289,'Comp2016-2017 (3)'!$A$5:$A$289,$D868,'Comp2016-2017 (3)'!$R$5:$R$289,$V868)*$AB868))</f>
        <v/>
      </c>
      <c r="AJ868" s="2" t="str">
        <f>IF($W868=AJ$3,$AB868,IF(NOT($W868=0),"",SUMIFS('Val-Vol (2)'!AJ$4:AJ$1116,'Val-Vol (2)'!$A$4:$A$1116,$D868,'Val-Vol (2)'!$V$4:$V$1116,$V868)/SUMIFS('Comp2016-2017 (3)'!$G$5:$G$289,'Comp2016-2017 (3)'!$A$5:$A$289,$D868,'Comp2016-2017 (3)'!$R$5:$R$289,$V868)*$AB868))</f>
        <v/>
      </c>
      <c r="AK868" s="2">
        <f t="shared" si="101"/>
        <v>0</v>
      </c>
      <c r="AL868" t="str">
        <f t="shared" si="98"/>
        <v/>
      </c>
      <c r="AM868" t="str">
        <f>VLOOKUP(A868,'Table corresp.'!$M$4:$U$63,8,FALSE)</f>
        <v>Production intermédiaire</v>
      </c>
      <c r="AN868" t="str">
        <f>VLOOKUP(D868,'Table corresp.'!$M$4:$U$63,9,FALSE)</f>
        <v>Production finale</v>
      </c>
    </row>
    <row r="869" spans="1:40" x14ac:dyDescent="0.25">
      <c r="A869" t="s">
        <v>7</v>
      </c>
      <c r="B869" t="str">
        <f>VLOOKUP(LEFT(A869,3),'Table corresp.'!$A$4:$D$63,3,FALSE)</f>
        <v>Transformation</v>
      </c>
      <c r="C869" t="str">
        <f>VLOOKUP(A869,'Table corresp.'!$M$4:$P$63,4,FALSE)</f>
        <v>Production et transformation de produits bois</v>
      </c>
      <c r="D869" t="s">
        <v>18</v>
      </c>
      <c r="E869" t="str">
        <f>VLOOKUP(LEFT(D869,3),'Table corresp.'!$A$4:$D$63,4,FALSE)</f>
        <v>Transformation</v>
      </c>
      <c r="F869" t="str">
        <f t="shared" si="94"/>
        <v xml:space="preserve">12  - 39 </v>
      </c>
      <c r="G869" s="164">
        <v>1690.6693618861898</v>
      </c>
      <c r="H869" s="164">
        <v>0</v>
      </c>
      <c r="I869" s="164">
        <v>1690.6693618861875</v>
      </c>
      <c r="J869" s="164">
        <v>20.634638172537112</v>
      </c>
      <c r="K869" s="164">
        <v>0</v>
      </c>
      <c r="L869" s="164">
        <v>20.634638172537112</v>
      </c>
      <c r="M869" s="164">
        <v>0</v>
      </c>
      <c r="N869" s="164">
        <v>0</v>
      </c>
      <c r="O869" s="164">
        <v>0</v>
      </c>
      <c r="P869" s="164">
        <v>0</v>
      </c>
      <c r="Q869" s="164">
        <v>0</v>
      </c>
      <c r="R869" s="164">
        <v>0</v>
      </c>
      <c r="S869" s="163" t="str">
        <f t="shared" si="95"/>
        <v/>
      </c>
      <c r="T869" s="163">
        <f>VLOOKUP(A869,'Groupe de branches'!$Z$27:$AM$86,14,FALSE)</f>
        <v>0</v>
      </c>
      <c r="U869" s="163">
        <f>VLOOKUP(D869,'Groupe de branches'!$Z$27:$AM$86,14,FALSE)</f>
        <v>0</v>
      </c>
      <c r="V869" s="163">
        <v>2018</v>
      </c>
      <c r="W869" t="str">
        <f>VLOOKUP(D869,'Table corresp.'!$M$4:$S$63,7,FALSE)</f>
        <v>Construction</v>
      </c>
      <c r="X869" s="167">
        <f>IFERROR(G869/SUMIFS('Comp2016-2017 (3)'!$I$5:$I$289,'Comp2016-2017 (3)'!$A$5:$A$289,A869,'Comp2016-2017 (3)'!$R$5:$R$289,V869),0)</f>
        <v>2.2097009320560237E-3</v>
      </c>
      <c r="Y869" s="178">
        <f>IFERROR(IF(RIGHT(F869,3)="Exp",VLOOKUP(F869,#REF!,2,FALSE),VLOOKUP(F869,#REF!,9,FALSE)),1)</f>
        <v>1</v>
      </c>
      <c r="Z869" s="167">
        <f t="shared" si="100"/>
        <v>4.5454545454545456E-2</v>
      </c>
      <c r="AA869" s="189">
        <f t="shared" si="99"/>
        <v>1.0044095145709199E-4</v>
      </c>
      <c r="AB869" s="2">
        <f>IFERROR(SUMIFS('Comp2016-2017 (3)'!$G$5:$G$289,'Comp2016-2017 (3)'!$A$5:$A$289,A869,'Comp2016-2017 (3)'!$R$5:$R$289,V869)*AA869/SUMIFS($AA$4:$AA$1116,$A$4:$A$1116,A869,$V$4:$V$1116,V869),0)</f>
        <v>398.08117346372336</v>
      </c>
      <c r="AC869" s="2" t="str">
        <f>IF($W869=AC$3,$AB869,IF(NOT($W869=0),"",SUMIFS('Val-Vol (2)'!AC$4:AC$1116,'Val-Vol (2)'!$A$4:$A$1116,$D869,'Val-Vol (2)'!$V$4:$V$1116,$V869)/SUMIFS('Comp2016-2017 (3)'!$G$5:$G$289,'Comp2016-2017 (3)'!$A$5:$A$289,$D869,'Comp2016-2017 (3)'!$R$5:$R$289,$V869)*$AB869))</f>
        <v/>
      </c>
      <c r="AD869" s="2">
        <f>IF($W869=AD$3,$AB869,IF(NOT($W869=0),"",SUMIFS('Val-Vol (2)'!AD$4:AD$1116,'Val-Vol (2)'!$A$4:$A$1116,$D869,'Val-Vol (2)'!$V$4:$V$1116,$V869)/SUMIFS('Comp2016-2017 (3)'!$G$5:$G$289,'Comp2016-2017 (3)'!$A$5:$A$289,$D869,'Comp2016-2017 (3)'!$R$5:$R$289,$V869)*$AB869))</f>
        <v>398.08117346372336</v>
      </c>
      <c r="AE869" s="2" t="str">
        <f>IF($W869=AE$3,$AB869,IF(NOT($W869=0),"",SUMIFS('Val-Vol (2)'!AE$4:AE$1116,'Val-Vol (2)'!$A$4:$A$1116,$D869,'Val-Vol (2)'!$V$4:$V$1116,$V869)/SUMIFS('Comp2016-2017 (3)'!$G$5:$G$289,'Comp2016-2017 (3)'!$A$5:$A$289,$D869,'Comp2016-2017 (3)'!$R$5:$R$289,$V869)*$AB869))</f>
        <v/>
      </c>
      <c r="AF869" s="2" t="str">
        <f>IF($W869=AF$3,$AB869,IF(NOT($W869=0),"",SUMIFS('Val-Vol (2)'!AF$4:AF$1116,'Val-Vol (2)'!$A$4:$A$1116,$D869,'Val-Vol (2)'!$V$4:$V$1116,$V869)/SUMIFS('Comp2016-2017 (3)'!$G$5:$G$289,'Comp2016-2017 (3)'!$A$5:$A$289,$D869,'Comp2016-2017 (3)'!$R$5:$R$289,$V869)*$AB869))</f>
        <v/>
      </c>
      <c r="AG869" s="2" t="str">
        <f>IF($W869=AG$3,$AB869,IF(NOT($W869=0),"",SUMIFS('Val-Vol (2)'!AG$4:AG$1116,'Val-Vol (2)'!$A$4:$A$1116,$D869,'Val-Vol (2)'!$V$4:$V$1116,$V869)/SUMIFS('Comp2016-2017 (3)'!$G$5:$G$289,'Comp2016-2017 (3)'!$A$5:$A$289,$D869,'Comp2016-2017 (3)'!$R$5:$R$289,$V869)*$AB869))</f>
        <v/>
      </c>
      <c r="AH869" s="2" t="str">
        <f>IF($W869=AH$3,$AB869,IF(NOT($W869=0),"",SUMIFS('Val-Vol (2)'!AH$4:AH$1116,'Val-Vol (2)'!$A$4:$A$1116,$D869,'Val-Vol (2)'!$V$4:$V$1116,$V869)/SUMIFS('Comp2016-2017 (3)'!$G$5:$G$289,'Comp2016-2017 (3)'!$A$5:$A$289,$D869,'Comp2016-2017 (3)'!$R$5:$R$289,$V869)*$AB869))</f>
        <v/>
      </c>
      <c r="AI869" s="2" t="str">
        <f>IF($W869=AI$3,$AB869,IF(NOT($W869=0),"",SUMIFS('Val-Vol (2)'!AI$4:AI$1116,'Val-Vol (2)'!$A$4:$A$1116,$D869,'Val-Vol (2)'!$V$4:$V$1116,$V869)/SUMIFS('Comp2016-2017 (3)'!$G$5:$G$289,'Comp2016-2017 (3)'!$A$5:$A$289,$D869,'Comp2016-2017 (3)'!$R$5:$R$289,$V869)*$AB869))</f>
        <v/>
      </c>
      <c r="AJ869" s="2" t="str">
        <f>IF($W869=AJ$3,$AB869,IF(NOT($W869=0),"",SUMIFS('Val-Vol (2)'!AJ$4:AJ$1116,'Val-Vol (2)'!$A$4:$A$1116,$D869,'Val-Vol (2)'!$V$4:$V$1116,$V869)/SUMIFS('Comp2016-2017 (3)'!$G$5:$G$289,'Comp2016-2017 (3)'!$A$5:$A$289,$D869,'Comp2016-2017 (3)'!$R$5:$R$289,$V869)*$AB869))</f>
        <v/>
      </c>
      <c r="AK869" s="2">
        <f t="shared" si="101"/>
        <v>0</v>
      </c>
      <c r="AL869" t="str">
        <f t="shared" si="98"/>
        <v/>
      </c>
      <c r="AM869" t="str">
        <f>VLOOKUP(A869,'Table corresp.'!$M$4:$U$63,8,FALSE)</f>
        <v>Production intermédiaire</v>
      </c>
      <c r="AN869" t="str">
        <f>VLOOKUP(D869,'Table corresp.'!$M$4:$U$63,9,FALSE)</f>
        <v>Production finale</v>
      </c>
    </row>
    <row r="870" spans="1:40" x14ac:dyDescent="0.25">
      <c r="A870" t="s">
        <v>7</v>
      </c>
      <c r="B870" t="str">
        <f>VLOOKUP(LEFT(A870,3),'Table corresp.'!$A$4:$D$63,3,FALSE)</f>
        <v>Transformation</v>
      </c>
      <c r="C870" t="str">
        <f>VLOOKUP(A870,'Table corresp.'!$M$4:$P$63,4,FALSE)</f>
        <v>Production et transformation de produits bois</v>
      </c>
      <c r="D870" t="s">
        <v>92</v>
      </c>
      <c r="E870" t="str">
        <f>VLOOKUP(LEFT(D870,3),'Table corresp.'!$A$4:$D$63,4,FALSE)</f>
        <v>Transformation</v>
      </c>
      <c r="F870" t="str">
        <f t="shared" si="94"/>
        <v xml:space="preserve">12  - 40 </v>
      </c>
      <c r="G870" s="164">
        <v>612.2271634406784</v>
      </c>
      <c r="H870" s="164">
        <v>0</v>
      </c>
      <c r="I870" s="164">
        <v>612.2271634406776</v>
      </c>
      <c r="J870" s="164">
        <v>5.2305674883894229</v>
      </c>
      <c r="K870" s="164">
        <v>0</v>
      </c>
      <c r="L870" s="164">
        <v>5.2305674883894229</v>
      </c>
      <c r="M870" s="164">
        <v>0</v>
      </c>
      <c r="N870" s="164">
        <v>0</v>
      </c>
      <c r="O870" s="164">
        <v>0</v>
      </c>
      <c r="P870" s="164">
        <v>0</v>
      </c>
      <c r="Q870" s="164">
        <v>0</v>
      </c>
      <c r="R870" s="164">
        <v>0</v>
      </c>
      <c r="S870" s="163" t="str">
        <f t="shared" si="95"/>
        <v/>
      </c>
      <c r="T870" s="163">
        <f>VLOOKUP(A870,'Groupe de branches'!$Z$27:$AM$86,14,FALSE)</f>
        <v>0</v>
      </c>
      <c r="U870" s="163">
        <f>VLOOKUP(D870,'Groupe de branches'!$Z$27:$AM$86,14,FALSE)</f>
        <v>0</v>
      </c>
      <c r="V870" s="163">
        <v>2018</v>
      </c>
      <c r="W870" t="str">
        <f>VLOOKUP(D870,'Table corresp.'!$M$4:$S$63,7,FALSE)</f>
        <v>Construction</v>
      </c>
      <c r="X870" s="167">
        <f>IFERROR(G870/SUMIFS('Comp2016-2017 (3)'!$I$5:$I$289,'Comp2016-2017 (3)'!$A$5:$A$289,A870,'Comp2016-2017 (3)'!$R$5:$R$289,V870),0)</f>
        <v>8.0017948167913336E-4</v>
      </c>
      <c r="Y870" s="178">
        <f>IFERROR(IF(RIGHT(F870,3)="Exp",VLOOKUP(F870,#REF!,2,FALSE),VLOOKUP(F870,#REF!,9,FALSE)),1)</f>
        <v>1</v>
      </c>
      <c r="Z870" s="167">
        <f t="shared" si="100"/>
        <v>4.5454545454545456E-2</v>
      </c>
      <c r="AA870" s="189">
        <f t="shared" si="99"/>
        <v>3.6371794621778792E-5</v>
      </c>
      <c r="AB870" s="2">
        <f>IFERROR(SUMIFS('Comp2016-2017 (3)'!$G$5:$G$289,'Comp2016-2017 (3)'!$A$5:$A$289,A870,'Comp2016-2017 (3)'!$R$5:$R$289,V870)*AA870/SUMIFS($AA$4:$AA$1116,$A$4:$A$1116,A870,$V$4:$V$1116,V870),0)</f>
        <v>144.15361935519485</v>
      </c>
      <c r="AC870" s="2" t="str">
        <f>IF($W870=AC$3,$AB870,IF(NOT($W870=0),"",SUMIFS('Val-Vol (2)'!AC$4:AC$1116,'Val-Vol (2)'!$A$4:$A$1116,$D870,'Val-Vol (2)'!$V$4:$V$1116,$V870)/SUMIFS('Comp2016-2017 (3)'!$G$5:$G$289,'Comp2016-2017 (3)'!$A$5:$A$289,$D870,'Comp2016-2017 (3)'!$R$5:$R$289,$V870)*$AB870))</f>
        <v/>
      </c>
      <c r="AD870" s="2">
        <f>IF($W870=AD$3,$AB870,IF(NOT($W870=0),"",SUMIFS('Val-Vol (2)'!AD$4:AD$1116,'Val-Vol (2)'!$A$4:$A$1116,$D870,'Val-Vol (2)'!$V$4:$V$1116,$V870)/SUMIFS('Comp2016-2017 (3)'!$G$5:$G$289,'Comp2016-2017 (3)'!$A$5:$A$289,$D870,'Comp2016-2017 (3)'!$R$5:$R$289,$V870)*$AB870))</f>
        <v>144.15361935519485</v>
      </c>
      <c r="AE870" s="2" t="str">
        <f>IF($W870=AE$3,$AB870,IF(NOT($W870=0),"",SUMIFS('Val-Vol (2)'!AE$4:AE$1116,'Val-Vol (2)'!$A$4:$A$1116,$D870,'Val-Vol (2)'!$V$4:$V$1116,$V870)/SUMIFS('Comp2016-2017 (3)'!$G$5:$G$289,'Comp2016-2017 (3)'!$A$5:$A$289,$D870,'Comp2016-2017 (3)'!$R$5:$R$289,$V870)*$AB870))</f>
        <v/>
      </c>
      <c r="AF870" s="2" t="str">
        <f>IF($W870=AF$3,$AB870,IF(NOT($W870=0),"",SUMIFS('Val-Vol (2)'!AF$4:AF$1116,'Val-Vol (2)'!$A$4:$A$1116,$D870,'Val-Vol (2)'!$V$4:$V$1116,$V870)/SUMIFS('Comp2016-2017 (3)'!$G$5:$G$289,'Comp2016-2017 (3)'!$A$5:$A$289,$D870,'Comp2016-2017 (3)'!$R$5:$R$289,$V870)*$AB870))</f>
        <v/>
      </c>
      <c r="AG870" s="2" t="str">
        <f>IF($W870=AG$3,$AB870,IF(NOT($W870=0),"",SUMIFS('Val-Vol (2)'!AG$4:AG$1116,'Val-Vol (2)'!$A$4:$A$1116,$D870,'Val-Vol (2)'!$V$4:$V$1116,$V870)/SUMIFS('Comp2016-2017 (3)'!$G$5:$G$289,'Comp2016-2017 (3)'!$A$5:$A$289,$D870,'Comp2016-2017 (3)'!$R$5:$R$289,$V870)*$AB870))</f>
        <v/>
      </c>
      <c r="AH870" s="2" t="str">
        <f>IF($W870=AH$3,$AB870,IF(NOT($W870=0),"",SUMIFS('Val-Vol (2)'!AH$4:AH$1116,'Val-Vol (2)'!$A$4:$A$1116,$D870,'Val-Vol (2)'!$V$4:$V$1116,$V870)/SUMIFS('Comp2016-2017 (3)'!$G$5:$G$289,'Comp2016-2017 (3)'!$A$5:$A$289,$D870,'Comp2016-2017 (3)'!$R$5:$R$289,$V870)*$AB870))</f>
        <v/>
      </c>
      <c r="AI870" s="2" t="str">
        <f>IF($W870=AI$3,$AB870,IF(NOT($W870=0),"",SUMIFS('Val-Vol (2)'!AI$4:AI$1116,'Val-Vol (2)'!$A$4:$A$1116,$D870,'Val-Vol (2)'!$V$4:$V$1116,$V870)/SUMIFS('Comp2016-2017 (3)'!$G$5:$G$289,'Comp2016-2017 (3)'!$A$5:$A$289,$D870,'Comp2016-2017 (3)'!$R$5:$R$289,$V870)*$AB870))</f>
        <v/>
      </c>
      <c r="AJ870" s="2" t="str">
        <f>IF($W870=AJ$3,$AB870,IF(NOT($W870=0),"",SUMIFS('Val-Vol (2)'!AJ$4:AJ$1116,'Val-Vol (2)'!$A$4:$A$1116,$D870,'Val-Vol (2)'!$V$4:$V$1116,$V870)/SUMIFS('Comp2016-2017 (3)'!$G$5:$G$289,'Comp2016-2017 (3)'!$A$5:$A$289,$D870,'Comp2016-2017 (3)'!$R$5:$R$289,$V870)*$AB870))</f>
        <v/>
      </c>
      <c r="AK870" s="2">
        <f t="shared" si="101"/>
        <v>0</v>
      </c>
      <c r="AL870" t="str">
        <f t="shared" si="98"/>
        <v/>
      </c>
      <c r="AM870" t="str">
        <f>VLOOKUP(A870,'Table corresp.'!$M$4:$U$63,8,FALSE)</f>
        <v>Production intermédiaire</v>
      </c>
      <c r="AN870" t="str">
        <f>VLOOKUP(D870,'Table corresp.'!$M$4:$U$63,9,FALSE)</f>
        <v>Production finale</v>
      </c>
    </row>
    <row r="871" spans="1:40" x14ac:dyDescent="0.25">
      <c r="A871" t="s">
        <v>7</v>
      </c>
      <c r="B871" t="str">
        <f>VLOOKUP(LEFT(A871,3),'Table corresp.'!$A$4:$D$63,3,FALSE)</f>
        <v>Transformation</v>
      </c>
      <c r="C871" t="str">
        <f>VLOOKUP(A871,'Table corresp.'!$M$4:$P$63,4,FALSE)</f>
        <v>Production et transformation de produits bois</v>
      </c>
      <c r="D871" t="s">
        <v>93</v>
      </c>
      <c r="E871" t="str">
        <f>VLOOKUP(LEFT(D871,3),'Table corresp.'!$A$4:$D$63,4,FALSE)</f>
        <v>Transformation</v>
      </c>
      <c r="F871" t="str">
        <f t="shared" si="94"/>
        <v xml:space="preserve">12  - 41 </v>
      </c>
      <c r="G871" s="164">
        <v>14840.112645447833</v>
      </c>
      <c r="H871" s="164">
        <v>0</v>
      </c>
      <c r="I871" s="164">
        <v>14840.112645447814</v>
      </c>
      <c r="J871" s="164">
        <v>101.42929338983814</v>
      </c>
      <c r="K871" s="164">
        <v>0</v>
      </c>
      <c r="L871" s="164">
        <v>101.42929338983814</v>
      </c>
      <c r="M871" s="164">
        <v>0</v>
      </c>
      <c r="N871" s="164">
        <v>0</v>
      </c>
      <c r="O871" s="164">
        <v>0</v>
      </c>
      <c r="P871" s="164">
        <v>0</v>
      </c>
      <c r="Q871" s="164">
        <v>0</v>
      </c>
      <c r="R871" s="164">
        <v>0</v>
      </c>
      <c r="S871" s="163" t="str">
        <f t="shared" si="95"/>
        <v/>
      </c>
      <c r="T871" s="163">
        <f>VLOOKUP(A871,'Groupe de branches'!$Z$27:$AM$86,14,FALSE)</f>
        <v>0</v>
      </c>
      <c r="U871" s="163">
        <f>VLOOKUP(D871,'Groupe de branches'!$Z$27:$AM$86,14,FALSE)</f>
        <v>0</v>
      </c>
      <c r="V871" s="163">
        <v>2018</v>
      </c>
      <c r="W871" t="str">
        <f>VLOOKUP(D871,'Table corresp.'!$M$4:$S$63,7,FALSE)</f>
        <v>Produits de consommation courante</v>
      </c>
      <c r="X871" s="167">
        <f>IFERROR(G871/SUMIFS('Comp2016-2017 (3)'!$I$5:$I$289,'Comp2016-2017 (3)'!$A$5:$A$289,A871,'Comp2016-2017 (3)'!$R$5:$R$289,V871),0)</f>
        <v>1.9395992784702699E-2</v>
      </c>
      <c r="Y871" s="178">
        <f>IFERROR(IF(RIGHT(F871,3)="Exp",VLOOKUP(F871,#REF!,2,FALSE),VLOOKUP(F871,#REF!,9,FALSE)),1)</f>
        <v>1</v>
      </c>
      <c r="Z871" s="167">
        <f t="shared" si="100"/>
        <v>4.5454545454545456E-2</v>
      </c>
      <c r="AA871" s="189">
        <f t="shared" si="99"/>
        <v>8.8163603566830456E-4</v>
      </c>
      <c r="AB871" s="2">
        <f>IFERROR(SUMIFS('Comp2016-2017 (3)'!$G$5:$G$289,'Comp2016-2017 (3)'!$A$5:$A$289,A871,'Comp2016-2017 (3)'!$R$5:$R$289,V871)*AA871/SUMIFS($AA$4:$AA$1116,$A$4:$A$1116,A871,$V$4:$V$1116,V871),0)</f>
        <v>3494.2192657013379</v>
      </c>
      <c r="AC871" s="2" t="str">
        <f>IF($W871=AC$3,$AB871,IF(NOT($W871=0),"",SUMIFS('Val-Vol (2)'!AC$4:AC$1116,'Val-Vol (2)'!$A$4:$A$1116,$D871,'Val-Vol (2)'!$V$4:$V$1116,$V871)/SUMIFS('Comp2016-2017 (3)'!$G$5:$G$289,'Comp2016-2017 (3)'!$A$5:$A$289,$D871,'Comp2016-2017 (3)'!$R$5:$R$289,$V871)*$AB871))</f>
        <v/>
      </c>
      <c r="AD871" s="2" t="str">
        <f>IF($W871=AD$3,$AB871,IF(NOT($W871=0),"",SUMIFS('Val-Vol (2)'!AD$4:AD$1116,'Val-Vol (2)'!$A$4:$A$1116,$D871,'Val-Vol (2)'!$V$4:$V$1116,$V871)/SUMIFS('Comp2016-2017 (3)'!$G$5:$G$289,'Comp2016-2017 (3)'!$A$5:$A$289,$D871,'Comp2016-2017 (3)'!$R$5:$R$289,$V871)*$AB871))</f>
        <v/>
      </c>
      <c r="AE871" s="2" t="str">
        <f>IF($W871=AE$3,$AB871,IF(NOT($W871=0),"",SUMIFS('Val-Vol (2)'!AE$4:AE$1116,'Val-Vol (2)'!$A$4:$A$1116,$D871,'Val-Vol (2)'!$V$4:$V$1116,$V871)/SUMIFS('Comp2016-2017 (3)'!$G$5:$G$289,'Comp2016-2017 (3)'!$A$5:$A$289,$D871,'Comp2016-2017 (3)'!$R$5:$R$289,$V871)*$AB871))</f>
        <v/>
      </c>
      <c r="AF871" s="2" t="str">
        <f>IF($W871=AF$3,$AB871,IF(NOT($W871=0),"",SUMIFS('Val-Vol (2)'!AF$4:AF$1116,'Val-Vol (2)'!$A$4:$A$1116,$D871,'Val-Vol (2)'!$V$4:$V$1116,$V871)/SUMIFS('Comp2016-2017 (3)'!$G$5:$G$289,'Comp2016-2017 (3)'!$A$5:$A$289,$D871,'Comp2016-2017 (3)'!$R$5:$R$289,$V871)*$AB871))</f>
        <v/>
      </c>
      <c r="AG871" s="2" t="str">
        <f>IF($W871=AG$3,$AB871,IF(NOT($W871=0),"",SUMIFS('Val-Vol (2)'!AG$4:AG$1116,'Val-Vol (2)'!$A$4:$A$1116,$D871,'Val-Vol (2)'!$V$4:$V$1116,$V871)/SUMIFS('Comp2016-2017 (3)'!$G$5:$G$289,'Comp2016-2017 (3)'!$A$5:$A$289,$D871,'Comp2016-2017 (3)'!$R$5:$R$289,$V871)*$AB871))</f>
        <v/>
      </c>
      <c r="AH871" s="2" t="str">
        <f>IF($W871=AH$3,$AB871,IF(NOT($W871=0),"",SUMIFS('Val-Vol (2)'!AH$4:AH$1116,'Val-Vol (2)'!$A$4:$A$1116,$D871,'Val-Vol (2)'!$V$4:$V$1116,$V871)/SUMIFS('Comp2016-2017 (3)'!$G$5:$G$289,'Comp2016-2017 (3)'!$A$5:$A$289,$D871,'Comp2016-2017 (3)'!$R$5:$R$289,$V871)*$AB871))</f>
        <v/>
      </c>
      <c r="AI871" s="2">
        <f>IF($W871=AI$3,$AB871,IF(NOT($W871=0),"",SUMIFS('Val-Vol (2)'!AI$4:AI$1116,'Val-Vol (2)'!$A$4:$A$1116,$D871,'Val-Vol (2)'!$V$4:$V$1116,$V871)/SUMIFS('Comp2016-2017 (3)'!$G$5:$G$289,'Comp2016-2017 (3)'!$A$5:$A$289,$D871,'Comp2016-2017 (3)'!$R$5:$R$289,$V871)*$AB871))</f>
        <v>3494.2192657013379</v>
      </c>
      <c r="AJ871" s="2" t="str">
        <f>IF($W871=AJ$3,$AB871,IF(NOT($W871=0),"",SUMIFS('Val-Vol (2)'!AJ$4:AJ$1116,'Val-Vol (2)'!$A$4:$A$1116,$D871,'Val-Vol (2)'!$V$4:$V$1116,$V871)/SUMIFS('Comp2016-2017 (3)'!$G$5:$G$289,'Comp2016-2017 (3)'!$A$5:$A$289,$D871,'Comp2016-2017 (3)'!$R$5:$R$289,$V871)*$AB871))</f>
        <v/>
      </c>
      <c r="AK871" s="2">
        <f t="shared" si="101"/>
        <v>0</v>
      </c>
      <c r="AL871" t="str">
        <f t="shared" si="98"/>
        <v/>
      </c>
      <c r="AM871" t="str">
        <f>VLOOKUP(A871,'Table corresp.'!$M$4:$U$63,8,FALSE)</f>
        <v>Production intermédiaire</v>
      </c>
      <c r="AN871" t="str">
        <f>VLOOKUP(D871,'Table corresp.'!$M$4:$U$63,9,FALSE)</f>
        <v>Production finale</v>
      </c>
    </row>
    <row r="872" spans="1:40" x14ac:dyDescent="0.25">
      <c r="A872" t="s">
        <v>7</v>
      </c>
      <c r="B872" t="str">
        <f>VLOOKUP(LEFT(A872,3),'Table corresp.'!$A$4:$D$63,3,FALSE)</f>
        <v>Transformation</v>
      </c>
      <c r="C872" t="str">
        <f>VLOOKUP(A872,'Table corresp.'!$M$4:$P$63,4,FALSE)</f>
        <v>Production et transformation de produits bois</v>
      </c>
      <c r="D872" t="s">
        <v>99</v>
      </c>
      <c r="E872" t="str">
        <f>VLOOKUP(LEFT(D872,3),'Table corresp.'!$A$4:$D$63,4,FALSE)</f>
        <v>Transformation</v>
      </c>
      <c r="F872" t="str">
        <f t="shared" si="94"/>
        <v xml:space="preserve">12  - 47 </v>
      </c>
      <c r="G872" s="164">
        <v>11166.776072449968</v>
      </c>
      <c r="H872" s="164">
        <v>7550.144251175223</v>
      </c>
      <c r="I872" s="164">
        <v>18716.920323625163</v>
      </c>
      <c r="J872" s="164">
        <v>63.602291613926639</v>
      </c>
      <c r="K872" s="164">
        <v>45.417258681645883</v>
      </c>
      <c r="L872" s="164">
        <v>109.01955029557251</v>
      </c>
      <c r="M872" s="164">
        <v>0</v>
      </c>
      <c r="N872" s="164">
        <v>0</v>
      </c>
      <c r="O872" s="164">
        <v>0</v>
      </c>
      <c r="P872" s="164">
        <v>0</v>
      </c>
      <c r="Q872" s="164">
        <v>0</v>
      </c>
      <c r="R872" s="164">
        <v>0</v>
      </c>
      <c r="S872" s="163" t="str">
        <f t="shared" si="95"/>
        <v/>
      </c>
      <c r="T872" s="163">
        <f>VLOOKUP(A872,'Groupe de branches'!$Z$27:$AM$86,14,FALSE)</f>
        <v>0</v>
      </c>
      <c r="U872" s="163">
        <f>VLOOKUP(D872,'Groupe de branches'!$Z$27:$AM$86,14,FALSE)</f>
        <v>0</v>
      </c>
      <c r="V872" s="163">
        <v>2018</v>
      </c>
      <c r="W872" t="str">
        <f>VLOOKUP(D872,'Table corresp.'!$M$4:$S$63,7,FALSE)</f>
        <v>Meuble</v>
      </c>
      <c r="X872" s="167">
        <f>IFERROR(G872/SUMIFS('Comp2016-2017 (3)'!$I$5:$I$289,'Comp2016-2017 (3)'!$A$5:$A$289,A872,'Comp2016-2017 (3)'!$R$5:$R$289,V872),0)</f>
        <v>1.4594950409360201E-2</v>
      </c>
      <c r="Y872" s="178">
        <f>IFERROR(IF(RIGHT(F872,3)="Exp",VLOOKUP(F872,#REF!,2,FALSE),VLOOKUP(F872,#REF!,9,FALSE)),1)</f>
        <v>1</v>
      </c>
      <c r="Z872" s="167">
        <f t="shared" si="100"/>
        <v>4.5454545454545456E-2</v>
      </c>
      <c r="AA872" s="189">
        <f t="shared" si="99"/>
        <v>6.634068367891001E-4</v>
      </c>
      <c r="AB872" s="2">
        <f>IFERROR(SUMIFS('Comp2016-2017 (3)'!$G$5:$G$289,'Comp2016-2017 (3)'!$A$5:$A$289,A872,'Comp2016-2017 (3)'!$R$5:$R$289,V872)*AA872/SUMIFS($AA$4:$AA$1116,$A$4:$A$1116,A872,$V$4:$V$1116,V872),0)</f>
        <v>2629.3037674546513</v>
      </c>
      <c r="AC872" s="2" t="str">
        <f>IF($W872=AC$3,$AB872,IF(NOT($W872=0),"",SUMIFS('Val-Vol (2)'!AC$4:AC$1116,'Val-Vol (2)'!$A$4:$A$1116,$D872,'Val-Vol (2)'!$V$4:$V$1116,$V872)/SUMIFS('Comp2016-2017 (3)'!$G$5:$G$289,'Comp2016-2017 (3)'!$A$5:$A$289,$D872,'Comp2016-2017 (3)'!$R$5:$R$289,$V872)*$AB872))</f>
        <v/>
      </c>
      <c r="AD872" s="2" t="str">
        <f>IF($W872=AD$3,$AB872,IF(NOT($W872=0),"",SUMIFS('Val-Vol (2)'!AD$4:AD$1116,'Val-Vol (2)'!$A$4:$A$1116,$D872,'Val-Vol (2)'!$V$4:$V$1116,$V872)/SUMIFS('Comp2016-2017 (3)'!$G$5:$G$289,'Comp2016-2017 (3)'!$A$5:$A$289,$D872,'Comp2016-2017 (3)'!$R$5:$R$289,$V872)*$AB872))</f>
        <v/>
      </c>
      <c r="AE872" s="2">
        <f>IF($W872=AE$3,$AB872,IF(NOT($W872=0),"",SUMIFS('Val-Vol (2)'!AE$4:AE$1116,'Val-Vol (2)'!$A$4:$A$1116,$D872,'Val-Vol (2)'!$V$4:$V$1116,$V872)/SUMIFS('Comp2016-2017 (3)'!$G$5:$G$289,'Comp2016-2017 (3)'!$A$5:$A$289,$D872,'Comp2016-2017 (3)'!$R$5:$R$289,$V872)*$AB872))</f>
        <v>2629.3037674546513</v>
      </c>
      <c r="AF872" s="2" t="str">
        <f>IF($W872=AF$3,$AB872,IF(NOT($W872=0),"",SUMIFS('Val-Vol (2)'!AF$4:AF$1116,'Val-Vol (2)'!$A$4:$A$1116,$D872,'Val-Vol (2)'!$V$4:$V$1116,$V872)/SUMIFS('Comp2016-2017 (3)'!$G$5:$G$289,'Comp2016-2017 (3)'!$A$5:$A$289,$D872,'Comp2016-2017 (3)'!$R$5:$R$289,$V872)*$AB872))</f>
        <v/>
      </c>
      <c r="AG872" s="2" t="str">
        <f>IF($W872=AG$3,$AB872,IF(NOT($W872=0),"",SUMIFS('Val-Vol (2)'!AG$4:AG$1116,'Val-Vol (2)'!$A$4:$A$1116,$D872,'Val-Vol (2)'!$V$4:$V$1116,$V872)/SUMIFS('Comp2016-2017 (3)'!$G$5:$G$289,'Comp2016-2017 (3)'!$A$5:$A$289,$D872,'Comp2016-2017 (3)'!$R$5:$R$289,$V872)*$AB872))</f>
        <v/>
      </c>
      <c r="AH872" s="2" t="str">
        <f>IF($W872=AH$3,$AB872,IF(NOT($W872=0),"",SUMIFS('Val-Vol (2)'!AH$4:AH$1116,'Val-Vol (2)'!$A$4:$A$1116,$D872,'Val-Vol (2)'!$V$4:$V$1116,$V872)/SUMIFS('Comp2016-2017 (3)'!$G$5:$G$289,'Comp2016-2017 (3)'!$A$5:$A$289,$D872,'Comp2016-2017 (3)'!$R$5:$R$289,$V872)*$AB872))</f>
        <v/>
      </c>
      <c r="AI872" s="2" t="str">
        <f>IF($W872=AI$3,$AB872,IF(NOT($W872=0),"",SUMIFS('Val-Vol (2)'!AI$4:AI$1116,'Val-Vol (2)'!$A$4:$A$1116,$D872,'Val-Vol (2)'!$V$4:$V$1116,$V872)/SUMIFS('Comp2016-2017 (3)'!$G$5:$G$289,'Comp2016-2017 (3)'!$A$5:$A$289,$D872,'Comp2016-2017 (3)'!$R$5:$R$289,$V872)*$AB872))</f>
        <v/>
      </c>
      <c r="AJ872" s="2" t="str">
        <f>IF($W872=AJ$3,$AB872,IF(NOT($W872=0),"",SUMIFS('Val-Vol (2)'!AJ$4:AJ$1116,'Val-Vol (2)'!$A$4:$A$1116,$D872,'Val-Vol (2)'!$V$4:$V$1116,$V872)/SUMIFS('Comp2016-2017 (3)'!$G$5:$G$289,'Comp2016-2017 (3)'!$A$5:$A$289,$D872,'Comp2016-2017 (3)'!$R$5:$R$289,$V872)*$AB872))</f>
        <v/>
      </c>
      <c r="AK872" s="2">
        <f t="shared" si="101"/>
        <v>0</v>
      </c>
      <c r="AL872" t="str">
        <f t="shared" si="98"/>
        <v/>
      </c>
      <c r="AM872" t="str">
        <f>VLOOKUP(A872,'Table corresp.'!$M$4:$U$63,8,FALSE)</f>
        <v>Production intermédiaire</v>
      </c>
      <c r="AN872" t="str">
        <f>VLOOKUP(D872,'Table corresp.'!$M$4:$U$63,9,FALSE)</f>
        <v>Production finale</v>
      </c>
    </row>
    <row r="873" spans="1:40" x14ac:dyDescent="0.25">
      <c r="A873" t="s">
        <v>7</v>
      </c>
      <c r="B873" t="str">
        <f>VLOOKUP(LEFT(A873,3),'Table corresp.'!$A$4:$D$63,3,FALSE)</f>
        <v>Transformation</v>
      </c>
      <c r="C873" t="str">
        <f>VLOOKUP(A873,'Table corresp.'!$M$4:$P$63,4,FALSE)</f>
        <v>Production et transformation de produits bois</v>
      </c>
      <c r="D873" t="s">
        <v>100</v>
      </c>
      <c r="E873" t="str">
        <f>VLOOKUP(LEFT(D873,3),'Table corresp.'!$A$4:$D$63,4,FALSE)</f>
        <v>Transformation</v>
      </c>
      <c r="F873" t="str">
        <f t="shared" si="94"/>
        <v xml:space="preserve">12  - 48 </v>
      </c>
      <c r="G873" s="164">
        <v>7275.429619605221</v>
      </c>
      <c r="H873" s="164">
        <v>0</v>
      </c>
      <c r="I873" s="164">
        <v>7275.4296196052119</v>
      </c>
      <c r="J873" s="164">
        <v>31.07884450806452</v>
      </c>
      <c r="K873" s="164">
        <v>0</v>
      </c>
      <c r="L873" s="164">
        <v>31.07884450806452</v>
      </c>
      <c r="M873" s="164">
        <v>0</v>
      </c>
      <c r="N873" s="164">
        <v>0</v>
      </c>
      <c r="O873" s="164">
        <v>0</v>
      </c>
      <c r="P873" s="164">
        <v>0</v>
      </c>
      <c r="Q873" s="164">
        <v>0</v>
      </c>
      <c r="R873" s="164">
        <v>0</v>
      </c>
      <c r="S873" s="163" t="str">
        <f t="shared" si="95"/>
        <v/>
      </c>
      <c r="T873" s="163">
        <f>VLOOKUP(A873,'Groupe de branches'!$Z$27:$AM$86,14,FALSE)</f>
        <v>0</v>
      </c>
      <c r="U873" s="163">
        <f>VLOOKUP(D873,'Groupe de branches'!$Z$27:$AM$86,14,FALSE)</f>
        <v>0</v>
      </c>
      <c r="V873" s="163">
        <v>2018</v>
      </c>
      <c r="W873" t="str">
        <f>VLOOKUP(D873,'Table corresp.'!$M$4:$S$63,7,FALSE)</f>
        <v>Produits de consommation courante</v>
      </c>
      <c r="X873" s="167">
        <f>IFERROR(G873/SUMIFS('Comp2016-2017 (3)'!$I$5:$I$289,'Comp2016-2017 (3)'!$A$5:$A$289,A873,'Comp2016-2017 (3)'!$R$5:$R$289,V873),0)</f>
        <v>9.5089696270440113E-3</v>
      </c>
      <c r="Y873" s="178">
        <f>IFERROR(IF(RIGHT(F873,3)="Exp",VLOOKUP(F873,#REF!,2,FALSE),VLOOKUP(F873,#REF!,9,FALSE)),1)</f>
        <v>1</v>
      </c>
      <c r="Z873" s="167">
        <f t="shared" si="100"/>
        <v>4.5454545454545456E-2</v>
      </c>
      <c r="AA873" s="189">
        <f t="shared" si="99"/>
        <v>4.3222589213836416E-4</v>
      </c>
      <c r="AB873" s="2">
        <f>IFERROR(SUMIFS('Comp2016-2017 (3)'!$G$5:$G$289,'Comp2016-2017 (3)'!$A$5:$A$289,A873,'Comp2016-2017 (3)'!$R$5:$R$289,V873)*AA873/SUMIFS($AA$4:$AA$1116,$A$4:$A$1116,A873,$V$4:$V$1116,V873),0)</f>
        <v>1713.0561573518003</v>
      </c>
      <c r="AC873" s="2" t="str">
        <f>IF($W873=AC$3,$AB873,IF(NOT($W873=0),"",SUMIFS('Val-Vol (2)'!AC$4:AC$1116,'Val-Vol (2)'!$A$4:$A$1116,$D873,'Val-Vol (2)'!$V$4:$V$1116,$V873)/SUMIFS('Comp2016-2017 (3)'!$G$5:$G$289,'Comp2016-2017 (3)'!$A$5:$A$289,$D873,'Comp2016-2017 (3)'!$R$5:$R$289,$V873)*$AB873))</f>
        <v/>
      </c>
      <c r="AD873" s="2" t="str">
        <f>IF($W873=AD$3,$AB873,IF(NOT($W873=0),"",SUMIFS('Val-Vol (2)'!AD$4:AD$1116,'Val-Vol (2)'!$A$4:$A$1116,$D873,'Val-Vol (2)'!$V$4:$V$1116,$V873)/SUMIFS('Comp2016-2017 (3)'!$G$5:$G$289,'Comp2016-2017 (3)'!$A$5:$A$289,$D873,'Comp2016-2017 (3)'!$R$5:$R$289,$V873)*$AB873))</f>
        <v/>
      </c>
      <c r="AE873" s="2" t="str">
        <f>IF($W873=AE$3,$AB873,IF(NOT($W873=0),"",SUMIFS('Val-Vol (2)'!AE$4:AE$1116,'Val-Vol (2)'!$A$4:$A$1116,$D873,'Val-Vol (2)'!$V$4:$V$1116,$V873)/SUMIFS('Comp2016-2017 (3)'!$G$5:$G$289,'Comp2016-2017 (3)'!$A$5:$A$289,$D873,'Comp2016-2017 (3)'!$R$5:$R$289,$V873)*$AB873))</f>
        <v/>
      </c>
      <c r="AF873" s="2" t="str">
        <f>IF($W873=AF$3,$AB873,IF(NOT($W873=0),"",SUMIFS('Val-Vol (2)'!AF$4:AF$1116,'Val-Vol (2)'!$A$4:$A$1116,$D873,'Val-Vol (2)'!$V$4:$V$1116,$V873)/SUMIFS('Comp2016-2017 (3)'!$G$5:$G$289,'Comp2016-2017 (3)'!$A$5:$A$289,$D873,'Comp2016-2017 (3)'!$R$5:$R$289,$V873)*$AB873))</f>
        <v/>
      </c>
      <c r="AG873" s="2" t="str">
        <f>IF($W873=AG$3,$AB873,IF(NOT($W873=0),"",SUMIFS('Val-Vol (2)'!AG$4:AG$1116,'Val-Vol (2)'!$A$4:$A$1116,$D873,'Val-Vol (2)'!$V$4:$V$1116,$V873)/SUMIFS('Comp2016-2017 (3)'!$G$5:$G$289,'Comp2016-2017 (3)'!$A$5:$A$289,$D873,'Comp2016-2017 (3)'!$R$5:$R$289,$V873)*$AB873))</f>
        <v/>
      </c>
      <c r="AH873" s="2" t="str">
        <f>IF($W873=AH$3,$AB873,IF(NOT($W873=0),"",SUMIFS('Val-Vol (2)'!AH$4:AH$1116,'Val-Vol (2)'!$A$4:$A$1116,$D873,'Val-Vol (2)'!$V$4:$V$1116,$V873)/SUMIFS('Comp2016-2017 (3)'!$G$5:$G$289,'Comp2016-2017 (3)'!$A$5:$A$289,$D873,'Comp2016-2017 (3)'!$R$5:$R$289,$V873)*$AB873))</f>
        <v/>
      </c>
      <c r="AI873" s="2">
        <f>IF($W873=AI$3,$AB873,IF(NOT($W873=0),"",SUMIFS('Val-Vol (2)'!AI$4:AI$1116,'Val-Vol (2)'!$A$4:$A$1116,$D873,'Val-Vol (2)'!$V$4:$V$1116,$V873)/SUMIFS('Comp2016-2017 (3)'!$G$5:$G$289,'Comp2016-2017 (3)'!$A$5:$A$289,$D873,'Comp2016-2017 (3)'!$R$5:$R$289,$V873)*$AB873))</f>
        <v>1713.0561573518003</v>
      </c>
      <c r="AJ873" s="2" t="str">
        <f>IF($W873=AJ$3,$AB873,IF(NOT($W873=0),"",SUMIFS('Val-Vol (2)'!AJ$4:AJ$1116,'Val-Vol (2)'!$A$4:$A$1116,$D873,'Val-Vol (2)'!$V$4:$V$1116,$V873)/SUMIFS('Comp2016-2017 (3)'!$G$5:$G$289,'Comp2016-2017 (3)'!$A$5:$A$289,$D873,'Comp2016-2017 (3)'!$R$5:$R$289,$V873)*$AB873))</f>
        <v/>
      </c>
      <c r="AK873" s="2">
        <f t="shared" si="101"/>
        <v>0</v>
      </c>
      <c r="AL873" t="str">
        <f t="shared" si="98"/>
        <v/>
      </c>
      <c r="AM873" t="str">
        <f>VLOOKUP(A873,'Table corresp.'!$M$4:$U$63,8,FALSE)</f>
        <v>Production intermédiaire</v>
      </c>
      <c r="AN873" t="str">
        <f>VLOOKUP(D873,'Table corresp.'!$M$4:$U$63,9,FALSE)</f>
        <v>Production finale</v>
      </c>
    </row>
    <row r="874" spans="1:40" x14ac:dyDescent="0.25">
      <c r="A874" t="s">
        <v>7</v>
      </c>
      <c r="B874" t="str">
        <f>VLOOKUP(LEFT(A874,3),'Table corresp.'!$A$4:$D$63,3,FALSE)</f>
        <v>Transformation</v>
      </c>
      <c r="C874" t="str">
        <f>VLOOKUP(A874,'Table corresp.'!$M$4:$P$63,4,FALSE)</f>
        <v>Production et transformation de produits bois</v>
      </c>
      <c r="D874" t="s">
        <v>19</v>
      </c>
      <c r="E874" t="str">
        <f>VLOOKUP(LEFT(D874,3),'Table corresp.'!$A$4:$D$63,4,FALSE)</f>
        <v>Transformation</v>
      </c>
      <c r="F874" t="str">
        <f t="shared" ref="F874:F937" si="102">LEFT(A874,3)&amp;" - "&amp;LEFT(D874,3)</f>
        <v xml:space="preserve">12  - 52 </v>
      </c>
      <c r="G874" s="164">
        <v>9224.6816793445341</v>
      </c>
      <c r="H874" s="164">
        <v>603.67552420842492</v>
      </c>
      <c r="I874" s="164">
        <v>9828.3572035529487</v>
      </c>
      <c r="J874" s="164">
        <v>98.513923760661982</v>
      </c>
      <c r="K874" s="164">
        <v>5.0839031868667108</v>
      </c>
      <c r="L874" s="164">
        <v>103.59782694752869</v>
      </c>
      <c r="M874" s="164">
        <v>0</v>
      </c>
      <c r="N874" s="164">
        <v>0</v>
      </c>
      <c r="O874" s="164">
        <v>0</v>
      </c>
      <c r="P874" s="164">
        <v>0</v>
      </c>
      <c r="Q874" s="164">
        <v>0</v>
      </c>
      <c r="R874" s="164">
        <v>0</v>
      </c>
      <c r="S874" s="163" t="str">
        <f t="shared" si="95"/>
        <v/>
      </c>
      <c r="T874" s="163">
        <f>VLOOKUP(A874,'Groupe de branches'!$Z$27:$AM$86,14,FALSE)</f>
        <v>0</v>
      </c>
      <c r="U874" s="163">
        <f>VLOOKUP(D874,'Groupe de branches'!$Z$27:$AM$86,14,FALSE)</f>
        <v>0</v>
      </c>
      <c r="V874" s="163">
        <v>2018</v>
      </c>
      <c r="W874" t="str">
        <f>VLOOKUP(D874,'Table corresp.'!$M$4:$S$63,7,FALSE)</f>
        <v>Construction</v>
      </c>
      <c r="X874" s="167">
        <f>IFERROR(G874/SUMIFS('Comp2016-2017 (3)'!$I$5:$I$289,'Comp2016-2017 (3)'!$A$5:$A$289,A874,'Comp2016-2017 (3)'!$R$5:$R$289,V874),0)</f>
        <v>1.2056637545041117E-2</v>
      </c>
      <c r="Y874" s="178">
        <f>IFERROR(IF(RIGHT(F874,3)="Exp",VLOOKUP(F874,#REF!,2,FALSE),VLOOKUP(F874,#REF!,9,FALSE)),1)</f>
        <v>1</v>
      </c>
      <c r="Z874" s="167">
        <f t="shared" si="100"/>
        <v>4.5454545454545456E-2</v>
      </c>
      <c r="AA874" s="189">
        <f t="shared" si="99"/>
        <v>5.4802897932005083E-4</v>
      </c>
      <c r="AB874" s="2">
        <f>IFERROR(SUMIFS('Comp2016-2017 (3)'!$G$5:$G$289,'Comp2016-2017 (3)'!$A$5:$A$289,A874,'Comp2016-2017 (3)'!$R$5:$R$289,V874)*AA874/SUMIFS($AA$4:$AA$1116,$A$4:$A$1116,A874,$V$4:$V$1116,V874),0)</f>
        <v>2172.0226263791374</v>
      </c>
      <c r="AC874" s="2" t="str">
        <f>IF($W874=AC$3,$AB874,IF(NOT($W874=0),"",SUMIFS('Val-Vol (2)'!AC$4:AC$1116,'Val-Vol (2)'!$A$4:$A$1116,$D874,'Val-Vol (2)'!$V$4:$V$1116,$V874)/SUMIFS('Comp2016-2017 (3)'!$G$5:$G$289,'Comp2016-2017 (3)'!$A$5:$A$289,$D874,'Comp2016-2017 (3)'!$R$5:$R$289,$V874)*$AB874))</f>
        <v/>
      </c>
      <c r="AD874" s="2">
        <f>IF($W874=AD$3,$AB874,IF(NOT($W874=0),"",SUMIFS('Val-Vol (2)'!AD$4:AD$1116,'Val-Vol (2)'!$A$4:$A$1116,$D874,'Val-Vol (2)'!$V$4:$V$1116,$V874)/SUMIFS('Comp2016-2017 (3)'!$G$5:$G$289,'Comp2016-2017 (3)'!$A$5:$A$289,$D874,'Comp2016-2017 (3)'!$R$5:$R$289,$V874)*$AB874))</f>
        <v>2172.0226263791374</v>
      </c>
      <c r="AE874" s="2" t="str">
        <f>IF($W874=AE$3,$AB874,IF(NOT($W874=0),"",SUMIFS('Val-Vol (2)'!AE$4:AE$1116,'Val-Vol (2)'!$A$4:$A$1116,$D874,'Val-Vol (2)'!$V$4:$V$1116,$V874)/SUMIFS('Comp2016-2017 (3)'!$G$5:$G$289,'Comp2016-2017 (3)'!$A$5:$A$289,$D874,'Comp2016-2017 (3)'!$R$5:$R$289,$V874)*$AB874))</f>
        <v/>
      </c>
      <c r="AF874" s="2" t="str">
        <f>IF($W874=AF$3,$AB874,IF(NOT($W874=0),"",SUMIFS('Val-Vol (2)'!AF$4:AF$1116,'Val-Vol (2)'!$A$4:$A$1116,$D874,'Val-Vol (2)'!$V$4:$V$1116,$V874)/SUMIFS('Comp2016-2017 (3)'!$G$5:$G$289,'Comp2016-2017 (3)'!$A$5:$A$289,$D874,'Comp2016-2017 (3)'!$R$5:$R$289,$V874)*$AB874))</f>
        <v/>
      </c>
      <c r="AG874" s="2" t="str">
        <f>IF($W874=AG$3,$AB874,IF(NOT($W874=0),"",SUMIFS('Val-Vol (2)'!AG$4:AG$1116,'Val-Vol (2)'!$A$4:$A$1116,$D874,'Val-Vol (2)'!$V$4:$V$1116,$V874)/SUMIFS('Comp2016-2017 (3)'!$G$5:$G$289,'Comp2016-2017 (3)'!$A$5:$A$289,$D874,'Comp2016-2017 (3)'!$R$5:$R$289,$V874)*$AB874))</f>
        <v/>
      </c>
      <c r="AH874" s="2" t="str">
        <f>IF($W874=AH$3,$AB874,IF(NOT($W874=0),"",SUMIFS('Val-Vol (2)'!AH$4:AH$1116,'Val-Vol (2)'!$A$4:$A$1116,$D874,'Val-Vol (2)'!$V$4:$V$1116,$V874)/SUMIFS('Comp2016-2017 (3)'!$G$5:$G$289,'Comp2016-2017 (3)'!$A$5:$A$289,$D874,'Comp2016-2017 (3)'!$R$5:$R$289,$V874)*$AB874))</f>
        <v/>
      </c>
      <c r="AI874" s="2" t="str">
        <f>IF($W874=AI$3,$AB874,IF(NOT($W874=0),"",SUMIFS('Val-Vol (2)'!AI$4:AI$1116,'Val-Vol (2)'!$A$4:$A$1116,$D874,'Val-Vol (2)'!$V$4:$V$1116,$V874)/SUMIFS('Comp2016-2017 (3)'!$G$5:$G$289,'Comp2016-2017 (3)'!$A$5:$A$289,$D874,'Comp2016-2017 (3)'!$R$5:$R$289,$V874)*$AB874))</f>
        <v/>
      </c>
      <c r="AJ874" s="2" t="str">
        <f>IF($W874=AJ$3,$AB874,IF(NOT($W874=0),"",SUMIFS('Val-Vol (2)'!AJ$4:AJ$1116,'Val-Vol (2)'!$A$4:$A$1116,$D874,'Val-Vol (2)'!$V$4:$V$1116,$V874)/SUMIFS('Comp2016-2017 (3)'!$G$5:$G$289,'Comp2016-2017 (3)'!$A$5:$A$289,$D874,'Comp2016-2017 (3)'!$R$5:$R$289,$V874)*$AB874))</f>
        <v/>
      </c>
      <c r="AK874" s="2">
        <f t="shared" si="101"/>
        <v>0</v>
      </c>
      <c r="AL874" t="str">
        <f t="shared" si="98"/>
        <v/>
      </c>
      <c r="AM874" t="str">
        <f>VLOOKUP(A874,'Table corresp.'!$M$4:$U$63,8,FALSE)</f>
        <v>Production intermédiaire</v>
      </c>
      <c r="AN874" t="str">
        <f>VLOOKUP(D874,'Table corresp.'!$M$4:$U$63,9,FALSE)</f>
        <v xml:space="preserve">Mise en œuvre </v>
      </c>
    </row>
    <row r="875" spans="1:40" x14ac:dyDescent="0.25">
      <c r="A875" t="s">
        <v>7</v>
      </c>
      <c r="B875" t="str">
        <f>VLOOKUP(LEFT(A875,3),'Table corresp.'!$A$4:$D$63,3,FALSE)</f>
        <v>Transformation</v>
      </c>
      <c r="C875" t="str">
        <f>VLOOKUP(A875,'Table corresp.'!$M$4:$P$63,4,FALSE)</f>
        <v>Production et transformation de produits bois</v>
      </c>
      <c r="D875" t="s">
        <v>20</v>
      </c>
      <c r="E875" t="str">
        <f>VLOOKUP(LEFT(D875,3),'Table corresp.'!$A$4:$D$63,4,FALSE)</f>
        <v>Transformation</v>
      </c>
      <c r="F875" t="str">
        <f t="shared" si="102"/>
        <v xml:space="preserve">12  - 53 </v>
      </c>
      <c r="G875" s="164">
        <v>184.56765738195475</v>
      </c>
      <c r="H875" s="164">
        <v>270.16532442692818</v>
      </c>
      <c r="I875" s="164">
        <v>454.7329818088823</v>
      </c>
      <c r="J875" s="164">
        <v>1.752061336704571</v>
      </c>
      <c r="K875" s="164">
        <v>2.8440244360493709</v>
      </c>
      <c r="L875" s="164">
        <v>4.5960857727539421</v>
      </c>
      <c r="M875" s="164">
        <v>0</v>
      </c>
      <c r="N875" s="164">
        <v>0</v>
      </c>
      <c r="O875" s="164">
        <v>0</v>
      </c>
      <c r="P875" s="164">
        <v>0</v>
      </c>
      <c r="Q875" s="164">
        <v>0</v>
      </c>
      <c r="R875" s="164">
        <v>0</v>
      </c>
      <c r="S875" s="163" t="str">
        <f t="shared" ref="S875:S938" si="103">IF(VLOOKUP(F875,$F$4:$S$374,14,FALSE)=0,"",VLOOKUP(F875,$F$4:$S$374,14,FALSE))</f>
        <v/>
      </c>
      <c r="T875" s="163">
        <f>VLOOKUP(A875,'Groupe de branches'!$Z$27:$AM$86,14,FALSE)</f>
        <v>0</v>
      </c>
      <c r="U875" s="163">
        <f>VLOOKUP(D875,'Groupe de branches'!$Z$27:$AM$86,14,FALSE)</f>
        <v>0</v>
      </c>
      <c r="V875" s="163">
        <v>2018</v>
      </c>
      <c r="W875" t="str">
        <f>VLOOKUP(D875,'Table corresp.'!$M$4:$S$63,7,FALSE)</f>
        <v>Construction</v>
      </c>
      <c r="X875" s="167">
        <f>IFERROR(G875/SUMIFS('Comp2016-2017 (3)'!$I$5:$I$289,'Comp2016-2017 (3)'!$A$5:$A$289,A875,'Comp2016-2017 (3)'!$R$5:$R$289,V875),0)</f>
        <v>2.4122949982916683E-4</v>
      </c>
      <c r="Y875" s="178">
        <f>IFERROR(IF(RIGHT(F875,3)="Exp",VLOOKUP(F875,#REF!,2,FALSE),VLOOKUP(F875,#REF!,9,FALSE)),1)</f>
        <v>1</v>
      </c>
      <c r="Z875" s="167">
        <f t="shared" ref="Z875:Z906" si="104">Y875/SUMIFS($Y$4:$Y$1116,$V$4:$V$1116,V875,$A$4:$A$1116,A875)</f>
        <v>4.5454545454545456E-2</v>
      </c>
      <c r="AA875" s="189">
        <f t="shared" si="99"/>
        <v>1.0964977264962129E-5</v>
      </c>
      <c r="AB875" s="2">
        <f>IFERROR(SUMIFS('Comp2016-2017 (3)'!$G$5:$G$289,'Comp2016-2017 (3)'!$A$5:$A$289,A875,'Comp2016-2017 (3)'!$R$5:$R$289,V875)*AA875/SUMIFS($AA$4:$AA$1116,$A$4:$A$1116,A875,$V$4:$V$1116,V875),0)</f>
        <v>43.45788200248046</v>
      </c>
      <c r="AC875" s="2" t="str">
        <f>IF($W875=AC$3,$AB875,IF(NOT($W875=0),"",SUMIFS('Val-Vol (2)'!AC$4:AC$1116,'Val-Vol (2)'!$A$4:$A$1116,$D875,'Val-Vol (2)'!$V$4:$V$1116,$V875)/SUMIFS('Comp2016-2017 (3)'!$G$5:$G$289,'Comp2016-2017 (3)'!$A$5:$A$289,$D875,'Comp2016-2017 (3)'!$R$5:$R$289,$V875)*$AB875))</f>
        <v/>
      </c>
      <c r="AD875" s="2">
        <f>IF($W875=AD$3,$AB875,IF(NOT($W875=0),"",SUMIFS('Val-Vol (2)'!AD$4:AD$1116,'Val-Vol (2)'!$A$4:$A$1116,$D875,'Val-Vol (2)'!$V$4:$V$1116,$V875)/SUMIFS('Comp2016-2017 (3)'!$G$5:$G$289,'Comp2016-2017 (3)'!$A$5:$A$289,$D875,'Comp2016-2017 (3)'!$R$5:$R$289,$V875)*$AB875))</f>
        <v>43.45788200248046</v>
      </c>
      <c r="AE875" s="2" t="str">
        <f>IF($W875=AE$3,$AB875,IF(NOT($W875=0),"",SUMIFS('Val-Vol (2)'!AE$4:AE$1116,'Val-Vol (2)'!$A$4:$A$1116,$D875,'Val-Vol (2)'!$V$4:$V$1116,$V875)/SUMIFS('Comp2016-2017 (3)'!$G$5:$G$289,'Comp2016-2017 (3)'!$A$5:$A$289,$D875,'Comp2016-2017 (3)'!$R$5:$R$289,$V875)*$AB875))</f>
        <v/>
      </c>
      <c r="AF875" s="2" t="str">
        <f>IF($W875=AF$3,$AB875,IF(NOT($W875=0),"",SUMIFS('Val-Vol (2)'!AF$4:AF$1116,'Val-Vol (2)'!$A$4:$A$1116,$D875,'Val-Vol (2)'!$V$4:$V$1116,$V875)/SUMIFS('Comp2016-2017 (3)'!$G$5:$G$289,'Comp2016-2017 (3)'!$A$5:$A$289,$D875,'Comp2016-2017 (3)'!$R$5:$R$289,$V875)*$AB875))</f>
        <v/>
      </c>
      <c r="AG875" s="2" t="str">
        <f>IF($W875=AG$3,$AB875,IF(NOT($W875=0),"",SUMIFS('Val-Vol (2)'!AG$4:AG$1116,'Val-Vol (2)'!$A$4:$A$1116,$D875,'Val-Vol (2)'!$V$4:$V$1116,$V875)/SUMIFS('Comp2016-2017 (3)'!$G$5:$G$289,'Comp2016-2017 (3)'!$A$5:$A$289,$D875,'Comp2016-2017 (3)'!$R$5:$R$289,$V875)*$AB875))</f>
        <v/>
      </c>
      <c r="AH875" s="2" t="str">
        <f>IF($W875=AH$3,$AB875,IF(NOT($W875=0),"",SUMIFS('Val-Vol (2)'!AH$4:AH$1116,'Val-Vol (2)'!$A$4:$A$1116,$D875,'Val-Vol (2)'!$V$4:$V$1116,$V875)/SUMIFS('Comp2016-2017 (3)'!$G$5:$G$289,'Comp2016-2017 (3)'!$A$5:$A$289,$D875,'Comp2016-2017 (3)'!$R$5:$R$289,$V875)*$AB875))</f>
        <v/>
      </c>
      <c r="AI875" s="2" t="str">
        <f>IF($W875=AI$3,$AB875,IF(NOT($W875=0),"",SUMIFS('Val-Vol (2)'!AI$4:AI$1116,'Val-Vol (2)'!$A$4:$A$1116,$D875,'Val-Vol (2)'!$V$4:$V$1116,$V875)/SUMIFS('Comp2016-2017 (3)'!$G$5:$G$289,'Comp2016-2017 (3)'!$A$5:$A$289,$D875,'Comp2016-2017 (3)'!$R$5:$R$289,$V875)*$AB875))</f>
        <v/>
      </c>
      <c r="AJ875" s="2" t="str">
        <f>IF($W875=AJ$3,$AB875,IF(NOT($W875=0),"",SUMIFS('Val-Vol (2)'!AJ$4:AJ$1116,'Val-Vol (2)'!$A$4:$A$1116,$D875,'Val-Vol (2)'!$V$4:$V$1116,$V875)/SUMIFS('Comp2016-2017 (3)'!$G$5:$G$289,'Comp2016-2017 (3)'!$A$5:$A$289,$D875,'Comp2016-2017 (3)'!$R$5:$R$289,$V875)*$AB875))</f>
        <v/>
      </c>
      <c r="AK875" s="2">
        <f t="shared" si="101"/>
        <v>0</v>
      </c>
      <c r="AL875" t="str">
        <f t="shared" si="98"/>
        <v/>
      </c>
      <c r="AM875" t="str">
        <f>VLOOKUP(A875,'Table corresp.'!$M$4:$U$63,8,FALSE)</f>
        <v>Production intermédiaire</v>
      </c>
      <c r="AN875" t="str">
        <f>VLOOKUP(D875,'Table corresp.'!$M$4:$U$63,9,FALSE)</f>
        <v xml:space="preserve">Mise en œuvre </v>
      </c>
    </row>
    <row r="876" spans="1:40" x14ac:dyDescent="0.25">
      <c r="A876" t="s">
        <v>7</v>
      </c>
      <c r="B876" t="str">
        <f>VLOOKUP(LEFT(A876,3),'Table corresp.'!$A$4:$D$63,3,FALSE)</f>
        <v>Transformation</v>
      </c>
      <c r="C876" t="str">
        <f>VLOOKUP(A876,'Table corresp.'!$M$4:$P$63,4,FALSE)</f>
        <v>Production et transformation de produits bois</v>
      </c>
      <c r="D876" t="s">
        <v>21</v>
      </c>
      <c r="E876" t="str">
        <f>VLOOKUP(LEFT(D876,3),'Table corresp.'!$A$4:$D$63,4,FALSE)</f>
        <v>Transformation</v>
      </c>
      <c r="F876" t="str">
        <f t="shared" si="102"/>
        <v xml:space="preserve">12  - 54 </v>
      </c>
      <c r="G876" s="164">
        <v>117832.93715192014</v>
      </c>
      <c r="H876" s="164">
        <v>14531.076659243896</v>
      </c>
      <c r="I876" s="164">
        <v>132364.01381116387</v>
      </c>
      <c r="J876" s="164">
        <v>745.70859742408174</v>
      </c>
      <c r="K876" s="164">
        <v>97.899727882329856</v>
      </c>
      <c r="L876" s="164">
        <v>843.60832530641164</v>
      </c>
      <c r="M876" s="164">
        <v>0</v>
      </c>
      <c r="N876" s="164">
        <v>0</v>
      </c>
      <c r="O876" s="164">
        <v>0</v>
      </c>
      <c r="P876" s="164">
        <v>0</v>
      </c>
      <c r="Q876" s="164">
        <v>0</v>
      </c>
      <c r="R876" s="164">
        <v>0</v>
      </c>
      <c r="S876" s="163" t="str">
        <f t="shared" si="103"/>
        <v/>
      </c>
      <c r="T876" s="163">
        <f>VLOOKUP(A876,'Groupe de branches'!$Z$27:$AM$86,14,FALSE)</f>
        <v>0</v>
      </c>
      <c r="U876" s="163">
        <f>VLOOKUP(D876,'Groupe de branches'!$Z$27:$AM$86,14,FALSE)</f>
        <v>0</v>
      </c>
      <c r="V876" s="163">
        <v>2018</v>
      </c>
      <c r="W876" t="str">
        <f>VLOOKUP(D876,'Table corresp.'!$M$4:$S$63,7,FALSE)</f>
        <v>Construction</v>
      </c>
      <c r="X876" s="167">
        <f>IFERROR(G876/SUMIFS('Comp2016-2017 (3)'!$I$5:$I$289,'Comp2016-2017 (3)'!$A$5:$A$289,A876,'Comp2016-2017 (3)'!$R$5:$R$289,V876),0)</f>
        <v>0.15400737537528308</v>
      </c>
      <c r="Y876" s="178">
        <f>IFERROR(IF(RIGHT(F876,3)="Exp",VLOOKUP(F876,#REF!,2,FALSE),VLOOKUP(F876,#REF!,9,FALSE)),1)</f>
        <v>1</v>
      </c>
      <c r="Z876" s="167">
        <f t="shared" si="104"/>
        <v>4.5454545454545456E-2</v>
      </c>
      <c r="AA876" s="189">
        <f t="shared" si="99"/>
        <v>7.0003352443310492E-3</v>
      </c>
      <c r="AB876" s="2">
        <f>IFERROR(SUMIFS('Comp2016-2017 (3)'!$G$5:$G$289,'Comp2016-2017 (3)'!$A$5:$A$289,A876,'Comp2016-2017 (3)'!$R$5:$R$289,V876)*AA876/SUMIFS($AA$4:$AA$1116,$A$4:$A$1116,A876,$V$4:$V$1116,V876),0)</f>
        <v>27744.676133352172</v>
      </c>
      <c r="AC876" s="2" t="str">
        <f>IF($W876=AC$3,$AB876,IF(NOT($W876=0),"",SUMIFS('Val-Vol (2)'!AC$4:AC$1116,'Val-Vol (2)'!$A$4:$A$1116,$D876,'Val-Vol (2)'!$V$4:$V$1116,$V876)/SUMIFS('Comp2016-2017 (3)'!$G$5:$G$289,'Comp2016-2017 (3)'!$A$5:$A$289,$D876,'Comp2016-2017 (3)'!$R$5:$R$289,$V876)*$AB876))</f>
        <v/>
      </c>
      <c r="AD876" s="2">
        <f>IF($W876=AD$3,$AB876,IF(NOT($W876=0),"",SUMIFS('Val-Vol (2)'!AD$4:AD$1116,'Val-Vol (2)'!$A$4:$A$1116,$D876,'Val-Vol (2)'!$V$4:$V$1116,$V876)/SUMIFS('Comp2016-2017 (3)'!$G$5:$G$289,'Comp2016-2017 (3)'!$A$5:$A$289,$D876,'Comp2016-2017 (3)'!$R$5:$R$289,$V876)*$AB876))</f>
        <v>27744.676133352172</v>
      </c>
      <c r="AE876" s="2" t="str">
        <f>IF($W876=AE$3,$AB876,IF(NOT($W876=0),"",SUMIFS('Val-Vol (2)'!AE$4:AE$1116,'Val-Vol (2)'!$A$4:$A$1116,$D876,'Val-Vol (2)'!$V$4:$V$1116,$V876)/SUMIFS('Comp2016-2017 (3)'!$G$5:$G$289,'Comp2016-2017 (3)'!$A$5:$A$289,$D876,'Comp2016-2017 (3)'!$R$5:$R$289,$V876)*$AB876))</f>
        <v/>
      </c>
      <c r="AF876" s="2" t="str">
        <f>IF($W876=AF$3,$AB876,IF(NOT($W876=0),"",SUMIFS('Val-Vol (2)'!AF$4:AF$1116,'Val-Vol (2)'!$A$4:$A$1116,$D876,'Val-Vol (2)'!$V$4:$V$1116,$V876)/SUMIFS('Comp2016-2017 (3)'!$G$5:$G$289,'Comp2016-2017 (3)'!$A$5:$A$289,$D876,'Comp2016-2017 (3)'!$R$5:$R$289,$V876)*$AB876))</f>
        <v/>
      </c>
      <c r="AG876" s="2" t="str">
        <f>IF($W876=AG$3,$AB876,IF(NOT($W876=0),"",SUMIFS('Val-Vol (2)'!AG$4:AG$1116,'Val-Vol (2)'!$A$4:$A$1116,$D876,'Val-Vol (2)'!$V$4:$V$1116,$V876)/SUMIFS('Comp2016-2017 (3)'!$G$5:$G$289,'Comp2016-2017 (3)'!$A$5:$A$289,$D876,'Comp2016-2017 (3)'!$R$5:$R$289,$V876)*$AB876))</f>
        <v/>
      </c>
      <c r="AH876" s="2" t="str">
        <f>IF($W876=AH$3,$AB876,IF(NOT($W876=0),"",SUMIFS('Val-Vol (2)'!AH$4:AH$1116,'Val-Vol (2)'!$A$4:$A$1116,$D876,'Val-Vol (2)'!$V$4:$V$1116,$V876)/SUMIFS('Comp2016-2017 (3)'!$G$5:$G$289,'Comp2016-2017 (3)'!$A$5:$A$289,$D876,'Comp2016-2017 (3)'!$R$5:$R$289,$V876)*$AB876))</f>
        <v/>
      </c>
      <c r="AI876" s="2" t="str">
        <f>IF($W876=AI$3,$AB876,IF(NOT($W876=0),"",SUMIFS('Val-Vol (2)'!AI$4:AI$1116,'Val-Vol (2)'!$A$4:$A$1116,$D876,'Val-Vol (2)'!$V$4:$V$1116,$V876)/SUMIFS('Comp2016-2017 (3)'!$G$5:$G$289,'Comp2016-2017 (3)'!$A$5:$A$289,$D876,'Comp2016-2017 (3)'!$R$5:$R$289,$V876)*$AB876))</f>
        <v/>
      </c>
      <c r="AJ876" s="2" t="str">
        <f>IF($W876=AJ$3,$AB876,IF(NOT($W876=0),"",SUMIFS('Val-Vol (2)'!AJ$4:AJ$1116,'Val-Vol (2)'!$A$4:$A$1116,$D876,'Val-Vol (2)'!$V$4:$V$1116,$V876)/SUMIFS('Comp2016-2017 (3)'!$G$5:$G$289,'Comp2016-2017 (3)'!$A$5:$A$289,$D876,'Comp2016-2017 (3)'!$R$5:$R$289,$V876)*$AB876))</f>
        <v/>
      </c>
      <c r="AK876" s="2">
        <f t="shared" si="101"/>
        <v>0</v>
      </c>
      <c r="AL876" t="str">
        <f t="shared" si="98"/>
        <v/>
      </c>
      <c r="AM876" t="str">
        <f>VLOOKUP(A876,'Table corresp.'!$M$4:$U$63,8,FALSE)</f>
        <v>Production intermédiaire</v>
      </c>
      <c r="AN876" t="str">
        <f>VLOOKUP(D876,'Table corresp.'!$M$4:$U$63,9,FALSE)</f>
        <v xml:space="preserve">Mise en œuvre </v>
      </c>
    </row>
    <row r="877" spans="1:40" x14ac:dyDescent="0.25">
      <c r="A877" t="s">
        <v>7</v>
      </c>
      <c r="B877" t="str">
        <f>VLOOKUP(LEFT(A877,3),'Table corresp.'!$A$4:$D$63,3,FALSE)</f>
        <v>Transformation</v>
      </c>
      <c r="C877" t="str">
        <f>VLOOKUP(A877,'Table corresp.'!$M$4:$P$63,4,FALSE)</f>
        <v>Production et transformation de produits bois</v>
      </c>
      <c r="D877" t="s">
        <v>22</v>
      </c>
      <c r="E877" t="str">
        <f>VLOOKUP(LEFT(D877,3),'Table corresp.'!$A$4:$D$63,4,FALSE)</f>
        <v>Transformation</v>
      </c>
      <c r="F877" t="str">
        <f t="shared" si="102"/>
        <v xml:space="preserve">12  - 55 </v>
      </c>
      <c r="G877" s="164">
        <v>6276.9754479106696</v>
      </c>
      <c r="H877" s="164">
        <v>6187.7493538308709</v>
      </c>
      <c r="I877" s="164">
        <v>12464.724801741524</v>
      </c>
      <c r="J877" s="164">
        <v>39.723991190103234</v>
      </c>
      <c r="K877" s="164">
        <v>41.688512981503017</v>
      </c>
      <c r="L877" s="164">
        <v>81.412504171606258</v>
      </c>
      <c r="M877" s="164">
        <v>0</v>
      </c>
      <c r="N877" s="164">
        <v>0</v>
      </c>
      <c r="O877" s="164">
        <v>0</v>
      </c>
      <c r="P877" s="164">
        <v>0</v>
      </c>
      <c r="Q877" s="164">
        <v>0</v>
      </c>
      <c r="R877" s="164">
        <v>0</v>
      </c>
      <c r="S877" s="163" t="str">
        <f t="shared" si="103"/>
        <v/>
      </c>
      <c r="T877" s="163">
        <f>VLOOKUP(A877,'Groupe de branches'!$Z$27:$AM$86,14,FALSE)</f>
        <v>0</v>
      </c>
      <c r="U877" s="163">
        <f>VLOOKUP(D877,'Groupe de branches'!$Z$27:$AM$86,14,FALSE)</f>
        <v>0</v>
      </c>
      <c r="V877" s="163">
        <v>2018</v>
      </c>
      <c r="W877" t="str">
        <f>VLOOKUP(D877,'Table corresp.'!$M$4:$S$63,7,FALSE)</f>
        <v>Construction</v>
      </c>
      <c r="X877" s="167">
        <f>IFERROR(G877/SUMIFS('Comp2016-2017 (3)'!$I$5:$I$289,'Comp2016-2017 (3)'!$A$5:$A$289,A877,'Comp2016-2017 (3)'!$R$5:$R$289,V877),0)</f>
        <v>8.2039923419838252E-3</v>
      </c>
      <c r="Y877" s="178">
        <f>IFERROR(IF(RIGHT(F877,3)="Exp",VLOOKUP(F877,#REF!,2,FALSE),VLOOKUP(F877,#REF!,9,FALSE)),1)</f>
        <v>1</v>
      </c>
      <c r="Z877" s="167">
        <f t="shared" si="104"/>
        <v>4.5454545454545456E-2</v>
      </c>
      <c r="AA877" s="189">
        <f t="shared" si="99"/>
        <v>3.7290874281744663E-4</v>
      </c>
      <c r="AB877" s="2">
        <f>IFERROR(SUMIFS('Comp2016-2017 (3)'!$G$5:$G$289,'Comp2016-2017 (3)'!$A$5:$A$289,A877,'Comp2016-2017 (3)'!$R$5:$R$289,V877)*AA877/SUMIFS($AA$4:$AA$1116,$A$4:$A$1116,A877,$V$4:$V$1116,V877),0)</f>
        <v>1477.9624026069425</v>
      </c>
      <c r="AC877" s="2" t="str">
        <f>IF($W877=AC$3,$AB877,IF(NOT($W877=0),"",SUMIFS('Val-Vol (2)'!AC$4:AC$1116,'Val-Vol (2)'!$A$4:$A$1116,$D877,'Val-Vol (2)'!$V$4:$V$1116,$V877)/SUMIFS('Comp2016-2017 (3)'!$G$5:$G$289,'Comp2016-2017 (3)'!$A$5:$A$289,$D877,'Comp2016-2017 (3)'!$R$5:$R$289,$V877)*$AB877))</f>
        <v/>
      </c>
      <c r="AD877" s="2">
        <f>IF($W877=AD$3,$AB877,IF(NOT($W877=0),"",SUMIFS('Val-Vol (2)'!AD$4:AD$1116,'Val-Vol (2)'!$A$4:$A$1116,$D877,'Val-Vol (2)'!$V$4:$V$1116,$V877)/SUMIFS('Comp2016-2017 (3)'!$G$5:$G$289,'Comp2016-2017 (3)'!$A$5:$A$289,$D877,'Comp2016-2017 (3)'!$R$5:$R$289,$V877)*$AB877))</f>
        <v>1477.9624026069425</v>
      </c>
      <c r="AE877" s="2" t="str">
        <f>IF($W877=AE$3,$AB877,IF(NOT($W877=0),"",SUMIFS('Val-Vol (2)'!AE$4:AE$1116,'Val-Vol (2)'!$A$4:$A$1116,$D877,'Val-Vol (2)'!$V$4:$V$1116,$V877)/SUMIFS('Comp2016-2017 (3)'!$G$5:$G$289,'Comp2016-2017 (3)'!$A$5:$A$289,$D877,'Comp2016-2017 (3)'!$R$5:$R$289,$V877)*$AB877))</f>
        <v/>
      </c>
      <c r="AF877" s="2" t="str">
        <f>IF($W877=AF$3,$AB877,IF(NOT($W877=0),"",SUMIFS('Val-Vol (2)'!AF$4:AF$1116,'Val-Vol (2)'!$A$4:$A$1116,$D877,'Val-Vol (2)'!$V$4:$V$1116,$V877)/SUMIFS('Comp2016-2017 (3)'!$G$5:$G$289,'Comp2016-2017 (3)'!$A$5:$A$289,$D877,'Comp2016-2017 (3)'!$R$5:$R$289,$V877)*$AB877))</f>
        <v/>
      </c>
      <c r="AG877" s="2" t="str">
        <f>IF($W877=AG$3,$AB877,IF(NOT($W877=0),"",SUMIFS('Val-Vol (2)'!AG$4:AG$1116,'Val-Vol (2)'!$A$4:$A$1116,$D877,'Val-Vol (2)'!$V$4:$V$1116,$V877)/SUMIFS('Comp2016-2017 (3)'!$G$5:$G$289,'Comp2016-2017 (3)'!$A$5:$A$289,$D877,'Comp2016-2017 (3)'!$R$5:$R$289,$V877)*$AB877))</f>
        <v/>
      </c>
      <c r="AH877" s="2" t="str">
        <f>IF($W877=AH$3,$AB877,IF(NOT($W877=0),"",SUMIFS('Val-Vol (2)'!AH$4:AH$1116,'Val-Vol (2)'!$A$4:$A$1116,$D877,'Val-Vol (2)'!$V$4:$V$1116,$V877)/SUMIFS('Comp2016-2017 (3)'!$G$5:$G$289,'Comp2016-2017 (3)'!$A$5:$A$289,$D877,'Comp2016-2017 (3)'!$R$5:$R$289,$V877)*$AB877))</f>
        <v/>
      </c>
      <c r="AI877" s="2" t="str">
        <f>IF($W877=AI$3,$AB877,IF(NOT($W877=0),"",SUMIFS('Val-Vol (2)'!AI$4:AI$1116,'Val-Vol (2)'!$A$4:$A$1116,$D877,'Val-Vol (2)'!$V$4:$V$1116,$V877)/SUMIFS('Comp2016-2017 (3)'!$G$5:$G$289,'Comp2016-2017 (3)'!$A$5:$A$289,$D877,'Comp2016-2017 (3)'!$R$5:$R$289,$V877)*$AB877))</f>
        <v/>
      </c>
      <c r="AJ877" s="2" t="str">
        <f>IF($W877=AJ$3,$AB877,IF(NOT($W877=0),"",SUMIFS('Val-Vol (2)'!AJ$4:AJ$1116,'Val-Vol (2)'!$A$4:$A$1116,$D877,'Val-Vol (2)'!$V$4:$V$1116,$V877)/SUMIFS('Comp2016-2017 (3)'!$G$5:$G$289,'Comp2016-2017 (3)'!$A$5:$A$289,$D877,'Comp2016-2017 (3)'!$R$5:$R$289,$V877)*$AB877))</f>
        <v/>
      </c>
      <c r="AK877" s="2">
        <f t="shared" si="101"/>
        <v>0</v>
      </c>
      <c r="AL877" t="str">
        <f t="shared" si="98"/>
        <v/>
      </c>
      <c r="AM877" t="str">
        <f>VLOOKUP(A877,'Table corresp.'!$M$4:$U$63,8,FALSE)</f>
        <v>Production intermédiaire</v>
      </c>
      <c r="AN877" t="str">
        <f>VLOOKUP(D877,'Table corresp.'!$M$4:$U$63,9,FALSE)</f>
        <v xml:space="preserve">Mise en œuvre </v>
      </c>
    </row>
    <row r="878" spans="1:40" x14ac:dyDescent="0.25">
      <c r="A878" t="s">
        <v>7</v>
      </c>
      <c r="B878" t="str">
        <f>VLOOKUP(LEFT(A878,3),'Table corresp.'!$A$4:$D$63,3,FALSE)</f>
        <v>Transformation</v>
      </c>
      <c r="C878" t="str">
        <f>VLOOKUP(A878,'Table corresp.'!$M$4:$P$63,4,FALSE)</f>
        <v>Production et transformation de produits bois</v>
      </c>
      <c r="D878" t="s">
        <v>23</v>
      </c>
      <c r="E878" t="str">
        <f>VLOOKUP(LEFT(D878,3),'Table corresp.'!$A$4:$D$63,4,FALSE)</f>
        <v>Transformation</v>
      </c>
      <c r="F878" t="str">
        <f t="shared" si="102"/>
        <v xml:space="preserve">12  - 56 </v>
      </c>
      <c r="G878" s="164">
        <v>8072.1677242661181</v>
      </c>
      <c r="H878" s="164">
        <v>3250.0264020009754</v>
      </c>
      <c r="I878" s="164">
        <v>11322.194126267079</v>
      </c>
      <c r="J878" s="164">
        <v>68.964627152587752</v>
      </c>
      <c r="K878" s="164">
        <v>28.810910776332964</v>
      </c>
      <c r="L878" s="164">
        <v>97.775537928920713</v>
      </c>
      <c r="M878" s="164">
        <v>0</v>
      </c>
      <c r="N878" s="164">
        <v>0</v>
      </c>
      <c r="O878" s="164">
        <v>0</v>
      </c>
      <c r="P878" s="164">
        <v>0</v>
      </c>
      <c r="Q878" s="164">
        <v>0</v>
      </c>
      <c r="R878" s="164">
        <v>0</v>
      </c>
      <c r="S878" s="163" t="str">
        <f t="shared" si="103"/>
        <v/>
      </c>
      <c r="T878" s="163">
        <f>VLOOKUP(A878,'Groupe de branches'!$Z$27:$AM$86,14,FALSE)</f>
        <v>0</v>
      </c>
      <c r="U878" s="163">
        <f>VLOOKUP(D878,'Groupe de branches'!$Z$27:$AM$86,14,FALSE)</f>
        <v>0</v>
      </c>
      <c r="V878" s="163">
        <v>2018</v>
      </c>
      <c r="W878" t="str">
        <f>VLOOKUP(D878,'Table corresp.'!$M$4:$S$63,7,FALSE)</f>
        <v>Construction</v>
      </c>
      <c r="X878" s="167">
        <f>IFERROR(G878/SUMIFS('Comp2016-2017 (3)'!$I$5:$I$289,'Comp2016-2017 (3)'!$A$5:$A$289,A878,'Comp2016-2017 (3)'!$R$5:$R$289,V878),0)</f>
        <v>1.0550304480660556E-2</v>
      </c>
      <c r="Y878" s="178">
        <f>IFERROR(IF(RIGHT(F878,3)="Exp",VLOOKUP(F878,#REF!,2,FALSE),VLOOKUP(F878,#REF!,9,FALSE)),1)</f>
        <v>1</v>
      </c>
      <c r="Z878" s="167">
        <f t="shared" si="104"/>
        <v>4.5454545454545456E-2</v>
      </c>
      <c r="AA878" s="189">
        <f t="shared" si="99"/>
        <v>4.7955929457547985E-4</v>
      </c>
      <c r="AB878" s="2">
        <f>IFERROR(SUMIFS('Comp2016-2017 (3)'!$G$5:$G$289,'Comp2016-2017 (3)'!$A$5:$A$289,A878,'Comp2016-2017 (3)'!$R$5:$R$289,V878)*AA878/SUMIFS($AA$4:$AA$1116,$A$4:$A$1116,A878,$V$4:$V$1116,V878),0)</f>
        <v>1900.6543044506668</v>
      </c>
      <c r="AC878" s="2" t="str">
        <f>IF($W878=AC$3,$AB878,IF(NOT($W878=0),"",SUMIFS('Val-Vol (2)'!AC$4:AC$1116,'Val-Vol (2)'!$A$4:$A$1116,$D878,'Val-Vol (2)'!$V$4:$V$1116,$V878)/SUMIFS('Comp2016-2017 (3)'!$G$5:$G$289,'Comp2016-2017 (3)'!$A$5:$A$289,$D878,'Comp2016-2017 (3)'!$R$5:$R$289,$V878)*$AB878))</f>
        <v/>
      </c>
      <c r="AD878" s="2">
        <f>IF($W878=AD$3,$AB878,IF(NOT($W878=0),"",SUMIFS('Val-Vol (2)'!AD$4:AD$1116,'Val-Vol (2)'!$A$4:$A$1116,$D878,'Val-Vol (2)'!$V$4:$V$1116,$V878)/SUMIFS('Comp2016-2017 (3)'!$G$5:$G$289,'Comp2016-2017 (3)'!$A$5:$A$289,$D878,'Comp2016-2017 (3)'!$R$5:$R$289,$V878)*$AB878))</f>
        <v>1900.6543044506668</v>
      </c>
      <c r="AE878" s="2" t="str">
        <f>IF($W878=AE$3,$AB878,IF(NOT($W878=0),"",SUMIFS('Val-Vol (2)'!AE$4:AE$1116,'Val-Vol (2)'!$A$4:$A$1116,$D878,'Val-Vol (2)'!$V$4:$V$1116,$V878)/SUMIFS('Comp2016-2017 (3)'!$G$5:$G$289,'Comp2016-2017 (3)'!$A$5:$A$289,$D878,'Comp2016-2017 (3)'!$R$5:$R$289,$V878)*$AB878))</f>
        <v/>
      </c>
      <c r="AF878" s="2" t="str">
        <f>IF($W878=AF$3,$AB878,IF(NOT($W878=0),"",SUMIFS('Val-Vol (2)'!AF$4:AF$1116,'Val-Vol (2)'!$A$4:$A$1116,$D878,'Val-Vol (2)'!$V$4:$V$1116,$V878)/SUMIFS('Comp2016-2017 (3)'!$G$5:$G$289,'Comp2016-2017 (3)'!$A$5:$A$289,$D878,'Comp2016-2017 (3)'!$R$5:$R$289,$V878)*$AB878))</f>
        <v/>
      </c>
      <c r="AG878" s="2" t="str">
        <f>IF($W878=AG$3,$AB878,IF(NOT($W878=0),"",SUMIFS('Val-Vol (2)'!AG$4:AG$1116,'Val-Vol (2)'!$A$4:$A$1116,$D878,'Val-Vol (2)'!$V$4:$V$1116,$V878)/SUMIFS('Comp2016-2017 (3)'!$G$5:$G$289,'Comp2016-2017 (3)'!$A$5:$A$289,$D878,'Comp2016-2017 (3)'!$R$5:$R$289,$V878)*$AB878))</f>
        <v/>
      </c>
      <c r="AH878" s="2" t="str">
        <f>IF($W878=AH$3,$AB878,IF(NOT($W878=0),"",SUMIFS('Val-Vol (2)'!AH$4:AH$1116,'Val-Vol (2)'!$A$4:$A$1116,$D878,'Val-Vol (2)'!$V$4:$V$1116,$V878)/SUMIFS('Comp2016-2017 (3)'!$G$5:$G$289,'Comp2016-2017 (3)'!$A$5:$A$289,$D878,'Comp2016-2017 (3)'!$R$5:$R$289,$V878)*$AB878))</f>
        <v/>
      </c>
      <c r="AI878" s="2" t="str">
        <f>IF($W878=AI$3,$AB878,IF(NOT($W878=0),"",SUMIFS('Val-Vol (2)'!AI$4:AI$1116,'Val-Vol (2)'!$A$4:$A$1116,$D878,'Val-Vol (2)'!$V$4:$V$1116,$V878)/SUMIFS('Comp2016-2017 (3)'!$G$5:$G$289,'Comp2016-2017 (3)'!$A$5:$A$289,$D878,'Comp2016-2017 (3)'!$R$5:$R$289,$V878)*$AB878))</f>
        <v/>
      </c>
      <c r="AJ878" s="2" t="str">
        <f>IF($W878=AJ$3,$AB878,IF(NOT($W878=0),"",SUMIFS('Val-Vol (2)'!AJ$4:AJ$1116,'Val-Vol (2)'!$A$4:$A$1116,$D878,'Val-Vol (2)'!$V$4:$V$1116,$V878)/SUMIFS('Comp2016-2017 (3)'!$G$5:$G$289,'Comp2016-2017 (3)'!$A$5:$A$289,$D878,'Comp2016-2017 (3)'!$R$5:$R$289,$V878)*$AB878))</f>
        <v/>
      </c>
      <c r="AK878" s="2">
        <f t="shared" si="101"/>
        <v>0</v>
      </c>
      <c r="AL878" t="str">
        <f t="shared" si="98"/>
        <v/>
      </c>
      <c r="AM878" t="str">
        <f>VLOOKUP(A878,'Table corresp.'!$M$4:$U$63,8,FALSE)</f>
        <v>Production intermédiaire</v>
      </c>
      <c r="AN878" t="str">
        <f>VLOOKUP(D878,'Table corresp.'!$M$4:$U$63,9,FALSE)</f>
        <v xml:space="preserve">Mise en œuvre </v>
      </c>
    </row>
    <row r="879" spans="1:40" x14ac:dyDescent="0.25">
      <c r="A879" t="s">
        <v>7</v>
      </c>
      <c r="B879" t="str">
        <f>VLOOKUP(LEFT(A879,3),'Table corresp.'!$A$4:$D$63,3,FALSE)</f>
        <v>Transformation</v>
      </c>
      <c r="C879" t="str">
        <f>VLOOKUP(A879,'Table corresp.'!$M$4:$P$63,4,FALSE)</f>
        <v>Production et transformation de produits bois</v>
      </c>
      <c r="D879" t="s">
        <v>24</v>
      </c>
      <c r="E879" t="str">
        <f>VLOOKUP(LEFT(D879,3),'Table corresp.'!$A$4:$D$63,4,FALSE)</f>
        <v>Transformation</v>
      </c>
      <c r="F879" t="str">
        <f t="shared" si="102"/>
        <v xml:space="preserve">12  - 57 </v>
      </c>
      <c r="G879" s="164">
        <v>137021.26286509726</v>
      </c>
      <c r="H879" s="164">
        <v>51110.803275593782</v>
      </c>
      <c r="I879" s="164">
        <v>188132.06614069082</v>
      </c>
      <c r="J879" s="164">
        <v>1377.226135422628</v>
      </c>
      <c r="K879" s="164">
        <v>538.0423034311965</v>
      </c>
      <c r="L879" s="164">
        <v>1915.2684388538246</v>
      </c>
      <c r="M879" s="164">
        <v>0</v>
      </c>
      <c r="N879" s="164">
        <v>0</v>
      </c>
      <c r="O879" s="164">
        <v>0</v>
      </c>
      <c r="P879" s="164">
        <v>0</v>
      </c>
      <c r="Q879" s="164">
        <v>0</v>
      </c>
      <c r="R879" s="164">
        <v>0</v>
      </c>
      <c r="S879" s="163" t="str">
        <f t="shared" si="103"/>
        <v/>
      </c>
      <c r="T879" s="163">
        <f>VLOOKUP(A879,'Groupe de branches'!$Z$27:$AM$86,14,FALSE)</f>
        <v>0</v>
      </c>
      <c r="U879" s="163">
        <f>VLOOKUP(D879,'Groupe de branches'!$Z$27:$AM$86,14,FALSE)</f>
        <v>0</v>
      </c>
      <c r="V879" s="163">
        <v>2018</v>
      </c>
      <c r="W879" t="str">
        <f>VLOOKUP(D879,'Table corresp.'!$M$4:$S$63,7,FALSE)</f>
        <v>Construction</v>
      </c>
      <c r="X879" s="167">
        <f>IFERROR(G879/SUMIFS('Comp2016-2017 (3)'!$I$5:$I$289,'Comp2016-2017 (3)'!$A$5:$A$289,A879,'Comp2016-2017 (3)'!$R$5:$R$289,V879),0)</f>
        <v>0.17908647254759957</v>
      </c>
      <c r="Y879" s="178">
        <f>IFERROR(IF(RIGHT(F879,3)="Exp",VLOOKUP(F879,#REF!,2,FALSE),VLOOKUP(F879,#REF!,9,FALSE)),1)</f>
        <v>1</v>
      </c>
      <c r="Z879" s="167">
        <f t="shared" si="104"/>
        <v>4.5454545454545456E-2</v>
      </c>
      <c r="AA879" s="189">
        <f t="shared" si="99"/>
        <v>8.140294206709071E-3</v>
      </c>
      <c r="AB879" s="2">
        <f>IFERROR(SUMIFS('Comp2016-2017 (3)'!$G$5:$G$289,'Comp2016-2017 (3)'!$A$5:$A$289,A879,'Comp2016-2017 (3)'!$R$5:$R$289,V879)*AA879/SUMIFS($AA$4:$AA$1116,$A$4:$A$1116,A879,$V$4:$V$1116,V879),0)</f>
        <v>32262.715786110653</v>
      </c>
      <c r="AC879" s="2" t="str">
        <f>IF($W879=AC$3,$AB879,IF(NOT($W879=0),"",SUMIFS('Val-Vol (2)'!AC$4:AC$1116,'Val-Vol (2)'!$A$4:$A$1116,$D879,'Val-Vol (2)'!$V$4:$V$1116,$V879)/SUMIFS('Comp2016-2017 (3)'!$G$5:$G$289,'Comp2016-2017 (3)'!$A$5:$A$289,$D879,'Comp2016-2017 (3)'!$R$5:$R$289,$V879)*$AB879))</f>
        <v/>
      </c>
      <c r="AD879" s="2">
        <f>IF($W879=AD$3,$AB879,IF(NOT($W879=0),"",SUMIFS('Val-Vol (2)'!AD$4:AD$1116,'Val-Vol (2)'!$A$4:$A$1116,$D879,'Val-Vol (2)'!$V$4:$V$1116,$V879)/SUMIFS('Comp2016-2017 (3)'!$G$5:$G$289,'Comp2016-2017 (3)'!$A$5:$A$289,$D879,'Comp2016-2017 (3)'!$R$5:$R$289,$V879)*$AB879))</f>
        <v>32262.715786110653</v>
      </c>
      <c r="AE879" s="2" t="str">
        <f>IF($W879=AE$3,$AB879,IF(NOT($W879=0),"",SUMIFS('Val-Vol (2)'!AE$4:AE$1116,'Val-Vol (2)'!$A$4:$A$1116,$D879,'Val-Vol (2)'!$V$4:$V$1116,$V879)/SUMIFS('Comp2016-2017 (3)'!$G$5:$G$289,'Comp2016-2017 (3)'!$A$5:$A$289,$D879,'Comp2016-2017 (3)'!$R$5:$R$289,$V879)*$AB879))</f>
        <v/>
      </c>
      <c r="AF879" s="2" t="str">
        <f>IF($W879=AF$3,$AB879,IF(NOT($W879=0),"",SUMIFS('Val-Vol (2)'!AF$4:AF$1116,'Val-Vol (2)'!$A$4:$A$1116,$D879,'Val-Vol (2)'!$V$4:$V$1116,$V879)/SUMIFS('Comp2016-2017 (3)'!$G$5:$G$289,'Comp2016-2017 (3)'!$A$5:$A$289,$D879,'Comp2016-2017 (3)'!$R$5:$R$289,$V879)*$AB879))</f>
        <v/>
      </c>
      <c r="AG879" s="2" t="str">
        <f>IF($W879=AG$3,$AB879,IF(NOT($W879=0),"",SUMIFS('Val-Vol (2)'!AG$4:AG$1116,'Val-Vol (2)'!$A$4:$A$1116,$D879,'Val-Vol (2)'!$V$4:$V$1116,$V879)/SUMIFS('Comp2016-2017 (3)'!$G$5:$G$289,'Comp2016-2017 (3)'!$A$5:$A$289,$D879,'Comp2016-2017 (3)'!$R$5:$R$289,$V879)*$AB879))</f>
        <v/>
      </c>
      <c r="AH879" s="2" t="str">
        <f>IF($W879=AH$3,$AB879,IF(NOT($W879=0),"",SUMIFS('Val-Vol (2)'!AH$4:AH$1116,'Val-Vol (2)'!$A$4:$A$1116,$D879,'Val-Vol (2)'!$V$4:$V$1116,$V879)/SUMIFS('Comp2016-2017 (3)'!$G$5:$G$289,'Comp2016-2017 (3)'!$A$5:$A$289,$D879,'Comp2016-2017 (3)'!$R$5:$R$289,$V879)*$AB879))</f>
        <v/>
      </c>
      <c r="AI879" s="2" t="str">
        <f>IF($W879=AI$3,$AB879,IF(NOT($W879=0),"",SUMIFS('Val-Vol (2)'!AI$4:AI$1116,'Val-Vol (2)'!$A$4:$A$1116,$D879,'Val-Vol (2)'!$V$4:$V$1116,$V879)/SUMIFS('Comp2016-2017 (3)'!$G$5:$G$289,'Comp2016-2017 (3)'!$A$5:$A$289,$D879,'Comp2016-2017 (3)'!$R$5:$R$289,$V879)*$AB879))</f>
        <v/>
      </c>
      <c r="AJ879" s="2" t="str">
        <f>IF($W879=AJ$3,$AB879,IF(NOT($W879=0),"",SUMIFS('Val-Vol (2)'!AJ$4:AJ$1116,'Val-Vol (2)'!$A$4:$A$1116,$D879,'Val-Vol (2)'!$V$4:$V$1116,$V879)/SUMIFS('Comp2016-2017 (3)'!$G$5:$G$289,'Comp2016-2017 (3)'!$A$5:$A$289,$D879,'Comp2016-2017 (3)'!$R$5:$R$289,$V879)*$AB879))</f>
        <v/>
      </c>
      <c r="AK879" s="2">
        <f t="shared" si="101"/>
        <v>0</v>
      </c>
      <c r="AL879" t="str">
        <f t="shared" si="98"/>
        <v/>
      </c>
      <c r="AM879" t="str">
        <f>VLOOKUP(A879,'Table corresp.'!$M$4:$U$63,8,FALSE)</f>
        <v>Production intermédiaire</v>
      </c>
      <c r="AN879" t="str">
        <f>VLOOKUP(D879,'Table corresp.'!$M$4:$U$63,9,FALSE)</f>
        <v xml:space="preserve">Mise en œuvre </v>
      </c>
    </row>
    <row r="880" spans="1:40" x14ac:dyDescent="0.25">
      <c r="A880" t="s">
        <v>7</v>
      </c>
      <c r="B880" t="str">
        <f>VLOOKUP(LEFT(A880,3),'Table corresp.'!$A$4:$D$63,3,FALSE)</f>
        <v>Transformation</v>
      </c>
      <c r="C880" t="str">
        <f>VLOOKUP(A880,'Table corresp.'!$M$4:$P$63,4,FALSE)</f>
        <v>Production et transformation de produits bois</v>
      </c>
      <c r="D880" t="s">
        <v>25</v>
      </c>
      <c r="E880" t="str">
        <f>VLOOKUP(LEFT(D880,3),'Table corresp.'!$A$4:$D$63,4,FALSE)</f>
        <v>Transformation</v>
      </c>
      <c r="F880" t="str">
        <f t="shared" si="102"/>
        <v xml:space="preserve">12  - 58 </v>
      </c>
      <c r="G880" s="164">
        <v>103274.30771608689</v>
      </c>
      <c r="H880" s="164">
        <v>9767.4377782517458</v>
      </c>
      <c r="I880" s="164">
        <v>113041.74549433849</v>
      </c>
      <c r="J880" s="164">
        <v>735.27070312960984</v>
      </c>
      <c r="K880" s="164">
        <v>71.528071617021027</v>
      </c>
      <c r="L880" s="164">
        <v>806.7987747466309</v>
      </c>
      <c r="M880" s="164">
        <v>0</v>
      </c>
      <c r="N880" s="164">
        <v>0</v>
      </c>
      <c r="O880" s="164">
        <v>0</v>
      </c>
      <c r="P880" s="164">
        <v>0</v>
      </c>
      <c r="Q880" s="164">
        <v>0</v>
      </c>
      <c r="R880" s="164">
        <v>0</v>
      </c>
      <c r="S880" s="163" t="str">
        <f t="shared" si="103"/>
        <v/>
      </c>
      <c r="T880" s="163">
        <f>VLOOKUP(A880,'Groupe de branches'!$Z$27:$AM$86,14,FALSE)</f>
        <v>0</v>
      </c>
      <c r="U880" s="163">
        <f>VLOOKUP(D880,'Groupe de branches'!$Z$27:$AM$86,14,FALSE)</f>
        <v>0</v>
      </c>
      <c r="V880" s="163">
        <v>2018</v>
      </c>
      <c r="W880" t="str">
        <f>VLOOKUP(D880,'Table corresp.'!$M$4:$S$63,7,FALSE)</f>
        <v>Construction</v>
      </c>
      <c r="X880" s="167">
        <f>IFERROR(G880/SUMIFS('Comp2016-2017 (3)'!$I$5:$I$289,'Comp2016-2017 (3)'!$A$5:$A$289,A880,'Comp2016-2017 (3)'!$R$5:$R$289,V880),0)</f>
        <v>0.13497928049224317</v>
      </c>
      <c r="Y880" s="178">
        <f>IFERROR(IF(RIGHT(F880,3)="Exp",VLOOKUP(F880,#REF!,2,FALSE),VLOOKUP(F880,#REF!,9,FALSE)),1)</f>
        <v>1</v>
      </c>
      <c r="Z880" s="167">
        <f t="shared" si="104"/>
        <v>4.5454545454545456E-2</v>
      </c>
      <c r="AA880" s="189">
        <f t="shared" si="99"/>
        <v>6.1354218405565075E-3</v>
      </c>
      <c r="AB880" s="2">
        <f>IFERROR(SUMIFS('Comp2016-2017 (3)'!$G$5:$G$289,'Comp2016-2017 (3)'!$A$5:$A$289,A880,'Comp2016-2017 (3)'!$R$5:$R$289,V880)*AA880/SUMIFS($AA$4:$AA$1116,$A$4:$A$1116,A880,$V$4:$V$1116,V880),0)</f>
        <v>24316.734265774798</v>
      </c>
      <c r="AC880" s="2" t="str">
        <f>IF($W880=AC$3,$AB880,IF(NOT($W880=0),"",SUMIFS('Val-Vol (2)'!AC$4:AC$1116,'Val-Vol (2)'!$A$4:$A$1116,$D880,'Val-Vol (2)'!$V$4:$V$1116,$V880)/SUMIFS('Comp2016-2017 (3)'!$G$5:$G$289,'Comp2016-2017 (3)'!$A$5:$A$289,$D880,'Comp2016-2017 (3)'!$R$5:$R$289,$V880)*$AB880))</f>
        <v/>
      </c>
      <c r="AD880" s="2">
        <f>IF($W880=AD$3,$AB880,IF(NOT($W880=0),"",SUMIFS('Val-Vol (2)'!AD$4:AD$1116,'Val-Vol (2)'!$A$4:$A$1116,$D880,'Val-Vol (2)'!$V$4:$V$1116,$V880)/SUMIFS('Comp2016-2017 (3)'!$G$5:$G$289,'Comp2016-2017 (3)'!$A$5:$A$289,$D880,'Comp2016-2017 (3)'!$R$5:$R$289,$V880)*$AB880))</f>
        <v>24316.734265774798</v>
      </c>
      <c r="AE880" s="2" t="str">
        <f>IF($W880=AE$3,$AB880,IF(NOT($W880=0),"",SUMIFS('Val-Vol (2)'!AE$4:AE$1116,'Val-Vol (2)'!$A$4:$A$1116,$D880,'Val-Vol (2)'!$V$4:$V$1116,$V880)/SUMIFS('Comp2016-2017 (3)'!$G$5:$G$289,'Comp2016-2017 (3)'!$A$5:$A$289,$D880,'Comp2016-2017 (3)'!$R$5:$R$289,$V880)*$AB880))</f>
        <v/>
      </c>
      <c r="AF880" s="2" t="str">
        <f>IF($W880=AF$3,$AB880,IF(NOT($W880=0),"",SUMIFS('Val-Vol (2)'!AF$4:AF$1116,'Val-Vol (2)'!$A$4:$A$1116,$D880,'Val-Vol (2)'!$V$4:$V$1116,$V880)/SUMIFS('Comp2016-2017 (3)'!$G$5:$G$289,'Comp2016-2017 (3)'!$A$5:$A$289,$D880,'Comp2016-2017 (3)'!$R$5:$R$289,$V880)*$AB880))</f>
        <v/>
      </c>
      <c r="AG880" s="2" t="str">
        <f>IF($W880=AG$3,$AB880,IF(NOT($W880=0),"",SUMIFS('Val-Vol (2)'!AG$4:AG$1116,'Val-Vol (2)'!$A$4:$A$1116,$D880,'Val-Vol (2)'!$V$4:$V$1116,$V880)/SUMIFS('Comp2016-2017 (3)'!$G$5:$G$289,'Comp2016-2017 (3)'!$A$5:$A$289,$D880,'Comp2016-2017 (3)'!$R$5:$R$289,$V880)*$AB880))</f>
        <v/>
      </c>
      <c r="AH880" s="2" t="str">
        <f>IF($W880=AH$3,$AB880,IF(NOT($W880=0),"",SUMIFS('Val-Vol (2)'!AH$4:AH$1116,'Val-Vol (2)'!$A$4:$A$1116,$D880,'Val-Vol (2)'!$V$4:$V$1116,$V880)/SUMIFS('Comp2016-2017 (3)'!$G$5:$G$289,'Comp2016-2017 (3)'!$A$5:$A$289,$D880,'Comp2016-2017 (3)'!$R$5:$R$289,$V880)*$AB880))</f>
        <v/>
      </c>
      <c r="AI880" s="2" t="str">
        <f>IF($W880=AI$3,$AB880,IF(NOT($W880=0),"",SUMIFS('Val-Vol (2)'!AI$4:AI$1116,'Val-Vol (2)'!$A$4:$A$1116,$D880,'Val-Vol (2)'!$V$4:$V$1116,$V880)/SUMIFS('Comp2016-2017 (3)'!$G$5:$G$289,'Comp2016-2017 (3)'!$A$5:$A$289,$D880,'Comp2016-2017 (3)'!$R$5:$R$289,$V880)*$AB880))</f>
        <v/>
      </c>
      <c r="AJ880" s="2" t="str">
        <f>IF($W880=AJ$3,$AB880,IF(NOT($W880=0),"",SUMIFS('Val-Vol (2)'!AJ$4:AJ$1116,'Val-Vol (2)'!$A$4:$A$1116,$D880,'Val-Vol (2)'!$V$4:$V$1116,$V880)/SUMIFS('Comp2016-2017 (3)'!$G$5:$G$289,'Comp2016-2017 (3)'!$A$5:$A$289,$D880,'Comp2016-2017 (3)'!$R$5:$R$289,$V880)*$AB880))</f>
        <v/>
      </c>
      <c r="AK880" s="2">
        <f t="shared" si="101"/>
        <v>0</v>
      </c>
      <c r="AL880" t="str">
        <f t="shared" si="98"/>
        <v/>
      </c>
      <c r="AM880" t="str">
        <f>VLOOKUP(A880,'Table corresp.'!$M$4:$U$63,8,FALSE)</f>
        <v>Production intermédiaire</v>
      </c>
      <c r="AN880" t="str">
        <f>VLOOKUP(D880,'Table corresp.'!$M$4:$U$63,9,FALSE)</f>
        <v xml:space="preserve">Mise en œuvre </v>
      </c>
    </row>
    <row r="881" spans="1:40" x14ac:dyDescent="0.25">
      <c r="A881" t="s">
        <v>7</v>
      </c>
      <c r="B881" t="str">
        <f>VLOOKUP(LEFT(A881,3),'Table corresp.'!$A$4:$D$63,3,FALSE)</f>
        <v>Transformation</v>
      </c>
      <c r="C881" t="str">
        <f>VLOOKUP(A881,'Table corresp.'!$M$4:$P$63,4,FALSE)</f>
        <v>Production et transformation de produits bois</v>
      </c>
      <c r="D881" t="s">
        <v>26</v>
      </c>
      <c r="E881" t="str">
        <f>VLOOKUP(LEFT(D881,3),'Table corresp.'!$A$4:$D$63,4,FALSE)</f>
        <v>Transformation</v>
      </c>
      <c r="F881" t="str">
        <f t="shared" si="102"/>
        <v xml:space="preserve">12  - 59 </v>
      </c>
      <c r="G881" s="164">
        <v>4897.5144436963719</v>
      </c>
      <c r="H881" s="164">
        <v>5905.4574268252481</v>
      </c>
      <c r="I881" s="164">
        <v>10802.971870521604</v>
      </c>
      <c r="J881" s="164">
        <v>64.372234442550962</v>
      </c>
      <c r="K881" s="164">
        <v>76.512763838233255</v>
      </c>
      <c r="L881" s="164">
        <v>140.8849982807842</v>
      </c>
      <c r="M881" s="164">
        <v>0</v>
      </c>
      <c r="N881" s="164">
        <v>0</v>
      </c>
      <c r="O881" s="164">
        <v>0</v>
      </c>
      <c r="P881" s="164">
        <v>0</v>
      </c>
      <c r="Q881" s="164">
        <v>0</v>
      </c>
      <c r="R881" s="164">
        <v>0</v>
      </c>
      <c r="S881" s="163" t="str">
        <f t="shared" si="103"/>
        <v/>
      </c>
      <c r="T881" s="163">
        <f>VLOOKUP(A881,'Groupe de branches'!$Z$27:$AM$86,14,FALSE)</f>
        <v>0</v>
      </c>
      <c r="U881" s="163">
        <f>VLOOKUP(D881,'Groupe de branches'!$Z$27:$AM$86,14,FALSE)</f>
        <v>0</v>
      </c>
      <c r="V881" s="163">
        <v>2018</v>
      </c>
      <c r="W881" t="str">
        <f>VLOOKUP(D881,'Table corresp.'!$M$4:$S$63,7,FALSE)</f>
        <v>Construction</v>
      </c>
      <c r="X881" s="167">
        <f>IFERROR(G881/SUMIFS('Comp2016-2017 (3)'!$I$5:$I$289,'Comp2016-2017 (3)'!$A$5:$A$289,A881,'Comp2016-2017 (3)'!$R$5:$R$289,V881),0)</f>
        <v>6.4010400111114184E-3</v>
      </c>
      <c r="Y881" s="178">
        <f>IFERROR(IF(RIGHT(F881,3)="Exp",VLOOKUP(F881,#REF!,2,FALSE),VLOOKUP(F881,#REF!,9,FALSE)),1)</f>
        <v>1</v>
      </c>
      <c r="Z881" s="167">
        <f t="shared" si="104"/>
        <v>4.5454545454545456E-2</v>
      </c>
      <c r="AA881" s="189">
        <f t="shared" si="99"/>
        <v>2.9095636414142809E-4</v>
      </c>
      <c r="AB881" s="2">
        <f>IFERROR(SUMIFS('Comp2016-2017 (3)'!$G$5:$G$289,'Comp2016-2017 (3)'!$A$5:$A$289,A881,'Comp2016-2017 (3)'!$R$5:$R$289,V881)*AA881/SUMIFS($AA$4:$AA$1116,$A$4:$A$1116,A881,$V$4:$V$1116,V881),0)</f>
        <v>1153.1576432112731</v>
      </c>
      <c r="AC881" s="2" t="str">
        <f>IF($W881=AC$3,$AB881,IF(NOT($W881=0),"",SUMIFS('Val-Vol (2)'!AC$4:AC$1116,'Val-Vol (2)'!$A$4:$A$1116,$D881,'Val-Vol (2)'!$V$4:$V$1116,$V881)/SUMIFS('Comp2016-2017 (3)'!$G$5:$G$289,'Comp2016-2017 (3)'!$A$5:$A$289,$D881,'Comp2016-2017 (3)'!$R$5:$R$289,$V881)*$AB881))</f>
        <v/>
      </c>
      <c r="AD881" s="2">
        <f>IF($W881=AD$3,$AB881,IF(NOT($W881=0),"",SUMIFS('Val-Vol (2)'!AD$4:AD$1116,'Val-Vol (2)'!$A$4:$A$1116,$D881,'Val-Vol (2)'!$V$4:$V$1116,$V881)/SUMIFS('Comp2016-2017 (3)'!$G$5:$G$289,'Comp2016-2017 (3)'!$A$5:$A$289,$D881,'Comp2016-2017 (3)'!$R$5:$R$289,$V881)*$AB881))</f>
        <v>1153.1576432112731</v>
      </c>
      <c r="AE881" s="2" t="str">
        <f>IF($W881=AE$3,$AB881,IF(NOT($W881=0),"",SUMIFS('Val-Vol (2)'!AE$4:AE$1116,'Val-Vol (2)'!$A$4:$A$1116,$D881,'Val-Vol (2)'!$V$4:$V$1116,$V881)/SUMIFS('Comp2016-2017 (3)'!$G$5:$G$289,'Comp2016-2017 (3)'!$A$5:$A$289,$D881,'Comp2016-2017 (3)'!$R$5:$R$289,$V881)*$AB881))</f>
        <v/>
      </c>
      <c r="AF881" s="2" t="str">
        <f>IF($W881=AF$3,$AB881,IF(NOT($W881=0),"",SUMIFS('Val-Vol (2)'!AF$4:AF$1116,'Val-Vol (2)'!$A$4:$A$1116,$D881,'Val-Vol (2)'!$V$4:$V$1116,$V881)/SUMIFS('Comp2016-2017 (3)'!$G$5:$G$289,'Comp2016-2017 (3)'!$A$5:$A$289,$D881,'Comp2016-2017 (3)'!$R$5:$R$289,$V881)*$AB881))</f>
        <v/>
      </c>
      <c r="AG881" s="2" t="str">
        <f>IF($W881=AG$3,$AB881,IF(NOT($W881=0),"",SUMIFS('Val-Vol (2)'!AG$4:AG$1116,'Val-Vol (2)'!$A$4:$A$1116,$D881,'Val-Vol (2)'!$V$4:$V$1116,$V881)/SUMIFS('Comp2016-2017 (3)'!$G$5:$G$289,'Comp2016-2017 (3)'!$A$5:$A$289,$D881,'Comp2016-2017 (3)'!$R$5:$R$289,$V881)*$AB881))</f>
        <v/>
      </c>
      <c r="AH881" s="2" t="str">
        <f>IF($W881=AH$3,$AB881,IF(NOT($W881=0),"",SUMIFS('Val-Vol (2)'!AH$4:AH$1116,'Val-Vol (2)'!$A$4:$A$1116,$D881,'Val-Vol (2)'!$V$4:$V$1116,$V881)/SUMIFS('Comp2016-2017 (3)'!$G$5:$G$289,'Comp2016-2017 (3)'!$A$5:$A$289,$D881,'Comp2016-2017 (3)'!$R$5:$R$289,$V881)*$AB881))</f>
        <v/>
      </c>
      <c r="AI881" s="2" t="str">
        <f>IF($W881=AI$3,$AB881,IF(NOT($W881=0),"",SUMIFS('Val-Vol (2)'!AI$4:AI$1116,'Val-Vol (2)'!$A$4:$A$1116,$D881,'Val-Vol (2)'!$V$4:$V$1116,$V881)/SUMIFS('Comp2016-2017 (3)'!$G$5:$G$289,'Comp2016-2017 (3)'!$A$5:$A$289,$D881,'Comp2016-2017 (3)'!$R$5:$R$289,$V881)*$AB881))</f>
        <v/>
      </c>
      <c r="AJ881" s="2" t="str">
        <f>IF($W881=AJ$3,$AB881,IF(NOT($W881=0),"",SUMIFS('Val-Vol (2)'!AJ$4:AJ$1116,'Val-Vol (2)'!$A$4:$A$1116,$D881,'Val-Vol (2)'!$V$4:$V$1116,$V881)/SUMIFS('Comp2016-2017 (3)'!$G$5:$G$289,'Comp2016-2017 (3)'!$A$5:$A$289,$D881,'Comp2016-2017 (3)'!$R$5:$R$289,$V881)*$AB881))</f>
        <v/>
      </c>
      <c r="AK881" s="2">
        <f t="shared" si="101"/>
        <v>0</v>
      </c>
      <c r="AL881" t="str">
        <f t="shared" si="98"/>
        <v/>
      </c>
      <c r="AM881" t="str">
        <f>VLOOKUP(A881,'Table corresp.'!$M$4:$U$63,8,FALSE)</f>
        <v>Production intermédiaire</v>
      </c>
      <c r="AN881" t="str">
        <f>VLOOKUP(D881,'Table corresp.'!$M$4:$U$63,9,FALSE)</f>
        <v xml:space="preserve">Mise en œuvre </v>
      </c>
    </row>
    <row r="882" spans="1:40" x14ac:dyDescent="0.25">
      <c r="A882" t="s">
        <v>7</v>
      </c>
      <c r="B882" t="str">
        <f>VLOOKUP(LEFT(A882,3),'Table corresp.'!$A$4:$D$63,3,FALSE)</f>
        <v>Transformation</v>
      </c>
      <c r="C882" t="str">
        <f>VLOOKUP(A882,'Table corresp.'!$M$4:$P$63,4,FALSE)</f>
        <v>Production et transformation de produits bois</v>
      </c>
      <c r="D882" t="s">
        <v>54</v>
      </c>
      <c r="E882" t="str">
        <f>VLOOKUP(LEFT(D882,3),'Table corresp.'!$A$4:$D$63,4,FALSE)</f>
        <v>Consommation finale</v>
      </c>
      <c r="F882" t="str">
        <f t="shared" si="102"/>
        <v>12  - Con</v>
      </c>
      <c r="G882" s="164">
        <v>85726.004854895495</v>
      </c>
      <c r="H882" s="164">
        <v>17987.271802881842</v>
      </c>
      <c r="I882" s="164">
        <v>103713.2766577772</v>
      </c>
      <c r="J882" s="164">
        <v>732.40078304199153</v>
      </c>
      <c r="K882" s="164">
        <v>153.19436746143242</v>
      </c>
      <c r="L882" s="164">
        <v>885.59515050342395</v>
      </c>
      <c r="M882" s="164">
        <v>0</v>
      </c>
      <c r="N882" s="164">
        <v>0</v>
      </c>
      <c r="O882" s="164">
        <v>0</v>
      </c>
      <c r="P882" s="164">
        <v>0</v>
      </c>
      <c r="Q882" s="164">
        <v>0</v>
      </c>
      <c r="R882" s="164">
        <v>0</v>
      </c>
      <c r="S882" s="163" t="str">
        <f t="shared" si="103"/>
        <v/>
      </c>
      <c r="T882" s="163">
        <f>VLOOKUP(A882,'Groupe de branches'!$Z$27:$AM$86,14,FALSE)</f>
        <v>0</v>
      </c>
      <c r="U882" s="163">
        <f>VLOOKUP(D882,'Groupe de branches'!$Z$27:$AM$86,14,FALSE)</f>
        <v>0</v>
      </c>
      <c r="V882" s="163">
        <v>2018</v>
      </c>
      <c r="W882" t="str">
        <f>VLOOKUP(D882,'Table corresp.'!$M$4:$S$63,7,FALSE)</f>
        <v>Consommation finale</v>
      </c>
      <c r="X882" s="167">
        <f>IFERROR(G882/SUMIFS('Comp2016-2017 (3)'!$I$5:$I$289,'Comp2016-2017 (3)'!$A$5:$A$289,A882,'Comp2016-2017 (3)'!$R$5:$R$289,V882),0)</f>
        <v>0.11204368938108993</v>
      </c>
      <c r="Y882" s="178">
        <f>IFERROR(IF(RIGHT(F882,3)="Exp",VLOOKUP(F882,#REF!,2,FALSE),VLOOKUP(F882,#REF!,9,FALSE)),1)</f>
        <v>1</v>
      </c>
      <c r="Z882" s="167">
        <f t="shared" si="104"/>
        <v>4.5454545454545456E-2</v>
      </c>
      <c r="AA882" s="189">
        <f t="shared" si="99"/>
        <v>5.092894971867724E-3</v>
      </c>
      <c r="AB882" s="2">
        <f>IFERROR(SUMIFS('Comp2016-2017 (3)'!$G$5:$G$289,'Comp2016-2017 (3)'!$A$5:$A$289,A882,'Comp2016-2017 (3)'!$R$5:$R$289,V882)*AA882/SUMIFS($AA$4:$AA$1116,$A$4:$A$1116,A882,$V$4:$V$1116,V882),0)</f>
        <v>20184.850674126592</v>
      </c>
      <c r="AC882" s="2" t="str">
        <f>IF($W882=AC$3,$AB882,IF(NOT($W882=0),"",SUMIFS('Val-Vol (2)'!AC$4:AC$1116,'Val-Vol (2)'!$A$4:$A$1116,$D882,'Val-Vol (2)'!$V$4:$V$1116,$V882)/SUMIFS('Comp2016-2017 (3)'!$G$5:$G$289,'Comp2016-2017 (3)'!$A$5:$A$289,$D882,'Comp2016-2017 (3)'!$R$5:$R$289,$V882)*$AB882))</f>
        <v/>
      </c>
      <c r="AD882" s="2" t="str">
        <f>IF($W882=AD$3,$AB882,IF(NOT($W882=0),"",SUMIFS('Val-Vol (2)'!AD$4:AD$1116,'Val-Vol (2)'!$A$4:$A$1116,$D882,'Val-Vol (2)'!$V$4:$V$1116,$V882)/SUMIFS('Comp2016-2017 (3)'!$G$5:$G$289,'Comp2016-2017 (3)'!$A$5:$A$289,$D882,'Comp2016-2017 (3)'!$R$5:$R$289,$V882)*$AB882))</f>
        <v/>
      </c>
      <c r="AE882" s="2" t="str">
        <f>IF($W882=AE$3,$AB882,IF(NOT($W882=0),"",SUMIFS('Val-Vol (2)'!AE$4:AE$1116,'Val-Vol (2)'!$A$4:$A$1116,$D882,'Val-Vol (2)'!$V$4:$V$1116,$V882)/SUMIFS('Comp2016-2017 (3)'!$G$5:$G$289,'Comp2016-2017 (3)'!$A$5:$A$289,$D882,'Comp2016-2017 (3)'!$R$5:$R$289,$V882)*$AB882))</f>
        <v/>
      </c>
      <c r="AF882" s="2" t="str">
        <f>IF($W882=AF$3,$AB882,IF(NOT($W882=0),"",SUMIFS('Val-Vol (2)'!AF$4:AF$1116,'Val-Vol (2)'!$A$4:$A$1116,$D882,'Val-Vol (2)'!$V$4:$V$1116,$V882)/SUMIFS('Comp2016-2017 (3)'!$G$5:$G$289,'Comp2016-2017 (3)'!$A$5:$A$289,$D882,'Comp2016-2017 (3)'!$R$5:$R$289,$V882)*$AB882))</f>
        <v/>
      </c>
      <c r="AG882" s="2" t="str">
        <f>IF($W882=AG$3,$AB882,IF(NOT($W882=0),"",SUMIFS('Val-Vol (2)'!AG$4:AG$1116,'Val-Vol (2)'!$A$4:$A$1116,$D882,'Val-Vol (2)'!$V$4:$V$1116,$V882)/SUMIFS('Comp2016-2017 (3)'!$G$5:$G$289,'Comp2016-2017 (3)'!$A$5:$A$289,$D882,'Comp2016-2017 (3)'!$R$5:$R$289,$V882)*$AB882))</f>
        <v/>
      </c>
      <c r="AH882" s="2" t="str">
        <f>IF($W882=AH$3,$AB882,IF(NOT($W882=0),"",SUMIFS('Val-Vol (2)'!AH$4:AH$1116,'Val-Vol (2)'!$A$4:$A$1116,$D882,'Val-Vol (2)'!$V$4:$V$1116,$V882)/SUMIFS('Comp2016-2017 (3)'!$G$5:$G$289,'Comp2016-2017 (3)'!$A$5:$A$289,$D882,'Comp2016-2017 (3)'!$R$5:$R$289,$V882)*$AB882))</f>
        <v/>
      </c>
      <c r="AI882" s="2" t="str">
        <f>IF($W882=AI$3,$AB882,IF(NOT($W882=0),"",SUMIFS('Val-Vol (2)'!AI$4:AI$1116,'Val-Vol (2)'!$A$4:$A$1116,$D882,'Val-Vol (2)'!$V$4:$V$1116,$V882)/SUMIFS('Comp2016-2017 (3)'!$G$5:$G$289,'Comp2016-2017 (3)'!$A$5:$A$289,$D882,'Comp2016-2017 (3)'!$R$5:$R$289,$V882)*$AB882))</f>
        <v/>
      </c>
      <c r="AJ882" s="2">
        <f>IF($W882=AJ$3,$AB882,IF(NOT($W882=0),"",SUMIFS('Val-Vol (2)'!AJ$4:AJ$1116,'Val-Vol (2)'!$A$4:$A$1116,$D882,'Val-Vol (2)'!$V$4:$V$1116,$V882)/SUMIFS('Comp2016-2017 (3)'!$G$5:$G$289,'Comp2016-2017 (3)'!$A$5:$A$289,$D882,'Comp2016-2017 (3)'!$R$5:$R$289,$V882)*$AB882))</f>
        <v>20184.850674126592</v>
      </c>
      <c r="AK882" s="2">
        <f t="shared" si="101"/>
        <v>0</v>
      </c>
      <c r="AL882" t="str">
        <f t="shared" si="98"/>
        <v/>
      </c>
      <c r="AM882" t="str">
        <f>VLOOKUP(A882,'Table corresp.'!$M$4:$U$63,8,FALSE)</f>
        <v>Production intermédiaire</v>
      </c>
      <c r="AN882" t="str">
        <f>VLOOKUP(D882,'Table corresp.'!$M$4:$U$63,9,FALSE)</f>
        <v>Consommation finale française</v>
      </c>
    </row>
    <row r="883" spans="1:40" x14ac:dyDescent="0.25">
      <c r="A883" t="s">
        <v>7</v>
      </c>
      <c r="B883" t="str">
        <f>VLOOKUP(LEFT(A883,3),'Table corresp.'!$A$4:$D$63,3,FALSE)</f>
        <v>Transformation</v>
      </c>
      <c r="C883" t="str">
        <f>VLOOKUP(A883,'Table corresp.'!$M$4:$P$63,4,FALSE)</f>
        <v>Production et transformation de produits bois</v>
      </c>
      <c r="D883" t="s">
        <v>53</v>
      </c>
      <c r="E883" t="str">
        <f>VLOOKUP(LEFT(D883,3),'Table corresp.'!$A$4:$D$63,4,FALSE)</f>
        <v>Exportation</v>
      </c>
      <c r="F883" t="str">
        <f t="shared" si="102"/>
        <v>12  - Exp</v>
      </c>
      <c r="G883" s="164">
        <v>41468.048000000061</v>
      </c>
      <c r="H883" s="164">
        <v>0</v>
      </c>
      <c r="I883" s="164">
        <v>41468.04800000001</v>
      </c>
      <c r="J883" s="164">
        <v>455.55647392160836</v>
      </c>
      <c r="K883" s="164">
        <v>0</v>
      </c>
      <c r="L883" s="164">
        <v>455.55647392160836</v>
      </c>
      <c r="M883" s="164">
        <v>0</v>
      </c>
      <c r="N883" s="164">
        <v>0</v>
      </c>
      <c r="O883" s="164">
        <v>0</v>
      </c>
      <c r="P883" s="164">
        <v>0</v>
      </c>
      <c r="Q883" s="164">
        <v>0</v>
      </c>
      <c r="R883" s="164">
        <v>0</v>
      </c>
      <c r="S883" s="163" t="str">
        <f t="shared" si="103"/>
        <v/>
      </c>
      <c r="T883" s="163">
        <f>VLOOKUP(A883,'Groupe de branches'!$Z$27:$AM$86,14,FALSE)</f>
        <v>0</v>
      </c>
      <c r="U883" s="163">
        <f>VLOOKUP(D883,'Groupe de branches'!$Z$27:$AM$86,14,FALSE)</f>
        <v>0</v>
      </c>
      <c r="V883" s="163">
        <v>2018</v>
      </c>
      <c r="W883" t="str">
        <f>VLOOKUP(D883,'Table corresp.'!$M$4:$S$63,7,FALSE)</f>
        <v>Exportation</v>
      </c>
      <c r="X883" s="167">
        <f>IFERROR(G883/SUMIFS('Comp2016-2017 (3)'!$I$5:$I$289,'Comp2016-2017 (3)'!$A$5:$A$289,A883,'Comp2016-2017 (3)'!$R$5:$R$289,V883),0)</f>
        <v>5.4198642491465707E-2</v>
      </c>
      <c r="Y883" s="178">
        <f>IFERROR(IF(RIGHT(F883,3)="Exp",VLOOKUP(F883,#REF!,2,FALSE),VLOOKUP(F883,#REF!,9,FALSE)),1)</f>
        <v>1</v>
      </c>
      <c r="Z883" s="167">
        <f t="shared" si="104"/>
        <v>4.5454545454545456E-2</v>
      </c>
      <c r="AA883" s="189">
        <f t="shared" si="99"/>
        <v>2.4635746587029867E-3</v>
      </c>
      <c r="AB883" s="2">
        <f>IFERROR(SUMIFS('Comp2016-2017 (3)'!$G$5:$G$289,'Comp2016-2017 (3)'!$A$5:$A$289,A883,'Comp2016-2017 (3)'!$R$5:$R$289,V883)*AA883/SUMIFS($AA$4:$AA$1116,$A$4:$A$1116,A883,$V$4:$V$1116,V883),0)</f>
        <v>9763.9725313726176</v>
      </c>
      <c r="AC883" s="2">
        <f>IF($W883=AC$3,$AB883,IF(NOT($W883=0),"",SUMIFS('Val-Vol (2)'!AC$4:AC$1116,'Val-Vol (2)'!$A$4:$A$1116,$D883,'Val-Vol (2)'!$V$4:$V$1116,$V883)/SUMIFS('Comp2016-2017 (3)'!$G$5:$G$289,'Comp2016-2017 (3)'!$A$5:$A$289,$D883,'Comp2016-2017 (3)'!$R$5:$R$289,$V883)*$AB883))</f>
        <v>9763.9725313726176</v>
      </c>
      <c r="AD883" s="2" t="str">
        <f>IF($W883=AD$3,$AB883,IF(NOT($W883=0),"",SUMIFS('Val-Vol (2)'!AD$4:AD$1116,'Val-Vol (2)'!$A$4:$A$1116,$D883,'Val-Vol (2)'!$V$4:$V$1116,$V883)/SUMIFS('Comp2016-2017 (3)'!$G$5:$G$289,'Comp2016-2017 (3)'!$A$5:$A$289,$D883,'Comp2016-2017 (3)'!$R$5:$R$289,$V883)*$AB883))</f>
        <v/>
      </c>
      <c r="AE883" s="2" t="str">
        <f>IF($W883=AE$3,$AB883,IF(NOT($W883=0),"",SUMIFS('Val-Vol (2)'!AE$4:AE$1116,'Val-Vol (2)'!$A$4:$A$1116,$D883,'Val-Vol (2)'!$V$4:$V$1116,$V883)/SUMIFS('Comp2016-2017 (3)'!$G$5:$G$289,'Comp2016-2017 (3)'!$A$5:$A$289,$D883,'Comp2016-2017 (3)'!$R$5:$R$289,$V883)*$AB883))</f>
        <v/>
      </c>
      <c r="AF883" s="2" t="str">
        <f>IF($W883=AF$3,$AB883,IF(NOT($W883=0),"",SUMIFS('Val-Vol (2)'!AF$4:AF$1116,'Val-Vol (2)'!$A$4:$A$1116,$D883,'Val-Vol (2)'!$V$4:$V$1116,$V883)/SUMIFS('Comp2016-2017 (3)'!$G$5:$G$289,'Comp2016-2017 (3)'!$A$5:$A$289,$D883,'Comp2016-2017 (3)'!$R$5:$R$289,$V883)*$AB883))</f>
        <v/>
      </c>
      <c r="AG883" s="2" t="str">
        <f>IF($W883=AG$3,$AB883,IF(NOT($W883=0),"",SUMIFS('Val-Vol (2)'!AG$4:AG$1116,'Val-Vol (2)'!$A$4:$A$1116,$D883,'Val-Vol (2)'!$V$4:$V$1116,$V883)/SUMIFS('Comp2016-2017 (3)'!$G$5:$G$289,'Comp2016-2017 (3)'!$A$5:$A$289,$D883,'Comp2016-2017 (3)'!$R$5:$R$289,$V883)*$AB883))</f>
        <v/>
      </c>
      <c r="AH883" s="2" t="str">
        <f>IF($W883=AH$3,$AB883,IF(NOT($W883=0),"",SUMIFS('Val-Vol (2)'!AH$4:AH$1116,'Val-Vol (2)'!$A$4:$A$1116,$D883,'Val-Vol (2)'!$V$4:$V$1116,$V883)/SUMIFS('Comp2016-2017 (3)'!$G$5:$G$289,'Comp2016-2017 (3)'!$A$5:$A$289,$D883,'Comp2016-2017 (3)'!$R$5:$R$289,$V883)*$AB883))</f>
        <v/>
      </c>
      <c r="AI883" s="2" t="str">
        <f>IF($W883=AI$3,$AB883,IF(NOT($W883=0),"",SUMIFS('Val-Vol (2)'!AI$4:AI$1116,'Val-Vol (2)'!$A$4:$A$1116,$D883,'Val-Vol (2)'!$V$4:$V$1116,$V883)/SUMIFS('Comp2016-2017 (3)'!$G$5:$G$289,'Comp2016-2017 (3)'!$A$5:$A$289,$D883,'Comp2016-2017 (3)'!$R$5:$R$289,$V883)*$AB883))</f>
        <v/>
      </c>
      <c r="AJ883" s="2" t="str">
        <f>IF($W883=AJ$3,$AB883,IF(NOT($W883=0),"",SUMIFS('Val-Vol (2)'!AJ$4:AJ$1116,'Val-Vol (2)'!$A$4:$A$1116,$D883,'Val-Vol (2)'!$V$4:$V$1116,$V883)/SUMIFS('Comp2016-2017 (3)'!$G$5:$G$289,'Comp2016-2017 (3)'!$A$5:$A$289,$D883,'Comp2016-2017 (3)'!$R$5:$R$289,$V883)*$AB883))</f>
        <v/>
      </c>
      <c r="AK883" s="2">
        <f t="shared" si="101"/>
        <v>0</v>
      </c>
      <c r="AL883" t="str">
        <f t="shared" si="98"/>
        <v/>
      </c>
      <c r="AM883" t="str">
        <f>VLOOKUP(A883,'Table corresp.'!$M$4:$U$63,8,FALSE)</f>
        <v>Production intermédiaire</v>
      </c>
      <c r="AN883" t="str">
        <f>VLOOKUP(D883,'Table corresp.'!$M$4:$U$63,9,FALSE)</f>
        <v>Exportation</v>
      </c>
    </row>
    <row r="884" spans="1:40" x14ac:dyDescent="0.25">
      <c r="A884" t="s">
        <v>8</v>
      </c>
      <c r="B884" t="str">
        <f>VLOOKUP(LEFT(A884,3),'Table corresp.'!$A$4:$D$63,3,FALSE)</f>
        <v>Transformation</v>
      </c>
      <c r="C884" t="str">
        <f>VLOOKUP(A884,'Table corresp.'!$M$4:$P$63,4,FALSE)</f>
        <v>Production et transformation de produits bois</v>
      </c>
      <c r="D884" t="s">
        <v>13</v>
      </c>
      <c r="E884" t="str">
        <f>VLOOKUP(LEFT(D884,3),'Table corresp.'!$A$4:$D$63,4,FALSE)</f>
        <v>Transformation</v>
      </c>
      <c r="F884" t="str">
        <f t="shared" si="102"/>
        <v xml:space="preserve">13  - 20 </v>
      </c>
      <c r="G884" s="164">
        <v>64302.50697630435</v>
      </c>
      <c r="H884" s="164">
        <v>0</v>
      </c>
      <c r="I884" s="164">
        <v>64302.506976304343</v>
      </c>
      <c r="J884" s="164">
        <v>333.67986584421021</v>
      </c>
      <c r="K884" s="164">
        <v>0</v>
      </c>
      <c r="L884" s="164">
        <v>333.67986584421021</v>
      </c>
      <c r="M884" s="164">
        <v>0</v>
      </c>
      <c r="N884" s="164">
        <v>0</v>
      </c>
      <c r="O884" s="164">
        <v>0</v>
      </c>
      <c r="P884" s="164">
        <v>0</v>
      </c>
      <c r="Q884" s="164">
        <v>0</v>
      </c>
      <c r="R884" s="164">
        <v>0</v>
      </c>
      <c r="S884" s="163" t="str">
        <f t="shared" si="103"/>
        <v/>
      </c>
      <c r="T884" s="163">
        <f>VLOOKUP(A884,'Groupe de branches'!$Z$27:$AM$86,14,FALSE)</f>
        <v>0</v>
      </c>
      <c r="U884" s="163">
        <f>VLOOKUP(D884,'Groupe de branches'!$Z$27:$AM$86,14,FALSE)</f>
        <v>0</v>
      </c>
      <c r="V884" s="163">
        <v>2018</v>
      </c>
      <c r="W884">
        <f>VLOOKUP(D884,'Table corresp.'!$M$4:$S$63,7,FALSE)</f>
        <v>0</v>
      </c>
      <c r="X884" s="167">
        <f>IFERROR(G884/SUMIFS('Comp2016-2017 (3)'!$I$5:$I$289,'Comp2016-2017 (3)'!$A$5:$A$289,A884,'Comp2016-2017 (3)'!$R$5:$R$289,V884),0)</f>
        <v>0.22969610848804475</v>
      </c>
      <c r="Y884" s="178">
        <f>IFERROR(IF(RIGHT(F884,3)="Exp",VLOOKUP(F884,#REF!,2,FALSE),VLOOKUP(F884,#REF!,9,FALSE)),1)</f>
        <v>1</v>
      </c>
      <c r="Z884" s="167">
        <f t="shared" si="104"/>
        <v>8.3333333333333329E-2</v>
      </c>
      <c r="AA884" s="189">
        <f t="shared" si="99"/>
        <v>1.9141342374003729E-2</v>
      </c>
      <c r="AB884" s="2">
        <f>IFERROR(SUMIFS('Comp2016-2017 (3)'!$G$5:$G$289,'Comp2016-2017 (3)'!$A$5:$A$289,A884,'Comp2016-2017 (3)'!$R$5:$R$289,V884)*AA884/SUMIFS($AA$4:$AA$1116,$A$4:$A$1116,A884,$V$4:$V$1116,V884),0)</f>
        <v>19184.064417763439</v>
      </c>
      <c r="AC884" s="2">
        <f>IF($W884=AC$3,$AB884,IF(NOT($W884=0),"",SUMIFS('Val-Vol (2)'!AC$4:AC$1116,'Val-Vol (2)'!$A$4:$A$1116,$D884,'Val-Vol (2)'!$V$4:$V$1116,$V884)/SUMIFS('Comp2016-2017 (3)'!$G$5:$G$289,'Comp2016-2017 (3)'!$A$5:$A$289,$D884,'Comp2016-2017 (3)'!$R$5:$R$289,$V884)*$AB884))</f>
        <v>2017.9874122920105</v>
      </c>
      <c r="AD884" s="2">
        <f>IF($W884=AD$3,$AB884,IF(NOT($W884=0),"",SUMIFS('Val-Vol (2)'!AD$4:AD$1116,'Val-Vol (2)'!$A$4:$A$1116,$D884,'Val-Vol (2)'!$V$4:$V$1116,$V884)/SUMIFS('Comp2016-2017 (3)'!$G$5:$G$289,'Comp2016-2017 (3)'!$A$5:$A$289,$D884,'Comp2016-2017 (3)'!$R$5:$R$289,$V884)*$AB884))</f>
        <v>10519.902989512117</v>
      </c>
      <c r="AE884" s="2">
        <f>IF($W884=AE$3,$AB884,IF(NOT($W884=0),"",SUMIFS('Val-Vol (2)'!AE$4:AE$1116,'Val-Vol (2)'!$A$4:$A$1116,$D884,'Val-Vol (2)'!$V$4:$V$1116,$V884)/SUMIFS('Comp2016-2017 (3)'!$G$5:$G$289,'Comp2016-2017 (3)'!$A$5:$A$289,$D884,'Comp2016-2017 (3)'!$R$5:$R$289,$V884)*$AB884))</f>
        <v>0</v>
      </c>
      <c r="AF884" s="2">
        <f>IF($W884=AF$3,$AB884,IF(NOT($W884=0),"",SUMIFS('Val-Vol (2)'!AF$4:AF$1116,'Val-Vol (2)'!$A$4:$A$1116,$D884,'Val-Vol (2)'!$V$4:$V$1116,$V884)/SUMIFS('Comp2016-2017 (3)'!$G$5:$G$289,'Comp2016-2017 (3)'!$A$5:$A$289,$D884,'Comp2016-2017 (3)'!$R$5:$R$289,$V884)*$AB884))</f>
        <v>0</v>
      </c>
      <c r="AG884" s="2">
        <f>IF($W884=AG$3,$AB884,IF(NOT($W884=0),"",SUMIFS('Val-Vol (2)'!AG$4:AG$1116,'Val-Vol (2)'!$A$4:$A$1116,$D884,'Val-Vol (2)'!$V$4:$V$1116,$V884)/SUMIFS('Comp2016-2017 (3)'!$G$5:$G$289,'Comp2016-2017 (3)'!$A$5:$A$289,$D884,'Comp2016-2017 (3)'!$R$5:$R$289,$V884)*$AB884))</f>
        <v>0</v>
      </c>
      <c r="AH884" s="2">
        <f>IF($W884=AH$3,$AB884,IF(NOT($W884=0),"",SUMIFS('Val-Vol (2)'!AH$4:AH$1116,'Val-Vol (2)'!$A$4:$A$1116,$D884,'Val-Vol (2)'!$V$4:$V$1116,$V884)/SUMIFS('Comp2016-2017 (3)'!$G$5:$G$289,'Comp2016-2017 (3)'!$A$5:$A$289,$D884,'Comp2016-2017 (3)'!$R$5:$R$289,$V884)*$AB884))</f>
        <v>0</v>
      </c>
      <c r="AI884" s="2">
        <f>IF($W884=AI$3,$AB884,IF(NOT($W884=0),"",SUMIFS('Val-Vol (2)'!AI$4:AI$1116,'Val-Vol (2)'!$A$4:$A$1116,$D884,'Val-Vol (2)'!$V$4:$V$1116,$V884)/SUMIFS('Comp2016-2017 (3)'!$G$5:$G$289,'Comp2016-2017 (3)'!$A$5:$A$289,$D884,'Comp2016-2017 (3)'!$R$5:$R$289,$V884)*$AB884))</f>
        <v>0</v>
      </c>
      <c r="AJ884" s="2">
        <f>IF($W884=AJ$3,$AB884,IF(NOT($W884=0),"",SUMIFS('Val-Vol (2)'!AJ$4:AJ$1116,'Val-Vol (2)'!$A$4:$A$1116,$D884,'Val-Vol (2)'!$V$4:$V$1116,$V884)/SUMIFS('Comp2016-2017 (3)'!$G$5:$G$289,'Comp2016-2017 (3)'!$A$5:$A$289,$D884,'Comp2016-2017 (3)'!$R$5:$R$289,$V884)*$AB884))</f>
        <v>6646.1740159593073</v>
      </c>
      <c r="AK884" s="2">
        <f t="shared" si="101"/>
        <v>0</v>
      </c>
      <c r="AL884" t="str">
        <f t="shared" si="98"/>
        <v/>
      </c>
      <c r="AM884" t="str">
        <f>VLOOKUP(A884,'Table corresp.'!$M$4:$U$63,8,FALSE)</f>
        <v>Production intermédiaire</v>
      </c>
      <c r="AN884" t="str">
        <f>VLOOKUP(D884,'Table corresp.'!$M$4:$U$63,9,FALSE)</f>
        <v>Production intermédiaire</v>
      </c>
    </row>
    <row r="885" spans="1:40" x14ac:dyDescent="0.25">
      <c r="A885" t="s">
        <v>8</v>
      </c>
      <c r="B885" t="str">
        <f>VLOOKUP(LEFT(A885,3),'Table corresp.'!$A$4:$D$63,3,FALSE)</f>
        <v>Transformation</v>
      </c>
      <c r="C885" t="str">
        <f>VLOOKUP(A885,'Table corresp.'!$M$4:$P$63,4,FALSE)</f>
        <v>Production et transformation de produits bois</v>
      </c>
      <c r="D885" t="s">
        <v>14</v>
      </c>
      <c r="E885" t="str">
        <f>VLOOKUP(LEFT(D885,3),'Table corresp.'!$A$4:$D$63,4,FALSE)</f>
        <v>Transformation</v>
      </c>
      <c r="F885" t="str">
        <f t="shared" si="102"/>
        <v>13  - 20b</v>
      </c>
      <c r="G885" s="164">
        <v>6976.2378532228749</v>
      </c>
      <c r="H885" s="164">
        <v>0</v>
      </c>
      <c r="I885" s="164">
        <v>6976.2378532228749</v>
      </c>
      <c r="J885" s="164">
        <v>49.493874803386525</v>
      </c>
      <c r="K885" s="164">
        <v>0</v>
      </c>
      <c r="L885" s="164">
        <v>49.493874803386525</v>
      </c>
      <c r="M885" s="164">
        <v>0</v>
      </c>
      <c r="N885" s="164">
        <v>0</v>
      </c>
      <c r="O885" s="164">
        <v>0</v>
      </c>
      <c r="P885" s="164">
        <v>0</v>
      </c>
      <c r="Q885" s="164">
        <v>0</v>
      </c>
      <c r="R885" s="164">
        <v>0</v>
      </c>
      <c r="S885" s="163" t="str">
        <f t="shared" si="103"/>
        <v/>
      </c>
      <c r="T885" s="163">
        <f>VLOOKUP(A885,'Groupe de branches'!$Z$27:$AM$86,14,FALSE)</f>
        <v>0</v>
      </c>
      <c r="U885" s="163">
        <f>VLOOKUP(D885,'Groupe de branches'!$Z$27:$AM$86,14,FALSE)</f>
        <v>0</v>
      </c>
      <c r="V885" s="163">
        <v>2018</v>
      </c>
      <c r="W885">
        <f>VLOOKUP(D885,'Table corresp.'!$M$4:$S$63,7,FALSE)</f>
        <v>0</v>
      </c>
      <c r="X885" s="167">
        <f>IFERROR(G885/SUMIFS('Comp2016-2017 (3)'!$I$5:$I$289,'Comp2016-2017 (3)'!$A$5:$A$289,A885,'Comp2016-2017 (3)'!$R$5:$R$289,V885),0)</f>
        <v>2.4919941105294389E-2</v>
      </c>
      <c r="Y885" s="178">
        <f>IFERROR(IF(RIGHT(F885,3)="Exp",VLOOKUP(F885,#REF!,2,FALSE),VLOOKUP(F885,#REF!,9,FALSE)),1)</f>
        <v>1</v>
      </c>
      <c r="Z885" s="167">
        <f t="shared" si="104"/>
        <v>8.3333333333333329E-2</v>
      </c>
      <c r="AA885" s="189">
        <f t="shared" si="99"/>
        <v>2.0766617587745324E-3</v>
      </c>
      <c r="AB885" s="2">
        <f>IFERROR(SUMIFS('Comp2016-2017 (3)'!$G$5:$G$289,'Comp2016-2017 (3)'!$A$5:$A$289,A885,'Comp2016-2017 (3)'!$R$5:$R$289,V885)*AA885/SUMIFS($AA$4:$AA$1116,$A$4:$A$1116,A885,$V$4:$V$1116,V885),0)</f>
        <v>2081.2967124156612</v>
      </c>
      <c r="AC885" s="2">
        <f>IF($W885=AC$3,$AB885,IF(NOT($W885=0),"",SUMIFS('Val-Vol (2)'!AC$4:AC$1116,'Val-Vol (2)'!$A$4:$A$1116,$D885,'Val-Vol (2)'!$V$4:$V$1116,$V885)/SUMIFS('Comp2016-2017 (3)'!$G$5:$G$289,'Comp2016-2017 (3)'!$A$5:$A$289,$D885,'Comp2016-2017 (3)'!$R$5:$R$289,$V885)*$AB885))</f>
        <v>566.5704473850318</v>
      </c>
      <c r="AD885" s="2">
        <f>IF($W885=AD$3,$AB885,IF(NOT($W885=0),"",SUMIFS('Val-Vol (2)'!AD$4:AD$1116,'Val-Vol (2)'!$A$4:$A$1116,$D885,'Val-Vol (2)'!$V$4:$V$1116,$V885)/SUMIFS('Comp2016-2017 (3)'!$G$5:$G$289,'Comp2016-2017 (3)'!$A$5:$A$289,$D885,'Comp2016-2017 (3)'!$R$5:$R$289,$V885)*$AB885))</f>
        <v>1340.5775932377599</v>
      </c>
      <c r="AE885" s="2">
        <f>IF($W885=AE$3,$AB885,IF(NOT($W885=0),"",SUMIFS('Val-Vol (2)'!AE$4:AE$1116,'Val-Vol (2)'!$A$4:$A$1116,$D885,'Val-Vol (2)'!$V$4:$V$1116,$V885)/SUMIFS('Comp2016-2017 (3)'!$G$5:$G$289,'Comp2016-2017 (3)'!$A$5:$A$289,$D885,'Comp2016-2017 (3)'!$R$5:$R$289,$V885)*$AB885))</f>
        <v>12.632522309217514</v>
      </c>
      <c r="AF885" s="2">
        <f>IF($W885=AF$3,$AB885,IF(NOT($W885=0),"",SUMIFS('Val-Vol (2)'!AF$4:AF$1116,'Val-Vol (2)'!$A$4:$A$1116,$D885,'Val-Vol (2)'!$V$4:$V$1116,$V885)/SUMIFS('Comp2016-2017 (3)'!$G$5:$G$289,'Comp2016-2017 (3)'!$A$5:$A$289,$D885,'Comp2016-2017 (3)'!$R$5:$R$289,$V885)*$AB885))</f>
        <v>0</v>
      </c>
      <c r="AG885" s="2">
        <f>IF($W885=AG$3,$AB885,IF(NOT($W885=0),"",SUMIFS('Val-Vol (2)'!AG$4:AG$1116,'Val-Vol (2)'!$A$4:$A$1116,$D885,'Val-Vol (2)'!$V$4:$V$1116,$V885)/SUMIFS('Comp2016-2017 (3)'!$G$5:$G$289,'Comp2016-2017 (3)'!$A$5:$A$289,$D885,'Comp2016-2017 (3)'!$R$5:$R$289,$V885)*$AB885))</f>
        <v>0</v>
      </c>
      <c r="AH885" s="2">
        <f>IF($W885=AH$3,$AB885,IF(NOT($W885=0),"",SUMIFS('Val-Vol (2)'!AH$4:AH$1116,'Val-Vol (2)'!$A$4:$A$1116,$D885,'Val-Vol (2)'!$V$4:$V$1116,$V885)/SUMIFS('Comp2016-2017 (3)'!$G$5:$G$289,'Comp2016-2017 (3)'!$A$5:$A$289,$D885,'Comp2016-2017 (3)'!$R$5:$R$289,$V885)*$AB885))</f>
        <v>0</v>
      </c>
      <c r="AI885" s="2">
        <f>IF($W885=AI$3,$AB885,IF(NOT($W885=0),"",SUMIFS('Val-Vol (2)'!AI$4:AI$1116,'Val-Vol (2)'!$A$4:$A$1116,$D885,'Val-Vol (2)'!$V$4:$V$1116,$V885)/SUMIFS('Comp2016-2017 (3)'!$G$5:$G$289,'Comp2016-2017 (3)'!$A$5:$A$289,$D885,'Comp2016-2017 (3)'!$R$5:$R$289,$V885)*$AB885))</f>
        <v>0</v>
      </c>
      <c r="AJ885" s="2">
        <f>IF($W885=AJ$3,$AB885,IF(NOT($W885=0),"",SUMIFS('Val-Vol (2)'!AJ$4:AJ$1116,'Val-Vol (2)'!$A$4:$A$1116,$D885,'Val-Vol (2)'!$V$4:$V$1116,$V885)/SUMIFS('Comp2016-2017 (3)'!$G$5:$G$289,'Comp2016-2017 (3)'!$A$5:$A$289,$D885,'Comp2016-2017 (3)'!$R$5:$R$289,$V885)*$AB885))</f>
        <v>161.51614948365233</v>
      </c>
      <c r="AK885" s="2">
        <f t="shared" si="101"/>
        <v>0</v>
      </c>
      <c r="AL885" t="str">
        <f t="shared" si="98"/>
        <v/>
      </c>
      <c r="AM885" t="str">
        <f>VLOOKUP(A885,'Table corresp.'!$M$4:$U$63,8,FALSE)</f>
        <v>Production intermédiaire</v>
      </c>
      <c r="AN885" t="str">
        <f>VLOOKUP(D885,'Table corresp.'!$M$4:$U$63,9,FALSE)</f>
        <v>Production intermédiaire</v>
      </c>
    </row>
    <row r="886" spans="1:40" x14ac:dyDescent="0.25">
      <c r="A886" t="s">
        <v>8</v>
      </c>
      <c r="B886" t="str">
        <f>VLOOKUP(LEFT(A886,3),'Table corresp.'!$A$4:$D$63,3,FALSE)</f>
        <v>Transformation</v>
      </c>
      <c r="C886" t="str">
        <f>VLOOKUP(A886,'Table corresp.'!$M$4:$P$63,4,FALSE)</f>
        <v>Production et transformation de produits bois</v>
      </c>
      <c r="D886" t="s">
        <v>85</v>
      </c>
      <c r="E886" t="str">
        <f>VLOOKUP(LEFT(D886,3),'Table corresp.'!$A$4:$D$63,4,FALSE)</f>
        <v>Transformation</v>
      </c>
      <c r="F886" t="str">
        <f t="shared" si="102"/>
        <v xml:space="preserve">13  - 29 </v>
      </c>
      <c r="G886" s="164">
        <v>384.60930952015832</v>
      </c>
      <c r="H886" s="164">
        <v>0</v>
      </c>
      <c r="I886" s="164">
        <v>384.60930952015832</v>
      </c>
      <c r="J886" s="164">
        <v>2.9105743107369939</v>
      </c>
      <c r="K886" s="164">
        <v>0</v>
      </c>
      <c r="L886" s="164">
        <v>2.9105743107369939</v>
      </c>
      <c r="M886" s="164">
        <v>0</v>
      </c>
      <c r="N886" s="164">
        <v>0</v>
      </c>
      <c r="O886" s="164">
        <v>0</v>
      </c>
      <c r="P886" s="164">
        <v>0</v>
      </c>
      <c r="Q886" s="164">
        <v>0</v>
      </c>
      <c r="R886" s="164">
        <v>0</v>
      </c>
      <c r="S886" s="163" t="str">
        <f t="shared" si="103"/>
        <v/>
      </c>
      <c r="T886" s="163">
        <f>VLOOKUP(A886,'Groupe de branches'!$Z$27:$AM$86,14,FALSE)</f>
        <v>0</v>
      </c>
      <c r="U886" s="163">
        <f>VLOOKUP(D886,'Groupe de branches'!$Z$27:$AM$86,14,FALSE)</f>
        <v>0</v>
      </c>
      <c r="V886" s="163">
        <v>2018</v>
      </c>
      <c r="W886" t="str">
        <f>VLOOKUP(D886,'Table corresp.'!$M$4:$S$63,7,FALSE)</f>
        <v>Construction</v>
      </c>
      <c r="X886" s="167">
        <f>IFERROR(G886/SUMIFS('Comp2016-2017 (3)'!$I$5:$I$289,'Comp2016-2017 (3)'!$A$5:$A$289,A886,'Comp2016-2017 (3)'!$R$5:$R$289,V886),0)</f>
        <v>1.3738696333816193E-3</v>
      </c>
      <c r="Y886" s="178">
        <f>IFERROR(IF(RIGHT(F886,3)="Exp",VLOOKUP(F886,#REF!,2,FALSE),VLOOKUP(F886,#REF!,9,FALSE)),1)</f>
        <v>1</v>
      </c>
      <c r="Z886" s="167">
        <f t="shared" si="104"/>
        <v>8.3333333333333329E-2</v>
      </c>
      <c r="AA886" s="189">
        <f t="shared" si="99"/>
        <v>1.1448913611513493E-4</v>
      </c>
      <c r="AB886" s="2">
        <f>IFERROR(SUMIFS('Comp2016-2017 (3)'!$G$5:$G$289,'Comp2016-2017 (3)'!$A$5:$A$289,A886,'Comp2016-2017 (3)'!$R$5:$R$289,V886)*AA886/SUMIFS($AA$4:$AA$1116,$A$4:$A$1116,A886,$V$4:$V$1116,V886),0)</f>
        <v>114.74466729928871</v>
      </c>
      <c r="AC886" s="2" t="str">
        <f>IF($W886=AC$3,$AB886,IF(NOT($W886=0),"",SUMIFS('Val-Vol (2)'!AC$4:AC$1116,'Val-Vol (2)'!$A$4:$A$1116,$D886,'Val-Vol (2)'!$V$4:$V$1116,$V886)/SUMIFS('Comp2016-2017 (3)'!$G$5:$G$289,'Comp2016-2017 (3)'!$A$5:$A$289,$D886,'Comp2016-2017 (3)'!$R$5:$R$289,$V886)*$AB886))</f>
        <v/>
      </c>
      <c r="AD886" s="2">
        <f>IF($W886=AD$3,$AB886,IF(NOT($W886=0),"",SUMIFS('Val-Vol (2)'!AD$4:AD$1116,'Val-Vol (2)'!$A$4:$A$1116,$D886,'Val-Vol (2)'!$V$4:$V$1116,$V886)/SUMIFS('Comp2016-2017 (3)'!$G$5:$G$289,'Comp2016-2017 (3)'!$A$5:$A$289,$D886,'Comp2016-2017 (3)'!$R$5:$R$289,$V886)*$AB886))</f>
        <v>114.74466729928871</v>
      </c>
      <c r="AE886" s="2" t="str">
        <f>IF($W886=AE$3,$AB886,IF(NOT($W886=0),"",SUMIFS('Val-Vol (2)'!AE$4:AE$1116,'Val-Vol (2)'!$A$4:$A$1116,$D886,'Val-Vol (2)'!$V$4:$V$1116,$V886)/SUMIFS('Comp2016-2017 (3)'!$G$5:$G$289,'Comp2016-2017 (3)'!$A$5:$A$289,$D886,'Comp2016-2017 (3)'!$R$5:$R$289,$V886)*$AB886))</f>
        <v/>
      </c>
      <c r="AF886" s="2" t="str">
        <f>IF($W886=AF$3,$AB886,IF(NOT($W886=0),"",SUMIFS('Val-Vol (2)'!AF$4:AF$1116,'Val-Vol (2)'!$A$4:$A$1116,$D886,'Val-Vol (2)'!$V$4:$V$1116,$V886)/SUMIFS('Comp2016-2017 (3)'!$G$5:$G$289,'Comp2016-2017 (3)'!$A$5:$A$289,$D886,'Comp2016-2017 (3)'!$R$5:$R$289,$V886)*$AB886))</f>
        <v/>
      </c>
      <c r="AG886" s="2" t="str">
        <f>IF($W886=AG$3,$AB886,IF(NOT($W886=0),"",SUMIFS('Val-Vol (2)'!AG$4:AG$1116,'Val-Vol (2)'!$A$4:$A$1116,$D886,'Val-Vol (2)'!$V$4:$V$1116,$V886)/SUMIFS('Comp2016-2017 (3)'!$G$5:$G$289,'Comp2016-2017 (3)'!$A$5:$A$289,$D886,'Comp2016-2017 (3)'!$R$5:$R$289,$V886)*$AB886))</f>
        <v/>
      </c>
      <c r="AH886" s="2" t="str">
        <f>IF($W886=AH$3,$AB886,IF(NOT($W886=0),"",SUMIFS('Val-Vol (2)'!AH$4:AH$1116,'Val-Vol (2)'!$A$4:$A$1116,$D886,'Val-Vol (2)'!$V$4:$V$1116,$V886)/SUMIFS('Comp2016-2017 (3)'!$G$5:$G$289,'Comp2016-2017 (3)'!$A$5:$A$289,$D886,'Comp2016-2017 (3)'!$R$5:$R$289,$V886)*$AB886))</f>
        <v/>
      </c>
      <c r="AI886" s="2" t="str">
        <f>IF($W886=AI$3,$AB886,IF(NOT($W886=0),"",SUMIFS('Val-Vol (2)'!AI$4:AI$1116,'Val-Vol (2)'!$A$4:$A$1116,$D886,'Val-Vol (2)'!$V$4:$V$1116,$V886)/SUMIFS('Comp2016-2017 (3)'!$G$5:$G$289,'Comp2016-2017 (3)'!$A$5:$A$289,$D886,'Comp2016-2017 (3)'!$R$5:$R$289,$V886)*$AB886))</f>
        <v/>
      </c>
      <c r="AJ886" s="2" t="str">
        <f>IF($W886=AJ$3,$AB886,IF(NOT($W886=0),"",SUMIFS('Val-Vol (2)'!AJ$4:AJ$1116,'Val-Vol (2)'!$A$4:$A$1116,$D886,'Val-Vol (2)'!$V$4:$V$1116,$V886)/SUMIFS('Comp2016-2017 (3)'!$G$5:$G$289,'Comp2016-2017 (3)'!$A$5:$A$289,$D886,'Comp2016-2017 (3)'!$R$5:$R$289,$V886)*$AB886))</f>
        <v/>
      </c>
      <c r="AK886" s="2">
        <f t="shared" si="101"/>
        <v>0</v>
      </c>
      <c r="AL886" t="str">
        <f t="shared" si="98"/>
        <v/>
      </c>
      <c r="AM886" t="str">
        <f>VLOOKUP(A886,'Table corresp.'!$M$4:$U$63,8,FALSE)</f>
        <v>Production intermédiaire</v>
      </c>
      <c r="AN886" t="str">
        <f>VLOOKUP(D886,'Table corresp.'!$M$4:$U$63,9,FALSE)</f>
        <v>Production intermédiaire</v>
      </c>
    </row>
    <row r="887" spans="1:40" x14ac:dyDescent="0.25">
      <c r="A887" t="s">
        <v>8</v>
      </c>
      <c r="B887" t="str">
        <f>VLOOKUP(LEFT(A887,3),'Table corresp.'!$A$4:$D$63,3,FALSE)</f>
        <v>Transformation</v>
      </c>
      <c r="C887" t="str">
        <f>VLOOKUP(A887,'Table corresp.'!$M$4:$P$63,4,FALSE)</f>
        <v>Production et transformation de produits bois</v>
      </c>
      <c r="D887" t="s">
        <v>91</v>
      </c>
      <c r="E887" t="str">
        <f>VLOOKUP(LEFT(D887,3),'Table corresp.'!$A$4:$D$63,4,FALSE)</f>
        <v>Transformation</v>
      </c>
      <c r="F887" t="str">
        <f t="shared" si="102"/>
        <v xml:space="preserve">13  - 37 </v>
      </c>
      <c r="G887" s="164">
        <v>57852.224594432104</v>
      </c>
      <c r="H887" s="164">
        <v>0</v>
      </c>
      <c r="I887" s="164">
        <v>57852.224594432104</v>
      </c>
      <c r="J887" s="164">
        <v>583.73764252219905</v>
      </c>
      <c r="K887" s="164">
        <v>0</v>
      </c>
      <c r="L887" s="164">
        <v>583.73764252219905</v>
      </c>
      <c r="M887" s="164">
        <v>0</v>
      </c>
      <c r="N887" s="164">
        <v>0</v>
      </c>
      <c r="O887" s="164">
        <v>0</v>
      </c>
      <c r="P887" s="164">
        <v>0</v>
      </c>
      <c r="Q887" s="164">
        <v>0</v>
      </c>
      <c r="R887" s="164">
        <v>0</v>
      </c>
      <c r="S887" s="163" t="str">
        <f t="shared" si="103"/>
        <v/>
      </c>
      <c r="T887" s="163">
        <f>VLOOKUP(A887,'Groupe de branches'!$Z$27:$AM$86,14,FALSE)</f>
        <v>0</v>
      </c>
      <c r="U887" s="163">
        <f>VLOOKUP(D887,'Groupe de branches'!$Z$27:$AM$86,14,FALSE)</f>
        <v>0</v>
      </c>
      <c r="V887" s="163">
        <v>2018</v>
      </c>
      <c r="W887" t="str">
        <f>VLOOKUP(D887,'Table corresp.'!$M$4:$S$63,7,FALSE)</f>
        <v>Emballage bois et carton</v>
      </c>
      <c r="X887" s="167">
        <f>IFERROR(G887/SUMIFS('Comp2016-2017 (3)'!$I$5:$I$289,'Comp2016-2017 (3)'!$A$5:$A$289,A887,'Comp2016-2017 (3)'!$R$5:$R$289,V887),0)</f>
        <v>0.20665494211002117</v>
      </c>
      <c r="Y887" s="178">
        <f>IFERROR(IF(RIGHT(F887,3)="Exp",VLOOKUP(F887,#REF!,2,FALSE),VLOOKUP(F887,#REF!,9,FALSE)),1)</f>
        <v>1</v>
      </c>
      <c r="Z887" s="167">
        <f t="shared" si="104"/>
        <v>8.3333333333333329E-2</v>
      </c>
      <c r="AA887" s="189">
        <f t="shared" si="99"/>
        <v>1.7221245175835096E-2</v>
      </c>
      <c r="AB887" s="2">
        <f>IFERROR(SUMIFS('Comp2016-2017 (3)'!$G$5:$G$289,'Comp2016-2017 (3)'!$A$5:$A$289,A887,'Comp2016-2017 (3)'!$R$5:$R$289,V887)*AA887/SUMIFS($AA$4:$AA$1116,$A$4:$A$1116,A887,$V$4:$V$1116,V887),0)</f>
        <v>17259.681706336629</v>
      </c>
      <c r="AC887" s="2" t="str">
        <f>IF($W887=AC$3,$AB887,IF(NOT($W887=0),"",SUMIFS('Val-Vol (2)'!AC$4:AC$1116,'Val-Vol (2)'!$A$4:$A$1116,$D887,'Val-Vol (2)'!$V$4:$V$1116,$V887)/SUMIFS('Comp2016-2017 (3)'!$G$5:$G$289,'Comp2016-2017 (3)'!$A$5:$A$289,$D887,'Comp2016-2017 (3)'!$R$5:$R$289,$V887)*$AB887))</f>
        <v/>
      </c>
      <c r="AD887" s="2" t="str">
        <f>IF($W887=AD$3,$AB887,IF(NOT($W887=0),"",SUMIFS('Val-Vol (2)'!AD$4:AD$1116,'Val-Vol (2)'!$A$4:$A$1116,$D887,'Val-Vol (2)'!$V$4:$V$1116,$V887)/SUMIFS('Comp2016-2017 (3)'!$G$5:$G$289,'Comp2016-2017 (3)'!$A$5:$A$289,$D887,'Comp2016-2017 (3)'!$R$5:$R$289,$V887)*$AB887))</f>
        <v/>
      </c>
      <c r="AE887" s="2" t="str">
        <f>IF($W887=AE$3,$AB887,IF(NOT($W887=0),"",SUMIFS('Val-Vol (2)'!AE$4:AE$1116,'Val-Vol (2)'!$A$4:$A$1116,$D887,'Val-Vol (2)'!$V$4:$V$1116,$V887)/SUMIFS('Comp2016-2017 (3)'!$G$5:$G$289,'Comp2016-2017 (3)'!$A$5:$A$289,$D887,'Comp2016-2017 (3)'!$R$5:$R$289,$V887)*$AB887))</f>
        <v/>
      </c>
      <c r="AF887" s="2" t="str">
        <f>IF($W887=AF$3,$AB887,IF(NOT($W887=0),"",SUMIFS('Val-Vol (2)'!AF$4:AF$1116,'Val-Vol (2)'!$A$4:$A$1116,$D887,'Val-Vol (2)'!$V$4:$V$1116,$V887)/SUMIFS('Comp2016-2017 (3)'!$G$5:$G$289,'Comp2016-2017 (3)'!$A$5:$A$289,$D887,'Comp2016-2017 (3)'!$R$5:$R$289,$V887)*$AB887))</f>
        <v/>
      </c>
      <c r="AG887" s="2">
        <f>IF($W887=AG$3,$AB887,IF(NOT($W887=0),"",SUMIFS('Val-Vol (2)'!AG$4:AG$1116,'Val-Vol (2)'!$A$4:$A$1116,$D887,'Val-Vol (2)'!$V$4:$V$1116,$V887)/SUMIFS('Comp2016-2017 (3)'!$G$5:$G$289,'Comp2016-2017 (3)'!$A$5:$A$289,$D887,'Comp2016-2017 (3)'!$R$5:$R$289,$V887)*$AB887))</f>
        <v>17259.681706336629</v>
      </c>
      <c r="AH887" s="2" t="str">
        <f>IF($W887=AH$3,$AB887,IF(NOT($W887=0),"",SUMIFS('Val-Vol (2)'!AH$4:AH$1116,'Val-Vol (2)'!$A$4:$A$1116,$D887,'Val-Vol (2)'!$V$4:$V$1116,$V887)/SUMIFS('Comp2016-2017 (3)'!$G$5:$G$289,'Comp2016-2017 (3)'!$A$5:$A$289,$D887,'Comp2016-2017 (3)'!$R$5:$R$289,$V887)*$AB887))</f>
        <v/>
      </c>
      <c r="AI887" s="2" t="str">
        <f>IF($W887=AI$3,$AB887,IF(NOT($W887=0),"",SUMIFS('Val-Vol (2)'!AI$4:AI$1116,'Val-Vol (2)'!$A$4:$A$1116,$D887,'Val-Vol (2)'!$V$4:$V$1116,$V887)/SUMIFS('Comp2016-2017 (3)'!$G$5:$G$289,'Comp2016-2017 (3)'!$A$5:$A$289,$D887,'Comp2016-2017 (3)'!$R$5:$R$289,$V887)*$AB887))</f>
        <v/>
      </c>
      <c r="AJ887" s="2" t="str">
        <f>IF($W887=AJ$3,$AB887,IF(NOT($W887=0),"",SUMIFS('Val-Vol (2)'!AJ$4:AJ$1116,'Val-Vol (2)'!$A$4:$A$1116,$D887,'Val-Vol (2)'!$V$4:$V$1116,$V887)/SUMIFS('Comp2016-2017 (3)'!$G$5:$G$289,'Comp2016-2017 (3)'!$A$5:$A$289,$D887,'Comp2016-2017 (3)'!$R$5:$R$289,$V887)*$AB887))</f>
        <v/>
      </c>
      <c r="AK887" s="2">
        <f t="shared" si="101"/>
        <v>0</v>
      </c>
      <c r="AL887" t="str">
        <f t="shared" si="98"/>
        <v/>
      </c>
      <c r="AM887" t="str">
        <f>VLOOKUP(A887,'Table corresp.'!$M$4:$U$63,8,FALSE)</f>
        <v>Production intermédiaire</v>
      </c>
      <c r="AN887" t="str">
        <f>VLOOKUP(D887,'Table corresp.'!$M$4:$U$63,9,FALSE)</f>
        <v>Production finale</v>
      </c>
    </row>
    <row r="888" spans="1:40" x14ac:dyDescent="0.25">
      <c r="A888" t="s">
        <v>8</v>
      </c>
      <c r="B888" t="str">
        <f>VLOOKUP(LEFT(A888,3),'Table corresp.'!$A$4:$D$63,3,FALSE)</f>
        <v>Transformation</v>
      </c>
      <c r="C888" t="str">
        <f>VLOOKUP(A888,'Table corresp.'!$M$4:$P$63,4,FALSE)</f>
        <v>Production et transformation de produits bois</v>
      </c>
      <c r="D888" t="s">
        <v>92</v>
      </c>
      <c r="E888" t="str">
        <f>VLOOKUP(LEFT(D888,3),'Table corresp.'!$A$4:$D$63,4,FALSE)</f>
        <v>Transformation</v>
      </c>
      <c r="F888" t="str">
        <f t="shared" si="102"/>
        <v xml:space="preserve">13  - 40 </v>
      </c>
      <c r="G888" s="164">
        <v>13371.644589656047</v>
      </c>
      <c r="H888" s="164">
        <v>0</v>
      </c>
      <c r="I888" s="164">
        <v>13371.644589656047</v>
      </c>
      <c r="J888" s="164">
        <v>118.58370463423792</v>
      </c>
      <c r="K888" s="164">
        <v>0</v>
      </c>
      <c r="L888" s="164">
        <v>118.58370463423792</v>
      </c>
      <c r="M888" s="164">
        <v>0</v>
      </c>
      <c r="N888" s="164">
        <v>0</v>
      </c>
      <c r="O888" s="164">
        <v>0</v>
      </c>
      <c r="P888" s="164">
        <v>0</v>
      </c>
      <c r="Q888" s="164">
        <v>0</v>
      </c>
      <c r="R888" s="164">
        <v>0</v>
      </c>
      <c r="S888" s="163" t="str">
        <f t="shared" si="103"/>
        <v/>
      </c>
      <c r="T888" s="163">
        <f>VLOOKUP(A888,'Groupe de branches'!$Z$27:$AM$86,14,FALSE)</f>
        <v>0</v>
      </c>
      <c r="U888" s="163">
        <f>VLOOKUP(D888,'Groupe de branches'!$Z$27:$AM$86,14,FALSE)</f>
        <v>0</v>
      </c>
      <c r="V888" s="163">
        <v>2018</v>
      </c>
      <c r="W888" t="str">
        <f>VLOOKUP(D888,'Table corresp.'!$M$4:$S$63,7,FALSE)</f>
        <v>Construction</v>
      </c>
      <c r="X888" s="167">
        <f>IFERROR(G888/SUMIFS('Comp2016-2017 (3)'!$I$5:$I$289,'Comp2016-2017 (3)'!$A$5:$A$289,A888,'Comp2016-2017 (3)'!$R$5:$R$289,V888),0)</f>
        <v>4.7765085231607482E-2</v>
      </c>
      <c r="Y888" s="178">
        <f>IFERROR(IF(RIGHT(F888,3)="Exp",VLOOKUP(F888,#REF!,2,FALSE),VLOOKUP(F888,#REF!,9,FALSE)),1)</f>
        <v>1</v>
      </c>
      <c r="Z888" s="167">
        <f t="shared" si="104"/>
        <v>8.3333333333333329E-2</v>
      </c>
      <c r="AA888" s="189">
        <f t="shared" si="99"/>
        <v>3.9804237693006235E-3</v>
      </c>
      <c r="AB888" s="2">
        <f>IFERROR(SUMIFS('Comp2016-2017 (3)'!$G$5:$G$289,'Comp2016-2017 (3)'!$A$5:$A$289,A888,'Comp2016-2017 (3)'!$R$5:$R$289,V888)*AA888/SUMIFS($AA$4:$AA$1116,$A$4:$A$1116,A888,$V$4:$V$1116,V888),0)</f>
        <v>3989.3077772835318</v>
      </c>
      <c r="AC888" s="2" t="str">
        <f>IF($W888=AC$3,$AB888,IF(NOT($W888=0),"",SUMIFS('Val-Vol (2)'!AC$4:AC$1116,'Val-Vol (2)'!$A$4:$A$1116,$D888,'Val-Vol (2)'!$V$4:$V$1116,$V888)/SUMIFS('Comp2016-2017 (3)'!$G$5:$G$289,'Comp2016-2017 (3)'!$A$5:$A$289,$D888,'Comp2016-2017 (3)'!$R$5:$R$289,$V888)*$AB888))</f>
        <v/>
      </c>
      <c r="AD888" s="2">
        <f>IF($W888=AD$3,$AB888,IF(NOT($W888=0),"",SUMIFS('Val-Vol (2)'!AD$4:AD$1116,'Val-Vol (2)'!$A$4:$A$1116,$D888,'Val-Vol (2)'!$V$4:$V$1116,$V888)/SUMIFS('Comp2016-2017 (3)'!$G$5:$G$289,'Comp2016-2017 (3)'!$A$5:$A$289,$D888,'Comp2016-2017 (3)'!$R$5:$R$289,$V888)*$AB888))</f>
        <v>3989.3077772835318</v>
      </c>
      <c r="AE888" s="2" t="str">
        <f>IF($W888=AE$3,$AB888,IF(NOT($W888=0),"",SUMIFS('Val-Vol (2)'!AE$4:AE$1116,'Val-Vol (2)'!$A$4:$A$1116,$D888,'Val-Vol (2)'!$V$4:$V$1116,$V888)/SUMIFS('Comp2016-2017 (3)'!$G$5:$G$289,'Comp2016-2017 (3)'!$A$5:$A$289,$D888,'Comp2016-2017 (3)'!$R$5:$R$289,$V888)*$AB888))</f>
        <v/>
      </c>
      <c r="AF888" s="2" t="str">
        <f>IF($W888=AF$3,$AB888,IF(NOT($W888=0),"",SUMIFS('Val-Vol (2)'!AF$4:AF$1116,'Val-Vol (2)'!$A$4:$A$1116,$D888,'Val-Vol (2)'!$V$4:$V$1116,$V888)/SUMIFS('Comp2016-2017 (3)'!$G$5:$G$289,'Comp2016-2017 (3)'!$A$5:$A$289,$D888,'Comp2016-2017 (3)'!$R$5:$R$289,$V888)*$AB888))</f>
        <v/>
      </c>
      <c r="AG888" s="2" t="str">
        <f>IF($W888=AG$3,$AB888,IF(NOT($W888=0),"",SUMIFS('Val-Vol (2)'!AG$4:AG$1116,'Val-Vol (2)'!$A$4:$A$1116,$D888,'Val-Vol (2)'!$V$4:$V$1116,$V888)/SUMIFS('Comp2016-2017 (3)'!$G$5:$G$289,'Comp2016-2017 (3)'!$A$5:$A$289,$D888,'Comp2016-2017 (3)'!$R$5:$R$289,$V888)*$AB888))</f>
        <v/>
      </c>
      <c r="AH888" s="2" t="str">
        <f>IF($W888=AH$3,$AB888,IF(NOT($W888=0),"",SUMIFS('Val-Vol (2)'!AH$4:AH$1116,'Val-Vol (2)'!$A$4:$A$1116,$D888,'Val-Vol (2)'!$V$4:$V$1116,$V888)/SUMIFS('Comp2016-2017 (3)'!$G$5:$G$289,'Comp2016-2017 (3)'!$A$5:$A$289,$D888,'Comp2016-2017 (3)'!$R$5:$R$289,$V888)*$AB888))</f>
        <v/>
      </c>
      <c r="AI888" s="2" t="str">
        <f>IF($W888=AI$3,$AB888,IF(NOT($W888=0),"",SUMIFS('Val-Vol (2)'!AI$4:AI$1116,'Val-Vol (2)'!$A$4:$A$1116,$D888,'Val-Vol (2)'!$V$4:$V$1116,$V888)/SUMIFS('Comp2016-2017 (3)'!$G$5:$G$289,'Comp2016-2017 (3)'!$A$5:$A$289,$D888,'Comp2016-2017 (3)'!$R$5:$R$289,$V888)*$AB888))</f>
        <v/>
      </c>
      <c r="AJ888" s="2" t="str">
        <f>IF($W888=AJ$3,$AB888,IF(NOT($W888=0),"",SUMIFS('Val-Vol (2)'!AJ$4:AJ$1116,'Val-Vol (2)'!$A$4:$A$1116,$D888,'Val-Vol (2)'!$V$4:$V$1116,$V888)/SUMIFS('Comp2016-2017 (3)'!$G$5:$G$289,'Comp2016-2017 (3)'!$A$5:$A$289,$D888,'Comp2016-2017 (3)'!$R$5:$R$289,$V888)*$AB888))</f>
        <v/>
      </c>
      <c r="AK888" s="2">
        <f t="shared" si="101"/>
        <v>0</v>
      </c>
      <c r="AL888" t="str">
        <f t="shared" si="98"/>
        <v/>
      </c>
      <c r="AM888" t="str">
        <f>VLOOKUP(A888,'Table corresp.'!$M$4:$U$63,8,FALSE)</f>
        <v>Production intermédiaire</v>
      </c>
      <c r="AN888" t="str">
        <f>VLOOKUP(D888,'Table corresp.'!$M$4:$U$63,9,FALSE)</f>
        <v>Production finale</v>
      </c>
    </row>
    <row r="889" spans="1:40" x14ac:dyDescent="0.25">
      <c r="A889" t="s">
        <v>8</v>
      </c>
      <c r="B889" t="str">
        <f>VLOOKUP(LEFT(A889,3),'Table corresp.'!$A$4:$D$63,3,FALSE)</f>
        <v>Transformation</v>
      </c>
      <c r="C889" t="str">
        <f>VLOOKUP(A889,'Table corresp.'!$M$4:$P$63,4,FALSE)</f>
        <v>Production et transformation de produits bois</v>
      </c>
      <c r="D889" t="s">
        <v>19</v>
      </c>
      <c r="E889" t="str">
        <f>VLOOKUP(LEFT(D889,3),'Table corresp.'!$A$4:$D$63,4,FALSE)</f>
        <v>Transformation</v>
      </c>
      <c r="F889" t="str">
        <f t="shared" si="102"/>
        <v xml:space="preserve">13  - 52 </v>
      </c>
      <c r="G889" s="164">
        <v>1877.6718913857642</v>
      </c>
      <c r="H889" s="164">
        <v>0</v>
      </c>
      <c r="I889" s="164">
        <v>1877.6718913857642</v>
      </c>
      <c r="J889" s="164">
        <v>18.94599163630458</v>
      </c>
      <c r="K889" s="164">
        <v>0</v>
      </c>
      <c r="L889" s="164">
        <v>18.94599163630458</v>
      </c>
      <c r="M889" s="164">
        <v>0</v>
      </c>
      <c r="N889" s="164">
        <v>0</v>
      </c>
      <c r="O889" s="164">
        <v>0</v>
      </c>
      <c r="P889" s="164">
        <v>0</v>
      </c>
      <c r="Q889" s="164">
        <v>0</v>
      </c>
      <c r="R889" s="164">
        <v>0</v>
      </c>
      <c r="S889" s="163" t="str">
        <f t="shared" si="103"/>
        <v/>
      </c>
      <c r="T889" s="163">
        <f>VLOOKUP(A889,'Groupe de branches'!$Z$27:$AM$86,14,FALSE)</f>
        <v>0</v>
      </c>
      <c r="U889" s="163">
        <f>VLOOKUP(D889,'Groupe de branches'!$Z$27:$AM$86,14,FALSE)</f>
        <v>0</v>
      </c>
      <c r="V889" s="163">
        <v>2018</v>
      </c>
      <c r="W889" t="str">
        <f>VLOOKUP(D889,'Table corresp.'!$M$4:$S$63,7,FALSE)</f>
        <v>Construction</v>
      </c>
      <c r="X889" s="167">
        <f>IFERROR(G889/SUMIFS('Comp2016-2017 (3)'!$I$5:$I$289,'Comp2016-2017 (3)'!$A$5:$A$289,A889,'Comp2016-2017 (3)'!$R$5:$R$289,V889),0)</f>
        <v>6.7072645647801828E-3</v>
      </c>
      <c r="Y889" s="178">
        <f>IFERROR(IF(RIGHT(F889,3)="Exp",VLOOKUP(F889,#REF!,2,FALSE),VLOOKUP(F889,#REF!,9,FALSE)),1)</f>
        <v>1</v>
      </c>
      <c r="Z889" s="167">
        <f t="shared" si="104"/>
        <v>8.3333333333333329E-2</v>
      </c>
      <c r="AA889" s="189">
        <f t="shared" si="99"/>
        <v>5.5893871373168186E-4</v>
      </c>
      <c r="AB889" s="2">
        <f>IFERROR(SUMIFS('Comp2016-2017 (3)'!$G$5:$G$289,'Comp2016-2017 (3)'!$A$5:$A$289,A889,'Comp2016-2017 (3)'!$R$5:$R$289,V889)*AA889/SUMIFS($AA$4:$AA$1116,$A$4:$A$1116,A889,$V$4:$V$1116,V889),0)</f>
        <v>560.18622311323224</v>
      </c>
      <c r="AC889" s="2" t="str">
        <f>IF($W889=AC$3,$AB889,IF(NOT($W889=0),"",SUMIFS('Val-Vol (2)'!AC$4:AC$1116,'Val-Vol (2)'!$A$4:$A$1116,$D889,'Val-Vol (2)'!$V$4:$V$1116,$V889)/SUMIFS('Comp2016-2017 (3)'!$G$5:$G$289,'Comp2016-2017 (3)'!$A$5:$A$289,$D889,'Comp2016-2017 (3)'!$R$5:$R$289,$V889)*$AB889))</f>
        <v/>
      </c>
      <c r="AD889" s="2">
        <f>IF($W889=AD$3,$AB889,IF(NOT($W889=0),"",SUMIFS('Val-Vol (2)'!AD$4:AD$1116,'Val-Vol (2)'!$A$4:$A$1116,$D889,'Val-Vol (2)'!$V$4:$V$1116,$V889)/SUMIFS('Comp2016-2017 (3)'!$G$5:$G$289,'Comp2016-2017 (3)'!$A$5:$A$289,$D889,'Comp2016-2017 (3)'!$R$5:$R$289,$V889)*$AB889))</f>
        <v>560.18622311323224</v>
      </c>
      <c r="AE889" s="2" t="str">
        <f>IF($W889=AE$3,$AB889,IF(NOT($W889=0),"",SUMIFS('Val-Vol (2)'!AE$4:AE$1116,'Val-Vol (2)'!$A$4:$A$1116,$D889,'Val-Vol (2)'!$V$4:$V$1116,$V889)/SUMIFS('Comp2016-2017 (3)'!$G$5:$G$289,'Comp2016-2017 (3)'!$A$5:$A$289,$D889,'Comp2016-2017 (3)'!$R$5:$R$289,$V889)*$AB889))</f>
        <v/>
      </c>
      <c r="AF889" s="2" t="str">
        <f>IF($W889=AF$3,$AB889,IF(NOT($W889=0),"",SUMIFS('Val-Vol (2)'!AF$4:AF$1116,'Val-Vol (2)'!$A$4:$A$1116,$D889,'Val-Vol (2)'!$V$4:$V$1116,$V889)/SUMIFS('Comp2016-2017 (3)'!$G$5:$G$289,'Comp2016-2017 (3)'!$A$5:$A$289,$D889,'Comp2016-2017 (3)'!$R$5:$R$289,$V889)*$AB889))</f>
        <v/>
      </c>
      <c r="AG889" s="2" t="str">
        <f>IF($W889=AG$3,$AB889,IF(NOT($W889=0),"",SUMIFS('Val-Vol (2)'!AG$4:AG$1116,'Val-Vol (2)'!$A$4:$A$1116,$D889,'Val-Vol (2)'!$V$4:$V$1116,$V889)/SUMIFS('Comp2016-2017 (3)'!$G$5:$G$289,'Comp2016-2017 (3)'!$A$5:$A$289,$D889,'Comp2016-2017 (3)'!$R$5:$R$289,$V889)*$AB889))</f>
        <v/>
      </c>
      <c r="AH889" s="2" t="str">
        <f>IF($W889=AH$3,$AB889,IF(NOT($W889=0),"",SUMIFS('Val-Vol (2)'!AH$4:AH$1116,'Val-Vol (2)'!$A$4:$A$1116,$D889,'Val-Vol (2)'!$V$4:$V$1116,$V889)/SUMIFS('Comp2016-2017 (3)'!$G$5:$G$289,'Comp2016-2017 (3)'!$A$5:$A$289,$D889,'Comp2016-2017 (3)'!$R$5:$R$289,$V889)*$AB889))</f>
        <v/>
      </c>
      <c r="AI889" s="2" t="str">
        <f>IF($W889=AI$3,$AB889,IF(NOT($W889=0),"",SUMIFS('Val-Vol (2)'!AI$4:AI$1116,'Val-Vol (2)'!$A$4:$A$1116,$D889,'Val-Vol (2)'!$V$4:$V$1116,$V889)/SUMIFS('Comp2016-2017 (3)'!$G$5:$G$289,'Comp2016-2017 (3)'!$A$5:$A$289,$D889,'Comp2016-2017 (3)'!$R$5:$R$289,$V889)*$AB889))</f>
        <v/>
      </c>
      <c r="AJ889" s="2" t="str">
        <f>IF($W889=AJ$3,$AB889,IF(NOT($W889=0),"",SUMIFS('Val-Vol (2)'!AJ$4:AJ$1116,'Val-Vol (2)'!$A$4:$A$1116,$D889,'Val-Vol (2)'!$V$4:$V$1116,$V889)/SUMIFS('Comp2016-2017 (3)'!$G$5:$G$289,'Comp2016-2017 (3)'!$A$5:$A$289,$D889,'Comp2016-2017 (3)'!$R$5:$R$289,$V889)*$AB889))</f>
        <v/>
      </c>
      <c r="AK889" s="2">
        <f t="shared" si="101"/>
        <v>0</v>
      </c>
      <c r="AL889" t="str">
        <f t="shared" si="98"/>
        <v/>
      </c>
      <c r="AM889" t="str">
        <f>VLOOKUP(A889,'Table corresp.'!$M$4:$U$63,8,FALSE)</f>
        <v>Production intermédiaire</v>
      </c>
      <c r="AN889" t="str">
        <f>VLOOKUP(D889,'Table corresp.'!$M$4:$U$63,9,FALSE)</f>
        <v xml:space="preserve">Mise en œuvre </v>
      </c>
    </row>
    <row r="890" spans="1:40" x14ac:dyDescent="0.25">
      <c r="A890" t="s">
        <v>8</v>
      </c>
      <c r="B890" t="str">
        <f>VLOOKUP(LEFT(A890,3),'Table corresp.'!$A$4:$D$63,3,FALSE)</f>
        <v>Transformation</v>
      </c>
      <c r="C890" t="str">
        <f>VLOOKUP(A890,'Table corresp.'!$M$4:$P$63,4,FALSE)</f>
        <v>Production et transformation de produits bois</v>
      </c>
      <c r="D890" t="s">
        <v>21</v>
      </c>
      <c r="E890" t="str">
        <f>VLOOKUP(LEFT(D890,3),'Table corresp.'!$A$4:$D$63,4,FALSE)</f>
        <v>Transformation</v>
      </c>
      <c r="F890" t="str">
        <f t="shared" si="102"/>
        <v xml:space="preserve">13  - 54 </v>
      </c>
      <c r="G890" s="164">
        <v>5447.0954576811855</v>
      </c>
      <c r="H890" s="164">
        <v>0</v>
      </c>
      <c r="I890" s="164">
        <v>5447.0954576811855</v>
      </c>
      <c r="J890" s="164">
        <v>19.786324311750629</v>
      </c>
      <c r="K890" s="164">
        <v>0</v>
      </c>
      <c r="L890" s="164">
        <v>19.786324311750629</v>
      </c>
      <c r="M890" s="164">
        <v>0</v>
      </c>
      <c r="N890" s="164">
        <v>0</v>
      </c>
      <c r="O890" s="164">
        <v>0</v>
      </c>
      <c r="P890" s="164">
        <v>0</v>
      </c>
      <c r="Q890" s="164">
        <v>0</v>
      </c>
      <c r="R890" s="164">
        <v>0</v>
      </c>
      <c r="S890" s="163" t="str">
        <f t="shared" si="103"/>
        <v/>
      </c>
      <c r="T890" s="163">
        <f>VLOOKUP(A890,'Groupe de branches'!$Z$27:$AM$86,14,FALSE)</f>
        <v>0</v>
      </c>
      <c r="U890" s="163">
        <f>VLOOKUP(D890,'Groupe de branches'!$Z$27:$AM$86,14,FALSE)</f>
        <v>0</v>
      </c>
      <c r="V890" s="163">
        <v>2018</v>
      </c>
      <c r="W890" t="str">
        <f>VLOOKUP(D890,'Table corresp.'!$M$4:$S$63,7,FALSE)</f>
        <v>Construction</v>
      </c>
      <c r="X890" s="167">
        <f>IFERROR(G890/SUMIFS('Comp2016-2017 (3)'!$I$5:$I$289,'Comp2016-2017 (3)'!$A$5:$A$289,A890,'Comp2016-2017 (3)'!$R$5:$R$289,V890),0)</f>
        <v>1.9457664841175407E-2</v>
      </c>
      <c r="Y890" s="178">
        <f>IFERROR(IF(RIGHT(F890,3)="Exp",VLOOKUP(F890,#REF!,2,FALSE),VLOOKUP(F890,#REF!,9,FALSE)),1)</f>
        <v>1</v>
      </c>
      <c r="Z890" s="167">
        <f t="shared" si="104"/>
        <v>8.3333333333333329E-2</v>
      </c>
      <c r="AA890" s="189">
        <f t="shared" si="99"/>
        <v>1.6214720700979506E-3</v>
      </c>
      <c r="AB890" s="2">
        <f>IFERROR(SUMIFS('Comp2016-2017 (3)'!$G$5:$G$289,'Comp2016-2017 (3)'!$A$5:$A$289,A890,'Comp2016-2017 (3)'!$R$5:$R$289,V890)*AA890/SUMIFS($AA$4:$AA$1116,$A$4:$A$1116,A890,$V$4:$V$1116,V890),0)</f>
        <v>1625.0910744175196</v>
      </c>
      <c r="AC890" s="2" t="str">
        <f>IF($W890=AC$3,$AB890,IF(NOT($W890=0),"",SUMIFS('Val-Vol (2)'!AC$4:AC$1116,'Val-Vol (2)'!$A$4:$A$1116,$D890,'Val-Vol (2)'!$V$4:$V$1116,$V890)/SUMIFS('Comp2016-2017 (3)'!$G$5:$G$289,'Comp2016-2017 (3)'!$A$5:$A$289,$D890,'Comp2016-2017 (3)'!$R$5:$R$289,$V890)*$AB890))</f>
        <v/>
      </c>
      <c r="AD890" s="2">
        <f>IF($W890=AD$3,$AB890,IF(NOT($W890=0),"",SUMIFS('Val-Vol (2)'!AD$4:AD$1116,'Val-Vol (2)'!$A$4:$A$1116,$D890,'Val-Vol (2)'!$V$4:$V$1116,$V890)/SUMIFS('Comp2016-2017 (3)'!$G$5:$G$289,'Comp2016-2017 (3)'!$A$5:$A$289,$D890,'Comp2016-2017 (3)'!$R$5:$R$289,$V890)*$AB890))</f>
        <v>1625.0910744175196</v>
      </c>
      <c r="AE890" s="2" t="str">
        <f>IF($W890=AE$3,$AB890,IF(NOT($W890=0),"",SUMIFS('Val-Vol (2)'!AE$4:AE$1116,'Val-Vol (2)'!$A$4:$A$1116,$D890,'Val-Vol (2)'!$V$4:$V$1116,$V890)/SUMIFS('Comp2016-2017 (3)'!$G$5:$G$289,'Comp2016-2017 (3)'!$A$5:$A$289,$D890,'Comp2016-2017 (3)'!$R$5:$R$289,$V890)*$AB890))</f>
        <v/>
      </c>
      <c r="AF890" s="2" t="str">
        <f>IF($W890=AF$3,$AB890,IF(NOT($W890=0),"",SUMIFS('Val-Vol (2)'!AF$4:AF$1116,'Val-Vol (2)'!$A$4:$A$1116,$D890,'Val-Vol (2)'!$V$4:$V$1116,$V890)/SUMIFS('Comp2016-2017 (3)'!$G$5:$G$289,'Comp2016-2017 (3)'!$A$5:$A$289,$D890,'Comp2016-2017 (3)'!$R$5:$R$289,$V890)*$AB890))</f>
        <v/>
      </c>
      <c r="AG890" s="2" t="str">
        <f>IF($W890=AG$3,$AB890,IF(NOT($W890=0),"",SUMIFS('Val-Vol (2)'!AG$4:AG$1116,'Val-Vol (2)'!$A$4:$A$1116,$D890,'Val-Vol (2)'!$V$4:$V$1116,$V890)/SUMIFS('Comp2016-2017 (3)'!$G$5:$G$289,'Comp2016-2017 (3)'!$A$5:$A$289,$D890,'Comp2016-2017 (3)'!$R$5:$R$289,$V890)*$AB890))</f>
        <v/>
      </c>
      <c r="AH890" s="2" t="str">
        <f>IF($W890=AH$3,$AB890,IF(NOT($W890=0),"",SUMIFS('Val-Vol (2)'!AH$4:AH$1116,'Val-Vol (2)'!$A$4:$A$1116,$D890,'Val-Vol (2)'!$V$4:$V$1116,$V890)/SUMIFS('Comp2016-2017 (3)'!$G$5:$G$289,'Comp2016-2017 (3)'!$A$5:$A$289,$D890,'Comp2016-2017 (3)'!$R$5:$R$289,$V890)*$AB890))</f>
        <v/>
      </c>
      <c r="AI890" s="2" t="str">
        <f>IF($W890=AI$3,$AB890,IF(NOT($W890=0),"",SUMIFS('Val-Vol (2)'!AI$4:AI$1116,'Val-Vol (2)'!$A$4:$A$1116,$D890,'Val-Vol (2)'!$V$4:$V$1116,$V890)/SUMIFS('Comp2016-2017 (3)'!$G$5:$G$289,'Comp2016-2017 (3)'!$A$5:$A$289,$D890,'Comp2016-2017 (3)'!$R$5:$R$289,$V890)*$AB890))</f>
        <v/>
      </c>
      <c r="AJ890" s="2" t="str">
        <f>IF($W890=AJ$3,$AB890,IF(NOT($W890=0),"",SUMIFS('Val-Vol (2)'!AJ$4:AJ$1116,'Val-Vol (2)'!$A$4:$A$1116,$D890,'Val-Vol (2)'!$V$4:$V$1116,$V890)/SUMIFS('Comp2016-2017 (3)'!$G$5:$G$289,'Comp2016-2017 (3)'!$A$5:$A$289,$D890,'Comp2016-2017 (3)'!$R$5:$R$289,$V890)*$AB890))</f>
        <v/>
      </c>
      <c r="AK890" s="2">
        <f t="shared" si="101"/>
        <v>0</v>
      </c>
      <c r="AL890" t="str">
        <f t="shared" si="98"/>
        <v/>
      </c>
      <c r="AM890" t="str">
        <f>VLOOKUP(A890,'Table corresp.'!$M$4:$U$63,8,FALSE)</f>
        <v>Production intermédiaire</v>
      </c>
      <c r="AN890" t="str">
        <f>VLOOKUP(D890,'Table corresp.'!$M$4:$U$63,9,FALSE)</f>
        <v xml:space="preserve">Mise en œuvre </v>
      </c>
    </row>
    <row r="891" spans="1:40" x14ac:dyDescent="0.25">
      <c r="A891" t="s">
        <v>8</v>
      </c>
      <c r="B891" t="str">
        <f>VLOOKUP(LEFT(A891,3),'Table corresp.'!$A$4:$D$63,3,FALSE)</f>
        <v>Transformation</v>
      </c>
      <c r="C891" t="str">
        <f>VLOOKUP(A891,'Table corresp.'!$M$4:$P$63,4,FALSE)</f>
        <v>Production et transformation de produits bois</v>
      </c>
      <c r="D891" t="s">
        <v>22</v>
      </c>
      <c r="E891" t="str">
        <f>VLOOKUP(LEFT(D891,3),'Table corresp.'!$A$4:$D$63,4,FALSE)</f>
        <v>Transformation</v>
      </c>
      <c r="F891" t="str">
        <f t="shared" si="102"/>
        <v xml:space="preserve">13  - 55 </v>
      </c>
      <c r="G891" s="164">
        <v>519.78198173672956</v>
      </c>
      <c r="H891" s="164">
        <v>0</v>
      </c>
      <c r="I891" s="164">
        <v>519.78198173672956</v>
      </c>
      <c r="J891" s="164">
        <v>1.888084198624544</v>
      </c>
      <c r="K891" s="164">
        <v>0</v>
      </c>
      <c r="L891" s="164">
        <v>1.888084198624544</v>
      </c>
      <c r="M891" s="164">
        <v>0</v>
      </c>
      <c r="N891" s="164">
        <v>0</v>
      </c>
      <c r="O891" s="164">
        <v>0</v>
      </c>
      <c r="P891" s="164">
        <v>0</v>
      </c>
      <c r="Q891" s="164">
        <v>0</v>
      </c>
      <c r="R891" s="164">
        <v>0</v>
      </c>
      <c r="S891" s="163" t="str">
        <f t="shared" si="103"/>
        <v/>
      </c>
      <c r="T891" s="163">
        <f>VLOOKUP(A891,'Groupe de branches'!$Z$27:$AM$86,14,FALSE)</f>
        <v>0</v>
      </c>
      <c r="U891" s="163">
        <f>VLOOKUP(D891,'Groupe de branches'!$Z$27:$AM$86,14,FALSE)</f>
        <v>0</v>
      </c>
      <c r="V891" s="163">
        <v>2018</v>
      </c>
      <c r="W891" t="str">
        <f>VLOOKUP(D891,'Table corresp.'!$M$4:$S$63,7,FALSE)</f>
        <v>Construction</v>
      </c>
      <c r="X891" s="167">
        <f>IFERROR(G891/SUMIFS('Comp2016-2017 (3)'!$I$5:$I$289,'Comp2016-2017 (3)'!$A$5:$A$289,A891,'Comp2016-2017 (3)'!$R$5:$R$289,V891),0)</f>
        <v>1.8567222971746183E-3</v>
      </c>
      <c r="Y891" s="178">
        <f>IFERROR(IF(RIGHT(F891,3)="Exp",VLOOKUP(F891,#REF!,2,FALSE),VLOOKUP(F891,#REF!,9,FALSE)),1)</f>
        <v>1</v>
      </c>
      <c r="Z891" s="167">
        <f t="shared" si="104"/>
        <v>8.3333333333333329E-2</v>
      </c>
      <c r="AA891" s="189">
        <f t="shared" si="99"/>
        <v>1.5472685809788484E-4</v>
      </c>
      <c r="AB891" s="2">
        <f>IFERROR(SUMIFS('Comp2016-2017 (3)'!$G$5:$G$289,'Comp2016-2017 (3)'!$A$5:$A$289,A891,'Comp2016-2017 (3)'!$R$5:$R$289,V891)*AA891/SUMIFS($AA$4:$AA$1116,$A$4:$A$1116,A891,$V$4:$V$1116,V891),0)</f>
        <v>155.07219686636313</v>
      </c>
      <c r="AC891" s="2" t="str">
        <f>IF($W891=AC$3,$AB891,IF(NOT($W891=0),"",SUMIFS('Val-Vol (2)'!AC$4:AC$1116,'Val-Vol (2)'!$A$4:$A$1116,$D891,'Val-Vol (2)'!$V$4:$V$1116,$V891)/SUMIFS('Comp2016-2017 (3)'!$G$5:$G$289,'Comp2016-2017 (3)'!$A$5:$A$289,$D891,'Comp2016-2017 (3)'!$R$5:$R$289,$V891)*$AB891))</f>
        <v/>
      </c>
      <c r="AD891" s="2">
        <f>IF($W891=AD$3,$AB891,IF(NOT($W891=0),"",SUMIFS('Val-Vol (2)'!AD$4:AD$1116,'Val-Vol (2)'!$A$4:$A$1116,$D891,'Val-Vol (2)'!$V$4:$V$1116,$V891)/SUMIFS('Comp2016-2017 (3)'!$G$5:$G$289,'Comp2016-2017 (3)'!$A$5:$A$289,$D891,'Comp2016-2017 (3)'!$R$5:$R$289,$V891)*$AB891))</f>
        <v>155.07219686636313</v>
      </c>
      <c r="AE891" s="2" t="str">
        <f>IF($W891=AE$3,$AB891,IF(NOT($W891=0),"",SUMIFS('Val-Vol (2)'!AE$4:AE$1116,'Val-Vol (2)'!$A$4:$A$1116,$D891,'Val-Vol (2)'!$V$4:$V$1116,$V891)/SUMIFS('Comp2016-2017 (3)'!$G$5:$G$289,'Comp2016-2017 (3)'!$A$5:$A$289,$D891,'Comp2016-2017 (3)'!$R$5:$R$289,$V891)*$AB891))</f>
        <v/>
      </c>
      <c r="AF891" s="2" t="str">
        <f>IF($W891=AF$3,$AB891,IF(NOT($W891=0),"",SUMIFS('Val-Vol (2)'!AF$4:AF$1116,'Val-Vol (2)'!$A$4:$A$1116,$D891,'Val-Vol (2)'!$V$4:$V$1116,$V891)/SUMIFS('Comp2016-2017 (3)'!$G$5:$G$289,'Comp2016-2017 (3)'!$A$5:$A$289,$D891,'Comp2016-2017 (3)'!$R$5:$R$289,$V891)*$AB891))</f>
        <v/>
      </c>
      <c r="AG891" s="2" t="str">
        <f>IF($W891=AG$3,$AB891,IF(NOT($W891=0),"",SUMIFS('Val-Vol (2)'!AG$4:AG$1116,'Val-Vol (2)'!$A$4:$A$1116,$D891,'Val-Vol (2)'!$V$4:$V$1116,$V891)/SUMIFS('Comp2016-2017 (3)'!$G$5:$G$289,'Comp2016-2017 (3)'!$A$5:$A$289,$D891,'Comp2016-2017 (3)'!$R$5:$R$289,$V891)*$AB891))</f>
        <v/>
      </c>
      <c r="AH891" s="2" t="str">
        <f>IF($W891=AH$3,$AB891,IF(NOT($W891=0),"",SUMIFS('Val-Vol (2)'!AH$4:AH$1116,'Val-Vol (2)'!$A$4:$A$1116,$D891,'Val-Vol (2)'!$V$4:$V$1116,$V891)/SUMIFS('Comp2016-2017 (3)'!$G$5:$G$289,'Comp2016-2017 (3)'!$A$5:$A$289,$D891,'Comp2016-2017 (3)'!$R$5:$R$289,$V891)*$AB891))</f>
        <v/>
      </c>
      <c r="AI891" s="2" t="str">
        <f>IF($W891=AI$3,$AB891,IF(NOT($W891=0),"",SUMIFS('Val-Vol (2)'!AI$4:AI$1116,'Val-Vol (2)'!$A$4:$A$1116,$D891,'Val-Vol (2)'!$V$4:$V$1116,$V891)/SUMIFS('Comp2016-2017 (3)'!$G$5:$G$289,'Comp2016-2017 (3)'!$A$5:$A$289,$D891,'Comp2016-2017 (3)'!$R$5:$R$289,$V891)*$AB891))</f>
        <v/>
      </c>
      <c r="AJ891" s="2" t="str">
        <f>IF($W891=AJ$3,$AB891,IF(NOT($W891=0),"",SUMIFS('Val-Vol (2)'!AJ$4:AJ$1116,'Val-Vol (2)'!$A$4:$A$1116,$D891,'Val-Vol (2)'!$V$4:$V$1116,$V891)/SUMIFS('Comp2016-2017 (3)'!$G$5:$G$289,'Comp2016-2017 (3)'!$A$5:$A$289,$D891,'Comp2016-2017 (3)'!$R$5:$R$289,$V891)*$AB891))</f>
        <v/>
      </c>
      <c r="AK891" s="2">
        <f t="shared" si="101"/>
        <v>0</v>
      </c>
      <c r="AL891" t="str">
        <f t="shared" si="98"/>
        <v/>
      </c>
      <c r="AM891" t="str">
        <f>VLOOKUP(A891,'Table corresp.'!$M$4:$U$63,8,FALSE)</f>
        <v>Production intermédiaire</v>
      </c>
      <c r="AN891" t="str">
        <f>VLOOKUP(D891,'Table corresp.'!$M$4:$U$63,9,FALSE)</f>
        <v xml:space="preserve">Mise en œuvre </v>
      </c>
    </row>
    <row r="892" spans="1:40" x14ac:dyDescent="0.25">
      <c r="A892" t="s">
        <v>8</v>
      </c>
      <c r="B892" t="str">
        <f>VLOOKUP(LEFT(A892,3),'Table corresp.'!$A$4:$D$63,3,FALSE)</f>
        <v>Transformation</v>
      </c>
      <c r="C892" t="str">
        <f>VLOOKUP(A892,'Table corresp.'!$M$4:$P$63,4,FALSE)</f>
        <v>Production et transformation de produits bois</v>
      </c>
      <c r="D892" t="s">
        <v>24</v>
      </c>
      <c r="E892" t="str">
        <f>VLOOKUP(LEFT(D892,3),'Table corresp.'!$A$4:$D$63,4,FALSE)</f>
        <v>Transformation</v>
      </c>
      <c r="F892" t="str">
        <f t="shared" si="102"/>
        <v xml:space="preserve">13  - 57 </v>
      </c>
      <c r="G892" s="164">
        <v>12503.192924240488</v>
      </c>
      <c r="H892" s="164">
        <v>0</v>
      </c>
      <c r="I892" s="164">
        <v>12503.192924240488</v>
      </c>
      <c r="J892" s="164">
        <v>103.22107861862649</v>
      </c>
      <c r="K892" s="164">
        <v>0</v>
      </c>
      <c r="L892" s="164">
        <v>103.22107861862649</v>
      </c>
      <c r="M892" s="164">
        <v>0</v>
      </c>
      <c r="N892" s="164">
        <v>0</v>
      </c>
      <c r="O892" s="164">
        <v>0</v>
      </c>
      <c r="P892" s="164">
        <v>0</v>
      </c>
      <c r="Q892" s="164">
        <v>0</v>
      </c>
      <c r="R892" s="164">
        <v>0</v>
      </c>
      <c r="S892" s="163" t="str">
        <f t="shared" si="103"/>
        <v/>
      </c>
      <c r="T892" s="163">
        <f>VLOOKUP(A892,'Groupe de branches'!$Z$27:$AM$86,14,FALSE)</f>
        <v>0</v>
      </c>
      <c r="U892" s="163">
        <f>VLOOKUP(D892,'Groupe de branches'!$Z$27:$AM$86,14,FALSE)</f>
        <v>0</v>
      </c>
      <c r="V892" s="163">
        <v>2018</v>
      </c>
      <c r="W892" t="str">
        <f>VLOOKUP(D892,'Table corresp.'!$M$4:$S$63,7,FALSE)</f>
        <v>Construction</v>
      </c>
      <c r="X892" s="167">
        <f>IFERROR(G892/SUMIFS('Comp2016-2017 (3)'!$I$5:$I$289,'Comp2016-2017 (3)'!$A$5:$A$289,A892,'Comp2016-2017 (3)'!$R$5:$R$289,V892),0)</f>
        <v>4.4662873866358158E-2</v>
      </c>
      <c r="Y892" s="178">
        <f>IFERROR(IF(RIGHT(F892,3)="Exp",VLOOKUP(F892,#REF!,2,FALSE),VLOOKUP(F892,#REF!,9,FALSE)),1)</f>
        <v>1</v>
      </c>
      <c r="Z892" s="167">
        <f t="shared" si="104"/>
        <v>8.3333333333333329E-2</v>
      </c>
      <c r="AA892" s="189">
        <f t="shared" si="99"/>
        <v>3.7219061555298465E-3</v>
      </c>
      <c r="AB892" s="2">
        <f>IFERROR(SUMIFS('Comp2016-2017 (3)'!$G$5:$G$289,'Comp2016-2017 (3)'!$A$5:$A$289,A892,'Comp2016-2017 (3)'!$R$5:$R$289,V892)*AA892/SUMIFS($AA$4:$AA$1116,$A$4:$A$1116,A892,$V$4:$V$1116,V892),0)</f>
        <v>3730.2131715446703</v>
      </c>
      <c r="AC892" s="2" t="str">
        <f>IF($W892=AC$3,$AB892,IF(NOT($W892=0),"",SUMIFS('Val-Vol (2)'!AC$4:AC$1116,'Val-Vol (2)'!$A$4:$A$1116,$D892,'Val-Vol (2)'!$V$4:$V$1116,$V892)/SUMIFS('Comp2016-2017 (3)'!$G$5:$G$289,'Comp2016-2017 (3)'!$A$5:$A$289,$D892,'Comp2016-2017 (3)'!$R$5:$R$289,$V892)*$AB892))</f>
        <v/>
      </c>
      <c r="AD892" s="2">
        <f>IF($W892=AD$3,$AB892,IF(NOT($W892=0),"",SUMIFS('Val-Vol (2)'!AD$4:AD$1116,'Val-Vol (2)'!$A$4:$A$1116,$D892,'Val-Vol (2)'!$V$4:$V$1116,$V892)/SUMIFS('Comp2016-2017 (3)'!$G$5:$G$289,'Comp2016-2017 (3)'!$A$5:$A$289,$D892,'Comp2016-2017 (3)'!$R$5:$R$289,$V892)*$AB892))</f>
        <v>3730.2131715446703</v>
      </c>
      <c r="AE892" s="2" t="str">
        <f>IF($W892=AE$3,$AB892,IF(NOT($W892=0),"",SUMIFS('Val-Vol (2)'!AE$4:AE$1116,'Val-Vol (2)'!$A$4:$A$1116,$D892,'Val-Vol (2)'!$V$4:$V$1116,$V892)/SUMIFS('Comp2016-2017 (3)'!$G$5:$G$289,'Comp2016-2017 (3)'!$A$5:$A$289,$D892,'Comp2016-2017 (3)'!$R$5:$R$289,$V892)*$AB892))</f>
        <v/>
      </c>
      <c r="AF892" s="2" t="str">
        <f>IF($W892=AF$3,$AB892,IF(NOT($W892=0),"",SUMIFS('Val-Vol (2)'!AF$4:AF$1116,'Val-Vol (2)'!$A$4:$A$1116,$D892,'Val-Vol (2)'!$V$4:$V$1116,$V892)/SUMIFS('Comp2016-2017 (3)'!$G$5:$G$289,'Comp2016-2017 (3)'!$A$5:$A$289,$D892,'Comp2016-2017 (3)'!$R$5:$R$289,$V892)*$AB892))</f>
        <v/>
      </c>
      <c r="AG892" s="2" t="str">
        <f>IF($W892=AG$3,$AB892,IF(NOT($W892=0),"",SUMIFS('Val-Vol (2)'!AG$4:AG$1116,'Val-Vol (2)'!$A$4:$A$1116,$D892,'Val-Vol (2)'!$V$4:$V$1116,$V892)/SUMIFS('Comp2016-2017 (3)'!$G$5:$G$289,'Comp2016-2017 (3)'!$A$5:$A$289,$D892,'Comp2016-2017 (3)'!$R$5:$R$289,$V892)*$AB892))</f>
        <v/>
      </c>
      <c r="AH892" s="2" t="str">
        <f>IF($W892=AH$3,$AB892,IF(NOT($W892=0),"",SUMIFS('Val-Vol (2)'!AH$4:AH$1116,'Val-Vol (2)'!$A$4:$A$1116,$D892,'Val-Vol (2)'!$V$4:$V$1116,$V892)/SUMIFS('Comp2016-2017 (3)'!$G$5:$G$289,'Comp2016-2017 (3)'!$A$5:$A$289,$D892,'Comp2016-2017 (3)'!$R$5:$R$289,$V892)*$AB892))</f>
        <v/>
      </c>
      <c r="AI892" s="2" t="str">
        <f>IF($W892=AI$3,$AB892,IF(NOT($W892=0),"",SUMIFS('Val-Vol (2)'!AI$4:AI$1116,'Val-Vol (2)'!$A$4:$A$1116,$D892,'Val-Vol (2)'!$V$4:$V$1116,$V892)/SUMIFS('Comp2016-2017 (3)'!$G$5:$G$289,'Comp2016-2017 (3)'!$A$5:$A$289,$D892,'Comp2016-2017 (3)'!$R$5:$R$289,$V892)*$AB892))</f>
        <v/>
      </c>
      <c r="AJ892" s="2" t="str">
        <f>IF($W892=AJ$3,$AB892,IF(NOT($W892=0),"",SUMIFS('Val-Vol (2)'!AJ$4:AJ$1116,'Val-Vol (2)'!$A$4:$A$1116,$D892,'Val-Vol (2)'!$V$4:$V$1116,$V892)/SUMIFS('Comp2016-2017 (3)'!$G$5:$G$289,'Comp2016-2017 (3)'!$A$5:$A$289,$D892,'Comp2016-2017 (3)'!$R$5:$R$289,$V892)*$AB892))</f>
        <v/>
      </c>
      <c r="AK892" s="2">
        <f t="shared" si="101"/>
        <v>0</v>
      </c>
      <c r="AL892" t="str">
        <f t="shared" si="98"/>
        <v/>
      </c>
      <c r="AM892" t="str">
        <f>VLOOKUP(A892,'Table corresp.'!$M$4:$U$63,8,FALSE)</f>
        <v>Production intermédiaire</v>
      </c>
      <c r="AN892" t="str">
        <f>VLOOKUP(D892,'Table corresp.'!$M$4:$U$63,9,FALSE)</f>
        <v xml:space="preserve">Mise en œuvre </v>
      </c>
    </row>
    <row r="893" spans="1:40" x14ac:dyDescent="0.25">
      <c r="A893" t="s">
        <v>8</v>
      </c>
      <c r="B893" t="str">
        <f>VLOOKUP(LEFT(A893,3),'Table corresp.'!$A$4:$D$63,3,FALSE)</f>
        <v>Transformation</v>
      </c>
      <c r="C893" t="str">
        <f>VLOOKUP(A893,'Table corresp.'!$M$4:$P$63,4,FALSE)</f>
        <v>Production et transformation de produits bois</v>
      </c>
      <c r="D893" t="s">
        <v>26</v>
      </c>
      <c r="E893" t="str">
        <f>VLOOKUP(LEFT(D893,3),'Table corresp.'!$A$4:$D$63,4,FALSE)</f>
        <v>Transformation</v>
      </c>
      <c r="F893" t="str">
        <f t="shared" si="102"/>
        <v xml:space="preserve">13  - 59 </v>
      </c>
      <c r="G893" s="164">
        <v>2167.8318221191275</v>
      </c>
      <c r="H893" s="164">
        <v>0</v>
      </c>
      <c r="I893" s="164">
        <v>2167.8318221191275</v>
      </c>
      <c r="J893" s="164">
        <v>21.873748954335174</v>
      </c>
      <c r="K893" s="164">
        <v>0</v>
      </c>
      <c r="L893" s="164">
        <v>21.873748954335174</v>
      </c>
      <c r="M893" s="164">
        <v>0</v>
      </c>
      <c r="N893" s="164">
        <v>0</v>
      </c>
      <c r="O893" s="164">
        <v>0</v>
      </c>
      <c r="P893" s="164">
        <v>0</v>
      </c>
      <c r="Q893" s="164">
        <v>0</v>
      </c>
      <c r="R893" s="164">
        <v>0</v>
      </c>
      <c r="S893" s="163" t="str">
        <f t="shared" si="103"/>
        <v/>
      </c>
      <c r="T893" s="163">
        <f>VLOOKUP(A893,'Groupe de branches'!$Z$27:$AM$86,14,FALSE)</f>
        <v>0</v>
      </c>
      <c r="U893" s="163">
        <f>VLOOKUP(D893,'Groupe de branches'!$Z$27:$AM$86,14,FALSE)</f>
        <v>0</v>
      </c>
      <c r="V893" s="163">
        <v>2018</v>
      </c>
      <c r="W893" t="str">
        <f>VLOOKUP(D893,'Table corresp.'!$M$4:$S$63,7,FALSE)</f>
        <v>Construction</v>
      </c>
      <c r="X893" s="167">
        <f>IFERROR(G893/SUMIFS('Comp2016-2017 (3)'!$I$5:$I$289,'Comp2016-2017 (3)'!$A$5:$A$289,A893,'Comp2016-2017 (3)'!$R$5:$R$289,V893),0)</f>
        <v>7.7437499222355989E-3</v>
      </c>
      <c r="Y893" s="178">
        <f>IFERROR(IF(RIGHT(F893,3)="Exp",VLOOKUP(F893,#REF!,2,FALSE),VLOOKUP(F893,#REF!,9,FALSE)),1)</f>
        <v>1</v>
      </c>
      <c r="Z893" s="167">
        <f t="shared" si="104"/>
        <v>8.3333333333333329E-2</v>
      </c>
      <c r="AA893" s="189">
        <f t="shared" si="99"/>
        <v>6.4531249351963325E-4</v>
      </c>
      <c r="AB893" s="2">
        <f>IFERROR(SUMIFS('Comp2016-2017 (3)'!$G$5:$G$289,'Comp2016-2017 (3)'!$A$5:$A$289,A893,'Comp2016-2017 (3)'!$R$5:$R$289,V893)*AA893/SUMIFS($AA$4:$AA$1116,$A$4:$A$1116,A893,$V$4:$V$1116,V893),0)</f>
        <v>646.75278271399372</v>
      </c>
      <c r="AC893" s="2" t="str">
        <f>IF($W893=AC$3,$AB893,IF(NOT($W893=0),"",SUMIFS('Val-Vol (2)'!AC$4:AC$1116,'Val-Vol (2)'!$A$4:$A$1116,$D893,'Val-Vol (2)'!$V$4:$V$1116,$V893)/SUMIFS('Comp2016-2017 (3)'!$G$5:$G$289,'Comp2016-2017 (3)'!$A$5:$A$289,$D893,'Comp2016-2017 (3)'!$R$5:$R$289,$V893)*$AB893))</f>
        <v/>
      </c>
      <c r="AD893" s="2">
        <f>IF($W893=AD$3,$AB893,IF(NOT($W893=0),"",SUMIFS('Val-Vol (2)'!AD$4:AD$1116,'Val-Vol (2)'!$A$4:$A$1116,$D893,'Val-Vol (2)'!$V$4:$V$1116,$V893)/SUMIFS('Comp2016-2017 (3)'!$G$5:$G$289,'Comp2016-2017 (3)'!$A$5:$A$289,$D893,'Comp2016-2017 (3)'!$R$5:$R$289,$V893)*$AB893))</f>
        <v>646.75278271399372</v>
      </c>
      <c r="AE893" s="2" t="str">
        <f>IF($W893=AE$3,$AB893,IF(NOT($W893=0),"",SUMIFS('Val-Vol (2)'!AE$4:AE$1116,'Val-Vol (2)'!$A$4:$A$1116,$D893,'Val-Vol (2)'!$V$4:$V$1116,$V893)/SUMIFS('Comp2016-2017 (3)'!$G$5:$G$289,'Comp2016-2017 (3)'!$A$5:$A$289,$D893,'Comp2016-2017 (3)'!$R$5:$R$289,$V893)*$AB893))</f>
        <v/>
      </c>
      <c r="AF893" s="2" t="str">
        <f>IF($W893=AF$3,$AB893,IF(NOT($W893=0),"",SUMIFS('Val-Vol (2)'!AF$4:AF$1116,'Val-Vol (2)'!$A$4:$A$1116,$D893,'Val-Vol (2)'!$V$4:$V$1116,$V893)/SUMIFS('Comp2016-2017 (3)'!$G$5:$G$289,'Comp2016-2017 (3)'!$A$5:$A$289,$D893,'Comp2016-2017 (3)'!$R$5:$R$289,$V893)*$AB893))</f>
        <v/>
      </c>
      <c r="AG893" s="2" t="str">
        <f>IF($W893=AG$3,$AB893,IF(NOT($W893=0),"",SUMIFS('Val-Vol (2)'!AG$4:AG$1116,'Val-Vol (2)'!$A$4:$A$1116,$D893,'Val-Vol (2)'!$V$4:$V$1116,$V893)/SUMIFS('Comp2016-2017 (3)'!$G$5:$G$289,'Comp2016-2017 (3)'!$A$5:$A$289,$D893,'Comp2016-2017 (3)'!$R$5:$R$289,$V893)*$AB893))</f>
        <v/>
      </c>
      <c r="AH893" s="2" t="str">
        <f>IF($W893=AH$3,$AB893,IF(NOT($W893=0),"",SUMIFS('Val-Vol (2)'!AH$4:AH$1116,'Val-Vol (2)'!$A$4:$A$1116,$D893,'Val-Vol (2)'!$V$4:$V$1116,$V893)/SUMIFS('Comp2016-2017 (3)'!$G$5:$G$289,'Comp2016-2017 (3)'!$A$5:$A$289,$D893,'Comp2016-2017 (3)'!$R$5:$R$289,$V893)*$AB893))</f>
        <v/>
      </c>
      <c r="AI893" s="2" t="str">
        <f>IF($W893=AI$3,$AB893,IF(NOT($W893=0),"",SUMIFS('Val-Vol (2)'!AI$4:AI$1116,'Val-Vol (2)'!$A$4:$A$1116,$D893,'Val-Vol (2)'!$V$4:$V$1116,$V893)/SUMIFS('Comp2016-2017 (3)'!$G$5:$G$289,'Comp2016-2017 (3)'!$A$5:$A$289,$D893,'Comp2016-2017 (3)'!$R$5:$R$289,$V893)*$AB893))</f>
        <v/>
      </c>
      <c r="AJ893" s="2" t="str">
        <f>IF($W893=AJ$3,$AB893,IF(NOT($W893=0),"",SUMIFS('Val-Vol (2)'!AJ$4:AJ$1116,'Val-Vol (2)'!$A$4:$A$1116,$D893,'Val-Vol (2)'!$V$4:$V$1116,$V893)/SUMIFS('Comp2016-2017 (3)'!$G$5:$G$289,'Comp2016-2017 (3)'!$A$5:$A$289,$D893,'Comp2016-2017 (3)'!$R$5:$R$289,$V893)*$AB893))</f>
        <v/>
      </c>
      <c r="AK893" s="2">
        <f t="shared" si="101"/>
        <v>0</v>
      </c>
      <c r="AL893" t="str">
        <f t="shared" si="98"/>
        <v/>
      </c>
      <c r="AM893" t="str">
        <f>VLOOKUP(A893,'Table corresp.'!$M$4:$U$63,8,FALSE)</f>
        <v>Production intermédiaire</v>
      </c>
      <c r="AN893" t="str">
        <f>VLOOKUP(D893,'Table corresp.'!$M$4:$U$63,9,FALSE)</f>
        <v xml:space="preserve">Mise en œuvre </v>
      </c>
    </row>
    <row r="894" spans="1:40" x14ac:dyDescent="0.25">
      <c r="A894" t="s">
        <v>8</v>
      </c>
      <c r="B894" t="str">
        <f>VLOOKUP(LEFT(A894,3),'Table corresp.'!$A$4:$D$63,3,FALSE)</f>
        <v>Transformation</v>
      </c>
      <c r="C894" t="str">
        <f>VLOOKUP(A894,'Table corresp.'!$M$4:$P$63,4,FALSE)</f>
        <v>Production et transformation de produits bois</v>
      </c>
      <c r="D894" t="s">
        <v>54</v>
      </c>
      <c r="E894" t="str">
        <f>VLOOKUP(LEFT(D894,3),'Table corresp.'!$A$4:$D$63,4,FALSE)</f>
        <v>Consommation finale</v>
      </c>
      <c r="F894" t="str">
        <f t="shared" si="102"/>
        <v>13  - Con</v>
      </c>
      <c r="G894" s="164">
        <v>85498.58962771474</v>
      </c>
      <c r="H894" s="164">
        <v>0</v>
      </c>
      <c r="I894" s="164">
        <v>85498.58962771474</v>
      </c>
      <c r="J894" s="164">
        <v>671.15472405329024</v>
      </c>
      <c r="K894" s="164">
        <v>0</v>
      </c>
      <c r="L894" s="164">
        <v>671.15472405329024</v>
      </c>
      <c r="M894" s="164">
        <v>0</v>
      </c>
      <c r="N894" s="164">
        <v>0</v>
      </c>
      <c r="O894" s="164">
        <v>0</v>
      </c>
      <c r="P894" s="164">
        <v>0</v>
      </c>
      <c r="Q894" s="164">
        <v>0</v>
      </c>
      <c r="R894" s="164">
        <v>0</v>
      </c>
      <c r="S894" s="163" t="str">
        <f t="shared" si="103"/>
        <v/>
      </c>
      <c r="T894" s="163">
        <f>VLOOKUP(A894,'Groupe de branches'!$Z$27:$AM$86,14,FALSE)</f>
        <v>0</v>
      </c>
      <c r="U894" s="163">
        <f>VLOOKUP(D894,'Groupe de branches'!$Z$27:$AM$86,14,FALSE)</f>
        <v>0</v>
      </c>
      <c r="V894" s="163">
        <v>2018</v>
      </c>
      <c r="W894" t="str">
        <f>VLOOKUP(D894,'Table corresp.'!$M$4:$S$63,7,FALSE)</f>
        <v>Consommation finale</v>
      </c>
      <c r="X894" s="167">
        <f>IFERROR(G894/SUMIFS('Comp2016-2017 (3)'!$I$5:$I$289,'Comp2016-2017 (3)'!$A$5:$A$289,A894,'Comp2016-2017 (3)'!$R$5:$R$289,V894),0)</f>
        <v>0.30541100560728207</v>
      </c>
      <c r="Y894" s="178">
        <f>IFERROR(IF(RIGHT(F894,3)="Exp",VLOOKUP(F894,#REF!,2,FALSE),VLOOKUP(F894,#REF!,9,FALSE)),1)</f>
        <v>1</v>
      </c>
      <c r="Z894" s="167">
        <f t="shared" si="104"/>
        <v>8.3333333333333329E-2</v>
      </c>
      <c r="AA894" s="189">
        <f t="shared" si="99"/>
        <v>2.5450917133940171E-2</v>
      </c>
      <c r="AB894" s="2">
        <f>IFERROR(SUMIFS('Comp2016-2017 (3)'!$G$5:$G$289,'Comp2016-2017 (3)'!$A$5:$A$289,A894,'Comp2016-2017 (3)'!$R$5:$R$289,V894)*AA894/SUMIFS($AA$4:$AA$1116,$A$4:$A$1116,A894,$V$4:$V$1116,V894),0)</f>
        <v>25507.721676394704</v>
      </c>
      <c r="AC894" s="2" t="str">
        <f>IF($W894=AC$3,$AB894,IF(NOT($W894=0),"",SUMIFS('Val-Vol (2)'!AC$4:AC$1116,'Val-Vol (2)'!$A$4:$A$1116,$D894,'Val-Vol (2)'!$V$4:$V$1116,$V894)/SUMIFS('Comp2016-2017 (3)'!$G$5:$G$289,'Comp2016-2017 (3)'!$A$5:$A$289,$D894,'Comp2016-2017 (3)'!$R$5:$R$289,$V894)*$AB894))</f>
        <v/>
      </c>
      <c r="AD894" s="2" t="str">
        <f>IF($W894=AD$3,$AB894,IF(NOT($W894=0),"",SUMIFS('Val-Vol (2)'!AD$4:AD$1116,'Val-Vol (2)'!$A$4:$A$1116,$D894,'Val-Vol (2)'!$V$4:$V$1116,$V894)/SUMIFS('Comp2016-2017 (3)'!$G$5:$G$289,'Comp2016-2017 (3)'!$A$5:$A$289,$D894,'Comp2016-2017 (3)'!$R$5:$R$289,$V894)*$AB894))</f>
        <v/>
      </c>
      <c r="AE894" s="2" t="str">
        <f>IF($W894=AE$3,$AB894,IF(NOT($W894=0),"",SUMIFS('Val-Vol (2)'!AE$4:AE$1116,'Val-Vol (2)'!$A$4:$A$1116,$D894,'Val-Vol (2)'!$V$4:$V$1116,$V894)/SUMIFS('Comp2016-2017 (3)'!$G$5:$G$289,'Comp2016-2017 (3)'!$A$5:$A$289,$D894,'Comp2016-2017 (3)'!$R$5:$R$289,$V894)*$AB894))</f>
        <v/>
      </c>
      <c r="AF894" s="2" t="str">
        <f>IF($W894=AF$3,$AB894,IF(NOT($W894=0),"",SUMIFS('Val-Vol (2)'!AF$4:AF$1116,'Val-Vol (2)'!$A$4:$A$1116,$D894,'Val-Vol (2)'!$V$4:$V$1116,$V894)/SUMIFS('Comp2016-2017 (3)'!$G$5:$G$289,'Comp2016-2017 (3)'!$A$5:$A$289,$D894,'Comp2016-2017 (3)'!$R$5:$R$289,$V894)*$AB894))</f>
        <v/>
      </c>
      <c r="AG894" s="2" t="str">
        <f>IF($W894=AG$3,$AB894,IF(NOT($W894=0),"",SUMIFS('Val-Vol (2)'!AG$4:AG$1116,'Val-Vol (2)'!$A$4:$A$1116,$D894,'Val-Vol (2)'!$V$4:$V$1116,$V894)/SUMIFS('Comp2016-2017 (3)'!$G$5:$G$289,'Comp2016-2017 (3)'!$A$5:$A$289,$D894,'Comp2016-2017 (3)'!$R$5:$R$289,$V894)*$AB894))</f>
        <v/>
      </c>
      <c r="AH894" s="2" t="str">
        <f>IF($W894=AH$3,$AB894,IF(NOT($W894=0),"",SUMIFS('Val-Vol (2)'!AH$4:AH$1116,'Val-Vol (2)'!$A$4:$A$1116,$D894,'Val-Vol (2)'!$V$4:$V$1116,$V894)/SUMIFS('Comp2016-2017 (3)'!$G$5:$G$289,'Comp2016-2017 (3)'!$A$5:$A$289,$D894,'Comp2016-2017 (3)'!$R$5:$R$289,$V894)*$AB894))</f>
        <v/>
      </c>
      <c r="AI894" s="2" t="str">
        <f>IF($W894=AI$3,$AB894,IF(NOT($W894=0),"",SUMIFS('Val-Vol (2)'!AI$4:AI$1116,'Val-Vol (2)'!$A$4:$A$1116,$D894,'Val-Vol (2)'!$V$4:$V$1116,$V894)/SUMIFS('Comp2016-2017 (3)'!$G$5:$G$289,'Comp2016-2017 (3)'!$A$5:$A$289,$D894,'Comp2016-2017 (3)'!$R$5:$R$289,$V894)*$AB894))</f>
        <v/>
      </c>
      <c r="AJ894" s="2">
        <f>IF($W894=AJ$3,$AB894,IF(NOT($W894=0),"",SUMIFS('Val-Vol (2)'!AJ$4:AJ$1116,'Val-Vol (2)'!$A$4:$A$1116,$D894,'Val-Vol (2)'!$V$4:$V$1116,$V894)/SUMIFS('Comp2016-2017 (3)'!$G$5:$G$289,'Comp2016-2017 (3)'!$A$5:$A$289,$D894,'Comp2016-2017 (3)'!$R$5:$R$289,$V894)*$AB894))</f>
        <v>25507.721676394704</v>
      </c>
      <c r="AK894" s="2">
        <f t="shared" si="101"/>
        <v>0</v>
      </c>
      <c r="AL894" t="str">
        <f t="shared" si="98"/>
        <v/>
      </c>
      <c r="AM894" t="str">
        <f>VLOOKUP(A894,'Table corresp.'!$M$4:$U$63,8,FALSE)</f>
        <v>Production intermédiaire</v>
      </c>
      <c r="AN894" t="str">
        <f>VLOOKUP(D894,'Table corresp.'!$M$4:$U$63,9,FALSE)</f>
        <v>Consommation finale française</v>
      </c>
    </row>
    <row r="895" spans="1:40" x14ac:dyDescent="0.25">
      <c r="A895" t="s">
        <v>8</v>
      </c>
      <c r="B895" t="str">
        <f>VLOOKUP(LEFT(A895,3),'Table corresp.'!$A$4:$D$63,3,FALSE)</f>
        <v>Transformation</v>
      </c>
      <c r="C895" t="str">
        <f>VLOOKUP(A895,'Table corresp.'!$M$4:$P$63,4,FALSE)</f>
        <v>Production et transformation de produits bois</v>
      </c>
      <c r="D895" t="s">
        <v>53</v>
      </c>
      <c r="E895" t="str">
        <f>VLOOKUP(LEFT(D895,3),'Table corresp.'!$A$4:$D$63,4,FALSE)</f>
        <v>Exportation</v>
      </c>
      <c r="F895" t="str">
        <f t="shared" si="102"/>
        <v>13  - Exp</v>
      </c>
      <c r="G895" s="164">
        <v>29044.612649631617</v>
      </c>
      <c r="H895" s="164">
        <v>0</v>
      </c>
      <c r="I895" s="164">
        <v>29044.612649631617</v>
      </c>
      <c r="J895" s="164">
        <v>227.99708244285858</v>
      </c>
      <c r="K895" s="164">
        <v>0</v>
      </c>
      <c r="L895" s="164">
        <v>227.99708244285858</v>
      </c>
      <c r="M895" s="164">
        <v>0</v>
      </c>
      <c r="N895" s="164">
        <v>0</v>
      </c>
      <c r="O895" s="164">
        <v>0</v>
      </c>
      <c r="P895" s="164">
        <v>0</v>
      </c>
      <c r="Q895" s="164">
        <v>0</v>
      </c>
      <c r="R895" s="164">
        <v>0</v>
      </c>
      <c r="S895" s="163" t="str">
        <f t="shared" si="103"/>
        <v/>
      </c>
      <c r="T895" s="163">
        <f>VLOOKUP(A895,'Groupe de branches'!$Z$27:$AM$86,14,FALSE)</f>
        <v>0</v>
      </c>
      <c r="U895" s="163">
        <f>VLOOKUP(D895,'Groupe de branches'!$Z$27:$AM$86,14,FALSE)</f>
        <v>0</v>
      </c>
      <c r="V895" s="163">
        <v>2018</v>
      </c>
      <c r="W895" t="str">
        <f>VLOOKUP(D895,'Table corresp.'!$M$4:$S$63,7,FALSE)</f>
        <v>Exportation</v>
      </c>
      <c r="X895" s="167">
        <f>IFERROR(G895/SUMIFS('Comp2016-2017 (3)'!$I$5:$I$289,'Comp2016-2017 (3)'!$A$5:$A$289,A895,'Comp2016-2017 (3)'!$R$5:$R$289,V895),0)</f>
        <v>0.10375076823398913</v>
      </c>
      <c r="Y895" s="178">
        <f>IFERROR(IF(RIGHT(F895,3)="Exp",VLOOKUP(F895,#REF!,2,FALSE),VLOOKUP(F895,#REF!,9,FALSE)),1)</f>
        <v>1</v>
      </c>
      <c r="Z895" s="167">
        <f t="shared" si="104"/>
        <v>8.3333333333333329E-2</v>
      </c>
      <c r="AA895" s="189">
        <f t="shared" si="99"/>
        <v>8.6458973528324261E-3</v>
      </c>
      <c r="AB895" s="2">
        <f>IFERROR(SUMIFS('Comp2016-2017 (3)'!$G$5:$G$289,'Comp2016-2017 (3)'!$A$5:$A$289,A895,'Comp2016-2017 (3)'!$R$5:$R$289,V895)*AA895/SUMIFS($AA$4:$AA$1116,$A$4:$A$1116,A895,$V$4:$V$1116,V895),0)</f>
        <v>8665.1943487187382</v>
      </c>
      <c r="AC895" s="2">
        <f>IF($W895=AC$3,$AB895,IF(NOT($W895=0),"",SUMIFS('Val-Vol (2)'!AC$4:AC$1116,'Val-Vol (2)'!$A$4:$A$1116,$D895,'Val-Vol (2)'!$V$4:$V$1116,$V895)/SUMIFS('Comp2016-2017 (3)'!$G$5:$G$289,'Comp2016-2017 (3)'!$A$5:$A$289,$D895,'Comp2016-2017 (3)'!$R$5:$R$289,$V895)*$AB895))</f>
        <v>8665.1943487187382</v>
      </c>
      <c r="AD895" s="2" t="str">
        <f>IF($W895=AD$3,$AB895,IF(NOT($W895=0),"",SUMIFS('Val-Vol (2)'!AD$4:AD$1116,'Val-Vol (2)'!$A$4:$A$1116,$D895,'Val-Vol (2)'!$V$4:$V$1116,$V895)/SUMIFS('Comp2016-2017 (3)'!$G$5:$G$289,'Comp2016-2017 (3)'!$A$5:$A$289,$D895,'Comp2016-2017 (3)'!$R$5:$R$289,$V895)*$AB895))</f>
        <v/>
      </c>
      <c r="AE895" s="2" t="str">
        <f>IF($W895=AE$3,$AB895,IF(NOT($W895=0),"",SUMIFS('Val-Vol (2)'!AE$4:AE$1116,'Val-Vol (2)'!$A$4:$A$1116,$D895,'Val-Vol (2)'!$V$4:$V$1116,$V895)/SUMIFS('Comp2016-2017 (3)'!$G$5:$G$289,'Comp2016-2017 (3)'!$A$5:$A$289,$D895,'Comp2016-2017 (3)'!$R$5:$R$289,$V895)*$AB895))</f>
        <v/>
      </c>
      <c r="AF895" s="2" t="str">
        <f>IF($W895=AF$3,$AB895,IF(NOT($W895=0),"",SUMIFS('Val-Vol (2)'!AF$4:AF$1116,'Val-Vol (2)'!$A$4:$A$1116,$D895,'Val-Vol (2)'!$V$4:$V$1116,$V895)/SUMIFS('Comp2016-2017 (3)'!$G$5:$G$289,'Comp2016-2017 (3)'!$A$5:$A$289,$D895,'Comp2016-2017 (3)'!$R$5:$R$289,$V895)*$AB895))</f>
        <v/>
      </c>
      <c r="AG895" s="2" t="str">
        <f>IF($W895=AG$3,$AB895,IF(NOT($W895=0),"",SUMIFS('Val-Vol (2)'!AG$4:AG$1116,'Val-Vol (2)'!$A$4:$A$1116,$D895,'Val-Vol (2)'!$V$4:$V$1116,$V895)/SUMIFS('Comp2016-2017 (3)'!$G$5:$G$289,'Comp2016-2017 (3)'!$A$5:$A$289,$D895,'Comp2016-2017 (3)'!$R$5:$R$289,$V895)*$AB895))</f>
        <v/>
      </c>
      <c r="AH895" s="2" t="str">
        <f>IF($W895=AH$3,$AB895,IF(NOT($W895=0),"",SUMIFS('Val-Vol (2)'!AH$4:AH$1116,'Val-Vol (2)'!$A$4:$A$1116,$D895,'Val-Vol (2)'!$V$4:$V$1116,$V895)/SUMIFS('Comp2016-2017 (3)'!$G$5:$G$289,'Comp2016-2017 (3)'!$A$5:$A$289,$D895,'Comp2016-2017 (3)'!$R$5:$R$289,$V895)*$AB895))</f>
        <v/>
      </c>
      <c r="AI895" s="2" t="str">
        <f>IF($W895=AI$3,$AB895,IF(NOT($W895=0),"",SUMIFS('Val-Vol (2)'!AI$4:AI$1116,'Val-Vol (2)'!$A$4:$A$1116,$D895,'Val-Vol (2)'!$V$4:$V$1116,$V895)/SUMIFS('Comp2016-2017 (3)'!$G$5:$G$289,'Comp2016-2017 (3)'!$A$5:$A$289,$D895,'Comp2016-2017 (3)'!$R$5:$R$289,$V895)*$AB895))</f>
        <v/>
      </c>
      <c r="AJ895" s="2" t="str">
        <f>IF($W895=AJ$3,$AB895,IF(NOT($W895=0),"",SUMIFS('Val-Vol (2)'!AJ$4:AJ$1116,'Val-Vol (2)'!$A$4:$A$1116,$D895,'Val-Vol (2)'!$V$4:$V$1116,$V895)/SUMIFS('Comp2016-2017 (3)'!$G$5:$G$289,'Comp2016-2017 (3)'!$A$5:$A$289,$D895,'Comp2016-2017 (3)'!$R$5:$R$289,$V895)*$AB895))</f>
        <v/>
      </c>
      <c r="AK895" s="2">
        <f t="shared" si="101"/>
        <v>0</v>
      </c>
      <c r="AL895" t="str">
        <f t="shared" si="98"/>
        <v/>
      </c>
      <c r="AM895" t="str">
        <f>VLOOKUP(A895,'Table corresp.'!$M$4:$U$63,8,FALSE)</f>
        <v>Production intermédiaire</v>
      </c>
      <c r="AN895" t="str">
        <f>VLOOKUP(D895,'Table corresp.'!$M$4:$U$63,9,FALSE)</f>
        <v>Exportation</v>
      </c>
    </row>
    <row r="896" spans="1:40" x14ac:dyDescent="0.25">
      <c r="A896" t="s">
        <v>83</v>
      </c>
      <c r="B896" t="str">
        <f>VLOOKUP(LEFT(A896,3),'Table corresp.'!$A$4:$D$63,3,FALSE)</f>
        <v>Transformation</v>
      </c>
      <c r="C896" t="str">
        <f>VLOOKUP(A896,'Table corresp.'!$M$4:$P$63,4,FALSE)</f>
        <v>Production et transformation de produits bois</v>
      </c>
      <c r="D896" t="s">
        <v>13</v>
      </c>
      <c r="E896" t="str">
        <f>VLOOKUP(LEFT(D896,3),'Table corresp.'!$A$4:$D$63,4,FALSE)</f>
        <v>Transformation</v>
      </c>
      <c r="F896" t="str">
        <f t="shared" si="102"/>
        <v xml:space="preserve">14  - 20 </v>
      </c>
      <c r="G896" s="164">
        <v>9788.3403029594028</v>
      </c>
      <c r="H896" s="164">
        <v>48595.638964785758</v>
      </c>
      <c r="I896" s="164">
        <v>58383.979237005064</v>
      </c>
      <c r="J896" s="164">
        <v>71.2009346064265</v>
      </c>
      <c r="K896" s="164">
        <v>149.95267979895465</v>
      </c>
      <c r="L896" s="164">
        <v>221.15361440538115</v>
      </c>
      <c r="M896" s="164">
        <v>0</v>
      </c>
      <c r="N896" s="164">
        <v>0</v>
      </c>
      <c r="O896" s="164">
        <v>0</v>
      </c>
      <c r="P896" s="164">
        <v>0</v>
      </c>
      <c r="Q896" s="164">
        <v>0</v>
      </c>
      <c r="R896" s="164">
        <v>0</v>
      </c>
      <c r="S896" s="163" t="str">
        <f t="shared" si="103"/>
        <v/>
      </c>
      <c r="T896" s="163">
        <f>VLOOKUP(A896,'Groupe de branches'!$Z$27:$AM$86,14,FALSE)</f>
        <v>0</v>
      </c>
      <c r="U896" s="163">
        <f>VLOOKUP(D896,'Groupe de branches'!$Z$27:$AM$86,14,FALSE)</f>
        <v>0</v>
      </c>
      <c r="V896" s="163">
        <v>2018</v>
      </c>
      <c r="W896">
        <f>VLOOKUP(D896,'Table corresp.'!$M$4:$S$63,7,FALSE)</f>
        <v>0</v>
      </c>
      <c r="X896" s="167">
        <f>IFERROR(G896/SUMIFS('Comp2016-2017 (3)'!$I$5:$I$289,'Comp2016-2017 (3)'!$A$5:$A$289,A896,'Comp2016-2017 (3)'!$R$5:$R$289,V896),0)</f>
        <v>7.6991654982818583E-2</v>
      </c>
      <c r="Y896" s="178">
        <f>IFERROR(IF(RIGHT(F896,3)="Exp",VLOOKUP(F896,#REF!,2,FALSE),VLOOKUP(F896,#REF!,9,FALSE)),1)</f>
        <v>1</v>
      </c>
      <c r="Z896" s="167">
        <f t="shared" si="104"/>
        <v>7.1428571428571425E-2</v>
      </c>
      <c r="AA896" s="189">
        <f t="shared" si="99"/>
        <v>5.499403927344184E-3</v>
      </c>
      <c r="AB896" s="2">
        <f>IFERROR(SUMIFS('Comp2016-2017 (3)'!$G$5:$G$289,'Comp2016-2017 (3)'!$A$5:$A$289,A896,'Comp2016-2017 (3)'!$R$5:$R$289,V896)*AA896/SUMIFS($AA$4:$AA$1116,$A$4:$A$1116,A896,$V$4:$V$1116,V896),0)</f>
        <v>2327.3664653378869</v>
      </c>
      <c r="AC896" s="2">
        <f>IF($W896=AC$3,$AB896,IF(NOT($W896=0),"",SUMIFS('Val-Vol (2)'!AC$4:AC$1116,'Val-Vol (2)'!$A$4:$A$1116,$D896,'Val-Vol (2)'!$V$4:$V$1116,$V896)/SUMIFS('Comp2016-2017 (3)'!$G$5:$G$289,'Comp2016-2017 (3)'!$A$5:$A$289,$D896,'Comp2016-2017 (3)'!$R$5:$R$289,$V896)*$AB896))</f>
        <v>244.81758028781448</v>
      </c>
      <c r="AD896" s="2">
        <f>IF($W896=AD$3,$AB896,IF(NOT($W896=0),"",SUMIFS('Val-Vol (2)'!AD$4:AD$1116,'Val-Vol (2)'!$A$4:$A$1116,$D896,'Val-Vol (2)'!$V$4:$V$1116,$V896)/SUMIFS('Comp2016-2017 (3)'!$G$5:$G$289,'Comp2016-2017 (3)'!$A$5:$A$289,$D896,'Comp2016-2017 (3)'!$R$5:$R$289,$V896)*$AB896))</f>
        <v>1276.2503765222812</v>
      </c>
      <c r="AE896" s="2">
        <f>IF($W896=AE$3,$AB896,IF(NOT($W896=0),"",SUMIFS('Val-Vol (2)'!AE$4:AE$1116,'Val-Vol (2)'!$A$4:$A$1116,$D896,'Val-Vol (2)'!$V$4:$V$1116,$V896)/SUMIFS('Comp2016-2017 (3)'!$G$5:$G$289,'Comp2016-2017 (3)'!$A$5:$A$289,$D896,'Comp2016-2017 (3)'!$R$5:$R$289,$V896)*$AB896))</f>
        <v>0</v>
      </c>
      <c r="AF896" s="2">
        <f>IF($W896=AF$3,$AB896,IF(NOT($W896=0),"",SUMIFS('Val-Vol (2)'!AF$4:AF$1116,'Val-Vol (2)'!$A$4:$A$1116,$D896,'Val-Vol (2)'!$V$4:$V$1116,$V896)/SUMIFS('Comp2016-2017 (3)'!$G$5:$G$289,'Comp2016-2017 (3)'!$A$5:$A$289,$D896,'Comp2016-2017 (3)'!$R$5:$R$289,$V896)*$AB896))</f>
        <v>0</v>
      </c>
      <c r="AG896" s="2">
        <f>IF($W896=AG$3,$AB896,IF(NOT($W896=0),"",SUMIFS('Val-Vol (2)'!AG$4:AG$1116,'Val-Vol (2)'!$A$4:$A$1116,$D896,'Val-Vol (2)'!$V$4:$V$1116,$V896)/SUMIFS('Comp2016-2017 (3)'!$G$5:$G$289,'Comp2016-2017 (3)'!$A$5:$A$289,$D896,'Comp2016-2017 (3)'!$R$5:$R$289,$V896)*$AB896))</f>
        <v>0</v>
      </c>
      <c r="AH896" s="2">
        <f>IF($W896=AH$3,$AB896,IF(NOT($W896=0),"",SUMIFS('Val-Vol (2)'!AH$4:AH$1116,'Val-Vol (2)'!$A$4:$A$1116,$D896,'Val-Vol (2)'!$V$4:$V$1116,$V896)/SUMIFS('Comp2016-2017 (3)'!$G$5:$G$289,'Comp2016-2017 (3)'!$A$5:$A$289,$D896,'Comp2016-2017 (3)'!$R$5:$R$289,$V896)*$AB896))</f>
        <v>0</v>
      </c>
      <c r="AI896" s="2">
        <f>IF($W896=AI$3,$AB896,IF(NOT($W896=0),"",SUMIFS('Val-Vol (2)'!AI$4:AI$1116,'Val-Vol (2)'!$A$4:$A$1116,$D896,'Val-Vol (2)'!$V$4:$V$1116,$V896)/SUMIFS('Comp2016-2017 (3)'!$G$5:$G$289,'Comp2016-2017 (3)'!$A$5:$A$289,$D896,'Comp2016-2017 (3)'!$R$5:$R$289,$V896)*$AB896))</f>
        <v>0</v>
      </c>
      <c r="AJ896" s="2">
        <f>IF($W896=AJ$3,$AB896,IF(NOT($W896=0),"",SUMIFS('Val-Vol (2)'!AJ$4:AJ$1116,'Val-Vol (2)'!$A$4:$A$1116,$D896,'Val-Vol (2)'!$V$4:$V$1116,$V896)/SUMIFS('Comp2016-2017 (3)'!$G$5:$G$289,'Comp2016-2017 (3)'!$A$5:$A$289,$D896,'Comp2016-2017 (3)'!$R$5:$R$289,$V896)*$AB896))</f>
        <v>806.29850852779077</v>
      </c>
      <c r="AK896" s="2">
        <f t="shared" si="101"/>
        <v>0</v>
      </c>
      <c r="AL896" t="str">
        <f t="shared" si="98"/>
        <v/>
      </c>
      <c r="AM896" t="str">
        <f>VLOOKUP(A896,'Table corresp.'!$M$4:$U$63,8,FALSE)</f>
        <v>Production intermédiaire</v>
      </c>
      <c r="AN896" t="str">
        <f>VLOOKUP(D896,'Table corresp.'!$M$4:$U$63,9,FALSE)</f>
        <v>Production intermédiaire</v>
      </c>
    </row>
    <row r="897" spans="1:40" x14ac:dyDescent="0.25">
      <c r="A897" t="s">
        <v>83</v>
      </c>
      <c r="B897" t="str">
        <f>VLOOKUP(LEFT(A897,3),'Table corresp.'!$A$4:$D$63,3,FALSE)</f>
        <v>Transformation</v>
      </c>
      <c r="C897" t="str">
        <f>VLOOKUP(A897,'Table corresp.'!$M$4:$P$63,4,FALSE)</f>
        <v>Production et transformation de produits bois</v>
      </c>
      <c r="D897" t="s">
        <v>14</v>
      </c>
      <c r="E897" t="str">
        <f>VLOOKUP(LEFT(D897,3),'Table corresp.'!$A$4:$D$63,4,FALSE)</f>
        <v>Transformation</v>
      </c>
      <c r="F897" t="str">
        <f t="shared" si="102"/>
        <v>14  - 20b</v>
      </c>
      <c r="G897" s="164">
        <v>659.9539055287205</v>
      </c>
      <c r="H897" s="164">
        <v>2963.2424960507155</v>
      </c>
      <c r="I897" s="164">
        <v>3623.1963997657544</v>
      </c>
      <c r="J897" s="164">
        <v>6.0221848094667587</v>
      </c>
      <c r="K897" s="164">
        <v>11.470648426959283</v>
      </c>
      <c r="L897" s="164">
        <v>17.492833236426041</v>
      </c>
      <c r="M897" s="164">
        <v>0</v>
      </c>
      <c r="N897" s="164">
        <v>0</v>
      </c>
      <c r="O897" s="164">
        <v>0</v>
      </c>
      <c r="P897" s="164">
        <v>0</v>
      </c>
      <c r="Q897" s="164">
        <v>0</v>
      </c>
      <c r="R897" s="164">
        <v>0</v>
      </c>
      <c r="S897" s="163" t="str">
        <f t="shared" si="103"/>
        <v/>
      </c>
      <c r="T897" s="163">
        <f>VLOOKUP(A897,'Groupe de branches'!$Z$27:$AM$86,14,FALSE)</f>
        <v>0</v>
      </c>
      <c r="U897" s="163">
        <f>VLOOKUP(D897,'Groupe de branches'!$Z$27:$AM$86,14,FALSE)</f>
        <v>0</v>
      </c>
      <c r="V897" s="163">
        <v>2018</v>
      </c>
      <c r="W897">
        <f>VLOOKUP(D897,'Table corresp.'!$M$4:$S$63,7,FALSE)</f>
        <v>0</v>
      </c>
      <c r="X897" s="167">
        <f>IFERROR(G897/SUMIFS('Comp2016-2017 (3)'!$I$5:$I$289,'Comp2016-2017 (3)'!$A$5:$A$289,A897,'Comp2016-2017 (3)'!$R$5:$R$289,V897),0)</f>
        <v>5.1909661726481596E-3</v>
      </c>
      <c r="Y897" s="178">
        <f>IFERROR(IF(RIGHT(F897,3)="Exp",VLOOKUP(F897,#REF!,2,FALSE),VLOOKUP(F897,#REF!,9,FALSE)),1)</f>
        <v>1</v>
      </c>
      <c r="Z897" s="167">
        <f t="shared" si="104"/>
        <v>7.1428571428571425E-2</v>
      </c>
      <c r="AA897" s="189">
        <f t="shared" si="99"/>
        <v>3.7078329804629708E-4</v>
      </c>
      <c r="AB897" s="2">
        <f>IFERROR(SUMIFS('Comp2016-2017 (3)'!$G$5:$G$289,'Comp2016-2017 (3)'!$A$5:$A$289,A897,'Comp2016-2017 (3)'!$R$5:$R$289,V897)*AA897/SUMIFS($AA$4:$AA$1116,$A$4:$A$1116,A897,$V$4:$V$1116,V897),0)</f>
        <v>156.91675410303543</v>
      </c>
      <c r="AC897" s="2">
        <f>IF($W897=AC$3,$AB897,IF(NOT($W897=0),"",SUMIFS('Val-Vol (2)'!AC$4:AC$1116,'Val-Vol (2)'!$A$4:$A$1116,$D897,'Val-Vol (2)'!$V$4:$V$1116,$V897)/SUMIFS('Comp2016-2017 (3)'!$G$5:$G$289,'Comp2016-2017 (3)'!$A$5:$A$289,$D897,'Comp2016-2017 (3)'!$R$5:$R$289,$V897)*$AB897))</f>
        <v>42.715867970202453</v>
      </c>
      <c r="AD897" s="2">
        <f>IF($W897=AD$3,$AB897,IF(NOT($W897=0),"",SUMIFS('Val-Vol (2)'!AD$4:AD$1116,'Val-Vol (2)'!$A$4:$A$1116,$D897,'Val-Vol (2)'!$V$4:$V$1116,$V897)/SUMIFS('Comp2016-2017 (3)'!$G$5:$G$289,'Comp2016-2017 (3)'!$A$5:$A$289,$D897,'Comp2016-2017 (3)'!$R$5:$R$289,$V897)*$AB897))</f>
        <v>101.07116553793762</v>
      </c>
      <c r="AE897" s="2">
        <f>IF($W897=AE$3,$AB897,IF(NOT($W897=0),"",SUMIFS('Val-Vol (2)'!AE$4:AE$1116,'Val-Vol (2)'!$A$4:$A$1116,$D897,'Val-Vol (2)'!$V$4:$V$1116,$V897)/SUMIFS('Comp2016-2017 (3)'!$G$5:$G$289,'Comp2016-2017 (3)'!$A$5:$A$289,$D897,'Comp2016-2017 (3)'!$R$5:$R$289,$V897)*$AB897))</f>
        <v>0.95241316870956194</v>
      </c>
      <c r="AF897" s="2">
        <f>IF($W897=AF$3,$AB897,IF(NOT($W897=0),"",SUMIFS('Val-Vol (2)'!AF$4:AF$1116,'Val-Vol (2)'!$A$4:$A$1116,$D897,'Val-Vol (2)'!$V$4:$V$1116,$V897)/SUMIFS('Comp2016-2017 (3)'!$G$5:$G$289,'Comp2016-2017 (3)'!$A$5:$A$289,$D897,'Comp2016-2017 (3)'!$R$5:$R$289,$V897)*$AB897))</f>
        <v>0</v>
      </c>
      <c r="AG897" s="2">
        <f>IF($W897=AG$3,$AB897,IF(NOT($W897=0),"",SUMIFS('Val-Vol (2)'!AG$4:AG$1116,'Val-Vol (2)'!$A$4:$A$1116,$D897,'Val-Vol (2)'!$V$4:$V$1116,$V897)/SUMIFS('Comp2016-2017 (3)'!$G$5:$G$289,'Comp2016-2017 (3)'!$A$5:$A$289,$D897,'Comp2016-2017 (3)'!$R$5:$R$289,$V897)*$AB897))</f>
        <v>0</v>
      </c>
      <c r="AH897" s="2">
        <f>IF($W897=AH$3,$AB897,IF(NOT($W897=0),"",SUMIFS('Val-Vol (2)'!AH$4:AH$1116,'Val-Vol (2)'!$A$4:$A$1116,$D897,'Val-Vol (2)'!$V$4:$V$1116,$V897)/SUMIFS('Comp2016-2017 (3)'!$G$5:$G$289,'Comp2016-2017 (3)'!$A$5:$A$289,$D897,'Comp2016-2017 (3)'!$R$5:$R$289,$V897)*$AB897))</f>
        <v>0</v>
      </c>
      <c r="AI897" s="2">
        <f>IF($W897=AI$3,$AB897,IF(NOT($W897=0),"",SUMIFS('Val-Vol (2)'!AI$4:AI$1116,'Val-Vol (2)'!$A$4:$A$1116,$D897,'Val-Vol (2)'!$V$4:$V$1116,$V897)/SUMIFS('Comp2016-2017 (3)'!$G$5:$G$289,'Comp2016-2017 (3)'!$A$5:$A$289,$D897,'Comp2016-2017 (3)'!$R$5:$R$289,$V897)*$AB897))</f>
        <v>0</v>
      </c>
      <c r="AJ897" s="2">
        <f>IF($W897=AJ$3,$AB897,IF(NOT($W897=0),"",SUMIFS('Val-Vol (2)'!AJ$4:AJ$1116,'Val-Vol (2)'!$A$4:$A$1116,$D897,'Val-Vol (2)'!$V$4:$V$1116,$V897)/SUMIFS('Comp2016-2017 (3)'!$G$5:$G$289,'Comp2016-2017 (3)'!$A$5:$A$289,$D897,'Comp2016-2017 (3)'!$R$5:$R$289,$V897)*$AB897))</f>
        <v>12.177307426185831</v>
      </c>
      <c r="AK897" s="2">
        <f t="shared" si="101"/>
        <v>0</v>
      </c>
      <c r="AL897" t="str">
        <f t="shared" si="98"/>
        <v/>
      </c>
      <c r="AM897" t="str">
        <f>VLOOKUP(A897,'Table corresp.'!$M$4:$U$63,8,FALSE)</f>
        <v>Production intermédiaire</v>
      </c>
      <c r="AN897" t="str">
        <f>VLOOKUP(D897,'Table corresp.'!$M$4:$U$63,9,FALSE)</f>
        <v>Production intermédiaire</v>
      </c>
    </row>
    <row r="898" spans="1:40" x14ac:dyDescent="0.25">
      <c r="A898" t="s">
        <v>83</v>
      </c>
      <c r="B898" t="str">
        <f>VLOOKUP(LEFT(A898,3),'Table corresp.'!$A$4:$D$63,3,FALSE)</f>
        <v>Transformation</v>
      </c>
      <c r="C898" t="str">
        <f>VLOOKUP(A898,'Table corresp.'!$M$4:$P$63,4,FALSE)</f>
        <v>Production et transformation de produits bois</v>
      </c>
      <c r="D898" t="s">
        <v>85</v>
      </c>
      <c r="E898" t="str">
        <f>VLOOKUP(LEFT(D898,3),'Table corresp.'!$A$4:$D$63,4,FALSE)</f>
        <v>Transformation</v>
      </c>
      <c r="F898" t="str">
        <f t="shared" si="102"/>
        <v xml:space="preserve">14  - 29 </v>
      </c>
      <c r="G898" s="164">
        <v>1722.6500430220681</v>
      </c>
      <c r="H898" s="164">
        <v>9007.5419187201423</v>
      </c>
      <c r="I898" s="164">
        <v>10730.19195595599</v>
      </c>
      <c r="J898" s="164">
        <v>17.684388922441492</v>
      </c>
      <c r="K898" s="164">
        <v>39.226502729103601</v>
      </c>
      <c r="L898" s="164">
        <v>56.910891651545093</v>
      </c>
      <c r="M898" s="164">
        <v>0</v>
      </c>
      <c r="N898" s="164">
        <v>0</v>
      </c>
      <c r="O898" s="164">
        <v>0</v>
      </c>
      <c r="P898" s="164">
        <v>0</v>
      </c>
      <c r="Q898" s="164">
        <v>0</v>
      </c>
      <c r="R898" s="164">
        <v>0</v>
      </c>
      <c r="S898" s="163" t="str">
        <f t="shared" si="103"/>
        <v/>
      </c>
      <c r="T898" s="163">
        <f>VLOOKUP(A898,'Groupe de branches'!$Z$27:$AM$86,14,FALSE)</f>
        <v>0</v>
      </c>
      <c r="U898" s="163">
        <f>VLOOKUP(D898,'Groupe de branches'!$Z$27:$AM$86,14,FALSE)</f>
        <v>0</v>
      </c>
      <c r="V898" s="163">
        <v>2018</v>
      </c>
      <c r="W898" t="str">
        <f>VLOOKUP(D898,'Table corresp.'!$M$4:$S$63,7,FALSE)</f>
        <v>Construction</v>
      </c>
      <c r="X898" s="167">
        <f>IFERROR(G898/SUMIFS('Comp2016-2017 (3)'!$I$5:$I$289,'Comp2016-2017 (3)'!$A$5:$A$289,A898,'Comp2016-2017 (3)'!$R$5:$R$289,V898),0)</f>
        <v>1.3549761620812617E-2</v>
      </c>
      <c r="Y898" s="178">
        <f>IFERROR(IF(RIGHT(F898,3)="Exp",VLOOKUP(F898,#REF!,2,FALSE),VLOOKUP(F898,#REF!,9,FALSE)),1)</f>
        <v>1</v>
      </c>
      <c r="Z898" s="167">
        <f t="shared" si="104"/>
        <v>7.1428571428571425E-2</v>
      </c>
      <c r="AA898" s="189">
        <f t="shared" si="99"/>
        <v>9.6784011577232974E-4</v>
      </c>
      <c r="AB898" s="2">
        <f>IFERROR(SUMIFS('Comp2016-2017 (3)'!$G$5:$G$289,'Comp2016-2017 (3)'!$A$5:$A$289,A898,'Comp2016-2017 (3)'!$R$5:$R$289,V898)*AA898/SUMIFS($AA$4:$AA$1116,$A$4:$A$1116,A898,$V$4:$V$1116,V898),0)</f>
        <v>409.5932321059862</v>
      </c>
      <c r="AC898" s="2" t="str">
        <f>IF($W898=AC$3,$AB898,IF(NOT($W898=0),"",SUMIFS('Val-Vol (2)'!AC$4:AC$1116,'Val-Vol (2)'!$A$4:$A$1116,$D898,'Val-Vol (2)'!$V$4:$V$1116,$V898)/SUMIFS('Comp2016-2017 (3)'!$G$5:$G$289,'Comp2016-2017 (3)'!$A$5:$A$289,$D898,'Comp2016-2017 (3)'!$R$5:$R$289,$V898)*$AB898))</f>
        <v/>
      </c>
      <c r="AD898" s="2">
        <f>IF($W898=AD$3,$AB898,IF(NOT($W898=0),"",SUMIFS('Val-Vol (2)'!AD$4:AD$1116,'Val-Vol (2)'!$A$4:$A$1116,$D898,'Val-Vol (2)'!$V$4:$V$1116,$V898)/SUMIFS('Comp2016-2017 (3)'!$G$5:$G$289,'Comp2016-2017 (3)'!$A$5:$A$289,$D898,'Comp2016-2017 (3)'!$R$5:$R$289,$V898)*$AB898))</f>
        <v>409.5932321059862</v>
      </c>
      <c r="AE898" s="2" t="str">
        <f>IF($W898=AE$3,$AB898,IF(NOT($W898=0),"",SUMIFS('Val-Vol (2)'!AE$4:AE$1116,'Val-Vol (2)'!$A$4:$A$1116,$D898,'Val-Vol (2)'!$V$4:$V$1116,$V898)/SUMIFS('Comp2016-2017 (3)'!$G$5:$G$289,'Comp2016-2017 (3)'!$A$5:$A$289,$D898,'Comp2016-2017 (3)'!$R$5:$R$289,$V898)*$AB898))</f>
        <v/>
      </c>
      <c r="AF898" s="2" t="str">
        <f>IF($W898=AF$3,$AB898,IF(NOT($W898=0),"",SUMIFS('Val-Vol (2)'!AF$4:AF$1116,'Val-Vol (2)'!$A$4:$A$1116,$D898,'Val-Vol (2)'!$V$4:$V$1116,$V898)/SUMIFS('Comp2016-2017 (3)'!$G$5:$G$289,'Comp2016-2017 (3)'!$A$5:$A$289,$D898,'Comp2016-2017 (3)'!$R$5:$R$289,$V898)*$AB898))</f>
        <v/>
      </c>
      <c r="AG898" s="2" t="str">
        <f>IF($W898=AG$3,$AB898,IF(NOT($W898=0),"",SUMIFS('Val-Vol (2)'!AG$4:AG$1116,'Val-Vol (2)'!$A$4:$A$1116,$D898,'Val-Vol (2)'!$V$4:$V$1116,$V898)/SUMIFS('Comp2016-2017 (3)'!$G$5:$G$289,'Comp2016-2017 (3)'!$A$5:$A$289,$D898,'Comp2016-2017 (3)'!$R$5:$R$289,$V898)*$AB898))</f>
        <v/>
      </c>
      <c r="AH898" s="2" t="str">
        <f>IF($W898=AH$3,$AB898,IF(NOT($W898=0),"",SUMIFS('Val-Vol (2)'!AH$4:AH$1116,'Val-Vol (2)'!$A$4:$A$1116,$D898,'Val-Vol (2)'!$V$4:$V$1116,$V898)/SUMIFS('Comp2016-2017 (3)'!$G$5:$G$289,'Comp2016-2017 (3)'!$A$5:$A$289,$D898,'Comp2016-2017 (3)'!$R$5:$R$289,$V898)*$AB898))</f>
        <v/>
      </c>
      <c r="AI898" s="2" t="str">
        <f>IF($W898=AI$3,$AB898,IF(NOT($W898=0),"",SUMIFS('Val-Vol (2)'!AI$4:AI$1116,'Val-Vol (2)'!$A$4:$A$1116,$D898,'Val-Vol (2)'!$V$4:$V$1116,$V898)/SUMIFS('Comp2016-2017 (3)'!$G$5:$G$289,'Comp2016-2017 (3)'!$A$5:$A$289,$D898,'Comp2016-2017 (3)'!$R$5:$R$289,$V898)*$AB898))</f>
        <v/>
      </c>
      <c r="AJ898" s="2" t="str">
        <f>IF($W898=AJ$3,$AB898,IF(NOT($W898=0),"",SUMIFS('Val-Vol (2)'!AJ$4:AJ$1116,'Val-Vol (2)'!$A$4:$A$1116,$D898,'Val-Vol (2)'!$V$4:$V$1116,$V898)/SUMIFS('Comp2016-2017 (3)'!$G$5:$G$289,'Comp2016-2017 (3)'!$A$5:$A$289,$D898,'Comp2016-2017 (3)'!$R$5:$R$289,$V898)*$AB898))</f>
        <v/>
      </c>
      <c r="AK898" s="2">
        <f t="shared" si="101"/>
        <v>0</v>
      </c>
      <c r="AL898" t="str">
        <f t="shared" si="98"/>
        <v/>
      </c>
      <c r="AM898" t="str">
        <f>VLOOKUP(A898,'Table corresp.'!$M$4:$U$63,8,FALSE)</f>
        <v>Production intermédiaire</v>
      </c>
      <c r="AN898" t="str">
        <f>VLOOKUP(D898,'Table corresp.'!$M$4:$U$63,9,FALSE)</f>
        <v>Production intermédiaire</v>
      </c>
    </row>
    <row r="899" spans="1:40" x14ac:dyDescent="0.25">
      <c r="A899" t="s">
        <v>83</v>
      </c>
      <c r="B899" t="str">
        <f>VLOOKUP(LEFT(A899,3),'Table corresp.'!$A$4:$D$63,3,FALSE)</f>
        <v>Transformation</v>
      </c>
      <c r="C899" t="str">
        <f>VLOOKUP(A899,'Table corresp.'!$M$4:$P$63,4,FALSE)</f>
        <v>Production et transformation de produits bois</v>
      </c>
      <c r="D899" t="s">
        <v>15</v>
      </c>
      <c r="E899" t="str">
        <f>VLOOKUP(LEFT(D899,3),'Table corresp.'!$A$4:$D$63,4,FALSE)</f>
        <v>Transformation</v>
      </c>
      <c r="F899" t="str">
        <f t="shared" si="102"/>
        <v xml:space="preserve">14  - 35 </v>
      </c>
      <c r="G899" s="164">
        <v>376.74200112565245</v>
      </c>
      <c r="H899" s="164">
        <v>1845.3410605153679</v>
      </c>
      <c r="I899" s="164">
        <v>2222.0830604785756</v>
      </c>
      <c r="J899" s="164">
        <v>3.2624314034909383</v>
      </c>
      <c r="K899" s="164">
        <v>6.7788229919502907</v>
      </c>
      <c r="L899" s="164">
        <v>10.041254395441229</v>
      </c>
      <c r="M899" s="164">
        <v>0</v>
      </c>
      <c r="N899" s="164">
        <v>0</v>
      </c>
      <c r="O899" s="164">
        <v>0</v>
      </c>
      <c r="P899" s="164">
        <v>0</v>
      </c>
      <c r="Q899" s="164">
        <v>0</v>
      </c>
      <c r="R899" s="164">
        <v>0</v>
      </c>
      <c r="S899" s="163" t="str">
        <f t="shared" si="103"/>
        <v/>
      </c>
      <c r="T899" s="163">
        <f>VLOOKUP(A899,'Groupe de branches'!$Z$27:$AM$86,14,FALSE)</f>
        <v>0</v>
      </c>
      <c r="U899" s="163">
        <f>VLOOKUP(D899,'Groupe de branches'!$Z$27:$AM$86,14,FALSE)</f>
        <v>0</v>
      </c>
      <c r="V899" s="163">
        <v>2018</v>
      </c>
      <c r="W899" t="str">
        <f>VLOOKUP(D899,'Table corresp.'!$M$4:$S$63,7,FALSE)</f>
        <v>Construction</v>
      </c>
      <c r="X899" s="167">
        <f>IFERROR(G899/SUMIFS('Comp2016-2017 (3)'!$I$5:$I$289,'Comp2016-2017 (3)'!$A$5:$A$289,A899,'Comp2016-2017 (3)'!$R$5:$R$289,V899),0)</f>
        <v>2.9633205702332627E-3</v>
      </c>
      <c r="Y899" s="178">
        <f>IFERROR(IF(RIGHT(F899,3)="Exp",VLOOKUP(F899,#REF!,2,FALSE),VLOOKUP(F899,#REF!,9,FALSE)),1)</f>
        <v>1</v>
      </c>
      <c r="Z899" s="167">
        <f t="shared" si="104"/>
        <v>7.1428571428571425E-2</v>
      </c>
      <c r="AA899" s="189">
        <f t="shared" si="99"/>
        <v>2.1166575501666162E-4</v>
      </c>
      <c r="AB899" s="2">
        <f>IFERROR(SUMIFS('Comp2016-2017 (3)'!$G$5:$G$289,'Comp2016-2017 (3)'!$A$5:$A$289,A899,'Comp2016-2017 (3)'!$R$5:$R$289,V899)*AA899/SUMIFS($AA$4:$AA$1116,$A$4:$A$1116,A899,$V$4:$V$1116,V899),0)</f>
        <v>89.577668160866423</v>
      </c>
      <c r="AC899" s="2" t="str">
        <f>IF($W899=AC$3,$AB899,IF(NOT($W899=0),"",SUMIFS('Val-Vol (2)'!AC$4:AC$1116,'Val-Vol (2)'!$A$4:$A$1116,$D899,'Val-Vol (2)'!$V$4:$V$1116,$V899)/SUMIFS('Comp2016-2017 (3)'!$G$5:$G$289,'Comp2016-2017 (3)'!$A$5:$A$289,$D899,'Comp2016-2017 (3)'!$R$5:$R$289,$V899)*$AB899))</f>
        <v/>
      </c>
      <c r="AD899" s="2">
        <f>IF($W899=AD$3,$AB899,IF(NOT($W899=0),"",SUMIFS('Val-Vol (2)'!AD$4:AD$1116,'Val-Vol (2)'!$A$4:$A$1116,$D899,'Val-Vol (2)'!$V$4:$V$1116,$V899)/SUMIFS('Comp2016-2017 (3)'!$G$5:$G$289,'Comp2016-2017 (3)'!$A$5:$A$289,$D899,'Comp2016-2017 (3)'!$R$5:$R$289,$V899)*$AB899))</f>
        <v>89.577668160866423</v>
      </c>
      <c r="AE899" s="2" t="str">
        <f>IF($W899=AE$3,$AB899,IF(NOT($W899=0),"",SUMIFS('Val-Vol (2)'!AE$4:AE$1116,'Val-Vol (2)'!$A$4:$A$1116,$D899,'Val-Vol (2)'!$V$4:$V$1116,$V899)/SUMIFS('Comp2016-2017 (3)'!$G$5:$G$289,'Comp2016-2017 (3)'!$A$5:$A$289,$D899,'Comp2016-2017 (3)'!$R$5:$R$289,$V899)*$AB899))</f>
        <v/>
      </c>
      <c r="AF899" s="2" t="str">
        <f>IF($W899=AF$3,$AB899,IF(NOT($W899=0),"",SUMIFS('Val-Vol (2)'!AF$4:AF$1116,'Val-Vol (2)'!$A$4:$A$1116,$D899,'Val-Vol (2)'!$V$4:$V$1116,$V899)/SUMIFS('Comp2016-2017 (3)'!$G$5:$G$289,'Comp2016-2017 (3)'!$A$5:$A$289,$D899,'Comp2016-2017 (3)'!$R$5:$R$289,$V899)*$AB899))</f>
        <v/>
      </c>
      <c r="AG899" s="2" t="str">
        <f>IF($W899=AG$3,$AB899,IF(NOT($W899=0),"",SUMIFS('Val-Vol (2)'!AG$4:AG$1116,'Val-Vol (2)'!$A$4:$A$1116,$D899,'Val-Vol (2)'!$V$4:$V$1116,$V899)/SUMIFS('Comp2016-2017 (3)'!$G$5:$G$289,'Comp2016-2017 (3)'!$A$5:$A$289,$D899,'Comp2016-2017 (3)'!$R$5:$R$289,$V899)*$AB899))</f>
        <v/>
      </c>
      <c r="AH899" s="2" t="str">
        <f>IF($W899=AH$3,$AB899,IF(NOT($W899=0),"",SUMIFS('Val-Vol (2)'!AH$4:AH$1116,'Val-Vol (2)'!$A$4:$A$1116,$D899,'Val-Vol (2)'!$V$4:$V$1116,$V899)/SUMIFS('Comp2016-2017 (3)'!$G$5:$G$289,'Comp2016-2017 (3)'!$A$5:$A$289,$D899,'Comp2016-2017 (3)'!$R$5:$R$289,$V899)*$AB899))</f>
        <v/>
      </c>
      <c r="AI899" s="2" t="str">
        <f>IF($W899=AI$3,$AB899,IF(NOT($W899=0),"",SUMIFS('Val-Vol (2)'!AI$4:AI$1116,'Val-Vol (2)'!$A$4:$A$1116,$D899,'Val-Vol (2)'!$V$4:$V$1116,$V899)/SUMIFS('Comp2016-2017 (3)'!$G$5:$G$289,'Comp2016-2017 (3)'!$A$5:$A$289,$D899,'Comp2016-2017 (3)'!$R$5:$R$289,$V899)*$AB899))</f>
        <v/>
      </c>
      <c r="AJ899" s="2" t="str">
        <f>IF($W899=AJ$3,$AB899,IF(NOT($W899=0),"",SUMIFS('Val-Vol (2)'!AJ$4:AJ$1116,'Val-Vol (2)'!$A$4:$A$1116,$D899,'Val-Vol (2)'!$V$4:$V$1116,$V899)/SUMIFS('Comp2016-2017 (3)'!$G$5:$G$289,'Comp2016-2017 (3)'!$A$5:$A$289,$D899,'Comp2016-2017 (3)'!$R$5:$R$289,$V899)*$AB899))</f>
        <v/>
      </c>
      <c r="AK899" s="2">
        <f t="shared" si="101"/>
        <v>0</v>
      </c>
      <c r="AL899" t="str">
        <f t="shared" si="98"/>
        <v/>
      </c>
      <c r="AM899" t="str">
        <f>VLOOKUP(A899,'Table corresp.'!$M$4:$U$63,8,FALSE)</f>
        <v>Production intermédiaire</v>
      </c>
      <c r="AN899" t="str">
        <f>VLOOKUP(D899,'Table corresp.'!$M$4:$U$63,9,FALSE)</f>
        <v>Production finale</v>
      </c>
    </row>
    <row r="900" spans="1:40" x14ac:dyDescent="0.25">
      <c r="A900" t="s">
        <v>83</v>
      </c>
      <c r="B900" t="str">
        <f>VLOOKUP(LEFT(A900,3),'Table corresp.'!$A$4:$D$63,3,FALSE)</f>
        <v>Transformation</v>
      </c>
      <c r="C900" t="str">
        <f>VLOOKUP(A900,'Table corresp.'!$M$4:$P$63,4,FALSE)</f>
        <v>Production et transformation de produits bois</v>
      </c>
      <c r="D900" t="s">
        <v>91</v>
      </c>
      <c r="E900" t="str">
        <f>VLOOKUP(LEFT(D900,3),'Table corresp.'!$A$4:$D$63,4,FALSE)</f>
        <v>Transformation</v>
      </c>
      <c r="F900" t="str">
        <f t="shared" si="102"/>
        <v xml:space="preserve">14  - 37 </v>
      </c>
      <c r="G900" s="164">
        <v>17518.091419752829</v>
      </c>
      <c r="H900" s="164">
        <v>23762.077728794688</v>
      </c>
      <c r="I900" s="164">
        <v>41280.169145781736</v>
      </c>
      <c r="J900" s="164">
        <v>307.1601359067426</v>
      </c>
      <c r="K900" s="164">
        <v>176.74322480018643</v>
      </c>
      <c r="L900" s="164">
        <v>483.90336070692899</v>
      </c>
      <c r="M900" s="164">
        <v>0</v>
      </c>
      <c r="N900" s="164">
        <v>0</v>
      </c>
      <c r="O900" s="164">
        <v>0</v>
      </c>
      <c r="P900" s="164">
        <v>0</v>
      </c>
      <c r="Q900" s="164">
        <v>0</v>
      </c>
      <c r="R900" s="164">
        <v>0</v>
      </c>
      <c r="S900" s="163" t="str">
        <f t="shared" si="103"/>
        <v/>
      </c>
      <c r="T900" s="163">
        <f>VLOOKUP(A900,'Groupe de branches'!$Z$27:$AM$86,14,FALSE)</f>
        <v>0</v>
      </c>
      <c r="U900" s="163">
        <f>VLOOKUP(D900,'Groupe de branches'!$Z$27:$AM$86,14,FALSE)</f>
        <v>0</v>
      </c>
      <c r="V900" s="163">
        <v>2018</v>
      </c>
      <c r="W900" t="str">
        <f>VLOOKUP(D900,'Table corresp.'!$M$4:$S$63,7,FALSE)</f>
        <v>Emballage bois et carton</v>
      </c>
      <c r="X900" s="167">
        <f>IFERROR(G900/SUMIFS('Comp2016-2017 (3)'!$I$5:$I$289,'Comp2016-2017 (3)'!$A$5:$A$289,A900,'Comp2016-2017 (3)'!$R$5:$R$289,V900),0)</f>
        <v>0.13779116875812999</v>
      </c>
      <c r="Y900" s="178">
        <f>IFERROR(IF(RIGHT(F900,3)="Exp",VLOOKUP(F900,#REF!,2,FALSE),VLOOKUP(F900,#REF!,9,FALSE)),1)</f>
        <v>1</v>
      </c>
      <c r="Z900" s="167">
        <f t="shared" si="104"/>
        <v>7.1428571428571425E-2</v>
      </c>
      <c r="AA900" s="189">
        <f t="shared" si="99"/>
        <v>9.8422263398664275E-3</v>
      </c>
      <c r="AB900" s="2">
        <f>IFERROR(SUMIFS('Comp2016-2017 (3)'!$G$5:$G$289,'Comp2016-2017 (3)'!$A$5:$A$289,A900,'Comp2016-2017 (3)'!$R$5:$R$289,V900)*AA900/SUMIFS($AA$4:$AA$1116,$A$4:$A$1116,A900,$V$4:$V$1116,V900),0)</f>
        <v>4165.2636959025031</v>
      </c>
      <c r="AC900" s="2" t="str">
        <f>IF($W900=AC$3,$AB900,IF(NOT($W900=0),"",SUMIFS('Val-Vol (2)'!AC$4:AC$1116,'Val-Vol (2)'!$A$4:$A$1116,$D900,'Val-Vol (2)'!$V$4:$V$1116,$V900)/SUMIFS('Comp2016-2017 (3)'!$G$5:$G$289,'Comp2016-2017 (3)'!$A$5:$A$289,$D900,'Comp2016-2017 (3)'!$R$5:$R$289,$V900)*$AB900))</f>
        <v/>
      </c>
      <c r="AD900" s="2" t="str">
        <f>IF($W900=AD$3,$AB900,IF(NOT($W900=0),"",SUMIFS('Val-Vol (2)'!AD$4:AD$1116,'Val-Vol (2)'!$A$4:$A$1116,$D900,'Val-Vol (2)'!$V$4:$V$1116,$V900)/SUMIFS('Comp2016-2017 (3)'!$G$5:$G$289,'Comp2016-2017 (3)'!$A$5:$A$289,$D900,'Comp2016-2017 (3)'!$R$5:$R$289,$V900)*$AB900))</f>
        <v/>
      </c>
      <c r="AE900" s="2" t="str">
        <f>IF($W900=AE$3,$AB900,IF(NOT($W900=0),"",SUMIFS('Val-Vol (2)'!AE$4:AE$1116,'Val-Vol (2)'!$A$4:$A$1116,$D900,'Val-Vol (2)'!$V$4:$V$1116,$V900)/SUMIFS('Comp2016-2017 (3)'!$G$5:$G$289,'Comp2016-2017 (3)'!$A$5:$A$289,$D900,'Comp2016-2017 (3)'!$R$5:$R$289,$V900)*$AB900))</f>
        <v/>
      </c>
      <c r="AF900" s="2" t="str">
        <f>IF($W900=AF$3,$AB900,IF(NOT($W900=0),"",SUMIFS('Val-Vol (2)'!AF$4:AF$1116,'Val-Vol (2)'!$A$4:$A$1116,$D900,'Val-Vol (2)'!$V$4:$V$1116,$V900)/SUMIFS('Comp2016-2017 (3)'!$G$5:$G$289,'Comp2016-2017 (3)'!$A$5:$A$289,$D900,'Comp2016-2017 (3)'!$R$5:$R$289,$V900)*$AB900))</f>
        <v/>
      </c>
      <c r="AG900" s="2">
        <f>IF($W900=AG$3,$AB900,IF(NOT($W900=0),"",SUMIFS('Val-Vol (2)'!AG$4:AG$1116,'Val-Vol (2)'!$A$4:$A$1116,$D900,'Val-Vol (2)'!$V$4:$V$1116,$V900)/SUMIFS('Comp2016-2017 (3)'!$G$5:$G$289,'Comp2016-2017 (3)'!$A$5:$A$289,$D900,'Comp2016-2017 (3)'!$R$5:$R$289,$V900)*$AB900))</f>
        <v>4165.2636959025031</v>
      </c>
      <c r="AH900" s="2" t="str">
        <f>IF($W900=AH$3,$AB900,IF(NOT($W900=0),"",SUMIFS('Val-Vol (2)'!AH$4:AH$1116,'Val-Vol (2)'!$A$4:$A$1116,$D900,'Val-Vol (2)'!$V$4:$V$1116,$V900)/SUMIFS('Comp2016-2017 (3)'!$G$5:$G$289,'Comp2016-2017 (3)'!$A$5:$A$289,$D900,'Comp2016-2017 (3)'!$R$5:$R$289,$V900)*$AB900))</f>
        <v/>
      </c>
      <c r="AI900" s="2" t="str">
        <f>IF($W900=AI$3,$AB900,IF(NOT($W900=0),"",SUMIFS('Val-Vol (2)'!AI$4:AI$1116,'Val-Vol (2)'!$A$4:$A$1116,$D900,'Val-Vol (2)'!$V$4:$V$1116,$V900)/SUMIFS('Comp2016-2017 (3)'!$G$5:$G$289,'Comp2016-2017 (3)'!$A$5:$A$289,$D900,'Comp2016-2017 (3)'!$R$5:$R$289,$V900)*$AB900))</f>
        <v/>
      </c>
      <c r="AJ900" s="2" t="str">
        <f>IF($W900=AJ$3,$AB900,IF(NOT($W900=0),"",SUMIFS('Val-Vol (2)'!AJ$4:AJ$1116,'Val-Vol (2)'!$A$4:$A$1116,$D900,'Val-Vol (2)'!$V$4:$V$1116,$V900)/SUMIFS('Comp2016-2017 (3)'!$G$5:$G$289,'Comp2016-2017 (3)'!$A$5:$A$289,$D900,'Comp2016-2017 (3)'!$R$5:$R$289,$V900)*$AB900))</f>
        <v/>
      </c>
      <c r="AK900" s="2">
        <f t="shared" si="101"/>
        <v>0</v>
      </c>
      <c r="AL900" t="str">
        <f t="shared" ref="AL900:AL963" si="105">IF(A900=D900,"remplir à la main","")</f>
        <v/>
      </c>
      <c r="AM900" t="str">
        <f>VLOOKUP(A900,'Table corresp.'!$M$4:$U$63,8,FALSE)</f>
        <v>Production intermédiaire</v>
      </c>
      <c r="AN900" t="str">
        <f>VLOOKUP(D900,'Table corresp.'!$M$4:$U$63,9,FALSE)</f>
        <v>Production finale</v>
      </c>
    </row>
    <row r="901" spans="1:40" x14ac:dyDescent="0.25">
      <c r="A901" t="s">
        <v>83</v>
      </c>
      <c r="B901" t="str">
        <f>VLOOKUP(LEFT(A901,3),'Table corresp.'!$A$4:$D$63,3,FALSE)</f>
        <v>Transformation</v>
      </c>
      <c r="C901" t="str">
        <f>VLOOKUP(A901,'Table corresp.'!$M$4:$P$63,4,FALSE)</f>
        <v>Production et transformation de produits bois</v>
      </c>
      <c r="D901" t="s">
        <v>92</v>
      </c>
      <c r="E901" t="str">
        <f>VLOOKUP(LEFT(D901,3),'Table corresp.'!$A$4:$D$63,4,FALSE)</f>
        <v>Transformation</v>
      </c>
      <c r="F901" t="str">
        <f t="shared" si="102"/>
        <v xml:space="preserve">14  - 40 </v>
      </c>
      <c r="G901" s="164">
        <v>10848.318183757248</v>
      </c>
      <c r="H901" s="164">
        <v>38909.916541812985</v>
      </c>
      <c r="I901" s="164">
        <v>49758.234703857634</v>
      </c>
      <c r="J901" s="164">
        <v>123.74079543128374</v>
      </c>
      <c r="K901" s="164">
        <v>188.27432009374158</v>
      </c>
      <c r="L901" s="164">
        <v>312.01511552502529</v>
      </c>
      <c r="M901" s="164">
        <v>0</v>
      </c>
      <c r="N901" s="164">
        <v>0</v>
      </c>
      <c r="O901" s="164">
        <v>0</v>
      </c>
      <c r="P901" s="164">
        <v>0</v>
      </c>
      <c r="Q901" s="164">
        <v>0</v>
      </c>
      <c r="R901" s="164">
        <v>0</v>
      </c>
      <c r="S901" s="163" t="str">
        <f t="shared" si="103"/>
        <v/>
      </c>
      <c r="T901" s="163">
        <f>VLOOKUP(A901,'Groupe de branches'!$Z$27:$AM$86,14,FALSE)</f>
        <v>0</v>
      </c>
      <c r="U901" s="163">
        <f>VLOOKUP(D901,'Groupe de branches'!$Z$27:$AM$86,14,FALSE)</f>
        <v>0</v>
      </c>
      <c r="V901" s="163">
        <v>2018</v>
      </c>
      <c r="W901" t="str">
        <f>VLOOKUP(D901,'Table corresp.'!$M$4:$S$63,7,FALSE)</f>
        <v>Construction</v>
      </c>
      <c r="X901" s="167">
        <f>IFERROR(G901/SUMIFS('Comp2016-2017 (3)'!$I$5:$I$289,'Comp2016-2017 (3)'!$A$5:$A$289,A901,'Comp2016-2017 (3)'!$R$5:$R$289,V901),0)</f>
        <v>8.5329069576294991E-2</v>
      </c>
      <c r="Y901" s="178">
        <f>IFERROR(IF(RIGHT(F901,3)="Exp",VLOOKUP(F901,#REF!,2,FALSE),VLOOKUP(F901,#REF!,9,FALSE)),1)</f>
        <v>1</v>
      </c>
      <c r="Z901" s="167">
        <f t="shared" si="104"/>
        <v>7.1428571428571425E-2</v>
      </c>
      <c r="AA901" s="189">
        <f t="shared" ref="AA901:AA964" si="106">X901*Z901</f>
        <v>6.0949335411639273E-3</v>
      </c>
      <c r="AB901" s="2">
        <f>IFERROR(SUMIFS('Comp2016-2017 (3)'!$G$5:$G$289,'Comp2016-2017 (3)'!$A$5:$A$289,A901,'Comp2016-2017 (3)'!$R$5:$R$289,V901)*AA901/SUMIFS($AA$4:$AA$1116,$A$4:$A$1116,A901,$V$4:$V$1116,V901),0)</f>
        <v>2579.3966254481734</v>
      </c>
      <c r="AC901" s="2" t="str">
        <f>IF($W901=AC$3,$AB901,IF(NOT($W901=0),"",SUMIFS('Val-Vol (2)'!AC$4:AC$1116,'Val-Vol (2)'!$A$4:$A$1116,$D901,'Val-Vol (2)'!$V$4:$V$1116,$V901)/SUMIFS('Comp2016-2017 (3)'!$G$5:$G$289,'Comp2016-2017 (3)'!$A$5:$A$289,$D901,'Comp2016-2017 (3)'!$R$5:$R$289,$V901)*$AB901))</f>
        <v/>
      </c>
      <c r="AD901" s="2">
        <f>IF($W901=AD$3,$AB901,IF(NOT($W901=0),"",SUMIFS('Val-Vol (2)'!AD$4:AD$1116,'Val-Vol (2)'!$A$4:$A$1116,$D901,'Val-Vol (2)'!$V$4:$V$1116,$V901)/SUMIFS('Comp2016-2017 (3)'!$G$5:$G$289,'Comp2016-2017 (3)'!$A$5:$A$289,$D901,'Comp2016-2017 (3)'!$R$5:$R$289,$V901)*$AB901))</f>
        <v>2579.3966254481734</v>
      </c>
      <c r="AE901" s="2" t="str">
        <f>IF($W901=AE$3,$AB901,IF(NOT($W901=0),"",SUMIFS('Val-Vol (2)'!AE$4:AE$1116,'Val-Vol (2)'!$A$4:$A$1116,$D901,'Val-Vol (2)'!$V$4:$V$1116,$V901)/SUMIFS('Comp2016-2017 (3)'!$G$5:$G$289,'Comp2016-2017 (3)'!$A$5:$A$289,$D901,'Comp2016-2017 (3)'!$R$5:$R$289,$V901)*$AB901))</f>
        <v/>
      </c>
      <c r="AF901" s="2" t="str">
        <f>IF($W901=AF$3,$AB901,IF(NOT($W901=0),"",SUMIFS('Val-Vol (2)'!AF$4:AF$1116,'Val-Vol (2)'!$A$4:$A$1116,$D901,'Val-Vol (2)'!$V$4:$V$1116,$V901)/SUMIFS('Comp2016-2017 (3)'!$G$5:$G$289,'Comp2016-2017 (3)'!$A$5:$A$289,$D901,'Comp2016-2017 (3)'!$R$5:$R$289,$V901)*$AB901))</f>
        <v/>
      </c>
      <c r="AG901" s="2" t="str">
        <f>IF($W901=AG$3,$AB901,IF(NOT($W901=0),"",SUMIFS('Val-Vol (2)'!AG$4:AG$1116,'Val-Vol (2)'!$A$4:$A$1116,$D901,'Val-Vol (2)'!$V$4:$V$1116,$V901)/SUMIFS('Comp2016-2017 (3)'!$G$5:$G$289,'Comp2016-2017 (3)'!$A$5:$A$289,$D901,'Comp2016-2017 (3)'!$R$5:$R$289,$V901)*$AB901))</f>
        <v/>
      </c>
      <c r="AH901" s="2" t="str">
        <f>IF($W901=AH$3,$AB901,IF(NOT($W901=0),"",SUMIFS('Val-Vol (2)'!AH$4:AH$1116,'Val-Vol (2)'!$A$4:$A$1116,$D901,'Val-Vol (2)'!$V$4:$V$1116,$V901)/SUMIFS('Comp2016-2017 (3)'!$G$5:$G$289,'Comp2016-2017 (3)'!$A$5:$A$289,$D901,'Comp2016-2017 (3)'!$R$5:$R$289,$V901)*$AB901))</f>
        <v/>
      </c>
      <c r="AI901" s="2" t="str">
        <f>IF($W901=AI$3,$AB901,IF(NOT($W901=0),"",SUMIFS('Val-Vol (2)'!AI$4:AI$1116,'Val-Vol (2)'!$A$4:$A$1116,$D901,'Val-Vol (2)'!$V$4:$V$1116,$V901)/SUMIFS('Comp2016-2017 (3)'!$G$5:$G$289,'Comp2016-2017 (3)'!$A$5:$A$289,$D901,'Comp2016-2017 (3)'!$R$5:$R$289,$V901)*$AB901))</f>
        <v/>
      </c>
      <c r="AJ901" s="2" t="str">
        <f>IF($W901=AJ$3,$AB901,IF(NOT($W901=0),"",SUMIFS('Val-Vol (2)'!AJ$4:AJ$1116,'Val-Vol (2)'!$A$4:$A$1116,$D901,'Val-Vol (2)'!$V$4:$V$1116,$V901)/SUMIFS('Comp2016-2017 (3)'!$G$5:$G$289,'Comp2016-2017 (3)'!$A$5:$A$289,$D901,'Comp2016-2017 (3)'!$R$5:$R$289,$V901)*$AB901))</f>
        <v/>
      </c>
      <c r="AK901" s="2">
        <f t="shared" si="101"/>
        <v>0</v>
      </c>
      <c r="AL901" t="str">
        <f t="shared" si="105"/>
        <v/>
      </c>
      <c r="AM901" t="str">
        <f>VLOOKUP(A901,'Table corresp.'!$M$4:$U$63,8,FALSE)</f>
        <v>Production intermédiaire</v>
      </c>
      <c r="AN901" t="str">
        <f>VLOOKUP(D901,'Table corresp.'!$M$4:$U$63,9,FALSE)</f>
        <v>Production finale</v>
      </c>
    </row>
    <row r="902" spans="1:40" x14ac:dyDescent="0.25">
      <c r="A902" t="s">
        <v>83</v>
      </c>
      <c r="B902" t="str">
        <f>VLOOKUP(LEFT(A902,3),'Table corresp.'!$A$4:$D$63,3,FALSE)</f>
        <v>Transformation</v>
      </c>
      <c r="C902" t="str">
        <f>VLOOKUP(A902,'Table corresp.'!$M$4:$P$63,4,FALSE)</f>
        <v>Production et transformation de produits bois</v>
      </c>
      <c r="D902" t="s">
        <v>99</v>
      </c>
      <c r="E902" t="str">
        <f>VLOOKUP(LEFT(D902,3),'Table corresp.'!$A$4:$D$63,4,FALSE)</f>
        <v>Transformation</v>
      </c>
      <c r="F902" t="str">
        <f t="shared" si="102"/>
        <v xml:space="preserve">14  - 47 </v>
      </c>
      <c r="G902" s="164">
        <v>463.73752174719095</v>
      </c>
      <c r="H902" s="164">
        <v>928.08363508747129</v>
      </c>
      <c r="I902" s="164">
        <v>1391.8211565142433</v>
      </c>
      <c r="J902" s="164">
        <v>4.7225537235029824</v>
      </c>
      <c r="K902" s="164">
        <v>4.0093325980069041</v>
      </c>
      <c r="L902" s="164">
        <v>8.7318863215098865</v>
      </c>
      <c r="M902" s="164">
        <v>0</v>
      </c>
      <c r="N902" s="164">
        <v>0</v>
      </c>
      <c r="O902" s="164">
        <v>0</v>
      </c>
      <c r="P902" s="164">
        <v>0</v>
      </c>
      <c r="Q902" s="164">
        <v>0</v>
      </c>
      <c r="R902" s="164">
        <v>0</v>
      </c>
      <c r="S902" s="163" t="str">
        <f t="shared" si="103"/>
        <v/>
      </c>
      <c r="T902" s="163">
        <f>VLOOKUP(A902,'Groupe de branches'!$Z$27:$AM$86,14,FALSE)</f>
        <v>0</v>
      </c>
      <c r="U902" s="163">
        <f>VLOOKUP(D902,'Groupe de branches'!$Z$27:$AM$86,14,FALSE)</f>
        <v>0</v>
      </c>
      <c r="V902" s="163">
        <v>2018</v>
      </c>
      <c r="W902" t="str">
        <f>VLOOKUP(D902,'Table corresp.'!$M$4:$S$63,7,FALSE)</f>
        <v>Meuble</v>
      </c>
      <c r="X902" s="167">
        <f>IFERROR(G902/SUMIFS('Comp2016-2017 (3)'!$I$5:$I$289,'Comp2016-2017 (3)'!$A$5:$A$289,A902,'Comp2016-2017 (3)'!$R$5:$R$289,V902),0)</f>
        <v>3.6475968521601509E-3</v>
      </c>
      <c r="Y902" s="178">
        <f>IFERROR(IF(RIGHT(F902,3)="Exp",VLOOKUP(F902,#REF!,2,FALSE),VLOOKUP(F902,#REF!,9,FALSE)),1)</f>
        <v>1</v>
      </c>
      <c r="Z902" s="167">
        <f t="shared" si="104"/>
        <v>7.1428571428571425E-2</v>
      </c>
      <c r="AA902" s="189">
        <f t="shared" si="106"/>
        <v>2.605426322971536E-4</v>
      </c>
      <c r="AB902" s="2">
        <f>IFERROR(SUMIFS('Comp2016-2017 (3)'!$G$5:$G$289,'Comp2016-2017 (3)'!$A$5:$A$289,A902,'Comp2016-2017 (3)'!$R$5:$R$289,V902)*AA902/SUMIFS($AA$4:$AA$1116,$A$4:$A$1116,A902,$V$4:$V$1116,V902),0)</f>
        <v>110.26252903232226</v>
      </c>
      <c r="AC902" s="2" t="str">
        <f>IF($W902=AC$3,$AB902,IF(NOT($W902=0),"",SUMIFS('Val-Vol (2)'!AC$4:AC$1116,'Val-Vol (2)'!$A$4:$A$1116,$D902,'Val-Vol (2)'!$V$4:$V$1116,$V902)/SUMIFS('Comp2016-2017 (3)'!$G$5:$G$289,'Comp2016-2017 (3)'!$A$5:$A$289,$D902,'Comp2016-2017 (3)'!$R$5:$R$289,$V902)*$AB902))</f>
        <v/>
      </c>
      <c r="AD902" s="2" t="str">
        <f>IF($W902=AD$3,$AB902,IF(NOT($W902=0),"",SUMIFS('Val-Vol (2)'!AD$4:AD$1116,'Val-Vol (2)'!$A$4:$A$1116,$D902,'Val-Vol (2)'!$V$4:$V$1116,$V902)/SUMIFS('Comp2016-2017 (3)'!$G$5:$G$289,'Comp2016-2017 (3)'!$A$5:$A$289,$D902,'Comp2016-2017 (3)'!$R$5:$R$289,$V902)*$AB902))</f>
        <v/>
      </c>
      <c r="AE902" s="2">
        <f>IF($W902=AE$3,$AB902,IF(NOT($W902=0),"",SUMIFS('Val-Vol (2)'!AE$4:AE$1116,'Val-Vol (2)'!$A$4:$A$1116,$D902,'Val-Vol (2)'!$V$4:$V$1116,$V902)/SUMIFS('Comp2016-2017 (3)'!$G$5:$G$289,'Comp2016-2017 (3)'!$A$5:$A$289,$D902,'Comp2016-2017 (3)'!$R$5:$R$289,$V902)*$AB902))</f>
        <v>110.26252903232226</v>
      </c>
      <c r="AF902" s="2" t="str">
        <f>IF($W902=AF$3,$AB902,IF(NOT($W902=0),"",SUMIFS('Val-Vol (2)'!AF$4:AF$1116,'Val-Vol (2)'!$A$4:$A$1116,$D902,'Val-Vol (2)'!$V$4:$V$1116,$V902)/SUMIFS('Comp2016-2017 (3)'!$G$5:$G$289,'Comp2016-2017 (3)'!$A$5:$A$289,$D902,'Comp2016-2017 (3)'!$R$5:$R$289,$V902)*$AB902))</f>
        <v/>
      </c>
      <c r="AG902" s="2" t="str">
        <f>IF($W902=AG$3,$AB902,IF(NOT($W902=0),"",SUMIFS('Val-Vol (2)'!AG$4:AG$1116,'Val-Vol (2)'!$A$4:$A$1116,$D902,'Val-Vol (2)'!$V$4:$V$1116,$V902)/SUMIFS('Comp2016-2017 (3)'!$G$5:$G$289,'Comp2016-2017 (3)'!$A$5:$A$289,$D902,'Comp2016-2017 (3)'!$R$5:$R$289,$V902)*$AB902))</f>
        <v/>
      </c>
      <c r="AH902" s="2" t="str">
        <f>IF($W902=AH$3,$AB902,IF(NOT($W902=0),"",SUMIFS('Val-Vol (2)'!AH$4:AH$1116,'Val-Vol (2)'!$A$4:$A$1116,$D902,'Val-Vol (2)'!$V$4:$V$1116,$V902)/SUMIFS('Comp2016-2017 (3)'!$G$5:$G$289,'Comp2016-2017 (3)'!$A$5:$A$289,$D902,'Comp2016-2017 (3)'!$R$5:$R$289,$V902)*$AB902))</f>
        <v/>
      </c>
      <c r="AI902" s="2" t="str">
        <f>IF($W902=AI$3,$AB902,IF(NOT($W902=0),"",SUMIFS('Val-Vol (2)'!AI$4:AI$1116,'Val-Vol (2)'!$A$4:$A$1116,$D902,'Val-Vol (2)'!$V$4:$V$1116,$V902)/SUMIFS('Comp2016-2017 (3)'!$G$5:$G$289,'Comp2016-2017 (3)'!$A$5:$A$289,$D902,'Comp2016-2017 (3)'!$R$5:$R$289,$V902)*$AB902))</f>
        <v/>
      </c>
      <c r="AJ902" s="2" t="str">
        <f>IF($W902=AJ$3,$AB902,IF(NOT($W902=0),"",SUMIFS('Val-Vol (2)'!AJ$4:AJ$1116,'Val-Vol (2)'!$A$4:$A$1116,$D902,'Val-Vol (2)'!$V$4:$V$1116,$V902)/SUMIFS('Comp2016-2017 (3)'!$G$5:$G$289,'Comp2016-2017 (3)'!$A$5:$A$289,$D902,'Comp2016-2017 (3)'!$R$5:$R$289,$V902)*$AB902))</f>
        <v/>
      </c>
      <c r="AK902" s="2">
        <f t="shared" si="101"/>
        <v>0</v>
      </c>
      <c r="AL902" t="str">
        <f t="shared" si="105"/>
        <v/>
      </c>
      <c r="AM902" t="str">
        <f>VLOOKUP(A902,'Table corresp.'!$M$4:$U$63,8,FALSE)</f>
        <v>Production intermédiaire</v>
      </c>
      <c r="AN902" t="str">
        <f>VLOOKUP(D902,'Table corresp.'!$M$4:$U$63,9,FALSE)</f>
        <v>Production finale</v>
      </c>
    </row>
    <row r="903" spans="1:40" x14ac:dyDescent="0.25">
      <c r="A903" t="s">
        <v>83</v>
      </c>
      <c r="B903" t="str">
        <f>VLOOKUP(LEFT(A903,3),'Table corresp.'!$A$4:$D$63,3,FALSE)</f>
        <v>Transformation</v>
      </c>
      <c r="C903" t="str">
        <f>VLOOKUP(A903,'Table corresp.'!$M$4:$P$63,4,FALSE)</f>
        <v>Production et transformation de produits bois</v>
      </c>
      <c r="D903" t="s">
        <v>19</v>
      </c>
      <c r="E903" t="str">
        <f>VLOOKUP(LEFT(D903,3),'Table corresp.'!$A$4:$D$63,4,FALSE)</f>
        <v>Transformation</v>
      </c>
      <c r="F903" t="str">
        <f t="shared" si="102"/>
        <v xml:space="preserve">14  - 52 </v>
      </c>
      <c r="G903" s="164">
        <v>920.93420235881149</v>
      </c>
      <c r="H903" s="164">
        <v>962.44670777227543</v>
      </c>
      <c r="I903" s="164">
        <v>1883.3809102227092</v>
      </c>
      <c r="J903" s="164">
        <v>11.723122031577335</v>
      </c>
      <c r="K903" s="164">
        <v>5.1972268627386713</v>
      </c>
      <c r="L903" s="164">
        <v>16.920348894316007</v>
      </c>
      <c r="M903" s="164">
        <v>0</v>
      </c>
      <c r="N903" s="164">
        <v>0</v>
      </c>
      <c r="O903" s="164">
        <v>0</v>
      </c>
      <c r="P903" s="164">
        <v>0</v>
      </c>
      <c r="Q903" s="164">
        <v>0</v>
      </c>
      <c r="R903" s="164">
        <v>0</v>
      </c>
      <c r="S903" s="163" t="str">
        <f t="shared" si="103"/>
        <v/>
      </c>
      <c r="T903" s="163">
        <f>VLOOKUP(A903,'Groupe de branches'!$Z$27:$AM$86,14,FALSE)</f>
        <v>0</v>
      </c>
      <c r="U903" s="163">
        <f>VLOOKUP(D903,'Groupe de branches'!$Z$27:$AM$86,14,FALSE)</f>
        <v>0</v>
      </c>
      <c r="V903" s="163">
        <v>2018</v>
      </c>
      <c r="W903" t="str">
        <f>VLOOKUP(D903,'Table corresp.'!$M$4:$S$63,7,FALSE)</f>
        <v>Construction</v>
      </c>
      <c r="X903" s="167">
        <f>IFERROR(G903/SUMIFS('Comp2016-2017 (3)'!$I$5:$I$289,'Comp2016-2017 (3)'!$A$5:$A$289,A903,'Comp2016-2017 (3)'!$R$5:$R$289,V903),0)</f>
        <v>7.2437457398625265E-3</v>
      </c>
      <c r="Y903" s="178">
        <f>IFERROR(IF(RIGHT(F903,3)="Exp",VLOOKUP(F903,#REF!,2,FALSE),VLOOKUP(F903,#REF!,9,FALSE)),1)</f>
        <v>1</v>
      </c>
      <c r="Z903" s="167">
        <f t="shared" si="104"/>
        <v>7.1428571428571425E-2</v>
      </c>
      <c r="AA903" s="189">
        <f t="shared" si="106"/>
        <v>5.1741040999018042E-4</v>
      </c>
      <c r="AB903" s="2">
        <f>IFERROR(SUMIFS('Comp2016-2017 (3)'!$G$5:$G$289,'Comp2016-2017 (3)'!$A$5:$A$289,A903,'Comp2016-2017 (3)'!$R$5:$R$289,V903)*AA903/SUMIFS($AA$4:$AA$1116,$A$4:$A$1116,A903,$V$4:$V$1116,V903),0)</f>
        <v>218.9698470847579</v>
      </c>
      <c r="AC903" s="2" t="str">
        <f>IF($W903=AC$3,$AB903,IF(NOT($W903=0),"",SUMIFS('Val-Vol (2)'!AC$4:AC$1116,'Val-Vol (2)'!$A$4:$A$1116,$D903,'Val-Vol (2)'!$V$4:$V$1116,$V903)/SUMIFS('Comp2016-2017 (3)'!$G$5:$G$289,'Comp2016-2017 (3)'!$A$5:$A$289,$D903,'Comp2016-2017 (3)'!$R$5:$R$289,$V903)*$AB903))</f>
        <v/>
      </c>
      <c r="AD903" s="2">
        <f>IF($W903=AD$3,$AB903,IF(NOT($W903=0),"",SUMIFS('Val-Vol (2)'!AD$4:AD$1116,'Val-Vol (2)'!$A$4:$A$1116,$D903,'Val-Vol (2)'!$V$4:$V$1116,$V903)/SUMIFS('Comp2016-2017 (3)'!$G$5:$G$289,'Comp2016-2017 (3)'!$A$5:$A$289,$D903,'Comp2016-2017 (3)'!$R$5:$R$289,$V903)*$AB903))</f>
        <v>218.9698470847579</v>
      </c>
      <c r="AE903" s="2" t="str">
        <f>IF($W903=AE$3,$AB903,IF(NOT($W903=0),"",SUMIFS('Val-Vol (2)'!AE$4:AE$1116,'Val-Vol (2)'!$A$4:$A$1116,$D903,'Val-Vol (2)'!$V$4:$V$1116,$V903)/SUMIFS('Comp2016-2017 (3)'!$G$5:$G$289,'Comp2016-2017 (3)'!$A$5:$A$289,$D903,'Comp2016-2017 (3)'!$R$5:$R$289,$V903)*$AB903))</f>
        <v/>
      </c>
      <c r="AF903" s="2" t="str">
        <f>IF($W903=AF$3,$AB903,IF(NOT($W903=0),"",SUMIFS('Val-Vol (2)'!AF$4:AF$1116,'Val-Vol (2)'!$A$4:$A$1116,$D903,'Val-Vol (2)'!$V$4:$V$1116,$V903)/SUMIFS('Comp2016-2017 (3)'!$G$5:$G$289,'Comp2016-2017 (3)'!$A$5:$A$289,$D903,'Comp2016-2017 (3)'!$R$5:$R$289,$V903)*$AB903))</f>
        <v/>
      </c>
      <c r="AG903" s="2" t="str">
        <f>IF($W903=AG$3,$AB903,IF(NOT($W903=0),"",SUMIFS('Val-Vol (2)'!AG$4:AG$1116,'Val-Vol (2)'!$A$4:$A$1116,$D903,'Val-Vol (2)'!$V$4:$V$1116,$V903)/SUMIFS('Comp2016-2017 (3)'!$G$5:$G$289,'Comp2016-2017 (3)'!$A$5:$A$289,$D903,'Comp2016-2017 (3)'!$R$5:$R$289,$V903)*$AB903))</f>
        <v/>
      </c>
      <c r="AH903" s="2" t="str">
        <f>IF($W903=AH$3,$AB903,IF(NOT($W903=0),"",SUMIFS('Val-Vol (2)'!AH$4:AH$1116,'Val-Vol (2)'!$A$4:$A$1116,$D903,'Val-Vol (2)'!$V$4:$V$1116,$V903)/SUMIFS('Comp2016-2017 (3)'!$G$5:$G$289,'Comp2016-2017 (3)'!$A$5:$A$289,$D903,'Comp2016-2017 (3)'!$R$5:$R$289,$V903)*$AB903))</f>
        <v/>
      </c>
      <c r="AI903" s="2" t="str">
        <f>IF($W903=AI$3,$AB903,IF(NOT($W903=0),"",SUMIFS('Val-Vol (2)'!AI$4:AI$1116,'Val-Vol (2)'!$A$4:$A$1116,$D903,'Val-Vol (2)'!$V$4:$V$1116,$V903)/SUMIFS('Comp2016-2017 (3)'!$G$5:$G$289,'Comp2016-2017 (3)'!$A$5:$A$289,$D903,'Comp2016-2017 (3)'!$R$5:$R$289,$V903)*$AB903))</f>
        <v/>
      </c>
      <c r="AJ903" s="2" t="str">
        <f>IF($W903=AJ$3,$AB903,IF(NOT($W903=0),"",SUMIFS('Val-Vol (2)'!AJ$4:AJ$1116,'Val-Vol (2)'!$A$4:$A$1116,$D903,'Val-Vol (2)'!$V$4:$V$1116,$V903)/SUMIFS('Comp2016-2017 (3)'!$G$5:$G$289,'Comp2016-2017 (3)'!$A$5:$A$289,$D903,'Comp2016-2017 (3)'!$R$5:$R$289,$V903)*$AB903))</f>
        <v/>
      </c>
      <c r="AK903" s="2">
        <f t="shared" si="101"/>
        <v>0</v>
      </c>
      <c r="AL903" t="str">
        <f t="shared" si="105"/>
        <v/>
      </c>
      <c r="AM903" t="str">
        <f>VLOOKUP(A903,'Table corresp.'!$M$4:$U$63,8,FALSE)</f>
        <v>Production intermédiaire</v>
      </c>
      <c r="AN903" t="str">
        <f>VLOOKUP(D903,'Table corresp.'!$M$4:$U$63,9,FALSE)</f>
        <v xml:space="preserve">Mise en œuvre </v>
      </c>
    </row>
    <row r="904" spans="1:40" x14ac:dyDescent="0.25">
      <c r="A904" t="s">
        <v>83</v>
      </c>
      <c r="B904" t="str">
        <f>VLOOKUP(LEFT(A904,3),'Table corresp.'!$A$4:$D$63,3,FALSE)</f>
        <v>Transformation</v>
      </c>
      <c r="C904" t="str">
        <f>VLOOKUP(A904,'Table corresp.'!$M$4:$P$63,4,FALSE)</f>
        <v>Production et transformation de produits bois</v>
      </c>
      <c r="D904" t="s">
        <v>21</v>
      </c>
      <c r="E904" t="str">
        <f>VLOOKUP(LEFT(D904,3),'Table corresp.'!$A$4:$D$63,4,FALSE)</f>
        <v>Transformation</v>
      </c>
      <c r="F904" t="str">
        <f t="shared" si="102"/>
        <v xml:space="preserve">14  - 54 </v>
      </c>
      <c r="G904" s="164">
        <v>4702.0509161718919</v>
      </c>
      <c r="H904" s="164">
        <v>11049.592323251785</v>
      </c>
      <c r="I904" s="164">
        <v>15751.643234819714</v>
      </c>
      <c r="J904" s="164">
        <v>23.942086871260042</v>
      </c>
      <c r="K904" s="164">
        <v>23.867186652916704</v>
      </c>
      <c r="L904" s="164">
        <v>47.809273524176746</v>
      </c>
      <c r="M904" s="164">
        <v>0</v>
      </c>
      <c r="N904" s="164">
        <v>0</v>
      </c>
      <c r="O904" s="164">
        <v>0</v>
      </c>
      <c r="P904" s="164">
        <v>0</v>
      </c>
      <c r="Q904" s="164">
        <v>0</v>
      </c>
      <c r="R904" s="164">
        <v>0</v>
      </c>
      <c r="S904" s="163" t="str">
        <f t="shared" si="103"/>
        <v/>
      </c>
      <c r="T904" s="163">
        <f>VLOOKUP(A904,'Groupe de branches'!$Z$27:$AM$86,14,FALSE)</f>
        <v>0</v>
      </c>
      <c r="U904" s="163">
        <f>VLOOKUP(D904,'Groupe de branches'!$Z$27:$AM$86,14,FALSE)</f>
        <v>0</v>
      </c>
      <c r="V904" s="163">
        <v>2018</v>
      </c>
      <c r="W904" t="str">
        <f>VLOOKUP(D904,'Table corresp.'!$M$4:$S$63,7,FALSE)</f>
        <v>Construction</v>
      </c>
      <c r="X904" s="167">
        <f>IFERROR(G904/SUMIFS('Comp2016-2017 (3)'!$I$5:$I$289,'Comp2016-2017 (3)'!$A$5:$A$289,A904,'Comp2016-2017 (3)'!$R$5:$R$289,V904),0)</f>
        <v>3.6984684905172309E-2</v>
      </c>
      <c r="Y904" s="178">
        <f>IFERROR(IF(RIGHT(F904,3)="Exp",VLOOKUP(F904,#REF!,2,FALSE),VLOOKUP(F904,#REF!,9,FALSE)),1)</f>
        <v>1</v>
      </c>
      <c r="Z904" s="167">
        <f t="shared" si="104"/>
        <v>7.1428571428571425E-2</v>
      </c>
      <c r="AA904" s="189">
        <f t="shared" si="106"/>
        <v>2.6417632075123078E-3</v>
      </c>
      <c r="AB904" s="2">
        <f>IFERROR(SUMIFS('Comp2016-2017 (3)'!$G$5:$G$289,'Comp2016-2017 (3)'!$A$5:$A$289,A904,'Comp2016-2017 (3)'!$R$5:$R$289,V904)*AA904/SUMIFS($AA$4:$AA$1116,$A$4:$A$1116,A904,$V$4:$V$1116,V904),0)</f>
        <v>1118.0031835735347</v>
      </c>
      <c r="AC904" s="2" t="str">
        <f>IF($W904=AC$3,$AB904,IF(NOT($W904=0),"",SUMIFS('Val-Vol (2)'!AC$4:AC$1116,'Val-Vol (2)'!$A$4:$A$1116,$D904,'Val-Vol (2)'!$V$4:$V$1116,$V904)/SUMIFS('Comp2016-2017 (3)'!$G$5:$G$289,'Comp2016-2017 (3)'!$A$5:$A$289,$D904,'Comp2016-2017 (3)'!$R$5:$R$289,$V904)*$AB904))</f>
        <v/>
      </c>
      <c r="AD904" s="2">
        <f>IF($W904=AD$3,$AB904,IF(NOT($W904=0),"",SUMIFS('Val-Vol (2)'!AD$4:AD$1116,'Val-Vol (2)'!$A$4:$A$1116,$D904,'Val-Vol (2)'!$V$4:$V$1116,$V904)/SUMIFS('Comp2016-2017 (3)'!$G$5:$G$289,'Comp2016-2017 (3)'!$A$5:$A$289,$D904,'Comp2016-2017 (3)'!$R$5:$R$289,$V904)*$AB904))</f>
        <v>1118.0031835735347</v>
      </c>
      <c r="AE904" s="2" t="str">
        <f>IF($W904=AE$3,$AB904,IF(NOT($W904=0),"",SUMIFS('Val-Vol (2)'!AE$4:AE$1116,'Val-Vol (2)'!$A$4:$A$1116,$D904,'Val-Vol (2)'!$V$4:$V$1116,$V904)/SUMIFS('Comp2016-2017 (3)'!$G$5:$G$289,'Comp2016-2017 (3)'!$A$5:$A$289,$D904,'Comp2016-2017 (3)'!$R$5:$R$289,$V904)*$AB904))</f>
        <v/>
      </c>
      <c r="AF904" s="2" t="str">
        <f>IF($W904=AF$3,$AB904,IF(NOT($W904=0),"",SUMIFS('Val-Vol (2)'!AF$4:AF$1116,'Val-Vol (2)'!$A$4:$A$1116,$D904,'Val-Vol (2)'!$V$4:$V$1116,$V904)/SUMIFS('Comp2016-2017 (3)'!$G$5:$G$289,'Comp2016-2017 (3)'!$A$5:$A$289,$D904,'Comp2016-2017 (3)'!$R$5:$R$289,$V904)*$AB904))</f>
        <v/>
      </c>
      <c r="AG904" s="2" t="str">
        <f>IF($W904=AG$3,$AB904,IF(NOT($W904=0),"",SUMIFS('Val-Vol (2)'!AG$4:AG$1116,'Val-Vol (2)'!$A$4:$A$1116,$D904,'Val-Vol (2)'!$V$4:$V$1116,$V904)/SUMIFS('Comp2016-2017 (3)'!$G$5:$G$289,'Comp2016-2017 (3)'!$A$5:$A$289,$D904,'Comp2016-2017 (3)'!$R$5:$R$289,$V904)*$AB904))</f>
        <v/>
      </c>
      <c r="AH904" s="2" t="str">
        <f>IF($W904=AH$3,$AB904,IF(NOT($W904=0),"",SUMIFS('Val-Vol (2)'!AH$4:AH$1116,'Val-Vol (2)'!$A$4:$A$1116,$D904,'Val-Vol (2)'!$V$4:$V$1116,$V904)/SUMIFS('Comp2016-2017 (3)'!$G$5:$G$289,'Comp2016-2017 (3)'!$A$5:$A$289,$D904,'Comp2016-2017 (3)'!$R$5:$R$289,$V904)*$AB904))</f>
        <v/>
      </c>
      <c r="AI904" s="2" t="str">
        <f>IF($W904=AI$3,$AB904,IF(NOT($W904=0),"",SUMIFS('Val-Vol (2)'!AI$4:AI$1116,'Val-Vol (2)'!$A$4:$A$1116,$D904,'Val-Vol (2)'!$V$4:$V$1116,$V904)/SUMIFS('Comp2016-2017 (3)'!$G$5:$G$289,'Comp2016-2017 (3)'!$A$5:$A$289,$D904,'Comp2016-2017 (3)'!$R$5:$R$289,$V904)*$AB904))</f>
        <v/>
      </c>
      <c r="AJ904" s="2" t="str">
        <f>IF($W904=AJ$3,$AB904,IF(NOT($W904=0),"",SUMIFS('Val-Vol (2)'!AJ$4:AJ$1116,'Val-Vol (2)'!$A$4:$A$1116,$D904,'Val-Vol (2)'!$V$4:$V$1116,$V904)/SUMIFS('Comp2016-2017 (3)'!$G$5:$G$289,'Comp2016-2017 (3)'!$A$5:$A$289,$D904,'Comp2016-2017 (3)'!$R$5:$R$289,$V904)*$AB904))</f>
        <v/>
      </c>
      <c r="AK904" s="2">
        <f t="shared" si="101"/>
        <v>0</v>
      </c>
      <c r="AL904" t="str">
        <f t="shared" si="105"/>
        <v/>
      </c>
      <c r="AM904" t="str">
        <f>VLOOKUP(A904,'Table corresp.'!$M$4:$U$63,8,FALSE)</f>
        <v>Production intermédiaire</v>
      </c>
      <c r="AN904" t="str">
        <f>VLOOKUP(D904,'Table corresp.'!$M$4:$U$63,9,FALSE)</f>
        <v xml:space="preserve">Mise en œuvre </v>
      </c>
    </row>
    <row r="905" spans="1:40" x14ac:dyDescent="0.25">
      <c r="A905" t="s">
        <v>83</v>
      </c>
      <c r="B905" t="str">
        <f>VLOOKUP(LEFT(A905,3),'Table corresp.'!$A$4:$D$63,3,FALSE)</f>
        <v>Transformation</v>
      </c>
      <c r="C905" t="str">
        <f>VLOOKUP(A905,'Table corresp.'!$M$4:$P$63,4,FALSE)</f>
        <v>Production et transformation de produits bois</v>
      </c>
      <c r="D905" t="s">
        <v>22</v>
      </c>
      <c r="E905" t="str">
        <f>VLOOKUP(LEFT(D905,3),'Table corresp.'!$A$4:$D$63,4,FALSE)</f>
        <v>Transformation</v>
      </c>
      <c r="F905" t="str">
        <f t="shared" si="102"/>
        <v xml:space="preserve">14  - 55 </v>
      </c>
      <c r="G905" s="164">
        <v>725.41456519682254</v>
      </c>
      <c r="H905" s="164">
        <v>981.94886873386304</v>
      </c>
      <c r="I905" s="164">
        <v>1707.3634338178308</v>
      </c>
      <c r="J905" s="164">
        <v>3.6936942724047572</v>
      </c>
      <c r="K905" s="164">
        <v>2.1210155314394825</v>
      </c>
      <c r="L905" s="164">
        <v>5.8147098038442397</v>
      </c>
      <c r="M905" s="164">
        <v>0</v>
      </c>
      <c r="N905" s="164">
        <v>0</v>
      </c>
      <c r="O905" s="164">
        <v>0</v>
      </c>
      <c r="P905" s="164">
        <v>0</v>
      </c>
      <c r="Q905" s="164">
        <v>0</v>
      </c>
      <c r="R905" s="164">
        <v>0</v>
      </c>
      <c r="S905" s="163" t="str">
        <f t="shared" si="103"/>
        <v/>
      </c>
      <c r="T905" s="163">
        <f>VLOOKUP(A905,'Groupe de branches'!$Z$27:$AM$86,14,FALSE)</f>
        <v>0</v>
      </c>
      <c r="U905" s="163">
        <f>VLOOKUP(D905,'Groupe de branches'!$Z$27:$AM$86,14,FALSE)</f>
        <v>0</v>
      </c>
      <c r="V905" s="163">
        <v>2018</v>
      </c>
      <c r="W905" t="str">
        <f>VLOOKUP(D905,'Table corresp.'!$M$4:$S$63,7,FALSE)</f>
        <v>Construction</v>
      </c>
      <c r="X905" s="167">
        <f>IFERROR(G905/SUMIFS('Comp2016-2017 (3)'!$I$5:$I$289,'Comp2016-2017 (3)'!$A$5:$A$289,A905,'Comp2016-2017 (3)'!$R$5:$R$289,V905),0)</f>
        <v>5.7058567841433948E-3</v>
      </c>
      <c r="Y905" s="178">
        <f>IFERROR(IF(RIGHT(F905,3)="Exp",VLOOKUP(F905,#REF!,2,FALSE),VLOOKUP(F905,#REF!,9,FALSE)),1)</f>
        <v>1</v>
      </c>
      <c r="Z905" s="167">
        <f t="shared" si="104"/>
        <v>7.1428571428571425E-2</v>
      </c>
      <c r="AA905" s="189">
        <f t="shared" si="106"/>
        <v>4.0756119886738531E-4</v>
      </c>
      <c r="AB905" s="2">
        <f>IFERROR(SUMIFS('Comp2016-2017 (3)'!$G$5:$G$289,'Comp2016-2017 (3)'!$A$5:$A$289,A905,'Comp2016-2017 (3)'!$R$5:$R$289,V905)*AA905/SUMIFS($AA$4:$AA$1116,$A$4:$A$1116,A905,$V$4:$V$1116,V905),0)</f>
        <v>172.48128694466288</v>
      </c>
      <c r="AC905" s="2" t="str">
        <f>IF($W905=AC$3,$AB905,IF(NOT($W905=0),"",SUMIFS('Val-Vol (2)'!AC$4:AC$1116,'Val-Vol (2)'!$A$4:$A$1116,$D905,'Val-Vol (2)'!$V$4:$V$1116,$V905)/SUMIFS('Comp2016-2017 (3)'!$G$5:$G$289,'Comp2016-2017 (3)'!$A$5:$A$289,$D905,'Comp2016-2017 (3)'!$R$5:$R$289,$V905)*$AB905))</f>
        <v/>
      </c>
      <c r="AD905" s="2">
        <f>IF($W905=AD$3,$AB905,IF(NOT($W905=0),"",SUMIFS('Val-Vol (2)'!AD$4:AD$1116,'Val-Vol (2)'!$A$4:$A$1116,$D905,'Val-Vol (2)'!$V$4:$V$1116,$V905)/SUMIFS('Comp2016-2017 (3)'!$G$5:$G$289,'Comp2016-2017 (3)'!$A$5:$A$289,$D905,'Comp2016-2017 (3)'!$R$5:$R$289,$V905)*$AB905))</f>
        <v>172.48128694466288</v>
      </c>
      <c r="AE905" s="2" t="str">
        <f>IF($W905=AE$3,$AB905,IF(NOT($W905=0),"",SUMIFS('Val-Vol (2)'!AE$4:AE$1116,'Val-Vol (2)'!$A$4:$A$1116,$D905,'Val-Vol (2)'!$V$4:$V$1116,$V905)/SUMIFS('Comp2016-2017 (3)'!$G$5:$G$289,'Comp2016-2017 (3)'!$A$5:$A$289,$D905,'Comp2016-2017 (3)'!$R$5:$R$289,$V905)*$AB905))</f>
        <v/>
      </c>
      <c r="AF905" s="2" t="str">
        <f>IF($W905=AF$3,$AB905,IF(NOT($W905=0),"",SUMIFS('Val-Vol (2)'!AF$4:AF$1116,'Val-Vol (2)'!$A$4:$A$1116,$D905,'Val-Vol (2)'!$V$4:$V$1116,$V905)/SUMIFS('Comp2016-2017 (3)'!$G$5:$G$289,'Comp2016-2017 (3)'!$A$5:$A$289,$D905,'Comp2016-2017 (3)'!$R$5:$R$289,$V905)*$AB905))</f>
        <v/>
      </c>
      <c r="AG905" s="2" t="str">
        <f>IF($W905=AG$3,$AB905,IF(NOT($W905=0),"",SUMIFS('Val-Vol (2)'!AG$4:AG$1116,'Val-Vol (2)'!$A$4:$A$1116,$D905,'Val-Vol (2)'!$V$4:$V$1116,$V905)/SUMIFS('Comp2016-2017 (3)'!$G$5:$G$289,'Comp2016-2017 (3)'!$A$5:$A$289,$D905,'Comp2016-2017 (3)'!$R$5:$R$289,$V905)*$AB905))</f>
        <v/>
      </c>
      <c r="AH905" s="2" t="str">
        <f>IF($W905=AH$3,$AB905,IF(NOT($W905=0),"",SUMIFS('Val-Vol (2)'!AH$4:AH$1116,'Val-Vol (2)'!$A$4:$A$1116,$D905,'Val-Vol (2)'!$V$4:$V$1116,$V905)/SUMIFS('Comp2016-2017 (3)'!$G$5:$G$289,'Comp2016-2017 (3)'!$A$5:$A$289,$D905,'Comp2016-2017 (3)'!$R$5:$R$289,$V905)*$AB905))</f>
        <v/>
      </c>
      <c r="AI905" s="2" t="str">
        <f>IF($W905=AI$3,$AB905,IF(NOT($W905=0),"",SUMIFS('Val-Vol (2)'!AI$4:AI$1116,'Val-Vol (2)'!$A$4:$A$1116,$D905,'Val-Vol (2)'!$V$4:$V$1116,$V905)/SUMIFS('Comp2016-2017 (3)'!$G$5:$G$289,'Comp2016-2017 (3)'!$A$5:$A$289,$D905,'Comp2016-2017 (3)'!$R$5:$R$289,$V905)*$AB905))</f>
        <v/>
      </c>
      <c r="AJ905" s="2" t="str">
        <f>IF($W905=AJ$3,$AB905,IF(NOT($W905=0),"",SUMIFS('Val-Vol (2)'!AJ$4:AJ$1116,'Val-Vol (2)'!$A$4:$A$1116,$D905,'Val-Vol (2)'!$V$4:$V$1116,$V905)/SUMIFS('Comp2016-2017 (3)'!$G$5:$G$289,'Comp2016-2017 (3)'!$A$5:$A$289,$D905,'Comp2016-2017 (3)'!$R$5:$R$289,$V905)*$AB905))</f>
        <v/>
      </c>
      <c r="AK905" s="2">
        <f t="shared" si="101"/>
        <v>0</v>
      </c>
      <c r="AL905" t="str">
        <f t="shared" si="105"/>
        <v/>
      </c>
      <c r="AM905" t="str">
        <f>VLOOKUP(A905,'Table corresp.'!$M$4:$U$63,8,FALSE)</f>
        <v>Production intermédiaire</v>
      </c>
      <c r="AN905" t="str">
        <f>VLOOKUP(D905,'Table corresp.'!$M$4:$U$63,9,FALSE)</f>
        <v xml:space="preserve">Mise en œuvre </v>
      </c>
    </row>
    <row r="906" spans="1:40" x14ac:dyDescent="0.25">
      <c r="A906" t="s">
        <v>83</v>
      </c>
      <c r="B906" t="str">
        <f>VLOOKUP(LEFT(A906,3),'Table corresp.'!$A$4:$D$63,3,FALSE)</f>
        <v>Transformation</v>
      </c>
      <c r="C906" t="str">
        <f>VLOOKUP(A906,'Table corresp.'!$M$4:$P$63,4,FALSE)</f>
        <v>Production et transformation de produits bois</v>
      </c>
      <c r="D906" t="s">
        <v>24</v>
      </c>
      <c r="E906" t="str">
        <f>VLOOKUP(LEFT(D906,3),'Table corresp.'!$A$4:$D$63,4,FALSE)</f>
        <v>Transformation</v>
      </c>
      <c r="F906" t="str">
        <f t="shared" si="102"/>
        <v xml:space="preserve">14  - 57 </v>
      </c>
      <c r="G906" s="164">
        <v>4274.9781622128012</v>
      </c>
      <c r="H906" s="164">
        <v>5640.9572639337539</v>
      </c>
      <c r="I906" s="164">
        <v>9915.9354256020179</v>
      </c>
      <c r="J906" s="164">
        <v>49.471593429590101</v>
      </c>
      <c r="K906" s="164">
        <v>27.692050032413203</v>
      </c>
      <c r="L906" s="164">
        <v>77.163643462003307</v>
      </c>
      <c r="M906" s="164">
        <v>0</v>
      </c>
      <c r="N906" s="164">
        <v>0</v>
      </c>
      <c r="O906" s="164">
        <v>0</v>
      </c>
      <c r="P906" s="164">
        <v>0</v>
      </c>
      <c r="Q906" s="164">
        <v>0</v>
      </c>
      <c r="R906" s="164">
        <v>0</v>
      </c>
      <c r="S906" s="163" t="str">
        <f t="shared" si="103"/>
        <v/>
      </c>
      <c r="T906" s="163">
        <f>VLOOKUP(A906,'Groupe de branches'!$Z$27:$AM$86,14,FALSE)</f>
        <v>0</v>
      </c>
      <c r="U906" s="163">
        <f>VLOOKUP(D906,'Groupe de branches'!$Z$27:$AM$86,14,FALSE)</f>
        <v>0</v>
      </c>
      <c r="V906" s="163">
        <v>2018</v>
      </c>
      <c r="W906" t="str">
        <f>VLOOKUP(D906,'Table corresp.'!$M$4:$S$63,7,FALSE)</f>
        <v>Construction</v>
      </c>
      <c r="X906" s="167">
        <f>IFERROR(G906/SUMIFS('Comp2016-2017 (3)'!$I$5:$I$289,'Comp2016-2017 (3)'!$A$5:$A$289,A906,'Comp2016-2017 (3)'!$R$5:$R$289,V906),0)</f>
        <v>3.3625480269076927E-2</v>
      </c>
      <c r="Y906" s="178">
        <f>IFERROR(IF(RIGHT(F906,3)="Exp",VLOOKUP(F906,#REF!,2,FALSE),VLOOKUP(F906,#REF!,9,FALSE)),1)</f>
        <v>1</v>
      </c>
      <c r="Z906" s="167">
        <f t="shared" si="104"/>
        <v>7.1428571428571425E-2</v>
      </c>
      <c r="AA906" s="189">
        <f t="shared" si="106"/>
        <v>2.4018200192197805E-3</v>
      </c>
      <c r="AB906" s="2">
        <f>IFERROR(SUMIFS('Comp2016-2017 (3)'!$G$5:$G$289,'Comp2016-2017 (3)'!$A$5:$A$289,A906,'Comp2016-2017 (3)'!$R$5:$R$289,V906)*AA906/SUMIFS($AA$4:$AA$1116,$A$4:$A$1116,A906,$V$4:$V$1116,V906),0)</f>
        <v>1016.4584093768945</v>
      </c>
      <c r="AC906" s="2" t="str">
        <f>IF($W906=AC$3,$AB906,IF(NOT($W906=0),"",SUMIFS('Val-Vol (2)'!AC$4:AC$1116,'Val-Vol (2)'!$A$4:$A$1116,$D906,'Val-Vol (2)'!$V$4:$V$1116,$V906)/SUMIFS('Comp2016-2017 (3)'!$G$5:$G$289,'Comp2016-2017 (3)'!$A$5:$A$289,$D906,'Comp2016-2017 (3)'!$R$5:$R$289,$V906)*$AB906))</f>
        <v/>
      </c>
      <c r="AD906" s="2">
        <f>IF($W906=AD$3,$AB906,IF(NOT($W906=0),"",SUMIFS('Val-Vol (2)'!AD$4:AD$1116,'Val-Vol (2)'!$A$4:$A$1116,$D906,'Val-Vol (2)'!$V$4:$V$1116,$V906)/SUMIFS('Comp2016-2017 (3)'!$G$5:$G$289,'Comp2016-2017 (3)'!$A$5:$A$289,$D906,'Comp2016-2017 (3)'!$R$5:$R$289,$V906)*$AB906))</f>
        <v>1016.4584093768945</v>
      </c>
      <c r="AE906" s="2" t="str">
        <f>IF($W906=AE$3,$AB906,IF(NOT($W906=0),"",SUMIFS('Val-Vol (2)'!AE$4:AE$1116,'Val-Vol (2)'!$A$4:$A$1116,$D906,'Val-Vol (2)'!$V$4:$V$1116,$V906)/SUMIFS('Comp2016-2017 (3)'!$G$5:$G$289,'Comp2016-2017 (3)'!$A$5:$A$289,$D906,'Comp2016-2017 (3)'!$R$5:$R$289,$V906)*$AB906))</f>
        <v/>
      </c>
      <c r="AF906" s="2" t="str">
        <f>IF($W906=AF$3,$AB906,IF(NOT($W906=0),"",SUMIFS('Val-Vol (2)'!AF$4:AF$1116,'Val-Vol (2)'!$A$4:$A$1116,$D906,'Val-Vol (2)'!$V$4:$V$1116,$V906)/SUMIFS('Comp2016-2017 (3)'!$G$5:$G$289,'Comp2016-2017 (3)'!$A$5:$A$289,$D906,'Comp2016-2017 (3)'!$R$5:$R$289,$V906)*$AB906))</f>
        <v/>
      </c>
      <c r="AG906" s="2" t="str">
        <f>IF($W906=AG$3,$AB906,IF(NOT($W906=0),"",SUMIFS('Val-Vol (2)'!AG$4:AG$1116,'Val-Vol (2)'!$A$4:$A$1116,$D906,'Val-Vol (2)'!$V$4:$V$1116,$V906)/SUMIFS('Comp2016-2017 (3)'!$G$5:$G$289,'Comp2016-2017 (3)'!$A$5:$A$289,$D906,'Comp2016-2017 (3)'!$R$5:$R$289,$V906)*$AB906))</f>
        <v/>
      </c>
      <c r="AH906" s="2" t="str">
        <f>IF($W906=AH$3,$AB906,IF(NOT($W906=0),"",SUMIFS('Val-Vol (2)'!AH$4:AH$1116,'Val-Vol (2)'!$A$4:$A$1116,$D906,'Val-Vol (2)'!$V$4:$V$1116,$V906)/SUMIFS('Comp2016-2017 (3)'!$G$5:$G$289,'Comp2016-2017 (3)'!$A$5:$A$289,$D906,'Comp2016-2017 (3)'!$R$5:$R$289,$V906)*$AB906))</f>
        <v/>
      </c>
      <c r="AI906" s="2" t="str">
        <f>IF($W906=AI$3,$AB906,IF(NOT($W906=0),"",SUMIFS('Val-Vol (2)'!AI$4:AI$1116,'Val-Vol (2)'!$A$4:$A$1116,$D906,'Val-Vol (2)'!$V$4:$V$1116,$V906)/SUMIFS('Comp2016-2017 (3)'!$G$5:$G$289,'Comp2016-2017 (3)'!$A$5:$A$289,$D906,'Comp2016-2017 (3)'!$R$5:$R$289,$V906)*$AB906))</f>
        <v/>
      </c>
      <c r="AJ906" s="2" t="str">
        <f>IF($W906=AJ$3,$AB906,IF(NOT($W906=0),"",SUMIFS('Val-Vol (2)'!AJ$4:AJ$1116,'Val-Vol (2)'!$A$4:$A$1116,$D906,'Val-Vol (2)'!$V$4:$V$1116,$V906)/SUMIFS('Comp2016-2017 (3)'!$G$5:$G$289,'Comp2016-2017 (3)'!$A$5:$A$289,$D906,'Comp2016-2017 (3)'!$R$5:$R$289,$V906)*$AB906))</f>
        <v/>
      </c>
      <c r="AK906" s="2">
        <f t="shared" si="101"/>
        <v>0</v>
      </c>
      <c r="AL906" t="str">
        <f t="shared" si="105"/>
        <v/>
      </c>
      <c r="AM906" t="str">
        <f>VLOOKUP(A906,'Table corresp.'!$M$4:$U$63,8,FALSE)</f>
        <v>Production intermédiaire</v>
      </c>
      <c r="AN906" t="str">
        <f>VLOOKUP(D906,'Table corresp.'!$M$4:$U$63,9,FALSE)</f>
        <v xml:space="preserve">Mise en œuvre </v>
      </c>
    </row>
    <row r="907" spans="1:40" x14ac:dyDescent="0.25">
      <c r="A907" t="s">
        <v>83</v>
      </c>
      <c r="B907" t="str">
        <f>VLOOKUP(LEFT(A907,3),'Table corresp.'!$A$4:$D$63,3,FALSE)</f>
        <v>Transformation</v>
      </c>
      <c r="C907" t="str">
        <f>VLOOKUP(A907,'Table corresp.'!$M$4:$P$63,4,FALSE)</f>
        <v>Production et transformation de produits bois</v>
      </c>
      <c r="D907" t="s">
        <v>26</v>
      </c>
      <c r="E907" t="str">
        <f>VLOOKUP(LEFT(D907,3),'Table corresp.'!$A$4:$D$63,4,FALSE)</f>
        <v>Transformation</v>
      </c>
      <c r="F907" t="str">
        <f t="shared" si="102"/>
        <v xml:space="preserve">14  - 59 </v>
      </c>
      <c r="G907" s="164">
        <v>960.83862354350742</v>
      </c>
      <c r="H907" s="164">
        <v>1311.677140869705</v>
      </c>
      <c r="I907" s="164">
        <v>2272.5157642545983</v>
      </c>
      <c r="J907" s="164">
        <v>12.231089265229263</v>
      </c>
      <c r="K907" s="164">
        <v>7.0830765139686864</v>
      </c>
      <c r="L907" s="164">
        <v>19.31416577919795</v>
      </c>
      <c r="M907" s="164">
        <v>0</v>
      </c>
      <c r="N907" s="164">
        <v>0</v>
      </c>
      <c r="O907" s="164">
        <v>0</v>
      </c>
      <c r="P907" s="164">
        <v>0</v>
      </c>
      <c r="Q907" s="164">
        <v>0</v>
      </c>
      <c r="R907" s="164">
        <v>0</v>
      </c>
      <c r="S907" s="163" t="str">
        <f t="shared" si="103"/>
        <v/>
      </c>
      <c r="T907" s="163">
        <f>VLOOKUP(A907,'Groupe de branches'!$Z$27:$AM$86,14,FALSE)</f>
        <v>0</v>
      </c>
      <c r="U907" s="163">
        <f>VLOOKUP(D907,'Groupe de branches'!$Z$27:$AM$86,14,FALSE)</f>
        <v>0</v>
      </c>
      <c r="V907" s="163">
        <v>2018</v>
      </c>
      <c r="W907" t="str">
        <f>VLOOKUP(D907,'Table corresp.'!$M$4:$S$63,7,FALSE)</f>
        <v>Construction</v>
      </c>
      <c r="X907" s="167">
        <f>IFERROR(G907/SUMIFS('Comp2016-2017 (3)'!$I$5:$I$289,'Comp2016-2017 (3)'!$A$5:$A$289,A907,'Comp2016-2017 (3)'!$R$5:$R$289,V907),0)</f>
        <v>7.5576199343684435E-3</v>
      </c>
      <c r="Y907" s="178">
        <f>IFERROR(IF(RIGHT(F907,3)="Exp",VLOOKUP(F907,#REF!,2,FALSE),VLOOKUP(F907,#REF!,9,FALSE)),1)</f>
        <v>1</v>
      </c>
      <c r="Z907" s="167">
        <f t="shared" ref="Z907:Z938" si="107">Y907/SUMIFS($Y$4:$Y$1116,$V$4:$V$1116,V907,$A$4:$A$1116,A907)</f>
        <v>7.1428571428571425E-2</v>
      </c>
      <c r="AA907" s="189">
        <f t="shared" si="106"/>
        <v>5.398299953120316E-4</v>
      </c>
      <c r="AB907" s="2">
        <f>IFERROR(SUMIFS('Comp2016-2017 (3)'!$G$5:$G$289,'Comp2016-2017 (3)'!$A$5:$A$289,A907,'Comp2016-2017 (3)'!$R$5:$R$289,V907)*AA907/SUMIFS($AA$4:$AA$1116,$A$4:$A$1116,A907,$V$4:$V$1116,V907),0)</f>
        <v>228.45789192274756</v>
      </c>
      <c r="AC907" s="2" t="str">
        <f>IF($W907=AC$3,$AB907,IF(NOT($W907=0),"",SUMIFS('Val-Vol (2)'!AC$4:AC$1116,'Val-Vol (2)'!$A$4:$A$1116,$D907,'Val-Vol (2)'!$V$4:$V$1116,$V907)/SUMIFS('Comp2016-2017 (3)'!$G$5:$G$289,'Comp2016-2017 (3)'!$A$5:$A$289,$D907,'Comp2016-2017 (3)'!$R$5:$R$289,$V907)*$AB907))</f>
        <v/>
      </c>
      <c r="AD907" s="2">
        <f>IF($W907=AD$3,$AB907,IF(NOT($W907=0),"",SUMIFS('Val-Vol (2)'!AD$4:AD$1116,'Val-Vol (2)'!$A$4:$A$1116,$D907,'Val-Vol (2)'!$V$4:$V$1116,$V907)/SUMIFS('Comp2016-2017 (3)'!$G$5:$G$289,'Comp2016-2017 (3)'!$A$5:$A$289,$D907,'Comp2016-2017 (3)'!$R$5:$R$289,$V907)*$AB907))</f>
        <v>228.45789192274756</v>
      </c>
      <c r="AE907" s="2" t="str">
        <f>IF($W907=AE$3,$AB907,IF(NOT($W907=0),"",SUMIFS('Val-Vol (2)'!AE$4:AE$1116,'Val-Vol (2)'!$A$4:$A$1116,$D907,'Val-Vol (2)'!$V$4:$V$1116,$V907)/SUMIFS('Comp2016-2017 (3)'!$G$5:$G$289,'Comp2016-2017 (3)'!$A$5:$A$289,$D907,'Comp2016-2017 (3)'!$R$5:$R$289,$V907)*$AB907))</f>
        <v/>
      </c>
      <c r="AF907" s="2" t="str">
        <f>IF($W907=AF$3,$AB907,IF(NOT($W907=0),"",SUMIFS('Val-Vol (2)'!AF$4:AF$1116,'Val-Vol (2)'!$A$4:$A$1116,$D907,'Val-Vol (2)'!$V$4:$V$1116,$V907)/SUMIFS('Comp2016-2017 (3)'!$G$5:$G$289,'Comp2016-2017 (3)'!$A$5:$A$289,$D907,'Comp2016-2017 (3)'!$R$5:$R$289,$V907)*$AB907))</f>
        <v/>
      </c>
      <c r="AG907" s="2" t="str">
        <f>IF($W907=AG$3,$AB907,IF(NOT($W907=0),"",SUMIFS('Val-Vol (2)'!AG$4:AG$1116,'Val-Vol (2)'!$A$4:$A$1116,$D907,'Val-Vol (2)'!$V$4:$V$1116,$V907)/SUMIFS('Comp2016-2017 (3)'!$G$5:$G$289,'Comp2016-2017 (3)'!$A$5:$A$289,$D907,'Comp2016-2017 (3)'!$R$5:$R$289,$V907)*$AB907))</f>
        <v/>
      </c>
      <c r="AH907" s="2" t="str">
        <f>IF($W907=AH$3,$AB907,IF(NOT($W907=0),"",SUMIFS('Val-Vol (2)'!AH$4:AH$1116,'Val-Vol (2)'!$A$4:$A$1116,$D907,'Val-Vol (2)'!$V$4:$V$1116,$V907)/SUMIFS('Comp2016-2017 (3)'!$G$5:$G$289,'Comp2016-2017 (3)'!$A$5:$A$289,$D907,'Comp2016-2017 (3)'!$R$5:$R$289,$V907)*$AB907))</f>
        <v/>
      </c>
      <c r="AI907" s="2" t="str">
        <f>IF($W907=AI$3,$AB907,IF(NOT($W907=0),"",SUMIFS('Val-Vol (2)'!AI$4:AI$1116,'Val-Vol (2)'!$A$4:$A$1116,$D907,'Val-Vol (2)'!$V$4:$V$1116,$V907)/SUMIFS('Comp2016-2017 (3)'!$G$5:$G$289,'Comp2016-2017 (3)'!$A$5:$A$289,$D907,'Comp2016-2017 (3)'!$R$5:$R$289,$V907)*$AB907))</f>
        <v/>
      </c>
      <c r="AJ907" s="2" t="str">
        <f>IF($W907=AJ$3,$AB907,IF(NOT($W907=0),"",SUMIFS('Val-Vol (2)'!AJ$4:AJ$1116,'Val-Vol (2)'!$A$4:$A$1116,$D907,'Val-Vol (2)'!$V$4:$V$1116,$V907)/SUMIFS('Comp2016-2017 (3)'!$G$5:$G$289,'Comp2016-2017 (3)'!$A$5:$A$289,$D907,'Comp2016-2017 (3)'!$R$5:$R$289,$V907)*$AB907))</f>
        <v/>
      </c>
      <c r="AK907" s="2">
        <f t="shared" si="101"/>
        <v>0</v>
      </c>
      <c r="AL907" t="str">
        <f t="shared" si="105"/>
        <v/>
      </c>
      <c r="AM907" t="str">
        <f>VLOOKUP(A907,'Table corresp.'!$M$4:$U$63,8,FALSE)</f>
        <v>Production intermédiaire</v>
      </c>
      <c r="AN907" t="str">
        <f>VLOOKUP(D907,'Table corresp.'!$M$4:$U$63,9,FALSE)</f>
        <v xml:space="preserve">Mise en œuvre </v>
      </c>
    </row>
    <row r="908" spans="1:40" x14ac:dyDescent="0.25">
      <c r="A908" t="s">
        <v>83</v>
      </c>
      <c r="B908" t="str">
        <f>VLOOKUP(LEFT(A908,3),'Table corresp.'!$A$4:$D$63,3,FALSE)</f>
        <v>Transformation</v>
      </c>
      <c r="C908" t="str">
        <f>VLOOKUP(A908,'Table corresp.'!$M$4:$P$63,4,FALSE)</f>
        <v>Production et transformation de produits bois</v>
      </c>
      <c r="D908" t="s">
        <v>54</v>
      </c>
      <c r="E908" t="str">
        <f>VLOOKUP(LEFT(D908,3),'Table corresp.'!$A$4:$D$63,4,FALSE)</f>
        <v>Consommation finale</v>
      </c>
      <c r="F908" t="str">
        <f t="shared" si="102"/>
        <v>14  - Con</v>
      </c>
      <c r="G908" s="164">
        <v>1112.3486868556563</v>
      </c>
      <c r="H908" s="164">
        <v>2208.8443496714344</v>
      </c>
      <c r="I908" s="164">
        <v>3321.1930357728252</v>
      </c>
      <c r="J908" s="164">
        <v>11.327801151720484</v>
      </c>
      <c r="K908" s="164">
        <v>8.3964050607609764</v>
      </c>
      <c r="L908" s="164">
        <v>19.724206212481462</v>
      </c>
      <c r="M908" s="164">
        <v>0</v>
      </c>
      <c r="N908" s="164">
        <v>0</v>
      </c>
      <c r="O908" s="164">
        <v>0</v>
      </c>
      <c r="P908" s="164">
        <v>0</v>
      </c>
      <c r="Q908" s="164">
        <v>0</v>
      </c>
      <c r="R908" s="164">
        <v>0</v>
      </c>
      <c r="S908" s="163" t="str">
        <f t="shared" si="103"/>
        <v/>
      </c>
      <c r="T908" s="163">
        <f>VLOOKUP(A908,'Groupe de branches'!$Z$27:$AM$86,14,FALSE)</f>
        <v>0</v>
      </c>
      <c r="U908" s="163">
        <f>VLOOKUP(D908,'Groupe de branches'!$Z$27:$AM$86,14,FALSE)</f>
        <v>0</v>
      </c>
      <c r="V908" s="163">
        <v>2018</v>
      </c>
      <c r="W908" t="str">
        <f>VLOOKUP(D908,'Table corresp.'!$M$4:$S$63,7,FALSE)</f>
        <v>Consommation finale</v>
      </c>
      <c r="X908" s="167">
        <f>IFERROR(G908/SUMIFS('Comp2016-2017 (3)'!$I$5:$I$289,'Comp2016-2017 (3)'!$A$5:$A$289,A908,'Comp2016-2017 (3)'!$R$5:$R$289,V908),0)</f>
        <v>8.7493450031655689E-3</v>
      </c>
      <c r="Y908" s="178">
        <f>IFERROR(IF(RIGHT(F908,3)="Exp",VLOOKUP(F908,#REF!,2,FALSE),VLOOKUP(F908,#REF!,9,FALSE)),1)</f>
        <v>1</v>
      </c>
      <c r="Z908" s="167">
        <f t="shared" si="107"/>
        <v>7.1428571428571425E-2</v>
      </c>
      <c r="AA908" s="189">
        <f t="shared" si="106"/>
        <v>6.249532145118263E-4</v>
      </c>
      <c r="AB908" s="2">
        <f>IFERROR(SUMIFS('Comp2016-2017 (3)'!$G$5:$G$289,'Comp2016-2017 (3)'!$A$5:$A$289,A908,'Comp2016-2017 (3)'!$R$5:$R$289,V908)*AA908/SUMIFS($AA$4:$AA$1116,$A$4:$A$1116,A908,$V$4:$V$1116,V908),0)</f>
        <v>264.48232809884831</v>
      </c>
      <c r="AC908" s="2" t="str">
        <f>IF($W908=AC$3,$AB908,IF(NOT($W908=0),"",SUMIFS('Val-Vol (2)'!AC$4:AC$1116,'Val-Vol (2)'!$A$4:$A$1116,$D908,'Val-Vol (2)'!$V$4:$V$1116,$V908)/SUMIFS('Comp2016-2017 (3)'!$G$5:$G$289,'Comp2016-2017 (3)'!$A$5:$A$289,$D908,'Comp2016-2017 (3)'!$R$5:$R$289,$V908)*$AB908))</f>
        <v/>
      </c>
      <c r="AD908" s="2" t="str">
        <f>IF($W908=AD$3,$AB908,IF(NOT($W908=0),"",SUMIFS('Val-Vol (2)'!AD$4:AD$1116,'Val-Vol (2)'!$A$4:$A$1116,$D908,'Val-Vol (2)'!$V$4:$V$1116,$V908)/SUMIFS('Comp2016-2017 (3)'!$G$5:$G$289,'Comp2016-2017 (3)'!$A$5:$A$289,$D908,'Comp2016-2017 (3)'!$R$5:$R$289,$V908)*$AB908))</f>
        <v/>
      </c>
      <c r="AE908" s="2" t="str">
        <f>IF($W908=AE$3,$AB908,IF(NOT($W908=0),"",SUMIFS('Val-Vol (2)'!AE$4:AE$1116,'Val-Vol (2)'!$A$4:$A$1116,$D908,'Val-Vol (2)'!$V$4:$V$1116,$V908)/SUMIFS('Comp2016-2017 (3)'!$G$5:$G$289,'Comp2016-2017 (3)'!$A$5:$A$289,$D908,'Comp2016-2017 (3)'!$R$5:$R$289,$V908)*$AB908))</f>
        <v/>
      </c>
      <c r="AF908" s="2" t="str">
        <f>IF($W908=AF$3,$AB908,IF(NOT($W908=0),"",SUMIFS('Val-Vol (2)'!AF$4:AF$1116,'Val-Vol (2)'!$A$4:$A$1116,$D908,'Val-Vol (2)'!$V$4:$V$1116,$V908)/SUMIFS('Comp2016-2017 (3)'!$G$5:$G$289,'Comp2016-2017 (3)'!$A$5:$A$289,$D908,'Comp2016-2017 (3)'!$R$5:$R$289,$V908)*$AB908))</f>
        <v/>
      </c>
      <c r="AG908" s="2" t="str">
        <f>IF($W908=AG$3,$AB908,IF(NOT($W908=0),"",SUMIFS('Val-Vol (2)'!AG$4:AG$1116,'Val-Vol (2)'!$A$4:$A$1116,$D908,'Val-Vol (2)'!$V$4:$V$1116,$V908)/SUMIFS('Comp2016-2017 (3)'!$G$5:$G$289,'Comp2016-2017 (3)'!$A$5:$A$289,$D908,'Comp2016-2017 (3)'!$R$5:$R$289,$V908)*$AB908))</f>
        <v/>
      </c>
      <c r="AH908" s="2" t="str">
        <f>IF($W908=AH$3,$AB908,IF(NOT($W908=0),"",SUMIFS('Val-Vol (2)'!AH$4:AH$1116,'Val-Vol (2)'!$A$4:$A$1116,$D908,'Val-Vol (2)'!$V$4:$V$1116,$V908)/SUMIFS('Comp2016-2017 (3)'!$G$5:$G$289,'Comp2016-2017 (3)'!$A$5:$A$289,$D908,'Comp2016-2017 (3)'!$R$5:$R$289,$V908)*$AB908))</f>
        <v/>
      </c>
      <c r="AI908" s="2" t="str">
        <f>IF($W908=AI$3,$AB908,IF(NOT($W908=0),"",SUMIFS('Val-Vol (2)'!AI$4:AI$1116,'Val-Vol (2)'!$A$4:$A$1116,$D908,'Val-Vol (2)'!$V$4:$V$1116,$V908)/SUMIFS('Comp2016-2017 (3)'!$G$5:$G$289,'Comp2016-2017 (3)'!$A$5:$A$289,$D908,'Comp2016-2017 (3)'!$R$5:$R$289,$V908)*$AB908))</f>
        <v/>
      </c>
      <c r="AJ908" s="2">
        <f>IF($W908=AJ$3,$AB908,IF(NOT($W908=0),"",SUMIFS('Val-Vol (2)'!AJ$4:AJ$1116,'Val-Vol (2)'!$A$4:$A$1116,$D908,'Val-Vol (2)'!$V$4:$V$1116,$V908)/SUMIFS('Comp2016-2017 (3)'!$G$5:$G$289,'Comp2016-2017 (3)'!$A$5:$A$289,$D908,'Comp2016-2017 (3)'!$R$5:$R$289,$V908)*$AB908))</f>
        <v>264.48232809884831</v>
      </c>
      <c r="AK908" s="2">
        <f t="shared" si="101"/>
        <v>0</v>
      </c>
      <c r="AL908" t="str">
        <f t="shared" si="105"/>
        <v/>
      </c>
      <c r="AM908" t="str">
        <f>VLOOKUP(A908,'Table corresp.'!$M$4:$U$63,8,FALSE)</f>
        <v>Production intermédiaire</v>
      </c>
      <c r="AN908" t="str">
        <f>VLOOKUP(D908,'Table corresp.'!$M$4:$U$63,9,FALSE)</f>
        <v>Consommation finale française</v>
      </c>
    </row>
    <row r="909" spans="1:40" x14ac:dyDescent="0.25">
      <c r="A909" t="s">
        <v>83</v>
      </c>
      <c r="B909" t="str">
        <f>VLOOKUP(LEFT(A909,3),'Table corresp.'!$A$4:$D$63,3,FALSE)</f>
        <v>Transformation</v>
      </c>
      <c r="C909" t="str">
        <f>VLOOKUP(A909,'Table corresp.'!$M$4:$P$63,4,FALSE)</f>
        <v>Production et transformation de produits bois</v>
      </c>
      <c r="D909" t="s">
        <v>53</v>
      </c>
      <c r="E909" t="str">
        <f>VLOOKUP(LEFT(D909,3),'Table corresp.'!$A$4:$D$63,4,FALSE)</f>
        <v>Exportation</v>
      </c>
      <c r="F909" t="str">
        <f t="shared" si="102"/>
        <v>14  - Exp</v>
      </c>
      <c r="G909" s="164">
        <v>73060.673929616067</v>
      </c>
      <c r="H909" s="164">
        <v>0</v>
      </c>
      <c r="I909" s="164">
        <v>73060.673999999999</v>
      </c>
      <c r="J909" s="164">
        <v>475.78462399437478</v>
      </c>
      <c r="K909" s="164">
        <v>0</v>
      </c>
      <c r="L909" s="164">
        <v>475.78462399437478</v>
      </c>
      <c r="M909" s="164">
        <v>0</v>
      </c>
      <c r="N909" s="164">
        <v>0</v>
      </c>
      <c r="O909" s="164">
        <v>0</v>
      </c>
      <c r="P909" s="164">
        <v>0</v>
      </c>
      <c r="Q909" s="164">
        <v>0</v>
      </c>
      <c r="R909" s="164">
        <v>0</v>
      </c>
      <c r="S909" s="163" t="str">
        <f t="shared" si="103"/>
        <v/>
      </c>
      <c r="T909" s="163">
        <f>VLOOKUP(A909,'Groupe de branches'!$Z$27:$AM$86,14,FALSE)</f>
        <v>0</v>
      </c>
      <c r="U909" s="163">
        <f>VLOOKUP(D909,'Groupe de branches'!$Z$27:$AM$86,14,FALSE)</f>
        <v>0</v>
      </c>
      <c r="V909" s="163">
        <v>2018</v>
      </c>
      <c r="W909" t="str">
        <f>VLOOKUP(D909,'Table corresp.'!$M$4:$S$63,7,FALSE)</f>
        <v>Exportation</v>
      </c>
      <c r="X909" s="167">
        <f>IFERROR(G909/SUMIFS('Comp2016-2017 (3)'!$I$5:$I$289,'Comp2016-2017 (3)'!$A$5:$A$289,A909,'Comp2016-2017 (3)'!$R$5:$R$289,V909),0)</f>
        <v>0.57466966062678981</v>
      </c>
      <c r="Y909" s="178">
        <f>IFERROR(IF(RIGHT(F909,3)="Exp",VLOOKUP(F909,#REF!,2,FALSE),VLOOKUP(F909,#REF!,9,FALSE)),1)</f>
        <v>1</v>
      </c>
      <c r="Z909" s="167">
        <f t="shared" si="107"/>
        <v>7.1428571428571425E-2</v>
      </c>
      <c r="AA909" s="189">
        <f t="shared" si="106"/>
        <v>4.1047832901913557E-2</v>
      </c>
      <c r="AB909" s="2">
        <f>IFERROR(SUMIFS('Comp2016-2017 (3)'!$G$5:$G$289,'Comp2016-2017 (3)'!$A$5:$A$289,A909,'Comp2016-2017 (3)'!$R$5:$R$289,V909)*AA909/SUMIFS($AA$4:$AA$1116,$A$4:$A$1116,A909,$V$4:$V$1116,V909),0)</f>
        <v>17371.582635655297</v>
      </c>
      <c r="AC909" s="2">
        <f>IF($W909=AC$3,$AB909,IF(NOT($W909=0),"",SUMIFS('Val-Vol (2)'!AC$4:AC$1116,'Val-Vol (2)'!$A$4:$A$1116,$D909,'Val-Vol (2)'!$V$4:$V$1116,$V909)/SUMIFS('Comp2016-2017 (3)'!$G$5:$G$289,'Comp2016-2017 (3)'!$A$5:$A$289,$D909,'Comp2016-2017 (3)'!$R$5:$R$289,$V909)*$AB909))</f>
        <v>17371.582635655297</v>
      </c>
      <c r="AD909" s="2" t="str">
        <f>IF($W909=AD$3,$AB909,IF(NOT($W909=0),"",SUMIFS('Val-Vol (2)'!AD$4:AD$1116,'Val-Vol (2)'!$A$4:$A$1116,$D909,'Val-Vol (2)'!$V$4:$V$1116,$V909)/SUMIFS('Comp2016-2017 (3)'!$G$5:$G$289,'Comp2016-2017 (3)'!$A$5:$A$289,$D909,'Comp2016-2017 (3)'!$R$5:$R$289,$V909)*$AB909))</f>
        <v/>
      </c>
      <c r="AE909" s="2" t="str">
        <f>IF($W909=AE$3,$AB909,IF(NOT($W909=0),"",SUMIFS('Val-Vol (2)'!AE$4:AE$1116,'Val-Vol (2)'!$A$4:$A$1116,$D909,'Val-Vol (2)'!$V$4:$V$1116,$V909)/SUMIFS('Comp2016-2017 (3)'!$G$5:$G$289,'Comp2016-2017 (3)'!$A$5:$A$289,$D909,'Comp2016-2017 (3)'!$R$5:$R$289,$V909)*$AB909))</f>
        <v/>
      </c>
      <c r="AF909" s="2" t="str">
        <f>IF($W909=AF$3,$AB909,IF(NOT($W909=0),"",SUMIFS('Val-Vol (2)'!AF$4:AF$1116,'Val-Vol (2)'!$A$4:$A$1116,$D909,'Val-Vol (2)'!$V$4:$V$1116,$V909)/SUMIFS('Comp2016-2017 (3)'!$G$5:$G$289,'Comp2016-2017 (3)'!$A$5:$A$289,$D909,'Comp2016-2017 (3)'!$R$5:$R$289,$V909)*$AB909))</f>
        <v/>
      </c>
      <c r="AG909" s="2" t="str">
        <f>IF($W909=AG$3,$AB909,IF(NOT($W909=0),"",SUMIFS('Val-Vol (2)'!AG$4:AG$1116,'Val-Vol (2)'!$A$4:$A$1116,$D909,'Val-Vol (2)'!$V$4:$V$1116,$V909)/SUMIFS('Comp2016-2017 (3)'!$G$5:$G$289,'Comp2016-2017 (3)'!$A$5:$A$289,$D909,'Comp2016-2017 (3)'!$R$5:$R$289,$V909)*$AB909))</f>
        <v/>
      </c>
      <c r="AH909" s="2" t="str">
        <f>IF($W909=AH$3,$AB909,IF(NOT($W909=0),"",SUMIFS('Val-Vol (2)'!AH$4:AH$1116,'Val-Vol (2)'!$A$4:$A$1116,$D909,'Val-Vol (2)'!$V$4:$V$1116,$V909)/SUMIFS('Comp2016-2017 (3)'!$G$5:$G$289,'Comp2016-2017 (3)'!$A$5:$A$289,$D909,'Comp2016-2017 (3)'!$R$5:$R$289,$V909)*$AB909))</f>
        <v/>
      </c>
      <c r="AI909" s="2" t="str">
        <f>IF($W909=AI$3,$AB909,IF(NOT($W909=0),"",SUMIFS('Val-Vol (2)'!AI$4:AI$1116,'Val-Vol (2)'!$A$4:$A$1116,$D909,'Val-Vol (2)'!$V$4:$V$1116,$V909)/SUMIFS('Comp2016-2017 (3)'!$G$5:$G$289,'Comp2016-2017 (3)'!$A$5:$A$289,$D909,'Comp2016-2017 (3)'!$R$5:$R$289,$V909)*$AB909))</f>
        <v/>
      </c>
      <c r="AJ909" s="2" t="str">
        <f>IF($W909=AJ$3,$AB909,IF(NOT($W909=0),"",SUMIFS('Val-Vol (2)'!AJ$4:AJ$1116,'Val-Vol (2)'!$A$4:$A$1116,$D909,'Val-Vol (2)'!$V$4:$V$1116,$V909)/SUMIFS('Comp2016-2017 (3)'!$G$5:$G$289,'Comp2016-2017 (3)'!$A$5:$A$289,$D909,'Comp2016-2017 (3)'!$R$5:$R$289,$V909)*$AB909))</f>
        <v/>
      </c>
      <c r="AK909" s="2">
        <f t="shared" si="101"/>
        <v>0</v>
      </c>
      <c r="AL909" t="str">
        <f t="shared" si="105"/>
        <v/>
      </c>
      <c r="AM909" t="str">
        <f>VLOOKUP(A909,'Table corresp.'!$M$4:$U$63,8,FALSE)</f>
        <v>Production intermédiaire</v>
      </c>
      <c r="AN909" t="str">
        <f>VLOOKUP(D909,'Table corresp.'!$M$4:$U$63,9,FALSE)</f>
        <v>Exportation</v>
      </c>
    </row>
    <row r="910" spans="1:40" x14ac:dyDescent="0.25">
      <c r="A910" t="s">
        <v>9</v>
      </c>
      <c r="B910" t="str">
        <f>VLOOKUP(LEFT(A910,3),'Table corresp.'!$A$4:$D$63,3,FALSE)</f>
        <v>Transformation</v>
      </c>
      <c r="C910" t="str">
        <f>VLOOKUP(A910,'Table corresp.'!$M$4:$P$63,4,FALSE)</f>
        <v>Production et transformation de produits bois</v>
      </c>
      <c r="D910" t="s">
        <v>13</v>
      </c>
      <c r="E910" t="str">
        <f>VLOOKUP(LEFT(D910,3),'Table corresp.'!$A$4:$D$63,4,FALSE)</f>
        <v>Transformation</v>
      </c>
      <c r="F910" t="str">
        <f t="shared" si="102"/>
        <v xml:space="preserve">15  - 20 </v>
      </c>
      <c r="G910" s="164">
        <v>67493.812734431689</v>
      </c>
      <c r="H910" s="164">
        <v>0</v>
      </c>
      <c r="I910" s="164">
        <v>67493.812734431689</v>
      </c>
      <c r="J910" s="164">
        <v>505.24694830583871</v>
      </c>
      <c r="K910" s="164">
        <v>0</v>
      </c>
      <c r="L910" s="164">
        <v>505.24694830583871</v>
      </c>
      <c r="M910" s="164">
        <v>0</v>
      </c>
      <c r="N910" s="164">
        <v>0</v>
      </c>
      <c r="O910" s="164">
        <v>0</v>
      </c>
      <c r="P910" s="164">
        <v>0</v>
      </c>
      <c r="Q910" s="164">
        <v>0</v>
      </c>
      <c r="R910" s="164">
        <v>0</v>
      </c>
      <c r="S910" s="163" t="str">
        <f t="shared" si="103"/>
        <v/>
      </c>
      <c r="T910" s="163">
        <f>VLOOKUP(A910,'Groupe de branches'!$Z$27:$AM$86,14,FALSE)</f>
        <v>0</v>
      </c>
      <c r="U910" s="163">
        <f>VLOOKUP(D910,'Groupe de branches'!$Z$27:$AM$86,14,FALSE)</f>
        <v>0</v>
      </c>
      <c r="V910" s="163">
        <v>2018</v>
      </c>
      <c r="W910">
        <f>VLOOKUP(D910,'Table corresp.'!$M$4:$S$63,7,FALSE)</f>
        <v>0</v>
      </c>
      <c r="X910" s="167">
        <f>IFERROR(G910/SUMIFS('Comp2016-2017 (3)'!$I$5:$I$289,'Comp2016-2017 (3)'!$A$5:$A$289,A910,'Comp2016-2017 (3)'!$R$5:$R$289,V910),0)</f>
        <v>0.25651773102202413</v>
      </c>
      <c r="Y910" s="178">
        <f>IFERROR(IF(RIGHT(F910,3)="Exp",VLOOKUP(F910,#REF!,2,FALSE),VLOOKUP(F910,#REF!,9,FALSE)),1)</f>
        <v>1</v>
      </c>
      <c r="Z910" s="167">
        <f t="shared" si="107"/>
        <v>9.0909090909090912E-2</v>
      </c>
      <c r="AA910" s="189">
        <f t="shared" si="106"/>
        <v>2.331979372927492E-2</v>
      </c>
      <c r="AB910" s="2">
        <f>IFERROR(SUMIFS('Comp2016-2017 (3)'!$G$5:$G$289,'Comp2016-2017 (3)'!$A$5:$A$289,A910,'Comp2016-2017 (3)'!$R$5:$R$289,V910)*AA910/SUMIFS($AA$4:$AA$1116,$A$4:$A$1116,A910,$V$4:$V$1116,V910),0)</f>
        <v>14559.489150837284</v>
      </c>
      <c r="AC910" s="2">
        <f>IF($W910=AC$3,$AB910,IF(NOT($W910=0),"",SUMIFS('Val-Vol (2)'!AC$4:AC$1116,'Val-Vol (2)'!$A$4:$A$1116,$D910,'Val-Vol (2)'!$V$4:$V$1116,$V910)/SUMIFS('Comp2016-2017 (3)'!$G$5:$G$289,'Comp2016-2017 (3)'!$A$5:$A$289,$D910,'Comp2016-2017 (3)'!$R$5:$R$289,$V910)*$AB910))</f>
        <v>1531.5245610094278</v>
      </c>
      <c r="AD910" s="2">
        <f>IF($W910=AD$3,$AB910,IF(NOT($W910=0),"",SUMIFS('Val-Vol (2)'!AD$4:AD$1116,'Val-Vol (2)'!$A$4:$A$1116,$D910,'Val-Vol (2)'!$V$4:$V$1116,$V910)/SUMIFS('Comp2016-2017 (3)'!$G$5:$G$289,'Comp2016-2017 (3)'!$A$5:$A$289,$D910,'Comp2016-2017 (3)'!$R$5:$R$289,$V910)*$AB910))</f>
        <v>7983.939696420126</v>
      </c>
      <c r="AE910" s="2">
        <f>IF($W910=AE$3,$AB910,IF(NOT($W910=0),"",SUMIFS('Val-Vol (2)'!AE$4:AE$1116,'Val-Vol (2)'!$A$4:$A$1116,$D910,'Val-Vol (2)'!$V$4:$V$1116,$V910)/SUMIFS('Comp2016-2017 (3)'!$G$5:$G$289,'Comp2016-2017 (3)'!$A$5:$A$289,$D910,'Comp2016-2017 (3)'!$R$5:$R$289,$V910)*$AB910))</f>
        <v>0</v>
      </c>
      <c r="AF910" s="2">
        <f>IF($W910=AF$3,$AB910,IF(NOT($W910=0),"",SUMIFS('Val-Vol (2)'!AF$4:AF$1116,'Val-Vol (2)'!$A$4:$A$1116,$D910,'Val-Vol (2)'!$V$4:$V$1116,$V910)/SUMIFS('Comp2016-2017 (3)'!$G$5:$G$289,'Comp2016-2017 (3)'!$A$5:$A$289,$D910,'Comp2016-2017 (3)'!$R$5:$R$289,$V910)*$AB910))</f>
        <v>0</v>
      </c>
      <c r="AG910" s="2">
        <f>IF($W910=AG$3,$AB910,IF(NOT($W910=0),"",SUMIFS('Val-Vol (2)'!AG$4:AG$1116,'Val-Vol (2)'!$A$4:$A$1116,$D910,'Val-Vol (2)'!$V$4:$V$1116,$V910)/SUMIFS('Comp2016-2017 (3)'!$G$5:$G$289,'Comp2016-2017 (3)'!$A$5:$A$289,$D910,'Comp2016-2017 (3)'!$R$5:$R$289,$V910)*$AB910))</f>
        <v>0</v>
      </c>
      <c r="AH910" s="2">
        <f>IF($W910=AH$3,$AB910,IF(NOT($W910=0),"",SUMIFS('Val-Vol (2)'!AH$4:AH$1116,'Val-Vol (2)'!$A$4:$A$1116,$D910,'Val-Vol (2)'!$V$4:$V$1116,$V910)/SUMIFS('Comp2016-2017 (3)'!$G$5:$G$289,'Comp2016-2017 (3)'!$A$5:$A$289,$D910,'Comp2016-2017 (3)'!$R$5:$R$289,$V910)*$AB910))</f>
        <v>0</v>
      </c>
      <c r="AI910" s="2">
        <f>IF($W910=AI$3,$AB910,IF(NOT($W910=0),"",SUMIFS('Val-Vol (2)'!AI$4:AI$1116,'Val-Vol (2)'!$A$4:$A$1116,$D910,'Val-Vol (2)'!$V$4:$V$1116,$V910)/SUMIFS('Comp2016-2017 (3)'!$G$5:$G$289,'Comp2016-2017 (3)'!$A$5:$A$289,$D910,'Comp2016-2017 (3)'!$R$5:$R$289,$V910)*$AB910))</f>
        <v>0</v>
      </c>
      <c r="AJ910" s="2">
        <f>IF($W910=AJ$3,$AB910,IF(NOT($W910=0),"",SUMIFS('Val-Vol (2)'!AJ$4:AJ$1116,'Val-Vol (2)'!$A$4:$A$1116,$D910,'Val-Vol (2)'!$V$4:$V$1116,$V910)/SUMIFS('Comp2016-2017 (3)'!$G$5:$G$289,'Comp2016-2017 (3)'!$A$5:$A$289,$D910,'Comp2016-2017 (3)'!$R$5:$R$289,$V910)*$AB910))</f>
        <v>5044.0248934077272</v>
      </c>
      <c r="AK910" s="2">
        <f t="shared" si="101"/>
        <v>0</v>
      </c>
      <c r="AL910" t="str">
        <f t="shared" si="105"/>
        <v/>
      </c>
      <c r="AM910" t="str">
        <f>VLOOKUP(A910,'Table corresp.'!$M$4:$U$63,8,FALSE)</f>
        <v>Production intermédiaire</v>
      </c>
      <c r="AN910" t="str">
        <f>VLOOKUP(D910,'Table corresp.'!$M$4:$U$63,9,FALSE)</f>
        <v>Production intermédiaire</v>
      </c>
    </row>
    <row r="911" spans="1:40" x14ac:dyDescent="0.25">
      <c r="A911" t="s">
        <v>9</v>
      </c>
      <c r="B911" t="str">
        <f>VLOOKUP(LEFT(A911,3),'Table corresp.'!$A$4:$D$63,3,FALSE)</f>
        <v>Transformation</v>
      </c>
      <c r="C911" t="str">
        <f>VLOOKUP(A911,'Table corresp.'!$M$4:$P$63,4,FALSE)</f>
        <v>Production et transformation de produits bois</v>
      </c>
      <c r="D911" t="s">
        <v>14</v>
      </c>
      <c r="E911" t="str">
        <f>VLOOKUP(LEFT(D911,3),'Table corresp.'!$A$4:$D$63,4,FALSE)</f>
        <v>Transformation</v>
      </c>
      <c r="F911" t="str">
        <f t="shared" si="102"/>
        <v>15  - 20b</v>
      </c>
      <c r="G911" s="164">
        <v>2743.4817364665796</v>
      </c>
      <c r="H911" s="164">
        <v>0</v>
      </c>
      <c r="I911" s="164">
        <v>2743.4817364665796</v>
      </c>
      <c r="J911" s="164">
        <v>22.989433571509654</v>
      </c>
      <c r="K911" s="164">
        <v>0</v>
      </c>
      <c r="L911" s="164">
        <v>22.989433571509654</v>
      </c>
      <c r="M911" s="164">
        <v>0</v>
      </c>
      <c r="N911" s="164">
        <v>0</v>
      </c>
      <c r="O911" s="164">
        <v>0</v>
      </c>
      <c r="P911" s="164">
        <v>0</v>
      </c>
      <c r="Q911" s="164">
        <v>0</v>
      </c>
      <c r="R911" s="164">
        <v>0</v>
      </c>
      <c r="S911" s="163" t="str">
        <f t="shared" si="103"/>
        <v/>
      </c>
      <c r="T911" s="163">
        <f>VLOOKUP(A911,'Groupe de branches'!$Z$27:$AM$86,14,FALSE)</f>
        <v>0</v>
      </c>
      <c r="U911" s="163">
        <f>VLOOKUP(D911,'Groupe de branches'!$Z$27:$AM$86,14,FALSE)</f>
        <v>0</v>
      </c>
      <c r="V911" s="163">
        <v>2018</v>
      </c>
      <c r="W911">
        <f>VLOOKUP(D911,'Table corresp.'!$M$4:$S$63,7,FALSE)</f>
        <v>0</v>
      </c>
      <c r="X911" s="167">
        <f>IFERROR(G911/SUMIFS('Comp2016-2017 (3)'!$I$5:$I$289,'Comp2016-2017 (3)'!$A$5:$A$289,A911,'Comp2016-2017 (3)'!$R$5:$R$289,V911),0)</f>
        <v>1.0426907024912429E-2</v>
      </c>
      <c r="Y911" s="178">
        <f>IFERROR(IF(RIGHT(F911,3)="Exp",VLOOKUP(F911,#REF!,2,FALSE),VLOOKUP(F911,#REF!,9,FALSE)),1)</f>
        <v>1</v>
      </c>
      <c r="Z911" s="167">
        <f t="shared" si="107"/>
        <v>9.0909090909090912E-2</v>
      </c>
      <c r="AA911" s="189">
        <f t="shared" si="106"/>
        <v>9.4790063862840266E-4</v>
      </c>
      <c r="AB911" s="2">
        <f>IFERROR(SUMIFS('Comp2016-2017 (3)'!$G$5:$G$289,'Comp2016-2017 (3)'!$A$5:$A$289,A911,'Comp2016-2017 (3)'!$R$5:$R$289,V911)*AA911/SUMIFS($AA$4:$AA$1116,$A$4:$A$1116,A911,$V$4:$V$1116,V911),0)</f>
        <v>591.8126559951811</v>
      </c>
      <c r="AC911" s="2">
        <f>IF($W911=AC$3,$AB911,IF(NOT($W911=0),"",SUMIFS('Val-Vol (2)'!AC$4:AC$1116,'Val-Vol (2)'!$A$4:$A$1116,$D911,'Val-Vol (2)'!$V$4:$V$1116,$V911)/SUMIFS('Comp2016-2017 (3)'!$G$5:$G$289,'Comp2016-2017 (3)'!$A$5:$A$289,$D911,'Comp2016-2017 (3)'!$R$5:$R$289,$V911)*$AB911))</f>
        <v>161.10320036307698</v>
      </c>
      <c r="AD911" s="2">
        <f>IF($W911=AD$3,$AB911,IF(NOT($W911=0),"",SUMIFS('Val-Vol (2)'!AD$4:AD$1116,'Val-Vol (2)'!$A$4:$A$1116,$D911,'Val-Vol (2)'!$V$4:$V$1116,$V911)/SUMIFS('Comp2016-2017 (3)'!$G$5:$G$289,'Comp2016-2017 (3)'!$A$5:$A$289,$D911,'Comp2016-2017 (3)'!$R$5:$R$289,$V911)*$AB911))</f>
        <v>381.19062087060081</v>
      </c>
      <c r="AE911" s="2">
        <f>IF($W911=AE$3,$AB911,IF(NOT($W911=0),"",SUMIFS('Val-Vol (2)'!AE$4:AE$1116,'Val-Vol (2)'!$A$4:$A$1116,$D911,'Val-Vol (2)'!$V$4:$V$1116,$V911)/SUMIFS('Comp2016-2017 (3)'!$G$5:$G$289,'Comp2016-2017 (3)'!$A$5:$A$289,$D911,'Comp2016-2017 (3)'!$R$5:$R$289,$V911)*$AB911))</f>
        <v>3.5920330509047216</v>
      </c>
      <c r="AF911" s="2">
        <f>IF($W911=AF$3,$AB911,IF(NOT($W911=0),"",SUMIFS('Val-Vol (2)'!AF$4:AF$1116,'Val-Vol (2)'!$A$4:$A$1116,$D911,'Val-Vol (2)'!$V$4:$V$1116,$V911)/SUMIFS('Comp2016-2017 (3)'!$G$5:$G$289,'Comp2016-2017 (3)'!$A$5:$A$289,$D911,'Comp2016-2017 (3)'!$R$5:$R$289,$V911)*$AB911))</f>
        <v>0</v>
      </c>
      <c r="AG911" s="2">
        <f>IF($W911=AG$3,$AB911,IF(NOT($W911=0),"",SUMIFS('Val-Vol (2)'!AG$4:AG$1116,'Val-Vol (2)'!$A$4:$A$1116,$D911,'Val-Vol (2)'!$V$4:$V$1116,$V911)/SUMIFS('Comp2016-2017 (3)'!$G$5:$G$289,'Comp2016-2017 (3)'!$A$5:$A$289,$D911,'Comp2016-2017 (3)'!$R$5:$R$289,$V911)*$AB911))</f>
        <v>0</v>
      </c>
      <c r="AH911" s="2">
        <f>IF($W911=AH$3,$AB911,IF(NOT($W911=0),"",SUMIFS('Val-Vol (2)'!AH$4:AH$1116,'Val-Vol (2)'!$A$4:$A$1116,$D911,'Val-Vol (2)'!$V$4:$V$1116,$V911)/SUMIFS('Comp2016-2017 (3)'!$G$5:$G$289,'Comp2016-2017 (3)'!$A$5:$A$289,$D911,'Comp2016-2017 (3)'!$R$5:$R$289,$V911)*$AB911))</f>
        <v>0</v>
      </c>
      <c r="AI911" s="2">
        <f>IF($W911=AI$3,$AB911,IF(NOT($W911=0),"",SUMIFS('Val-Vol (2)'!AI$4:AI$1116,'Val-Vol (2)'!$A$4:$A$1116,$D911,'Val-Vol (2)'!$V$4:$V$1116,$V911)/SUMIFS('Comp2016-2017 (3)'!$G$5:$G$289,'Comp2016-2017 (3)'!$A$5:$A$289,$D911,'Comp2016-2017 (3)'!$R$5:$R$289,$V911)*$AB911))</f>
        <v>0</v>
      </c>
      <c r="AJ911" s="2">
        <f>IF($W911=AJ$3,$AB911,IF(NOT($W911=0),"",SUMIFS('Val-Vol (2)'!AJ$4:AJ$1116,'Val-Vol (2)'!$A$4:$A$1116,$D911,'Val-Vol (2)'!$V$4:$V$1116,$V911)/SUMIFS('Comp2016-2017 (3)'!$G$5:$G$289,'Comp2016-2017 (3)'!$A$5:$A$289,$D911,'Comp2016-2017 (3)'!$R$5:$R$289,$V911)*$AB911))</f>
        <v>45.926801710598674</v>
      </c>
      <c r="AK911" s="2">
        <f t="shared" si="101"/>
        <v>0</v>
      </c>
      <c r="AL911" t="str">
        <f t="shared" si="105"/>
        <v/>
      </c>
      <c r="AM911" t="str">
        <f>VLOOKUP(A911,'Table corresp.'!$M$4:$U$63,8,FALSE)</f>
        <v>Production intermédiaire</v>
      </c>
      <c r="AN911" t="str">
        <f>VLOOKUP(D911,'Table corresp.'!$M$4:$U$63,9,FALSE)</f>
        <v>Production intermédiaire</v>
      </c>
    </row>
    <row r="912" spans="1:40" x14ac:dyDescent="0.25">
      <c r="A912" t="s">
        <v>9</v>
      </c>
      <c r="B912" t="str">
        <f>VLOOKUP(LEFT(A912,3),'Table corresp.'!$A$4:$D$63,3,FALSE)</f>
        <v>Transformation</v>
      </c>
      <c r="C912" t="str">
        <f>VLOOKUP(A912,'Table corresp.'!$M$4:$P$63,4,FALSE)</f>
        <v>Production et transformation de produits bois</v>
      </c>
      <c r="D912" t="s">
        <v>85</v>
      </c>
      <c r="E912" t="str">
        <f>VLOOKUP(LEFT(D912,3),'Table corresp.'!$A$4:$D$63,4,FALSE)</f>
        <v>Transformation</v>
      </c>
      <c r="F912" t="str">
        <f t="shared" si="102"/>
        <v xml:space="preserve">15  - 29 </v>
      </c>
      <c r="G912" s="164">
        <v>1166.7847479921465</v>
      </c>
      <c r="H912" s="164">
        <v>0</v>
      </c>
      <c r="I912" s="164">
        <v>1166.7847479921465</v>
      </c>
      <c r="J912" s="164">
        <v>11.803172672314204</v>
      </c>
      <c r="K912" s="164">
        <v>0</v>
      </c>
      <c r="L912" s="164">
        <v>11.803172672314204</v>
      </c>
      <c r="M912" s="164">
        <v>0</v>
      </c>
      <c r="N912" s="164">
        <v>0</v>
      </c>
      <c r="O912" s="164">
        <v>0</v>
      </c>
      <c r="P912" s="164">
        <v>0</v>
      </c>
      <c r="Q912" s="164">
        <v>0</v>
      </c>
      <c r="R912" s="164">
        <v>0</v>
      </c>
      <c r="S912" s="163" t="str">
        <f t="shared" si="103"/>
        <v/>
      </c>
      <c r="T912" s="163">
        <f>VLOOKUP(A912,'Groupe de branches'!$Z$27:$AM$86,14,FALSE)</f>
        <v>0</v>
      </c>
      <c r="U912" s="163">
        <f>VLOOKUP(D912,'Groupe de branches'!$Z$27:$AM$86,14,FALSE)</f>
        <v>0</v>
      </c>
      <c r="V912" s="163">
        <v>2018</v>
      </c>
      <c r="W912" t="str">
        <f>VLOOKUP(D912,'Table corresp.'!$M$4:$S$63,7,FALSE)</f>
        <v>Construction</v>
      </c>
      <c r="X912" s="167">
        <f>IFERROR(G912/SUMIFS('Comp2016-2017 (3)'!$I$5:$I$289,'Comp2016-2017 (3)'!$A$5:$A$289,A912,'Comp2016-2017 (3)'!$R$5:$R$289,V912),0)</f>
        <v>4.434495015472174E-3</v>
      </c>
      <c r="Y912" s="178">
        <f>IFERROR(IF(RIGHT(F912,3)="Exp",VLOOKUP(F912,#REF!,2,FALSE),VLOOKUP(F912,#REF!,9,FALSE)),1)</f>
        <v>1</v>
      </c>
      <c r="Z912" s="167">
        <f t="shared" si="107"/>
        <v>9.0909090909090912E-2</v>
      </c>
      <c r="AA912" s="189">
        <f t="shared" si="106"/>
        <v>4.0313591049747038E-4</v>
      </c>
      <c r="AB912" s="2">
        <f>IFERROR(SUMIFS('Comp2016-2017 (3)'!$G$5:$G$289,'Comp2016-2017 (3)'!$A$5:$A$289,A912,'Comp2016-2017 (3)'!$R$5:$R$289,V912)*AA912/SUMIFS($AA$4:$AA$1116,$A$4:$A$1116,A912,$V$4:$V$1116,V912),0)</f>
        <v>251.69403226035004</v>
      </c>
      <c r="AC912" s="2" t="str">
        <f>IF($W912=AC$3,$AB912,IF(NOT($W912=0),"",SUMIFS('Val-Vol (2)'!AC$4:AC$1116,'Val-Vol (2)'!$A$4:$A$1116,$D912,'Val-Vol (2)'!$V$4:$V$1116,$V912)/SUMIFS('Comp2016-2017 (3)'!$G$5:$G$289,'Comp2016-2017 (3)'!$A$5:$A$289,$D912,'Comp2016-2017 (3)'!$R$5:$R$289,$V912)*$AB912))</f>
        <v/>
      </c>
      <c r="AD912" s="2">
        <f>IF($W912=AD$3,$AB912,IF(NOT($W912=0),"",SUMIFS('Val-Vol (2)'!AD$4:AD$1116,'Val-Vol (2)'!$A$4:$A$1116,$D912,'Val-Vol (2)'!$V$4:$V$1116,$V912)/SUMIFS('Comp2016-2017 (3)'!$G$5:$G$289,'Comp2016-2017 (3)'!$A$5:$A$289,$D912,'Comp2016-2017 (3)'!$R$5:$R$289,$V912)*$AB912))</f>
        <v>251.69403226035004</v>
      </c>
      <c r="AE912" s="2" t="str">
        <f>IF($W912=AE$3,$AB912,IF(NOT($W912=0),"",SUMIFS('Val-Vol (2)'!AE$4:AE$1116,'Val-Vol (2)'!$A$4:$A$1116,$D912,'Val-Vol (2)'!$V$4:$V$1116,$V912)/SUMIFS('Comp2016-2017 (3)'!$G$5:$G$289,'Comp2016-2017 (3)'!$A$5:$A$289,$D912,'Comp2016-2017 (3)'!$R$5:$R$289,$V912)*$AB912))</f>
        <v/>
      </c>
      <c r="AF912" s="2" t="str">
        <f>IF($W912=AF$3,$AB912,IF(NOT($W912=0),"",SUMIFS('Val-Vol (2)'!AF$4:AF$1116,'Val-Vol (2)'!$A$4:$A$1116,$D912,'Val-Vol (2)'!$V$4:$V$1116,$V912)/SUMIFS('Comp2016-2017 (3)'!$G$5:$G$289,'Comp2016-2017 (3)'!$A$5:$A$289,$D912,'Comp2016-2017 (3)'!$R$5:$R$289,$V912)*$AB912))</f>
        <v/>
      </c>
      <c r="AG912" s="2" t="str">
        <f>IF($W912=AG$3,$AB912,IF(NOT($W912=0),"",SUMIFS('Val-Vol (2)'!AG$4:AG$1116,'Val-Vol (2)'!$A$4:$A$1116,$D912,'Val-Vol (2)'!$V$4:$V$1116,$V912)/SUMIFS('Comp2016-2017 (3)'!$G$5:$G$289,'Comp2016-2017 (3)'!$A$5:$A$289,$D912,'Comp2016-2017 (3)'!$R$5:$R$289,$V912)*$AB912))</f>
        <v/>
      </c>
      <c r="AH912" s="2" t="str">
        <f>IF($W912=AH$3,$AB912,IF(NOT($W912=0),"",SUMIFS('Val-Vol (2)'!AH$4:AH$1116,'Val-Vol (2)'!$A$4:$A$1116,$D912,'Val-Vol (2)'!$V$4:$V$1116,$V912)/SUMIFS('Comp2016-2017 (3)'!$G$5:$G$289,'Comp2016-2017 (3)'!$A$5:$A$289,$D912,'Comp2016-2017 (3)'!$R$5:$R$289,$V912)*$AB912))</f>
        <v/>
      </c>
      <c r="AI912" s="2" t="str">
        <f>IF($W912=AI$3,$AB912,IF(NOT($W912=0),"",SUMIFS('Val-Vol (2)'!AI$4:AI$1116,'Val-Vol (2)'!$A$4:$A$1116,$D912,'Val-Vol (2)'!$V$4:$V$1116,$V912)/SUMIFS('Comp2016-2017 (3)'!$G$5:$G$289,'Comp2016-2017 (3)'!$A$5:$A$289,$D912,'Comp2016-2017 (3)'!$R$5:$R$289,$V912)*$AB912))</f>
        <v/>
      </c>
      <c r="AJ912" s="2" t="str">
        <f>IF($W912=AJ$3,$AB912,IF(NOT($W912=0),"",SUMIFS('Val-Vol (2)'!AJ$4:AJ$1116,'Val-Vol (2)'!$A$4:$A$1116,$D912,'Val-Vol (2)'!$V$4:$V$1116,$V912)/SUMIFS('Comp2016-2017 (3)'!$G$5:$G$289,'Comp2016-2017 (3)'!$A$5:$A$289,$D912,'Comp2016-2017 (3)'!$R$5:$R$289,$V912)*$AB912))</f>
        <v/>
      </c>
      <c r="AK912" s="2">
        <f t="shared" si="101"/>
        <v>0</v>
      </c>
      <c r="AL912" t="str">
        <f t="shared" si="105"/>
        <v/>
      </c>
      <c r="AM912" t="str">
        <f>VLOOKUP(A912,'Table corresp.'!$M$4:$U$63,8,FALSE)</f>
        <v>Production intermédiaire</v>
      </c>
      <c r="AN912" t="str">
        <f>VLOOKUP(D912,'Table corresp.'!$M$4:$U$63,9,FALSE)</f>
        <v>Production intermédiaire</v>
      </c>
    </row>
    <row r="913" spans="1:40" x14ac:dyDescent="0.25">
      <c r="A913" t="s">
        <v>9</v>
      </c>
      <c r="B913" t="str">
        <f>VLOOKUP(LEFT(A913,3),'Table corresp.'!$A$4:$D$63,3,FALSE)</f>
        <v>Transformation</v>
      </c>
      <c r="C913" t="str">
        <f>VLOOKUP(A913,'Table corresp.'!$M$4:$P$63,4,FALSE)</f>
        <v>Production et transformation de produits bois</v>
      </c>
      <c r="D913" t="s">
        <v>91</v>
      </c>
      <c r="E913" t="str">
        <f>VLOOKUP(LEFT(D913,3),'Table corresp.'!$A$4:$D$63,4,FALSE)</f>
        <v>Transformation</v>
      </c>
      <c r="F913" t="str">
        <f t="shared" si="102"/>
        <v xml:space="preserve">15  - 37 </v>
      </c>
      <c r="G913" s="164">
        <v>125828.47776265623</v>
      </c>
      <c r="H913" s="164">
        <v>0</v>
      </c>
      <c r="I913" s="164">
        <v>125828.47776265623</v>
      </c>
      <c r="J913" s="164">
        <v>1766.118954757877</v>
      </c>
      <c r="K913" s="164">
        <v>0</v>
      </c>
      <c r="L913" s="164">
        <v>1766.118954757877</v>
      </c>
      <c r="M913" s="164">
        <v>0</v>
      </c>
      <c r="N913" s="164">
        <v>0</v>
      </c>
      <c r="O913" s="164">
        <v>0</v>
      </c>
      <c r="P913" s="164">
        <v>0</v>
      </c>
      <c r="Q913" s="164">
        <v>0</v>
      </c>
      <c r="R913" s="164">
        <v>0</v>
      </c>
      <c r="S913" s="163" t="str">
        <f t="shared" si="103"/>
        <v/>
      </c>
      <c r="T913" s="163">
        <f>VLOOKUP(A913,'Groupe de branches'!$Z$27:$AM$86,14,FALSE)</f>
        <v>0</v>
      </c>
      <c r="U913" s="163">
        <f>VLOOKUP(D913,'Groupe de branches'!$Z$27:$AM$86,14,FALSE)</f>
        <v>0</v>
      </c>
      <c r="V913" s="163">
        <v>2018</v>
      </c>
      <c r="W913" t="str">
        <f>VLOOKUP(D913,'Table corresp.'!$M$4:$S$63,7,FALSE)</f>
        <v>Emballage bois et carton</v>
      </c>
      <c r="X913" s="167">
        <f>IFERROR(G913/SUMIFS('Comp2016-2017 (3)'!$I$5:$I$289,'Comp2016-2017 (3)'!$A$5:$A$289,A913,'Comp2016-2017 (3)'!$R$5:$R$289,V913),0)</f>
        <v>0.47822510399039431</v>
      </c>
      <c r="Y913" s="178">
        <f>IFERROR(IF(RIGHT(F913,3)="Exp",VLOOKUP(F913,#REF!,2,FALSE),VLOOKUP(F913,#REF!,9,FALSE)),1)</f>
        <v>1</v>
      </c>
      <c r="Z913" s="167">
        <f t="shared" si="107"/>
        <v>9.0909090909090912E-2</v>
      </c>
      <c r="AA913" s="189">
        <f t="shared" si="106"/>
        <v>4.3475009453672213E-2</v>
      </c>
      <c r="AB913" s="2">
        <f>IFERROR(SUMIFS('Comp2016-2017 (3)'!$G$5:$G$289,'Comp2016-2017 (3)'!$A$5:$A$289,A913,'Comp2016-2017 (3)'!$R$5:$R$289,V913)*AA913/SUMIFS($AA$4:$AA$1116,$A$4:$A$1116,A913,$V$4:$V$1116,V913),0)</f>
        <v>27143.204430606682</v>
      </c>
      <c r="AC913" s="2" t="str">
        <f>IF($W913=AC$3,$AB913,IF(NOT($W913=0),"",SUMIFS('Val-Vol (2)'!AC$4:AC$1116,'Val-Vol (2)'!$A$4:$A$1116,$D913,'Val-Vol (2)'!$V$4:$V$1116,$V913)/SUMIFS('Comp2016-2017 (3)'!$G$5:$G$289,'Comp2016-2017 (3)'!$A$5:$A$289,$D913,'Comp2016-2017 (3)'!$R$5:$R$289,$V913)*$AB913))</f>
        <v/>
      </c>
      <c r="AD913" s="2" t="str">
        <f>IF($W913=AD$3,$AB913,IF(NOT($W913=0),"",SUMIFS('Val-Vol (2)'!AD$4:AD$1116,'Val-Vol (2)'!$A$4:$A$1116,$D913,'Val-Vol (2)'!$V$4:$V$1116,$V913)/SUMIFS('Comp2016-2017 (3)'!$G$5:$G$289,'Comp2016-2017 (3)'!$A$5:$A$289,$D913,'Comp2016-2017 (3)'!$R$5:$R$289,$V913)*$AB913))</f>
        <v/>
      </c>
      <c r="AE913" s="2" t="str">
        <f>IF($W913=AE$3,$AB913,IF(NOT($W913=0),"",SUMIFS('Val-Vol (2)'!AE$4:AE$1116,'Val-Vol (2)'!$A$4:$A$1116,$D913,'Val-Vol (2)'!$V$4:$V$1116,$V913)/SUMIFS('Comp2016-2017 (3)'!$G$5:$G$289,'Comp2016-2017 (3)'!$A$5:$A$289,$D913,'Comp2016-2017 (3)'!$R$5:$R$289,$V913)*$AB913))</f>
        <v/>
      </c>
      <c r="AF913" s="2" t="str">
        <f>IF($W913=AF$3,$AB913,IF(NOT($W913=0),"",SUMIFS('Val-Vol (2)'!AF$4:AF$1116,'Val-Vol (2)'!$A$4:$A$1116,$D913,'Val-Vol (2)'!$V$4:$V$1116,$V913)/SUMIFS('Comp2016-2017 (3)'!$G$5:$G$289,'Comp2016-2017 (3)'!$A$5:$A$289,$D913,'Comp2016-2017 (3)'!$R$5:$R$289,$V913)*$AB913))</f>
        <v/>
      </c>
      <c r="AG913" s="2">
        <f>IF($W913=AG$3,$AB913,IF(NOT($W913=0),"",SUMIFS('Val-Vol (2)'!AG$4:AG$1116,'Val-Vol (2)'!$A$4:$A$1116,$D913,'Val-Vol (2)'!$V$4:$V$1116,$V913)/SUMIFS('Comp2016-2017 (3)'!$G$5:$G$289,'Comp2016-2017 (3)'!$A$5:$A$289,$D913,'Comp2016-2017 (3)'!$R$5:$R$289,$V913)*$AB913))</f>
        <v>27143.204430606682</v>
      </c>
      <c r="AH913" s="2" t="str">
        <f>IF($W913=AH$3,$AB913,IF(NOT($W913=0),"",SUMIFS('Val-Vol (2)'!AH$4:AH$1116,'Val-Vol (2)'!$A$4:$A$1116,$D913,'Val-Vol (2)'!$V$4:$V$1116,$V913)/SUMIFS('Comp2016-2017 (3)'!$G$5:$G$289,'Comp2016-2017 (3)'!$A$5:$A$289,$D913,'Comp2016-2017 (3)'!$R$5:$R$289,$V913)*$AB913))</f>
        <v/>
      </c>
      <c r="AI913" s="2" t="str">
        <f>IF($W913=AI$3,$AB913,IF(NOT($W913=0),"",SUMIFS('Val-Vol (2)'!AI$4:AI$1116,'Val-Vol (2)'!$A$4:$A$1116,$D913,'Val-Vol (2)'!$V$4:$V$1116,$V913)/SUMIFS('Comp2016-2017 (3)'!$G$5:$G$289,'Comp2016-2017 (3)'!$A$5:$A$289,$D913,'Comp2016-2017 (3)'!$R$5:$R$289,$V913)*$AB913))</f>
        <v/>
      </c>
      <c r="AJ913" s="2" t="str">
        <f>IF($W913=AJ$3,$AB913,IF(NOT($W913=0),"",SUMIFS('Val-Vol (2)'!AJ$4:AJ$1116,'Val-Vol (2)'!$A$4:$A$1116,$D913,'Val-Vol (2)'!$V$4:$V$1116,$V913)/SUMIFS('Comp2016-2017 (3)'!$G$5:$G$289,'Comp2016-2017 (3)'!$A$5:$A$289,$D913,'Comp2016-2017 (3)'!$R$5:$R$289,$V913)*$AB913))</f>
        <v/>
      </c>
      <c r="AK913" s="2">
        <f t="shared" si="101"/>
        <v>0</v>
      </c>
      <c r="AL913" t="str">
        <f t="shared" si="105"/>
        <v/>
      </c>
      <c r="AM913" t="str">
        <f>VLOOKUP(A913,'Table corresp.'!$M$4:$U$63,8,FALSE)</f>
        <v>Production intermédiaire</v>
      </c>
      <c r="AN913" t="str">
        <f>VLOOKUP(D913,'Table corresp.'!$M$4:$U$63,9,FALSE)</f>
        <v>Production finale</v>
      </c>
    </row>
    <row r="914" spans="1:40" x14ac:dyDescent="0.25">
      <c r="A914" t="s">
        <v>9</v>
      </c>
      <c r="B914" t="str">
        <f>VLOOKUP(LEFT(A914,3),'Table corresp.'!$A$4:$D$63,3,FALSE)</f>
        <v>Transformation</v>
      </c>
      <c r="C914" t="str">
        <f>VLOOKUP(A914,'Table corresp.'!$M$4:$P$63,4,FALSE)</f>
        <v>Production et transformation de produits bois</v>
      </c>
      <c r="D914" t="s">
        <v>92</v>
      </c>
      <c r="E914" t="str">
        <f>VLOOKUP(LEFT(D914,3),'Table corresp.'!$A$4:$D$63,4,FALSE)</f>
        <v>Transformation</v>
      </c>
      <c r="F914" t="str">
        <f t="shared" si="102"/>
        <v xml:space="preserve">15  - 40 </v>
      </c>
      <c r="G914" s="164">
        <v>2514.7888677660762</v>
      </c>
      <c r="H914" s="164">
        <v>0</v>
      </c>
      <c r="I914" s="164">
        <v>2514.7888677660762</v>
      </c>
      <c r="J914" s="164">
        <v>26.341332463333707</v>
      </c>
      <c r="K914" s="164">
        <v>0</v>
      </c>
      <c r="L914" s="164">
        <v>26.341332463333707</v>
      </c>
      <c r="M914" s="164">
        <v>0</v>
      </c>
      <c r="N914" s="164">
        <v>0</v>
      </c>
      <c r="O914" s="164">
        <v>0</v>
      </c>
      <c r="P914" s="164">
        <v>0</v>
      </c>
      <c r="Q914" s="164">
        <v>0</v>
      </c>
      <c r="R914" s="164">
        <v>0</v>
      </c>
      <c r="S914" s="163" t="str">
        <f t="shared" si="103"/>
        <v/>
      </c>
      <c r="T914" s="163">
        <f>VLOOKUP(A914,'Groupe de branches'!$Z$27:$AM$86,14,FALSE)</f>
        <v>0</v>
      </c>
      <c r="U914" s="163">
        <f>VLOOKUP(D914,'Groupe de branches'!$Z$27:$AM$86,14,FALSE)</f>
        <v>0</v>
      </c>
      <c r="V914" s="163">
        <v>2018</v>
      </c>
      <c r="W914" t="str">
        <f>VLOOKUP(D914,'Table corresp.'!$M$4:$S$63,7,FALSE)</f>
        <v>Construction</v>
      </c>
      <c r="X914" s="167">
        <f>IFERROR(G914/SUMIFS('Comp2016-2017 (3)'!$I$5:$I$289,'Comp2016-2017 (3)'!$A$5:$A$289,A914,'Comp2016-2017 (3)'!$R$5:$R$289,V914),0)</f>
        <v>9.5577343792538488E-3</v>
      </c>
      <c r="Y914" s="178">
        <f>IFERROR(IF(RIGHT(F914,3)="Exp",VLOOKUP(F914,#REF!,2,FALSE),VLOOKUP(F914,#REF!,9,FALSE)),1)</f>
        <v>1</v>
      </c>
      <c r="Z914" s="167">
        <f t="shared" si="107"/>
        <v>9.0909090909090912E-2</v>
      </c>
      <c r="AA914" s="189">
        <f t="shared" si="106"/>
        <v>8.6888494356853168E-4</v>
      </c>
      <c r="AB914" s="2">
        <f>IFERROR(SUMIFS('Comp2016-2017 (3)'!$G$5:$G$289,'Comp2016-2017 (3)'!$A$5:$A$289,A914,'Comp2016-2017 (3)'!$R$5:$R$289,V914)*AA914/SUMIFS($AA$4:$AA$1116,$A$4:$A$1116,A914,$V$4:$V$1116,V914),0)</f>
        <v>542.47996599261705</v>
      </c>
      <c r="AC914" s="2" t="str">
        <f>IF($W914=AC$3,$AB914,IF(NOT($W914=0),"",SUMIFS('Val-Vol (2)'!AC$4:AC$1116,'Val-Vol (2)'!$A$4:$A$1116,$D914,'Val-Vol (2)'!$V$4:$V$1116,$V914)/SUMIFS('Comp2016-2017 (3)'!$G$5:$G$289,'Comp2016-2017 (3)'!$A$5:$A$289,$D914,'Comp2016-2017 (3)'!$R$5:$R$289,$V914)*$AB914))</f>
        <v/>
      </c>
      <c r="AD914" s="2">
        <f>IF($W914=AD$3,$AB914,IF(NOT($W914=0),"",SUMIFS('Val-Vol (2)'!AD$4:AD$1116,'Val-Vol (2)'!$A$4:$A$1116,$D914,'Val-Vol (2)'!$V$4:$V$1116,$V914)/SUMIFS('Comp2016-2017 (3)'!$G$5:$G$289,'Comp2016-2017 (3)'!$A$5:$A$289,$D914,'Comp2016-2017 (3)'!$R$5:$R$289,$V914)*$AB914))</f>
        <v>542.47996599261705</v>
      </c>
      <c r="AE914" s="2" t="str">
        <f>IF($W914=AE$3,$AB914,IF(NOT($W914=0),"",SUMIFS('Val-Vol (2)'!AE$4:AE$1116,'Val-Vol (2)'!$A$4:$A$1116,$D914,'Val-Vol (2)'!$V$4:$V$1116,$V914)/SUMIFS('Comp2016-2017 (3)'!$G$5:$G$289,'Comp2016-2017 (3)'!$A$5:$A$289,$D914,'Comp2016-2017 (3)'!$R$5:$R$289,$V914)*$AB914))</f>
        <v/>
      </c>
      <c r="AF914" s="2" t="str">
        <f>IF($W914=AF$3,$AB914,IF(NOT($W914=0),"",SUMIFS('Val-Vol (2)'!AF$4:AF$1116,'Val-Vol (2)'!$A$4:$A$1116,$D914,'Val-Vol (2)'!$V$4:$V$1116,$V914)/SUMIFS('Comp2016-2017 (3)'!$G$5:$G$289,'Comp2016-2017 (3)'!$A$5:$A$289,$D914,'Comp2016-2017 (3)'!$R$5:$R$289,$V914)*$AB914))</f>
        <v/>
      </c>
      <c r="AG914" s="2" t="str">
        <f>IF($W914=AG$3,$AB914,IF(NOT($W914=0),"",SUMIFS('Val-Vol (2)'!AG$4:AG$1116,'Val-Vol (2)'!$A$4:$A$1116,$D914,'Val-Vol (2)'!$V$4:$V$1116,$V914)/SUMIFS('Comp2016-2017 (3)'!$G$5:$G$289,'Comp2016-2017 (3)'!$A$5:$A$289,$D914,'Comp2016-2017 (3)'!$R$5:$R$289,$V914)*$AB914))</f>
        <v/>
      </c>
      <c r="AH914" s="2" t="str">
        <f>IF($W914=AH$3,$AB914,IF(NOT($W914=0),"",SUMIFS('Val-Vol (2)'!AH$4:AH$1116,'Val-Vol (2)'!$A$4:$A$1116,$D914,'Val-Vol (2)'!$V$4:$V$1116,$V914)/SUMIFS('Comp2016-2017 (3)'!$G$5:$G$289,'Comp2016-2017 (3)'!$A$5:$A$289,$D914,'Comp2016-2017 (3)'!$R$5:$R$289,$V914)*$AB914))</f>
        <v/>
      </c>
      <c r="AI914" s="2" t="str">
        <f>IF($W914=AI$3,$AB914,IF(NOT($W914=0),"",SUMIFS('Val-Vol (2)'!AI$4:AI$1116,'Val-Vol (2)'!$A$4:$A$1116,$D914,'Val-Vol (2)'!$V$4:$V$1116,$V914)/SUMIFS('Comp2016-2017 (3)'!$G$5:$G$289,'Comp2016-2017 (3)'!$A$5:$A$289,$D914,'Comp2016-2017 (3)'!$R$5:$R$289,$V914)*$AB914))</f>
        <v/>
      </c>
      <c r="AJ914" s="2" t="str">
        <f>IF($W914=AJ$3,$AB914,IF(NOT($W914=0),"",SUMIFS('Val-Vol (2)'!AJ$4:AJ$1116,'Val-Vol (2)'!$A$4:$A$1116,$D914,'Val-Vol (2)'!$V$4:$V$1116,$V914)/SUMIFS('Comp2016-2017 (3)'!$G$5:$G$289,'Comp2016-2017 (3)'!$A$5:$A$289,$D914,'Comp2016-2017 (3)'!$R$5:$R$289,$V914)*$AB914))</f>
        <v/>
      </c>
      <c r="AK914" s="2">
        <f t="shared" si="101"/>
        <v>0</v>
      </c>
      <c r="AL914" t="str">
        <f t="shared" si="105"/>
        <v/>
      </c>
      <c r="AM914" t="str">
        <f>VLOOKUP(A914,'Table corresp.'!$M$4:$U$63,8,FALSE)</f>
        <v>Production intermédiaire</v>
      </c>
      <c r="AN914" t="str">
        <f>VLOOKUP(D914,'Table corresp.'!$M$4:$U$63,9,FALSE)</f>
        <v>Production finale</v>
      </c>
    </row>
    <row r="915" spans="1:40" x14ac:dyDescent="0.25">
      <c r="A915" t="s">
        <v>9</v>
      </c>
      <c r="B915" t="str">
        <f>VLOOKUP(LEFT(A915,3),'Table corresp.'!$A$4:$D$63,3,FALSE)</f>
        <v>Transformation</v>
      </c>
      <c r="C915" t="str">
        <f>VLOOKUP(A915,'Table corresp.'!$M$4:$P$63,4,FALSE)</f>
        <v>Production et transformation de produits bois</v>
      </c>
      <c r="D915" t="s">
        <v>19</v>
      </c>
      <c r="E915" t="str">
        <f>VLOOKUP(LEFT(D915,3),'Table corresp.'!$A$4:$D$63,4,FALSE)</f>
        <v>Transformation</v>
      </c>
      <c r="F915" t="str">
        <f t="shared" si="102"/>
        <v xml:space="preserve">15  - 52 </v>
      </c>
      <c r="G915" s="164">
        <v>813.81596833798756</v>
      </c>
      <c r="H915" s="164">
        <v>0</v>
      </c>
      <c r="I915" s="164">
        <v>813.81596833798756</v>
      </c>
      <c r="J915" s="164">
        <v>10.153474761288958</v>
      </c>
      <c r="K915" s="164">
        <v>0</v>
      </c>
      <c r="L915" s="164">
        <v>10.153474761288958</v>
      </c>
      <c r="M915" s="164">
        <v>0</v>
      </c>
      <c r="N915" s="164">
        <v>0</v>
      </c>
      <c r="O915" s="164">
        <v>0</v>
      </c>
      <c r="P915" s="164">
        <v>0</v>
      </c>
      <c r="Q915" s="164">
        <v>0</v>
      </c>
      <c r="R915" s="164">
        <v>0</v>
      </c>
      <c r="S915" s="163" t="str">
        <f t="shared" si="103"/>
        <v/>
      </c>
      <c r="T915" s="163">
        <f>VLOOKUP(A915,'Groupe de branches'!$Z$27:$AM$86,14,FALSE)</f>
        <v>0</v>
      </c>
      <c r="U915" s="163">
        <f>VLOOKUP(D915,'Groupe de branches'!$Z$27:$AM$86,14,FALSE)</f>
        <v>0</v>
      </c>
      <c r="V915" s="163">
        <v>2018</v>
      </c>
      <c r="W915" t="str">
        <f>VLOOKUP(D915,'Table corresp.'!$M$4:$S$63,7,FALSE)</f>
        <v>Construction</v>
      </c>
      <c r="X915" s="167">
        <f>IFERROR(G915/SUMIFS('Comp2016-2017 (3)'!$I$5:$I$289,'Comp2016-2017 (3)'!$A$5:$A$289,A915,'Comp2016-2017 (3)'!$R$5:$R$289,V915),0)</f>
        <v>3.0929979684057004E-3</v>
      </c>
      <c r="Y915" s="178">
        <f>IFERROR(IF(RIGHT(F915,3)="Exp",VLOOKUP(F915,#REF!,2,FALSE),VLOOKUP(F915,#REF!,9,FALSE)),1)</f>
        <v>1</v>
      </c>
      <c r="Z915" s="167">
        <f t="shared" si="107"/>
        <v>9.0909090909090912E-2</v>
      </c>
      <c r="AA915" s="189">
        <f t="shared" si="106"/>
        <v>2.8118163349142731E-4</v>
      </c>
      <c r="AB915" s="2">
        <f>IFERROR(SUMIFS('Comp2016-2017 (3)'!$G$5:$G$289,'Comp2016-2017 (3)'!$A$5:$A$289,A915,'Comp2016-2017 (3)'!$R$5:$R$289,V915)*AA915/SUMIFS($AA$4:$AA$1116,$A$4:$A$1116,A915,$V$4:$V$1116,V915),0)</f>
        <v>175.55305118731988</v>
      </c>
      <c r="AC915" s="2" t="str">
        <f>IF($W915=AC$3,$AB915,IF(NOT($W915=0),"",SUMIFS('Val-Vol (2)'!AC$4:AC$1116,'Val-Vol (2)'!$A$4:$A$1116,$D915,'Val-Vol (2)'!$V$4:$V$1116,$V915)/SUMIFS('Comp2016-2017 (3)'!$G$5:$G$289,'Comp2016-2017 (3)'!$A$5:$A$289,$D915,'Comp2016-2017 (3)'!$R$5:$R$289,$V915)*$AB915))</f>
        <v/>
      </c>
      <c r="AD915" s="2">
        <f>IF($W915=AD$3,$AB915,IF(NOT($W915=0),"",SUMIFS('Val-Vol (2)'!AD$4:AD$1116,'Val-Vol (2)'!$A$4:$A$1116,$D915,'Val-Vol (2)'!$V$4:$V$1116,$V915)/SUMIFS('Comp2016-2017 (3)'!$G$5:$G$289,'Comp2016-2017 (3)'!$A$5:$A$289,$D915,'Comp2016-2017 (3)'!$R$5:$R$289,$V915)*$AB915))</f>
        <v>175.55305118731988</v>
      </c>
      <c r="AE915" s="2" t="str">
        <f>IF($W915=AE$3,$AB915,IF(NOT($W915=0),"",SUMIFS('Val-Vol (2)'!AE$4:AE$1116,'Val-Vol (2)'!$A$4:$A$1116,$D915,'Val-Vol (2)'!$V$4:$V$1116,$V915)/SUMIFS('Comp2016-2017 (3)'!$G$5:$G$289,'Comp2016-2017 (3)'!$A$5:$A$289,$D915,'Comp2016-2017 (3)'!$R$5:$R$289,$V915)*$AB915))</f>
        <v/>
      </c>
      <c r="AF915" s="2" t="str">
        <f>IF($W915=AF$3,$AB915,IF(NOT($W915=0),"",SUMIFS('Val-Vol (2)'!AF$4:AF$1116,'Val-Vol (2)'!$A$4:$A$1116,$D915,'Val-Vol (2)'!$V$4:$V$1116,$V915)/SUMIFS('Comp2016-2017 (3)'!$G$5:$G$289,'Comp2016-2017 (3)'!$A$5:$A$289,$D915,'Comp2016-2017 (3)'!$R$5:$R$289,$V915)*$AB915))</f>
        <v/>
      </c>
      <c r="AG915" s="2" t="str">
        <f>IF($W915=AG$3,$AB915,IF(NOT($W915=0),"",SUMIFS('Val-Vol (2)'!AG$4:AG$1116,'Val-Vol (2)'!$A$4:$A$1116,$D915,'Val-Vol (2)'!$V$4:$V$1116,$V915)/SUMIFS('Comp2016-2017 (3)'!$G$5:$G$289,'Comp2016-2017 (3)'!$A$5:$A$289,$D915,'Comp2016-2017 (3)'!$R$5:$R$289,$V915)*$AB915))</f>
        <v/>
      </c>
      <c r="AH915" s="2" t="str">
        <f>IF($W915=AH$3,$AB915,IF(NOT($W915=0),"",SUMIFS('Val-Vol (2)'!AH$4:AH$1116,'Val-Vol (2)'!$A$4:$A$1116,$D915,'Val-Vol (2)'!$V$4:$V$1116,$V915)/SUMIFS('Comp2016-2017 (3)'!$G$5:$G$289,'Comp2016-2017 (3)'!$A$5:$A$289,$D915,'Comp2016-2017 (3)'!$R$5:$R$289,$V915)*$AB915))</f>
        <v/>
      </c>
      <c r="AI915" s="2" t="str">
        <f>IF($W915=AI$3,$AB915,IF(NOT($W915=0),"",SUMIFS('Val-Vol (2)'!AI$4:AI$1116,'Val-Vol (2)'!$A$4:$A$1116,$D915,'Val-Vol (2)'!$V$4:$V$1116,$V915)/SUMIFS('Comp2016-2017 (3)'!$G$5:$G$289,'Comp2016-2017 (3)'!$A$5:$A$289,$D915,'Comp2016-2017 (3)'!$R$5:$R$289,$V915)*$AB915))</f>
        <v/>
      </c>
      <c r="AJ915" s="2" t="str">
        <f>IF($W915=AJ$3,$AB915,IF(NOT($W915=0),"",SUMIFS('Val-Vol (2)'!AJ$4:AJ$1116,'Val-Vol (2)'!$A$4:$A$1116,$D915,'Val-Vol (2)'!$V$4:$V$1116,$V915)/SUMIFS('Comp2016-2017 (3)'!$G$5:$G$289,'Comp2016-2017 (3)'!$A$5:$A$289,$D915,'Comp2016-2017 (3)'!$R$5:$R$289,$V915)*$AB915))</f>
        <v/>
      </c>
      <c r="AK915" s="2">
        <f t="shared" si="101"/>
        <v>0</v>
      </c>
      <c r="AL915" t="str">
        <f t="shared" si="105"/>
        <v/>
      </c>
      <c r="AM915" t="str">
        <f>VLOOKUP(A915,'Table corresp.'!$M$4:$U$63,8,FALSE)</f>
        <v>Production intermédiaire</v>
      </c>
      <c r="AN915" t="str">
        <f>VLOOKUP(D915,'Table corresp.'!$M$4:$U$63,9,FALSE)</f>
        <v xml:space="preserve">Mise en œuvre </v>
      </c>
    </row>
    <row r="916" spans="1:40" x14ac:dyDescent="0.25">
      <c r="A916" t="s">
        <v>9</v>
      </c>
      <c r="B916" t="str">
        <f>VLOOKUP(LEFT(A916,3),'Table corresp.'!$A$4:$D$63,3,FALSE)</f>
        <v>Transformation</v>
      </c>
      <c r="C916" t="str">
        <f>VLOOKUP(A916,'Table corresp.'!$M$4:$P$63,4,FALSE)</f>
        <v>Production et transformation de produits bois</v>
      </c>
      <c r="D916" t="s">
        <v>21</v>
      </c>
      <c r="E916" t="str">
        <f>VLOOKUP(LEFT(D916,3),'Table corresp.'!$A$4:$D$63,4,FALSE)</f>
        <v>Transformation</v>
      </c>
      <c r="F916" t="str">
        <f t="shared" si="102"/>
        <v xml:space="preserve">15  - 54 </v>
      </c>
      <c r="G916" s="164">
        <v>2692.9588629179148</v>
      </c>
      <c r="H916" s="164">
        <v>0</v>
      </c>
      <c r="I916" s="164">
        <v>2692.9588629179148</v>
      </c>
      <c r="J916" s="164">
        <v>12.095413125550058</v>
      </c>
      <c r="K916" s="164">
        <v>0</v>
      </c>
      <c r="L916" s="164">
        <v>12.095413125550058</v>
      </c>
      <c r="M916" s="164">
        <v>0</v>
      </c>
      <c r="N916" s="164">
        <v>0</v>
      </c>
      <c r="O916" s="164">
        <v>0</v>
      </c>
      <c r="P916" s="164">
        <v>0</v>
      </c>
      <c r="Q916" s="164">
        <v>0</v>
      </c>
      <c r="R916" s="164">
        <v>0</v>
      </c>
      <c r="S916" s="163" t="str">
        <f t="shared" si="103"/>
        <v/>
      </c>
      <c r="T916" s="163">
        <f>VLOOKUP(A916,'Groupe de branches'!$Z$27:$AM$86,14,FALSE)</f>
        <v>0</v>
      </c>
      <c r="U916" s="163">
        <f>VLOOKUP(D916,'Groupe de branches'!$Z$27:$AM$86,14,FALSE)</f>
        <v>0</v>
      </c>
      <c r="V916" s="163">
        <v>2018</v>
      </c>
      <c r="W916" t="str">
        <f>VLOOKUP(D916,'Table corresp.'!$M$4:$S$63,7,FALSE)</f>
        <v>Construction</v>
      </c>
      <c r="X916" s="167">
        <f>IFERROR(G916/SUMIFS('Comp2016-2017 (3)'!$I$5:$I$289,'Comp2016-2017 (3)'!$A$5:$A$289,A916,'Comp2016-2017 (3)'!$R$5:$R$289,V916),0)</f>
        <v>1.0234889233023712E-2</v>
      </c>
      <c r="Y916" s="178">
        <f>IFERROR(IF(RIGHT(F916,3)="Exp",VLOOKUP(F916,#REF!,2,FALSE),VLOOKUP(F916,#REF!,9,FALSE)),1)</f>
        <v>1</v>
      </c>
      <c r="Z916" s="167">
        <f t="shared" si="107"/>
        <v>9.0909090909090912E-2</v>
      </c>
      <c r="AA916" s="189">
        <f t="shared" si="106"/>
        <v>9.304444757294284E-4</v>
      </c>
      <c r="AB916" s="2">
        <f>IFERROR(SUMIFS('Comp2016-2017 (3)'!$G$5:$G$289,'Comp2016-2017 (3)'!$A$5:$A$289,A916,'Comp2016-2017 (3)'!$R$5:$R$289,V916)*AA916/SUMIFS($AA$4:$AA$1116,$A$4:$A$1116,A916,$V$4:$V$1116,V916),0)</f>
        <v>580.91406841360197</v>
      </c>
      <c r="AC916" s="2" t="str">
        <f>IF($W916=AC$3,$AB916,IF(NOT($W916=0),"",SUMIFS('Val-Vol (2)'!AC$4:AC$1116,'Val-Vol (2)'!$A$4:$A$1116,$D916,'Val-Vol (2)'!$V$4:$V$1116,$V916)/SUMIFS('Comp2016-2017 (3)'!$G$5:$G$289,'Comp2016-2017 (3)'!$A$5:$A$289,$D916,'Comp2016-2017 (3)'!$R$5:$R$289,$V916)*$AB916))</f>
        <v/>
      </c>
      <c r="AD916" s="2">
        <f>IF($W916=AD$3,$AB916,IF(NOT($W916=0),"",SUMIFS('Val-Vol (2)'!AD$4:AD$1116,'Val-Vol (2)'!$A$4:$A$1116,$D916,'Val-Vol (2)'!$V$4:$V$1116,$V916)/SUMIFS('Comp2016-2017 (3)'!$G$5:$G$289,'Comp2016-2017 (3)'!$A$5:$A$289,$D916,'Comp2016-2017 (3)'!$R$5:$R$289,$V916)*$AB916))</f>
        <v>580.91406841360197</v>
      </c>
      <c r="AE916" s="2" t="str">
        <f>IF($W916=AE$3,$AB916,IF(NOT($W916=0),"",SUMIFS('Val-Vol (2)'!AE$4:AE$1116,'Val-Vol (2)'!$A$4:$A$1116,$D916,'Val-Vol (2)'!$V$4:$V$1116,$V916)/SUMIFS('Comp2016-2017 (3)'!$G$5:$G$289,'Comp2016-2017 (3)'!$A$5:$A$289,$D916,'Comp2016-2017 (3)'!$R$5:$R$289,$V916)*$AB916))</f>
        <v/>
      </c>
      <c r="AF916" s="2" t="str">
        <f>IF($W916=AF$3,$AB916,IF(NOT($W916=0),"",SUMIFS('Val-Vol (2)'!AF$4:AF$1116,'Val-Vol (2)'!$A$4:$A$1116,$D916,'Val-Vol (2)'!$V$4:$V$1116,$V916)/SUMIFS('Comp2016-2017 (3)'!$G$5:$G$289,'Comp2016-2017 (3)'!$A$5:$A$289,$D916,'Comp2016-2017 (3)'!$R$5:$R$289,$V916)*$AB916))</f>
        <v/>
      </c>
      <c r="AG916" s="2" t="str">
        <f>IF($W916=AG$3,$AB916,IF(NOT($W916=0),"",SUMIFS('Val-Vol (2)'!AG$4:AG$1116,'Val-Vol (2)'!$A$4:$A$1116,$D916,'Val-Vol (2)'!$V$4:$V$1116,$V916)/SUMIFS('Comp2016-2017 (3)'!$G$5:$G$289,'Comp2016-2017 (3)'!$A$5:$A$289,$D916,'Comp2016-2017 (3)'!$R$5:$R$289,$V916)*$AB916))</f>
        <v/>
      </c>
      <c r="AH916" s="2" t="str">
        <f>IF($W916=AH$3,$AB916,IF(NOT($W916=0),"",SUMIFS('Val-Vol (2)'!AH$4:AH$1116,'Val-Vol (2)'!$A$4:$A$1116,$D916,'Val-Vol (2)'!$V$4:$V$1116,$V916)/SUMIFS('Comp2016-2017 (3)'!$G$5:$G$289,'Comp2016-2017 (3)'!$A$5:$A$289,$D916,'Comp2016-2017 (3)'!$R$5:$R$289,$V916)*$AB916))</f>
        <v/>
      </c>
      <c r="AI916" s="2" t="str">
        <f>IF($W916=AI$3,$AB916,IF(NOT($W916=0),"",SUMIFS('Val-Vol (2)'!AI$4:AI$1116,'Val-Vol (2)'!$A$4:$A$1116,$D916,'Val-Vol (2)'!$V$4:$V$1116,$V916)/SUMIFS('Comp2016-2017 (3)'!$G$5:$G$289,'Comp2016-2017 (3)'!$A$5:$A$289,$D916,'Comp2016-2017 (3)'!$R$5:$R$289,$V916)*$AB916))</f>
        <v/>
      </c>
      <c r="AJ916" s="2" t="str">
        <f>IF($W916=AJ$3,$AB916,IF(NOT($W916=0),"",SUMIFS('Val-Vol (2)'!AJ$4:AJ$1116,'Val-Vol (2)'!$A$4:$A$1116,$D916,'Val-Vol (2)'!$V$4:$V$1116,$V916)/SUMIFS('Comp2016-2017 (3)'!$G$5:$G$289,'Comp2016-2017 (3)'!$A$5:$A$289,$D916,'Comp2016-2017 (3)'!$R$5:$R$289,$V916)*$AB916))</f>
        <v/>
      </c>
      <c r="AK916" s="2">
        <f t="shared" si="101"/>
        <v>0</v>
      </c>
      <c r="AL916" t="str">
        <f t="shared" si="105"/>
        <v/>
      </c>
      <c r="AM916" t="str">
        <f>VLOOKUP(A916,'Table corresp.'!$M$4:$U$63,8,FALSE)</f>
        <v>Production intermédiaire</v>
      </c>
      <c r="AN916" t="str">
        <f>VLOOKUP(D916,'Table corresp.'!$M$4:$U$63,9,FALSE)</f>
        <v xml:space="preserve">Mise en œuvre </v>
      </c>
    </row>
    <row r="917" spans="1:40" x14ac:dyDescent="0.25">
      <c r="A917" t="s">
        <v>9</v>
      </c>
      <c r="B917" t="str">
        <f>VLOOKUP(LEFT(A917,3),'Table corresp.'!$A$4:$D$63,3,FALSE)</f>
        <v>Transformation</v>
      </c>
      <c r="C917" t="str">
        <f>VLOOKUP(A917,'Table corresp.'!$M$4:$P$63,4,FALSE)</f>
        <v>Production et transformation de produits bois</v>
      </c>
      <c r="D917" t="s">
        <v>22</v>
      </c>
      <c r="E917" t="str">
        <f>VLOOKUP(LEFT(D917,3),'Table corresp.'!$A$4:$D$63,4,FALSE)</f>
        <v>Transformation</v>
      </c>
      <c r="F917" t="str">
        <f t="shared" si="102"/>
        <v xml:space="preserve">15  - 55 </v>
      </c>
      <c r="G917" s="164">
        <v>242.81136692102319</v>
      </c>
      <c r="H917" s="164">
        <v>0</v>
      </c>
      <c r="I917" s="164">
        <v>242.81136692102319</v>
      </c>
      <c r="J917" s="164">
        <v>1.090586207955311</v>
      </c>
      <c r="K917" s="164">
        <v>0</v>
      </c>
      <c r="L917" s="164">
        <v>1.090586207955311</v>
      </c>
      <c r="M917" s="164">
        <v>0</v>
      </c>
      <c r="N917" s="164">
        <v>0</v>
      </c>
      <c r="O917" s="164">
        <v>0</v>
      </c>
      <c r="P917" s="164">
        <v>0</v>
      </c>
      <c r="Q917" s="164">
        <v>0</v>
      </c>
      <c r="R917" s="164">
        <v>0</v>
      </c>
      <c r="S917" s="163" t="str">
        <f t="shared" si="103"/>
        <v/>
      </c>
      <c r="T917" s="163">
        <f>VLOOKUP(A917,'Groupe de branches'!$Z$27:$AM$86,14,FALSE)</f>
        <v>0</v>
      </c>
      <c r="U917" s="163">
        <f>VLOOKUP(D917,'Groupe de branches'!$Z$27:$AM$86,14,FALSE)</f>
        <v>0</v>
      </c>
      <c r="V917" s="163">
        <v>2018</v>
      </c>
      <c r="W917" t="str">
        <f>VLOOKUP(D917,'Table corresp.'!$M$4:$S$63,7,FALSE)</f>
        <v>Construction</v>
      </c>
      <c r="X917" s="167">
        <f>IFERROR(G917/SUMIFS('Comp2016-2017 (3)'!$I$5:$I$289,'Comp2016-2017 (3)'!$A$5:$A$289,A917,'Comp2016-2017 (3)'!$R$5:$R$289,V917),0)</f>
        <v>9.2283156611720622E-4</v>
      </c>
      <c r="Y917" s="178">
        <f>IFERROR(IF(RIGHT(F917,3)="Exp",VLOOKUP(F917,#REF!,2,FALSE),VLOOKUP(F917,#REF!,9,FALSE)),1)</f>
        <v>1</v>
      </c>
      <c r="Z917" s="167">
        <f t="shared" si="107"/>
        <v>9.0909090909090912E-2</v>
      </c>
      <c r="AA917" s="189">
        <f t="shared" si="106"/>
        <v>8.3893778737927839E-5</v>
      </c>
      <c r="AB917" s="2">
        <f>IFERROR(SUMIFS('Comp2016-2017 (3)'!$G$5:$G$289,'Comp2016-2017 (3)'!$A$5:$A$289,A917,'Comp2016-2017 (3)'!$R$5:$R$289,V917)*AA917/SUMIFS($AA$4:$AA$1116,$A$4:$A$1116,A917,$V$4:$V$1116,V917),0)</f>
        <v>52.378274676771007</v>
      </c>
      <c r="AC917" s="2" t="str">
        <f>IF($W917=AC$3,$AB917,IF(NOT($W917=0),"",SUMIFS('Val-Vol (2)'!AC$4:AC$1116,'Val-Vol (2)'!$A$4:$A$1116,$D917,'Val-Vol (2)'!$V$4:$V$1116,$V917)/SUMIFS('Comp2016-2017 (3)'!$G$5:$G$289,'Comp2016-2017 (3)'!$A$5:$A$289,$D917,'Comp2016-2017 (3)'!$R$5:$R$289,$V917)*$AB917))</f>
        <v/>
      </c>
      <c r="AD917" s="2">
        <f>IF($W917=AD$3,$AB917,IF(NOT($W917=0),"",SUMIFS('Val-Vol (2)'!AD$4:AD$1116,'Val-Vol (2)'!$A$4:$A$1116,$D917,'Val-Vol (2)'!$V$4:$V$1116,$V917)/SUMIFS('Comp2016-2017 (3)'!$G$5:$G$289,'Comp2016-2017 (3)'!$A$5:$A$289,$D917,'Comp2016-2017 (3)'!$R$5:$R$289,$V917)*$AB917))</f>
        <v>52.378274676771007</v>
      </c>
      <c r="AE917" s="2" t="str">
        <f>IF($W917=AE$3,$AB917,IF(NOT($W917=0),"",SUMIFS('Val-Vol (2)'!AE$4:AE$1116,'Val-Vol (2)'!$A$4:$A$1116,$D917,'Val-Vol (2)'!$V$4:$V$1116,$V917)/SUMIFS('Comp2016-2017 (3)'!$G$5:$G$289,'Comp2016-2017 (3)'!$A$5:$A$289,$D917,'Comp2016-2017 (3)'!$R$5:$R$289,$V917)*$AB917))</f>
        <v/>
      </c>
      <c r="AF917" s="2" t="str">
        <f>IF($W917=AF$3,$AB917,IF(NOT($W917=0),"",SUMIFS('Val-Vol (2)'!AF$4:AF$1116,'Val-Vol (2)'!$A$4:$A$1116,$D917,'Val-Vol (2)'!$V$4:$V$1116,$V917)/SUMIFS('Comp2016-2017 (3)'!$G$5:$G$289,'Comp2016-2017 (3)'!$A$5:$A$289,$D917,'Comp2016-2017 (3)'!$R$5:$R$289,$V917)*$AB917))</f>
        <v/>
      </c>
      <c r="AG917" s="2" t="str">
        <f>IF($W917=AG$3,$AB917,IF(NOT($W917=0),"",SUMIFS('Val-Vol (2)'!AG$4:AG$1116,'Val-Vol (2)'!$A$4:$A$1116,$D917,'Val-Vol (2)'!$V$4:$V$1116,$V917)/SUMIFS('Comp2016-2017 (3)'!$G$5:$G$289,'Comp2016-2017 (3)'!$A$5:$A$289,$D917,'Comp2016-2017 (3)'!$R$5:$R$289,$V917)*$AB917))</f>
        <v/>
      </c>
      <c r="AH917" s="2" t="str">
        <f>IF($W917=AH$3,$AB917,IF(NOT($W917=0),"",SUMIFS('Val-Vol (2)'!AH$4:AH$1116,'Val-Vol (2)'!$A$4:$A$1116,$D917,'Val-Vol (2)'!$V$4:$V$1116,$V917)/SUMIFS('Comp2016-2017 (3)'!$G$5:$G$289,'Comp2016-2017 (3)'!$A$5:$A$289,$D917,'Comp2016-2017 (3)'!$R$5:$R$289,$V917)*$AB917))</f>
        <v/>
      </c>
      <c r="AI917" s="2" t="str">
        <f>IF($W917=AI$3,$AB917,IF(NOT($W917=0),"",SUMIFS('Val-Vol (2)'!AI$4:AI$1116,'Val-Vol (2)'!$A$4:$A$1116,$D917,'Val-Vol (2)'!$V$4:$V$1116,$V917)/SUMIFS('Comp2016-2017 (3)'!$G$5:$G$289,'Comp2016-2017 (3)'!$A$5:$A$289,$D917,'Comp2016-2017 (3)'!$R$5:$R$289,$V917)*$AB917))</f>
        <v/>
      </c>
      <c r="AJ917" s="2" t="str">
        <f>IF($W917=AJ$3,$AB917,IF(NOT($W917=0),"",SUMIFS('Val-Vol (2)'!AJ$4:AJ$1116,'Val-Vol (2)'!$A$4:$A$1116,$D917,'Val-Vol (2)'!$V$4:$V$1116,$V917)/SUMIFS('Comp2016-2017 (3)'!$G$5:$G$289,'Comp2016-2017 (3)'!$A$5:$A$289,$D917,'Comp2016-2017 (3)'!$R$5:$R$289,$V917)*$AB917))</f>
        <v/>
      </c>
      <c r="AK917" s="2">
        <f t="shared" si="101"/>
        <v>0</v>
      </c>
      <c r="AL917" t="str">
        <f t="shared" si="105"/>
        <v/>
      </c>
      <c r="AM917" t="str">
        <f>VLOOKUP(A917,'Table corresp.'!$M$4:$U$63,8,FALSE)</f>
        <v>Production intermédiaire</v>
      </c>
      <c r="AN917" t="str">
        <f>VLOOKUP(D917,'Table corresp.'!$M$4:$U$63,9,FALSE)</f>
        <v xml:space="preserve">Mise en œuvre </v>
      </c>
    </row>
    <row r="918" spans="1:40" x14ac:dyDescent="0.25">
      <c r="A918" t="s">
        <v>9</v>
      </c>
      <c r="B918" t="str">
        <f>VLOOKUP(LEFT(A918,3),'Table corresp.'!$A$4:$D$63,3,FALSE)</f>
        <v>Transformation</v>
      </c>
      <c r="C918" t="str">
        <f>VLOOKUP(A918,'Table corresp.'!$M$4:$P$63,4,FALSE)</f>
        <v>Production et transformation de produits bois</v>
      </c>
      <c r="D918" t="s">
        <v>24</v>
      </c>
      <c r="E918" t="str">
        <f>VLOOKUP(LEFT(D918,3),'Table corresp.'!$A$4:$D$63,4,FALSE)</f>
        <v>Transformation</v>
      </c>
      <c r="F918" t="str">
        <f t="shared" si="102"/>
        <v xml:space="preserve">15  - 57 </v>
      </c>
      <c r="G918" s="164">
        <v>2169.1037093003856</v>
      </c>
      <c r="H918" s="164">
        <v>0</v>
      </c>
      <c r="I918" s="164">
        <v>2169.1037093003856</v>
      </c>
      <c r="J918" s="164">
        <v>19.485039922016007</v>
      </c>
      <c r="K918" s="164">
        <v>0</v>
      </c>
      <c r="L918" s="164">
        <v>19.485039922016007</v>
      </c>
      <c r="M918" s="164">
        <v>0</v>
      </c>
      <c r="N918" s="164">
        <v>0</v>
      </c>
      <c r="O918" s="164">
        <v>0</v>
      </c>
      <c r="P918" s="164">
        <v>0</v>
      </c>
      <c r="Q918" s="164">
        <v>0</v>
      </c>
      <c r="R918" s="164">
        <v>0</v>
      </c>
      <c r="S918" s="163" t="str">
        <f t="shared" si="103"/>
        <v/>
      </c>
      <c r="T918" s="163">
        <f>VLOOKUP(A918,'Groupe de branches'!$Z$27:$AM$86,14,FALSE)</f>
        <v>0</v>
      </c>
      <c r="U918" s="163">
        <f>VLOOKUP(D918,'Groupe de branches'!$Z$27:$AM$86,14,FALSE)</f>
        <v>0</v>
      </c>
      <c r="V918" s="163">
        <v>2018</v>
      </c>
      <c r="W918" t="str">
        <f>VLOOKUP(D918,'Table corresp.'!$M$4:$S$63,7,FALSE)</f>
        <v>Construction</v>
      </c>
      <c r="X918" s="167">
        <f>IFERROR(G918/SUMIFS('Comp2016-2017 (3)'!$I$5:$I$289,'Comp2016-2017 (3)'!$A$5:$A$289,A918,'Comp2016-2017 (3)'!$R$5:$R$289,V918),0)</f>
        <v>8.2439195434182225E-3</v>
      </c>
      <c r="Y918" s="178">
        <f>IFERROR(IF(RIGHT(F918,3)="Exp",VLOOKUP(F918,#REF!,2,FALSE),VLOOKUP(F918,#REF!,9,FALSE)),1)</f>
        <v>1</v>
      </c>
      <c r="Z918" s="167">
        <f t="shared" si="107"/>
        <v>9.0909090909090912E-2</v>
      </c>
      <c r="AA918" s="189">
        <f t="shared" si="106"/>
        <v>7.494472312198384E-4</v>
      </c>
      <c r="AB918" s="2">
        <f>IFERROR(SUMIFS('Comp2016-2017 (3)'!$G$5:$G$289,'Comp2016-2017 (3)'!$A$5:$A$289,A918,'Comp2016-2017 (3)'!$R$5:$R$289,V918)*AA918/SUMIFS($AA$4:$AA$1116,$A$4:$A$1116,A918,$V$4:$V$1116,V918),0)</f>
        <v>467.91017788344521</v>
      </c>
      <c r="AC918" s="2" t="str">
        <f>IF($W918=AC$3,$AB918,IF(NOT($W918=0),"",SUMIFS('Val-Vol (2)'!AC$4:AC$1116,'Val-Vol (2)'!$A$4:$A$1116,$D918,'Val-Vol (2)'!$V$4:$V$1116,$V918)/SUMIFS('Comp2016-2017 (3)'!$G$5:$G$289,'Comp2016-2017 (3)'!$A$5:$A$289,$D918,'Comp2016-2017 (3)'!$R$5:$R$289,$V918)*$AB918))</f>
        <v/>
      </c>
      <c r="AD918" s="2">
        <f>IF($W918=AD$3,$AB918,IF(NOT($W918=0),"",SUMIFS('Val-Vol (2)'!AD$4:AD$1116,'Val-Vol (2)'!$A$4:$A$1116,$D918,'Val-Vol (2)'!$V$4:$V$1116,$V918)/SUMIFS('Comp2016-2017 (3)'!$G$5:$G$289,'Comp2016-2017 (3)'!$A$5:$A$289,$D918,'Comp2016-2017 (3)'!$R$5:$R$289,$V918)*$AB918))</f>
        <v>467.91017788344521</v>
      </c>
      <c r="AE918" s="2" t="str">
        <f>IF($W918=AE$3,$AB918,IF(NOT($W918=0),"",SUMIFS('Val-Vol (2)'!AE$4:AE$1116,'Val-Vol (2)'!$A$4:$A$1116,$D918,'Val-Vol (2)'!$V$4:$V$1116,$V918)/SUMIFS('Comp2016-2017 (3)'!$G$5:$G$289,'Comp2016-2017 (3)'!$A$5:$A$289,$D918,'Comp2016-2017 (3)'!$R$5:$R$289,$V918)*$AB918))</f>
        <v/>
      </c>
      <c r="AF918" s="2" t="str">
        <f>IF($W918=AF$3,$AB918,IF(NOT($W918=0),"",SUMIFS('Val-Vol (2)'!AF$4:AF$1116,'Val-Vol (2)'!$A$4:$A$1116,$D918,'Val-Vol (2)'!$V$4:$V$1116,$V918)/SUMIFS('Comp2016-2017 (3)'!$G$5:$G$289,'Comp2016-2017 (3)'!$A$5:$A$289,$D918,'Comp2016-2017 (3)'!$R$5:$R$289,$V918)*$AB918))</f>
        <v/>
      </c>
      <c r="AG918" s="2" t="str">
        <f>IF($W918=AG$3,$AB918,IF(NOT($W918=0),"",SUMIFS('Val-Vol (2)'!AG$4:AG$1116,'Val-Vol (2)'!$A$4:$A$1116,$D918,'Val-Vol (2)'!$V$4:$V$1116,$V918)/SUMIFS('Comp2016-2017 (3)'!$G$5:$G$289,'Comp2016-2017 (3)'!$A$5:$A$289,$D918,'Comp2016-2017 (3)'!$R$5:$R$289,$V918)*$AB918))</f>
        <v/>
      </c>
      <c r="AH918" s="2" t="str">
        <f>IF($W918=AH$3,$AB918,IF(NOT($W918=0),"",SUMIFS('Val-Vol (2)'!AH$4:AH$1116,'Val-Vol (2)'!$A$4:$A$1116,$D918,'Val-Vol (2)'!$V$4:$V$1116,$V918)/SUMIFS('Comp2016-2017 (3)'!$G$5:$G$289,'Comp2016-2017 (3)'!$A$5:$A$289,$D918,'Comp2016-2017 (3)'!$R$5:$R$289,$V918)*$AB918))</f>
        <v/>
      </c>
      <c r="AI918" s="2" t="str">
        <f>IF($W918=AI$3,$AB918,IF(NOT($W918=0),"",SUMIFS('Val-Vol (2)'!AI$4:AI$1116,'Val-Vol (2)'!$A$4:$A$1116,$D918,'Val-Vol (2)'!$V$4:$V$1116,$V918)/SUMIFS('Comp2016-2017 (3)'!$G$5:$G$289,'Comp2016-2017 (3)'!$A$5:$A$289,$D918,'Comp2016-2017 (3)'!$R$5:$R$289,$V918)*$AB918))</f>
        <v/>
      </c>
      <c r="AJ918" s="2" t="str">
        <f>IF($W918=AJ$3,$AB918,IF(NOT($W918=0),"",SUMIFS('Val-Vol (2)'!AJ$4:AJ$1116,'Val-Vol (2)'!$A$4:$A$1116,$D918,'Val-Vol (2)'!$V$4:$V$1116,$V918)/SUMIFS('Comp2016-2017 (3)'!$G$5:$G$289,'Comp2016-2017 (3)'!$A$5:$A$289,$D918,'Comp2016-2017 (3)'!$R$5:$R$289,$V918)*$AB918))</f>
        <v/>
      </c>
      <c r="AK918" s="2">
        <f t="shared" si="101"/>
        <v>0</v>
      </c>
      <c r="AL918" t="str">
        <f t="shared" si="105"/>
        <v/>
      </c>
      <c r="AM918" t="str">
        <f>VLOOKUP(A918,'Table corresp.'!$M$4:$U$63,8,FALSE)</f>
        <v>Production intermédiaire</v>
      </c>
      <c r="AN918" t="str">
        <f>VLOOKUP(D918,'Table corresp.'!$M$4:$U$63,9,FALSE)</f>
        <v xml:space="preserve">Mise en œuvre </v>
      </c>
    </row>
    <row r="919" spans="1:40" x14ac:dyDescent="0.25">
      <c r="A919" t="s">
        <v>9</v>
      </c>
      <c r="B919" t="str">
        <f>VLOOKUP(LEFT(A919,3),'Table corresp.'!$A$4:$D$63,3,FALSE)</f>
        <v>Transformation</v>
      </c>
      <c r="C919" t="str">
        <f>VLOOKUP(A919,'Table corresp.'!$M$4:$P$63,4,FALSE)</f>
        <v>Production et transformation de produits bois</v>
      </c>
      <c r="D919" t="s">
        <v>26</v>
      </c>
      <c r="E919" t="str">
        <f>VLOOKUP(LEFT(D919,3),'Table corresp.'!$A$4:$D$63,4,FALSE)</f>
        <v>Transformation</v>
      </c>
      <c r="F919" t="str">
        <f t="shared" si="102"/>
        <v xml:space="preserve">15  - 59 </v>
      </c>
      <c r="G919" s="164">
        <v>870.0400898599803</v>
      </c>
      <c r="H919" s="164">
        <v>0</v>
      </c>
      <c r="I919" s="164">
        <v>870.0400898599803</v>
      </c>
      <c r="J919" s="164">
        <v>10.854948093171416</v>
      </c>
      <c r="K919" s="164">
        <v>0</v>
      </c>
      <c r="L919" s="164">
        <v>10.854948093171416</v>
      </c>
      <c r="M919" s="164">
        <v>0</v>
      </c>
      <c r="N919" s="164">
        <v>0</v>
      </c>
      <c r="O919" s="164">
        <v>0</v>
      </c>
      <c r="P919" s="164">
        <v>0</v>
      </c>
      <c r="Q919" s="164">
        <v>0</v>
      </c>
      <c r="R919" s="164">
        <v>0</v>
      </c>
      <c r="S919" s="163" t="str">
        <f t="shared" si="103"/>
        <v/>
      </c>
      <c r="T919" s="163">
        <f>VLOOKUP(A919,'Groupe de branches'!$Z$27:$AM$86,14,FALSE)</f>
        <v>0</v>
      </c>
      <c r="U919" s="163">
        <f>VLOOKUP(D919,'Groupe de branches'!$Z$27:$AM$86,14,FALSE)</f>
        <v>0</v>
      </c>
      <c r="V919" s="163">
        <v>2018</v>
      </c>
      <c r="W919" t="str">
        <f>VLOOKUP(D919,'Table corresp.'!$M$4:$S$63,7,FALSE)</f>
        <v>Construction</v>
      </c>
      <c r="X919" s="167">
        <f>IFERROR(G919/SUMIFS('Comp2016-2017 (3)'!$I$5:$I$289,'Comp2016-2017 (3)'!$A$5:$A$289,A919,'Comp2016-2017 (3)'!$R$5:$R$289,V919),0)</f>
        <v>3.3066839863859906E-3</v>
      </c>
      <c r="Y919" s="178">
        <f>IFERROR(IF(RIGHT(F919,3)="Exp",VLOOKUP(F919,#REF!,2,FALSE),VLOOKUP(F919,#REF!,9,FALSE)),1)</f>
        <v>1</v>
      </c>
      <c r="Z919" s="167">
        <f t="shared" si="107"/>
        <v>9.0909090909090912E-2</v>
      </c>
      <c r="AA919" s="189">
        <f t="shared" si="106"/>
        <v>3.0060763512599915E-4</v>
      </c>
      <c r="AB919" s="2">
        <f>IFERROR(SUMIFS('Comp2016-2017 (3)'!$G$5:$G$289,'Comp2016-2017 (3)'!$A$5:$A$289,A919,'Comp2016-2017 (3)'!$R$5:$R$289,V919)*AA919/SUMIFS($AA$4:$AA$1116,$A$4:$A$1116,A919,$V$4:$V$1116,V919),0)</f>
        <v>187.68148865662894</v>
      </c>
      <c r="AC919" s="2" t="str">
        <f>IF($W919=AC$3,$AB919,IF(NOT($W919=0),"",SUMIFS('Val-Vol (2)'!AC$4:AC$1116,'Val-Vol (2)'!$A$4:$A$1116,$D919,'Val-Vol (2)'!$V$4:$V$1116,$V919)/SUMIFS('Comp2016-2017 (3)'!$G$5:$G$289,'Comp2016-2017 (3)'!$A$5:$A$289,$D919,'Comp2016-2017 (3)'!$R$5:$R$289,$V919)*$AB919))</f>
        <v/>
      </c>
      <c r="AD919" s="2">
        <f>IF($W919=AD$3,$AB919,IF(NOT($W919=0),"",SUMIFS('Val-Vol (2)'!AD$4:AD$1116,'Val-Vol (2)'!$A$4:$A$1116,$D919,'Val-Vol (2)'!$V$4:$V$1116,$V919)/SUMIFS('Comp2016-2017 (3)'!$G$5:$G$289,'Comp2016-2017 (3)'!$A$5:$A$289,$D919,'Comp2016-2017 (3)'!$R$5:$R$289,$V919)*$AB919))</f>
        <v>187.68148865662894</v>
      </c>
      <c r="AE919" s="2" t="str">
        <f>IF($W919=AE$3,$AB919,IF(NOT($W919=0),"",SUMIFS('Val-Vol (2)'!AE$4:AE$1116,'Val-Vol (2)'!$A$4:$A$1116,$D919,'Val-Vol (2)'!$V$4:$V$1116,$V919)/SUMIFS('Comp2016-2017 (3)'!$G$5:$G$289,'Comp2016-2017 (3)'!$A$5:$A$289,$D919,'Comp2016-2017 (3)'!$R$5:$R$289,$V919)*$AB919))</f>
        <v/>
      </c>
      <c r="AF919" s="2" t="str">
        <f>IF($W919=AF$3,$AB919,IF(NOT($W919=0),"",SUMIFS('Val-Vol (2)'!AF$4:AF$1116,'Val-Vol (2)'!$A$4:$A$1116,$D919,'Val-Vol (2)'!$V$4:$V$1116,$V919)/SUMIFS('Comp2016-2017 (3)'!$G$5:$G$289,'Comp2016-2017 (3)'!$A$5:$A$289,$D919,'Comp2016-2017 (3)'!$R$5:$R$289,$V919)*$AB919))</f>
        <v/>
      </c>
      <c r="AG919" s="2" t="str">
        <f>IF($W919=AG$3,$AB919,IF(NOT($W919=0),"",SUMIFS('Val-Vol (2)'!AG$4:AG$1116,'Val-Vol (2)'!$A$4:$A$1116,$D919,'Val-Vol (2)'!$V$4:$V$1116,$V919)/SUMIFS('Comp2016-2017 (3)'!$G$5:$G$289,'Comp2016-2017 (3)'!$A$5:$A$289,$D919,'Comp2016-2017 (3)'!$R$5:$R$289,$V919)*$AB919))</f>
        <v/>
      </c>
      <c r="AH919" s="2" t="str">
        <f>IF($W919=AH$3,$AB919,IF(NOT($W919=0),"",SUMIFS('Val-Vol (2)'!AH$4:AH$1116,'Val-Vol (2)'!$A$4:$A$1116,$D919,'Val-Vol (2)'!$V$4:$V$1116,$V919)/SUMIFS('Comp2016-2017 (3)'!$G$5:$G$289,'Comp2016-2017 (3)'!$A$5:$A$289,$D919,'Comp2016-2017 (3)'!$R$5:$R$289,$V919)*$AB919))</f>
        <v/>
      </c>
      <c r="AI919" s="2" t="str">
        <f>IF($W919=AI$3,$AB919,IF(NOT($W919=0),"",SUMIFS('Val-Vol (2)'!AI$4:AI$1116,'Val-Vol (2)'!$A$4:$A$1116,$D919,'Val-Vol (2)'!$V$4:$V$1116,$V919)/SUMIFS('Comp2016-2017 (3)'!$G$5:$G$289,'Comp2016-2017 (3)'!$A$5:$A$289,$D919,'Comp2016-2017 (3)'!$R$5:$R$289,$V919)*$AB919))</f>
        <v/>
      </c>
      <c r="AJ919" s="2" t="str">
        <f>IF($W919=AJ$3,$AB919,IF(NOT($W919=0),"",SUMIFS('Val-Vol (2)'!AJ$4:AJ$1116,'Val-Vol (2)'!$A$4:$A$1116,$D919,'Val-Vol (2)'!$V$4:$V$1116,$V919)/SUMIFS('Comp2016-2017 (3)'!$G$5:$G$289,'Comp2016-2017 (3)'!$A$5:$A$289,$D919,'Comp2016-2017 (3)'!$R$5:$R$289,$V919)*$AB919))</f>
        <v/>
      </c>
      <c r="AK919" s="2">
        <f t="shared" si="101"/>
        <v>0</v>
      </c>
      <c r="AL919" t="str">
        <f t="shared" si="105"/>
        <v/>
      </c>
      <c r="AM919" t="str">
        <f>VLOOKUP(A919,'Table corresp.'!$M$4:$U$63,8,FALSE)</f>
        <v>Production intermédiaire</v>
      </c>
      <c r="AN919" t="str">
        <f>VLOOKUP(D919,'Table corresp.'!$M$4:$U$63,9,FALSE)</f>
        <v xml:space="preserve">Mise en œuvre </v>
      </c>
    </row>
    <row r="920" spans="1:40" x14ac:dyDescent="0.25">
      <c r="A920" t="s">
        <v>9</v>
      </c>
      <c r="B920" t="str">
        <f>VLOOKUP(LEFT(A920,3),'Table corresp.'!$A$4:$D$63,3,FALSE)</f>
        <v>Transformation</v>
      </c>
      <c r="C920" t="str">
        <f>VLOOKUP(A920,'Table corresp.'!$M$4:$P$63,4,FALSE)</f>
        <v>Production et transformation de produits bois</v>
      </c>
      <c r="D920" t="s">
        <v>54</v>
      </c>
      <c r="E920" t="str">
        <f>VLOOKUP(LEFT(D920,3),'Table corresp.'!$A$4:$D$63,4,FALSE)</f>
        <v>Consommation finale</v>
      </c>
      <c r="F920" t="str">
        <f t="shared" si="102"/>
        <v>15  - Con</v>
      </c>
      <c r="G920" s="164">
        <v>56579.506799095587</v>
      </c>
      <c r="H920" s="164">
        <v>0</v>
      </c>
      <c r="I920" s="164">
        <v>56579.506799095587</v>
      </c>
      <c r="J920" s="164">
        <v>464.73901065847622</v>
      </c>
      <c r="K920" s="164">
        <v>0</v>
      </c>
      <c r="L920" s="164">
        <v>464.73901065847622</v>
      </c>
      <c r="M920" s="164">
        <v>0</v>
      </c>
      <c r="N920" s="164">
        <v>0</v>
      </c>
      <c r="O920" s="164">
        <v>0</v>
      </c>
      <c r="P920" s="164">
        <v>0</v>
      </c>
      <c r="Q920" s="164">
        <v>0</v>
      </c>
      <c r="R920" s="164">
        <v>0</v>
      </c>
      <c r="S920" s="163" t="str">
        <f t="shared" si="103"/>
        <v/>
      </c>
      <c r="T920" s="163">
        <f>VLOOKUP(A920,'Groupe de branches'!$Z$27:$AM$86,14,FALSE)</f>
        <v>0</v>
      </c>
      <c r="U920" s="163">
        <f>VLOOKUP(D920,'Groupe de branches'!$Z$27:$AM$86,14,FALSE)</f>
        <v>0</v>
      </c>
      <c r="V920" s="163">
        <v>2018</v>
      </c>
      <c r="W920" t="str">
        <f>VLOOKUP(D920,'Table corresp.'!$M$4:$S$63,7,FALSE)</f>
        <v>Consommation finale</v>
      </c>
      <c r="X920" s="167">
        <f>IFERROR(G920/SUMIFS('Comp2016-2017 (3)'!$I$5:$I$289,'Comp2016-2017 (3)'!$A$5:$A$289,A920,'Comp2016-2017 (3)'!$R$5:$R$289,V920),0)</f>
        <v>0.215036699194282</v>
      </c>
      <c r="Y920" s="178">
        <f>IFERROR(IF(RIGHT(F920,3)="Exp",VLOOKUP(F920,#REF!,2,FALSE),VLOOKUP(F920,#REF!,9,FALSE)),1)</f>
        <v>1</v>
      </c>
      <c r="Z920" s="167">
        <f t="shared" si="107"/>
        <v>9.0909090909090912E-2</v>
      </c>
      <c r="AA920" s="189">
        <f t="shared" si="106"/>
        <v>1.9548790835843818E-2</v>
      </c>
      <c r="AB920" s="2">
        <f>IFERROR(SUMIFS('Comp2016-2017 (3)'!$G$5:$G$289,'Comp2016-2017 (3)'!$A$5:$A$289,A920,'Comp2016-2017 (3)'!$R$5:$R$289,V920)*AA920/SUMIFS($AA$4:$AA$1116,$A$4:$A$1116,A920,$V$4:$V$1116,V920),0)</f>
        <v>12205.099727325292</v>
      </c>
      <c r="AC920" s="2" t="str">
        <f>IF($W920=AC$3,$AB920,IF(NOT($W920=0),"",SUMIFS('Val-Vol (2)'!AC$4:AC$1116,'Val-Vol (2)'!$A$4:$A$1116,$D920,'Val-Vol (2)'!$V$4:$V$1116,$V920)/SUMIFS('Comp2016-2017 (3)'!$G$5:$G$289,'Comp2016-2017 (3)'!$A$5:$A$289,$D920,'Comp2016-2017 (3)'!$R$5:$R$289,$V920)*$AB920))</f>
        <v/>
      </c>
      <c r="AD920" s="2" t="str">
        <f>IF($W920=AD$3,$AB920,IF(NOT($W920=0),"",SUMIFS('Val-Vol (2)'!AD$4:AD$1116,'Val-Vol (2)'!$A$4:$A$1116,$D920,'Val-Vol (2)'!$V$4:$V$1116,$V920)/SUMIFS('Comp2016-2017 (3)'!$G$5:$G$289,'Comp2016-2017 (3)'!$A$5:$A$289,$D920,'Comp2016-2017 (3)'!$R$5:$R$289,$V920)*$AB920))</f>
        <v/>
      </c>
      <c r="AE920" s="2" t="str">
        <f>IF($W920=AE$3,$AB920,IF(NOT($W920=0),"",SUMIFS('Val-Vol (2)'!AE$4:AE$1116,'Val-Vol (2)'!$A$4:$A$1116,$D920,'Val-Vol (2)'!$V$4:$V$1116,$V920)/SUMIFS('Comp2016-2017 (3)'!$G$5:$G$289,'Comp2016-2017 (3)'!$A$5:$A$289,$D920,'Comp2016-2017 (3)'!$R$5:$R$289,$V920)*$AB920))</f>
        <v/>
      </c>
      <c r="AF920" s="2" t="str">
        <f>IF($W920=AF$3,$AB920,IF(NOT($W920=0),"",SUMIFS('Val-Vol (2)'!AF$4:AF$1116,'Val-Vol (2)'!$A$4:$A$1116,$D920,'Val-Vol (2)'!$V$4:$V$1116,$V920)/SUMIFS('Comp2016-2017 (3)'!$G$5:$G$289,'Comp2016-2017 (3)'!$A$5:$A$289,$D920,'Comp2016-2017 (3)'!$R$5:$R$289,$V920)*$AB920))</f>
        <v/>
      </c>
      <c r="AG920" s="2" t="str">
        <f>IF($W920=AG$3,$AB920,IF(NOT($W920=0),"",SUMIFS('Val-Vol (2)'!AG$4:AG$1116,'Val-Vol (2)'!$A$4:$A$1116,$D920,'Val-Vol (2)'!$V$4:$V$1116,$V920)/SUMIFS('Comp2016-2017 (3)'!$G$5:$G$289,'Comp2016-2017 (3)'!$A$5:$A$289,$D920,'Comp2016-2017 (3)'!$R$5:$R$289,$V920)*$AB920))</f>
        <v/>
      </c>
      <c r="AH920" s="2" t="str">
        <f>IF($W920=AH$3,$AB920,IF(NOT($W920=0),"",SUMIFS('Val-Vol (2)'!AH$4:AH$1116,'Val-Vol (2)'!$A$4:$A$1116,$D920,'Val-Vol (2)'!$V$4:$V$1116,$V920)/SUMIFS('Comp2016-2017 (3)'!$G$5:$G$289,'Comp2016-2017 (3)'!$A$5:$A$289,$D920,'Comp2016-2017 (3)'!$R$5:$R$289,$V920)*$AB920))</f>
        <v/>
      </c>
      <c r="AI920" s="2" t="str">
        <f>IF($W920=AI$3,$AB920,IF(NOT($W920=0),"",SUMIFS('Val-Vol (2)'!AI$4:AI$1116,'Val-Vol (2)'!$A$4:$A$1116,$D920,'Val-Vol (2)'!$V$4:$V$1116,$V920)/SUMIFS('Comp2016-2017 (3)'!$G$5:$G$289,'Comp2016-2017 (3)'!$A$5:$A$289,$D920,'Comp2016-2017 (3)'!$R$5:$R$289,$V920)*$AB920))</f>
        <v/>
      </c>
      <c r="AJ920" s="2">
        <f>IF($W920=AJ$3,$AB920,IF(NOT($W920=0),"",SUMIFS('Val-Vol (2)'!AJ$4:AJ$1116,'Val-Vol (2)'!$A$4:$A$1116,$D920,'Val-Vol (2)'!$V$4:$V$1116,$V920)/SUMIFS('Comp2016-2017 (3)'!$G$5:$G$289,'Comp2016-2017 (3)'!$A$5:$A$289,$D920,'Comp2016-2017 (3)'!$R$5:$R$289,$V920)*$AB920))</f>
        <v>12205.099727325292</v>
      </c>
      <c r="AK920" s="2">
        <f t="shared" si="101"/>
        <v>0</v>
      </c>
      <c r="AL920" t="str">
        <f t="shared" si="105"/>
        <v/>
      </c>
      <c r="AM920" t="str">
        <f>VLOOKUP(A920,'Table corresp.'!$M$4:$U$63,8,FALSE)</f>
        <v>Production intermédiaire</v>
      </c>
      <c r="AN920" t="str">
        <f>VLOOKUP(D920,'Table corresp.'!$M$4:$U$63,9,FALSE)</f>
        <v>Consommation finale française</v>
      </c>
    </row>
    <row r="921" spans="1:40" x14ac:dyDescent="0.25">
      <c r="A921" t="s">
        <v>10</v>
      </c>
      <c r="B921" t="str">
        <f>VLOOKUP(LEFT(A921,3),'Table corresp.'!$A$4:$D$63,3,FALSE)</f>
        <v>Transformation</v>
      </c>
      <c r="C921" t="str">
        <f>VLOOKUP(A921,'Table corresp.'!$M$4:$P$63,4,FALSE)</f>
        <v>Production et transformation de produits bois</v>
      </c>
      <c r="D921" t="s">
        <v>17</v>
      </c>
      <c r="E921" t="str">
        <f>VLOOKUP(LEFT(D921,3),'Table corresp.'!$A$4:$D$63,4,FALSE)</f>
        <v>Transformation</v>
      </c>
      <c r="F921" t="str">
        <f t="shared" si="102"/>
        <v xml:space="preserve">16  - 38 </v>
      </c>
      <c r="G921" s="164">
        <v>217502.37323667353</v>
      </c>
      <c r="H921" s="164">
        <v>0</v>
      </c>
      <c r="I921" s="164">
        <v>217502.37323667353</v>
      </c>
      <c r="J921" s="164">
        <v>292.59043381163661</v>
      </c>
      <c r="K921" s="164">
        <v>0</v>
      </c>
      <c r="L921" s="164">
        <v>292.59043381163661</v>
      </c>
      <c r="M921" s="164">
        <v>0</v>
      </c>
      <c r="N921" s="164">
        <v>0</v>
      </c>
      <c r="O921" s="164">
        <v>0</v>
      </c>
      <c r="P921" s="164">
        <v>0</v>
      </c>
      <c r="Q921" s="164">
        <v>0</v>
      </c>
      <c r="R921" s="164">
        <v>0</v>
      </c>
      <c r="S921" s="163" t="str">
        <f t="shared" si="103"/>
        <v/>
      </c>
      <c r="T921" s="163">
        <f>VLOOKUP(A921,'Groupe de branches'!$Z$27:$AM$86,14,FALSE)</f>
        <v>0</v>
      </c>
      <c r="U921" s="163">
        <f>VLOOKUP(D921,'Groupe de branches'!$Z$27:$AM$86,14,FALSE)</f>
        <v>0</v>
      </c>
      <c r="V921" s="163">
        <v>2018</v>
      </c>
      <c r="W921" t="str">
        <f>VLOOKUP(D921,'Table corresp.'!$M$4:$S$63,7,FALSE)</f>
        <v>Emballage bois et carton</v>
      </c>
      <c r="X921" s="167">
        <f>IFERROR(G921/SUMIFS('Comp2016-2017 (3)'!$I$5:$I$289,'Comp2016-2017 (3)'!$A$5:$A$289,A921,'Comp2016-2017 (3)'!$R$5:$R$289,V921),0)</f>
        <v>0.9029040930458393</v>
      </c>
      <c r="Y921" s="178">
        <f>IFERROR(IF(RIGHT(F921,3)="Exp",VLOOKUP(F921,#REF!,2,FALSE),VLOOKUP(F921,#REF!,9,FALSE)),1)</f>
        <v>1</v>
      </c>
      <c r="Z921" s="167">
        <f t="shared" si="107"/>
        <v>0.5</v>
      </c>
      <c r="AA921" s="189">
        <f t="shared" si="106"/>
        <v>0.45145204652291965</v>
      </c>
      <c r="AB921" s="2">
        <f>IFERROR(SUMIFS('Comp2016-2017 (3)'!$G$5:$G$289,'Comp2016-2017 (3)'!$A$5:$A$289,A921,'Comp2016-2017 (3)'!$R$5:$R$289,V921)*AA921/SUMIFS($AA$4:$AA$1116,$A$4:$A$1116,A921,$V$4:$V$1116,V921),0)</f>
        <v>48808.717433042686</v>
      </c>
      <c r="AC921" s="2" t="str">
        <f>IF($W921=AC$3,$AB921,IF(NOT($W921=0),"",SUMIFS('Val-Vol (2)'!AC$4:AC$1116,'Val-Vol (2)'!$A$4:$A$1116,$D921,'Val-Vol (2)'!$V$4:$V$1116,$V921)/SUMIFS('Comp2016-2017 (3)'!$G$5:$G$289,'Comp2016-2017 (3)'!$A$5:$A$289,$D921,'Comp2016-2017 (3)'!$R$5:$R$289,$V921)*$AB921))</f>
        <v/>
      </c>
      <c r="AD921" s="2" t="str">
        <f>IF($W921=AD$3,$AB921,IF(NOT($W921=0),"",SUMIFS('Val-Vol (2)'!AD$4:AD$1116,'Val-Vol (2)'!$A$4:$A$1116,$D921,'Val-Vol (2)'!$V$4:$V$1116,$V921)/SUMIFS('Comp2016-2017 (3)'!$G$5:$G$289,'Comp2016-2017 (3)'!$A$5:$A$289,$D921,'Comp2016-2017 (3)'!$R$5:$R$289,$V921)*$AB921))</f>
        <v/>
      </c>
      <c r="AE921" s="2" t="str">
        <f>IF($W921=AE$3,$AB921,IF(NOT($W921=0),"",SUMIFS('Val-Vol (2)'!AE$4:AE$1116,'Val-Vol (2)'!$A$4:$A$1116,$D921,'Val-Vol (2)'!$V$4:$V$1116,$V921)/SUMIFS('Comp2016-2017 (3)'!$G$5:$G$289,'Comp2016-2017 (3)'!$A$5:$A$289,$D921,'Comp2016-2017 (3)'!$R$5:$R$289,$V921)*$AB921))</f>
        <v/>
      </c>
      <c r="AF921" s="2" t="str">
        <f>IF($W921=AF$3,$AB921,IF(NOT($W921=0),"",SUMIFS('Val-Vol (2)'!AF$4:AF$1116,'Val-Vol (2)'!$A$4:$A$1116,$D921,'Val-Vol (2)'!$V$4:$V$1116,$V921)/SUMIFS('Comp2016-2017 (3)'!$G$5:$G$289,'Comp2016-2017 (3)'!$A$5:$A$289,$D921,'Comp2016-2017 (3)'!$R$5:$R$289,$V921)*$AB921))</f>
        <v/>
      </c>
      <c r="AG921" s="2">
        <f>IF($W921=AG$3,$AB921,IF(NOT($W921=0),"",SUMIFS('Val-Vol (2)'!AG$4:AG$1116,'Val-Vol (2)'!$A$4:$A$1116,$D921,'Val-Vol (2)'!$V$4:$V$1116,$V921)/SUMIFS('Comp2016-2017 (3)'!$G$5:$G$289,'Comp2016-2017 (3)'!$A$5:$A$289,$D921,'Comp2016-2017 (3)'!$R$5:$R$289,$V921)*$AB921))</f>
        <v>48808.717433042686</v>
      </c>
      <c r="AH921" s="2" t="str">
        <f>IF($W921=AH$3,$AB921,IF(NOT($W921=0),"",SUMIFS('Val-Vol (2)'!AH$4:AH$1116,'Val-Vol (2)'!$A$4:$A$1116,$D921,'Val-Vol (2)'!$V$4:$V$1116,$V921)/SUMIFS('Comp2016-2017 (3)'!$G$5:$G$289,'Comp2016-2017 (3)'!$A$5:$A$289,$D921,'Comp2016-2017 (3)'!$R$5:$R$289,$V921)*$AB921))</f>
        <v/>
      </c>
      <c r="AI921" s="2" t="str">
        <f>IF($W921=AI$3,$AB921,IF(NOT($W921=0),"",SUMIFS('Val-Vol (2)'!AI$4:AI$1116,'Val-Vol (2)'!$A$4:$A$1116,$D921,'Val-Vol (2)'!$V$4:$V$1116,$V921)/SUMIFS('Comp2016-2017 (3)'!$G$5:$G$289,'Comp2016-2017 (3)'!$A$5:$A$289,$D921,'Comp2016-2017 (3)'!$R$5:$R$289,$V921)*$AB921))</f>
        <v/>
      </c>
      <c r="AJ921" s="2" t="str">
        <f>IF($W921=AJ$3,$AB921,IF(NOT($W921=0),"",SUMIFS('Val-Vol (2)'!AJ$4:AJ$1116,'Val-Vol (2)'!$A$4:$A$1116,$D921,'Val-Vol (2)'!$V$4:$V$1116,$V921)/SUMIFS('Comp2016-2017 (3)'!$G$5:$G$289,'Comp2016-2017 (3)'!$A$5:$A$289,$D921,'Comp2016-2017 (3)'!$R$5:$R$289,$V921)*$AB921))</f>
        <v/>
      </c>
      <c r="AK921" s="2">
        <f t="shared" si="101"/>
        <v>0</v>
      </c>
      <c r="AL921" t="str">
        <f t="shared" si="105"/>
        <v/>
      </c>
      <c r="AM921" t="str">
        <f>VLOOKUP(A921,'Table corresp.'!$M$4:$U$63,8,FALSE)</f>
        <v>Production intermédiaire</v>
      </c>
      <c r="AN921" t="str">
        <f>VLOOKUP(D921,'Table corresp.'!$M$4:$U$63,9,FALSE)</f>
        <v>Production finale</v>
      </c>
    </row>
    <row r="922" spans="1:40" x14ac:dyDescent="0.25">
      <c r="A922" t="s">
        <v>10</v>
      </c>
      <c r="B922" t="str">
        <f>VLOOKUP(LEFT(A922,3),'Table corresp.'!$A$4:$D$63,3,FALSE)</f>
        <v>Transformation</v>
      </c>
      <c r="C922" t="str">
        <f>VLOOKUP(A922,'Table corresp.'!$M$4:$P$63,4,FALSE)</f>
        <v>Production et transformation de produits bois</v>
      </c>
      <c r="D922" t="s">
        <v>53</v>
      </c>
      <c r="E922" t="str">
        <f>VLOOKUP(LEFT(D922,3),'Table corresp.'!$A$4:$D$63,4,FALSE)</f>
        <v>Exportation</v>
      </c>
      <c r="F922" t="str">
        <f t="shared" si="102"/>
        <v>16  - Exp</v>
      </c>
      <c r="G922" s="164">
        <v>23389.626346552035</v>
      </c>
      <c r="H922" s="164">
        <v>0</v>
      </c>
      <c r="I922" s="164">
        <v>23389.626346552039</v>
      </c>
      <c r="J922" s="164">
        <v>23.747162053499984</v>
      </c>
      <c r="K922" s="164">
        <v>0</v>
      </c>
      <c r="L922" s="164">
        <v>23.747162053499984</v>
      </c>
      <c r="M922" s="164">
        <v>0</v>
      </c>
      <c r="N922" s="164">
        <v>0</v>
      </c>
      <c r="O922" s="164">
        <v>0</v>
      </c>
      <c r="P922" s="164">
        <v>0</v>
      </c>
      <c r="Q922" s="164">
        <v>0</v>
      </c>
      <c r="R922" s="164">
        <v>0</v>
      </c>
      <c r="S922" s="163" t="str">
        <f t="shared" si="103"/>
        <v/>
      </c>
      <c r="T922" s="163">
        <f>VLOOKUP(A922,'Groupe de branches'!$Z$27:$AM$86,14,FALSE)</f>
        <v>0</v>
      </c>
      <c r="U922" s="163">
        <f>VLOOKUP(D922,'Groupe de branches'!$Z$27:$AM$86,14,FALSE)</f>
        <v>0</v>
      </c>
      <c r="V922" s="163">
        <v>2018</v>
      </c>
      <c r="W922" t="str">
        <f>VLOOKUP(D922,'Table corresp.'!$M$4:$S$63,7,FALSE)</f>
        <v>Exportation</v>
      </c>
      <c r="X922" s="167">
        <f>IFERROR(G922/SUMIFS('Comp2016-2017 (3)'!$I$5:$I$289,'Comp2016-2017 (3)'!$A$5:$A$289,A922,'Comp2016-2017 (3)'!$R$5:$R$289,V922),0)</f>
        <v>9.7095903133592953E-2</v>
      </c>
      <c r="Y922" s="178">
        <f>IFERROR(IF(RIGHT(F922,3)="Exp",VLOOKUP(F922,#REF!,2,FALSE),VLOOKUP(F922,#REF!,9,FALSE)),1)</f>
        <v>1</v>
      </c>
      <c r="Z922" s="167">
        <f t="shared" si="107"/>
        <v>0.5</v>
      </c>
      <c r="AA922" s="189">
        <f t="shared" si="106"/>
        <v>4.8547951566796477E-2</v>
      </c>
      <c r="AB922" s="2">
        <f>IFERROR(SUMIFS('Comp2016-2017 (3)'!$G$5:$G$289,'Comp2016-2017 (3)'!$A$5:$A$289,A922,'Comp2016-2017 (3)'!$R$5:$R$289,V922)*AA922/SUMIFS($AA$4:$AA$1116,$A$4:$A$1116,A922,$V$4:$V$1116,V922),0)</f>
        <v>5248.7595708717463</v>
      </c>
      <c r="AC922" s="2">
        <f>IF($W922=AC$3,$AB922,IF(NOT($W922=0),"",SUMIFS('Val-Vol (2)'!AC$4:AC$1116,'Val-Vol (2)'!$A$4:$A$1116,$D922,'Val-Vol (2)'!$V$4:$V$1116,$V922)/SUMIFS('Comp2016-2017 (3)'!$G$5:$G$289,'Comp2016-2017 (3)'!$A$5:$A$289,$D922,'Comp2016-2017 (3)'!$R$5:$R$289,$V922)*$AB922))</f>
        <v>5248.7595708717463</v>
      </c>
      <c r="AD922" s="2" t="str">
        <f>IF($W922=AD$3,$AB922,IF(NOT($W922=0),"",SUMIFS('Val-Vol (2)'!AD$4:AD$1116,'Val-Vol (2)'!$A$4:$A$1116,$D922,'Val-Vol (2)'!$V$4:$V$1116,$V922)/SUMIFS('Comp2016-2017 (3)'!$G$5:$G$289,'Comp2016-2017 (3)'!$A$5:$A$289,$D922,'Comp2016-2017 (3)'!$R$5:$R$289,$V922)*$AB922))</f>
        <v/>
      </c>
      <c r="AE922" s="2" t="str">
        <f>IF($W922=AE$3,$AB922,IF(NOT($W922=0),"",SUMIFS('Val-Vol (2)'!AE$4:AE$1116,'Val-Vol (2)'!$A$4:$A$1116,$D922,'Val-Vol (2)'!$V$4:$V$1116,$V922)/SUMIFS('Comp2016-2017 (3)'!$G$5:$G$289,'Comp2016-2017 (3)'!$A$5:$A$289,$D922,'Comp2016-2017 (3)'!$R$5:$R$289,$V922)*$AB922))</f>
        <v/>
      </c>
      <c r="AF922" s="2" t="str">
        <f>IF($W922=AF$3,$AB922,IF(NOT($W922=0),"",SUMIFS('Val-Vol (2)'!AF$4:AF$1116,'Val-Vol (2)'!$A$4:$A$1116,$D922,'Val-Vol (2)'!$V$4:$V$1116,$V922)/SUMIFS('Comp2016-2017 (3)'!$G$5:$G$289,'Comp2016-2017 (3)'!$A$5:$A$289,$D922,'Comp2016-2017 (3)'!$R$5:$R$289,$V922)*$AB922))</f>
        <v/>
      </c>
      <c r="AG922" s="2" t="str">
        <f>IF($W922=AG$3,$AB922,IF(NOT($W922=0),"",SUMIFS('Val-Vol (2)'!AG$4:AG$1116,'Val-Vol (2)'!$A$4:$A$1116,$D922,'Val-Vol (2)'!$V$4:$V$1116,$V922)/SUMIFS('Comp2016-2017 (3)'!$G$5:$G$289,'Comp2016-2017 (3)'!$A$5:$A$289,$D922,'Comp2016-2017 (3)'!$R$5:$R$289,$V922)*$AB922))</f>
        <v/>
      </c>
      <c r="AH922" s="2" t="str">
        <f>IF($W922=AH$3,$AB922,IF(NOT($W922=0),"",SUMIFS('Val-Vol (2)'!AH$4:AH$1116,'Val-Vol (2)'!$A$4:$A$1116,$D922,'Val-Vol (2)'!$V$4:$V$1116,$V922)/SUMIFS('Comp2016-2017 (3)'!$G$5:$G$289,'Comp2016-2017 (3)'!$A$5:$A$289,$D922,'Comp2016-2017 (3)'!$R$5:$R$289,$V922)*$AB922))</f>
        <v/>
      </c>
      <c r="AI922" s="2" t="str">
        <f>IF($W922=AI$3,$AB922,IF(NOT($W922=0),"",SUMIFS('Val-Vol (2)'!AI$4:AI$1116,'Val-Vol (2)'!$A$4:$A$1116,$D922,'Val-Vol (2)'!$V$4:$V$1116,$V922)/SUMIFS('Comp2016-2017 (3)'!$G$5:$G$289,'Comp2016-2017 (3)'!$A$5:$A$289,$D922,'Comp2016-2017 (3)'!$R$5:$R$289,$V922)*$AB922))</f>
        <v/>
      </c>
      <c r="AJ922" s="2" t="str">
        <f>IF($W922=AJ$3,$AB922,IF(NOT($W922=0),"",SUMIFS('Val-Vol (2)'!AJ$4:AJ$1116,'Val-Vol (2)'!$A$4:$A$1116,$D922,'Val-Vol (2)'!$V$4:$V$1116,$V922)/SUMIFS('Comp2016-2017 (3)'!$G$5:$G$289,'Comp2016-2017 (3)'!$A$5:$A$289,$D922,'Comp2016-2017 (3)'!$R$5:$R$289,$V922)*$AB922))</f>
        <v/>
      </c>
      <c r="AK922" s="2">
        <f t="shared" si="101"/>
        <v>0</v>
      </c>
      <c r="AL922" t="str">
        <f t="shared" si="105"/>
        <v/>
      </c>
      <c r="AM922" t="str">
        <f>VLOOKUP(A922,'Table corresp.'!$M$4:$U$63,8,FALSE)</f>
        <v>Production intermédiaire</v>
      </c>
      <c r="AN922" t="str">
        <f>VLOOKUP(D922,'Table corresp.'!$M$4:$U$63,9,FALSE)</f>
        <v>Exportation</v>
      </c>
    </row>
    <row r="923" spans="1:40" x14ac:dyDescent="0.25">
      <c r="A923" t="s">
        <v>84</v>
      </c>
      <c r="B923" t="str">
        <f>VLOOKUP(LEFT(A923,3),'Table corresp.'!$A$4:$D$63,3,FALSE)</f>
        <v>Transformation</v>
      </c>
      <c r="C923" t="str">
        <f>VLOOKUP(A923,'Table corresp.'!$M$4:$P$63,4,FALSE)</f>
        <v>Production et transformation de produits bois</v>
      </c>
      <c r="D923" t="s">
        <v>85</v>
      </c>
      <c r="E923" t="str">
        <f>VLOOKUP(LEFT(D923,3),'Table corresp.'!$A$4:$D$63,4,FALSE)</f>
        <v>Transformation</v>
      </c>
      <c r="F923" t="str">
        <f t="shared" si="102"/>
        <v xml:space="preserve">17  - 29 </v>
      </c>
      <c r="G923" s="164">
        <v>21451.746742578034</v>
      </c>
      <c r="H923" s="164">
        <v>11725.614999999994</v>
      </c>
      <c r="I923" s="164">
        <v>33177.361742578039</v>
      </c>
      <c r="J923" s="164">
        <v>148.89422769225476</v>
      </c>
      <c r="K923" s="164">
        <v>53.727804085945429</v>
      </c>
      <c r="L923" s="164">
        <v>202.62203177820018</v>
      </c>
      <c r="M923" s="164">
        <v>0</v>
      </c>
      <c r="N923" s="164">
        <v>0</v>
      </c>
      <c r="O923" s="164">
        <v>0</v>
      </c>
      <c r="P923" s="164">
        <v>0</v>
      </c>
      <c r="Q923" s="164">
        <v>0</v>
      </c>
      <c r="R923" s="164">
        <v>0</v>
      </c>
      <c r="S923" s="163" t="str">
        <f t="shared" si="103"/>
        <v/>
      </c>
      <c r="T923" s="163">
        <f>VLOOKUP(A923,'Groupe de branches'!$Z$27:$AM$86,14,FALSE)</f>
        <v>0</v>
      </c>
      <c r="U923" s="163">
        <f>VLOOKUP(D923,'Groupe de branches'!$Z$27:$AM$86,14,FALSE)</f>
        <v>0</v>
      </c>
      <c r="V923" s="163">
        <v>2018</v>
      </c>
      <c r="W923" t="str">
        <f>VLOOKUP(D923,'Table corresp.'!$M$4:$S$63,7,FALSE)</f>
        <v>Construction</v>
      </c>
      <c r="X923" s="167">
        <f>IFERROR(G923/SUMIFS('Comp2016-2017 (3)'!$I$5:$I$289,'Comp2016-2017 (3)'!$A$5:$A$289,A923,'Comp2016-2017 (3)'!$R$5:$R$289,V923),0)</f>
        <v>0.50750542101169527</v>
      </c>
      <c r="Y923" s="178">
        <f>IFERROR(IF(RIGHT(F923,3)="Exp",VLOOKUP(F923,#REF!,2,FALSE),VLOOKUP(F923,#REF!,9,FALSE)),1)</f>
        <v>1</v>
      </c>
      <c r="Z923" s="167">
        <f t="shared" si="107"/>
        <v>0.5</v>
      </c>
      <c r="AA923" s="189">
        <f t="shared" si="106"/>
        <v>0.25375271050584763</v>
      </c>
      <c r="AB923" s="2">
        <f>IFERROR(SUMIFS('Comp2016-2017 (3)'!$G$5:$G$289,'Comp2016-2017 (3)'!$A$5:$A$289,A923,'Comp2016-2017 (3)'!$R$5:$R$289,V923)*AA923/SUMIFS($AA$4:$AA$1116,$A$4:$A$1116,A923,$V$4:$V$1116,V923),0)</f>
        <v>5009.0866572057421</v>
      </c>
      <c r="AC923" s="2" t="str">
        <f>IF($W923=AC$3,$AB923,IF(NOT($W923=0),"",SUMIFS('Val-Vol (2)'!AC$4:AC$1116,'Val-Vol (2)'!$A$4:$A$1116,$D923,'Val-Vol (2)'!$V$4:$V$1116,$V923)/SUMIFS('Comp2016-2017 (3)'!$G$5:$G$289,'Comp2016-2017 (3)'!$A$5:$A$289,$D923,'Comp2016-2017 (3)'!$R$5:$R$289,$V923)*$AB923))</f>
        <v/>
      </c>
      <c r="AD923" s="2">
        <f>IF($W923=AD$3,$AB923,IF(NOT($W923=0),"",SUMIFS('Val-Vol (2)'!AD$4:AD$1116,'Val-Vol (2)'!$A$4:$A$1116,$D923,'Val-Vol (2)'!$V$4:$V$1116,$V923)/SUMIFS('Comp2016-2017 (3)'!$G$5:$G$289,'Comp2016-2017 (3)'!$A$5:$A$289,$D923,'Comp2016-2017 (3)'!$R$5:$R$289,$V923)*$AB923))</f>
        <v>5009.0866572057421</v>
      </c>
      <c r="AE923" s="2" t="str">
        <f>IF($W923=AE$3,$AB923,IF(NOT($W923=0),"",SUMIFS('Val-Vol (2)'!AE$4:AE$1116,'Val-Vol (2)'!$A$4:$A$1116,$D923,'Val-Vol (2)'!$V$4:$V$1116,$V923)/SUMIFS('Comp2016-2017 (3)'!$G$5:$G$289,'Comp2016-2017 (3)'!$A$5:$A$289,$D923,'Comp2016-2017 (3)'!$R$5:$R$289,$V923)*$AB923))</f>
        <v/>
      </c>
      <c r="AF923" s="2" t="str">
        <f>IF($W923=AF$3,$AB923,IF(NOT($W923=0),"",SUMIFS('Val-Vol (2)'!AF$4:AF$1116,'Val-Vol (2)'!$A$4:$A$1116,$D923,'Val-Vol (2)'!$V$4:$V$1116,$V923)/SUMIFS('Comp2016-2017 (3)'!$G$5:$G$289,'Comp2016-2017 (3)'!$A$5:$A$289,$D923,'Comp2016-2017 (3)'!$R$5:$R$289,$V923)*$AB923))</f>
        <v/>
      </c>
      <c r="AG923" s="2" t="str">
        <f>IF($W923=AG$3,$AB923,IF(NOT($W923=0),"",SUMIFS('Val-Vol (2)'!AG$4:AG$1116,'Val-Vol (2)'!$A$4:$A$1116,$D923,'Val-Vol (2)'!$V$4:$V$1116,$V923)/SUMIFS('Comp2016-2017 (3)'!$G$5:$G$289,'Comp2016-2017 (3)'!$A$5:$A$289,$D923,'Comp2016-2017 (3)'!$R$5:$R$289,$V923)*$AB923))</f>
        <v/>
      </c>
      <c r="AH923" s="2" t="str">
        <f>IF($W923=AH$3,$AB923,IF(NOT($W923=0),"",SUMIFS('Val-Vol (2)'!AH$4:AH$1116,'Val-Vol (2)'!$A$4:$A$1116,$D923,'Val-Vol (2)'!$V$4:$V$1116,$V923)/SUMIFS('Comp2016-2017 (3)'!$G$5:$G$289,'Comp2016-2017 (3)'!$A$5:$A$289,$D923,'Comp2016-2017 (3)'!$R$5:$R$289,$V923)*$AB923))</f>
        <v/>
      </c>
      <c r="AI923" s="2" t="str">
        <f>IF($W923=AI$3,$AB923,IF(NOT($W923=0),"",SUMIFS('Val-Vol (2)'!AI$4:AI$1116,'Val-Vol (2)'!$A$4:$A$1116,$D923,'Val-Vol (2)'!$V$4:$V$1116,$V923)/SUMIFS('Comp2016-2017 (3)'!$G$5:$G$289,'Comp2016-2017 (3)'!$A$5:$A$289,$D923,'Comp2016-2017 (3)'!$R$5:$R$289,$V923)*$AB923))</f>
        <v/>
      </c>
      <c r="AJ923" s="2" t="str">
        <f>IF($W923=AJ$3,$AB923,IF(NOT($W923=0),"",SUMIFS('Val-Vol (2)'!AJ$4:AJ$1116,'Val-Vol (2)'!$A$4:$A$1116,$D923,'Val-Vol (2)'!$V$4:$V$1116,$V923)/SUMIFS('Comp2016-2017 (3)'!$G$5:$G$289,'Comp2016-2017 (3)'!$A$5:$A$289,$D923,'Comp2016-2017 (3)'!$R$5:$R$289,$V923)*$AB923))</f>
        <v/>
      </c>
      <c r="AK923" s="2">
        <f t="shared" si="101"/>
        <v>0</v>
      </c>
      <c r="AL923" t="str">
        <f t="shared" si="105"/>
        <v/>
      </c>
      <c r="AM923" t="str">
        <f>VLOOKUP(A923,'Table corresp.'!$M$4:$U$63,8,FALSE)</f>
        <v>Production intermédiaire</v>
      </c>
      <c r="AN923" t="str">
        <f>VLOOKUP(D923,'Table corresp.'!$M$4:$U$63,9,FALSE)</f>
        <v>Production intermédiaire</v>
      </c>
    </row>
    <row r="924" spans="1:40" x14ac:dyDescent="0.25">
      <c r="A924" t="s">
        <v>84</v>
      </c>
      <c r="B924" t="str">
        <f>VLOOKUP(LEFT(A924,3),'Table corresp.'!$A$4:$D$63,3,FALSE)</f>
        <v>Transformation</v>
      </c>
      <c r="C924" t="str">
        <f>VLOOKUP(A924,'Table corresp.'!$M$4:$P$63,4,FALSE)</f>
        <v>Production et transformation de produits bois</v>
      </c>
      <c r="D924" t="s">
        <v>53</v>
      </c>
      <c r="E924" t="str">
        <f>VLOOKUP(LEFT(D924,3),'Table corresp.'!$A$4:$D$63,4,FALSE)</f>
        <v>Exportation</v>
      </c>
      <c r="F924" t="str">
        <f t="shared" si="102"/>
        <v>17  - Exp</v>
      </c>
      <c r="G924" s="164">
        <v>20817.022999999986</v>
      </c>
      <c r="H924" s="164">
        <v>0</v>
      </c>
      <c r="I924" s="164">
        <v>20817.022999999997</v>
      </c>
      <c r="J924" s="164">
        <v>147.61359256661845</v>
      </c>
      <c r="K924" s="164">
        <v>0</v>
      </c>
      <c r="L924" s="164">
        <v>147.61359256661845</v>
      </c>
      <c r="M924" s="164">
        <v>0</v>
      </c>
      <c r="N924" s="164">
        <v>0</v>
      </c>
      <c r="O924" s="164">
        <v>0</v>
      </c>
      <c r="P924" s="164">
        <v>0</v>
      </c>
      <c r="Q924" s="164">
        <v>0</v>
      </c>
      <c r="R924" s="164">
        <v>0</v>
      </c>
      <c r="S924" s="163" t="str">
        <f t="shared" si="103"/>
        <v/>
      </c>
      <c r="T924" s="163">
        <f>VLOOKUP(A924,'Groupe de branches'!$Z$27:$AM$86,14,FALSE)</f>
        <v>0</v>
      </c>
      <c r="U924" s="163">
        <f>VLOOKUP(D924,'Groupe de branches'!$Z$27:$AM$86,14,FALSE)</f>
        <v>0</v>
      </c>
      <c r="V924" s="163">
        <v>2018</v>
      </c>
      <c r="W924" t="str">
        <f>VLOOKUP(D924,'Table corresp.'!$M$4:$S$63,7,FALSE)</f>
        <v>Exportation</v>
      </c>
      <c r="X924" s="167">
        <f>IFERROR(G924/SUMIFS('Comp2016-2017 (3)'!$I$5:$I$289,'Comp2016-2017 (3)'!$A$5:$A$289,A924,'Comp2016-2017 (3)'!$R$5:$R$289,V924),0)</f>
        <v>0.49248912681110107</v>
      </c>
      <c r="Y924" s="178">
        <f>IFERROR(IF(RIGHT(F924,3)="Exp",VLOOKUP(F924,#REF!,2,FALSE),VLOOKUP(F924,#REF!,9,FALSE)),1)</f>
        <v>1</v>
      </c>
      <c r="Z924" s="167">
        <f t="shared" si="107"/>
        <v>0.5</v>
      </c>
      <c r="AA924" s="189">
        <f t="shared" si="106"/>
        <v>0.24624456340555054</v>
      </c>
      <c r="AB924" s="2">
        <f>IFERROR(SUMIFS('Comp2016-2017 (3)'!$G$5:$G$289,'Comp2016-2017 (3)'!$A$5:$A$289,A924,'Comp2016-2017 (3)'!$R$5:$R$289,V924)*AA924/SUMIFS($AA$4:$AA$1116,$A$4:$A$1116,A924,$V$4:$V$1116,V924),0)</f>
        <v>4860.8755922462224</v>
      </c>
      <c r="AC924" s="2">
        <f>IF($W924=AC$3,$AB924,IF(NOT($W924=0),"",SUMIFS('Val-Vol (2)'!AC$4:AC$1116,'Val-Vol (2)'!$A$4:$A$1116,$D924,'Val-Vol (2)'!$V$4:$V$1116,$V924)/SUMIFS('Comp2016-2017 (3)'!$G$5:$G$289,'Comp2016-2017 (3)'!$A$5:$A$289,$D924,'Comp2016-2017 (3)'!$R$5:$R$289,$V924)*$AB924))</f>
        <v>4860.8755922462224</v>
      </c>
      <c r="AD924" s="2" t="str">
        <f>IF($W924=AD$3,$AB924,IF(NOT($W924=0),"",SUMIFS('Val-Vol (2)'!AD$4:AD$1116,'Val-Vol (2)'!$A$4:$A$1116,$D924,'Val-Vol (2)'!$V$4:$V$1116,$V924)/SUMIFS('Comp2016-2017 (3)'!$G$5:$G$289,'Comp2016-2017 (3)'!$A$5:$A$289,$D924,'Comp2016-2017 (3)'!$R$5:$R$289,$V924)*$AB924))</f>
        <v/>
      </c>
      <c r="AE924" s="2" t="str">
        <f>IF($W924=AE$3,$AB924,IF(NOT($W924=0),"",SUMIFS('Val-Vol (2)'!AE$4:AE$1116,'Val-Vol (2)'!$A$4:$A$1116,$D924,'Val-Vol (2)'!$V$4:$V$1116,$V924)/SUMIFS('Comp2016-2017 (3)'!$G$5:$G$289,'Comp2016-2017 (3)'!$A$5:$A$289,$D924,'Comp2016-2017 (3)'!$R$5:$R$289,$V924)*$AB924))</f>
        <v/>
      </c>
      <c r="AF924" s="2" t="str">
        <f>IF($W924=AF$3,$AB924,IF(NOT($W924=0),"",SUMIFS('Val-Vol (2)'!AF$4:AF$1116,'Val-Vol (2)'!$A$4:$A$1116,$D924,'Val-Vol (2)'!$V$4:$V$1116,$V924)/SUMIFS('Comp2016-2017 (3)'!$G$5:$G$289,'Comp2016-2017 (3)'!$A$5:$A$289,$D924,'Comp2016-2017 (3)'!$R$5:$R$289,$V924)*$AB924))</f>
        <v/>
      </c>
      <c r="AG924" s="2" t="str">
        <f>IF($W924=AG$3,$AB924,IF(NOT($W924=0),"",SUMIFS('Val-Vol (2)'!AG$4:AG$1116,'Val-Vol (2)'!$A$4:$A$1116,$D924,'Val-Vol (2)'!$V$4:$V$1116,$V924)/SUMIFS('Comp2016-2017 (3)'!$G$5:$G$289,'Comp2016-2017 (3)'!$A$5:$A$289,$D924,'Comp2016-2017 (3)'!$R$5:$R$289,$V924)*$AB924))</f>
        <v/>
      </c>
      <c r="AH924" s="2" t="str">
        <f>IF($W924=AH$3,$AB924,IF(NOT($W924=0),"",SUMIFS('Val-Vol (2)'!AH$4:AH$1116,'Val-Vol (2)'!$A$4:$A$1116,$D924,'Val-Vol (2)'!$V$4:$V$1116,$V924)/SUMIFS('Comp2016-2017 (3)'!$G$5:$G$289,'Comp2016-2017 (3)'!$A$5:$A$289,$D924,'Comp2016-2017 (3)'!$R$5:$R$289,$V924)*$AB924))</f>
        <v/>
      </c>
      <c r="AI924" s="2" t="str">
        <f>IF($W924=AI$3,$AB924,IF(NOT($W924=0),"",SUMIFS('Val-Vol (2)'!AI$4:AI$1116,'Val-Vol (2)'!$A$4:$A$1116,$D924,'Val-Vol (2)'!$V$4:$V$1116,$V924)/SUMIFS('Comp2016-2017 (3)'!$G$5:$G$289,'Comp2016-2017 (3)'!$A$5:$A$289,$D924,'Comp2016-2017 (3)'!$R$5:$R$289,$V924)*$AB924))</f>
        <v/>
      </c>
      <c r="AJ924" s="2" t="str">
        <f>IF($W924=AJ$3,$AB924,IF(NOT($W924=0),"",SUMIFS('Val-Vol (2)'!AJ$4:AJ$1116,'Val-Vol (2)'!$A$4:$A$1116,$D924,'Val-Vol (2)'!$V$4:$V$1116,$V924)/SUMIFS('Comp2016-2017 (3)'!$G$5:$G$289,'Comp2016-2017 (3)'!$A$5:$A$289,$D924,'Comp2016-2017 (3)'!$R$5:$R$289,$V924)*$AB924))</f>
        <v/>
      </c>
      <c r="AK924" s="2">
        <f t="shared" si="101"/>
        <v>0</v>
      </c>
      <c r="AL924" t="str">
        <f t="shared" si="105"/>
        <v/>
      </c>
      <c r="AM924" t="str">
        <f>VLOOKUP(A924,'Table corresp.'!$M$4:$U$63,8,FALSE)</f>
        <v>Production intermédiaire</v>
      </c>
      <c r="AN924" t="str">
        <f>VLOOKUP(D924,'Table corresp.'!$M$4:$U$63,9,FALSE)</f>
        <v>Exportation</v>
      </c>
    </row>
    <row r="925" spans="1:40" x14ac:dyDescent="0.25">
      <c r="A925" t="s">
        <v>11</v>
      </c>
      <c r="B925" t="str">
        <f>VLOOKUP(LEFT(A925,3),'Table corresp.'!$A$4:$D$63,3,FALSE)</f>
        <v>Produits connexes du sciage</v>
      </c>
      <c r="C925" t="str">
        <f>VLOOKUP(A925,'Table corresp.'!$M$4:$P$63,4,FALSE)</f>
        <v>Production et transformation de produits bois</v>
      </c>
      <c r="D925" t="s">
        <v>87</v>
      </c>
      <c r="E925" t="str">
        <f>VLOOKUP(LEFT(D925,3),'Table corresp.'!$A$4:$D$63,4,FALSE)</f>
        <v>Transformation</v>
      </c>
      <c r="F925" t="str">
        <f t="shared" si="102"/>
        <v xml:space="preserve">18  - 31 </v>
      </c>
      <c r="G925" s="164">
        <v>33816.915638999424</v>
      </c>
      <c r="H925" s="164">
        <v>26406.40200000002</v>
      </c>
      <c r="I925" s="164">
        <v>60223.317638998669</v>
      </c>
      <c r="J925" s="164">
        <v>0</v>
      </c>
      <c r="K925" s="164">
        <v>0</v>
      </c>
      <c r="L925" s="164">
        <v>0</v>
      </c>
      <c r="M925" s="164">
        <v>990.7579374676717</v>
      </c>
      <c r="N925" s="164">
        <v>515.15128500000003</v>
      </c>
      <c r="O925" s="164">
        <v>1505.9092224676717</v>
      </c>
      <c r="P925" s="164">
        <v>0</v>
      </c>
      <c r="Q925" s="164">
        <v>0</v>
      </c>
      <c r="R925" s="164">
        <v>0</v>
      </c>
      <c r="S925" s="163" t="str">
        <f t="shared" si="103"/>
        <v/>
      </c>
      <c r="T925" s="163">
        <f>VLOOKUP(A925,'Groupe de branches'!$Z$27:$AM$86,14,FALSE)</f>
        <v>0</v>
      </c>
      <c r="U925" s="163">
        <f>VLOOKUP(D925,'Groupe de branches'!$Z$27:$AM$86,14,FALSE)</f>
        <v>0</v>
      </c>
      <c r="V925" s="163">
        <v>2018</v>
      </c>
      <c r="W925">
        <f>VLOOKUP(D925,'Table corresp.'!$M$4:$S$63,7,FALSE)</f>
        <v>0</v>
      </c>
      <c r="X925" s="167">
        <f>IFERROR(G925/SUMIFS('Comp2016-2017 (3)'!$I$5:$I$289,'Comp2016-2017 (3)'!$A$5:$A$289,A925,'Comp2016-2017 (3)'!$R$5:$R$289,V925),0)</f>
        <v>0.32627268337687737</v>
      </c>
      <c r="Y925" s="178">
        <f>IFERROR(IF(RIGHT(F925,3)="Exp",VLOOKUP(F925,#REF!,2,FALSE),VLOOKUP(F925,#REF!,9,FALSE)),1)</f>
        <v>1</v>
      </c>
      <c r="Z925" s="167">
        <f t="shared" si="107"/>
        <v>0.25</v>
      </c>
      <c r="AA925" s="189">
        <f t="shared" si="106"/>
        <v>8.1568170844219343E-2</v>
      </c>
      <c r="AB925" s="2">
        <f>IFERROR(SUMIFS('Comp2016-2017 (3)'!$G$5:$G$289,'Comp2016-2017 (3)'!$A$5:$A$289,A925,'Comp2016-2017 (3)'!$R$5:$R$289,V925)*AA925/SUMIFS($AA$4:$AA$1116,$A$4:$A$1116,A925,$V$4:$V$1116,V925),0)</f>
        <v>33816.942526554281</v>
      </c>
      <c r="AC925" s="2">
        <f>IF($W925=AC$3,$AB925,IF(NOT($W925=0),"",SUMIFS('Val-Vol (2)'!AC$4:AC$1116,'Val-Vol (2)'!$A$4:$A$1116,$D925,'Val-Vol (2)'!$V$4:$V$1116,$V925)/SUMIFS('Comp2016-2017 (3)'!$G$5:$G$289,'Comp2016-2017 (3)'!$A$5:$A$289,$D925,'Comp2016-2017 (3)'!$R$5:$R$289,$V925)*$AB925))</f>
        <v>19001.857501480725</v>
      </c>
      <c r="AD925" s="2">
        <f>IF($W925=AD$3,$AB925,IF(NOT($W925=0),"",SUMIFS('Val-Vol (2)'!AD$4:AD$1116,'Val-Vol (2)'!$A$4:$A$1116,$D925,'Val-Vol (2)'!$V$4:$V$1116,$V925)/SUMIFS('Comp2016-2017 (3)'!$G$5:$G$289,'Comp2016-2017 (3)'!$A$5:$A$289,$D925,'Comp2016-2017 (3)'!$R$5:$R$289,$V925)*$AB925))</f>
        <v>6015.9418646786735</v>
      </c>
      <c r="AE925" s="2">
        <f>IF($W925=AE$3,$AB925,IF(NOT($W925=0),"",SUMIFS('Val-Vol (2)'!AE$4:AE$1116,'Val-Vol (2)'!$A$4:$A$1116,$D925,'Val-Vol (2)'!$V$4:$V$1116,$V925)/SUMIFS('Comp2016-2017 (3)'!$G$5:$G$289,'Comp2016-2017 (3)'!$A$5:$A$289,$D925,'Comp2016-2017 (3)'!$R$5:$R$289,$V925)*$AB925))</f>
        <v>4852.8064969190655</v>
      </c>
      <c r="AF925" s="2">
        <f>IF($W925=AF$3,$AB925,IF(NOT($W925=0),"",SUMIFS('Val-Vol (2)'!AF$4:AF$1116,'Val-Vol (2)'!$A$4:$A$1116,$D925,'Val-Vol (2)'!$V$4:$V$1116,$V925)/SUMIFS('Comp2016-2017 (3)'!$G$5:$G$289,'Comp2016-2017 (3)'!$A$5:$A$289,$D925,'Comp2016-2017 (3)'!$R$5:$R$289,$V925)*$AB925))</f>
        <v>0</v>
      </c>
      <c r="AG925" s="2">
        <f>IF($W925=AG$3,$AB925,IF(NOT($W925=0),"",SUMIFS('Val-Vol (2)'!AG$4:AG$1116,'Val-Vol (2)'!$A$4:$A$1116,$D925,'Val-Vol (2)'!$V$4:$V$1116,$V925)/SUMIFS('Comp2016-2017 (3)'!$G$5:$G$289,'Comp2016-2017 (3)'!$A$5:$A$289,$D925,'Comp2016-2017 (3)'!$R$5:$R$289,$V925)*$AB925))</f>
        <v>2524.8035632348651</v>
      </c>
      <c r="AH925" s="2">
        <f>IF($W925=AH$3,$AB925,IF(NOT($W925=0),"",SUMIFS('Val-Vol (2)'!AH$4:AH$1116,'Val-Vol (2)'!$A$4:$A$1116,$D925,'Val-Vol (2)'!$V$4:$V$1116,$V925)/SUMIFS('Comp2016-2017 (3)'!$G$5:$G$289,'Comp2016-2017 (3)'!$A$5:$A$289,$D925,'Comp2016-2017 (3)'!$R$5:$R$289,$V925)*$AB925))</f>
        <v>0</v>
      </c>
      <c r="AI925" s="2">
        <f>IF($W925=AI$3,$AB925,IF(NOT($W925=0),"",SUMIFS('Val-Vol (2)'!AI$4:AI$1116,'Val-Vol (2)'!$A$4:$A$1116,$D925,'Val-Vol (2)'!$V$4:$V$1116,$V925)/SUMIFS('Comp2016-2017 (3)'!$G$5:$G$289,'Comp2016-2017 (3)'!$A$5:$A$289,$D925,'Comp2016-2017 (3)'!$R$5:$R$289,$V925)*$AB925))</f>
        <v>0</v>
      </c>
      <c r="AJ925" s="2">
        <f>IF($W925=AJ$3,$AB925,IF(NOT($W925=0),"",SUMIFS('Val-Vol (2)'!AJ$4:AJ$1116,'Val-Vol (2)'!$A$4:$A$1116,$D925,'Val-Vol (2)'!$V$4:$V$1116,$V925)/SUMIFS('Comp2016-2017 (3)'!$G$5:$G$289,'Comp2016-2017 (3)'!$A$5:$A$289,$D925,'Comp2016-2017 (3)'!$R$5:$R$289,$V925)*$AB925))</f>
        <v>1421.5331002409555</v>
      </c>
      <c r="AK925" s="2">
        <f t="shared" si="101"/>
        <v>0</v>
      </c>
      <c r="AL925" t="str">
        <f t="shared" si="105"/>
        <v/>
      </c>
      <c r="AM925" t="str">
        <f>VLOOKUP(A925,'Table corresp.'!$M$4:$U$63,8,FALSE)</f>
        <v>Produits connexes du sciage</v>
      </c>
      <c r="AN925" t="str">
        <f>VLOOKUP(D925,'Table corresp.'!$M$4:$U$63,9,FALSE)</f>
        <v>Production intermédiaire</v>
      </c>
    </row>
    <row r="926" spans="1:40" x14ac:dyDescent="0.25">
      <c r="A926" t="s">
        <v>11</v>
      </c>
      <c r="B926" t="str">
        <f>VLOOKUP(LEFT(A926,3),'Table corresp.'!$A$4:$D$63,3,FALSE)</f>
        <v>Produits connexes du sciage</v>
      </c>
      <c r="C926" t="str">
        <f>VLOOKUP(A926,'Table corresp.'!$M$4:$P$63,4,FALSE)</f>
        <v>Production et transformation de produits bois</v>
      </c>
      <c r="D926" t="s">
        <v>95</v>
      </c>
      <c r="E926" t="str">
        <f>VLOOKUP(LEFT(D926,3),'Table corresp.'!$A$4:$D$63,4,FALSE)</f>
        <v>Transformation</v>
      </c>
      <c r="F926" t="str">
        <f t="shared" si="102"/>
        <v xml:space="preserve">18  - 43 </v>
      </c>
      <c r="G926" s="164">
        <v>56745.892781669856</v>
      </c>
      <c r="H926" s="164">
        <v>0</v>
      </c>
      <c r="I926" s="164">
        <v>56745.892781670344</v>
      </c>
      <c r="J926" s="164">
        <v>0</v>
      </c>
      <c r="K926" s="164">
        <v>0</v>
      </c>
      <c r="L926" s="164">
        <v>0</v>
      </c>
      <c r="M926" s="164">
        <v>1479.7910144382026</v>
      </c>
      <c r="N926" s="164">
        <v>0</v>
      </c>
      <c r="O926" s="164">
        <v>1479.7910144382026</v>
      </c>
      <c r="P926" s="164">
        <v>0</v>
      </c>
      <c r="Q926" s="164">
        <v>0</v>
      </c>
      <c r="R926" s="164">
        <v>0</v>
      </c>
      <c r="S926" s="163" t="str">
        <f t="shared" si="103"/>
        <v/>
      </c>
      <c r="T926" s="163">
        <f>VLOOKUP(A926,'Groupe de branches'!$Z$27:$AM$86,14,FALSE)</f>
        <v>0</v>
      </c>
      <c r="U926" s="163">
        <f>VLOOKUP(D926,'Groupe de branches'!$Z$27:$AM$86,14,FALSE)</f>
        <v>0</v>
      </c>
      <c r="V926" s="163">
        <v>2018</v>
      </c>
      <c r="W926" t="str">
        <f>VLOOKUP(D926,'Table corresp.'!$M$4:$S$63,7,FALSE)</f>
        <v>Pate &amp; papier &amp; carton</v>
      </c>
      <c r="X926" s="167">
        <f>IFERROR(G926/SUMIFS('Comp2016-2017 (3)'!$I$5:$I$289,'Comp2016-2017 (3)'!$A$5:$A$289,A926,'Comp2016-2017 (3)'!$R$5:$R$289,V926),0)</f>
        <v>0.5474962561972968</v>
      </c>
      <c r="Y926" s="178">
        <f>IFERROR(IF(RIGHT(F926,3)="Exp",VLOOKUP(F926,#REF!,2,FALSE),VLOOKUP(F926,#REF!,9,FALSE)),1)</f>
        <v>1</v>
      </c>
      <c r="Z926" s="167">
        <f t="shared" si="107"/>
        <v>0.25</v>
      </c>
      <c r="AA926" s="189">
        <f t="shared" si="106"/>
        <v>0.1368740640493242</v>
      </c>
      <c r="AB926" s="2">
        <f>IFERROR(SUMIFS('Comp2016-2017 (3)'!$G$5:$G$289,'Comp2016-2017 (3)'!$A$5:$A$289,A926,'Comp2016-2017 (3)'!$R$5:$R$289,V926)*AA926/SUMIFS($AA$4:$AA$1116,$A$4:$A$1116,A926,$V$4:$V$1116,V926),0)</f>
        <v>56745.937899868142</v>
      </c>
      <c r="AC926" s="2" t="str">
        <f>IF($W926=AC$3,$AB926,IF(NOT($W926=0),"",SUMIFS('Val-Vol (2)'!AC$4:AC$1116,'Val-Vol (2)'!$A$4:$A$1116,$D926,'Val-Vol (2)'!$V$4:$V$1116,$V926)/SUMIFS('Comp2016-2017 (3)'!$G$5:$G$289,'Comp2016-2017 (3)'!$A$5:$A$289,$D926,'Comp2016-2017 (3)'!$R$5:$R$289,$V926)*$AB926))</f>
        <v/>
      </c>
      <c r="AD926" s="2" t="str">
        <f>IF($W926=AD$3,$AB926,IF(NOT($W926=0),"",SUMIFS('Val-Vol (2)'!AD$4:AD$1116,'Val-Vol (2)'!$A$4:$A$1116,$D926,'Val-Vol (2)'!$V$4:$V$1116,$V926)/SUMIFS('Comp2016-2017 (3)'!$G$5:$G$289,'Comp2016-2017 (3)'!$A$5:$A$289,$D926,'Comp2016-2017 (3)'!$R$5:$R$289,$V926)*$AB926))</f>
        <v/>
      </c>
      <c r="AE926" s="2" t="str">
        <f>IF($W926=AE$3,$AB926,IF(NOT($W926=0),"",SUMIFS('Val-Vol (2)'!AE$4:AE$1116,'Val-Vol (2)'!$A$4:$A$1116,$D926,'Val-Vol (2)'!$V$4:$V$1116,$V926)/SUMIFS('Comp2016-2017 (3)'!$G$5:$G$289,'Comp2016-2017 (3)'!$A$5:$A$289,$D926,'Comp2016-2017 (3)'!$R$5:$R$289,$V926)*$AB926))</f>
        <v/>
      </c>
      <c r="AF926" s="2">
        <f>IF($W926=AF$3,$AB926,IF(NOT($W926=0),"",SUMIFS('Val-Vol (2)'!AF$4:AF$1116,'Val-Vol (2)'!$A$4:$A$1116,$D926,'Val-Vol (2)'!$V$4:$V$1116,$V926)/SUMIFS('Comp2016-2017 (3)'!$G$5:$G$289,'Comp2016-2017 (3)'!$A$5:$A$289,$D926,'Comp2016-2017 (3)'!$R$5:$R$289,$V926)*$AB926))</f>
        <v>56745.937899868142</v>
      </c>
      <c r="AG926" s="2" t="str">
        <f>IF($W926=AG$3,$AB926,IF(NOT($W926=0),"",SUMIFS('Val-Vol (2)'!AG$4:AG$1116,'Val-Vol (2)'!$A$4:$A$1116,$D926,'Val-Vol (2)'!$V$4:$V$1116,$V926)/SUMIFS('Comp2016-2017 (3)'!$G$5:$G$289,'Comp2016-2017 (3)'!$A$5:$A$289,$D926,'Comp2016-2017 (3)'!$R$5:$R$289,$V926)*$AB926))</f>
        <v/>
      </c>
      <c r="AH926" s="2" t="str">
        <f>IF($W926=AH$3,$AB926,IF(NOT($W926=0),"",SUMIFS('Val-Vol (2)'!AH$4:AH$1116,'Val-Vol (2)'!$A$4:$A$1116,$D926,'Val-Vol (2)'!$V$4:$V$1116,$V926)/SUMIFS('Comp2016-2017 (3)'!$G$5:$G$289,'Comp2016-2017 (3)'!$A$5:$A$289,$D926,'Comp2016-2017 (3)'!$R$5:$R$289,$V926)*$AB926))</f>
        <v/>
      </c>
      <c r="AI926" s="2" t="str">
        <f>IF($W926=AI$3,$AB926,IF(NOT($W926=0),"",SUMIFS('Val-Vol (2)'!AI$4:AI$1116,'Val-Vol (2)'!$A$4:$A$1116,$D926,'Val-Vol (2)'!$V$4:$V$1116,$V926)/SUMIFS('Comp2016-2017 (3)'!$G$5:$G$289,'Comp2016-2017 (3)'!$A$5:$A$289,$D926,'Comp2016-2017 (3)'!$R$5:$R$289,$V926)*$AB926))</f>
        <v/>
      </c>
      <c r="AJ926" s="2" t="str">
        <f>IF($W926=AJ$3,$AB926,IF(NOT($W926=0),"",SUMIFS('Val-Vol (2)'!AJ$4:AJ$1116,'Val-Vol (2)'!$A$4:$A$1116,$D926,'Val-Vol (2)'!$V$4:$V$1116,$V926)/SUMIFS('Comp2016-2017 (3)'!$G$5:$G$289,'Comp2016-2017 (3)'!$A$5:$A$289,$D926,'Comp2016-2017 (3)'!$R$5:$R$289,$V926)*$AB926))</f>
        <v/>
      </c>
      <c r="AK926" s="2">
        <f t="shared" si="101"/>
        <v>0</v>
      </c>
      <c r="AL926" t="str">
        <f t="shared" si="105"/>
        <v/>
      </c>
      <c r="AM926" t="str">
        <f>VLOOKUP(A926,'Table corresp.'!$M$4:$U$63,8,FALSE)</f>
        <v>Produits connexes du sciage</v>
      </c>
      <c r="AN926" t="str">
        <f>VLOOKUP(D926,'Table corresp.'!$M$4:$U$63,9,FALSE)</f>
        <v>Production intermédiaire</v>
      </c>
    </row>
    <row r="927" spans="1:40" x14ac:dyDescent="0.25">
      <c r="A927" t="s">
        <v>11</v>
      </c>
      <c r="B927" t="str">
        <f>VLOOKUP(LEFT(A927,3),'Table corresp.'!$A$4:$D$63,3,FALSE)</f>
        <v>Produits connexes du sciage</v>
      </c>
      <c r="C927" t="str">
        <f>VLOOKUP(A927,'Table corresp.'!$M$4:$P$63,4,FALSE)</f>
        <v>Production et transformation de produits bois</v>
      </c>
      <c r="D927" t="s">
        <v>98</v>
      </c>
      <c r="E927" t="str">
        <f>VLOOKUP(LEFT(D927,3),'Table corresp.'!$A$4:$D$63,4,FALSE)</f>
        <v>Transformation</v>
      </c>
      <c r="F927" t="str">
        <f t="shared" si="102"/>
        <v xml:space="preserve">18  - 46 </v>
      </c>
      <c r="G927" s="164">
        <v>4911.8341711647163</v>
      </c>
      <c r="H927" s="164">
        <v>0</v>
      </c>
      <c r="I927" s="164">
        <v>4911.8341711647581</v>
      </c>
      <c r="J927" s="164">
        <v>0</v>
      </c>
      <c r="K927" s="164">
        <v>0</v>
      </c>
      <c r="L927" s="164">
        <v>0</v>
      </c>
      <c r="M927" s="164">
        <v>128.0883552024745</v>
      </c>
      <c r="N927" s="164">
        <v>0</v>
      </c>
      <c r="O927" s="164">
        <v>128.0883552024745</v>
      </c>
      <c r="P927" s="164">
        <v>0</v>
      </c>
      <c r="Q927" s="164">
        <v>0</v>
      </c>
      <c r="R927" s="164">
        <v>0</v>
      </c>
      <c r="S927" s="163" t="str">
        <f t="shared" si="103"/>
        <v/>
      </c>
      <c r="T927" s="163">
        <f>VLOOKUP(A927,'Groupe de branches'!$Z$27:$AM$86,14,FALSE)</f>
        <v>0</v>
      </c>
      <c r="U927" s="163">
        <f>VLOOKUP(D927,'Groupe de branches'!$Z$27:$AM$86,14,FALSE)</f>
        <v>0</v>
      </c>
      <c r="V927" s="163">
        <v>2018</v>
      </c>
      <c r="W927" t="str">
        <f>VLOOKUP(D927,'Table corresp.'!$M$4:$S$63,7,FALSE)</f>
        <v>Produits de consommation courante</v>
      </c>
      <c r="X927" s="167">
        <f>IFERROR(G927/SUMIFS('Comp2016-2017 (3)'!$I$5:$I$289,'Comp2016-2017 (3)'!$A$5:$A$289,A927,'Comp2016-2017 (3)'!$R$5:$R$289,V927),0)</f>
        <v>4.739040462578302E-2</v>
      </c>
      <c r="Y927" s="178">
        <f>IFERROR(IF(RIGHT(F927,3)="Exp",VLOOKUP(F927,#REF!,2,FALSE),VLOOKUP(F927,#REF!,9,FALSE)),1)</f>
        <v>1</v>
      </c>
      <c r="Z927" s="167">
        <f t="shared" si="107"/>
        <v>0.25</v>
      </c>
      <c r="AA927" s="189">
        <f t="shared" si="106"/>
        <v>1.1847601156445755E-2</v>
      </c>
      <c r="AB927" s="2">
        <f>IFERROR(SUMIFS('Comp2016-2017 (3)'!$G$5:$G$289,'Comp2016-2017 (3)'!$A$5:$A$289,A927,'Comp2016-2017 (3)'!$R$5:$R$289,V927)*AA927/SUMIFS($AA$4:$AA$1116,$A$4:$A$1116,A927,$V$4:$V$1116,V927),0)</f>
        <v>4911.8380765241563</v>
      </c>
      <c r="AC927" s="2" t="str">
        <f>IF($W927=AC$3,$AB927,IF(NOT($W927=0),"",SUMIFS('Val-Vol (2)'!AC$4:AC$1116,'Val-Vol (2)'!$A$4:$A$1116,$D927,'Val-Vol (2)'!$V$4:$V$1116,$V927)/SUMIFS('Comp2016-2017 (3)'!$G$5:$G$289,'Comp2016-2017 (3)'!$A$5:$A$289,$D927,'Comp2016-2017 (3)'!$R$5:$R$289,$V927)*$AB927))</f>
        <v/>
      </c>
      <c r="AD927" s="2" t="str">
        <f>IF($W927=AD$3,$AB927,IF(NOT($W927=0),"",SUMIFS('Val-Vol (2)'!AD$4:AD$1116,'Val-Vol (2)'!$A$4:$A$1116,$D927,'Val-Vol (2)'!$V$4:$V$1116,$V927)/SUMIFS('Comp2016-2017 (3)'!$G$5:$G$289,'Comp2016-2017 (3)'!$A$5:$A$289,$D927,'Comp2016-2017 (3)'!$R$5:$R$289,$V927)*$AB927))</f>
        <v/>
      </c>
      <c r="AE927" s="2" t="str">
        <f>IF($W927=AE$3,$AB927,IF(NOT($W927=0),"",SUMIFS('Val-Vol (2)'!AE$4:AE$1116,'Val-Vol (2)'!$A$4:$A$1116,$D927,'Val-Vol (2)'!$V$4:$V$1116,$V927)/SUMIFS('Comp2016-2017 (3)'!$G$5:$G$289,'Comp2016-2017 (3)'!$A$5:$A$289,$D927,'Comp2016-2017 (3)'!$R$5:$R$289,$V927)*$AB927))</f>
        <v/>
      </c>
      <c r="AF927" s="2" t="str">
        <f>IF($W927=AF$3,$AB927,IF(NOT($W927=0),"",SUMIFS('Val-Vol (2)'!AF$4:AF$1116,'Val-Vol (2)'!$A$4:$A$1116,$D927,'Val-Vol (2)'!$V$4:$V$1116,$V927)/SUMIFS('Comp2016-2017 (3)'!$G$5:$G$289,'Comp2016-2017 (3)'!$A$5:$A$289,$D927,'Comp2016-2017 (3)'!$R$5:$R$289,$V927)*$AB927))</f>
        <v/>
      </c>
      <c r="AG927" s="2" t="str">
        <f>IF($W927=AG$3,$AB927,IF(NOT($W927=0),"",SUMIFS('Val-Vol (2)'!AG$4:AG$1116,'Val-Vol (2)'!$A$4:$A$1116,$D927,'Val-Vol (2)'!$V$4:$V$1116,$V927)/SUMIFS('Comp2016-2017 (3)'!$G$5:$G$289,'Comp2016-2017 (3)'!$A$5:$A$289,$D927,'Comp2016-2017 (3)'!$R$5:$R$289,$V927)*$AB927))</f>
        <v/>
      </c>
      <c r="AH927" s="2" t="str">
        <f>IF($W927=AH$3,$AB927,IF(NOT($W927=0),"",SUMIFS('Val-Vol (2)'!AH$4:AH$1116,'Val-Vol (2)'!$A$4:$A$1116,$D927,'Val-Vol (2)'!$V$4:$V$1116,$V927)/SUMIFS('Comp2016-2017 (3)'!$G$5:$G$289,'Comp2016-2017 (3)'!$A$5:$A$289,$D927,'Comp2016-2017 (3)'!$R$5:$R$289,$V927)*$AB927))</f>
        <v/>
      </c>
      <c r="AI927" s="2">
        <f>IF($W927=AI$3,$AB927,IF(NOT($W927=0),"",SUMIFS('Val-Vol (2)'!AI$4:AI$1116,'Val-Vol (2)'!$A$4:$A$1116,$D927,'Val-Vol (2)'!$V$4:$V$1116,$V927)/SUMIFS('Comp2016-2017 (3)'!$G$5:$G$289,'Comp2016-2017 (3)'!$A$5:$A$289,$D927,'Comp2016-2017 (3)'!$R$5:$R$289,$V927)*$AB927))</f>
        <v>4911.8380765241563</v>
      </c>
      <c r="AJ927" s="2" t="str">
        <f>IF($W927=AJ$3,$AB927,IF(NOT($W927=0),"",SUMIFS('Val-Vol (2)'!AJ$4:AJ$1116,'Val-Vol (2)'!$A$4:$A$1116,$D927,'Val-Vol (2)'!$V$4:$V$1116,$V927)/SUMIFS('Comp2016-2017 (3)'!$G$5:$G$289,'Comp2016-2017 (3)'!$A$5:$A$289,$D927,'Comp2016-2017 (3)'!$R$5:$R$289,$V927)*$AB927))</f>
        <v/>
      </c>
      <c r="AK927" s="2">
        <f t="shared" si="101"/>
        <v>0</v>
      </c>
      <c r="AL927" t="str">
        <f t="shared" si="105"/>
        <v/>
      </c>
      <c r="AM927" t="str">
        <f>VLOOKUP(A927,'Table corresp.'!$M$4:$U$63,8,FALSE)</f>
        <v>Produits connexes du sciage</v>
      </c>
      <c r="AN927" t="str">
        <f>VLOOKUP(D927,'Table corresp.'!$M$4:$U$63,9,FALSE)</f>
        <v>Production intermédiaire</v>
      </c>
    </row>
    <row r="928" spans="1:40" x14ac:dyDescent="0.25">
      <c r="A928" t="s">
        <v>11</v>
      </c>
      <c r="B928" t="str">
        <f>VLOOKUP(LEFT(A928,3),'Table corresp.'!$A$4:$D$63,3,FALSE)</f>
        <v>Produits connexes du sciage</v>
      </c>
      <c r="C928" t="str">
        <f>VLOOKUP(A928,'Table corresp.'!$M$4:$P$63,4,FALSE)</f>
        <v>Production et transformation de produits bois</v>
      </c>
      <c r="D928" t="s">
        <v>53</v>
      </c>
      <c r="E928" t="str">
        <f>VLOOKUP(LEFT(D928,3),'Table corresp.'!$A$4:$D$63,4,FALSE)</f>
        <v>Exportation</v>
      </c>
      <c r="F928" t="str">
        <f t="shared" si="102"/>
        <v>18  - Exp</v>
      </c>
      <c r="G928" s="164">
        <v>8171.4499999999298</v>
      </c>
      <c r="H928" s="164">
        <v>0</v>
      </c>
      <c r="I928" s="164">
        <v>8171.45</v>
      </c>
      <c r="J928" s="164">
        <v>0</v>
      </c>
      <c r="K928" s="164">
        <v>0</v>
      </c>
      <c r="L928" s="164">
        <v>0</v>
      </c>
      <c r="M928" s="164">
        <v>222.36269289165111</v>
      </c>
      <c r="N928" s="164">
        <v>0</v>
      </c>
      <c r="O928" s="164">
        <v>222.36269289165111</v>
      </c>
      <c r="P928" s="164">
        <v>0</v>
      </c>
      <c r="Q928" s="164">
        <v>0</v>
      </c>
      <c r="R928" s="164">
        <v>0</v>
      </c>
      <c r="S928" s="163" t="str">
        <f t="shared" si="103"/>
        <v/>
      </c>
      <c r="T928" s="163">
        <f>VLOOKUP(A928,'Groupe de branches'!$Z$27:$AM$86,14,FALSE)</f>
        <v>0</v>
      </c>
      <c r="U928" s="163">
        <f>VLOOKUP(D928,'Groupe de branches'!$Z$27:$AM$86,14,FALSE)</f>
        <v>0</v>
      </c>
      <c r="V928" s="163">
        <v>2018</v>
      </c>
      <c r="W928" t="str">
        <f>VLOOKUP(D928,'Table corresp.'!$M$4:$S$63,7,FALSE)</f>
        <v>Exportation</v>
      </c>
      <c r="X928" s="167">
        <f>IFERROR(G928/SUMIFS('Comp2016-2017 (3)'!$I$5:$I$289,'Comp2016-2017 (3)'!$A$5:$A$289,A928,'Comp2016-2017 (3)'!$R$5:$R$289,V928),0)</f>
        <v>7.8839860708800197E-2</v>
      </c>
      <c r="Y928" s="178">
        <f>IFERROR(IF(RIGHT(F928,3)="Exp",VLOOKUP(F928,#REF!,2,FALSE),VLOOKUP(F928,#REF!,9,FALSE)),1)</f>
        <v>1</v>
      </c>
      <c r="Z928" s="167">
        <f t="shared" si="107"/>
        <v>0.25</v>
      </c>
      <c r="AA928" s="189">
        <f t="shared" si="106"/>
        <v>1.9709965177200049E-2</v>
      </c>
      <c r="AB928" s="2">
        <f>IFERROR(SUMIFS('Comp2016-2017 (3)'!$G$5:$G$289,'Comp2016-2017 (3)'!$A$5:$A$289,A928,'Comp2016-2017 (3)'!$R$5:$R$289,V928)*AA928/SUMIFS($AA$4:$AA$1116,$A$4:$A$1116,A928,$V$4:$V$1116,V928),0)</f>
        <v>8171.4564970534302</v>
      </c>
      <c r="AC928" s="2">
        <f>IF($W928=AC$3,$AB928,IF(NOT($W928=0),"",SUMIFS('Val-Vol (2)'!AC$4:AC$1116,'Val-Vol (2)'!$A$4:$A$1116,$D928,'Val-Vol (2)'!$V$4:$V$1116,$V928)/SUMIFS('Comp2016-2017 (3)'!$G$5:$G$289,'Comp2016-2017 (3)'!$A$5:$A$289,$D928,'Comp2016-2017 (3)'!$R$5:$R$289,$V928)*$AB928))</f>
        <v>8171.4564970534302</v>
      </c>
      <c r="AD928" s="2" t="str">
        <f>IF($W928=AD$3,$AB928,IF(NOT($W928=0),"",SUMIFS('Val-Vol (2)'!AD$4:AD$1116,'Val-Vol (2)'!$A$4:$A$1116,$D928,'Val-Vol (2)'!$V$4:$V$1116,$V928)/SUMIFS('Comp2016-2017 (3)'!$G$5:$G$289,'Comp2016-2017 (3)'!$A$5:$A$289,$D928,'Comp2016-2017 (3)'!$R$5:$R$289,$V928)*$AB928))</f>
        <v/>
      </c>
      <c r="AE928" s="2" t="str">
        <f>IF($W928=AE$3,$AB928,IF(NOT($W928=0),"",SUMIFS('Val-Vol (2)'!AE$4:AE$1116,'Val-Vol (2)'!$A$4:$A$1116,$D928,'Val-Vol (2)'!$V$4:$V$1116,$V928)/SUMIFS('Comp2016-2017 (3)'!$G$5:$G$289,'Comp2016-2017 (3)'!$A$5:$A$289,$D928,'Comp2016-2017 (3)'!$R$5:$R$289,$V928)*$AB928))</f>
        <v/>
      </c>
      <c r="AF928" s="2" t="str">
        <f>IF($W928=AF$3,$AB928,IF(NOT($W928=0),"",SUMIFS('Val-Vol (2)'!AF$4:AF$1116,'Val-Vol (2)'!$A$4:$A$1116,$D928,'Val-Vol (2)'!$V$4:$V$1116,$V928)/SUMIFS('Comp2016-2017 (3)'!$G$5:$G$289,'Comp2016-2017 (3)'!$A$5:$A$289,$D928,'Comp2016-2017 (3)'!$R$5:$R$289,$V928)*$AB928))</f>
        <v/>
      </c>
      <c r="AG928" s="2" t="str">
        <f>IF($W928=AG$3,$AB928,IF(NOT($W928=0),"",SUMIFS('Val-Vol (2)'!AG$4:AG$1116,'Val-Vol (2)'!$A$4:$A$1116,$D928,'Val-Vol (2)'!$V$4:$V$1116,$V928)/SUMIFS('Comp2016-2017 (3)'!$G$5:$G$289,'Comp2016-2017 (3)'!$A$5:$A$289,$D928,'Comp2016-2017 (3)'!$R$5:$R$289,$V928)*$AB928))</f>
        <v/>
      </c>
      <c r="AH928" s="2" t="str">
        <f>IF($W928=AH$3,$AB928,IF(NOT($W928=0),"",SUMIFS('Val-Vol (2)'!AH$4:AH$1116,'Val-Vol (2)'!$A$4:$A$1116,$D928,'Val-Vol (2)'!$V$4:$V$1116,$V928)/SUMIFS('Comp2016-2017 (3)'!$G$5:$G$289,'Comp2016-2017 (3)'!$A$5:$A$289,$D928,'Comp2016-2017 (3)'!$R$5:$R$289,$V928)*$AB928))</f>
        <v/>
      </c>
      <c r="AI928" s="2" t="str">
        <f>IF($W928=AI$3,$AB928,IF(NOT($W928=0),"",SUMIFS('Val-Vol (2)'!AI$4:AI$1116,'Val-Vol (2)'!$A$4:$A$1116,$D928,'Val-Vol (2)'!$V$4:$V$1116,$V928)/SUMIFS('Comp2016-2017 (3)'!$G$5:$G$289,'Comp2016-2017 (3)'!$A$5:$A$289,$D928,'Comp2016-2017 (3)'!$R$5:$R$289,$V928)*$AB928))</f>
        <v/>
      </c>
      <c r="AJ928" s="2" t="str">
        <f>IF($W928=AJ$3,$AB928,IF(NOT($W928=0),"",SUMIFS('Val-Vol (2)'!AJ$4:AJ$1116,'Val-Vol (2)'!$A$4:$A$1116,$D928,'Val-Vol (2)'!$V$4:$V$1116,$V928)/SUMIFS('Comp2016-2017 (3)'!$G$5:$G$289,'Comp2016-2017 (3)'!$A$5:$A$289,$D928,'Comp2016-2017 (3)'!$R$5:$R$289,$V928)*$AB928))</f>
        <v/>
      </c>
      <c r="AK928" s="2">
        <f t="shared" si="101"/>
        <v>0</v>
      </c>
      <c r="AL928" t="str">
        <f t="shared" si="105"/>
        <v/>
      </c>
      <c r="AM928" t="str">
        <f>VLOOKUP(A928,'Table corresp.'!$M$4:$U$63,8,FALSE)</f>
        <v>Produits connexes du sciage</v>
      </c>
      <c r="AN928" t="str">
        <f>VLOOKUP(D928,'Table corresp.'!$M$4:$U$63,9,FALSE)</f>
        <v>Exportation</v>
      </c>
    </row>
    <row r="929" spans="1:40" x14ac:dyDescent="0.25">
      <c r="A929" t="s">
        <v>12</v>
      </c>
      <c r="B929" t="str">
        <f>VLOOKUP(LEFT(A929,3),'Table corresp.'!$A$4:$D$63,3,FALSE)</f>
        <v>Produits connexes du sciage</v>
      </c>
      <c r="C929" t="str">
        <f>VLOOKUP(A929,'Table corresp.'!$M$4:$P$63,4,FALSE)</f>
        <v>Production et transformation de produits bois</v>
      </c>
      <c r="D929" t="s">
        <v>86</v>
      </c>
      <c r="E929" t="str">
        <f>VLOOKUP(LEFT(D929,3),'Table corresp.'!$A$4:$D$63,4,FALSE)</f>
        <v>Transformation</v>
      </c>
      <c r="F929" t="str">
        <f t="shared" si="102"/>
        <v xml:space="preserve">19  - 30 </v>
      </c>
      <c r="G929" s="164">
        <v>72925.584411581571</v>
      </c>
      <c r="H929" s="164">
        <v>15077.479953420687</v>
      </c>
      <c r="I929" s="164">
        <v>88003.064365002341</v>
      </c>
      <c r="J929" s="164">
        <v>0</v>
      </c>
      <c r="K929" s="164">
        <v>0</v>
      </c>
      <c r="L929" s="164">
        <v>0</v>
      </c>
      <c r="M929" s="164">
        <v>0</v>
      </c>
      <c r="N929" s="164">
        <v>0</v>
      </c>
      <c r="O929" s="164">
        <v>0</v>
      </c>
      <c r="P929" s="164">
        <v>2497.8477494340264</v>
      </c>
      <c r="Q929" s="164">
        <v>194.99693523230215</v>
      </c>
      <c r="R929" s="164">
        <v>2692.8446846663287</v>
      </c>
      <c r="S929" s="163" t="str">
        <f t="shared" si="103"/>
        <v>BE</v>
      </c>
      <c r="T929" s="163">
        <f>VLOOKUP(A929,'Groupe de branches'!$Z$27:$AM$86,14,FALSE)</f>
        <v>0</v>
      </c>
      <c r="U929" s="163">
        <f>VLOOKUP(D929,'Groupe de branches'!$Z$27:$AM$86,14,FALSE)</f>
        <v>1</v>
      </c>
      <c r="V929" s="163">
        <v>2018</v>
      </c>
      <c r="W929" t="str">
        <f>VLOOKUP(D929,'Table corresp.'!$M$4:$S$63,7,FALSE)</f>
        <v>Energie</v>
      </c>
      <c r="X929" s="167">
        <f>IFERROR(G929/SUMIFS('Comp2016-2017 (3)'!$I$5:$I$289,'Comp2016-2017 (3)'!$A$5:$A$289,A929,'Comp2016-2017 (3)'!$R$5:$R$289,V929),0)</f>
        <v>0.44625034557938237</v>
      </c>
      <c r="Y929" s="178">
        <f>IFERROR(IF(RIGHT(F929,3)="Exp",VLOOKUP(F929,#REF!,2,FALSE),VLOOKUP(F929,#REF!,9,FALSE)),1)</f>
        <v>1</v>
      </c>
      <c r="Z929" s="167">
        <f t="shared" si="107"/>
        <v>0.25</v>
      </c>
      <c r="AA929" s="189">
        <f t="shared" si="106"/>
        <v>0.11156258639484559</v>
      </c>
      <c r="AB929" s="2">
        <f>IFERROR(SUMIFS('Comp2016-2017 (3)'!$G$5:$G$289,'Comp2016-2017 (3)'!$A$5:$A$289,A929,'Comp2016-2017 (3)'!$R$5:$R$289,V929)*AA929/SUMIFS($AA$4:$AA$1116,$A$4:$A$1116,A929,$V$4:$V$1116,V929),0)</f>
        <v>72925.584543799981</v>
      </c>
      <c r="AC929" s="2" t="str">
        <f>IF($W929=AC$3,$AB929,IF(NOT($W929=0),"",SUMIFS('Val-Vol (2)'!AC$4:AC$1116,'Val-Vol (2)'!$A$4:$A$1116,$D929,'Val-Vol (2)'!$V$4:$V$1116,$V929)/SUMIFS('Comp2016-2017 (3)'!$G$5:$G$289,'Comp2016-2017 (3)'!$A$5:$A$289,$D929,'Comp2016-2017 (3)'!$R$5:$R$289,$V929)*$AB929))</f>
        <v/>
      </c>
      <c r="AD929" s="2" t="str">
        <f>IF($W929=AD$3,$AB929,IF(NOT($W929=0),"",SUMIFS('Val-Vol (2)'!AD$4:AD$1116,'Val-Vol (2)'!$A$4:$A$1116,$D929,'Val-Vol (2)'!$V$4:$V$1116,$V929)/SUMIFS('Comp2016-2017 (3)'!$G$5:$G$289,'Comp2016-2017 (3)'!$A$5:$A$289,$D929,'Comp2016-2017 (3)'!$R$5:$R$289,$V929)*$AB929))</f>
        <v/>
      </c>
      <c r="AE929" s="2" t="str">
        <f>IF($W929=AE$3,$AB929,IF(NOT($W929=0),"",SUMIFS('Val-Vol (2)'!AE$4:AE$1116,'Val-Vol (2)'!$A$4:$A$1116,$D929,'Val-Vol (2)'!$V$4:$V$1116,$V929)/SUMIFS('Comp2016-2017 (3)'!$G$5:$G$289,'Comp2016-2017 (3)'!$A$5:$A$289,$D929,'Comp2016-2017 (3)'!$R$5:$R$289,$V929)*$AB929))</f>
        <v/>
      </c>
      <c r="AF929" s="2" t="str">
        <f>IF($W929=AF$3,$AB929,IF(NOT($W929=0),"",SUMIFS('Val-Vol (2)'!AF$4:AF$1116,'Val-Vol (2)'!$A$4:$A$1116,$D929,'Val-Vol (2)'!$V$4:$V$1116,$V929)/SUMIFS('Comp2016-2017 (3)'!$G$5:$G$289,'Comp2016-2017 (3)'!$A$5:$A$289,$D929,'Comp2016-2017 (3)'!$R$5:$R$289,$V929)*$AB929))</f>
        <v/>
      </c>
      <c r="AG929" s="2" t="str">
        <f>IF($W929=AG$3,$AB929,IF(NOT($W929=0),"",SUMIFS('Val-Vol (2)'!AG$4:AG$1116,'Val-Vol (2)'!$A$4:$A$1116,$D929,'Val-Vol (2)'!$V$4:$V$1116,$V929)/SUMIFS('Comp2016-2017 (3)'!$G$5:$G$289,'Comp2016-2017 (3)'!$A$5:$A$289,$D929,'Comp2016-2017 (3)'!$R$5:$R$289,$V929)*$AB929))</f>
        <v/>
      </c>
      <c r="AH929" s="2">
        <f>IF($W929=AH$3,$AB929,IF(NOT($W929=0),"",SUMIFS('Val-Vol (2)'!AH$4:AH$1116,'Val-Vol (2)'!$A$4:$A$1116,$D929,'Val-Vol (2)'!$V$4:$V$1116,$V929)/SUMIFS('Comp2016-2017 (3)'!$G$5:$G$289,'Comp2016-2017 (3)'!$A$5:$A$289,$D929,'Comp2016-2017 (3)'!$R$5:$R$289,$V929)*$AB929))</f>
        <v>72925.584543799981</v>
      </c>
      <c r="AI929" s="2" t="str">
        <f>IF($W929=AI$3,$AB929,IF(NOT($W929=0),"",SUMIFS('Val-Vol (2)'!AI$4:AI$1116,'Val-Vol (2)'!$A$4:$A$1116,$D929,'Val-Vol (2)'!$V$4:$V$1116,$V929)/SUMIFS('Comp2016-2017 (3)'!$G$5:$G$289,'Comp2016-2017 (3)'!$A$5:$A$289,$D929,'Comp2016-2017 (3)'!$R$5:$R$289,$V929)*$AB929))</f>
        <v/>
      </c>
      <c r="AJ929" s="2" t="str">
        <f>IF($W929=AJ$3,$AB929,IF(NOT($W929=0),"",SUMIFS('Val-Vol (2)'!AJ$4:AJ$1116,'Val-Vol (2)'!$A$4:$A$1116,$D929,'Val-Vol (2)'!$V$4:$V$1116,$V929)/SUMIFS('Comp2016-2017 (3)'!$G$5:$G$289,'Comp2016-2017 (3)'!$A$5:$A$289,$D929,'Comp2016-2017 (3)'!$R$5:$R$289,$V929)*$AB929))</f>
        <v/>
      </c>
      <c r="AK929" s="2">
        <f t="shared" ref="AK929:AK963" si="108">SUM(AC929:AJ929)-AB929</f>
        <v>0</v>
      </c>
      <c r="AL929" t="str">
        <f t="shared" si="105"/>
        <v/>
      </c>
      <c r="AM929" t="str">
        <f>VLOOKUP(A929,'Table corresp.'!$M$4:$U$63,8,FALSE)</f>
        <v>Produits connexes du sciage</v>
      </c>
      <c r="AN929" t="str">
        <f>VLOOKUP(D929,'Table corresp.'!$M$4:$U$63,9,FALSE)</f>
        <v>Production intermédiaire</v>
      </c>
    </row>
    <row r="930" spans="1:40" x14ac:dyDescent="0.25">
      <c r="A930" t="s">
        <v>12</v>
      </c>
      <c r="B930" t="str">
        <f>VLOOKUP(LEFT(A930,3),'Table corresp.'!$A$4:$D$63,3,FALSE)</f>
        <v>Produits connexes du sciage</v>
      </c>
      <c r="C930" t="str">
        <f>VLOOKUP(A930,'Table corresp.'!$M$4:$P$63,4,FALSE)</f>
        <v>Production et transformation de produits bois</v>
      </c>
      <c r="D930" t="s">
        <v>101</v>
      </c>
      <c r="E930" t="str">
        <f>VLOOKUP(LEFT(D930,3),'Table corresp.'!$A$4:$D$63,4,FALSE)</f>
        <v>Transformation</v>
      </c>
      <c r="F930" t="str">
        <f t="shared" si="102"/>
        <v xml:space="preserve">19  - 49 </v>
      </c>
      <c r="G930" s="164">
        <v>22392.640371967977</v>
      </c>
      <c r="H930" s="164">
        <v>38604.894830110861</v>
      </c>
      <c r="I930" s="164">
        <v>60997.535202078616</v>
      </c>
      <c r="J930" s="164">
        <v>0</v>
      </c>
      <c r="K930" s="164">
        <v>0</v>
      </c>
      <c r="L930" s="164">
        <v>0</v>
      </c>
      <c r="M930" s="164">
        <v>0</v>
      </c>
      <c r="N930" s="164">
        <v>0</v>
      </c>
      <c r="O930" s="164">
        <v>0</v>
      </c>
      <c r="P930" s="164">
        <v>892.26842111736948</v>
      </c>
      <c r="Q930" s="164">
        <v>499.2768154952243</v>
      </c>
      <c r="R930" s="164">
        <v>1391.5452366125937</v>
      </c>
      <c r="S930" s="163" t="str">
        <f t="shared" si="103"/>
        <v>BE</v>
      </c>
      <c r="T930" s="163">
        <f>VLOOKUP(A930,'Groupe de branches'!$Z$27:$AM$86,14,FALSE)</f>
        <v>0</v>
      </c>
      <c r="U930" s="163">
        <f>VLOOKUP(D930,'Groupe de branches'!$Z$27:$AM$86,14,FALSE)</f>
        <v>1</v>
      </c>
      <c r="V930" s="163">
        <v>2018</v>
      </c>
      <c r="W930" t="str">
        <f>VLOOKUP(D930,'Table corresp.'!$M$4:$S$63,7,FALSE)</f>
        <v>Energie</v>
      </c>
      <c r="X930" s="167">
        <f>IFERROR(G930/SUMIFS('Comp2016-2017 (3)'!$I$5:$I$289,'Comp2016-2017 (3)'!$A$5:$A$289,A930,'Comp2016-2017 (3)'!$R$5:$R$289,V930),0)</f>
        <v>0.13702630681748174</v>
      </c>
      <c r="Y930" s="178">
        <f>IFERROR(IF(RIGHT(F930,3)="Exp",VLOOKUP(F930,#REF!,2,FALSE),VLOOKUP(F930,#REF!,9,FALSE)),1)</f>
        <v>1</v>
      </c>
      <c r="Z930" s="167">
        <f t="shared" si="107"/>
        <v>0.25</v>
      </c>
      <c r="AA930" s="189">
        <f t="shared" si="106"/>
        <v>3.4256576704370434E-2</v>
      </c>
      <c r="AB930" s="2">
        <f>IFERROR(SUMIFS('Comp2016-2017 (3)'!$G$5:$G$289,'Comp2016-2017 (3)'!$A$5:$A$289,A930,'Comp2016-2017 (3)'!$R$5:$R$289,V930)*AA930/SUMIFS($AA$4:$AA$1116,$A$4:$A$1116,A930,$V$4:$V$1116,V930),0)</f>
        <v>22392.640412567162</v>
      </c>
      <c r="AC930" s="2" t="str">
        <f>IF($W930=AC$3,$AB930,IF(NOT($W930=0),"",SUMIFS('Val-Vol (2)'!AC$4:AC$1116,'Val-Vol (2)'!$A$4:$A$1116,$D930,'Val-Vol (2)'!$V$4:$V$1116,$V930)/SUMIFS('Comp2016-2017 (3)'!$G$5:$G$289,'Comp2016-2017 (3)'!$A$5:$A$289,$D930,'Comp2016-2017 (3)'!$R$5:$R$289,$V930)*$AB930))</f>
        <v/>
      </c>
      <c r="AD930" s="2" t="str">
        <f>IF($W930=AD$3,$AB930,IF(NOT($W930=0),"",SUMIFS('Val-Vol (2)'!AD$4:AD$1116,'Val-Vol (2)'!$A$4:$A$1116,$D930,'Val-Vol (2)'!$V$4:$V$1116,$V930)/SUMIFS('Comp2016-2017 (3)'!$G$5:$G$289,'Comp2016-2017 (3)'!$A$5:$A$289,$D930,'Comp2016-2017 (3)'!$R$5:$R$289,$V930)*$AB930))</f>
        <v/>
      </c>
      <c r="AE930" s="2" t="str">
        <f>IF($W930=AE$3,$AB930,IF(NOT($W930=0),"",SUMIFS('Val-Vol (2)'!AE$4:AE$1116,'Val-Vol (2)'!$A$4:$A$1116,$D930,'Val-Vol (2)'!$V$4:$V$1116,$V930)/SUMIFS('Comp2016-2017 (3)'!$G$5:$G$289,'Comp2016-2017 (3)'!$A$5:$A$289,$D930,'Comp2016-2017 (3)'!$R$5:$R$289,$V930)*$AB930))</f>
        <v/>
      </c>
      <c r="AF930" s="2" t="str">
        <f>IF($W930=AF$3,$AB930,IF(NOT($W930=0),"",SUMIFS('Val-Vol (2)'!AF$4:AF$1116,'Val-Vol (2)'!$A$4:$A$1116,$D930,'Val-Vol (2)'!$V$4:$V$1116,$V930)/SUMIFS('Comp2016-2017 (3)'!$G$5:$G$289,'Comp2016-2017 (3)'!$A$5:$A$289,$D930,'Comp2016-2017 (3)'!$R$5:$R$289,$V930)*$AB930))</f>
        <v/>
      </c>
      <c r="AG930" s="2" t="str">
        <f>IF($W930=AG$3,$AB930,IF(NOT($W930=0),"",SUMIFS('Val-Vol (2)'!AG$4:AG$1116,'Val-Vol (2)'!$A$4:$A$1116,$D930,'Val-Vol (2)'!$V$4:$V$1116,$V930)/SUMIFS('Comp2016-2017 (3)'!$G$5:$G$289,'Comp2016-2017 (3)'!$A$5:$A$289,$D930,'Comp2016-2017 (3)'!$R$5:$R$289,$V930)*$AB930))</f>
        <v/>
      </c>
      <c r="AH930" s="2">
        <f>IF($W930=AH$3,$AB930,IF(NOT($W930=0),"",SUMIFS('Val-Vol (2)'!AH$4:AH$1116,'Val-Vol (2)'!$A$4:$A$1116,$D930,'Val-Vol (2)'!$V$4:$V$1116,$V930)/SUMIFS('Comp2016-2017 (3)'!$G$5:$G$289,'Comp2016-2017 (3)'!$A$5:$A$289,$D930,'Comp2016-2017 (3)'!$R$5:$R$289,$V930)*$AB930))</f>
        <v>22392.640412567162</v>
      </c>
      <c r="AI930" s="2" t="str">
        <f>IF($W930=AI$3,$AB930,IF(NOT($W930=0),"",SUMIFS('Val-Vol (2)'!AI$4:AI$1116,'Val-Vol (2)'!$A$4:$A$1116,$D930,'Val-Vol (2)'!$V$4:$V$1116,$V930)/SUMIFS('Comp2016-2017 (3)'!$G$5:$G$289,'Comp2016-2017 (3)'!$A$5:$A$289,$D930,'Comp2016-2017 (3)'!$R$5:$R$289,$V930)*$AB930))</f>
        <v/>
      </c>
      <c r="AJ930" s="2" t="str">
        <f>IF($W930=AJ$3,$AB930,IF(NOT($W930=0),"",SUMIFS('Val-Vol (2)'!AJ$4:AJ$1116,'Val-Vol (2)'!$A$4:$A$1116,$D930,'Val-Vol (2)'!$V$4:$V$1116,$V930)/SUMIFS('Comp2016-2017 (3)'!$G$5:$G$289,'Comp2016-2017 (3)'!$A$5:$A$289,$D930,'Comp2016-2017 (3)'!$R$5:$R$289,$V930)*$AB930))</f>
        <v/>
      </c>
      <c r="AK930" s="2">
        <f t="shared" si="108"/>
        <v>0</v>
      </c>
      <c r="AL930" t="str">
        <f t="shared" si="105"/>
        <v/>
      </c>
      <c r="AM930" t="str">
        <f>VLOOKUP(A930,'Table corresp.'!$M$4:$U$63,8,FALSE)</f>
        <v>Produits connexes du sciage</v>
      </c>
      <c r="AN930" t="str">
        <f>VLOOKUP(D930,'Table corresp.'!$M$4:$U$63,9,FALSE)</f>
        <v>Production finale</v>
      </c>
    </row>
    <row r="931" spans="1:40" x14ac:dyDescent="0.25">
      <c r="A931" t="s">
        <v>12</v>
      </c>
      <c r="B931" t="str">
        <f>VLOOKUP(LEFT(A931,3),'Table corresp.'!$A$4:$D$63,3,FALSE)</f>
        <v>Produits connexes du sciage</v>
      </c>
      <c r="C931" t="str">
        <f>VLOOKUP(A931,'Table corresp.'!$M$4:$P$63,4,FALSE)</f>
        <v>Production et transformation de produits bois</v>
      </c>
      <c r="D931" t="s">
        <v>54</v>
      </c>
      <c r="E931" t="str">
        <f>VLOOKUP(LEFT(D931,3),'Table corresp.'!$A$4:$D$63,4,FALSE)</f>
        <v>Consommation finale</v>
      </c>
      <c r="F931" t="str">
        <f t="shared" si="102"/>
        <v>19  - Con</v>
      </c>
      <c r="G931" s="164">
        <v>19673.60292016303</v>
      </c>
      <c r="H931" s="164">
        <v>17293.342216468453</v>
      </c>
      <c r="I931" s="164">
        <v>36966.94513663141</v>
      </c>
      <c r="J931" s="164">
        <v>0</v>
      </c>
      <c r="K931" s="164">
        <v>0</v>
      </c>
      <c r="L931" s="164">
        <v>0</v>
      </c>
      <c r="M931" s="164">
        <v>0</v>
      </c>
      <c r="N931" s="164">
        <v>0</v>
      </c>
      <c r="O931" s="164">
        <v>0</v>
      </c>
      <c r="P931" s="164">
        <v>783.92428600063249</v>
      </c>
      <c r="Q931" s="164">
        <v>223.65466527247364</v>
      </c>
      <c r="R931" s="164">
        <v>1007.5789512731061</v>
      </c>
      <c r="S931" s="163" t="str">
        <f t="shared" si="103"/>
        <v>BE</v>
      </c>
      <c r="T931" s="163">
        <f>VLOOKUP(A931,'Groupe de branches'!$Z$27:$AM$86,14,FALSE)</f>
        <v>0</v>
      </c>
      <c r="U931" s="163">
        <f>VLOOKUP(D931,'Groupe de branches'!$Z$27:$AM$86,14,FALSE)</f>
        <v>0</v>
      </c>
      <c r="V931" s="163">
        <v>2018</v>
      </c>
      <c r="W931" t="str">
        <f>VLOOKUP(D931,'Table corresp.'!$M$4:$S$63,7,FALSE)</f>
        <v>Consommation finale</v>
      </c>
      <c r="X931" s="167">
        <f>IFERROR(G931/SUMIFS('Comp2016-2017 (3)'!$I$5:$I$289,'Comp2016-2017 (3)'!$A$5:$A$289,A931,'Comp2016-2017 (3)'!$R$5:$R$289,V931),0)</f>
        <v>0.12038781962123046</v>
      </c>
      <c r="Y931" s="178">
        <f>IFERROR(IF(RIGHT(F931,3)="Exp",VLOOKUP(F931,#REF!,2,FALSE),VLOOKUP(F931,#REF!,9,FALSE)),1)</f>
        <v>1</v>
      </c>
      <c r="Z931" s="167">
        <f t="shared" si="107"/>
        <v>0.25</v>
      </c>
      <c r="AA931" s="189">
        <f t="shared" si="106"/>
        <v>3.0096954905307616E-2</v>
      </c>
      <c r="AB931" s="2">
        <f>IFERROR(SUMIFS('Comp2016-2017 (3)'!$G$5:$G$289,'Comp2016-2017 (3)'!$A$5:$A$289,A931,'Comp2016-2017 (3)'!$R$5:$R$289,V931)*AA931/SUMIFS($AA$4:$AA$1116,$A$4:$A$1116,A931,$V$4:$V$1116,V931),0)</f>
        <v>19673.602955832441</v>
      </c>
      <c r="AC931" s="2" t="str">
        <f>IF($W931=AC$3,$AB931,IF(NOT($W931=0),"",SUMIFS('Val-Vol (2)'!AC$4:AC$1116,'Val-Vol (2)'!$A$4:$A$1116,$D931,'Val-Vol (2)'!$V$4:$V$1116,$V931)/SUMIFS('Comp2016-2017 (3)'!$G$5:$G$289,'Comp2016-2017 (3)'!$A$5:$A$289,$D931,'Comp2016-2017 (3)'!$R$5:$R$289,$V931)*$AB931))</f>
        <v/>
      </c>
      <c r="AD931" s="2" t="str">
        <f>IF($W931=AD$3,$AB931,IF(NOT($W931=0),"",SUMIFS('Val-Vol (2)'!AD$4:AD$1116,'Val-Vol (2)'!$A$4:$A$1116,$D931,'Val-Vol (2)'!$V$4:$V$1116,$V931)/SUMIFS('Comp2016-2017 (3)'!$G$5:$G$289,'Comp2016-2017 (3)'!$A$5:$A$289,$D931,'Comp2016-2017 (3)'!$R$5:$R$289,$V931)*$AB931))</f>
        <v/>
      </c>
      <c r="AE931" s="2" t="str">
        <f>IF($W931=AE$3,$AB931,IF(NOT($W931=0),"",SUMIFS('Val-Vol (2)'!AE$4:AE$1116,'Val-Vol (2)'!$A$4:$A$1116,$D931,'Val-Vol (2)'!$V$4:$V$1116,$V931)/SUMIFS('Comp2016-2017 (3)'!$G$5:$G$289,'Comp2016-2017 (3)'!$A$5:$A$289,$D931,'Comp2016-2017 (3)'!$R$5:$R$289,$V931)*$AB931))</f>
        <v/>
      </c>
      <c r="AF931" s="2" t="str">
        <f>IF($W931=AF$3,$AB931,IF(NOT($W931=0),"",SUMIFS('Val-Vol (2)'!AF$4:AF$1116,'Val-Vol (2)'!$A$4:$A$1116,$D931,'Val-Vol (2)'!$V$4:$V$1116,$V931)/SUMIFS('Comp2016-2017 (3)'!$G$5:$G$289,'Comp2016-2017 (3)'!$A$5:$A$289,$D931,'Comp2016-2017 (3)'!$R$5:$R$289,$V931)*$AB931))</f>
        <v/>
      </c>
      <c r="AG931" s="2" t="str">
        <f>IF($W931=AG$3,$AB931,IF(NOT($W931=0),"",SUMIFS('Val-Vol (2)'!AG$4:AG$1116,'Val-Vol (2)'!$A$4:$A$1116,$D931,'Val-Vol (2)'!$V$4:$V$1116,$V931)/SUMIFS('Comp2016-2017 (3)'!$G$5:$G$289,'Comp2016-2017 (3)'!$A$5:$A$289,$D931,'Comp2016-2017 (3)'!$R$5:$R$289,$V931)*$AB931))</f>
        <v/>
      </c>
      <c r="AH931" s="2" t="str">
        <f>IF($W931=AH$3,$AB931,IF(NOT($W931=0),"",SUMIFS('Val-Vol (2)'!AH$4:AH$1116,'Val-Vol (2)'!$A$4:$A$1116,$D931,'Val-Vol (2)'!$V$4:$V$1116,$V931)/SUMIFS('Comp2016-2017 (3)'!$G$5:$G$289,'Comp2016-2017 (3)'!$A$5:$A$289,$D931,'Comp2016-2017 (3)'!$R$5:$R$289,$V931)*$AB931))</f>
        <v/>
      </c>
      <c r="AI931" s="2" t="str">
        <f>IF($W931=AI$3,$AB931,IF(NOT($W931=0),"",SUMIFS('Val-Vol (2)'!AI$4:AI$1116,'Val-Vol (2)'!$A$4:$A$1116,$D931,'Val-Vol (2)'!$V$4:$V$1116,$V931)/SUMIFS('Comp2016-2017 (3)'!$G$5:$G$289,'Comp2016-2017 (3)'!$A$5:$A$289,$D931,'Comp2016-2017 (3)'!$R$5:$R$289,$V931)*$AB931))</f>
        <v/>
      </c>
      <c r="AJ931" s="2">
        <f>IF($W931=AJ$3,$AB931,IF(NOT($W931=0),"",SUMIFS('Val-Vol (2)'!AJ$4:AJ$1116,'Val-Vol (2)'!$A$4:$A$1116,$D931,'Val-Vol (2)'!$V$4:$V$1116,$V931)/SUMIFS('Comp2016-2017 (3)'!$G$5:$G$289,'Comp2016-2017 (3)'!$A$5:$A$289,$D931,'Comp2016-2017 (3)'!$R$5:$R$289,$V931)*$AB931))</f>
        <v>19673.602955832441</v>
      </c>
      <c r="AK931" s="2">
        <f t="shared" si="108"/>
        <v>0</v>
      </c>
      <c r="AL931" t="str">
        <f t="shared" si="105"/>
        <v/>
      </c>
      <c r="AM931" t="str">
        <f>VLOOKUP(A931,'Table corresp.'!$M$4:$U$63,8,FALSE)</f>
        <v>Produits connexes du sciage</v>
      </c>
      <c r="AN931" t="str">
        <f>VLOOKUP(D931,'Table corresp.'!$M$4:$U$63,9,FALSE)</f>
        <v>Consommation finale française</v>
      </c>
    </row>
    <row r="932" spans="1:40" x14ac:dyDescent="0.25">
      <c r="A932" t="s">
        <v>12</v>
      </c>
      <c r="B932" t="str">
        <f>VLOOKUP(LEFT(A932,3),'Table corresp.'!$A$4:$D$63,3,FALSE)</f>
        <v>Produits connexes du sciage</v>
      </c>
      <c r="C932" t="str">
        <f>VLOOKUP(A932,'Table corresp.'!$M$4:$P$63,4,FALSE)</f>
        <v>Production et transformation de produits bois</v>
      </c>
      <c r="D932" t="s">
        <v>53</v>
      </c>
      <c r="E932" t="str">
        <f>VLOOKUP(LEFT(D932,3),'Table corresp.'!$A$4:$D$63,4,FALSE)</f>
        <v>Exportation</v>
      </c>
      <c r="F932" t="str">
        <f t="shared" si="102"/>
        <v>19  - Exp</v>
      </c>
      <c r="G932" s="164">
        <v>48426.721999999878</v>
      </c>
      <c r="H932" s="164">
        <v>0</v>
      </c>
      <c r="I932" s="164">
        <v>48426.721999999994</v>
      </c>
      <c r="J932" s="164">
        <v>0</v>
      </c>
      <c r="K932" s="164">
        <v>0</v>
      </c>
      <c r="L932" s="164">
        <v>0</v>
      </c>
      <c r="M932" s="164">
        <v>0</v>
      </c>
      <c r="N932" s="164">
        <v>0</v>
      </c>
      <c r="O932" s="164">
        <v>0</v>
      </c>
      <c r="P932" s="164">
        <v>583.95954344797053</v>
      </c>
      <c r="Q932" s="164">
        <v>0</v>
      </c>
      <c r="R932" s="164">
        <v>583.95954344797053</v>
      </c>
      <c r="S932" s="163" t="str">
        <f t="shared" si="103"/>
        <v>BE</v>
      </c>
      <c r="T932" s="163">
        <f>VLOOKUP(A932,'Groupe de branches'!$Z$27:$AM$86,14,FALSE)</f>
        <v>0</v>
      </c>
      <c r="U932" s="163">
        <f>VLOOKUP(D932,'Groupe de branches'!$Z$27:$AM$86,14,FALSE)</f>
        <v>0</v>
      </c>
      <c r="V932" s="163">
        <v>2018</v>
      </c>
      <c r="W932" t="str">
        <f>VLOOKUP(D932,'Table corresp.'!$M$4:$S$63,7,FALSE)</f>
        <v>Exportation</v>
      </c>
      <c r="X932" s="167">
        <f>IFERROR(G932/SUMIFS('Comp2016-2017 (3)'!$I$5:$I$289,'Comp2016-2017 (3)'!$A$5:$A$289,A932,'Comp2016-2017 (3)'!$R$5:$R$289,V932),0)</f>
        <v>0.29633552616884606</v>
      </c>
      <c r="Y932" s="178">
        <f>IFERROR(IF(RIGHT(F932,3)="Exp",VLOOKUP(F932,#REF!,2,FALSE),VLOOKUP(F932,#REF!,9,FALSE)),1)</f>
        <v>1</v>
      </c>
      <c r="Z932" s="167">
        <f t="shared" si="107"/>
        <v>0.25</v>
      </c>
      <c r="AA932" s="189">
        <f t="shared" si="106"/>
        <v>7.4083881542211516E-2</v>
      </c>
      <c r="AB932" s="2">
        <f>IFERROR(SUMIFS('Comp2016-2017 (3)'!$G$5:$G$289,'Comp2016-2017 (3)'!$A$5:$A$289,A932,'Comp2016-2017 (3)'!$R$5:$R$289,V932)*AA932/SUMIFS($AA$4:$AA$1116,$A$4:$A$1116,A932,$V$4:$V$1116,V932),0)</f>
        <v>48426.722087800401</v>
      </c>
      <c r="AC932" s="2">
        <f>IF($W932=AC$3,$AB932,IF(NOT($W932=0),"",SUMIFS('Val-Vol (2)'!AC$4:AC$1116,'Val-Vol (2)'!$A$4:$A$1116,$D932,'Val-Vol (2)'!$V$4:$V$1116,$V932)/SUMIFS('Comp2016-2017 (3)'!$G$5:$G$289,'Comp2016-2017 (3)'!$A$5:$A$289,$D932,'Comp2016-2017 (3)'!$R$5:$R$289,$V932)*$AB932))</f>
        <v>48426.722087800401</v>
      </c>
      <c r="AD932" s="2" t="str">
        <f>IF($W932=AD$3,$AB932,IF(NOT($W932=0),"",SUMIFS('Val-Vol (2)'!AD$4:AD$1116,'Val-Vol (2)'!$A$4:$A$1116,$D932,'Val-Vol (2)'!$V$4:$V$1116,$V932)/SUMIFS('Comp2016-2017 (3)'!$G$5:$G$289,'Comp2016-2017 (3)'!$A$5:$A$289,$D932,'Comp2016-2017 (3)'!$R$5:$R$289,$V932)*$AB932))</f>
        <v/>
      </c>
      <c r="AE932" s="2" t="str">
        <f>IF($W932=AE$3,$AB932,IF(NOT($W932=0),"",SUMIFS('Val-Vol (2)'!AE$4:AE$1116,'Val-Vol (2)'!$A$4:$A$1116,$D932,'Val-Vol (2)'!$V$4:$V$1116,$V932)/SUMIFS('Comp2016-2017 (3)'!$G$5:$G$289,'Comp2016-2017 (3)'!$A$5:$A$289,$D932,'Comp2016-2017 (3)'!$R$5:$R$289,$V932)*$AB932))</f>
        <v/>
      </c>
      <c r="AF932" s="2" t="str">
        <f>IF($W932=AF$3,$AB932,IF(NOT($W932=0),"",SUMIFS('Val-Vol (2)'!AF$4:AF$1116,'Val-Vol (2)'!$A$4:$A$1116,$D932,'Val-Vol (2)'!$V$4:$V$1116,$V932)/SUMIFS('Comp2016-2017 (3)'!$G$5:$G$289,'Comp2016-2017 (3)'!$A$5:$A$289,$D932,'Comp2016-2017 (3)'!$R$5:$R$289,$V932)*$AB932))</f>
        <v/>
      </c>
      <c r="AG932" s="2" t="str">
        <f>IF($W932=AG$3,$AB932,IF(NOT($W932=0),"",SUMIFS('Val-Vol (2)'!AG$4:AG$1116,'Val-Vol (2)'!$A$4:$A$1116,$D932,'Val-Vol (2)'!$V$4:$V$1116,$V932)/SUMIFS('Comp2016-2017 (3)'!$G$5:$G$289,'Comp2016-2017 (3)'!$A$5:$A$289,$D932,'Comp2016-2017 (3)'!$R$5:$R$289,$V932)*$AB932))</f>
        <v/>
      </c>
      <c r="AH932" s="2" t="str">
        <f>IF($W932=AH$3,$AB932,IF(NOT($W932=0),"",SUMIFS('Val-Vol (2)'!AH$4:AH$1116,'Val-Vol (2)'!$A$4:$A$1116,$D932,'Val-Vol (2)'!$V$4:$V$1116,$V932)/SUMIFS('Comp2016-2017 (3)'!$G$5:$G$289,'Comp2016-2017 (3)'!$A$5:$A$289,$D932,'Comp2016-2017 (3)'!$R$5:$R$289,$V932)*$AB932))</f>
        <v/>
      </c>
      <c r="AI932" s="2" t="str">
        <f>IF($W932=AI$3,$AB932,IF(NOT($W932=0),"",SUMIFS('Val-Vol (2)'!AI$4:AI$1116,'Val-Vol (2)'!$A$4:$A$1116,$D932,'Val-Vol (2)'!$V$4:$V$1116,$V932)/SUMIFS('Comp2016-2017 (3)'!$G$5:$G$289,'Comp2016-2017 (3)'!$A$5:$A$289,$D932,'Comp2016-2017 (3)'!$R$5:$R$289,$V932)*$AB932))</f>
        <v/>
      </c>
      <c r="AJ932" s="2" t="str">
        <f>IF($W932=AJ$3,$AB932,IF(NOT($W932=0),"",SUMIFS('Val-Vol (2)'!AJ$4:AJ$1116,'Val-Vol (2)'!$A$4:$A$1116,$D932,'Val-Vol (2)'!$V$4:$V$1116,$V932)/SUMIFS('Comp2016-2017 (3)'!$G$5:$G$289,'Comp2016-2017 (3)'!$A$5:$A$289,$D932,'Comp2016-2017 (3)'!$R$5:$R$289,$V932)*$AB932))</f>
        <v/>
      </c>
      <c r="AK932" s="2">
        <f t="shared" si="108"/>
        <v>0</v>
      </c>
      <c r="AL932" t="str">
        <f t="shared" si="105"/>
        <v/>
      </c>
      <c r="AM932" t="str">
        <f>VLOOKUP(A932,'Table corresp.'!$M$4:$U$63,8,FALSE)</f>
        <v>Produits connexes du sciage</v>
      </c>
      <c r="AN932" t="str">
        <f>VLOOKUP(D932,'Table corresp.'!$M$4:$U$63,9,FALSE)</f>
        <v>Exportation</v>
      </c>
    </row>
    <row r="933" spans="1:40" x14ac:dyDescent="0.25">
      <c r="A933" t="s">
        <v>13</v>
      </c>
      <c r="B933" t="str">
        <f>VLOOKUP(LEFT(A933,3),'Table corresp.'!$A$4:$D$63,3,FALSE)</f>
        <v>Transformation</v>
      </c>
      <c r="C933" t="str">
        <f>VLOOKUP(A933,'Table corresp.'!$M$4:$P$63,4,FALSE)</f>
        <v>Production et transformation de produits bois</v>
      </c>
      <c r="D933" t="s">
        <v>85</v>
      </c>
      <c r="E933" t="str">
        <f>VLOOKUP(LEFT(D933,3),'Table corresp.'!$A$4:$D$63,4,FALSE)</f>
        <v>Transformation</v>
      </c>
      <c r="F933" t="str">
        <f t="shared" si="102"/>
        <v xml:space="preserve">20  - 29 </v>
      </c>
      <c r="G933" s="164">
        <v>95963.949098512676</v>
      </c>
      <c r="H933" s="164">
        <v>33960.182976407741</v>
      </c>
      <c r="I933" s="164">
        <v>129924.13207492042</v>
      </c>
      <c r="J933" s="164">
        <v>545.13569622025602</v>
      </c>
      <c r="K933" s="164">
        <v>229.00244650954158</v>
      </c>
      <c r="L933" s="164">
        <v>774.13814272979766</v>
      </c>
      <c r="M933" s="164">
        <v>0</v>
      </c>
      <c r="N933" s="164">
        <v>0</v>
      </c>
      <c r="O933" s="164">
        <v>0</v>
      </c>
      <c r="P933" s="164">
        <v>0</v>
      </c>
      <c r="Q933" s="164">
        <v>0</v>
      </c>
      <c r="R933" s="164">
        <v>0</v>
      </c>
      <c r="S933" s="163" t="str">
        <f t="shared" si="103"/>
        <v/>
      </c>
      <c r="T933" s="163">
        <f>VLOOKUP(A933,'Groupe de branches'!$Z$27:$AM$86,14,FALSE)</f>
        <v>0</v>
      </c>
      <c r="U933" s="163">
        <f>VLOOKUP(D933,'Groupe de branches'!$Z$27:$AM$86,14,FALSE)</f>
        <v>0</v>
      </c>
      <c r="V933" s="163">
        <v>2018</v>
      </c>
      <c r="W933" t="str">
        <f>VLOOKUP(D933,'Table corresp.'!$M$4:$S$63,7,FALSE)</f>
        <v>Construction</v>
      </c>
      <c r="X933" s="167">
        <f>IFERROR(G933/SUMIFS('Comp2016-2017 (3)'!$I$5:$I$289,'Comp2016-2017 (3)'!$A$5:$A$289,A933,'Comp2016-2017 (3)'!$R$5:$R$289,V933),0)</f>
        <v>0.1382566618476033</v>
      </c>
      <c r="Y933" s="178">
        <f>IFERROR(IF(RIGHT(F933,3)="Exp",VLOOKUP(F933,#REF!,2,FALSE),VLOOKUP(F933,#REF!,9,FALSE)),1)</f>
        <v>1</v>
      </c>
      <c r="Z933" s="167">
        <f t="shared" si="107"/>
        <v>0.1</v>
      </c>
      <c r="AA933" s="189">
        <f t="shared" si="106"/>
        <v>1.3825666184760331E-2</v>
      </c>
      <c r="AB933" s="2">
        <f>IFERROR(SUMIFS('Comp2016-2017 (3)'!$G$5:$G$289,'Comp2016-2017 (3)'!$A$5:$A$289,A933,'Comp2016-2017 (3)'!$R$5:$R$289,V933)*AA933/SUMIFS($AA$4:$AA$1116,$A$4:$A$1116,A933,$V$4:$V$1116,V933),0)</f>
        <v>16638.277311303245</v>
      </c>
      <c r="AC933" s="2" t="str">
        <f>IF($W933=AC$3,$AB933,IF(NOT($W933=0),"",SUMIFS('Val-Vol (2)'!AC$4:AC$1116,'Val-Vol (2)'!$A$4:$A$1116,$D933,'Val-Vol (2)'!$V$4:$V$1116,$V933)/SUMIFS('Comp2016-2017 (3)'!$G$5:$G$289,'Comp2016-2017 (3)'!$A$5:$A$289,$D933,'Comp2016-2017 (3)'!$R$5:$R$289,$V933)*$AB933))</f>
        <v/>
      </c>
      <c r="AD933" s="2">
        <f>IF($W933=AD$3,$AB933,IF(NOT($W933=0),"",SUMIFS('Val-Vol (2)'!AD$4:AD$1116,'Val-Vol (2)'!$A$4:$A$1116,$D933,'Val-Vol (2)'!$V$4:$V$1116,$V933)/SUMIFS('Comp2016-2017 (3)'!$G$5:$G$289,'Comp2016-2017 (3)'!$A$5:$A$289,$D933,'Comp2016-2017 (3)'!$R$5:$R$289,$V933)*$AB933))</f>
        <v>16638.277311303245</v>
      </c>
      <c r="AE933" s="2" t="str">
        <f>IF($W933=AE$3,$AB933,IF(NOT($W933=0),"",SUMIFS('Val-Vol (2)'!AE$4:AE$1116,'Val-Vol (2)'!$A$4:$A$1116,$D933,'Val-Vol (2)'!$V$4:$V$1116,$V933)/SUMIFS('Comp2016-2017 (3)'!$G$5:$G$289,'Comp2016-2017 (3)'!$A$5:$A$289,$D933,'Comp2016-2017 (3)'!$R$5:$R$289,$V933)*$AB933))</f>
        <v/>
      </c>
      <c r="AF933" s="2" t="str">
        <f>IF($W933=AF$3,$AB933,IF(NOT($W933=0),"",SUMIFS('Val-Vol (2)'!AF$4:AF$1116,'Val-Vol (2)'!$A$4:$A$1116,$D933,'Val-Vol (2)'!$V$4:$V$1116,$V933)/SUMIFS('Comp2016-2017 (3)'!$G$5:$G$289,'Comp2016-2017 (3)'!$A$5:$A$289,$D933,'Comp2016-2017 (3)'!$R$5:$R$289,$V933)*$AB933))</f>
        <v/>
      </c>
      <c r="AG933" s="2" t="str">
        <f>IF($W933=AG$3,$AB933,IF(NOT($W933=0),"",SUMIFS('Val-Vol (2)'!AG$4:AG$1116,'Val-Vol (2)'!$A$4:$A$1116,$D933,'Val-Vol (2)'!$V$4:$V$1116,$V933)/SUMIFS('Comp2016-2017 (3)'!$G$5:$G$289,'Comp2016-2017 (3)'!$A$5:$A$289,$D933,'Comp2016-2017 (3)'!$R$5:$R$289,$V933)*$AB933))</f>
        <v/>
      </c>
      <c r="AH933" s="2" t="str">
        <f>IF($W933=AH$3,$AB933,IF(NOT($W933=0),"",SUMIFS('Val-Vol (2)'!AH$4:AH$1116,'Val-Vol (2)'!$A$4:$A$1116,$D933,'Val-Vol (2)'!$V$4:$V$1116,$V933)/SUMIFS('Comp2016-2017 (3)'!$G$5:$G$289,'Comp2016-2017 (3)'!$A$5:$A$289,$D933,'Comp2016-2017 (3)'!$R$5:$R$289,$V933)*$AB933))</f>
        <v/>
      </c>
      <c r="AI933" s="2" t="str">
        <f>IF($W933=AI$3,$AB933,IF(NOT($W933=0),"",SUMIFS('Val-Vol (2)'!AI$4:AI$1116,'Val-Vol (2)'!$A$4:$A$1116,$D933,'Val-Vol (2)'!$V$4:$V$1116,$V933)/SUMIFS('Comp2016-2017 (3)'!$G$5:$G$289,'Comp2016-2017 (3)'!$A$5:$A$289,$D933,'Comp2016-2017 (3)'!$R$5:$R$289,$V933)*$AB933))</f>
        <v/>
      </c>
      <c r="AJ933" s="2" t="str">
        <f>IF($W933=AJ$3,$AB933,IF(NOT($W933=0),"",SUMIFS('Val-Vol (2)'!AJ$4:AJ$1116,'Val-Vol (2)'!$A$4:$A$1116,$D933,'Val-Vol (2)'!$V$4:$V$1116,$V933)/SUMIFS('Comp2016-2017 (3)'!$G$5:$G$289,'Comp2016-2017 (3)'!$A$5:$A$289,$D933,'Comp2016-2017 (3)'!$R$5:$R$289,$V933)*$AB933))</f>
        <v/>
      </c>
      <c r="AK933" s="2">
        <f t="shared" si="108"/>
        <v>0</v>
      </c>
      <c r="AL933" t="str">
        <f t="shared" si="105"/>
        <v/>
      </c>
      <c r="AM933" t="str">
        <f>VLOOKUP(A933,'Table corresp.'!$M$4:$U$63,8,FALSE)</f>
        <v>Production intermédiaire</v>
      </c>
      <c r="AN933" t="str">
        <f>VLOOKUP(D933,'Table corresp.'!$M$4:$U$63,9,FALSE)</f>
        <v>Production intermédiaire</v>
      </c>
    </row>
    <row r="934" spans="1:40" x14ac:dyDescent="0.25">
      <c r="A934" t="s">
        <v>13</v>
      </c>
      <c r="B934" t="str">
        <f>VLOOKUP(LEFT(A934,3),'Table corresp.'!$A$4:$D$63,3,FALSE)</f>
        <v>Transformation</v>
      </c>
      <c r="C934" t="str">
        <f>VLOOKUP(A934,'Table corresp.'!$M$4:$P$63,4,FALSE)</f>
        <v>Production et transformation de produits bois</v>
      </c>
      <c r="D934" t="s">
        <v>15</v>
      </c>
      <c r="E934" t="str">
        <f>VLOOKUP(LEFT(D934,3),'Table corresp.'!$A$4:$D$63,4,FALSE)</f>
        <v>Transformation</v>
      </c>
      <c r="F934" t="str">
        <f t="shared" si="102"/>
        <v xml:space="preserve">20  - 35 </v>
      </c>
      <c r="G934" s="164">
        <v>2505.1447541577318</v>
      </c>
      <c r="H934" s="164">
        <v>894.7704427589216</v>
      </c>
      <c r="I934" s="164">
        <v>3399.9151969166533</v>
      </c>
      <c r="J934" s="164">
        <v>14.230800655029139</v>
      </c>
      <c r="K934" s="164">
        <v>4.18909258741978</v>
      </c>
      <c r="L934" s="164">
        <v>18.419893242448918</v>
      </c>
      <c r="M934" s="164">
        <v>0</v>
      </c>
      <c r="N934" s="164">
        <v>0</v>
      </c>
      <c r="O934" s="164">
        <v>0</v>
      </c>
      <c r="P934" s="164">
        <v>0</v>
      </c>
      <c r="Q934" s="164">
        <v>0</v>
      </c>
      <c r="R934" s="164">
        <v>0</v>
      </c>
      <c r="S934" s="163" t="str">
        <f t="shared" si="103"/>
        <v/>
      </c>
      <c r="T934" s="163">
        <f>VLOOKUP(A934,'Groupe de branches'!$Z$27:$AM$86,14,FALSE)</f>
        <v>0</v>
      </c>
      <c r="U934" s="163">
        <f>VLOOKUP(D934,'Groupe de branches'!$Z$27:$AM$86,14,FALSE)</f>
        <v>0</v>
      </c>
      <c r="V934" s="163">
        <v>2018</v>
      </c>
      <c r="W934" t="str">
        <f>VLOOKUP(D934,'Table corresp.'!$M$4:$S$63,7,FALSE)</f>
        <v>Construction</v>
      </c>
      <c r="X934" s="167">
        <f>IFERROR(G934/SUMIFS('Comp2016-2017 (3)'!$I$5:$I$289,'Comp2016-2017 (3)'!$A$5:$A$289,A934,'Comp2016-2017 (3)'!$R$5:$R$289,V934),0)</f>
        <v>3.6091986043564235E-3</v>
      </c>
      <c r="Y934" s="178">
        <f>IFERROR(IF(RIGHT(F934,3)="Exp",VLOOKUP(F934,#REF!,2,FALSE),VLOOKUP(F934,#REF!,9,FALSE)),1)</f>
        <v>1</v>
      </c>
      <c r="Z934" s="167">
        <f t="shared" si="107"/>
        <v>0.1</v>
      </c>
      <c r="AA934" s="189">
        <f t="shared" si="106"/>
        <v>3.6091986043564235E-4</v>
      </c>
      <c r="AB934" s="2">
        <f>IFERROR(SUMIFS('Comp2016-2017 (3)'!$G$5:$G$289,'Comp2016-2017 (3)'!$A$5:$A$289,A934,'Comp2016-2017 (3)'!$R$5:$R$289,V934)*AA934/SUMIFS($AA$4:$AA$1116,$A$4:$A$1116,A934,$V$4:$V$1116,V934),0)</f>
        <v>434.3432457312133</v>
      </c>
      <c r="AC934" s="2" t="str">
        <f>IF($W934=AC$3,$AB934,IF(NOT($W934=0),"",SUMIFS('Val-Vol (2)'!AC$4:AC$1116,'Val-Vol (2)'!$A$4:$A$1116,$D934,'Val-Vol (2)'!$V$4:$V$1116,$V934)/SUMIFS('Comp2016-2017 (3)'!$G$5:$G$289,'Comp2016-2017 (3)'!$A$5:$A$289,$D934,'Comp2016-2017 (3)'!$R$5:$R$289,$V934)*$AB934))</f>
        <v/>
      </c>
      <c r="AD934" s="2">
        <f>IF($W934=AD$3,$AB934,IF(NOT($W934=0),"",SUMIFS('Val-Vol (2)'!AD$4:AD$1116,'Val-Vol (2)'!$A$4:$A$1116,$D934,'Val-Vol (2)'!$V$4:$V$1116,$V934)/SUMIFS('Comp2016-2017 (3)'!$G$5:$G$289,'Comp2016-2017 (3)'!$A$5:$A$289,$D934,'Comp2016-2017 (3)'!$R$5:$R$289,$V934)*$AB934))</f>
        <v>434.3432457312133</v>
      </c>
      <c r="AE934" s="2" t="str">
        <f>IF($W934=AE$3,$AB934,IF(NOT($W934=0),"",SUMIFS('Val-Vol (2)'!AE$4:AE$1116,'Val-Vol (2)'!$A$4:$A$1116,$D934,'Val-Vol (2)'!$V$4:$V$1116,$V934)/SUMIFS('Comp2016-2017 (3)'!$G$5:$G$289,'Comp2016-2017 (3)'!$A$5:$A$289,$D934,'Comp2016-2017 (3)'!$R$5:$R$289,$V934)*$AB934))</f>
        <v/>
      </c>
      <c r="AF934" s="2" t="str">
        <f>IF($W934=AF$3,$AB934,IF(NOT($W934=0),"",SUMIFS('Val-Vol (2)'!AF$4:AF$1116,'Val-Vol (2)'!$A$4:$A$1116,$D934,'Val-Vol (2)'!$V$4:$V$1116,$V934)/SUMIFS('Comp2016-2017 (3)'!$G$5:$G$289,'Comp2016-2017 (3)'!$A$5:$A$289,$D934,'Comp2016-2017 (3)'!$R$5:$R$289,$V934)*$AB934))</f>
        <v/>
      </c>
      <c r="AG934" s="2" t="str">
        <f>IF($W934=AG$3,$AB934,IF(NOT($W934=0),"",SUMIFS('Val-Vol (2)'!AG$4:AG$1116,'Val-Vol (2)'!$A$4:$A$1116,$D934,'Val-Vol (2)'!$V$4:$V$1116,$V934)/SUMIFS('Comp2016-2017 (3)'!$G$5:$G$289,'Comp2016-2017 (3)'!$A$5:$A$289,$D934,'Comp2016-2017 (3)'!$R$5:$R$289,$V934)*$AB934))</f>
        <v/>
      </c>
      <c r="AH934" s="2" t="str">
        <f>IF($W934=AH$3,$AB934,IF(NOT($W934=0),"",SUMIFS('Val-Vol (2)'!AH$4:AH$1116,'Val-Vol (2)'!$A$4:$A$1116,$D934,'Val-Vol (2)'!$V$4:$V$1116,$V934)/SUMIFS('Comp2016-2017 (3)'!$G$5:$G$289,'Comp2016-2017 (3)'!$A$5:$A$289,$D934,'Comp2016-2017 (3)'!$R$5:$R$289,$V934)*$AB934))</f>
        <v/>
      </c>
      <c r="AI934" s="2" t="str">
        <f>IF($W934=AI$3,$AB934,IF(NOT($W934=0),"",SUMIFS('Val-Vol (2)'!AI$4:AI$1116,'Val-Vol (2)'!$A$4:$A$1116,$D934,'Val-Vol (2)'!$V$4:$V$1116,$V934)/SUMIFS('Comp2016-2017 (3)'!$G$5:$G$289,'Comp2016-2017 (3)'!$A$5:$A$289,$D934,'Comp2016-2017 (3)'!$R$5:$R$289,$V934)*$AB934))</f>
        <v/>
      </c>
      <c r="AJ934" s="2" t="str">
        <f>IF($W934=AJ$3,$AB934,IF(NOT($W934=0),"",SUMIFS('Val-Vol (2)'!AJ$4:AJ$1116,'Val-Vol (2)'!$A$4:$A$1116,$D934,'Val-Vol (2)'!$V$4:$V$1116,$V934)/SUMIFS('Comp2016-2017 (3)'!$G$5:$G$289,'Comp2016-2017 (3)'!$A$5:$A$289,$D934,'Comp2016-2017 (3)'!$R$5:$R$289,$V934)*$AB934))</f>
        <v/>
      </c>
      <c r="AK934" s="2">
        <f t="shared" si="108"/>
        <v>0</v>
      </c>
      <c r="AL934" t="str">
        <f t="shared" si="105"/>
        <v/>
      </c>
      <c r="AM934" t="str">
        <f>VLOOKUP(A934,'Table corresp.'!$M$4:$U$63,8,FALSE)</f>
        <v>Production intermédiaire</v>
      </c>
      <c r="AN934" t="str">
        <f>VLOOKUP(D934,'Table corresp.'!$M$4:$U$63,9,FALSE)</f>
        <v>Production finale</v>
      </c>
    </row>
    <row r="935" spans="1:40" x14ac:dyDescent="0.25">
      <c r="A935" t="s">
        <v>13</v>
      </c>
      <c r="B935" t="str">
        <f>VLOOKUP(LEFT(A935,3),'Table corresp.'!$A$4:$D$63,3,FALSE)</f>
        <v>Transformation</v>
      </c>
      <c r="C935" t="str">
        <f>VLOOKUP(A935,'Table corresp.'!$M$4:$P$63,4,FALSE)</f>
        <v>Production et transformation de produits bois</v>
      </c>
      <c r="D935" t="s">
        <v>20</v>
      </c>
      <c r="E935" t="str">
        <f>VLOOKUP(LEFT(D935,3),'Table corresp.'!$A$4:$D$63,4,FALSE)</f>
        <v>Transformation</v>
      </c>
      <c r="F935" t="str">
        <f t="shared" si="102"/>
        <v xml:space="preserve">20  - 53 </v>
      </c>
      <c r="G935" s="164">
        <v>2968.791598686923</v>
      </c>
      <c r="H935" s="164">
        <v>1054.2766554530756</v>
      </c>
      <c r="I935" s="164">
        <v>4023.0682541399983</v>
      </c>
      <c r="J935" s="164">
        <v>29.513062019654001</v>
      </c>
      <c r="K935" s="164">
        <v>9.5975074784463388</v>
      </c>
      <c r="L935" s="164">
        <v>39.11056949810034</v>
      </c>
      <c r="M935" s="164">
        <v>0</v>
      </c>
      <c r="N935" s="164">
        <v>0</v>
      </c>
      <c r="O935" s="164">
        <v>0</v>
      </c>
      <c r="P935" s="164">
        <v>0</v>
      </c>
      <c r="Q935" s="164">
        <v>0</v>
      </c>
      <c r="R935" s="164">
        <v>0</v>
      </c>
      <c r="S935" s="163" t="str">
        <f t="shared" si="103"/>
        <v/>
      </c>
      <c r="T935" s="163">
        <f>VLOOKUP(A935,'Groupe de branches'!$Z$27:$AM$86,14,FALSE)</f>
        <v>0</v>
      </c>
      <c r="U935" s="163">
        <f>VLOOKUP(D935,'Groupe de branches'!$Z$27:$AM$86,14,FALSE)</f>
        <v>0</v>
      </c>
      <c r="V935" s="163">
        <v>2018</v>
      </c>
      <c r="W935" t="str">
        <f>VLOOKUP(D935,'Table corresp.'!$M$4:$S$63,7,FALSE)</f>
        <v>Construction</v>
      </c>
      <c r="X935" s="167">
        <f>IFERROR(G935/SUMIFS('Comp2016-2017 (3)'!$I$5:$I$289,'Comp2016-2017 (3)'!$A$5:$A$289,A935,'Comp2016-2017 (3)'!$R$5:$R$289,V935),0)</f>
        <v>4.2771813791688262E-3</v>
      </c>
      <c r="Y935" s="178">
        <f>IFERROR(IF(RIGHT(F935,3)="Exp",VLOOKUP(F935,#REF!,2,FALSE),VLOOKUP(F935,#REF!,9,FALSE)),1)</f>
        <v>1</v>
      </c>
      <c r="Z935" s="167">
        <f t="shared" si="107"/>
        <v>0.1</v>
      </c>
      <c r="AA935" s="189">
        <f t="shared" si="106"/>
        <v>4.2771813791688267E-4</v>
      </c>
      <c r="AB935" s="2">
        <f>IFERROR(SUMIFS('Comp2016-2017 (3)'!$G$5:$G$289,'Comp2016-2017 (3)'!$A$5:$A$289,A935,'Comp2016-2017 (3)'!$R$5:$R$289,V935)*AA935/SUMIFS($AA$4:$AA$1116,$A$4:$A$1116,A935,$V$4:$V$1116,V935),0)</f>
        <v>514.73056666011973</v>
      </c>
      <c r="AC935" s="2" t="str">
        <f>IF($W935=AC$3,$AB935,IF(NOT($W935=0),"",SUMIFS('Val-Vol (2)'!AC$4:AC$1116,'Val-Vol (2)'!$A$4:$A$1116,$D935,'Val-Vol (2)'!$V$4:$V$1116,$V935)/SUMIFS('Comp2016-2017 (3)'!$G$5:$G$289,'Comp2016-2017 (3)'!$A$5:$A$289,$D935,'Comp2016-2017 (3)'!$R$5:$R$289,$V935)*$AB935))</f>
        <v/>
      </c>
      <c r="AD935" s="2">
        <f>IF($W935=AD$3,$AB935,IF(NOT($W935=0),"",SUMIFS('Val-Vol (2)'!AD$4:AD$1116,'Val-Vol (2)'!$A$4:$A$1116,$D935,'Val-Vol (2)'!$V$4:$V$1116,$V935)/SUMIFS('Comp2016-2017 (3)'!$G$5:$G$289,'Comp2016-2017 (3)'!$A$5:$A$289,$D935,'Comp2016-2017 (3)'!$R$5:$R$289,$V935)*$AB935))</f>
        <v>514.73056666011973</v>
      </c>
      <c r="AE935" s="2" t="str">
        <f>IF($W935=AE$3,$AB935,IF(NOT($W935=0),"",SUMIFS('Val-Vol (2)'!AE$4:AE$1116,'Val-Vol (2)'!$A$4:$A$1116,$D935,'Val-Vol (2)'!$V$4:$V$1116,$V935)/SUMIFS('Comp2016-2017 (3)'!$G$5:$G$289,'Comp2016-2017 (3)'!$A$5:$A$289,$D935,'Comp2016-2017 (3)'!$R$5:$R$289,$V935)*$AB935))</f>
        <v/>
      </c>
      <c r="AF935" s="2" t="str">
        <f>IF($W935=AF$3,$AB935,IF(NOT($W935=0),"",SUMIFS('Val-Vol (2)'!AF$4:AF$1116,'Val-Vol (2)'!$A$4:$A$1116,$D935,'Val-Vol (2)'!$V$4:$V$1116,$V935)/SUMIFS('Comp2016-2017 (3)'!$G$5:$G$289,'Comp2016-2017 (3)'!$A$5:$A$289,$D935,'Comp2016-2017 (3)'!$R$5:$R$289,$V935)*$AB935))</f>
        <v/>
      </c>
      <c r="AG935" s="2" t="str">
        <f>IF($W935=AG$3,$AB935,IF(NOT($W935=0),"",SUMIFS('Val-Vol (2)'!AG$4:AG$1116,'Val-Vol (2)'!$A$4:$A$1116,$D935,'Val-Vol (2)'!$V$4:$V$1116,$V935)/SUMIFS('Comp2016-2017 (3)'!$G$5:$G$289,'Comp2016-2017 (3)'!$A$5:$A$289,$D935,'Comp2016-2017 (3)'!$R$5:$R$289,$V935)*$AB935))</f>
        <v/>
      </c>
      <c r="AH935" s="2" t="str">
        <f>IF($W935=AH$3,$AB935,IF(NOT($W935=0),"",SUMIFS('Val-Vol (2)'!AH$4:AH$1116,'Val-Vol (2)'!$A$4:$A$1116,$D935,'Val-Vol (2)'!$V$4:$V$1116,$V935)/SUMIFS('Comp2016-2017 (3)'!$G$5:$G$289,'Comp2016-2017 (3)'!$A$5:$A$289,$D935,'Comp2016-2017 (3)'!$R$5:$R$289,$V935)*$AB935))</f>
        <v/>
      </c>
      <c r="AI935" s="2" t="str">
        <f>IF($W935=AI$3,$AB935,IF(NOT($W935=0),"",SUMIFS('Val-Vol (2)'!AI$4:AI$1116,'Val-Vol (2)'!$A$4:$A$1116,$D935,'Val-Vol (2)'!$V$4:$V$1116,$V935)/SUMIFS('Comp2016-2017 (3)'!$G$5:$G$289,'Comp2016-2017 (3)'!$A$5:$A$289,$D935,'Comp2016-2017 (3)'!$R$5:$R$289,$V935)*$AB935))</f>
        <v/>
      </c>
      <c r="AJ935" s="2" t="str">
        <f>IF($W935=AJ$3,$AB935,IF(NOT($W935=0),"",SUMIFS('Val-Vol (2)'!AJ$4:AJ$1116,'Val-Vol (2)'!$A$4:$A$1116,$D935,'Val-Vol (2)'!$V$4:$V$1116,$V935)/SUMIFS('Comp2016-2017 (3)'!$G$5:$G$289,'Comp2016-2017 (3)'!$A$5:$A$289,$D935,'Comp2016-2017 (3)'!$R$5:$R$289,$V935)*$AB935))</f>
        <v/>
      </c>
      <c r="AK935" s="2">
        <f t="shared" si="108"/>
        <v>0</v>
      </c>
      <c r="AL935" t="str">
        <f t="shared" si="105"/>
        <v/>
      </c>
      <c r="AM935" t="str">
        <f>VLOOKUP(A935,'Table corresp.'!$M$4:$U$63,8,FALSE)</f>
        <v>Production intermédiaire</v>
      </c>
      <c r="AN935" t="str">
        <f>VLOOKUP(D935,'Table corresp.'!$M$4:$U$63,9,FALSE)</f>
        <v xml:space="preserve">Mise en œuvre </v>
      </c>
    </row>
    <row r="936" spans="1:40" x14ac:dyDescent="0.25">
      <c r="A936" t="s">
        <v>13</v>
      </c>
      <c r="B936" t="str">
        <f>VLOOKUP(LEFT(A936,3),'Table corresp.'!$A$4:$D$63,3,FALSE)</f>
        <v>Transformation</v>
      </c>
      <c r="C936" t="str">
        <f>VLOOKUP(A936,'Table corresp.'!$M$4:$P$63,4,FALSE)</f>
        <v>Production et transformation de produits bois</v>
      </c>
      <c r="D936" t="s">
        <v>21</v>
      </c>
      <c r="E936" t="str">
        <f>VLOOKUP(LEFT(D936,3),'Table corresp.'!$A$4:$D$63,4,FALSE)</f>
        <v>Transformation</v>
      </c>
      <c r="F936" t="str">
        <f t="shared" si="102"/>
        <v xml:space="preserve">20  - 54 </v>
      </c>
      <c r="G936" s="164">
        <v>100362.0041856037</v>
      </c>
      <c r="H936" s="164">
        <v>32964.897568248452</v>
      </c>
      <c r="I936" s="164">
        <v>133326.90175385214</v>
      </c>
      <c r="J936" s="164">
        <v>285.05971012934936</v>
      </c>
      <c r="K936" s="164">
        <v>77.166724250751969</v>
      </c>
      <c r="L936" s="164">
        <v>362.2264343801013</v>
      </c>
      <c r="M936" s="164">
        <v>0</v>
      </c>
      <c r="N936" s="164">
        <v>0</v>
      </c>
      <c r="O936" s="164">
        <v>0</v>
      </c>
      <c r="P936" s="164">
        <v>0</v>
      </c>
      <c r="Q936" s="164">
        <v>0</v>
      </c>
      <c r="R936" s="164">
        <v>0</v>
      </c>
      <c r="S936" s="163" t="str">
        <f t="shared" si="103"/>
        <v/>
      </c>
      <c r="T936" s="163">
        <f>VLOOKUP(A936,'Groupe de branches'!$Z$27:$AM$86,14,FALSE)</f>
        <v>0</v>
      </c>
      <c r="U936" s="163">
        <f>VLOOKUP(D936,'Groupe de branches'!$Z$27:$AM$86,14,FALSE)</f>
        <v>0</v>
      </c>
      <c r="V936" s="163">
        <v>2018</v>
      </c>
      <c r="W936" t="str">
        <f>VLOOKUP(D936,'Table corresp.'!$M$4:$S$63,7,FALSE)</f>
        <v>Construction</v>
      </c>
      <c r="X936" s="167">
        <f>IFERROR(G936/SUMIFS('Comp2016-2017 (3)'!$I$5:$I$289,'Comp2016-2017 (3)'!$A$5:$A$289,A936,'Comp2016-2017 (3)'!$R$5:$R$289,V936),0)</f>
        <v>0.1445930039914522</v>
      </c>
      <c r="Y936" s="178">
        <f>IFERROR(IF(RIGHT(F936,3)="Exp",VLOOKUP(F936,#REF!,2,FALSE),VLOOKUP(F936,#REF!,9,FALSE)),1)</f>
        <v>1</v>
      </c>
      <c r="Z936" s="167">
        <f t="shared" si="107"/>
        <v>0.1</v>
      </c>
      <c r="AA936" s="189">
        <f t="shared" si="106"/>
        <v>1.445930039914522E-2</v>
      </c>
      <c r="AB936" s="2">
        <f>IFERROR(SUMIFS('Comp2016-2017 (3)'!$G$5:$G$289,'Comp2016-2017 (3)'!$A$5:$A$289,A936,'Comp2016-2017 (3)'!$R$5:$R$289,V936)*AA936/SUMIFS($AA$4:$AA$1116,$A$4:$A$1116,A936,$V$4:$V$1116,V936),0)</f>
        <v>17400.814293751613</v>
      </c>
      <c r="AC936" s="2" t="str">
        <f>IF($W936=AC$3,$AB936,IF(NOT($W936=0),"",SUMIFS('Val-Vol (2)'!AC$4:AC$1116,'Val-Vol (2)'!$A$4:$A$1116,$D936,'Val-Vol (2)'!$V$4:$V$1116,$V936)/SUMIFS('Comp2016-2017 (3)'!$G$5:$G$289,'Comp2016-2017 (3)'!$A$5:$A$289,$D936,'Comp2016-2017 (3)'!$R$5:$R$289,$V936)*$AB936))</f>
        <v/>
      </c>
      <c r="AD936" s="2">
        <f>IF($W936=AD$3,$AB936,IF(NOT($W936=0),"",SUMIFS('Val-Vol (2)'!AD$4:AD$1116,'Val-Vol (2)'!$A$4:$A$1116,$D936,'Val-Vol (2)'!$V$4:$V$1116,$V936)/SUMIFS('Comp2016-2017 (3)'!$G$5:$G$289,'Comp2016-2017 (3)'!$A$5:$A$289,$D936,'Comp2016-2017 (3)'!$R$5:$R$289,$V936)*$AB936))</f>
        <v>17400.814293751613</v>
      </c>
      <c r="AE936" s="2" t="str">
        <f>IF($W936=AE$3,$AB936,IF(NOT($W936=0),"",SUMIFS('Val-Vol (2)'!AE$4:AE$1116,'Val-Vol (2)'!$A$4:$A$1116,$D936,'Val-Vol (2)'!$V$4:$V$1116,$V936)/SUMIFS('Comp2016-2017 (3)'!$G$5:$G$289,'Comp2016-2017 (3)'!$A$5:$A$289,$D936,'Comp2016-2017 (3)'!$R$5:$R$289,$V936)*$AB936))</f>
        <v/>
      </c>
      <c r="AF936" s="2" t="str">
        <f>IF($W936=AF$3,$AB936,IF(NOT($W936=0),"",SUMIFS('Val-Vol (2)'!AF$4:AF$1116,'Val-Vol (2)'!$A$4:$A$1116,$D936,'Val-Vol (2)'!$V$4:$V$1116,$V936)/SUMIFS('Comp2016-2017 (3)'!$G$5:$G$289,'Comp2016-2017 (3)'!$A$5:$A$289,$D936,'Comp2016-2017 (3)'!$R$5:$R$289,$V936)*$AB936))</f>
        <v/>
      </c>
      <c r="AG936" s="2" t="str">
        <f>IF($W936=AG$3,$AB936,IF(NOT($W936=0),"",SUMIFS('Val-Vol (2)'!AG$4:AG$1116,'Val-Vol (2)'!$A$4:$A$1116,$D936,'Val-Vol (2)'!$V$4:$V$1116,$V936)/SUMIFS('Comp2016-2017 (3)'!$G$5:$G$289,'Comp2016-2017 (3)'!$A$5:$A$289,$D936,'Comp2016-2017 (3)'!$R$5:$R$289,$V936)*$AB936))</f>
        <v/>
      </c>
      <c r="AH936" s="2" t="str">
        <f>IF($W936=AH$3,$AB936,IF(NOT($W936=0),"",SUMIFS('Val-Vol (2)'!AH$4:AH$1116,'Val-Vol (2)'!$A$4:$A$1116,$D936,'Val-Vol (2)'!$V$4:$V$1116,$V936)/SUMIFS('Comp2016-2017 (3)'!$G$5:$G$289,'Comp2016-2017 (3)'!$A$5:$A$289,$D936,'Comp2016-2017 (3)'!$R$5:$R$289,$V936)*$AB936))</f>
        <v/>
      </c>
      <c r="AI936" s="2" t="str">
        <f>IF($W936=AI$3,$AB936,IF(NOT($W936=0),"",SUMIFS('Val-Vol (2)'!AI$4:AI$1116,'Val-Vol (2)'!$A$4:$A$1116,$D936,'Val-Vol (2)'!$V$4:$V$1116,$V936)/SUMIFS('Comp2016-2017 (3)'!$G$5:$G$289,'Comp2016-2017 (3)'!$A$5:$A$289,$D936,'Comp2016-2017 (3)'!$R$5:$R$289,$V936)*$AB936))</f>
        <v/>
      </c>
      <c r="AJ936" s="2" t="str">
        <f>IF($W936=AJ$3,$AB936,IF(NOT($W936=0),"",SUMIFS('Val-Vol (2)'!AJ$4:AJ$1116,'Val-Vol (2)'!$A$4:$A$1116,$D936,'Val-Vol (2)'!$V$4:$V$1116,$V936)/SUMIFS('Comp2016-2017 (3)'!$G$5:$G$289,'Comp2016-2017 (3)'!$A$5:$A$289,$D936,'Comp2016-2017 (3)'!$R$5:$R$289,$V936)*$AB936))</f>
        <v/>
      </c>
      <c r="AK936" s="2">
        <f t="shared" si="108"/>
        <v>0</v>
      </c>
      <c r="AL936" t="str">
        <f t="shared" si="105"/>
        <v/>
      </c>
      <c r="AM936" t="str">
        <f>VLOOKUP(A936,'Table corresp.'!$M$4:$U$63,8,FALSE)</f>
        <v>Production intermédiaire</v>
      </c>
      <c r="AN936" t="str">
        <f>VLOOKUP(D936,'Table corresp.'!$M$4:$U$63,9,FALSE)</f>
        <v xml:space="preserve">Mise en œuvre </v>
      </c>
    </row>
    <row r="937" spans="1:40" x14ac:dyDescent="0.25">
      <c r="A937" t="s">
        <v>13</v>
      </c>
      <c r="B937" t="str">
        <f>VLOOKUP(LEFT(A937,3),'Table corresp.'!$A$4:$D$63,3,FALSE)</f>
        <v>Transformation</v>
      </c>
      <c r="C937" t="str">
        <f>VLOOKUP(A937,'Table corresp.'!$M$4:$P$63,4,FALSE)</f>
        <v>Production et transformation de produits bois</v>
      </c>
      <c r="D937" t="s">
        <v>22</v>
      </c>
      <c r="E937" t="str">
        <f>VLOOKUP(LEFT(D937,3),'Table corresp.'!$A$4:$D$63,4,FALSE)</f>
        <v>Transformation</v>
      </c>
      <c r="F937" t="str">
        <f t="shared" si="102"/>
        <v xml:space="preserve">20  - 55 </v>
      </c>
      <c r="G937" s="164">
        <v>8999.5568018110607</v>
      </c>
      <c r="H937" s="164">
        <v>2941.4794902132385</v>
      </c>
      <c r="I937" s="164">
        <v>11941.036292024301</v>
      </c>
      <c r="J937" s="164">
        <v>25.561576555132877</v>
      </c>
      <c r="K937" s="164">
        <v>6.8856375555420231</v>
      </c>
      <c r="L937" s="164">
        <v>32.447214110674899</v>
      </c>
      <c r="M937" s="164">
        <v>0</v>
      </c>
      <c r="N937" s="164">
        <v>0</v>
      </c>
      <c r="O937" s="164">
        <v>0</v>
      </c>
      <c r="P937" s="164">
        <v>0</v>
      </c>
      <c r="Q937" s="164">
        <v>0</v>
      </c>
      <c r="R937" s="164">
        <v>0</v>
      </c>
      <c r="S937" s="163" t="str">
        <f t="shared" si="103"/>
        <v/>
      </c>
      <c r="T937" s="163">
        <f>VLOOKUP(A937,'Groupe de branches'!$Z$27:$AM$86,14,FALSE)</f>
        <v>0</v>
      </c>
      <c r="U937" s="163">
        <f>VLOOKUP(D937,'Groupe de branches'!$Z$27:$AM$86,14,FALSE)</f>
        <v>0</v>
      </c>
      <c r="V937" s="163">
        <v>2018</v>
      </c>
      <c r="W937" t="str">
        <f>VLOOKUP(D937,'Table corresp.'!$M$4:$S$63,7,FALSE)</f>
        <v>Construction</v>
      </c>
      <c r="X937" s="167">
        <f>IFERROR(G937/SUMIFS('Comp2016-2017 (3)'!$I$5:$I$289,'Comp2016-2017 (3)'!$A$5:$A$289,A937,'Comp2016-2017 (3)'!$R$5:$R$289,V937),0)</f>
        <v>1.2965792812975998E-2</v>
      </c>
      <c r="Y937" s="178">
        <f>IFERROR(IF(RIGHT(F937,3)="Exp",VLOOKUP(F937,#REF!,2,FALSE),VLOOKUP(F937,#REF!,9,FALSE)),1)</f>
        <v>1</v>
      </c>
      <c r="Z937" s="167">
        <f t="shared" si="107"/>
        <v>0.1</v>
      </c>
      <c r="AA937" s="189">
        <f t="shared" si="106"/>
        <v>1.2965792812975998E-3</v>
      </c>
      <c r="AB937" s="2">
        <f>IFERROR(SUMIFS('Comp2016-2017 (3)'!$G$5:$G$289,'Comp2016-2017 (3)'!$A$5:$A$289,A937,'Comp2016-2017 (3)'!$R$5:$R$289,V937)*AA937/SUMIFS($AA$4:$AA$1116,$A$4:$A$1116,A937,$V$4:$V$1116,V937),0)</f>
        <v>1560.3476425677704</v>
      </c>
      <c r="AC937" s="2" t="str">
        <f>IF($W937=AC$3,$AB937,IF(NOT($W937=0),"",SUMIFS('Val-Vol (2)'!AC$4:AC$1116,'Val-Vol (2)'!$A$4:$A$1116,$D937,'Val-Vol (2)'!$V$4:$V$1116,$V937)/SUMIFS('Comp2016-2017 (3)'!$G$5:$G$289,'Comp2016-2017 (3)'!$A$5:$A$289,$D937,'Comp2016-2017 (3)'!$R$5:$R$289,$V937)*$AB937))</f>
        <v/>
      </c>
      <c r="AD937" s="2">
        <f>IF($W937=AD$3,$AB937,IF(NOT($W937=0),"",SUMIFS('Val-Vol (2)'!AD$4:AD$1116,'Val-Vol (2)'!$A$4:$A$1116,$D937,'Val-Vol (2)'!$V$4:$V$1116,$V937)/SUMIFS('Comp2016-2017 (3)'!$G$5:$G$289,'Comp2016-2017 (3)'!$A$5:$A$289,$D937,'Comp2016-2017 (3)'!$R$5:$R$289,$V937)*$AB937))</f>
        <v>1560.3476425677704</v>
      </c>
      <c r="AE937" s="2" t="str">
        <f>IF($W937=AE$3,$AB937,IF(NOT($W937=0),"",SUMIFS('Val-Vol (2)'!AE$4:AE$1116,'Val-Vol (2)'!$A$4:$A$1116,$D937,'Val-Vol (2)'!$V$4:$V$1116,$V937)/SUMIFS('Comp2016-2017 (3)'!$G$5:$G$289,'Comp2016-2017 (3)'!$A$5:$A$289,$D937,'Comp2016-2017 (3)'!$R$5:$R$289,$V937)*$AB937))</f>
        <v/>
      </c>
      <c r="AF937" s="2" t="str">
        <f>IF($W937=AF$3,$AB937,IF(NOT($W937=0),"",SUMIFS('Val-Vol (2)'!AF$4:AF$1116,'Val-Vol (2)'!$A$4:$A$1116,$D937,'Val-Vol (2)'!$V$4:$V$1116,$V937)/SUMIFS('Comp2016-2017 (3)'!$G$5:$G$289,'Comp2016-2017 (3)'!$A$5:$A$289,$D937,'Comp2016-2017 (3)'!$R$5:$R$289,$V937)*$AB937))</f>
        <v/>
      </c>
      <c r="AG937" s="2" t="str">
        <f>IF($W937=AG$3,$AB937,IF(NOT($W937=0),"",SUMIFS('Val-Vol (2)'!AG$4:AG$1116,'Val-Vol (2)'!$A$4:$A$1116,$D937,'Val-Vol (2)'!$V$4:$V$1116,$V937)/SUMIFS('Comp2016-2017 (3)'!$G$5:$G$289,'Comp2016-2017 (3)'!$A$5:$A$289,$D937,'Comp2016-2017 (3)'!$R$5:$R$289,$V937)*$AB937))</f>
        <v/>
      </c>
      <c r="AH937" s="2" t="str">
        <f>IF($W937=AH$3,$AB937,IF(NOT($W937=0),"",SUMIFS('Val-Vol (2)'!AH$4:AH$1116,'Val-Vol (2)'!$A$4:$A$1116,$D937,'Val-Vol (2)'!$V$4:$V$1116,$V937)/SUMIFS('Comp2016-2017 (3)'!$G$5:$G$289,'Comp2016-2017 (3)'!$A$5:$A$289,$D937,'Comp2016-2017 (3)'!$R$5:$R$289,$V937)*$AB937))</f>
        <v/>
      </c>
      <c r="AI937" s="2" t="str">
        <f>IF($W937=AI$3,$AB937,IF(NOT($W937=0),"",SUMIFS('Val-Vol (2)'!AI$4:AI$1116,'Val-Vol (2)'!$A$4:$A$1116,$D937,'Val-Vol (2)'!$V$4:$V$1116,$V937)/SUMIFS('Comp2016-2017 (3)'!$G$5:$G$289,'Comp2016-2017 (3)'!$A$5:$A$289,$D937,'Comp2016-2017 (3)'!$R$5:$R$289,$V937)*$AB937))</f>
        <v/>
      </c>
      <c r="AJ937" s="2" t="str">
        <f>IF($W937=AJ$3,$AB937,IF(NOT($W937=0),"",SUMIFS('Val-Vol (2)'!AJ$4:AJ$1116,'Val-Vol (2)'!$A$4:$A$1116,$D937,'Val-Vol (2)'!$V$4:$V$1116,$V937)/SUMIFS('Comp2016-2017 (3)'!$G$5:$G$289,'Comp2016-2017 (3)'!$A$5:$A$289,$D937,'Comp2016-2017 (3)'!$R$5:$R$289,$V937)*$AB937))</f>
        <v/>
      </c>
      <c r="AK937" s="2">
        <f t="shared" si="108"/>
        <v>0</v>
      </c>
      <c r="AL937" t="str">
        <f t="shared" si="105"/>
        <v/>
      </c>
      <c r="AM937" t="str">
        <f>VLOOKUP(A937,'Table corresp.'!$M$4:$U$63,8,FALSE)</f>
        <v>Production intermédiaire</v>
      </c>
      <c r="AN937" t="str">
        <f>VLOOKUP(D937,'Table corresp.'!$M$4:$U$63,9,FALSE)</f>
        <v xml:space="preserve">Mise en œuvre </v>
      </c>
    </row>
    <row r="938" spans="1:40" x14ac:dyDescent="0.25">
      <c r="A938" t="s">
        <v>13</v>
      </c>
      <c r="B938" t="str">
        <f>VLOOKUP(LEFT(A938,3),'Table corresp.'!$A$4:$D$63,3,FALSE)</f>
        <v>Transformation</v>
      </c>
      <c r="C938" t="str">
        <f>VLOOKUP(A938,'Table corresp.'!$M$4:$P$63,4,FALSE)</f>
        <v>Production et transformation de produits bois</v>
      </c>
      <c r="D938" t="s">
        <v>23</v>
      </c>
      <c r="E938" t="str">
        <f>VLOOKUP(LEFT(D938,3),'Table corresp.'!$A$4:$D$63,4,FALSE)</f>
        <v>Transformation</v>
      </c>
      <c r="F938" t="str">
        <f t="shared" ref="F938:F1001" si="109">LEFT(A938,3)&amp;" - "&amp;LEFT(D938,3)</f>
        <v xml:space="preserve">20  - 56 </v>
      </c>
      <c r="G938" s="164">
        <v>51240.898226650243</v>
      </c>
      <c r="H938" s="164">
        <v>19662.96339974353</v>
      </c>
      <c r="I938" s="164">
        <v>70903.861626393773</v>
      </c>
      <c r="J938" s="164">
        <v>226.39601288353251</v>
      </c>
      <c r="K938" s="164">
        <v>71.59996849075813</v>
      </c>
      <c r="L938" s="164">
        <v>297.99598137429064</v>
      </c>
      <c r="M938" s="164">
        <v>0</v>
      </c>
      <c r="N938" s="164">
        <v>0</v>
      </c>
      <c r="O938" s="164">
        <v>0</v>
      </c>
      <c r="P938" s="164">
        <v>0</v>
      </c>
      <c r="Q938" s="164">
        <v>0</v>
      </c>
      <c r="R938" s="164">
        <v>0</v>
      </c>
      <c r="S938" s="163" t="str">
        <f t="shared" si="103"/>
        <v/>
      </c>
      <c r="T938" s="163">
        <f>VLOOKUP(A938,'Groupe de branches'!$Z$27:$AM$86,14,FALSE)</f>
        <v>0</v>
      </c>
      <c r="U938" s="163">
        <f>VLOOKUP(D938,'Groupe de branches'!$Z$27:$AM$86,14,FALSE)</f>
        <v>0</v>
      </c>
      <c r="V938" s="163">
        <v>2018</v>
      </c>
      <c r="W938" t="str">
        <f>VLOOKUP(D938,'Table corresp.'!$M$4:$S$63,7,FALSE)</f>
        <v>Construction</v>
      </c>
      <c r="X938" s="167">
        <f>IFERROR(G938/SUMIFS('Comp2016-2017 (3)'!$I$5:$I$289,'Comp2016-2017 (3)'!$A$5:$A$289,A938,'Comp2016-2017 (3)'!$R$5:$R$289,V938),0)</f>
        <v>7.3823509822598971E-2</v>
      </c>
      <c r="Y938" s="178">
        <f>IFERROR(IF(RIGHT(F938,3)="Exp",VLOOKUP(F938,#REF!,2,FALSE),VLOOKUP(F938,#REF!,9,FALSE)),1)</f>
        <v>1</v>
      </c>
      <c r="Z938" s="167">
        <f t="shared" si="107"/>
        <v>0.1</v>
      </c>
      <c r="AA938" s="189">
        <f t="shared" si="106"/>
        <v>7.3823509822598977E-3</v>
      </c>
      <c r="AB938" s="2">
        <f>IFERROR(SUMIFS('Comp2016-2017 (3)'!$G$5:$G$289,'Comp2016-2017 (3)'!$A$5:$A$289,A938,'Comp2016-2017 (3)'!$R$5:$R$289,V938)*AA938/SUMIFS($AA$4:$AA$1116,$A$4:$A$1116,A938,$V$4:$V$1116,V938),0)</f>
        <v>8884.1724666840237</v>
      </c>
      <c r="AC938" s="2" t="str">
        <f>IF($W938=AC$3,$AB938,IF(NOT($W938=0),"",SUMIFS('Val-Vol (2)'!AC$4:AC$1116,'Val-Vol (2)'!$A$4:$A$1116,$D938,'Val-Vol (2)'!$V$4:$V$1116,$V938)/SUMIFS('Comp2016-2017 (3)'!$G$5:$G$289,'Comp2016-2017 (3)'!$A$5:$A$289,$D938,'Comp2016-2017 (3)'!$R$5:$R$289,$V938)*$AB938))</f>
        <v/>
      </c>
      <c r="AD938" s="2">
        <f>IF($W938=AD$3,$AB938,IF(NOT($W938=0),"",SUMIFS('Val-Vol (2)'!AD$4:AD$1116,'Val-Vol (2)'!$A$4:$A$1116,$D938,'Val-Vol (2)'!$V$4:$V$1116,$V938)/SUMIFS('Comp2016-2017 (3)'!$G$5:$G$289,'Comp2016-2017 (3)'!$A$5:$A$289,$D938,'Comp2016-2017 (3)'!$R$5:$R$289,$V938)*$AB938))</f>
        <v>8884.1724666840237</v>
      </c>
      <c r="AE938" s="2" t="str">
        <f>IF($W938=AE$3,$AB938,IF(NOT($W938=0),"",SUMIFS('Val-Vol (2)'!AE$4:AE$1116,'Val-Vol (2)'!$A$4:$A$1116,$D938,'Val-Vol (2)'!$V$4:$V$1116,$V938)/SUMIFS('Comp2016-2017 (3)'!$G$5:$G$289,'Comp2016-2017 (3)'!$A$5:$A$289,$D938,'Comp2016-2017 (3)'!$R$5:$R$289,$V938)*$AB938))</f>
        <v/>
      </c>
      <c r="AF938" s="2" t="str">
        <f>IF($W938=AF$3,$AB938,IF(NOT($W938=0),"",SUMIFS('Val-Vol (2)'!AF$4:AF$1116,'Val-Vol (2)'!$A$4:$A$1116,$D938,'Val-Vol (2)'!$V$4:$V$1116,$V938)/SUMIFS('Comp2016-2017 (3)'!$G$5:$G$289,'Comp2016-2017 (3)'!$A$5:$A$289,$D938,'Comp2016-2017 (3)'!$R$5:$R$289,$V938)*$AB938))</f>
        <v/>
      </c>
      <c r="AG938" s="2" t="str">
        <f>IF($W938=AG$3,$AB938,IF(NOT($W938=0),"",SUMIFS('Val-Vol (2)'!AG$4:AG$1116,'Val-Vol (2)'!$A$4:$A$1116,$D938,'Val-Vol (2)'!$V$4:$V$1116,$V938)/SUMIFS('Comp2016-2017 (3)'!$G$5:$G$289,'Comp2016-2017 (3)'!$A$5:$A$289,$D938,'Comp2016-2017 (3)'!$R$5:$R$289,$V938)*$AB938))</f>
        <v/>
      </c>
      <c r="AH938" s="2" t="str">
        <f>IF($W938=AH$3,$AB938,IF(NOT($W938=0),"",SUMIFS('Val-Vol (2)'!AH$4:AH$1116,'Val-Vol (2)'!$A$4:$A$1116,$D938,'Val-Vol (2)'!$V$4:$V$1116,$V938)/SUMIFS('Comp2016-2017 (3)'!$G$5:$G$289,'Comp2016-2017 (3)'!$A$5:$A$289,$D938,'Comp2016-2017 (3)'!$R$5:$R$289,$V938)*$AB938))</f>
        <v/>
      </c>
      <c r="AI938" s="2" t="str">
        <f>IF($W938=AI$3,$AB938,IF(NOT($W938=0),"",SUMIFS('Val-Vol (2)'!AI$4:AI$1116,'Val-Vol (2)'!$A$4:$A$1116,$D938,'Val-Vol (2)'!$V$4:$V$1116,$V938)/SUMIFS('Comp2016-2017 (3)'!$G$5:$G$289,'Comp2016-2017 (3)'!$A$5:$A$289,$D938,'Comp2016-2017 (3)'!$R$5:$R$289,$V938)*$AB938))</f>
        <v/>
      </c>
      <c r="AJ938" s="2" t="str">
        <f>IF($W938=AJ$3,$AB938,IF(NOT($W938=0),"",SUMIFS('Val-Vol (2)'!AJ$4:AJ$1116,'Val-Vol (2)'!$A$4:$A$1116,$D938,'Val-Vol (2)'!$V$4:$V$1116,$V938)/SUMIFS('Comp2016-2017 (3)'!$G$5:$G$289,'Comp2016-2017 (3)'!$A$5:$A$289,$D938,'Comp2016-2017 (3)'!$R$5:$R$289,$V938)*$AB938))</f>
        <v/>
      </c>
      <c r="AK938" s="2">
        <f t="shared" si="108"/>
        <v>0</v>
      </c>
      <c r="AL938" t="str">
        <f t="shared" si="105"/>
        <v/>
      </c>
      <c r="AM938" t="str">
        <f>VLOOKUP(A938,'Table corresp.'!$M$4:$U$63,8,FALSE)</f>
        <v>Production intermédiaire</v>
      </c>
      <c r="AN938" t="str">
        <f>VLOOKUP(D938,'Table corresp.'!$M$4:$U$63,9,FALSE)</f>
        <v xml:space="preserve">Mise en œuvre </v>
      </c>
    </row>
    <row r="939" spans="1:40" x14ac:dyDescent="0.25">
      <c r="A939" t="s">
        <v>13</v>
      </c>
      <c r="B939" t="str">
        <f>VLOOKUP(LEFT(A939,3),'Table corresp.'!$A$4:$D$63,3,FALSE)</f>
        <v>Transformation</v>
      </c>
      <c r="C939" t="str">
        <f>VLOOKUP(A939,'Table corresp.'!$M$4:$P$63,4,FALSE)</f>
        <v>Production et transformation de produits bois</v>
      </c>
      <c r="D939" t="s">
        <v>24</v>
      </c>
      <c r="E939" t="str">
        <f>VLOOKUP(LEFT(D939,3),'Table corresp.'!$A$4:$D$63,4,FALSE)</f>
        <v>Transformation</v>
      </c>
      <c r="F939" t="str">
        <f t="shared" si="109"/>
        <v xml:space="preserve">20  - 57 </v>
      </c>
      <c r="G939" s="164">
        <v>107734.83458303363</v>
      </c>
      <c r="H939" s="164">
        <v>35046.06425406201</v>
      </c>
      <c r="I939" s="164">
        <v>142780.89883709565</v>
      </c>
      <c r="J939" s="164">
        <v>612.00174241793889</v>
      </c>
      <c r="K939" s="164">
        <v>182.30772568294228</v>
      </c>
      <c r="L939" s="164">
        <v>794.30946810088119</v>
      </c>
      <c r="M939" s="164">
        <v>0</v>
      </c>
      <c r="N939" s="164">
        <v>0</v>
      </c>
      <c r="O939" s="164">
        <v>0</v>
      </c>
      <c r="P939" s="164">
        <v>0</v>
      </c>
      <c r="Q939" s="164">
        <v>0</v>
      </c>
      <c r="R939" s="164">
        <v>0</v>
      </c>
      <c r="S939" s="163" t="str">
        <f t="shared" ref="S939:S1002" si="110">IF(VLOOKUP(F939,$F$4:$S$374,14,FALSE)=0,"",VLOOKUP(F939,$F$4:$S$374,14,FALSE))</f>
        <v/>
      </c>
      <c r="T939" s="163">
        <f>VLOOKUP(A939,'Groupe de branches'!$Z$27:$AM$86,14,FALSE)</f>
        <v>0</v>
      </c>
      <c r="U939" s="163">
        <f>VLOOKUP(D939,'Groupe de branches'!$Z$27:$AM$86,14,FALSE)</f>
        <v>0</v>
      </c>
      <c r="V939" s="163">
        <v>2018</v>
      </c>
      <c r="W939" t="str">
        <f>VLOOKUP(D939,'Table corresp.'!$M$4:$S$63,7,FALSE)</f>
        <v>Construction</v>
      </c>
      <c r="X939" s="167">
        <f>IFERROR(G939/SUMIFS('Comp2016-2017 (3)'!$I$5:$I$289,'Comp2016-2017 (3)'!$A$5:$A$289,A939,'Comp2016-2017 (3)'!$R$5:$R$289,V939),0)</f>
        <v>0.15521514833516595</v>
      </c>
      <c r="Y939" s="178">
        <f>IFERROR(IF(RIGHT(F939,3)="Exp",VLOOKUP(F939,#REF!,2,FALSE),VLOOKUP(F939,#REF!,9,FALSE)),1)</f>
        <v>1</v>
      </c>
      <c r="Z939" s="167">
        <f t="shared" ref="Z939:Z970" si="111">Y939/SUMIFS($Y$4:$Y$1116,$V$4:$V$1116,V939,$A$4:$A$1116,A939)</f>
        <v>0.1</v>
      </c>
      <c r="AA939" s="189">
        <f t="shared" si="106"/>
        <v>1.5521514833516596E-2</v>
      </c>
      <c r="AB939" s="2">
        <f>IFERROR(SUMIFS('Comp2016-2017 (3)'!$G$5:$G$289,'Comp2016-2017 (3)'!$A$5:$A$289,A939,'Comp2016-2017 (3)'!$R$5:$R$289,V939)*AA939/SUMIFS($AA$4:$AA$1116,$A$4:$A$1116,A939,$V$4:$V$1116,V939),0)</f>
        <v>18679.119301767863</v>
      </c>
      <c r="AC939" s="2" t="str">
        <f>IF($W939=AC$3,$AB939,IF(NOT($W939=0),"",SUMIFS('Val-Vol (2)'!AC$4:AC$1116,'Val-Vol (2)'!$A$4:$A$1116,$D939,'Val-Vol (2)'!$V$4:$V$1116,$V939)/SUMIFS('Comp2016-2017 (3)'!$G$5:$G$289,'Comp2016-2017 (3)'!$A$5:$A$289,$D939,'Comp2016-2017 (3)'!$R$5:$R$289,$V939)*$AB939))</f>
        <v/>
      </c>
      <c r="AD939" s="2">
        <f>IF($W939=AD$3,$AB939,IF(NOT($W939=0),"",SUMIFS('Val-Vol (2)'!AD$4:AD$1116,'Val-Vol (2)'!$A$4:$A$1116,$D939,'Val-Vol (2)'!$V$4:$V$1116,$V939)/SUMIFS('Comp2016-2017 (3)'!$G$5:$G$289,'Comp2016-2017 (3)'!$A$5:$A$289,$D939,'Comp2016-2017 (3)'!$R$5:$R$289,$V939)*$AB939))</f>
        <v>18679.119301767863</v>
      </c>
      <c r="AE939" s="2" t="str">
        <f>IF($W939=AE$3,$AB939,IF(NOT($W939=0),"",SUMIFS('Val-Vol (2)'!AE$4:AE$1116,'Val-Vol (2)'!$A$4:$A$1116,$D939,'Val-Vol (2)'!$V$4:$V$1116,$V939)/SUMIFS('Comp2016-2017 (3)'!$G$5:$G$289,'Comp2016-2017 (3)'!$A$5:$A$289,$D939,'Comp2016-2017 (3)'!$R$5:$R$289,$V939)*$AB939))</f>
        <v/>
      </c>
      <c r="AF939" s="2" t="str">
        <f>IF($W939=AF$3,$AB939,IF(NOT($W939=0),"",SUMIFS('Val-Vol (2)'!AF$4:AF$1116,'Val-Vol (2)'!$A$4:$A$1116,$D939,'Val-Vol (2)'!$V$4:$V$1116,$V939)/SUMIFS('Comp2016-2017 (3)'!$G$5:$G$289,'Comp2016-2017 (3)'!$A$5:$A$289,$D939,'Comp2016-2017 (3)'!$R$5:$R$289,$V939)*$AB939))</f>
        <v/>
      </c>
      <c r="AG939" s="2" t="str">
        <f>IF($W939=AG$3,$AB939,IF(NOT($W939=0),"",SUMIFS('Val-Vol (2)'!AG$4:AG$1116,'Val-Vol (2)'!$A$4:$A$1116,$D939,'Val-Vol (2)'!$V$4:$V$1116,$V939)/SUMIFS('Comp2016-2017 (3)'!$G$5:$G$289,'Comp2016-2017 (3)'!$A$5:$A$289,$D939,'Comp2016-2017 (3)'!$R$5:$R$289,$V939)*$AB939))</f>
        <v/>
      </c>
      <c r="AH939" s="2" t="str">
        <f>IF($W939=AH$3,$AB939,IF(NOT($W939=0),"",SUMIFS('Val-Vol (2)'!AH$4:AH$1116,'Val-Vol (2)'!$A$4:$A$1116,$D939,'Val-Vol (2)'!$V$4:$V$1116,$V939)/SUMIFS('Comp2016-2017 (3)'!$G$5:$G$289,'Comp2016-2017 (3)'!$A$5:$A$289,$D939,'Comp2016-2017 (3)'!$R$5:$R$289,$V939)*$AB939))</f>
        <v/>
      </c>
      <c r="AI939" s="2" t="str">
        <f>IF($W939=AI$3,$AB939,IF(NOT($W939=0),"",SUMIFS('Val-Vol (2)'!AI$4:AI$1116,'Val-Vol (2)'!$A$4:$A$1116,$D939,'Val-Vol (2)'!$V$4:$V$1116,$V939)/SUMIFS('Comp2016-2017 (3)'!$G$5:$G$289,'Comp2016-2017 (3)'!$A$5:$A$289,$D939,'Comp2016-2017 (3)'!$R$5:$R$289,$V939)*$AB939))</f>
        <v/>
      </c>
      <c r="AJ939" s="2" t="str">
        <f>IF($W939=AJ$3,$AB939,IF(NOT($W939=0),"",SUMIFS('Val-Vol (2)'!AJ$4:AJ$1116,'Val-Vol (2)'!$A$4:$A$1116,$D939,'Val-Vol (2)'!$V$4:$V$1116,$V939)/SUMIFS('Comp2016-2017 (3)'!$G$5:$G$289,'Comp2016-2017 (3)'!$A$5:$A$289,$D939,'Comp2016-2017 (3)'!$R$5:$R$289,$V939)*$AB939))</f>
        <v/>
      </c>
      <c r="AK939" s="2">
        <f t="shared" si="108"/>
        <v>0</v>
      </c>
      <c r="AL939" t="str">
        <f t="shared" si="105"/>
        <v/>
      </c>
      <c r="AM939" t="str">
        <f>VLOOKUP(A939,'Table corresp.'!$M$4:$U$63,8,FALSE)</f>
        <v>Production intermédiaire</v>
      </c>
      <c r="AN939" t="str">
        <f>VLOOKUP(D939,'Table corresp.'!$M$4:$U$63,9,FALSE)</f>
        <v xml:space="preserve">Mise en œuvre </v>
      </c>
    </row>
    <row r="940" spans="1:40" x14ac:dyDescent="0.25">
      <c r="A940" t="s">
        <v>13</v>
      </c>
      <c r="B940" t="str">
        <f>VLOOKUP(LEFT(A940,3),'Table corresp.'!$A$4:$D$63,3,FALSE)</f>
        <v>Transformation</v>
      </c>
      <c r="C940" t="str">
        <f>VLOOKUP(A940,'Table corresp.'!$M$4:$P$63,4,FALSE)</f>
        <v>Production et transformation de produits bois</v>
      </c>
      <c r="D940" t="s">
        <v>25</v>
      </c>
      <c r="E940" t="str">
        <f>VLOOKUP(LEFT(D940,3),'Table corresp.'!$A$4:$D$63,4,FALSE)</f>
        <v>Transformation</v>
      </c>
      <c r="F940" t="str">
        <f t="shared" si="109"/>
        <v xml:space="preserve">20  - 58 </v>
      </c>
      <c r="G940" s="164">
        <v>10846.173342735625</v>
      </c>
      <c r="H940" s="164">
        <v>3291.4865424436011</v>
      </c>
      <c r="I940" s="164">
        <v>14137.659885179226</v>
      </c>
      <c r="J940" s="164">
        <v>71.881948350445398</v>
      </c>
      <c r="K940" s="164">
        <v>17.978241219463651</v>
      </c>
      <c r="L940" s="164">
        <v>89.860189569909053</v>
      </c>
      <c r="M940" s="164">
        <v>0</v>
      </c>
      <c r="N940" s="164">
        <v>0</v>
      </c>
      <c r="O940" s="164">
        <v>0</v>
      </c>
      <c r="P940" s="164">
        <v>0</v>
      </c>
      <c r="Q940" s="164">
        <v>0</v>
      </c>
      <c r="R940" s="164">
        <v>0</v>
      </c>
      <c r="S940" s="163" t="str">
        <f t="shared" si="110"/>
        <v/>
      </c>
      <c r="T940" s="163">
        <f>VLOOKUP(A940,'Groupe de branches'!$Z$27:$AM$86,14,FALSE)</f>
        <v>0</v>
      </c>
      <c r="U940" s="163">
        <f>VLOOKUP(D940,'Groupe de branches'!$Z$27:$AM$86,14,FALSE)</f>
        <v>0</v>
      </c>
      <c r="V940" s="163">
        <v>2018</v>
      </c>
      <c r="W940" t="str">
        <f>VLOOKUP(D940,'Table corresp.'!$M$4:$S$63,7,FALSE)</f>
        <v>Construction</v>
      </c>
      <c r="X940" s="167">
        <f>IFERROR(G940/SUMIFS('Comp2016-2017 (3)'!$I$5:$I$289,'Comp2016-2017 (3)'!$A$5:$A$289,A940,'Comp2016-2017 (3)'!$R$5:$R$289,V940),0)</f>
        <v>1.5626240210766085E-2</v>
      </c>
      <c r="Y940" s="178">
        <f>IFERROR(IF(RIGHT(F940,3)="Exp",VLOOKUP(F940,#REF!,2,FALSE),VLOOKUP(F940,#REF!,9,FALSE)),1)</f>
        <v>1</v>
      </c>
      <c r="Z940" s="167">
        <f t="shared" si="111"/>
        <v>0.1</v>
      </c>
      <c r="AA940" s="189">
        <f t="shared" si="106"/>
        <v>1.5626240210766086E-3</v>
      </c>
      <c r="AB940" s="2">
        <f>IFERROR(SUMIFS('Comp2016-2017 (3)'!$G$5:$G$289,'Comp2016-2017 (3)'!$A$5:$A$289,A940,'Comp2016-2017 (3)'!$R$5:$R$289,V940)*AA940/SUMIFS($AA$4:$AA$1116,$A$4:$A$1116,A940,$V$4:$V$1116,V940),0)</f>
        <v>1880.5149385593304</v>
      </c>
      <c r="AC940" s="2" t="str">
        <f>IF($W940=AC$3,$AB940,IF(NOT($W940=0),"",SUMIFS('Val-Vol (2)'!AC$4:AC$1116,'Val-Vol (2)'!$A$4:$A$1116,$D940,'Val-Vol (2)'!$V$4:$V$1116,$V940)/SUMIFS('Comp2016-2017 (3)'!$G$5:$G$289,'Comp2016-2017 (3)'!$A$5:$A$289,$D940,'Comp2016-2017 (3)'!$R$5:$R$289,$V940)*$AB940))</f>
        <v/>
      </c>
      <c r="AD940" s="2">
        <f>IF($W940=AD$3,$AB940,IF(NOT($W940=0),"",SUMIFS('Val-Vol (2)'!AD$4:AD$1116,'Val-Vol (2)'!$A$4:$A$1116,$D940,'Val-Vol (2)'!$V$4:$V$1116,$V940)/SUMIFS('Comp2016-2017 (3)'!$G$5:$G$289,'Comp2016-2017 (3)'!$A$5:$A$289,$D940,'Comp2016-2017 (3)'!$R$5:$R$289,$V940)*$AB940))</f>
        <v>1880.5149385593304</v>
      </c>
      <c r="AE940" s="2" t="str">
        <f>IF($W940=AE$3,$AB940,IF(NOT($W940=0),"",SUMIFS('Val-Vol (2)'!AE$4:AE$1116,'Val-Vol (2)'!$A$4:$A$1116,$D940,'Val-Vol (2)'!$V$4:$V$1116,$V940)/SUMIFS('Comp2016-2017 (3)'!$G$5:$G$289,'Comp2016-2017 (3)'!$A$5:$A$289,$D940,'Comp2016-2017 (3)'!$R$5:$R$289,$V940)*$AB940))</f>
        <v/>
      </c>
      <c r="AF940" s="2" t="str">
        <f>IF($W940=AF$3,$AB940,IF(NOT($W940=0),"",SUMIFS('Val-Vol (2)'!AF$4:AF$1116,'Val-Vol (2)'!$A$4:$A$1116,$D940,'Val-Vol (2)'!$V$4:$V$1116,$V940)/SUMIFS('Comp2016-2017 (3)'!$G$5:$G$289,'Comp2016-2017 (3)'!$A$5:$A$289,$D940,'Comp2016-2017 (3)'!$R$5:$R$289,$V940)*$AB940))</f>
        <v/>
      </c>
      <c r="AG940" s="2" t="str">
        <f>IF($W940=AG$3,$AB940,IF(NOT($W940=0),"",SUMIFS('Val-Vol (2)'!AG$4:AG$1116,'Val-Vol (2)'!$A$4:$A$1116,$D940,'Val-Vol (2)'!$V$4:$V$1116,$V940)/SUMIFS('Comp2016-2017 (3)'!$G$5:$G$289,'Comp2016-2017 (3)'!$A$5:$A$289,$D940,'Comp2016-2017 (3)'!$R$5:$R$289,$V940)*$AB940))</f>
        <v/>
      </c>
      <c r="AH940" s="2" t="str">
        <f>IF($W940=AH$3,$AB940,IF(NOT($W940=0),"",SUMIFS('Val-Vol (2)'!AH$4:AH$1116,'Val-Vol (2)'!$A$4:$A$1116,$D940,'Val-Vol (2)'!$V$4:$V$1116,$V940)/SUMIFS('Comp2016-2017 (3)'!$G$5:$G$289,'Comp2016-2017 (3)'!$A$5:$A$289,$D940,'Comp2016-2017 (3)'!$R$5:$R$289,$V940)*$AB940))</f>
        <v/>
      </c>
      <c r="AI940" s="2" t="str">
        <f>IF($W940=AI$3,$AB940,IF(NOT($W940=0),"",SUMIFS('Val-Vol (2)'!AI$4:AI$1116,'Val-Vol (2)'!$A$4:$A$1116,$D940,'Val-Vol (2)'!$V$4:$V$1116,$V940)/SUMIFS('Comp2016-2017 (3)'!$G$5:$G$289,'Comp2016-2017 (3)'!$A$5:$A$289,$D940,'Comp2016-2017 (3)'!$R$5:$R$289,$V940)*$AB940))</f>
        <v/>
      </c>
      <c r="AJ940" s="2" t="str">
        <f>IF($W940=AJ$3,$AB940,IF(NOT($W940=0),"",SUMIFS('Val-Vol (2)'!AJ$4:AJ$1116,'Val-Vol (2)'!$A$4:$A$1116,$D940,'Val-Vol (2)'!$V$4:$V$1116,$V940)/SUMIFS('Comp2016-2017 (3)'!$G$5:$G$289,'Comp2016-2017 (3)'!$A$5:$A$289,$D940,'Comp2016-2017 (3)'!$R$5:$R$289,$V940)*$AB940))</f>
        <v/>
      </c>
      <c r="AK940" s="2">
        <f t="shared" si="108"/>
        <v>0</v>
      </c>
      <c r="AL940" t="str">
        <f t="shared" si="105"/>
        <v/>
      </c>
      <c r="AM940" t="str">
        <f>VLOOKUP(A940,'Table corresp.'!$M$4:$U$63,8,FALSE)</f>
        <v>Production intermédiaire</v>
      </c>
      <c r="AN940" t="str">
        <f>VLOOKUP(D940,'Table corresp.'!$M$4:$U$63,9,FALSE)</f>
        <v xml:space="preserve">Mise en œuvre </v>
      </c>
    </row>
    <row r="941" spans="1:40" x14ac:dyDescent="0.25">
      <c r="A941" t="s">
        <v>13</v>
      </c>
      <c r="B941" t="str">
        <f>VLOOKUP(LEFT(A941,3),'Table corresp.'!$A$4:$D$63,3,FALSE)</f>
        <v>Transformation</v>
      </c>
      <c r="C941" t="str">
        <f>VLOOKUP(A941,'Table corresp.'!$M$4:$P$63,4,FALSE)</f>
        <v>Production et transformation de produits bois</v>
      </c>
      <c r="D941" t="s">
        <v>54</v>
      </c>
      <c r="E941" t="str">
        <f>VLOOKUP(LEFT(D941,3),'Table corresp.'!$A$4:$D$63,4,FALSE)</f>
        <v>Consommation finale</v>
      </c>
      <c r="F941" t="str">
        <f t="shared" si="109"/>
        <v>20  - Con</v>
      </c>
      <c r="G941" s="164">
        <v>240465.6911791715</v>
      </c>
      <c r="H941" s="164">
        <v>148862.17567066921</v>
      </c>
      <c r="I941" s="164">
        <v>389327.86684984074</v>
      </c>
      <c r="J941" s="164">
        <v>398.41568650966479</v>
      </c>
      <c r="K941" s="164">
        <v>203.27290330303109</v>
      </c>
      <c r="L941" s="164">
        <v>601.68858981269591</v>
      </c>
      <c r="M941" s="164">
        <v>0</v>
      </c>
      <c r="N941" s="164">
        <v>0</v>
      </c>
      <c r="O941" s="164">
        <v>0</v>
      </c>
      <c r="P941" s="164">
        <v>0</v>
      </c>
      <c r="Q941" s="164">
        <v>0</v>
      </c>
      <c r="R941" s="164">
        <v>0</v>
      </c>
      <c r="S941" s="163" t="str">
        <f t="shared" si="110"/>
        <v/>
      </c>
      <c r="T941" s="163">
        <f>VLOOKUP(A941,'Groupe de branches'!$Z$27:$AM$86,14,FALSE)</f>
        <v>0</v>
      </c>
      <c r="U941" s="163">
        <f>VLOOKUP(D941,'Groupe de branches'!$Z$27:$AM$86,14,FALSE)</f>
        <v>0</v>
      </c>
      <c r="V941" s="163">
        <v>2018</v>
      </c>
      <c r="W941" t="str">
        <f>VLOOKUP(D941,'Table corresp.'!$M$4:$S$63,7,FALSE)</f>
        <v>Consommation finale</v>
      </c>
      <c r="X941" s="167">
        <f>IFERROR(G941/SUMIFS('Comp2016-2017 (3)'!$I$5:$I$289,'Comp2016-2017 (3)'!$A$5:$A$289,A941,'Comp2016-2017 (3)'!$R$5:$R$289,V941),0)</f>
        <v>0.34644243034621208</v>
      </c>
      <c r="Y941" s="178">
        <f>IFERROR(IF(RIGHT(F941,3)="Exp",VLOOKUP(F941,#REF!,2,FALSE),VLOOKUP(F941,#REF!,9,FALSE)),1)</f>
        <v>1</v>
      </c>
      <c r="Z941" s="167">
        <f t="shared" si="111"/>
        <v>0.1</v>
      </c>
      <c r="AA941" s="189">
        <f t="shared" si="106"/>
        <v>3.4644243034621207E-2</v>
      </c>
      <c r="AB941" s="2">
        <f>IFERROR(SUMIFS('Comp2016-2017 (3)'!$G$5:$G$289,'Comp2016-2017 (3)'!$A$5:$A$289,A941,'Comp2016-2017 (3)'!$R$5:$R$289,V941)*AA941/SUMIFS($AA$4:$AA$1116,$A$4:$A$1116,A941,$V$4:$V$1116,V941),0)</f>
        <v>41692.061355103935</v>
      </c>
      <c r="AC941" s="2" t="str">
        <f>IF($W941=AC$3,$AB941,IF(NOT($W941=0),"",SUMIFS('Val-Vol (2)'!AC$4:AC$1116,'Val-Vol (2)'!$A$4:$A$1116,$D941,'Val-Vol (2)'!$V$4:$V$1116,$V941)/SUMIFS('Comp2016-2017 (3)'!$G$5:$G$289,'Comp2016-2017 (3)'!$A$5:$A$289,$D941,'Comp2016-2017 (3)'!$R$5:$R$289,$V941)*$AB941))</f>
        <v/>
      </c>
      <c r="AD941" s="2" t="str">
        <f>IF($W941=AD$3,$AB941,IF(NOT($W941=0),"",SUMIFS('Val-Vol (2)'!AD$4:AD$1116,'Val-Vol (2)'!$A$4:$A$1116,$D941,'Val-Vol (2)'!$V$4:$V$1116,$V941)/SUMIFS('Comp2016-2017 (3)'!$G$5:$G$289,'Comp2016-2017 (3)'!$A$5:$A$289,$D941,'Comp2016-2017 (3)'!$R$5:$R$289,$V941)*$AB941))</f>
        <v/>
      </c>
      <c r="AE941" s="2" t="str">
        <f>IF($W941=AE$3,$AB941,IF(NOT($W941=0),"",SUMIFS('Val-Vol (2)'!AE$4:AE$1116,'Val-Vol (2)'!$A$4:$A$1116,$D941,'Val-Vol (2)'!$V$4:$V$1116,$V941)/SUMIFS('Comp2016-2017 (3)'!$G$5:$G$289,'Comp2016-2017 (3)'!$A$5:$A$289,$D941,'Comp2016-2017 (3)'!$R$5:$R$289,$V941)*$AB941))</f>
        <v/>
      </c>
      <c r="AF941" s="2" t="str">
        <f>IF($W941=AF$3,$AB941,IF(NOT($W941=0),"",SUMIFS('Val-Vol (2)'!AF$4:AF$1116,'Val-Vol (2)'!$A$4:$A$1116,$D941,'Val-Vol (2)'!$V$4:$V$1116,$V941)/SUMIFS('Comp2016-2017 (3)'!$G$5:$G$289,'Comp2016-2017 (3)'!$A$5:$A$289,$D941,'Comp2016-2017 (3)'!$R$5:$R$289,$V941)*$AB941))</f>
        <v/>
      </c>
      <c r="AG941" s="2" t="str">
        <f>IF($W941=AG$3,$AB941,IF(NOT($W941=0),"",SUMIFS('Val-Vol (2)'!AG$4:AG$1116,'Val-Vol (2)'!$A$4:$A$1116,$D941,'Val-Vol (2)'!$V$4:$V$1116,$V941)/SUMIFS('Comp2016-2017 (3)'!$G$5:$G$289,'Comp2016-2017 (3)'!$A$5:$A$289,$D941,'Comp2016-2017 (3)'!$R$5:$R$289,$V941)*$AB941))</f>
        <v/>
      </c>
      <c r="AH941" s="2" t="str">
        <f>IF($W941=AH$3,$AB941,IF(NOT($W941=0),"",SUMIFS('Val-Vol (2)'!AH$4:AH$1116,'Val-Vol (2)'!$A$4:$A$1116,$D941,'Val-Vol (2)'!$V$4:$V$1116,$V941)/SUMIFS('Comp2016-2017 (3)'!$G$5:$G$289,'Comp2016-2017 (3)'!$A$5:$A$289,$D941,'Comp2016-2017 (3)'!$R$5:$R$289,$V941)*$AB941))</f>
        <v/>
      </c>
      <c r="AI941" s="2" t="str">
        <f>IF($W941=AI$3,$AB941,IF(NOT($W941=0),"",SUMIFS('Val-Vol (2)'!AI$4:AI$1116,'Val-Vol (2)'!$A$4:$A$1116,$D941,'Val-Vol (2)'!$V$4:$V$1116,$V941)/SUMIFS('Comp2016-2017 (3)'!$G$5:$G$289,'Comp2016-2017 (3)'!$A$5:$A$289,$D941,'Comp2016-2017 (3)'!$R$5:$R$289,$V941)*$AB941))</f>
        <v/>
      </c>
      <c r="AJ941" s="2">
        <f>IF($W941=AJ$3,$AB941,IF(NOT($W941=0),"",SUMIFS('Val-Vol (2)'!AJ$4:AJ$1116,'Val-Vol (2)'!$A$4:$A$1116,$D941,'Val-Vol (2)'!$V$4:$V$1116,$V941)/SUMIFS('Comp2016-2017 (3)'!$G$5:$G$289,'Comp2016-2017 (3)'!$A$5:$A$289,$D941,'Comp2016-2017 (3)'!$R$5:$R$289,$V941)*$AB941))</f>
        <v>41692.061355103935</v>
      </c>
      <c r="AK941" s="2">
        <f t="shared" si="108"/>
        <v>0</v>
      </c>
      <c r="AL941" t="str">
        <f t="shared" si="105"/>
        <v/>
      </c>
      <c r="AM941" t="str">
        <f>VLOOKUP(A941,'Table corresp.'!$M$4:$U$63,8,FALSE)</f>
        <v>Production intermédiaire</v>
      </c>
      <c r="AN941" t="str">
        <f>VLOOKUP(D941,'Table corresp.'!$M$4:$U$63,9,FALSE)</f>
        <v>Consommation finale française</v>
      </c>
    </row>
    <row r="942" spans="1:40" x14ac:dyDescent="0.25">
      <c r="A942" t="s">
        <v>13</v>
      </c>
      <c r="B942" t="str">
        <f>VLOOKUP(LEFT(A942,3),'Table corresp.'!$A$4:$D$63,3,FALSE)</f>
        <v>Transformation</v>
      </c>
      <c r="C942" t="str">
        <f>VLOOKUP(A942,'Table corresp.'!$M$4:$P$63,4,FALSE)</f>
        <v>Production et transformation de produits bois</v>
      </c>
      <c r="D942" t="s">
        <v>53</v>
      </c>
      <c r="E942" t="str">
        <f>VLOOKUP(LEFT(D942,3),'Table corresp.'!$A$4:$D$63,4,FALSE)</f>
        <v>Exportation</v>
      </c>
      <c r="F942" t="str">
        <f t="shared" si="109"/>
        <v>20  - Exp</v>
      </c>
      <c r="G942" s="164">
        <v>73012.944999999978</v>
      </c>
      <c r="H942" s="164">
        <v>0</v>
      </c>
      <c r="I942" s="164">
        <v>73012.944999999978</v>
      </c>
      <c r="J942" s="164">
        <v>228.39958327049669</v>
      </c>
      <c r="K942" s="164">
        <v>0</v>
      </c>
      <c r="L942" s="164">
        <v>228.39958327049669</v>
      </c>
      <c r="M942" s="164">
        <v>0</v>
      </c>
      <c r="N942" s="164">
        <v>0</v>
      </c>
      <c r="O942" s="164">
        <v>0</v>
      </c>
      <c r="P942" s="164">
        <v>0</v>
      </c>
      <c r="Q942" s="164">
        <v>0</v>
      </c>
      <c r="R942" s="164">
        <v>0</v>
      </c>
      <c r="S942" s="163" t="str">
        <f t="shared" si="110"/>
        <v/>
      </c>
      <c r="T942" s="163">
        <f>VLOOKUP(A942,'Groupe de branches'!$Z$27:$AM$86,14,FALSE)</f>
        <v>0</v>
      </c>
      <c r="U942" s="163">
        <f>VLOOKUP(D942,'Groupe de branches'!$Z$27:$AM$86,14,FALSE)</f>
        <v>0</v>
      </c>
      <c r="V942" s="163">
        <v>2018</v>
      </c>
      <c r="W942" t="str">
        <f>VLOOKUP(D942,'Table corresp.'!$M$4:$S$63,7,FALSE)</f>
        <v>Exportation</v>
      </c>
      <c r="X942" s="167">
        <f>IFERROR(G942/SUMIFS('Comp2016-2017 (3)'!$I$5:$I$289,'Comp2016-2017 (3)'!$A$5:$A$289,A942,'Comp2016-2017 (3)'!$R$5:$R$289,V942),0)</f>
        <v>0.10519081532378401</v>
      </c>
      <c r="Y942" s="178">
        <f>IFERROR(IF(RIGHT(F942,3)="Exp",VLOOKUP(F942,#REF!,2,FALSE),VLOOKUP(F942,#REF!,9,FALSE)),1)</f>
        <v>1</v>
      </c>
      <c r="Z942" s="167">
        <f t="shared" si="111"/>
        <v>0.1</v>
      </c>
      <c r="AA942" s="189">
        <f t="shared" si="106"/>
        <v>1.0519081532378401E-2</v>
      </c>
      <c r="AB942" s="2">
        <f>IFERROR(SUMIFS('Comp2016-2017 (3)'!$G$5:$G$289,'Comp2016-2017 (3)'!$A$5:$A$289,A942,'Comp2016-2017 (3)'!$R$5:$R$289,V942)*AA942/SUMIFS($AA$4:$AA$1116,$A$4:$A$1116,A942,$V$4:$V$1116,V942),0)</f>
        <v>12659.020784751756</v>
      </c>
      <c r="AC942" s="2">
        <f>IF($W942=AC$3,$AB942,IF(NOT($W942=0),"",SUMIFS('Val-Vol (2)'!AC$4:AC$1116,'Val-Vol (2)'!$A$4:$A$1116,$D942,'Val-Vol (2)'!$V$4:$V$1116,$V942)/SUMIFS('Comp2016-2017 (3)'!$G$5:$G$289,'Comp2016-2017 (3)'!$A$5:$A$289,$D942,'Comp2016-2017 (3)'!$R$5:$R$289,$V942)*$AB942))</f>
        <v>12659.020784751756</v>
      </c>
      <c r="AD942" s="2" t="str">
        <f>IF($W942=AD$3,$AB942,IF(NOT($W942=0),"",SUMIFS('Val-Vol (2)'!AD$4:AD$1116,'Val-Vol (2)'!$A$4:$A$1116,$D942,'Val-Vol (2)'!$V$4:$V$1116,$V942)/SUMIFS('Comp2016-2017 (3)'!$G$5:$G$289,'Comp2016-2017 (3)'!$A$5:$A$289,$D942,'Comp2016-2017 (3)'!$R$5:$R$289,$V942)*$AB942))</f>
        <v/>
      </c>
      <c r="AE942" s="2" t="str">
        <f>IF($W942=AE$3,$AB942,IF(NOT($W942=0),"",SUMIFS('Val-Vol (2)'!AE$4:AE$1116,'Val-Vol (2)'!$A$4:$A$1116,$D942,'Val-Vol (2)'!$V$4:$V$1116,$V942)/SUMIFS('Comp2016-2017 (3)'!$G$5:$G$289,'Comp2016-2017 (3)'!$A$5:$A$289,$D942,'Comp2016-2017 (3)'!$R$5:$R$289,$V942)*$AB942))</f>
        <v/>
      </c>
      <c r="AF942" s="2" t="str">
        <f>IF($W942=AF$3,$AB942,IF(NOT($W942=0),"",SUMIFS('Val-Vol (2)'!AF$4:AF$1116,'Val-Vol (2)'!$A$4:$A$1116,$D942,'Val-Vol (2)'!$V$4:$V$1116,$V942)/SUMIFS('Comp2016-2017 (3)'!$G$5:$G$289,'Comp2016-2017 (3)'!$A$5:$A$289,$D942,'Comp2016-2017 (3)'!$R$5:$R$289,$V942)*$AB942))</f>
        <v/>
      </c>
      <c r="AG942" s="2" t="str">
        <f>IF($W942=AG$3,$AB942,IF(NOT($W942=0),"",SUMIFS('Val-Vol (2)'!AG$4:AG$1116,'Val-Vol (2)'!$A$4:$A$1116,$D942,'Val-Vol (2)'!$V$4:$V$1116,$V942)/SUMIFS('Comp2016-2017 (3)'!$G$5:$G$289,'Comp2016-2017 (3)'!$A$5:$A$289,$D942,'Comp2016-2017 (3)'!$R$5:$R$289,$V942)*$AB942))</f>
        <v/>
      </c>
      <c r="AH942" s="2" t="str">
        <f>IF($W942=AH$3,$AB942,IF(NOT($W942=0),"",SUMIFS('Val-Vol (2)'!AH$4:AH$1116,'Val-Vol (2)'!$A$4:$A$1116,$D942,'Val-Vol (2)'!$V$4:$V$1116,$V942)/SUMIFS('Comp2016-2017 (3)'!$G$5:$G$289,'Comp2016-2017 (3)'!$A$5:$A$289,$D942,'Comp2016-2017 (3)'!$R$5:$R$289,$V942)*$AB942))</f>
        <v/>
      </c>
      <c r="AI942" s="2" t="str">
        <f>IF($W942=AI$3,$AB942,IF(NOT($W942=0),"",SUMIFS('Val-Vol (2)'!AI$4:AI$1116,'Val-Vol (2)'!$A$4:$A$1116,$D942,'Val-Vol (2)'!$V$4:$V$1116,$V942)/SUMIFS('Comp2016-2017 (3)'!$G$5:$G$289,'Comp2016-2017 (3)'!$A$5:$A$289,$D942,'Comp2016-2017 (3)'!$R$5:$R$289,$V942)*$AB942))</f>
        <v/>
      </c>
      <c r="AJ942" s="2" t="str">
        <f>IF($W942=AJ$3,$AB942,IF(NOT($W942=0),"",SUMIFS('Val-Vol (2)'!AJ$4:AJ$1116,'Val-Vol (2)'!$A$4:$A$1116,$D942,'Val-Vol (2)'!$V$4:$V$1116,$V942)/SUMIFS('Comp2016-2017 (3)'!$G$5:$G$289,'Comp2016-2017 (3)'!$A$5:$A$289,$D942,'Comp2016-2017 (3)'!$R$5:$R$289,$V942)*$AB942))</f>
        <v/>
      </c>
      <c r="AK942" s="2">
        <f t="shared" si="108"/>
        <v>0</v>
      </c>
      <c r="AL942" t="str">
        <f t="shared" si="105"/>
        <v/>
      </c>
      <c r="AM942" t="str">
        <f>VLOOKUP(A942,'Table corresp.'!$M$4:$U$63,8,FALSE)</f>
        <v>Production intermédiaire</v>
      </c>
      <c r="AN942" t="str">
        <f>VLOOKUP(D942,'Table corresp.'!$M$4:$U$63,9,FALSE)</f>
        <v>Exportation</v>
      </c>
    </row>
    <row r="943" spans="1:40" x14ac:dyDescent="0.25">
      <c r="A943" t="s">
        <v>14</v>
      </c>
      <c r="B943" t="str">
        <f>VLOOKUP(LEFT(A943,3),'Table corresp.'!$A$4:$D$63,3,FALSE)</f>
        <v>Transformation</v>
      </c>
      <c r="C943" t="str">
        <f>VLOOKUP(A943,'Table corresp.'!$M$4:$P$63,4,FALSE)</f>
        <v>Production et transformation de produits bois</v>
      </c>
      <c r="D943" t="s">
        <v>85</v>
      </c>
      <c r="E943" t="str">
        <f>VLOOKUP(LEFT(D943,3),'Table corresp.'!$A$4:$D$63,4,FALSE)</f>
        <v>Transformation</v>
      </c>
      <c r="F943" t="str">
        <f t="shared" si="109"/>
        <v xml:space="preserve">20b - 29 </v>
      </c>
      <c r="G943" s="164">
        <v>2794.7663622479527</v>
      </c>
      <c r="H943" s="164">
        <v>6771.9788523123789</v>
      </c>
      <c r="I943" s="164">
        <v>9566.7452145603256</v>
      </c>
      <c r="J943" s="164">
        <v>9.7336340429191868</v>
      </c>
      <c r="K943" s="164">
        <v>28.818191229059455</v>
      </c>
      <c r="L943" s="164">
        <v>38.551825271978643</v>
      </c>
      <c r="M943" s="164">
        <v>0</v>
      </c>
      <c r="N943" s="164">
        <v>0</v>
      </c>
      <c r="O943" s="164">
        <v>0</v>
      </c>
      <c r="P943" s="164">
        <v>0</v>
      </c>
      <c r="Q943" s="164">
        <v>0</v>
      </c>
      <c r="R943" s="164">
        <v>0</v>
      </c>
      <c r="S943" s="163" t="str">
        <f t="shared" si="110"/>
        <v/>
      </c>
      <c r="T943" s="163">
        <f>VLOOKUP(A943,'Groupe de branches'!$Z$27:$AM$86,14,FALSE)</f>
        <v>0</v>
      </c>
      <c r="U943" s="163">
        <f>VLOOKUP(D943,'Groupe de branches'!$Z$27:$AM$86,14,FALSE)</f>
        <v>0</v>
      </c>
      <c r="V943" s="163">
        <v>2018</v>
      </c>
      <c r="W943" t="str">
        <f>VLOOKUP(D943,'Table corresp.'!$M$4:$S$63,7,FALSE)</f>
        <v>Construction</v>
      </c>
      <c r="X943" s="167">
        <f>IFERROR(G943/SUMIFS('Comp2016-2017 (3)'!$I$5:$I$289,'Comp2016-2017 (3)'!$A$5:$A$289,A943,'Comp2016-2017 (3)'!$R$5:$R$289,V943),0)</f>
        <v>1.5710121498140755E-2</v>
      </c>
      <c r="Y943" s="178">
        <f>IFERROR(IF(RIGHT(F943,3)="Exp",VLOOKUP(F943,#REF!,2,FALSE),VLOOKUP(F943,#REF!,9,FALSE)),1)</f>
        <v>1</v>
      </c>
      <c r="Z943" s="167">
        <f t="shared" si="111"/>
        <v>7.1428571428571425E-2</v>
      </c>
      <c r="AA943" s="189">
        <f t="shared" si="106"/>
        <v>1.1221515355814824E-3</v>
      </c>
      <c r="AB943" s="2">
        <f>IFERROR(SUMIFS('Comp2016-2017 (3)'!$G$5:$G$289,'Comp2016-2017 (3)'!$A$5:$A$289,A943,'Comp2016-2017 (3)'!$R$5:$R$289,V943)*AA943/SUMIFS($AA$4:$AA$1116,$A$4:$A$1116,A943,$V$4:$V$1116,V943),0)</f>
        <v>681.24169119440603</v>
      </c>
      <c r="AC943" s="2" t="str">
        <f>IF($W943=AC$3,$AB943,IF(NOT($W943=0),"",SUMIFS('Val-Vol (2)'!AC$4:AC$1116,'Val-Vol (2)'!$A$4:$A$1116,$D943,'Val-Vol (2)'!$V$4:$V$1116,$V943)/SUMIFS('Comp2016-2017 (3)'!$G$5:$G$289,'Comp2016-2017 (3)'!$A$5:$A$289,$D943,'Comp2016-2017 (3)'!$R$5:$R$289,$V943)*$AB943))</f>
        <v/>
      </c>
      <c r="AD943" s="2">
        <f>IF($W943=AD$3,$AB943,IF(NOT($W943=0),"",SUMIFS('Val-Vol (2)'!AD$4:AD$1116,'Val-Vol (2)'!$A$4:$A$1116,$D943,'Val-Vol (2)'!$V$4:$V$1116,$V943)/SUMIFS('Comp2016-2017 (3)'!$G$5:$G$289,'Comp2016-2017 (3)'!$A$5:$A$289,$D943,'Comp2016-2017 (3)'!$R$5:$R$289,$V943)*$AB943))</f>
        <v>681.24169119440603</v>
      </c>
      <c r="AE943" s="2" t="str">
        <f>IF($W943=AE$3,$AB943,IF(NOT($W943=0),"",SUMIFS('Val-Vol (2)'!AE$4:AE$1116,'Val-Vol (2)'!$A$4:$A$1116,$D943,'Val-Vol (2)'!$V$4:$V$1116,$V943)/SUMIFS('Comp2016-2017 (3)'!$G$5:$G$289,'Comp2016-2017 (3)'!$A$5:$A$289,$D943,'Comp2016-2017 (3)'!$R$5:$R$289,$V943)*$AB943))</f>
        <v/>
      </c>
      <c r="AF943" s="2" t="str">
        <f>IF($W943=AF$3,$AB943,IF(NOT($W943=0),"",SUMIFS('Val-Vol (2)'!AF$4:AF$1116,'Val-Vol (2)'!$A$4:$A$1116,$D943,'Val-Vol (2)'!$V$4:$V$1116,$V943)/SUMIFS('Comp2016-2017 (3)'!$G$5:$G$289,'Comp2016-2017 (3)'!$A$5:$A$289,$D943,'Comp2016-2017 (3)'!$R$5:$R$289,$V943)*$AB943))</f>
        <v/>
      </c>
      <c r="AG943" s="2" t="str">
        <f>IF($W943=AG$3,$AB943,IF(NOT($W943=0),"",SUMIFS('Val-Vol (2)'!AG$4:AG$1116,'Val-Vol (2)'!$A$4:$A$1116,$D943,'Val-Vol (2)'!$V$4:$V$1116,$V943)/SUMIFS('Comp2016-2017 (3)'!$G$5:$G$289,'Comp2016-2017 (3)'!$A$5:$A$289,$D943,'Comp2016-2017 (3)'!$R$5:$R$289,$V943)*$AB943))</f>
        <v/>
      </c>
      <c r="AH943" s="2" t="str">
        <f>IF($W943=AH$3,$AB943,IF(NOT($W943=0),"",SUMIFS('Val-Vol (2)'!AH$4:AH$1116,'Val-Vol (2)'!$A$4:$A$1116,$D943,'Val-Vol (2)'!$V$4:$V$1116,$V943)/SUMIFS('Comp2016-2017 (3)'!$G$5:$G$289,'Comp2016-2017 (3)'!$A$5:$A$289,$D943,'Comp2016-2017 (3)'!$R$5:$R$289,$V943)*$AB943))</f>
        <v/>
      </c>
      <c r="AI943" s="2" t="str">
        <f>IF($W943=AI$3,$AB943,IF(NOT($W943=0),"",SUMIFS('Val-Vol (2)'!AI$4:AI$1116,'Val-Vol (2)'!$A$4:$A$1116,$D943,'Val-Vol (2)'!$V$4:$V$1116,$V943)/SUMIFS('Comp2016-2017 (3)'!$G$5:$G$289,'Comp2016-2017 (3)'!$A$5:$A$289,$D943,'Comp2016-2017 (3)'!$R$5:$R$289,$V943)*$AB943))</f>
        <v/>
      </c>
      <c r="AJ943" s="2" t="str">
        <f>IF($W943=AJ$3,$AB943,IF(NOT($W943=0),"",SUMIFS('Val-Vol (2)'!AJ$4:AJ$1116,'Val-Vol (2)'!$A$4:$A$1116,$D943,'Val-Vol (2)'!$V$4:$V$1116,$V943)/SUMIFS('Comp2016-2017 (3)'!$G$5:$G$289,'Comp2016-2017 (3)'!$A$5:$A$289,$D943,'Comp2016-2017 (3)'!$R$5:$R$289,$V943)*$AB943))</f>
        <v/>
      </c>
      <c r="AK943" s="2">
        <f t="shared" si="108"/>
        <v>0</v>
      </c>
      <c r="AL943" t="str">
        <f t="shared" si="105"/>
        <v/>
      </c>
      <c r="AM943" t="str">
        <f>VLOOKUP(A943,'Table corresp.'!$M$4:$U$63,8,FALSE)</f>
        <v>Production intermédiaire</v>
      </c>
      <c r="AN943" t="str">
        <f>VLOOKUP(D943,'Table corresp.'!$M$4:$U$63,9,FALSE)</f>
        <v>Production intermédiaire</v>
      </c>
    </row>
    <row r="944" spans="1:40" x14ac:dyDescent="0.25">
      <c r="A944" t="s">
        <v>14</v>
      </c>
      <c r="B944" t="str">
        <f>VLOOKUP(LEFT(A944,3),'Table corresp.'!$A$4:$D$63,3,FALSE)</f>
        <v>Transformation</v>
      </c>
      <c r="C944" t="str">
        <f>VLOOKUP(A944,'Table corresp.'!$M$4:$P$63,4,FALSE)</f>
        <v>Production et transformation de produits bois</v>
      </c>
      <c r="D944" t="s">
        <v>90</v>
      </c>
      <c r="E944" t="str">
        <f>VLOOKUP(LEFT(D944,3),'Table corresp.'!$A$4:$D$63,4,FALSE)</f>
        <v>Transformation</v>
      </c>
      <c r="F944" t="str">
        <f t="shared" si="109"/>
        <v xml:space="preserve">20b - 34 </v>
      </c>
      <c r="G944" s="164">
        <v>2408.3765789797517</v>
      </c>
      <c r="H944" s="164">
        <v>7912.7179913233067</v>
      </c>
      <c r="I944" s="164">
        <v>10321.094570303043</v>
      </c>
      <c r="J944" s="164">
        <v>7.0974645904590652</v>
      </c>
      <c r="K944" s="164">
        <v>30.305351311594748</v>
      </c>
      <c r="L944" s="164">
        <v>37.402815902053817</v>
      </c>
      <c r="M944" s="164">
        <v>0</v>
      </c>
      <c r="N944" s="164">
        <v>0</v>
      </c>
      <c r="O944" s="164">
        <v>0</v>
      </c>
      <c r="P944" s="164">
        <v>0</v>
      </c>
      <c r="Q944" s="164">
        <v>0</v>
      </c>
      <c r="R944" s="164">
        <v>0</v>
      </c>
      <c r="S944" s="163" t="str">
        <f t="shared" si="110"/>
        <v/>
      </c>
      <c r="T944" s="163">
        <f>VLOOKUP(A944,'Groupe de branches'!$Z$27:$AM$86,14,FALSE)</f>
        <v>0</v>
      </c>
      <c r="U944" s="163">
        <f>VLOOKUP(D944,'Groupe de branches'!$Z$27:$AM$86,14,FALSE)</f>
        <v>0</v>
      </c>
      <c r="V944" s="163">
        <v>2018</v>
      </c>
      <c r="W944" t="str">
        <f>VLOOKUP(D944,'Table corresp.'!$M$4:$S$63,7,FALSE)</f>
        <v>Construction</v>
      </c>
      <c r="X944" s="167">
        <f>IFERROR(G944/SUMIFS('Comp2016-2017 (3)'!$I$5:$I$289,'Comp2016-2017 (3)'!$A$5:$A$289,A944,'Comp2016-2017 (3)'!$R$5:$R$289,V944),0)</f>
        <v>1.3538122248836364E-2</v>
      </c>
      <c r="Y944" s="178">
        <f>IFERROR(IF(RIGHT(F944,3)="Exp",VLOOKUP(F944,#REF!,2,FALSE),VLOOKUP(F944,#REF!,9,FALSE)),1)</f>
        <v>1</v>
      </c>
      <c r="Z944" s="167">
        <f t="shared" si="111"/>
        <v>7.1428571428571425E-2</v>
      </c>
      <c r="AA944" s="189">
        <f t="shared" si="106"/>
        <v>9.670087320597403E-4</v>
      </c>
      <c r="AB944" s="2">
        <f>IFERROR(SUMIFS('Comp2016-2017 (3)'!$G$5:$G$289,'Comp2016-2017 (3)'!$A$5:$A$289,A944,'Comp2016-2017 (3)'!$R$5:$R$289,V944)*AA944/SUMIFS($AA$4:$AA$1116,$A$4:$A$1116,A944,$V$4:$V$1116,V944),0)</f>
        <v>587.05677721750169</v>
      </c>
      <c r="AC944" s="2" t="str">
        <f>IF($W944=AC$3,$AB944,IF(NOT($W944=0),"",SUMIFS('Val-Vol (2)'!AC$4:AC$1116,'Val-Vol (2)'!$A$4:$A$1116,$D944,'Val-Vol (2)'!$V$4:$V$1116,$V944)/SUMIFS('Comp2016-2017 (3)'!$G$5:$G$289,'Comp2016-2017 (3)'!$A$5:$A$289,$D944,'Comp2016-2017 (3)'!$R$5:$R$289,$V944)*$AB944))</f>
        <v/>
      </c>
      <c r="AD944" s="2">
        <f>IF($W944=AD$3,$AB944,IF(NOT($W944=0),"",SUMIFS('Val-Vol (2)'!AD$4:AD$1116,'Val-Vol (2)'!$A$4:$A$1116,$D944,'Val-Vol (2)'!$V$4:$V$1116,$V944)/SUMIFS('Comp2016-2017 (3)'!$G$5:$G$289,'Comp2016-2017 (3)'!$A$5:$A$289,$D944,'Comp2016-2017 (3)'!$R$5:$R$289,$V944)*$AB944))</f>
        <v>587.05677721750169</v>
      </c>
      <c r="AE944" s="2" t="str">
        <f>IF($W944=AE$3,$AB944,IF(NOT($W944=0),"",SUMIFS('Val-Vol (2)'!AE$4:AE$1116,'Val-Vol (2)'!$A$4:$A$1116,$D944,'Val-Vol (2)'!$V$4:$V$1116,$V944)/SUMIFS('Comp2016-2017 (3)'!$G$5:$G$289,'Comp2016-2017 (3)'!$A$5:$A$289,$D944,'Comp2016-2017 (3)'!$R$5:$R$289,$V944)*$AB944))</f>
        <v/>
      </c>
      <c r="AF944" s="2" t="str">
        <f>IF($W944=AF$3,$AB944,IF(NOT($W944=0),"",SUMIFS('Val-Vol (2)'!AF$4:AF$1116,'Val-Vol (2)'!$A$4:$A$1116,$D944,'Val-Vol (2)'!$V$4:$V$1116,$V944)/SUMIFS('Comp2016-2017 (3)'!$G$5:$G$289,'Comp2016-2017 (3)'!$A$5:$A$289,$D944,'Comp2016-2017 (3)'!$R$5:$R$289,$V944)*$AB944))</f>
        <v/>
      </c>
      <c r="AG944" s="2" t="str">
        <f>IF($W944=AG$3,$AB944,IF(NOT($W944=0),"",SUMIFS('Val-Vol (2)'!AG$4:AG$1116,'Val-Vol (2)'!$A$4:$A$1116,$D944,'Val-Vol (2)'!$V$4:$V$1116,$V944)/SUMIFS('Comp2016-2017 (3)'!$G$5:$G$289,'Comp2016-2017 (3)'!$A$5:$A$289,$D944,'Comp2016-2017 (3)'!$R$5:$R$289,$V944)*$AB944))</f>
        <v/>
      </c>
      <c r="AH944" s="2" t="str">
        <f>IF($W944=AH$3,$AB944,IF(NOT($W944=0),"",SUMIFS('Val-Vol (2)'!AH$4:AH$1116,'Val-Vol (2)'!$A$4:$A$1116,$D944,'Val-Vol (2)'!$V$4:$V$1116,$V944)/SUMIFS('Comp2016-2017 (3)'!$G$5:$G$289,'Comp2016-2017 (3)'!$A$5:$A$289,$D944,'Comp2016-2017 (3)'!$R$5:$R$289,$V944)*$AB944))</f>
        <v/>
      </c>
      <c r="AI944" s="2" t="str">
        <f>IF($W944=AI$3,$AB944,IF(NOT($W944=0),"",SUMIFS('Val-Vol (2)'!AI$4:AI$1116,'Val-Vol (2)'!$A$4:$A$1116,$D944,'Val-Vol (2)'!$V$4:$V$1116,$V944)/SUMIFS('Comp2016-2017 (3)'!$G$5:$G$289,'Comp2016-2017 (3)'!$A$5:$A$289,$D944,'Comp2016-2017 (3)'!$R$5:$R$289,$V944)*$AB944))</f>
        <v/>
      </c>
      <c r="AJ944" s="2" t="str">
        <f>IF($W944=AJ$3,$AB944,IF(NOT($W944=0),"",SUMIFS('Val-Vol (2)'!AJ$4:AJ$1116,'Val-Vol (2)'!$A$4:$A$1116,$D944,'Val-Vol (2)'!$V$4:$V$1116,$V944)/SUMIFS('Comp2016-2017 (3)'!$G$5:$G$289,'Comp2016-2017 (3)'!$A$5:$A$289,$D944,'Comp2016-2017 (3)'!$R$5:$R$289,$V944)*$AB944))</f>
        <v/>
      </c>
      <c r="AK944" s="2">
        <f t="shared" si="108"/>
        <v>0</v>
      </c>
      <c r="AL944" t="str">
        <f t="shared" si="105"/>
        <v/>
      </c>
      <c r="AM944" t="str">
        <f>VLOOKUP(A944,'Table corresp.'!$M$4:$U$63,8,FALSE)</f>
        <v>Production intermédiaire</v>
      </c>
      <c r="AN944" t="str">
        <f>VLOOKUP(D944,'Table corresp.'!$M$4:$U$63,9,FALSE)</f>
        <v>Production finale</v>
      </c>
    </row>
    <row r="945" spans="1:40" x14ac:dyDescent="0.25">
      <c r="A945" t="s">
        <v>14</v>
      </c>
      <c r="B945" t="str">
        <f>VLOOKUP(LEFT(A945,3),'Table corresp.'!$A$4:$D$63,3,FALSE)</f>
        <v>Transformation</v>
      </c>
      <c r="C945" t="str">
        <f>VLOOKUP(A945,'Table corresp.'!$M$4:$P$63,4,FALSE)</f>
        <v>Production et transformation de produits bois</v>
      </c>
      <c r="D945" t="s">
        <v>15</v>
      </c>
      <c r="E945" t="str">
        <f>VLOOKUP(LEFT(D945,3),'Table corresp.'!$A$4:$D$63,4,FALSE)</f>
        <v>Transformation</v>
      </c>
      <c r="F945" t="str">
        <f t="shared" si="109"/>
        <v xml:space="preserve">20b - 35 </v>
      </c>
      <c r="G945" s="164">
        <v>36096.971655281159</v>
      </c>
      <c r="H945" s="164">
        <v>91637.528911999267</v>
      </c>
      <c r="I945" s="164">
        <v>127734.50056728034</v>
      </c>
      <c r="J945" s="164">
        <v>98.77906805323795</v>
      </c>
      <c r="K945" s="164">
        <v>275.76024364959727</v>
      </c>
      <c r="L945" s="164">
        <v>374.53931170283522</v>
      </c>
      <c r="M945" s="164">
        <v>0</v>
      </c>
      <c r="N945" s="164">
        <v>0</v>
      </c>
      <c r="O945" s="164">
        <v>0</v>
      </c>
      <c r="P945" s="164">
        <v>0</v>
      </c>
      <c r="Q945" s="164">
        <v>0</v>
      </c>
      <c r="R945" s="164">
        <v>0</v>
      </c>
      <c r="S945" s="163" t="str">
        <f t="shared" si="110"/>
        <v/>
      </c>
      <c r="T945" s="163">
        <f>VLOOKUP(A945,'Groupe de branches'!$Z$27:$AM$86,14,FALSE)</f>
        <v>0</v>
      </c>
      <c r="U945" s="163">
        <f>VLOOKUP(D945,'Groupe de branches'!$Z$27:$AM$86,14,FALSE)</f>
        <v>0</v>
      </c>
      <c r="V945" s="163">
        <v>2018</v>
      </c>
      <c r="W945" t="str">
        <f>VLOOKUP(D945,'Table corresp.'!$M$4:$S$63,7,FALSE)</f>
        <v>Construction</v>
      </c>
      <c r="X945" s="167">
        <f>IFERROR(G945/SUMIFS('Comp2016-2017 (3)'!$I$5:$I$289,'Comp2016-2017 (3)'!$A$5:$A$289,A945,'Comp2016-2017 (3)'!$R$5:$R$289,V945),0)</f>
        <v>0.20291063255938019</v>
      </c>
      <c r="Y945" s="178">
        <f>IFERROR(IF(RIGHT(F945,3)="Exp",VLOOKUP(F945,#REF!,2,FALSE),VLOOKUP(F945,#REF!,9,FALSE)),1)</f>
        <v>1</v>
      </c>
      <c r="Z945" s="167">
        <f t="shared" si="111"/>
        <v>7.1428571428571425E-2</v>
      </c>
      <c r="AA945" s="189">
        <f t="shared" si="106"/>
        <v>1.4493616611384298E-2</v>
      </c>
      <c r="AB945" s="2">
        <f>IFERROR(SUMIFS('Comp2016-2017 (3)'!$G$5:$G$289,'Comp2016-2017 (3)'!$A$5:$A$289,A945,'Comp2016-2017 (3)'!$R$5:$R$289,V945)*AA945/SUMIFS($AA$4:$AA$1116,$A$4:$A$1116,A945,$V$4:$V$1116,V945),0)</f>
        <v>8798.8614539001574</v>
      </c>
      <c r="AC945" s="2" t="str">
        <f>IF($W945=AC$3,$AB945,IF(NOT($W945=0),"",SUMIFS('Val-Vol (2)'!AC$4:AC$1116,'Val-Vol (2)'!$A$4:$A$1116,$D945,'Val-Vol (2)'!$V$4:$V$1116,$V945)/SUMIFS('Comp2016-2017 (3)'!$G$5:$G$289,'Comp2016-2017 (3)'!$A$5:$A$289,$D945,'Comp2016-2017 (3)'!$R$5:$R$289,$V945)*$AB945))</f>
        <v/>
      </c>
      <c r="AD945" s="2">
        <f>IF($W945=AD$3,$AB945,IF(NOT($W945=0),"",SUMIFS('Val-Vol (2)'!AD$4:AD$1116,'Val-Vol (2)'!$A$4:$A$1116,$D945,'Val-Vol (2)'!$V$4:$V$1116,$V945)/SUMIFS('Comp2016-2017 (3)'!$G$5:$G$289,'Comp2016-2017 (3)'!$A$5:$A$289,$D945,'Comp2016-2017 (3)'!$R$5:$R$289,$V945)*$AB945))</f>
        <v>8798.8614539001574</v>
      </c>
      <c r="AE945" s="2" t="str">
        <f>IF($W945=AE$3,$AB945,IF(NOT($W945=0),"",SUMIFS('Val-Vol (2)'!AE$4:AE$1116,'Val-Vol (2)'!$A$4:$A$1116,$D945,'Val-Vol (2)'!$V$4:$V$1116,$V945)/SUMIFS('Comp2016-2017 (3)'!$G$5:$G$289,'Comp2016-2017 (3)'!$A$5:$A$289,$D945,'Comp2016-2017 (3)'!$R$5:$R$289,$V945)*$AB945))</f>
        <v/>
      </c>
      <c r="AF945" s="2" t="str">
        <f>IF($W945=AF$3,$AB945,IF(NOT($W945=0),"",SUMIFS('Val-Vol (2)'!AF$4:AF$1116,'Val-Vol (2)'!$A$4:$A$1116,$D945,'Val-Vol (2)'!$V$4:$V$1116,$V945)/SUMIFS('Comp2016-2017 (3)'!$G$5:$G$289,'Comp2016-2017 (3)'!$A$5:$A$289,$D945,'Comp2016-2017 (3)'!$R$5:$R$289,$V945)*$AB945))</f>
        <v/>
      </c>
      <c r="AG945" s="2" t="str">
        <f>IF($W945=AG$3,$AB945,IF(NOT($W945=0),"",SUMIFS('Val-Vol (2)'!AG$4:AG$1116,'Val-Vol (2)'!$A$4:$A$1116,$D945,'Val-Vol (2)'!$V$4:$V$1116,$V945)/SUMIFS('Comp2016-2017 (3)'!$G$5:$G$289,'Comp2016-2017 (3)'!$A$5:$A$289,$D945,'Comp2016-2017 (3)'!$R$5:$R$289,$V945)*$AB945))</f>
        <v/>
      </c>
      <c r="AH945" s="2" t="str">
        <f>IF($W945=AH$3,$AB945,IF(NOT($W945=0),"",SUMIFS('Val-Vol (2)'!AH$4:AH$1116,'Val-Vol (2)'!$A$4:$A$1116,$D945,'Val-Vol (2)'!$V$4:$V$1116,$V945)/SUMIFS('Comp2016-2017 (3)'!$G$5:$G$289,'Comp2016-2017 (3)'!$A$5:$A$289,$D945,'Comp2016-2017 (3)'!$R$5:$R$289,$V945)*$AB945))</f>
        <v/>
      </c>
      <c r="AI945" s="2" t="str">
        <f>IF($W945=AI$3,$AB945,IF(NOT($W945=0),"",SUMIFS('Val-Vol (2)'!AI$4:AI$1116,'Val-Vol (2)'!$A$4:$A$1116,$D945,'Val-Vol (2)'!$V$4:$V$1116,$V945)/SUMIFS('Comp2016-2017 (3)'!$G$5:$G$289,'Comp2016-2017 (3)'!$A$5:$A$289,$D945,'Comp2016-2017 (3)'!$R$5:$R$289,$V945)*$AB945))</f>
        <v/>
      </c>
      <c r="AJ945" s="2" t="str">
        <f>IF($W945=AJ$3,$AB945,IF(NOT($W945=0),"",SUMIFS('Val-Vol (2)'!AJ$4:AJ$1116,'Val-Vol (2)'!$A$4:$A$1116,$D945,'Val-Vol (2)'!$V$4:$V$1116,$V945)/SUMIFS('Comp2016-2017 (3)'!$G$5:$G$289,'Comp2016-2017 (3)'!$A$5:$A$289,$D945,'Comp2016-2017 (3)'!$R$5:$R$289,$V945)*$AB945))</f>
        <v/>
      </c>
      <c r="AK945" s="2">
        <f t="shared" si="108"/>
        <v>0</v>
      </c>
      <c r="AL945" t="str">
        <f t="shared" si="105"/>
        <v/>
      </c>
      <c r="AM945" t="str">
        <f>VLOOKUP(A945,'Table corresp.'!$M$4:$U$63,8,FALSE)</f>
        <v>Production intermédiaire</v>
      </c>
      <c r="AN945" t="str">
        <f>VLOOKUP(D945,'Table corresp.'!$M$4:$U$63,9,FALSE)</f>
        <v>Production finale</v>
      </c>
    </row>
    <row r="946" spans="1:40" x14ac:dyDescent="0.25">
      <c r="A946" t="s">
        <v>14</v>
      </c>
      <c r="B946" t="str">
        <f>VLOOKUP(LEFT(A946,3),'Table corresp.'!$A$4:$D$63,3,FALSE)</f>
        <v>Transformation</v>
      </c>
      <c r="C946" t="str">
        <f>VLOOKUP(A946,'Table corresp.'!$M$4:$P$63,4,FALSE)</f>
        <v>Production et transformation de produits bois</v>
      </c>
      <c r="D946" t="s">
        <v>16</v>
      </c>
      <c r="E946" t="str">
        <f>VLOOKUP(LEFT(D946,3),'Table corresp.'!$A$4:$D$63,4,FALSE)</f>
        <v>Transformation</v>
      </c>
      <c r="F946" t="str">
        <f t="shared" si="109"/>
        <v xml:space="preserve">20b - 36 </v>
      </c>
      <c r="G946" s="164">
        <v>5018.7841194329239</v>
      </c>
      <c r="H946" s="164">
        <v>20919.375794173106</v>
      </c>
      <c r="I946" s="164">
        <v>25938.159913605967</v>
      </c>
      <c r="J946" s="164">
        <v>16.022838700921454</v>
      </c>
      <c r="K946" s="164">
        <v>73.443572812417599</v>
      </c>
      <c r="L946" s="164">
        <v>89.466411513339054</v>
      </c>
      <c r="M946" s="164">
        <v>0</v>
      </c>
      <c r="N946" s="164">
        <v>0</v>
      </c>
      <c r="O946" s="164">
        <v>0</v>
      </c>
      <c r="P946" s="164">
        <v>0</v>
      </c>
      <c r="Q946" s="164">
        <v>0</v>
      </c>
      <c r="R946" s="164">
        <v>0</v>
      </c>
      <c r="S946" s="163" t="str">
        <f t="shared" si="110"/>
        <v/>
      </c>
      <c r="T946" s="163">
        <f>VLOOKUP(A946,'Groupe de branches'!$Z$27:$AM$86,14,FALSE)</f>
        <v>0</v>
      </c>
      <c r="U946" s="163">
        <f>VLOOKUP(D946,'Groupe de branches'!$Z$27:$AM$86,14,FALSE)</f>
        <v>0</v>
      </c>
      <c r="V946" s="163">
        <v>2018</v>
      </c>
      <c r="W946" t="str">
        <f>VLOOKUP(D946,'Table corresp.'!$M$4:$S$63,7,FALSE)</f>
        <v>Construction</v>
      </c>
      <c r="X946" s="167">
        <f>IFERROR(G946/SUMIFS('Comp2016-2017 (3)'!$I$5:$I$289,'Comp2016-2017 (3)'!$A$5:$A$289,A946,'Comp2016-2017 (3)'!$R$5:$R$289,V946),0)</f>
        <v>2.8211914009803503E-2</v>
      </c>
      <c r="Y946" s="178">
        <f>IFERROR(IF(RIGHT(F946,3)="Exp",VLOOKUP(F946,#REF!,2,FALSE),VLOOKUP(F946,#REF!,9,FALSE)),1)</f>
        <v>1</v>
      </c>
      <c r="Z946" s="167">
        <f t="shared" si="111"/>
        <v>7.1428571428571425E-2</v>
      </c>
      <c r="AA946" s="189">
        <f t="shared" si="106"/>
        <v>2.0151367149859644E-3</v>
      </c>
      <c r="AB946" s="2">
        <f>IFERROR(SUMIFS('Comp2016-2017 (3)'!$G$5:$G$289,'Comp2016-2017 (3)'!$A$5:$A$289,A946,'Comp2016-2017 (3)'!$R$5:$R$289,V946)*AA946/SUMIFS($AA$4:$AA$1116,$A$4:$A$1116,A946,$V$4:$V$1116,V946),0)</f>
        <v>1223.3598584291169</v>
      </c>
      <c r="AC946" s="2" t="str">
        <f>IF($W946=AC$3,$AB946,IF(NOT($W946=0),"",SUMIFS('Val-Vol (2)'!AC$4:AC$1116,'Val-Vol (2)'!$A$4:$A$1116,$D946,'Val-Vol (2)'!$V$4:$V$1116,$V946)/SUMIFS('Comp2016-2017 (3)'!$G$5:$G$289,'Comp2016-2017 (3)'!$A$5:$A$289,$D946,'Comp2016-2017 (3)'!$R$5:$R$289,$V946)*$AB946))</f>
        <v/>
      </c>
      <c r="AD946" s="2">
        <f>IF($W946=AD$3,$AB946,IF(NOT($W946=0),"",SUMIFS('Val-Vol (2)'!AD$4:AD$1116,'Val-Vol (2)'!$A$4:$A$1116,$D946,'Val-Vol (2)'!$V$4:$V$1116,$V946)/SUMIFS('Comp2016-2017 (3)'!$G$5:$G$289,'Comp2016-2017 (3)'!$A$5:$A$289,$D946,'Comp2016-2017 (3)'!$R$5:$R$289,$V946)*$AB946))</f>
        <v>1223.3598584291169</v>
      </c>
      <c r="AE946" s="2" t="str">
        <f>IF($W946=AE$3,$AB946,IF(NOT($W946=0),"",SUMIFS('Val-Vol (2)'!AE$4:AE$1116,'Val-Vol (2)'!$A$4:$A$1116,$D946,'Val-Vol (2)'!$V$4:$V$1116,$V946)/SUMIFS('Comp2016-2017 (3)'!$G$5:$G$289,'Comp2016-2017 (3)'!$A$5:$A$289,$D946,'Comp2016-2017 (3)'!$R$5:$R$289,$V946)*$AB946))</f>
        <v/>
      </c>
      <c r="AF946" s="2" t="str">
        <f>IF($W946=AF$3,$AB946,IF(NOT($W946=0),"",SUMIFS('Val-Vol (2)'!AF$4:AF$1116,'Val-Vol (2)'!$A$4:$A$1116,$D946,'Val-Vol (2)'!$V$4:$V$1116,$V946)/SUMIFS('Comp2016-2017 (3)'!$G$5:$G$289,'Comp2016-2017 (3)'!$A$5:$A$289,$D946,'Comp2016-2017 (3)'!$R$5:$R$289,$V946)*$AB946))</f>
        <v/>
      </c>
      <c r="AG946" s="2" t="str">
        <f>IF($W946=AG$3,$AB946,IF(NOT($W946=0),"",SUMIFS('Val-Vol (2)'!AG$4:AG$1116,'Val-Vol (2)'!$A$4:$A$1116,$D946,'Val-Vol (2)'!$V$4:$V$1116,$V946)/SUMIFS('Comp2016-2017 (3)'!$G$5:$G$289,'Comp2016-2017 (3)'!$A$5:$A$289,$D946,'Comp2016-2017 (3)'!$R$5:$R$289,$V946)*$AB946))</f>
        <v/>
      </c>
      <c r="AH946" s="2" t="str">
        <f>IF($W946=AH$3,$AB946,IF(NOT($W946=0),"",SUMIFS('Val-Vol (2)'!AH$4:AH$1116,'Val-Vol (2)'!$A$4:$A$1116,$D946,'Val-Vol (2)'!$V$4:$V$1116,$V946)/SUMIFS('Comp2016-2017 (3)'!$G$5:$G$289,'Comp2016-2017 (3)'!$A$5:$A$289,$D946,'Comp2016-2017 (3)'!$R$5:$R$289,$V946)*$AB946))</f>
        <v/>
      </c>
      <c r="AI946" s="2" t="str">
        <f>IF($W946=AI$3,$AB946,IF(NOT($W946=0),"",SUMIFS('Val-Vol (2)'!AI$4:AI$1116,'Val-Vol (2)'!$A$4:$A$1116,$D946,'Val-Vol (2)'!$V$4:$V$1116,$V946)/SUMIFS('Comp2016-2017 (3)'!$G$5:$G$289,'Comp2016-2017 (3)'!$A$5:$A$289,$D946,'Comp2016-2017 (3)'!$R$5:$R$289,$V946)*$AB946))</f>
        <v/>
      </c>
      <c r="AJ946" s="2" t="str">
        <f>IF($W946=AJ$3,$AB946,IF(NOT($W946=0),"",SUMIFS('Val-Vol (2)'!AJ$4:AJ$1116,'Val-Vol (2)'!$A$4:$A$1116,$D946,'Val-Vol (2)'!$V$4:$V$1116,$V946)/SUMIFS('Comp2016-2017 (3)'!$G$5:$G$289,'Comp2016-2017 (3)'!$A$5:$A$289,$D946,'Comp2016-2017 (3)'!$R$5:$R$289,$V946)*$AB946))</f>
        <v/>
      </c>
      <c r="AK946" s="2">
        <f t="shared" si="108"/>
        <v>0</v>
      </c>
      <c r="AL946" t="str">
        <f t="shared" si="105"/>
        <v/>
      </c>
      <c r="AM946" t="str">
        <f>VLOOKUP(A946,'Table corresp.'!$M$4:$U$63,8,FALSE)</f>
        <v>Production intermédiaire</v>
      </c>
      <c r="AN946" t="str">
        <f>VLOOKUP(D946,'Table corresp.'!$M$4:$U$63,9,FALSE)</f>
        <v>Production finale</v>
      </c>
    </row>
    <row r="947" spans="1:40" x14ac:dyDescent="0.25">
      <c r="A947" t="s">
        <v>14</v>
      </c>
      <c r="B947" t="str">
        <f>VLOOKUP(LEFT(A947,3),'Table corresp.'!$A$4:$D$63,3,FALSE)</f>
        <v>Transformation</v>
      </c>
      <c r="C947" t="str">
        <f>VLOOKUP(A947,'Table corresp.'!$M$4:$P$63,4,FALSE)</f>
        <v>Production et transformation de produits bois</v>
      </c>
      <c r="D947" t="s">
        <v>92</v>
      </c>
      <c r="E947" t="str">
        <f>VLOOKUP(LEFT(D947,3),'Table corresp.'!$A$4:$D$63,4,FALSE)</f>
        <v>Transformation</v>
      </c>
      <c r="F947" t="str">
        <f t="shared" si="109"/>
        <v xml:space="preserve">20b - 40 </v>
      </c>
      <c r="G947" s="164">
        <v>2503.0066787786459</v>
      </c>
      <c r="H947" s="164">
        <v>6438.573595434319</v>
      </c>
      <c r="I947" s="164">
        <v>8941.5802742129581</v>
      </c>
      <c r="J947" s="164">
        <v>8.7174911460639635</v>
      </c>
      <c r="K947" s="164">
        <v>27.399383424276547</v>
      </c>
      <c r="L947" s="164">
        <v>36.116874570340514</v>
      </c>
      <c r="M947" s="164">
        <v>0</v>
      </c>
      <c r="N947" s="164">
        <v>0</v>
      </c>
      <c r="O947" s="164">
        <v>0</v>
      </c>
      <c r="P947" s="164">
        <v>0</v>
      </c>
      <c r="Q947" s="164">
        <v>0</v>
      </c>
      <c r="R947" s="164">
        <v>0</v>
      </c>
      <c r="S947" s="163" t="str">
        <f t="shared" si="110"/>
        <v/>
      </c>
      <c r="T947" s="163">
        <f>VLOOKUP(A947,'Groupe de branches'!$Z$27:$AM$86,14,FALSE)</f>
        <v>0</v>
      </c>
      <c r="U947" s="163">
        <f>VLOOKUP(D947,'Groupe de branches'!$Z$27:$AM$86,14,FALSE)</f>
        <v>0</v>
      </c>
      <c r="V947" s="163">
        <v>2018</v>
      </c>
      <c r="W947" t="str">
        <f>VLOOKUP(D947,'Table corresp.'!$M$4:$S$63,7,FALSE)</f>
        <v>Construction</v>
      </c>
      <c r="X947" s="167">
        <f>IFERROR(G947/SUMIFS('Comp2016-2017 (3)'!$I$5:$I$289,'Comp2016-2017 (3)'!$A$5:$A$289,A947,'Comp2016-2017 (3)'!$R$5:$R$289,V947),0)</f>
        <v>1.4070063088437008E-2</v>
      </c>
      <c r="Y947" s="178">
        <f>IFERROR(IF(RIGHT(F947,3)="Exp",VLOOKUP(F947,#REF!,2,FALSE),VLOOKUP(F947,#REF!,9,FALSE)),1)</f>
        <v>1</v>
      </c>
      <c r="Z947" s="167">
        <f t="shared" si="111"/>
        <v>7.1428571428571425E-2</v>
      </c>
      <c r="AA947" s="189">
        <f t="shared" si="106"/>
        <v>1.005004506316929E-3</v>
      </c>
      <c r="AB947" s="2">
        <f>IFERROR(SUMIFS('Comp2016-2017 (3)'!$G$5:$G$289,'Comp2016-2017 (3)'!$A$5:$A$289,A947,'Comp2016-2017 (3)'!$R$5:$R$289,V947)*AA947/SUMIFS($AA$4:$AA$1116,$A$4:$A$1116,A947,$V$4:$V$1116,V947),0)</f>
        <v>610.12345287801782</v>
      </c>
      <c r="AC947" s="2" t="str">
        <f>IF($W947=AC$3,$AB947,IF(NOT($W947=0),"",SUMIFS('Val-Vol (2)'!AC$4:AC$1116,'Val-Vol (2)'!$A$4:$A$1116,$D947,'Val-Vol (2)'!$V$4:$V$1116,$V947)/SUMIFS('Comp2016-2017 (3)'!$G$5:$G$289,'Comp2016-2017 (3)'!$A$5:$A$289,$D947,'Comp2016-2017 (3)'!$R$5:$R$289,$V947)*$AB947))</f>
        <v/>
      </c>
      <c r="AD947" s="2">
        <f>IF($W947=AD$3,$AB947,IF(NOT($W947=0),"",SUMIFS('Val-Vol (2)'!AD$4:AD$1116,'Val-Vol (2)'!$A$4:$A$1116,$D947,'Val-Vol (2)'!$V$4:$V$1116,$V947)/SUMIFS('Comp2016-2017 (3)'!$G$5:$G$289,'Comp2016-2017 (3)'!$A$5:$A$289,$D947,'Comp2016-2017 (3)'!$R$5:$R$289,$V947)*$AB947))</f>
        <v>610.12345287801782</v>
      </c>
      <c r="AE947" s="2" t="str">
        <f>IF($W947=AE$3,$AB947,IF(NOT($W947=0),"",SUMIFS('Val-Vol (2)'!AE$4:AE$1116,'Val-Vol (2)'!$A$4:$A$1116,$D947,'Val-Vol (2)'!$V$4:$V$1116,$V947)/SUMIFS('Comp2016-2017 (3)'!$G$5:$G$289,'Comp2016-2017 (3)'!$A$5:$A$289,$D947,'Comp2016-2017 (3)'!$R$5:$R$289,$V947)*$AB947))</f>
        <v/>
      </c>
      <c r="AF947" s="2" t="str">
        <f>IF($W947=AF$3,$AB947,IF(NOT($W947=0),"",SUMIFS('Val-Vol (2)'!AF$4:AF$1116,'Val-Vol (2)'!$A$4:$A$1116,$D947,'Val-Vol (2)'!$V$4:$V$1116,$V947)/SUMIFS('Comp2016-2017 (3)'!$G$5:$G$289,'Comp2016-2017 (3)'!$A$5:$A$289,$D947,'Comp2016-2017 (3)'!$R$5:$R$289,$V947)*$AB947))</f>
        <v/>
      </c>
      <c r="AG947" s="2" t="str">
        <f>IF($W947=AG$3,$AB947,IF(NOT($W947=0),"",SUMIFS('Val-Vol (2)'!AG$4:AG$1116,'Val-Vol (2)'!$A$4:$A$1116,$D947,'Val-Vol (2)'!$V$4:$V$1116,$V947)/SUMIFS('Comp2016-2017 (3)'!$G$5:$G$289,'Comp2016-2017 (3)'!$A$5:$A$289,$D947,'Comp2016-2017 (3)'!$R$5:$R$289,$V947)*$AB947))</f>
        <v/>
      </c>
      <c r="AH947" s="2" t="str">
        <f>IF($W947=AH$3,$AB947,IF(NOT($W947=0),"",SUMIFS('Val-Vol (2)'!AH$4:AH$1116,'Val-Vol (2)'!$A$4:$A$1116,$D947,'Val-Vol (2)'!$V$4:$V$1116,$V947)/SUMIFS('Comp2016-2017 (3)'!$G$5:$G$289,'Comp2016-2017 (3)'!$A$5:$A$289,$D947,'Comp2016-2017 (3)'!$R$5:$R$289,$V947)*$AB947))</f>
        <v/>
      </c>
      <c r="AI947" s="2" t="str">
        <f>IF($W947=AI$3,$AB947,IF(NOT($W947=0),"",SUMIFS('Val-Vol (2)'!AI$4:AI$1116,'Val-Vol (2)'!$A$4:$A$1116,$D947,'Val-Vol (2)'!$V$4:$V$1116,$V947)/SUMIFS('Comp2016-2017 (3)'!$G$5:$G$289,'Comp2016-2017 (3)'!$A$5:$A$289,$D947,'Comp2016-2017 (3)'!$R$5:$R$289,$V947)*$AB947))</f>
        <v/>
      </c>
      <c r="AJ947" s="2" t="str">
        <f>IF($W947=AJ$3,$AB947,IF(NOT($W947=0),"",SUMIFS('Val-Vol (2)'!AJ$4:AJ$1116,'Val-Vol (2)'!$A$4:$A$1116,$D947,'Val-Vol (2)'!$V$4:$V$1116,$V947)/SUMIFS('Comp2016-2017 (3)'!$G$5:$G$289,'Comp2016-2017 (3)'!$A$5:$A$289,$D947,'Comp2016-2017 (3)'!$R$5:$R$289,$V947)*$AB947))</f>
        <v/>
      </c>
      <c r="AK947" s="2">
        <f t="shared" si="108"/>
        <v>0</v>
      </c>
      <c r="AL947" t="str">
        <f t="shared" si="105"/>
        <v/>
      </c>
      <c r="AM947" t="str">
        <f>VLOOKUP(A947,'Table corresp.'!$M$4:$U$63,8,FALSE)</f>
        <v>Production intermédiaire</v>
      </c>
      <c r="AN947" t="str">
        <f>VLOOKUP(D947,'Table corresp.'!$M$4:$U$63,9,FALSE)</f>
        <v>Production finale</v>
      </c>
    </row>
    <row r="948" spans="1:40" x14ac:dyDescent="0.25">
      <c r="A948" t="s">
        <v>14</v>
      </c>
      <c r="B948" t="str">
        <f>VLOOKUP(LEFT(A948,3),'Table corresp.'!$A$4:$D$63,3,FALSE)</f>
        <v>Transformation</v>
      </c>
      <c r="C948" t="str">
        <f>VLOOKUP(A948,'Table corresp.'!$M$4:$P$63,4,FALSE)</f>
        <v>Production et transformation de produits bois</v>
      </c>
      <c r="D948" t="s">
        <v>99</v>
      </c>
      <c r="E948" t="str">
        <f>VLOOKUP(LEFT(D948,3),'Table corresp.'!$A$4:$D$63,4,FALSE)</f>
        <v>Transformation</v>
      </c>
      <c r="F948" t="str">
        <f t="shared" si="109"/>
        <v xml:space="preserve">20b - 47 </v>
      </c>
      <c r="G948" s="164">
        <v>1079.7470695114823</v>
      </c>
      <c r="H948" s="164">
        <v>5802.5971192620027</v>
      </c>
      <c r="I948" s="164">
        <v>6882.3441887734652</v>
      </c>
      <c r="J948" s="164">
        <v>3.4471722076242468</v>
      </c>
      <c r="K948" s="164">
        <v>20.371710333170999</v>
      </c>
      <c r="L948" s="164">
        <v>23.818882540795244</v>
      </c>
      <c r="M948" s="164">
        <v>0</v>
      </c>
      <c r="N948" s="164">
        <v>0</v>
      </c>
      <c r="O948" s="164">
        <v>0</v>
      </c>
      <c r="P948" s="164">
        <v>0</v>
      </c>
      <c r="Q948" s="164">
        <v>0</v>
      </c>
      <c r="R948" s="164">
        <v>0</v>
      </c>
      <c r="S948" s="163" t="str">
        <f t="shared" si="110"/>
        <v/>
      </c>
      <c r="T948" s="163">
        <f>VLOOKUP(A948,'Groupe de branches'!$Z$27:$AM$86,14,FALSE)</f>
        <v>0</v>
      </c>
      <c r="U948" s="163">
        <f>VLOOKUP(D948,'Groupe de branches'!$Z$27:$AM$86,14,FALSE)</f>
        <v>0</v>
      </c>
      <c r="V948" s="163">
        <v>2018</v>
      </c>
      <c r="W948" t="str">
        <f>VLOOKUP(D948,'Table corresp.'!$M$4:$S$63,7,FALSE)</f>
        <v>Meuble</v>
      </c>
      <c r="X948" s="167">
        <f>IFERROR(G948/SUMIFS('Comp2016-2017 (3)'!$I$5:$I$289,'Comp2016-2017 (3)'!$A$5:$A$289,A948,'Comp2016-2017 (3)'!$R$5:$R$289,V948),0)</f>
        <v>6.0695440872713131E-3</v>
      </c>
      <c r="Y948" s="178">
        <f>IFERROR(IF(RIGHT(F948,3)="Exp",VLOOKUP(F948,#REF!,2,FALSE),VLOOKUP(F948,#REF!,9,FALSE)),1)</f>
        <v>1</v>
      </c>
      <c r="Z948" s="167">
        <f t="shared" si="111"/>
        <v>7.1428571428571425E-2</v>
      </c>
      <c r="AA948" s="189">
        <f t="shared" si="106"/>
        <v>4.3353886337652232E-4</v>
      </c>
      <c r="AB948" s="2">
        <f>IFERROR(SUMIFS('Comp2016-2017 (3)'!$G$5:$G$289,'Comp2016-2017 (3)'!$A$5:$A$289,A948,'Comp2016-2017 (3)'!$R$5:$R$289,V948)*AA948/SUMIFS($AA$4:$AA$1116,$A$4:$A$1116,A948,$V$4:$V$1116,V948),0)</f>
        <v>263.19506690518347</v>
      </c>
      <c r="AC948" s="2" t="str">
        <f>IF($W948=AC$3,$AB948,IF(NOT($W948=0),"",SUMIFS('Val-Vol (2)'!AC$4:AC$1116,'Val-Vol (2)'!$A$4:$A$1116,$D948,'Val-Vol (2)'!$V$4:$V$1116,$V948)/SUMIFS('Comp2016-2017 (3)'!$G$5:$G$289,'Comp2016-2017 (3)'!$A$5:$A$289,$D948,'Comp2016-2017 (3)'!$R$5:$R$289,$V948)*$AB948))</f>
        <v/>
      </c>
      <c r="AD948" s="2" t="str">
        <f>IF($W948=AD$3,$AB948,IF(NOT($W948=0),"",SUMIFS('Val-Vol (2)'!AD$4:AD$1116,'Val-Vol (2)'!$A$4:$A$1116,$D948,'Val-Vol (2)'!$V$4:$V$1116,$V948)/SUMIFS('Comp2016-2017 (3)'!$G$5:$G$289,'Comp2016-2017 (3)'!$A$5:$A$289,$D948,'Comp2016-2017 (3)'!$R$5:$R$289,$V948)*$AB948))</f>
        <v/>
      </c>
      <c r="AE948" s="2">
        <f>IF($W948=AE$3,$AB948,IF(NOT($W948=0),"",SUMIFS('Val-Vol (2)'!AE$4:AE$1116,'Val-Vol (2)'!$A$4:$A$1116,$D948,'Val-Vol (2)'!$V$4:$V$1116,$V948)/SUMIFS('Comp2016-2017 (3)'!$G$5:$G$289,'Comp2016-2017 (3)'!$A$5:$A$289,$D948,'Comp2016-2017 (3)'!$R$5:$R$289,$V948)*$AB948))</f>
        <v>263.19506690518347</v>
      </c>
      <c r="AF948" s="2" t="str">
        <f>IF($W948=AF$3,$AB948,IF(NOT($W948=0),"",SUMIFS('Val-Vol (2)'!AF$4:AF$1116,'Val-Vol (2)'!$A$4:$A$1116,$D948,'Val-Vol (2)'!$V$4:$V$1116,$V948)/SUMIFS('Comp2016-2017 (3)'!$G$5:$G$289,'Comp2016-2017 (3)'!$A$5:$A$289,$D948,'Comp2016-2017 (3)'!$R$5:$R$289,$V948)*$AB948))</f>
        <v/>
      </c>
      <c r="AG948" s="2" t="str">
        <f>IF($W948=AG$3,$AB948,IF(NOT($W948=0),"",SUMIFS('Val-Vol (2)'!AG$4:AG$1116,'Val-Vol (2)'!$A$4:$A$1116,$D948,'Val-Vol (2)'!$V$4:$V$1116,$V948)/SUMIFS('Comp2016-2017 (3)'!$G$5:$G$289,'Comp2016-2017 (3)'!$A$5:$A$289,$D948,'Comp2016-2017 (3)'!$R$5:$R$289,$V948)*$AB948))</f>
        <v/>
      </c>
      <c r="AH948" s="2" t="str">
        <f>IF($W948=AH$3,$AB948,IF(NOT($W948=0),"",SUMIFS('Val-Vol (2)'!AH$4:AH$1116,'Val-Vol (2)'!$A$4:$A$1116,$D948,'Val-Vol (2)'!$V$4:$V$1116,$V948)/SUMIFS('Comp2016-2017 (3)'!$G$5:$G$289,'Comp2016-2017 (3)'!$A$5:$A$289,$D948,'Comp2016-2017 (3)'!$R$5:$R$289,$V948)*$AB948))</f>
        <v/>
      </c>
      <c r="AI948" s="2" t="str">
        <f>IF($W948=AI$3,$AB948,IF(NOT($W948=0),"",SUMIFS('Val-Vol (2)'!AI$4:AI$1116,'Val-Vol (2)'!$A$4:$A$1116,$D948,'Val-Vol (2)'!$V$4:$V$1116,$V948)/SUMIFS('Comp2016-2017 (3)'!$G$5:$G$289,'Comp2016-2017 (3)'!$A$5:$A$289,$D948,'Comp2016-2017 (3)'!$R$5:$R$289,$V948)*$AB948))</f>
        <v/>
      </c>
      <c r="AJ948" s="2" t="str">
        <f>IF($W948=AJ$3,$AB948,IF(NOT($W948=0),"",SUMIFS('Val-Vol (2)'!AJ$4:AJ$1116,'Val-Vol (2)'!$A$4:$A$1116,$D948,'Val-Vol (2)'!$V$4:$V$1116,$V948)/SUMIFS('Comp2016-2017 (3)'!$G$5:$G$289,'Comp2016-2017 (3)'!$A$5:$A$289,$D948,'Comp2016-2017 (3)'!$R$5:$R$289,$V948)*$AB948))</f>
        <v/>
      </c>
      <c r="AK948" s="2">
        <f t="shared" si="108"/>
        <v>0</v>
      </c>
      <c r="AL948" t="str">
        <f t="shared" si="105"/>
        <v/>
      </c>
      <c r="AM948" t="str">
        <f>VLOOKUP(A948,'Table corresp.'!$M$4:$U$63,8,FALSE)</f>
        <v>Production intermédiaire</v>
      </c>
      <c r="AN948" t="str">
        <f>VLOOKUP(D948,'Table corresp.'!$M$4:$U$63,9,FALSE)</f>
        <v>Production finale</v>
      </c>
    </row>
    <row r="949" spans="1:40" x14ac:dyDescent="0.25">
      <c r="A949" t="s">
        <v>14</v>
      </c>
      <c r="B949" t="str">
        <f>VLOOKUP(LEFT(A949,3),'Table corresp.'!$A$4:$D$63,3,FALSE)</f>
        <v>Transformation</v>
      </c>
      <c r="C949" t="str">
        <f>VLOOKUP(A949,'Table corresp.'!$M$4:$P$63,4,FALSE)</f>
        <v>Production et transformation de produits bois</v>
      </c>
      <c r="D949" t="s">
        <v>19</v>
      </c>
      <c r="E949" t="str">
        <f>VLOOKUP(LEFT(D949,3),'Table corresp.'!$A$4:$D$63,4,FALSE)</f>
        <v>Transformation</v>
      </c>
      <c r="F949" t="str">
        <f t="shared" si="109"/>
        <v xml:space="preserve">20b - 52 </v>
      </c>
      <c r="G949" s="164">
        <v>4998.1664403543864</v>
      </c>
      <c r="H949" s="164">
        <v>0</v>
      </c>
      <c r="I949" s="164">
        <v>4998.1664403544492</v>
      </c>
      <c r="J949" s="164">
        <v>14.729552528144868</v>
      </c>
      <c r="K949" s="164">
        <v>0</v>
      </c>
      <c r="L949" s="164">
        <v>14.729552528144868</v>
      </c>
      <c r="M949" s="164">
        <v>0</v>
      </c>
      <c r="N949" s="164">
        <v>0</v>
      </c>
      <c r="O949" s="164">
        <v>0</v>
      </c>
      <c r="P949" s="164">
        <v>0</v>
      </c>
      <c r="Q949" s="164">
        <v>0</v>
      </c>
      <c r="R949" s="164">
        <v>0</v>
      </c>
      <c r="S949" s="163" t="str">
        <f t="shared" si="110"/>
        <v/>
      </c>
      <c r="T949" s="163">
        <f>VLOOKUP(A949,'Groupe de branches'!$Z$27:$AM$86,14,FALSE)</f>
        <v>0</v>
      </c>
      <c r="U949" s="163">
        <f>VLOOKUP(D949,'Groupe de branches'!$Z$27:$AM$86,14,FALSE)</f>
        <v>0</v>
      </c>
      <c r="V949" s="163">
        <v>2018</v>
      </c>
      <c r="W949" t="str">
        <f>VLOOKUP(D949,'Table corresp.'!$M$4:$S$63,7,FALSE)</f>
        <v>Construction</v>
      </c>
      <c r="X949" s="167">
        <f>IFERROR(G949/SUMIFS('Comp2016-2017 (3)'!$I$5:$I$289,'Comp2016-2017 (3)'!$A$5:$A$289,A949,'Comp2016-2017 (3)'!$R$5:$R$289,V949),0)</f>
        <v>2.8096016578193883E-2</v>
      </c>
      <c r="Y949" s="178">
        <f>IFERROR(IF(RIGHT(F949,3)="Exp",VLOOKUP(F949,#REF!,2,FALSE),VLOOKUP(F949,#REF!,9,FALSE)),1)</f>
        <v>1</v>
      </c>
      <c r="Z949" s="167">
        <f t="shared" si="111"/>
        <v>7.1428571428571425E-2</v>
      </c>
      <c r="AA949" s="189">
        <f t="shared" si="106"/>
        <v>2.0068583270138485E-3</v>
      </c>
      <c r="AB949" s="2">
        <f>IFERROR(SUMIFS('Comp2016-2017 (3)'!$G$5:$G$289,'Comp2016-2017 (3)'!$A$5:$A$289,A949,'Comp2016-2017 (3)'!$R$5:$R$289,V949)*AA949/SUMIFS($AA$4:$AA$1116,$A$4:$A$1116,A949,$V$4:$V$1116,V949),0)</f>
        <v>1218.3341708604896</v>
      </c>
      <c r="AC949" s="2" t="str">
        <f>IF($W949=AC$3,$AB949,IF(NOT($W949=0),"",SUMIFS('Val-Vol (2)'!AC$4:AC$1116,'Val-Vol (2)'!$A$4:$A$1116,$D949,'Val-Vol (2)'!$V$4:$V$1116,$V949)/SUMIFS('Comp2016-2017 (3)'!$G$5:$G$289,'Comp2016-2017 (3)'!$A$5:$A$289,$D949,'Comp2016-2017 (3)'!$R$5:$R$289,$V949)*$AB949))</f>
        <v/>
      </c>
      <c r="AD949" s="2">
        <f>IF($W949=AD$3,$AB949,IF(NOT($W949=0),"",SUMIFS('Val-Vol (2)'!AD$4:AD$1116,'Val-Vol (2)'!$A$4:$A$1116,$D949,'Val-Vol (2)'!$V$4:$V$1116,$V949)/SUMIFS('Comp2016-2017 (3)'!$G$5:$G$289,'Comp2016-2017 (3)'!$A$5:$A$289,$D949,'Comp2016-2017 (3)'!$R$5:$R$289,$V949)*$AB949))</f>
        <v>1218.3341708604896</v>
      </c>
      <c r="AE949" s="2" t="str">
        <f>IF($W949=AE$3,$AB949,IF(NOT($W949=0),"",SUMIFS('Val-Vol (2)'!AE$4:AE$1116,'Val-Vol (2)'!$A$4:$A$1116,$D949,'Val-Vol (2)'!$V$4:$V$1116,$V949)/SUMIFS('Comp2016-2017 (3)'!$G$5:$G$289,'Comp2016-2017 (3)'!$A$5:$A$289,$D949,'Comp2016-2017 (3)'!$R$5:$R$289,$V949)*$AB949))</f>
        <v/>
      </c>
      <c r="AF949" s="2" t="str">
        <f>IF($W949=AF$3,$AB949,IF(NOT($W949=0),"",SUMIFS('Val-Vol (2)'!AF$4:AF$1116,'Val-Vol (2)'!$A$4:$A$1116,$D949,'Val-Vol (2)'!$V$4:$V$1116,$V949)/SUMIFS('Comp2016-2017 (3)'!$G$5:$G$289,'Comp2016-2017 (3)'!$A$5:$A$289,$D949,'Comp2016-2017 (3)'!$R$5:$R$289,$V949)*$AB949))</f>
        <v/>
      </c>
      <c r="AG949" s="2" t="str">
        <f>IF($W949=AG$3,$AB949,IF(NOT($W949=0),"",SUMIFS('Val-Vol (2)'!AG$4:AG$1116,'Val-Vol (2)'!$A$4:$A$1116,$D949,'Val-Vol (2)'!$V$4:$V$1116,$V949)/SUMIFS('Comp2016-2017 (3)'!$G$5:$G$289,'Comp2016-2017 (3)'!$A$5:$A$289,$D949,'Comp2016-2017 (3)'!$R$5:$R$289,$V949)*$AB949))</f>
        <v/>
      </c>
      <c r="AH949" s="2" t="str">
        <f>IF($W949=AH$3,$AB949,IF(NOT($W949=0),"",SUMIFS('Val-Vol (2)'!AH$4:AH$1116,'Val-Vol (2)'!$A$4:$A$1116,$D949,'Val-Vol (2)'!$V$4:$V$1116,$V949)/SUMIFS('Comp2016-2017 (3)'!$G$5:$G$289,'Comp2016-2017 (3)'!$A$5:$A$289,$D949,'Comp2016-2017 (3)'!$R$5:$R$289,$V949)*$AB949))</f>
        <v/>
      </c>
      <c r="AI949" s="2" t="str">
        <f>IF($W949=AI$3,$AB949,IF(NOT($W949=0),"",SUMIFS('Val-Vol (2)'!AI$4:AI$1116,'Val-Vol (2)'!$A$4:$A$1116,$D949,'Val-Vol (2)'!$V$4:$V$1116,$V949)/SUMIFS('Comp2016-2017 (3)'!$G$5:$G$289,'Comp2016-2017 (3)'!$A$5:$A$289,$D949,'Comp2016-2017 (3)'!$R$5:$R$289,$V949)*$AB949))</f>
        <v/>
      </c>
      <c r="AJ949" s="2" t="str">
        <f>IF($W949=AJ$3,$AB949,IF(NOT($W949=0),"",SUMIFS('Val-Vol (2)'!AJ$4:AJ$1116,'Val-Vol (2)'!$A$4:$A$1116,$D949,'Val-Vol (2)'!$V$4:$V$1116,$V949)/SUMIFS('Comp2016-2017 (3)'!$G$5:$G$289,'Comp2016-2017 (3)'!$A$5:$A$289,$D949,'Comp2016-2017 (3)'!$R$5:$R$289,$V949)*$AB949))</f>
        <v/>
      </c>
      <c r="AK949" s="2">
        <f t="shared" si="108"/>
        <v>0</v>
      </c>
      <c r="AL949" t="str">
        <f t="shared" si="105"/>
        <v/>
      </c>
      <c r="AM949" t="str">
        <f>VLOOKUP(A949,'Table corresp.'!$M$4:$U$63,8,FALSE)</f>
        <v>Production intermédiaire</v>
      </c>
      <c r="AN949" t="str">
        <f>VLOOKUP(D949,'Table corresp.'!$M$4:$U$63,9,FALSE)</f>
        <v xml:space="preserve">Mise en œuvre </v>
      </c>
    </row>
    <row r="950" spans="1:40" x14ac:dyDescent="0.25">
      <c r="A950" t="s">
        <v>14</v>
      </c>
      <c r="B950" t="str">
        <f>VLOOKUP(LEFT(A950,3),'Table corresp.'!$A$4:$D$63,3,FALSE)</f>
        <v>Transformation</v>
      </c>
      <c r="C950" t="str">
        <f>VLOOKUP(A950,'Table corresp.'!$M$4:$P$63,4,FALSE)</f>
        <v>Production et transformation de produits bois</v>
      </c>
      <c r="D950" t="s">
        <v>20</v>
      </c>
      <c r="E950" t="str">
        <f>VLOOKUP(LEFT(D950,3),'Table corresp.'!$A$4:$D$63,4,FALSE)</f>
        <v>Transformation</v>
      </c>
      <c r="F950" t="str">
        <f t="shared" si="109"/>
        <v xml:space="preserve">20b - 53 </v>
      </c>
      <c r="G950" s="164">
        <v>1213.0529124700643</v>
      </c>
      <c r="H950" s="164">
        <v>4978.6160516721548</v>
      </c>
      <c r="I950" s="164">
        <v>6191.6689641422045</v>
      </c>
      <c r="J950" s="164">
        <v>7.7455218991913855</v>
      </c>
      <c r="K950" s="164">
        <v>38.841965255738607</v>
      </c>
      <c r="L950" s="164">
        <v>46.587487154929995</v>
      </c>
      <c r="M950" s="164">
        <v>0</v>
      </c>
      <c r="N950" s="164">
        <v>0</v>
      </c>
      <c r="O950" s="164">
        <v>0</v>
      </c>
      <c r="P950" s="164">
        <v>0</v>
      </c>
      <c r="Q950" s="164">
        <v>0</v>
      </c>
      <c r="R950" s="164">
        <v>0</v>
      </c>
      <c r="S950" s="163" t="str">
        <f t="shared" si="110"/>
        <v/>
      </c>
      <c r="T950" s="163">
        <f>VLOOKUP(A950,'Groupe de branches'!$Z$27:$AM$86,14,FALSE)</f>
        <v>0</v>
      </c>
      <c r="U950" s="163">
        <f>VLOOKUP(D950,'Groupe de branches'!$Z$27:$AM$86,14,FALSE)</f>
        <v>0</v>
      </c>
      <c r="V950" s="163">
        <v>2018</v>
      </c>
      <c r="W950" t="str">
        <f>VLOOKUP(D950,'Table corresp.'!$M$4:$S$63,7,FALSE)</f>
        <v>Construction</v>
      </c>
      <c r="X950" s="167">
        <f>IFERROR(G950/SUMIFS('Comp2016-2017 (3)'!$I$5:$I$289,'Comp2016-2017 (3)'!$A$5:$A$289,A950,'Comp2016-2017 (3)'!$R$5:$R$289,V950),0)</f>
        <v>6.8188915166596123E-3</v>
      </c>
      <c r="Y950" s="178">
        <f>IFERROR(IF(RIGHT(F950,3)="Exp",VLOOKUP(F950,#REF!,2,FALSE),VLOOKUP(F950,#REF!,9,FALSE)),1)</f>
        <v>1</v>
      </c>
      <c r="Z950" s="167">
        <f t="shared" si="111"/>
        <v>7.1428571428571425E-2</v>
      </c>
      <c r="AA950" s="189">
        <f t="shared" si="106"/>
        <v>4.8706367976140085E-4</v>
      </c>
      <c r="AB950" s="2">
        <f>IFERROR(SUMIFS('Comp2016-2017 (3)'!$G$5:$G$289,'Comp2016-2017 (3)'!$A$5:$A$289,A950,'Comp2016-2017 (3)'!$R$5:$R$289,V950)*AA950/SUMIFS($AA$4:$AA$1116,$A$4:$A$1116,A950,$V$4:$V$1116,V950),0)</f>
        <v>295.68919562017021</v>
      </c>
      <c r="AC950" s="2" t="str">
        <f>IF($W950=AC$3,$AB950,IF(NOT($W950=0),"",SUMIFS('Val-Vol (2)'!AC$4:AC$1116,'Val-Vol (2)'!$A$4:$A$1116,$D950,'Val-Vol (2)'!$V$4:$V$1116,$V950)/SUMIFS('Comp2016-2017 (3)'!$G$5:$G$289,'Comp2016-2017 (3)'!$A$5:$A$289,$D950,'Comp2016-2017 (3)'!$R$5:$R$289,$V950)*$AB950))</f>
        <v/>
      </c>
      <c r="AD950" s="2">
        <f>IF($W950=AD$3,$AB950,IF(NOT($W950=0),"",SUMIFS('Val-Vol (2)'!AD$4:AD$1116,'Val-Vol (2)'!$A$4:$A$1116,$D950,'Val-Vol (2)'!$V$4:$V$1116,$V950)/SUMIFS('Comp2016-2017 (3)'!$G$5:$G$289,'Comp2016-2017 (3)'!$A$5:$A$289,$D950,'Comp2016-2017 (3)'!$R$5:$R$289,$V950)*$AB950))</f>
        <v>295.68919562017021</v>
      </c>
      <c r="AE950" s="2" t="str">
        <f>IF($W950=AE$3,$AB950,IF(NOT($W950=0),"",SUMIFS('Val-Vol (2)'!AE$4:AE$1116,'Val-Vol (2)'!$A$4:$A$1116,$D950,'Val-Vol (2)'!$V$4:$V$1116,$V950)/SUMIFS('Comp2016-2017 (3)'!$G$5:$G$289,'Comp2016-2017 (3)'!$A$5:$A$289,$D950,'Comp2016-2017 (3)'!$R$5:$R$289,$V950)*$AB950))</f>
        <v/>
      </c>
      <c r="AF950" s="2" t="str">
        <f>IF($W950=AF$3,$AB950,IF(NOT($W950=0),"",SUMIFS('Val-Vol (2)'!AF$4:AF$1116,'Val-Vol (2)'!$A$4:$A$1116,$D950,'Val-Vol (2)'!$V$4:$V$1116,$V950)/SUMIFS('Comp2016-2017 (3)'!$G$5:$G$289,'Comp2016-2017 (3)'!$A$5:$A$289,$D950,'Comp2016-2017 (3)'!$R$5:$R$289,$V950)*$AB950))</f>
        <v/>
      </c>
      <c r="AG950" s="2" t="str">
        <f>IF($W950=AG$3,$AB950,IF(NOT($W950=0),"",SUMIFS('Val-Vol (2)'!AG$4:AG$1116,'Val-Vol (2)'!$A$4:$A$1116,$D950,'Val-Vol (2)'!$V$4:$V$1116,$V950)/SUMIFS('Comp2016-2017 (3)'!$G$5:$G$289,'Comp2016-2017 (3)'!$A$5:$A$289,$D950,'Comp2016-2017 (3)'!$R$5:$R$289,$V950)*$AB950))</f>
        <v/>
      </c>
      <c r="AH950" s="2" t="str">
        <f>IF($W950=AH$3,$AB950,IF(NOT($W950=0),"",SUMIFS('Val-Vol (2)'!AH$4:AH$1116,'Val-Vol (2)'!$A$4:$A$1116,$D950,'Val-Vol (2)'!$V$4:$V$1116,$V950)/SUMIFS('Comp2016-2017 (3)'!$G$5:$G$289,'Comp2016-2017 (3)'!$A$5:$A$289,$D950,'Comp2016-2017 (3)'!$R$5:$R$289,$V950)*$AB950))</f>
        <v/>
      </c>
      <c r="AI950" s="2" t="str">
        <f>IF($W950=AI$3,$AB950,IF(NOT($W950=0),"",SUMIFS('Val-Vol (2)'!AI$4:AI$1116,'Val-Vol (2)'!$A$4:$A$1116,$D950,'Val-Vol (2)'!$V$4:$V$1116,$V950)/SUMIFS('Comp2016-2017 (3)'!$G$5:$G$289,'Comp2016-2017 (3)'!$A$5:$A$289,$D950,'Comp2016-2017 (3)'!$R$5:$R$289,$V950)*$AB950))</f>
        <v/>
      </c>
      <c r="AJ950" s="2" t="str">
        <f>IF($W950=AJ$3,$AB950,IF(NOT($W950=0),"",SUMIFS('Val-Vol (2)'!AJ$4:AJ$1116,'Val-Vol (2)'!$A$4:$A$1116,$D950,'Val-Vol (2)'!$V$4:$V$1116,$V950)/SUMIFS('Comp2016-2017 (3)'!$G$5:$G$289,'Comp2016-2017 (3)'!$A$5:$A$289,$D950,'Comp2016-2017 (3)'!$R$5:$R$289,$V950)*$AB950))</f>
        <v/>
      </c>
      <c r="AK950" s="2">
        <f t="shared" si="108"/>
        <v>0</v>
      </c>
      <c r="AL950" t="str">
        <f t="shared" si="105"/>
        <v/>
      </c>
      <c r="AM950" t="str">
        <f>VLOOKUP(A950,'Table corresp.'!$M$4:$U$63,8,FALSE)</f>
        <v>Production intermédiaire</v>
      </c>
      <c r="AN950" t="str">
        <f>VLOOKUP(D950,'Table corresp.'!$M$4:$U$63,9,FALSE)</f>
        <v xml:space="preserve">Mise en œuvre </v>
      </c>
    </row>
    <row r="951" spans="1:40" x14ac:dyDescent="0.25">
      <c r="A951" t="s">
        <v>14</v>
      </c>
      <c r="B951" t="str">
        <f>VLOOKUP(LEFT(A951,3),'Table corresp.'!$A$4:$D$63,3,FALSE)</f>
        <v>Transformation</v>
      </c>
      <c r="C951" t="str">
        <f>VLOOKUP(A951,'Table corresp.'!$M$4:$P$63,4,FALSE)</f>
        <v>Production et transformation de produits bois</v>
      </c>
      <c r="D951" t="s">
        <v>21</v>
      </c>
      <c r="E951" t="str">
        <f>VLOOKUP(LEFT(D951,3),'Table corresp.'!$A$4:$D$63,4,FALSE)</f>
        <v>Transformation</v>
      </c>
      <c r="F951" t="str">
        <f t="shared" si="109"/>
        <v xml:space="preserve">20b - 54 </v>
      </c>
      <c r="G951" s="164">
        <v>15162.776782324854</v>
      </c>
      <c r="H951" s="164">
        <v>16803.74800448813</v>
      </c>
      <c r="I951" s="164">
        <v>31966.524786813075</v>
      </c>
      <c r="J951" s="164">
        <v>41.492814797891576</v>
      </c>
      <c r="K951" s="164">
        <v>50.566680474262753</v>
      </c>
      <c r="L951" s="164">
        <v>92.059495272154322</v>
      </c>
      <c r="M951" s="164">
        <v>0</v>
      </c>
      <c r="N951" s="164">
        <v>0</v>
      </c>
      <c r="O951" s="164">
        <v>0</v>
      </c>
      <c r="P951" s="164">
        <v>0</v>
      </c>
      <c r="Q951" s="164">
        <v>0</v>
      </c>
      <c r="R951" s="164">
        <v>0</v>
      </c>
      <c r="S951" s="163" t="str">
        <f t="shared" si="110"/>
        <v/>
      </c>
      <c r="T951" s="163">
        <f>VLOOKUP(A951,'Groupe de branches'!$Z$27:$AM$86,14,FALSE)</f>
        <v>0</v>
      </c>
      <c r="U951" s="163">
        <f>VLOOKUP(D951,'Groupe de branches'!$Z$27:$AM$86,14,FALSE)</f>
        <v>0</v>
      </c>
      <c r="V951" s="163">
        <v>2018</v>
      </c>
      <c r="W951" t="str">
        <f>VLOOKUP(D951,'Table corresp.'!$M$4:$S$63,7,FALSE)</f>
        <v>Construction</v>
      </c>
      <c r="X951" s="167">
        <f>IFERROR(G951/SUMIFS('Comp2016-2017 (3)'!$I$5:$I$289,'Comp2016-2017 (3)'!$A$5:$A$289,A951,'Comp2016-2017 (3)'!$R$5:$R$289,V951),0)</f>
        <v>8.5233981887455235E-2</v>
      </c>
      <c r="Y951" s="178">
        <f>IFERROR(IF(RIGHT(F951,3)="Exp",VLOOKUP(F951,#REF!,2,FALSE),VLOOKUP(F951,#REF!,9,FALSE)),1)</f>
        <v>1</v>
      </c>
      <c r="Z951" s="167">
        <f t="shared" si="111"/>
        <v>7.1428571428571425E-2</v>
      </c>
      <c r="AA951" s="189">
        <f t="shared" si="106"/>
        <v>6.0881415633896596E-3</v>
      </c>
      <c r="AB951" s="2">
        <f>IFERROR(SUMIFS('Comp2016-2017 (3)'!$G$5:$G$289,'Comp2016-2017 (3)'!$A$5:$A$289,A951,'Comp2016-2017 (3)'!$R$5:$R$289,V951)*AA951/SUMIFS($AA$4:$AA$1116,$A$4:$A$1116,A951,$V$4:$V$1116,V951),0)</f>
        <v>3696.0211908682691</v>
      </c>
      <c r="AC951" s="2" t="str">
        <f>IF($W951=AC$3,$AB951,IF(NOT($W951=0),"",SUMIFS('Val-Vol (2)'!AC$4:AC$1116,'Val-Vol (2)'!$A$4:$A$1116,$D951,'Val-Vol (2)'!$V$4:$V$1116,$V951)/SUMIFS('Comp2016-2017 (3)'!$G$5:$G$289,'Comp2016-2017 (3)'!$A$5:$A$289,$D951,'Comp2016-2017 (3)'!$R$5:$R$289,$V951)*$AB951))</f>
        <v/>
      </c>
      <c r="AD951" s="2">
        <f>IF($W951=AD$3,$AB951,IF(NOT($W951=0),"",SUMIFS('Val-Vol (2)'!AD$4:AD$1116,'Val-Vol (2)'!$A$4:$A$1116,$D951,'Val-Vol (2)'!$V$4:$V$1116,$V951)/SUMIFS('Comp2016-2017 (3)'!$G$5:$G$289,'Comp2016-2017 (3)'!$A$5:$A$289,$D951,'Comp2016-2017 (3)'!$R$5:$R$289,$V951)*$AB951))</f>
        <v>3696.0211908682691</v>
      </c>
      <c r="AE951" s="2" t="str">
        <f>IF($W951=AE$3,$AB951,IF(NOT($W951=0),"",SUMIFS('Val-Vol (2)'!AE$4:AE$1116,'Val-Vol (2)'!$A$4:$A$1116,$D951,'Val-Vol (2)'!$V$4:$V$1116,$V951)/SUMIFS('Comp2016-2017 (3)'!$G$5:$G$289,'Comp2016-2017 (3)'!$A$5:$A$289,$D951,'Comp2016-2017 (3)'!$R$5:$R$289,$V951)*$AB951))</f>
        <v/>
      </c>
      <c r="AF951" s="2" t="str">
        <f>IF($W951=AF$3,$AB951,IF(NOT($W951=0),"",SUMIFS('Val-Vol (2)'!AF$4:AF$1116,'Val-Vol (2)'!$A$4:$A$1116,$D951,'Val-Vol (2)'!$V$4:$V$1116,$V951)/SUMIFS('Comp2016-2017 (3)'!$G$5:$G$289,'Comp2016-2017 (3)'!$A$5:$A$289,$D951,'Comp2016-2017 (3)'!$R$5:$R$289,$V951)*$AB951))</f>
        <v/>
      </c>
      <c r="AG951" s="2" t="str">
        <f>IF($W951=AG$3,$AB951,IF(NOT($W951=0),"",SUMIFS('Val-Vol (2)'!AG$4:AG$1116,'Val-Vol (2)'!$A$4:$A$1116,$D951,'Val-Vol (2)'!$V$4:$V$1116,$V951)/SUMIFS('Comp2016-2017 (3)'!$G$5:$G$289,'Comp2016-2017 (3)'!$A$5:$A$289,$D951,'Comp2016-2017 (3)'!$R$5:$R$289,$V951)*$AB951))</f>
        <v/>
      </c>
      <c r="AH951" s="2" t="str">
        <f>IF($W951=AH$3,$AB951,IF(NOT($W951=0),"",SUMIFS('Val-Vol (2)'!AH$4:AH$1116,'Val-Vol (2)'!$A$4:$A$1116,$D951,'Val-Vol (2)'!$V$4:$V$1116,$V951)/SUMIFS('Comp2016-2017 (3)'!$G$5:$G$289,'Comp2016-2017 (3)'!$A$5:$A$289,$D951,'Comp2016-2017 (3)'!$R$5:$R$289,$V951)*$AB951))</f>
        <v/>
      </c>
      <c r="AI951" s="2" t="str">
        <f>IF($W951=AI$3,$AB951,IF(NOT($W951=0),"",SUMIFS('Val-Vol (2)'!AI$4:AI$1116,'Val-Vol (2)'!$A$4:$A$1116,$D951,'Val-Vol (2)'!$V$4:$V$1116,$V951)/SUMIFS('Comp2016-2017 (3)'!$G$5:$G$289,'Comp2016-2017 (3)'!$A$5:$A$289,$D951,'Comp2016-2017 (3)'!$R$5:$R$289,$V951)*$AB951))</f>
        <v/>
      </c>
      <c r="AJ951" s="2" t="str">
        <f>IF($W951=AJ$3,$AB951,IF(NOT($W951=0),"",SUMIFS('Val-Vol (2)'!AJ$4:AJ$1116,'Val-Vol (2)'!$A$4:$A$1116,$D951,'Val-Vol (2)'!$V$4:$V$1116,$V951)/SUMIFS('Comp2016-2017 (3)'!$G$5:$G$289,'Comp2016-2017 (3)'!$A$5:$A$289,$D951,'Comp2016-2017 (3)'!$R$5:$R$289,$V951)*$AB951))</f>
        <v/>
      </c>
      <c r="AK951" s="2">
        <f t="shared" si="108"/>
        <v>0</v>
      </c>
      <c r="AL951" t="str">
        <f t="shared" si="105"/>
        <v/>
      </c>
      <c r="AM951" t="str">
        <f>VLOOKUP(A951,'Table corresp.'!$M$4:$U$63,8,FALSE)</f>
        <v>Production intermédiaire</v>
      </c>
      <c r="AN951" t="str">
        <f>VLOOKUP(D951,'Table corresp.'!$M$4:$U$63,9,FALSE)</f>
        <v xml:space="preserve">Mise en œuvre </v>
      </c>
    </row>
    <row r="952" spans="1:40" x14ac:dyDescent="0.25">
      <c r="A952" t="s">
        <v>14</v>
      </c>
      <c r="B952" t="str">
        <f>VLOOKUP(LEFT(A952,3),'Table corresp.'!$A$4:$D$63,3,FALSE)</f>
        <v>Transformation</v>
      </c>
      <c r="C952" t="str">
        <f>VLOOKUP(A952,'Table corresp.'!$M$4:$P$63,4,FALSE)</f>
        <v>Production et transformation de produits bois</v>
      </c>
      <c r="D952" t="s">
        <v>22</v>
      </c>
      <c r="E952" t="str">
        <f>VLOOKUP(LEFT(D952,3),'Table corresp.'!$A$4:$D$63,4,FALSE)</f>
        <v>Transformation</v>
      </c>
      <c r="F952" t="str">
        <f t="shared" si="109"/>
        <v xml:space="preserve">20b - 55 </v>
      </c>
      <c r="G952" s="164">
        <v>1196.964946369978</v>
      </c>
      <c r="H952" s="164">
        <v>6197.0551231294103</v>
      </c>
      <c r="I952" s="164">
        <v>7394.0200694993673</v>
      </c>
      <c r="J952" s="164">
        <v>5.0951985739819072</v>
      </c>
      <c r="K952" s="164">
        <v>29.008760340092213</v>
      </c>
      <c r="L952" s="164">
        <v>34.10395891407412</v>
      </c>
      <c r="M952" s="164">
        <v>0</v>
      </c>
      <c r="N952" s="164">
        <v>0</v>
      </c>
      <c r="O952" s="164">
        <v>0</v>
      </c>
      <c r="P952" s="164">
        <v>0</v>
      </c>
      <c r="Q952" s="164">
        <v>0</v>
      </c>
      <c r="R952" s="164">
        <v>0</v>
      </c>
      <c r="S952" s="163" t="str">
        <f t="shared" si="110"/>
        <v/>
      </c>
      <c r="T952" s="163">
        <f>VLOOKUP(A952,'Groupe de branches'!$Z$27:$AM$86,14,FALSE)</f>
        <v>0</v>
      </c>
      <c r="U952" s="163">
        <f>VLOOKUP(D952,'Groupe de branches'!$Z$27:$AM$86,14,FALSE)</f>
        <v>0</v>
      </c>
      <c r="V952" s="163">
        <v>2018</v>
      </c>
      <c r="W952" t="str">
        <f>VLOOKUP(D952,'Table corresp.'!$M$4:$S$63,7,FALSE)</f>
        <v>Construction</v>
      </c>
      <c r="X952" s="167">
        <f>IFERROR(G952/SUMIFS('Comp2016-2017 (3)'!$I$5:$I$289,'Comp2016-2017 (3)'!$A$5:$A$289,A952,'Comp2016-2017 (3)'!$R$5:$R$289,V952),0)</f>
        <v>6.7284568007189814E-3</v>
      </c>
      <c r="Y952" s="178">
        <f>IFERROR(IF(RIGHT(F952,3)="Exp",VLOOKUP(F952,#REF!,2,FALSE),VLOOKUP(F952,#REF!,9,FALSE)),1)</f>
        <v>1</v>
      </c>
      <c r="Z952" s="167">
        <f t="shared" si="111"/>
        <v>7.1428571428571425E-2</v>
      </c>
      <c r="AA952" s="189">
        <f t="shared" si="106"/>
        <v>4.8060405719421294E-4</v>
      </c>
      <c r="AB952" s="2">
        <f>IFERROR(SUMIFS('Comp2016-2017 (3)'!$G$5:$G$289,'Comp2016-2017 (3)'!$A$5:$A$289,A952,'Comp2016-2017 (3)'!$R$5:$R$289,V952)*AA952/SUMIFS($AA$4:$AA$1116,$A$4:$A$1116,A952,$V$4:$V$1116,V952),0)</f>
        <v>291.7676537761194</v>
      </c>
      <c r="AC952" s="2" t="str">
        <f>IF($W952=AC$3,$AB952,IF(NOT($W952=0),"",SUMIFS('Val-Vol (2)'!AC$4:AC$1116,'Val-Vol (2)'!$A$4:$A$1116,$D952,'Val-Vol (2)'!$V$4:$V$1116,$V952)/SUMIFS('Comp2016-2017 (3)'!$G$5:$G$289,'Comp2016-2017 (3)'!$A$5:$A$289,$D952,'Comp2016-2017 (3)'!$R$5:$R$289,$V952)*$AB952))</f>
        <v/>
      </c>
      <c r="AD952" s="2">
        <f>IF($W952=AD$3,$AB952,IF(NOT($W952=0),"",SUMIFS('Val-Vol (2)'!AD$4:AD$1116,'Val-Vol (2)'!$A$4:$A$1116,$D952,'Val-Vol (2)'!$V$4:$V$1116,$V952)/SUMIFS('Comp2016-2017 (3)'!$G$5:$G$289,'Comp2016-2017 (3)'!$A$5:$A$289,$D952,'Comp2016-2017 (3)'!$R$5:$R$289,$V952)*$AB952))</f>
        <v>291.7676537761194</v>
      </c>
      <c r="AE952" s="2" t="str">
        <f>IF($W952=AE$3,$AB952,IF(NOT($W952=0),"",SUMIFS('Val-Vol (2)'!AE$4:AE$1116,'Val-Vol (2)'!$A$4:$A$1116,$D952,'Val-Vol (2)'!$V$4:$V$1116,$V952)/SUMIFS('Comp2016-2017 (3)'!$G$5:$G$289,'Comp2016-2017 (3)'!$A$5:$A$289,$D952,'Comp2016-2017 (3)'!$R$5:$R$289,$V952)*$AB952))</f>
        <v/>
      </c>
      <c r="AF952" s="2" t="str">
        <f>IF($W952=AF$3,$AB952,IF(NOT($W952=0),"",SUMIFS('Val-Vol (2)'!AF$4:AF$1116,'Val-Vol (2)'!$A$4:$A$1116,$D952,'Val-Vol (2)'!$V$4:$V$1116,$V952)/SUMIFS('Comp2016-2017 (3)'!$G$5:$G$289,'Comp2016-2017 (3)'!$A$5:$A$289,$D952,'Comp2016-2017 (3)'!$R$5:$R$289,$V952)*$AB952))</f>
        <v/>
      </c>
      <c r="AG952" s="2" t="str">
        <f>IF($W952=AG$3,$AB952,IF(NOT($W952=0),"",SUMIFS('Val-Vol (2)'!AG$4:AG$1116,'Val-Vol (2)'!$A$4:$A$1116,$D952,'Val-Vol (2)'!$V$4:$V$1116,$V952)/SUMIFS('Comp2016-2017 (3)'!$G$5:$G$289,'Comp2016-2017 (3)'!$A$5:$A$289,$D952,'Comp2016-2017 (3)'!$R$5:$R$289,$V952)*$AB952))</f>
        <v/>
      </c>
      <c r="AH952" s="2" t="str">
        <f>IF($W952=AH$3,$AB952,IF(NOT($W952=0),"",SUMIFS('Val-Vol (2)'!AH$4:AH$1116,'Val-Vol (2)'!$A$4:$A$1116,$D952,'Val-Vol (2)'!$V$4:$V$1116,$V952)/SUMIFS('Comp2016-2017 (3)'!$G$5:$G$289,'Comp2016-2017 (3)'!$A$5:$A$289,$D952,'Comp2016-2017 (3)'!$R$5:$R$289,$V952)*$AB952))</f>
        <v/>
      </c>
      <c r="AI952" s="2" t="str">
        <f>IF($W952=AI$3,$AB952,IF(NOT($W952=0),"",SUMIFS('Val-Vol (2)'!AI$4:AI$1116,'Val-Vol (2)'!$A$4:$A$1116,$D952,'Val-Vol (2)'!$V$4:$V$1116,$V952)/SUMIFS('Comp2016-2017 (3)'!$G$5:$G$289,'Comp2016-2017 (3)'!$A$5:$A$289,$D952,'Comp2016-2017 (3)'!$R$5:$R$289,$V952)*$AB952))</f>
        <v/>
      </c>
      <c r="AJ952" s="2" t="str">
        <f>IF($W952=AJ$3,$AB952,IF(NOT($W952=0),"",SUMIFS('Val-Vol (2)'!AJ$4:AJ$1116,'Val-Vol (2)'!$A$4:$A$1116,$D952,'Val-Vol (2)'!$V$4:$V$1116,$V952)/SUMIFS('Comp2016-2017 (3)'!$G$5:$G$289,'Comp2016-2017 (3)'!$A$5:$A$289,$D952,'Comp2016-2017 (3)'!$R$5:$R$289,$V952)*$AB952))</f>
        <v/>
      </c>
      <c r="AK952" s="2">
        <f t="shared" si="108"/>
        <v>0</v>
      </c>
      <c r="AL952" t="str">
        <f t="shared" si="105"/>
        <v/>
      </c>
      <c r="AM952" t="str">
        <f>VLOOKUP(A952,'Table corresp.'!$M$4:$U$63,8,FALSE)</f>
        <v>Production intermédiaire</v>
      </c>
      <c r="AN952" t="str">
        <f>VLOOKUP(D952,'Table corresp.'!$M$4:$U$63,9,FALSE)</f>
        <v xml:space="preserve">Mise en œuvre </v>
      </c>
    </row>
    <row r="953" spans="1:40" x14ac:dyDescent="0.25">
      <c r="A953" t="s">
        <v>14</v>
      </c>
      <c r="B953" t="str">
        <f>VLOOKUP(LEFT(A953,3),'Table corresp.'!$A$4:$D$63,3,FALSE)</f>
        <v>Transformation</v>
      </c>
      <c r="C953" t="str">
        <f>VLOOKUP(A953,'Table corresp.'!$M$4:$P$63,4,FALSE)</f>
        <v>Production et transformation de produits bois</v>
      </c>
      <c r="D953" t="s">
        <v>24</v>
      </c>
      <c r="E953" t="str">
        <f>VLOOKUP(LEFT(D953,3),'Table corresp.'!$A$4:$D$63,4,FALSE)</f>
        <v>Transformation</v>
      </c>
      <c r="F953" t="str">
        <f t="shared" si="109"/>
        <v xml:space="preserve">20b - 57 </v>
      </c>
      <c r="G953" s="164">
        <v>37478.635090782889</v>
      </c>
      <c r="H953" s="164">
        <v>176909.41477101989</v>
      </c>
      <c r="I953" s="164">
        <v>214388.0498618022</v>
      </c>
      <c r="J953" s="164">
        <v>119.65330855039079</v>
      </c>
      <c r="K953" s="164">
        <v>690.10235682274481</v>
      </c>
      <c r="L953" s="164">
        <v>809.75566537313557</v>
      </c>
      <c r="M953" s="164">
        <v>0</v>
      </c>
      <c r="N953" s="164">
        <v>0</v>
      </c>
      <c r="O953" s="164">
        <v>0</v>
      </c>
      <c r="P953" s="164">
        <v>0</v>
      </c>
      <c r="Q953" s="164">
        <v>0</v>
      </c>
      <c r="R953" s="164">
        <v>0</v>
      </c>
      <c r="S953" s="163" t="str">
        <f t="shared" si="110"/>
        <v/>
      </c>
      <c r="T953" s="163">
        <f>VLOOKUP(A953,'Groupe de branches'!$Z$27:$AM$86,14,FALSE)</f>
        <v>0</v>
      </c>
      <c r="U953" s="163">
        <f>VLOOKUP(D953,'Groupe de branches'!$Z$27:$AM$86,14,FALSE)</f>
        <v>0</v>
      </c>
      <c r="V953" s="163">
        <v>2018</v>
      </c>
      <c r="W953" t="str">
        <f>VLOOKUP(D953,'Table corresp.'!$M$4:$S$63,7,FALSE)</f>
        <v>Construction</v>
      </c>
      <c r="X953" s="167">
        <f>IFERROR(G953/SUMIFS('Comp2016-2017 (3)'!$I$5:$I$289,'Comp2016-2017 (3)'!$A$5:$A$289,A953,'Comp2016-2017 (3)'!$R$5:$R$289,V953),0)</f>
        <v>0.21067732845728401</v>
      </c>
      <c r="Y953" s="178">
        <f>IFERROR(IF(RIGHT(F953,3)="Exp",VLOOKUP(F953,#REF!,2,FALSE),VLOOKUP(F953,#REF!,9,FALSE)),1)</f>
        <v>1</v>
      </c>
      <c r="Z953" s="167">
        <f t="shared" si="111"/>
        <v>7.1428571428571425E-2</v>
      </c>
      <c r="AA953" s="189">
        <f t="shared" si="106"/>
        <v>1.5048380604091714E-2</v>
      </c>
      <c r="AB953" s="2">
        <f>IFERROR(SUMIFS('Comp2016-2017 (3)'!$G$5:$G$289,'Comp2016-2017 (3)'!$A$5:$A$289,A953,'Comp2016-2017 (3)'!$R$5:$R$289,V953)*AA953/SUMIFS($AA$4:$AA$1116,$A$4:$A$1116,A953,$V$4:$V$1116,V953),0)</f>
        <v>9135.6505136860305</v>
      </c>
      <c r="AC953" s="2" t="str">
        <f>IF($W953=AC$3,$AB953,IF(NOT($W953=0),"",SUMIFS('Val-Vol (2)'!AC$4:AC$1116,'Val-Vol (2)'!$A$4:$A$1116,$D953,'Val-Vol (2)'!$V$4:$V$1116,$V953)/SUMIFS('Comp2016-2017 (3)'!$G$5:$G$289,'Comp2016-2017 (3)'!$A$5:$A$289,$D953,'Comp2016-2017 (3)'!$R$5:$R$289,$V953)*$AB953))</f>
        <v/>
      </c>
      <c r="AD953" s="2">
        <f>IF($W953=AD$3,$AB953,IF(NOT($W953=0),"",SUMIFS('Val-Vol (2)'!AD$4:AD$1116,'Val-Vol (2)'!$A$4:$A$1116,$D953,'Val-Vol (2)'!$V$4:$V$1116,$V953)/SUMIFS('Comp2016-2017 (3)'!$G$5:$G$289,'Comp2016-2017 (3)'!$A$5:$A$289,$D953,'Comp2016-2017 (3)'!$R$5:$R$289,$V953)*$AB953))</f>
        <v>9135.6505136860305</v>
      </c>
      <c r="AE953" s="2" t="str">
        <f>IF($W953=AE$3,$AB953,IF(NOT($W953=0),"",SUMIFS('Val-Vol (2)'!AE$4:AE$1116,'Val-Vol (2)'!$A$4:$A$1116,$D953,'Val-Vol (2)'!$V$4:$V$1116,$V953)/SUMIFS('Comp2016-2017 (3)'!$G$5:$G$289,'Comp2016-2017 (3)'!$A$5:$A$289,$D953,'Comp2016-2017 (3)'!$R$5:$R$289,$V953)*$AB953))</f>
        <v/>
      </c>
      <c r="AF953" s="2" t="str">
        <f>IF($W953=AF$3,$AB953,IF(NOT($W953=0),"",SUMIFS('Val-Vol (2)'!AF$4:AF$1116,'Val-Vol (2)'!$A$4:$A$1116,$D953,'Val-Vol (2)'!$V$4:$V$1116,$V953)/SUMIFS('Comp2016-2017 (3)'!$G$5:$G$289,'Comp2016-2017 (3)'!$A$5:$A$289,$D953,'Comp2016-2017 (3)'!$R$5:$R$289,$V953)*$AB953))</f>
        <v/>
      </c>
      <c r="AG953" s="2" t="str">
        <f>IF($W953=AG$3,$AB953,IF(NOT($W953=0),"",SUMIFS('Val-Vol (2)'!AG$4:AG$1116,'Val-Vol (2)'!$A$4:$A$1116,$D953,'Val-Vol (2)'!$V$4:$V$1116,$V953)/SUMIFS('Comp2016-2017 (3)'!$G$5:$G$289,'Comp2016-2017 (3)'!$A$5:$A$289,$D953,'Comp2016-2017 (3)'!$R$5:$R$289,$V953)*$AB953))</f>
        <v/>
      </c>
      <c r="AH953" s="2" t="str">
        <f>IF($W953=AH$3,$AB953,IF(NOT($W953=0),"",SUMIFS('Val-Vol (2)'!AH$4:AH$1116,'Val-Vol (2)'!$A$4:$A$1116,$D953,'Val-Vol (2)'!$V$4:$V$1116,$V953)/SUMIFS('Comp2016-2017 (3)'!$G$5:$G$289,'Comp2016-2017 (3)'!$A$5:$A$289,$D953,'Comp2016-2017 (3)'!$R$5:$R$289,$V953)*$AB953))</f>
        <v/>
      </c>
      <c r="AI953" s="2" t="str">
        <f>IF($W953=AI$3,$AB953,IF(NOT($W953=0),"",SUMIFS('Val-Vol (2)'!AI$4:AI$1116,'Val-Vol (2)'!$A$4:$A$1116,$D953,'Val-Vol (2)'!$V$4:$V$1116,$V953)/SUMIFS('Comp2016-2017 (3)'!$G$5:$G$289,'Comp2016-2017 (3)'!$A$5:$A$289,$D953,'Comp2016-2017 (3)'!$R$5:$R$289,$V953)*$AB953))</f>
        <v/>
      </c>
      <c r="AJ953" s="2" t="str">
        <f>IF($W953=AJ$3,$AB953,IF(NOT($W953=0),"",SUMIFS('Val-Vol (2)'!AJ$4:AJ$1116,'Val-Vol (2)'!$A$4:$A$1116,$D953,'Val-Vol (2)'!$V$4:$V$1116,$V953)/SUMIFS('Comp2016-2017 (3)'!$G$5:$G$289,'Comp2016-2017 (3)'!$A$5:$A$289,$D953,'Comp2016-2017 (3)'!$R$5:$R$289,$V953)*$AB953))</f>
        <v/>
      </c>
      <c r="AK953" s="2">
        <f t="shared" si="108"/>
        <v>0</v>
      </c>
      <c r="AL953" t="str">
        <f t="shared" si="105"/>
        <v/>
      </c>
      <c r="AM953" t="str">
        <f>VLOOKUP(A953,'Table corresp.'!$M$4:$U$63,8,FALSE)</f>
        <v>Production intermédiaire</v>
      </c>
      <c r="AN953" t="str">
        <f>VLOOKUP(D953,'Table corresp.'!$M$4:$U$63,9,FALSE)</f>
        <v xml:space="preserve">Mise en œuvre </v>
      </c>
    </row>
    <row r="954" spans="1:40" x14ac:dyDescent="0.25">
      <c r="A954" t="s">
        <v>14</v>
      </c>
      <c r="B954" t="str">
        <f>VLOOKUP(LEFT(A954,3),'Table corresp.'!$A$4:$D$63,3,FALSE)</f>
        <v>Transformation</v>
      </c>
      <c r="C954" t="str">
        <f>VLOOKUP(A954,'Table corresp.'!$M$4:$P$63,4,FALSE)</f>
        <v>Production et transformation de produits bois</v>
      </c>
      <c r="D954" t="s">
        <v>26</v>
      </c>
      <c r="E954" t="str">
        <f>VLOOKUP(LEFT(D954,3),'Table corresp.'!$A$4:$D$63,4,FALSE)</f>
        <v>Transformation</v>
      </c>
      <c r="F954" t="str">
        <f t="shared" si="109"/>
        <v xml:space="preserve">20b - 59 </v>
      </c>
      <c r="G954" s="164">
        <v>5712.4819257314875</v>
      </c>
      <c r="H954" s="164">
        <v>0</v>
      </c>
      <c r="I954" s="164">
        <v>5712.4819257315585</v>
      </c>
      <c r="J954" s="164">
        <v>21.88502417312985</v>
      </c>
      <c r="K954" s="164">
        <v>0</v>
      </c>
      <c r="L954" s="164">
        <v>21.88502417312985</v>
      </c>
      <c r="M954" s="164">
        <v>0</v>
      </c>
      <c r="N954" s="164">
        <v>0</v>
      </c>
      <c r="O954" s="164">
        <v>0</v>
      </c>
      <c r="P954" s="164">
        <v>0</v>
      </c>
      <c r="Q954" s="164">
        <v>0</v>
      </c>
      <c r="R954" s="164">
        <v>0</v>
      </c>
      <c r="S954" s="163" t="str">
        <f t="shared" si="110"/>
        <v/>
      </c>
      <c r="T954" s="163">
        <f>VLOOKUP(A954,'Groupe de branches'!$Z$27:$AM$86,14,FALSE)</f>
        <v>0</v>
      </c>
      <c r="U954" s="163">
        <f>VLOOKUP(D954,'Groupe de branches'!$Z$27:$AM$86,14,FALSE)</f>
        <v>0</v>
      </c>
      <c r="V954" s="163">
        <v>2018</v>
      </c>
      <c r="W954" t="str">
        <f>VLOOKUP(D954,'Table corresp.'!$M$4:$S$63,7,FALSE)</f>
        <v>Construction</v>
      </c>
      <c r="X954" s="167">
        <f>IFERROR(G954/SUMIFS('Comp2016-2017 (3)'!$I$5:$I$289,'Comp2016-2017 (3)'!$A$5:$A$289,A954,'Comp2016-2017 (3)'!$R$5:$R$289,V954),0)</f>
        <v>3.2111373001136985E-2</v>
      </c>
      <c r="Y954" s="178">
        <f>IFERROR(IF(RIGHT(F954,3)="Exp",VLOOKUP(F954,#REF!,2,FALSE),VLOOKUP(F954,#REF!,9,FALSE)),1)</f>
        <v>1</v>
      </c>
      <c r="Z954" s="167">
        <f t="shared" si="111"/>
        <v>7.1428571428571425E-2</v>
      </c>
      <c r="AA954" s="189">
        <f t="shared" si="106"/>
        <v>2.2936695000812129E-3</v>
      </c>
      <c r="AB954" s="2">
        <f>IFERROR(SUMIFS('Comp2016-2017 (3)'!$G$5:$G$289,'Comp2016-2017 (3)'!$A$5:$A$289,A954,'Comp2016-2017 (3)'!$R$5:$R$289,V954)*AA954/SUMIFS($AA$4:$AA$1116,$A$4:$A$1116,A954,$V$4:$V$1116,V954),0)</f>
        <v>1392.4530152397524</v>
      </c>
      <c r="AC954" s="2" t="str">
        <f>IF($W954=AC$3,$AB954,IF(NOT($W954=0),"",SUMIFS('Val-Vol (2)'!AC$4:AC$1116,'Val-Vol (2)'!$A$4:$A$1116,$D954,'Val-Vol (2)'!$V$4:$V$1116,$V954)/SUMIFS('Comp2016-2017 (3)'!$G$5:$G$289,'Comp2016-2017 (3)'!$A$5:$A$289,$D954,'Comp2016-2017 (3)'!$R$5:$R$289,$V954)*$AB954))</f>
        <v/>
      </c>
      <c r="AD954" s="2">
        <f>IF($W954=AD$3,$AB954,IF(NOT($W954=0),"",SUMIFS('Val-Vol (2)'!AD$4:AD$1116,'Val-Vol (2)'!$A$4:$A$1116,$D954,'Val-Vol (2)'!$V$4:$V$1116,$V954)/SUMIFS('Comp2016-2017 (3)'!$G$5:$G$289,'Comp2016-2017 (3)'!$A$5:$A$289,$D954,'Comp2016-2017 (3)'!$R$5:$R$289,$V954)*$AB954))</f>
        <v>1392.4530152397524</v>
      </c>
      <c r="AE954" s="2" t="str">
        <f>IF($W954=AE$3,$AB954,IF(NOT($W954=0),"",SUMIFS('Val-Vol (2)'!AE$4:AE$1116,'Val-Vol (2)'!$A$4:$A$1116,$D954,'Val-Vol (2)'!$V$4:$V$1116,$V954)/SUMIFS('Comp2016-2017 (3)'!$G$5:$G$289,'Comp2016-2017 (3)'!$A$5:$A$289,$D954,'Comp2016-2017 (3)'!$R$5:$R$289,$V954)*$AB954))</f>
        <v/>
      </c>
      <c r="AF954" s="2" t="str">
        <f>IF($W954=AF$3,$AB954,IF(NOT($W954=0),"",SUMIFS('Val-Vol (2)'!AF$4:AF$1116,'Val-Vol (2)'!$A$4:$A$1116,$D954,'Val-Vol (2)'!$V$4:$V$1116,$V954)/SUMIFS('Comp2016-2017 (3)'!$G$5:$G$289,'Comp2016-2017 (3)'!$A$5:$A$289,$D954,'Comp2016-2017 (3)'!$R$5:$R$289,$V954)*$AB954))</f>
        <v/>
      </c>
      <c r="AG954" s="2" t="str">
        <f>IF($W954=AG$3,$AB954,IF(NOT($W954=0),"",SUMIFS('Val-Vol (2)'!AG$4:AG$1116,'Val-Vol (2)'!$A$4:$A$1116,$D954,'Val-Vol (2)'!$V$4:$V$1116,$V954)/SUMIFS('Comp2016-2017 (3)'!$G$5:$G$289,'Comp2016-2017 (3)'!$A$5:$A$289,$D954,'Comp2016-2017 (3)'!$R$5:$R$289,$V954)*$AB954))</f>
        <v/>
      </c>
      <c r="AH954" s="2" t="str">
        <f>IF($W954=AH$3,$AB954,IF(NOT($W954=0),"",SUMIFS('Val-Vol (2)'!AH$4:AH$1116,'Val-Vol (2)'!$A$4:$A$1116,$D954,'Val-Vol (2)'!$V$4:$V$1116,$V954)/SUMIFS('Comp2016-2017 (3)'!$G$5:$G$289,'Comp2016-2017 (3)'!$A$5:$A$289,$D954,'Comp2016-2017 (3)'!$R$5:$R$289,$V954)*$AB954))</f>
        <v/>
      </c>
      <c r="AI954" s="2" t="str">
        <f>IF($W954=AI$3,$AB954,IF(NOT($W954=0),"",SUMIFS('Val-Vol (2)'!AI$4:AI$1116,'Val-Vol (2)'!$A$4:$A$1116,$D954,'Val-Vol (2)'!$V$4:$V$1116,$V954)/SUMIFS('Comp2016-2017 (3)'!$G$5:$G$289,'Comp2016-2017 (3)'!$A$5:$A$289,$D954,'Comp2016-2017 (3)'!$R$5:$R$289,$V954)*$AB954))</f>
        <v/>
      </c>
      <c r="AJ954" s="2" t="str">
        <f>IF($W954=AJ$3,$AB954,IF(NOT($W954=0),"",SUMIFS('Val-Vol (2)'!AJ$4:AJ$1116,'Val-Vol (2)'!$A$4:$A$1116,$D954,'Val-Vol (2)'!$V$4:$V$1116,$V954)/SUMIFS('Comp2016-2017 (3)'!$G$5:$G$289,'Comp2016-2017 (3)'!$A$5:$A$289,$D954,'Comp2016-2017 (3)'!$R$5:$R$289,$V954)*$AB954))</f>
        <v/>
      </c>
      <c r="AK954" s="2">
        <f t="shared" si="108"/>
        <v>0</v>
      </c>
      <c r="AL954" t="str">
        <f t="shared" si="105"/>
        <v/>
      </c>
      <c r="AM954" t="str">
        <f>VLOOKUP(A954,'Table corresp.'!$M$4:$U$63,8,FALSE)</f>
        <v>Production intermédiaire</v>
      </c>
      <c r="AN954" t="str">
        <f>VLOOKUP(D954,'Table corresp.'!$M$4:$U$63,9,FALSE)</f>
        <v xml:space="preserve">Mise en œuvre </v>
      </c>
    </row>
    <row r="955" spans="1:40" x14ac:dyDescent="0.25">
      <c r="A955" t="s">
        <v>14</v>
      </c>
      <c r="B955" t="str">
        <f>VLOOKUP(LEFT(A955,3),'Table corresp.'!$A$4:$D$63,3,FALSE)</f>
        <v>Transformation</v>
      </c>
      <c r="C955" t="str">
        <f>VLOOKUP(A955,'Table corresp.'!$M$4:$P$63,4,FALSE)</f>
        <v>Production et transformation de produits bois</v>
      </c>
      <c r="D955" t="s">
        <v>54</v>
      </c>
      <c r="E955" t="str">
        <f>VLOOKUP(LEFT(D955,3),'Table corresp.'!$A$4:$D$63,4,FALSE)</f>
        <v>Consommation finale</v>
      </c>
      <c r="F955" t="str">
        <f t="shared" si="109"/>
        <v>20b - Con</v>
      </c>
      <c r="G955" s="164">
        <v>13805.365612257892</v>
      </c>
      <c r="H955" s="164">
        <v>63051.391355720902</v>
      </c>
      <c r="I955" s="164">
        <v>76856.75696797861</v>
      </c>
      <c r="J955" s="164">
        <v>75.556540439787284</v>
      </c>
      <c r="K955" s="164">
        <v>379.47481232054486</v>
      </c>
      <c r="L955" s="164">
        <v>455.03135276033214</v>
      </c>
      <c r="M955" s="164">
        <v>0</v>
      </c>
      <c r="N955" s="164">
        <v>0</v>
      </c>
      <c r="O955" s="164">
        <v>0</v>
      </c>
      <c r="P955" s="164">
        <v>0</v>
      </c>
      <c r="Q955" s="164">
        <v>0</v>
      </c>
      <c r="R955" s="164">
        <v>0</v>
      </c>
      <c r="S955" s="163" t="str">
        <f t="shared" si="110"/>
        <v/>
      </c>
      <c r="T955" s="163">
        <f>VLOOKUP(A955,'Groupe de branches'!$Z$27:$AM$86,14,FALSE)</f>
        <v>0</v>
      </c>
      <c r="U955" s="163">
        <f>VLOOKUP(D955,'Groupe de branches'!$Z$27:$AM$86,14,FALSE)</f>
        <v>0</v>
      </c>
      <c r="V955" s="163">
        <v>2018</v>
      </c>
      <c r="W955" t="str">
        <f>VLOOKUP(D955,'Table corresp.'!$M$4:$S$63,7,FALSE)</f>
        <v>Consommation finale</v>
      </c>
      <c r="X955" s="167">
        <f>IFERROR(G955/SUMIFS('Comp2016-2017 (3)'!$I$5:$I$289,'Comp2016-2017 (3)'!$A$5:$A$289,A955,'Comp2016-2017 (3)'!$R$5:$R$289,V955),0)</f>
        <v>7.76036143931461E-2</v>
      </c>
      <c r="Y955" s="178">
        <f>IFERROR(IF(RIGHT(F955,3)="Exp",VLOOKUP(F955,#REF!,2,FALSE),VLOOKUP(F955,#REF!,9,FALSE)),1)</f>
        <v>1</v>
      </c>
      <c r="Z955" s="167">
        <f t="shared" si="111"/>
        <v>7.1428571428571425E-2</v>
      </c>
      <c r="AA955" s="189">
        <f t="shared" si="106"/>
        <v>5.54311531379615E-3</v>
      </c>
      <c r="AB955" s="2">
        <f>IFERROR(SUMIFS('Comp2016-2017 (3)'!$G$5:$G$289,'Comp2016-2017 (3)'!$A$5:$A$289,A955,'Comp2016-2017 (3)'!$R$5:$R$289,V955)*AA955/SUMIFS($AA$4:$AA$1116,$A$4:$A$1116,A955,$V$4:$V$1116,V955),0)</f>
        <v>3365.1437716915198</v>
      </c>
      <c r="AC955" s="2" t="str">
        <f>IF($W955=AC$3,$AB955,IF(NOT($W955=0),"",SUMIFS('Val-Vol (2)'!AC$4:AC$1116,'Val-Vol (2)'!$A$4:$A$1116,$D955,'Val-Vol (2)'!$V$4:$V$1116,$V955)/SUMIFS('Comp2016-2017 (3)'!$G$5:$G$289,'Comp2016-2017 (3)'!$A$5:$A$289,$D955,'Comp2016-2017 (3)'!$R$5:$R$289,$V955)*$AB955))</f>
        <v/>
      </c>
      <c r="AD955" s="2" t="str">
        <f>IF($W955=AD$3,$AB955,IF(NOT($W955=0),"",SUMIFS('Val-Vol (2)'!AD$4:AD$1116,'Val-Vol (2)'!$A$4:$A$1116,$D955,'Val-Vol (2)'!$V$4:$V$1116,$V955)/SUMIFS('Comp2016-2017 (3)'!$G$5:$G$289,'Comp2016-2017 (3)'!$A$5:$A$289,$D955,'Comp2016-2017 (3)'!$R$5:$R$289,$V955)*$AB955))</f>
        <v/>
      </c>
      <c r="AE955" s="2" t="str">
        <f>IF($W955=AE$3,$AB955,IF(NOT($W955=0),"",SUMIFS('Val-Vol (2)'!AE$4:AE$1116,'Val-Vol (2)'!$A$4:$A$1116,$D955,'Val-Vol (2)'!$V$4:$V$1116,$V955)/SUMIFS('Comp2016-2017 (3)'!$G$5:$G$289,'Comp2016-2017 (3)'!$A$5:$A$289,$D955,'Comp2016-2017 (3)'!$R$5:$R$289,$V955)*$AB955))</f>
        <v/>
      </c>
      <c r="AF955" s="2" t="str">
        <f>IF($W955=AF$3,$AB955,IF(NOT($W955=0),"",SUMIFS('Val-Vol (2)'!AF$4:AF$1116,'Val-Vol (2)'!$A$4:$A$1116,$D955,'Val-Vol (2)'!$V$4:$V$1116,$V955)/SUMIFS('Comp2016-2017 (3)'!$G$5:$G$289,'Comp2016-2017 (3)'!$A$5:$A$289,$D955,'Comp2016-2017 (3)'!$R$5:$R$289,$V955)*$AB955))</f>
        <v/>
      </c>
      <c r="AG955" s="2" t="str">
        <f>IF($W955=AG$3,$AB955,IF(NOT($W955=0),"",SUMIFS('Val-Vol (2)'!AG$4:AG$1116,'Val-Vol (2)'!$A$4:$A$1116,$D955,'Val-Vol (2)'!$V$4:$V$1116,$V955)/SUMIFS('Comp2016-2017 (3)'!$G$5:$G$289,'Comp2016-2017 (3)'!$A$5:$A$289,$D955,'Comp2016-2017 (3)'!$R$5:$R$289,$V955)*$AB955))</f>
        <v/>
      </c>
      <c r="AH955" s="2" t="str">
        <f>IF($W955=AH$3,$AB955,IF(NOT($W955=0),"",SUMIFS('Val-Vol (2)'!AH$4:AH$1116,'Val-Vol (2)'!$A$4:$A$1116,$D955,'Val-Vol (2)'!$V$4:$V$1116,$V955)/SUMIFS('Comp2016-2017 (3)'!$G$5:$G$289,'Comp2016-2017 (3)'!$A$5:$A$289,$D955,'Comp2016-2017 (3)'!$R$5:$R$289,$V955)*$AB955))</f>
        <v/>
      </c>
      <c r="AI955" s="2" t="str">
        <f>IF($W955=AI$3,$AB955,IF(NOT($W955=0),"",SUMIFS('Val-Vol (2)'!AI$4:AI$1116,'Val-Vol (2)'!$A$4:$A$1116,$D955,'Val-Vol (2)'!$V$4:$V$1116,$V955)/SUMIFS('Comp2016-2017 (3)'!$G$5:$G$289,'Comp2016-2017 (3)'!$A$5:$A$289,$D955,'Comp2016-2017 (3)'!$R$5:$R$289,$V955)*$AB955))</f>
        <v/>
      </c>
      <c r="AJ955" s="2">
        <f>IF($W955=AJ$3,$AB955,IF(NOT($W955=0),"",SUMIFS('Val-Vol (2)'!AJ$4:AJ$1116,'Val-Vol (2)'!$A$4:$A$1116,$D955,'Val-Vol (2)'!$V$4:$V$1116,$V955)/SUMIFS('Comp2016-2017 (3)'!$G$5:$G$289,'Comp2016-2017 (3)'!$A$5:$A$289,$D955,'Comp2016-2017 (3)'!$R$5:$R$289,$V955)*$AB955))</f>
        <v>3365.1437716915198</v>
      </c>
      <c r="AK955" s="2">
        <f t="shared" si="108"/>
        <v>0</v>
      </c>
      <c r="AL955" t="str">
        <f t="shared" si="105"/>
        <v/>
      </c>
      <c r="AM955" t="str">
        <f>VLOOKUP(A955,'Table corresp.'!$M$4:$U$63,8,FALSE)</f>
        <v>Production intermédiaire</v>
      </c>
      <c r="AN955" t="str">
        <f>VLOOKUP(D955,'Table corresp.'!$M$4:$U$63,9,FALSE)</f>
        <v>Consommation finale française</v>
      </c>
    </row>
    <row r="956" spans="1:40" x14ac:dyDescent="0.25">
      <c r="A956" t="s">
        <v>14</v>
      </c>
      <c r="B956" t="str">
        <f>VLOOKUP(LEFT(A956,3),'Table corresp.'!$A$4:$D$63,3,FALSE)</f>
        <v>Transformation</v>
      </c>
      <c r="C956" t="str">
        <f>VLOOKUP(A956,'Table corresp.'!$M$4:$P$63,4,FALSE)</f>
        <v>Production et transformation de produits bois</v>
      </c>
      <c r="D956" t="s">
        <v>53</v>
      </c>
      <c r="E956" t="str">
        <f>VLOOKUP(LEFT(D956,3),'Table corresp.'!$A$4:$D$63,4,FALSE)</f>
        <v>Exportation</v>
      </c>
      <c r="F956" t="str">
        <f t="shared" si="109"/>
        <v>20b - Exp</v>
      </c>
      <c r="G956" s="164">
        <v>48426.811784802689</v>
      </c>
      <c r="H956" s="164">
        <v>0</v>
      </c>
      <c r="I956" s="164">
        <v>48426.811784803293</v>
      </c>
      <c r="J956" s="164">
        <v>142.32422986110427</v>
      </c>
      <c r="K956" s="164">
        <v>0</v>
      </c>
      <c r="L956" s="164">
        <v>142.32422986110427</v>
      </c>
      <c r="M956" s="164">
        <v>0</v>
      </c>
      <c r="N956" s="164">
        <v>0</v>
      </c>
      <c r="O956" s="164">
        <v>0</v>
      </c>
      <c r="P956" s="164">
        <v>0</v>
      </c>
      <c r="Q956" s="164">
        <v>0</v>
      </c>
      <c r="R956" s="164">
        <v>0</v>
      </c>
      <c r="S956" s="163" t="str">
        <f t="shared" si="110"/>
        <v/>
      </c>
      <c r="T956" s="163">
        <f>VLOOKUP(A956,'Groupe de branches'!$Z$27:$AM$86,14,FALSE)</f>
        <v>0</v>
      </c>
      <c r="U956" s="163">
        <f>VLOOKUP(D956,'Groupe de branches'!$Z$27:$AM$86,14,FALSE)</f>
        <v>0</v>
      </c>
      <c r="V956" s="163">
        <v>2018</v>
      </c>
      <c r="W956" t="str">
        <f>VLOOKUP(D956,'Table corresp.'!$M$4:$S$63,7,FALSE)</f>
        <v>Exportation</v>
      </c>
      <c r="X956" s="167">
        <f>IFERROR(G956/SUMIFS('Comp2016-2017 (3)'!$I$5:$I$289,'Comp2016-2017 (3)'!$A$5:$A$289,A956,'Comp2016-2017 (3)'!$R$5:$R$289,V956),0)</f>
        <v>0.27221992764178943</v>
      </c>
      <c r="Y956" s="178">
        <f>IFERROR(IF(RIGHT(F956,3)="Exp",VLOOKUP(F956,#REF!,2,FALSE),VLOOKUP(F956,#REF!,9,FALSE)),1)</f>
        <v>1</v>
      </c>
      <c r="Z956" s="167">
        <f t="shared" si="111"/>
        <v>7.1428571428571425E-2</v>
      </c>
      <c r="AA956" s="189">
        <f t="shared" si="106"/>
        <v>1.9444280545842102E-2</v>
      </c>
      <c r="AB956" s="2">
        <f>IFERROR(SUMIFS('Comp2016-2017 (3)'!$G$5:$G$289,'Comp2016-2017 (3)'!$A$5:$A$289,A956,'Comp2016-2017 (3)'!$R$5:$R$289,V956)*AA956/SUMIFS($AA$4:$AA$1116,$A$4:$A$1116,A956,$V$4:$V$1116,V956),0)</f>
        <v>11804.336707737026</v>
      </c>
      <c r="AC956" s="2">
        <f>IF($W956=AC$3,$AB956,IF(NOT($W956=0),"",SUMIFS('Val-Vol (2)'!AC$4:AC$1116,'Val-Vol (2)'!$A$4:$A$1116,$D956,'Val-Vol (2)'!$V$4:$V$1116,$V956)/SUMIFS('Comp2016-2017 (3)'!$G$5:$G$289,'Comp2016-2017 (3)'!$A$5:$A$289,$D956,'Comp2016-2017 (3)'!$R$5:$R$289,$V956)*$AB956))</f>
        <v>11804.336707737026</v>
      </c>
      <c r="AD956" s="2" t="str">
        <f>IF($W956=AD$3,$AB956,IF(NOT($W956=0),"",SUMIFS('Val-Vol (2)'!AD$4:AD$1116,'Val-Vol (2)'!$A$4:$A$1116,$D956,'Val-Vol (2)'!$V$4:$V$1116,$V956)/SUMIFS('Comp2016-2017 (3)'!$G$5:$G$289,'Comp2016-2017 (3)'!$A$5:$A$289,$D956,'Comp2016-2017 (3)'!$R$5:$R$289,$V956)*$AB956))</f>
        <v/>
      </c>
      <c r="AE956" s="2" t="str">
        <f>IF($W956=AE$3,$AB956,IF(NOT($W956=0),"",SUMIFS('Val-Vol (2)'!AE$4:AE$1116,'Val-Vol (2)'!$A$4:$A$1116,$D956,'Val-Vol (2)'!$V$4:$V$1116,$V956)/SUMIFS('Comp2016-2017 (3)'!$G$5:$G$289,'Comp2016-2017 (3)'!$A$5:$A$289,$D956,'Comp2016-2017 (3)'!$R$5:$R$289,$V956)*$AB956))</f>
        <v/>
      </c>
      <c r="AF956" s="2" t="str">
        <f>IF($W956=AF$3,$AB956,IF(NOT($W956=0),"",SUMIFS('Val-Vol (2)'!AF$4:AF$1116,'Val-Vol (2)'!$A$4:$A$1116,$D956,'Val-Vol (2)'!$V$4:$V$1116,$V956)/SUMIFS('Comp2016-2017 (3)'!$G$5:$G$289,'Comp2016-2017 (3)'!$A$5:$A$289,$D956,'Comp2016-2017 (3)'!$R$5:$R$289,$V956)*$AB956))</f>
        <v/>
      </c>
      <c r="AG956" s="2" t="str">
        <f>IF($W956=AG$3,$AB956,IF(NOT($W956=0),"",SUMIFS('Val-Vol (2)'!AG$4:AG$1116,'Val-Vol (2)'!$A$4:$A$1116,$D956,'Val-Vol (2)'!$V$4:$V$1116,$V956)/SUMIFS('Comp2016-2017 (3)'!$G$5:$G$289,'Comp2016-2017 (3)'!$A$5:$A$289,$D956,'Comp2016-2017 (3)'!$R$5:$R$289,$V956)*$AB956))</f>
        <v/>
      </c>
      <c r="AH956" s="2" t="str">
        <f>IF($W956=AH$3,$AB956,IF(NOT($W956=0),"",SUMIFS('Val-Vol (2)'!AH$4:AH$1116,'Val-Vol (2)'!$A$4:$A$1116,$D956,'Val-Vol (2)'!$V$4:$V$1116,$V956)/SUMIFS('Comp2016-2017 (3)'!$G$5:$G$289,'Comp2016-2017 (3)'!$A$5:$A$289,$D956,'Comp2016-2017 (3)'!$R$5:$R$289,$V956)*$AB956))</f>
        <v/>
      </c>
      <c r="AI956" s="2" t="str">
        <f>IF($W956=AI$3,$AB956,IF(NOT($W956=0),"",SUMIFS('Val-Vol (2)'!AI$4:AI$1116,'Val-Vol (2)'!$A$4:$A$1116,$D956,'Val-Vol (2)'!$V$4:$V$1116,$V956)/SUMIFS('Comp2016-2017 (3)'!$G$5:$G$289,'Comp2016-2017 (3)'!$A$5:$A$289,$D956,'Comp2016-2017 (3)'!$R$5:$R$289,$V956)*$AB956))</f>
        <v/>
      </c>
      <c r="AJ956" s="2" t="str">
        <f>IF($W956=AJ$3,$AB956,IF(NOT($W956=0),"",SUMIFS('Val-Vol (2)'!AJ$4:AJ$1116,'Val-Vol (2)'!$A$4:$A$1116,$D956,'Val-Vol (2)'!$V$4:$V$1116,$V956)/SUMIFS('Comp2016-2017 (3)'!$G$5:$G$289,'Comp2016-2017 (3)'!$A$5:$A$289,$D956,'Comp2016-2017 (3)'!$R$5:$R$289,$V956)*$AB956))</f>
        <v/>
      </c>
      <c r="AK956" s="2">
        <f t="shared" si="108"/>
        <v>0</v>
      </c>
      <c r="AL956" t="str">
        <f t="shared" si="105"/>
        <v/>
      </c>
      <c r="AM956" t="str">
        <f>VLOOKUP(A956,'Table corresp.'!$M$4:$U$63,8,FALSE)</f>
        <v>Production intermédiaire</v>
      </c>
      <c r="AN956" t="str">
        <f>VLOOKUP(D956,'Table corresp.'!$M$4:$U$63,9,FALSE)</f>
        <v>Exportation</v>
      </c>
    </row>
    <row r="957" spans="1:40" x14ac:dyDescent="0.25">
      <c r="A957" t="s">
        <v>85</v>
      </c>
      <c r="B957" t="str">
        <f>VLOOKUP(LEFT(A957,3),'Table corresp.'!$A$4:$D$63,3,FALSE)</f>
        <v>Transformation</v>
      </c>
      <c r="C957" t="str">
        <f>VLOOKUP(A957,'Table corresp.'!$M$4:$P$63,4,FALSE)</f>
        <v>Production et transformation de produits bois</v>
      </c>
      <c r="D957" t="s">
        <v>19</v>
      </c>
      <c r="E957" t="str">
        <f>VLOOKUP(LEFT(D957,3),'Table corresp.'!$A$4:$D$63,4,FALSE)</f>
        <v>Transformation</v>
      </c>
      <c r="F957" t="str">
        <f t="shared" si="109"/>
        <v xml:space="preserve">29  - 52 </v>
      </c>
      <c r="G957" s="164">
        <v>55662.374465053064</v>
      </c>
      <c r="H957" s="164">
        <v>23995.581845642937</v>
      </c>
      <c r="I957" s="164">
        <v>79657.956310695969</v>
      </c>
      <c r="J957" s="164">
        <v>318.69960172984571</v>
      </c>
      <c r="K957" s="164">
        <v>122.91953910953906</v>
      </c>
      <c r="L957" s="164">
        <v>441.61914083938478</v>
      </c>
      <c r="M957" s="164">
        <v>0</v>
      </c>
      <c r="N957" s="164">
        <v>0</v>
      </c>
      <c r="O957" s="164">
        <v>0</v>
      </c>
      <c r="P957" s="164">
        <v>0</v>
      </c>
      <c r="Q957" s="164">
        <v>0</v>
      </c>
      <c r="R957" s="164">
        <v>0</v>
      </c>
      <c r="S957" s="163" t="str">
        <f t="shared" si="110"/>
        <v/>
      </c>
      <c r="T957" s="163">
        <f>VLOOKUP(A957,'Groupe de branches'!$Z$27:$AM$86,14,FALSE)</f>
        <v>0</v>
      </c>
      <c r="U957" s="163">
        <f>VLOOKUP(D957,'Groupe de branches'!$Z$27:$AM$86,14,FALSE)</f>
        <v>0</v>
      </c>
      <c r="V957" s="163">
        <v>2018</v>
      </c>
      <c r="W957" t="str">
        <f>VLOOKUP(D957,'Table corresp.'!$M$4:$S$63,7,FALSE)</f>
        <v>Construction</v>
      </c>
      <c r="X957" s="167">
        <f>IFERROR(G957/SUMIFS('Comp2016-2017 (3)'!$I$5:$I$289,'Comp2016-2017 (3)'!$A$5:$A$289,A957,'Comp2016-2017 (3)'!$R$5:$R$289,V957),0)</f>
        <v>0.20398659094724517</v>
      </c>
      <c r="Y957" s="178">
        <f>IFERROR(IF(RIGHT(F957,3)="Exp",VLOOKUP(F957,#REF!,2,FALSE),VLOOKUP(F957,#REF!,9,FALSE)),1)</f>
        <v>1</v>
      </c>
      <c r="Z957" s="167">
        <f t="shared" si="111"/>
        <v>0.25</v>
      </c>
      <c r="AA957" s="189">
        <f t="shared" si="106"/>
        <v>5.0996647736811292E-2</v>
      </c>
      <c r="AB957" s="2">
        <f>IFERROR(SUMIFS('Comp2016-2017 (3)'!$G$5:$G$289,'Comp2016-2017 (3)'!$A$5:$A$289,A957,'Comp2016-2017 (3)'!$R$5:$R$289,V957)*AA957/SUMIFS($AA$4:$AA$1116,$A$4:$A$1116,A957,$V$4:$V$1116,V957),0)</f>
        <v>2370.7808632639885</v>
      </c>
      <c r="AC957" s="2" t="str">
        <f>IF($W957=AC$3,$AB957,IF(NOT($W957=0),"",SUMIFS('Val-Vol (2)'!AC$4:AC$1116,'Val-Vol (2)'!$A$4:$A$1116,$D957,'Val-Vol (2)'!$V$4:$V$1116,$V957)/SUMIFS('Comp2016-2017 (3)'!$G$5:$G$289,'Comp2016-2017 (3)'!$A$5:$A$289,$D957,'Comp2016-2017 (3)'!$R$5:$R$289,$V957)*$AB957))</f>
        <v/>
      </c>
      <c r="AD957" s="2">
        <f>IF($W957=AD$3,$AB957,IF(NOT($W957=0),"",SUMIFS('Val-Vol (2)'!AD$4:AD$1116,'Val-Vol (2)'!$A$4:$A$1116,$D957,'Val-Vol (2)'!$V$4:$V$1116,$V957)/SUMIFS('Comp2016-2017 (3)'!$G$5:$G$289,'Comp2016-2017 (3)'!$A$5:$A$289,$D957,'Comp2016-2017 (3)'!$R$5:$R$289,$V957)*$AB957))</f>
        <v>2370.7808632639885</v>
      </c>
      <c r="AE957" s="2" t="str">
        <f>IF($W957=AE$3,$AB957,IF(NOT($W957=0),"",SUMIFS('Val-Vol (2)'!AE$4:AE$1116,'Val-Vol (2)'!$A$4:$A$1116,$D957,'Val-Vol (2)'!$V$4:$V$1116,$V957)/SUMIFS('Comp2016-2017 (3)'!$G$5:$G$289,'Comp2016-2017 (3)'!$A$5:$A$289,$D957,'Comp2016-2017 (3)'!$R$5:$R$289,$V957)*$AB957))</f>
        <v/>
      </c>
      <c r="AF957" s="2" t="str">
        <f>IF($W957=AF$3,$AB957,IF(NOT($W957=0),"",SUMIFS('Val-Vol (2)'!AF$4:AF$1116,'Val-Vol (2)'!$A$4:$A$1116,$D957,'Val-Vol (2)'!$V$4:$V$1116,$V957)/SUMIFS('Comp2016-2017 (3)'!$G$5:$G$289,'Comp2016-2017 (3)'!$A$5:$A$289,$D957,'Comp2016-2017 (3)'!$R$5:$R$289,$V957)*$AB957))</f>
        <v/>
      </c>
      <c r="AG957" s="2" t="str">
        <f>IF($W957=AG$3,$AB957,IF(NOT($W957=0),"",SUMIFS('Val-Vol (2)'!AG$4:AG$1116,'Val-Vol (2)'!$A$4:$A$1116,$D957,'Val-Vol (2)'!$V$4:$V$1116,$V957)/SUMIFS('Comp2016-2017 (3)'!$G$5:$G$289,'Comp2016-2017 (3)'!$A$5:$A$289,$D957,'Comp2016-2017 (3)'!$R$5:$R$289,$V957)*$AB957))</f>
        <v/>
      </c>
      <c r="AH957" s="2" t="str">
        <f>IF($W957=AH$3,$AB957,IF(NOT($W957=0),"",SUMIFS('Val-Vol (2)'!AH$4:AH$1116,'Val-Vol (2)'!$A$4:$A$1116,$D957,'Val-Vol (2)'!$V$4:$V$1116,$V957)/SUMIFS('Comp2016-2017 (3)'!$G$5:$G$289,'Comp2016-2017 (3)'!$A$5:$A$289,$D957,'Comp2016-2017 (3)'!$R$5:$R$289,$V957)*$AB957))</f>
        <v/>
      </c>
      <c r="AI957" s="2" t="str">
        <f>IF($W957=AI$3,$AB957,IF(NOT($W957=0),"",SUMIFS('Val-Vol (2)'!AI$4:AI$1116,'Val-Vol (2)'!$A$4:$A$1116,$D957,'Val-Vol (2)'!$V$4:$V$1116,$V957)/SUMIFS('Comp2016-2017 (3)'!$G$5:$G$289,'Comp2016-2017 (3)'!$A$5:$A$289,$D957,'Comp2016-2017 (3)'!$R$5:$R$289,$V957)*$AB957))</f>
        <v/>
      </c>
      <c r="AJ957" s="2" t="str">
        <f>IF($W957=AJ$3,$AB957,IF(NOT($W957=0),"",SUMIFS('Val-Vol (2)'!AJ$4:AJ$1116,'Val-Vol (2)'!$A$4:$A$1116,$D957,'Val-Vol (2)'!$V$4:$V$1116,$V957)/SUMIFS('Comp2016-2017 (3)'!$G$5:$G$289,'Comp2016-2017 (3)'!$A$5:$A$289,$D957,'Comp2016-2017 (3)'!$R$5:$R$289,$V957)*$AB957))</f>
        <v/>
      </c>
      <c r="AK957" s="2">
        <f t="shared" si="108"/>
        <v>0</v>
      </c>
      <c r="AL957" t="str">
        <f t="shared" si="105"/>
        <v/>
      </c>
      <c r="AM957" t="str">
        <f>VLOOKUP(A957,'Table corresp.'!$M$4:$U$63,8,FALSE)</f>
        <v>Production intermédiaire</v>
      </c>
      <c r="AN957" t="str">
        <f>VLOOKUP(D957,'Table corresp.'!$M$4:$U$63,9,FALSE)</f>
        <v xml:space="preserve">Mise en œuvre </v>
      </c>
    </row>
    <row r="958" spans="1:40" x14ac:dyDescent="0.25">
      <c r="A958" t="s">
        <v>85</v>
      </c>
      <c r="B958" t="str">
        <f>VLOOKUP(LEFT(A958,3),'Table corresp.'!$A$4:$D$63,3,FALSE)</f>
        <v>Transformation</v>
      </c>
      <c r="C958" t="str">
        <f>VLOOKUP(A958,'Table corresp.'!$M$4:$P$63,4,FALSE)</f>
        <v>Production et transformation de produits bois</v>
      </c>
      <c r="D958" t="s">
        <v>24</v>
      </c>
      <c r="E958" t="str">
        <f>VLOOKUP(LEFT(D958,3),'Table corresp.'!$A$4:$D$63,4,FALSE)</f>
        <v>Transformation</v>
      </c>
      <c r="F958" t="str">
        <f t="shared" si="109"/>
        <v xml:space="preserve">29  - 57 </v>
      </c>
      <c r="G958" s="164">
        <v>139923.25027122151</v>
      </c>
      <c r="H958" s="164">
        <v>131354.43420606031</v>
      </c>
      <c r="I958" s="164">
        <v>271277.6844772817</v>
      </c>
      <c r="J958" s="164">
        <v>667.61860476896732</v>
      </c>
      <c r="K958" s="164">
        <v>581.94592353519738</v>
      </c>
      <c r="L958" s="164">
        <v>1249.5645283041647</v>
      </c>
      <c r="M958" s="164">
        <v>0</v>
      </c>
      <c r="N958" s="164">
        <v>0</v>
      </c>
      <c r="O958" s="164">
        <v>0</v>
      </c>
      <c r="P958" s="164">
        <v>0</v>
      </c>
      <c r="Q958" s="164">
        <v>0</v>
      </c>
      <c r="R958" s="164">
        <v>0</v>
      </c>
      <c r="S958" s="163" t="str">
        <f t="shared" si="110"/>
        <v/>
      </c>
      <c r="T958" s="163">
        <f>VLOOKUP(A958,'Groupe de branches'!$Z$27:$AM$86,14,FALSE)</f>
        <v>0</v>
      </c>
      <c r="U958" s="163">
        <f>VLOOKUP(D958,'Groupe de branches'!$Z$27:$AM$86,14,FALSE)</f>
        <v>0</v>
      </c>
      <c r="V958" s="163">
        <v>2018</v>
      </c>
      <c r="W958" t="str">
        <f>VLOOKUP(D958,'Table corresp.'!$M$4:$S$63,7,FALSE)</f>
        <v>Construction</v>
      </c>
      <c r="X958" s="167">
        <f>IFERROR(G958/SUMIFS('Comp2016-2017 (3)'!$I$5:$I$289,'Comp2016-2017 (3)'!$A$5:$A$289,A958,'Comp2016-2017 (3)'!$R$5:$R$289,V958),0)</f>
        <v>0.51277846285563522</v>
      </c>
      <c r="Y958" s="178">
        <f>IFERROR(IF(RIGHT(F958,3)="Exp",VLOOKUP(F958,#REF!,2,FALSE),VLOOKUP(F958,#REF!,9,FALSE)),1)</f>
        <v>1</v>
      </c>
      <c r="Z958" s="167">
        <f t="shared" si="111"/>
        <v>0.25</v>
      </c>
      <c r="AA958" s="189">
        <f t="shared" si="106"/>
        <v>0.1281946157139088</v>
      </c>
      <c r="AB958" s="2">
        <f>IFERROR(SUMIFS('Comp2016-2017 (3)'!$G$5:$G$289,'Comp2016-2017 (3)'!$A$5:$A$289,A958,'Comp2016-2017 (3)'!$R$5:$R$289,V958)*AA958/SUMIFS($AA$4:$AA$1116,$A$4:$A$1116,A958,$V$4:$V$1116,V958),0)</f>
        <v>5959.6337248778445</v>
      </c>
      <c r="AC958" s="2" t="str">
        <f>IF($W958=AC$3,$AB958,IF(NOT($W958=0),"",SUMIFS('Val-Vol (2)'!AC$4:AC$1116,'Val-Vol (2)'!$A$4:$A$1116,$D958,'Val-Vol (2)'!$V$4:$V$1116,$V958)/SUMIFS('Comp2016-2017 (3)'!$G$5:$G$289,'Comp2016-2017 (3)'!$A$5:$A$289,$D958,'Comp2016-2017 (3)'!$R$5:$R$289,$V958)*$AB958))</f>
        <v/>
      </c>
      <c r="AD958" s="2">
        <f>IF($W958=AD$3,$AB958,IF(NOT($W958=0),"",SUMIFS('Val-Vol (2)'!AD$4:AD$1116,'Val-Vol (2)'!$A$4:$A$1116,$D958,'Val-Vol (2)'!$V$4:$V$1116,$V958)/SUMIFS('Comp2016-2017 (3)'!$G$5:$G$289,'Comp2016-2017 (3)'!$A$5:$A$289,$D958,'Comp2016-2017 (3)'!$R$5:$R$289,$V958)*$AB958))</f>
        <v>5959.6337248778445</v>
      </c>
      <c r="AE958" s="2" t="str">
        <f>IF($W958=AE$3,$AB958,IF(NOT($W958=0),"",SUMIFS('Val-Vol (2)'!AE$4:AE$1116,'Val-Vol (2)'!$A$4:$A$1116,$D958,'Val-Vol (2)'!$V$4:$V$1116,$V958)/SUMIFS('Comp2016-2017 (3)'!$G$5:$G$289,'Comp2016-2017 (3)'!$A$5:$A$289,$D958,'Comp2016-2017 (3)'!$R$5:$R$289,$V958)*$AB958))</f>
        <v/>
      </c>
      <c r="AF958" s="2" t="str">
        <f>IF($W958=AF$3,$AB958,IF(NOT($W958=0),"",SUMIFS('Val-Vol (2)'!AF$4:AF$1116,'Val-Vol (2)'!$A$4:$A$1116,$D958,'Val-Vol (2)'!$V$4:$V$1116,$V958)/SUMIFS('Comp2016-2017 (3)'!$G$5:$G$289,'Comp2016-2017 (3)'!$A$5:$A$289,$D958,'Comp2016-2017 (3)'!$R$5:$R$289,$V958)*$AB958))</f>
        <v/>
      </c>
      <c r="AG958" s="2" t="str">
        <f>IF($W958=AG$3,$AB958,IF(NOT($W958=0),"",SUMIFS('Val-Vol (2)'!AG$4:AG$1116,'Val-Vol (2)'!$A$4:$A$1116,$D958,'Val-Vol (2)'!$V$4:$V$1116,$V958)/SUMIFS('Comp2016-2017 (3)'!$G$5:$G$289,'Comp2016-2017 (3)'!$A$5:$A$289,$D958,'Comp2016-2017 (3)'!$R$5:$R$289,$V958)*$AB958))</f>
        <v/>
      </c>
      <c r="AH958" s="2" t="str">
        <f>IF($W958=AH$3,$AB958,IF(NOT($W958=0),"",SUMIFS('Val-Vol (2)'!AH$4:AH$1116,'Val-Vol (2)'!$A$4:$A$1116,$D958,'Val-Vol (2)'!$V$4:$V$1116,$V958)/SUMIFS('Comp2016-2017 (3)'!$G$5:$G$289,'Comp2016-2017 (3)'!$A$5:$A$289,$D958,'Comp2016-2017 (3)'!$R$5:$R$289,$V958)*$AB958))</f>
        <v/>
      </c>
      <c r="AI958" s="2" t="str">
        <f>IF($W958=AI$3,$AB958,IF(NOT($W958=0),"",SUMIFS('Val-Vol (2)'!AI$4:AI$1116,'Val-Vol (2)'!$A$4:$A$1116,$D958,'Val-Vol (2)'!$V$4:$V$1116,$V958)/SUMIFS('Comp2016-2017 (3)'!$G$5:$G$289,'Comp2016-2017 (3)'!$A$5:$A$289,$D958,'Comp2016-2017 (3)'!$R$5:$R$289,$V958)*$AB958))</f>
        <v/>
      </c>
      <c r="AJ958" s="2" t="str">
        <f>IF($W958=AJ$3,$AB958,IF(NOT($W958=0),"",SUMIFS('Val-Vol (2)'!AJ$4:AJ$1116,'Val-Vol (2)'!$A$4:$A$1116,$D958,'Val-Vol (2)'!$V$4:$V$1116,$V958)/SUMIFS('Comp2016-2017 (3)'!$G$5:$G$289,'Comp2016-2017 (3)'!$A$5:$A$289,$D958,'Comp2016-2017 (3)'!$R$5:$R$289,$V958)*$AB958))</f>
        <v/>
      </c>
      <c r="AK958" s="2">
        <f t="shared" si="108"/>
        <v>0</v>
      </c>
      <c r="AL958" t="str">
        <f t="shared" si="105"/>
        <v/>
      </c>
      <c r="AM958" t="str">
        <f>VLOOKUP(A958,'Table corresp.'!$M$4:$U$63,8,FALSE)</f>
        <v>Production intermédiaire</v>
      </c>
      <c r="AN958" t="str">
        <f>VLOOKUP(D958,'Table corresp.'!$M$4:$U$63,9,FALSE)</f>
        <v xml:space="preserve">Mise en œuvre </v>
      </c>
    </row>
    <row r="959" spans="1:40" x14ac:dyDescent="0.25">
      <c r="A959" t="s">
        <v>85</v>
      </c>
      <c r="B959" t="str">
        <f>VLOOKUP(LEFT(A959,3),'Table corresp.'!$A$4:$D$63,3,FALSE)</f>
        <v>Transformation</v>
      </c>
      <c r="C959" t="str">
        <f>VLOOKUP(A959,'Table corresp.'!$M$4:$P$63,4,FALSE)</f>
        <v>Production et transformation de produits bois</v>
      </c>
      <c r="D959" t="s">
        <v>54</v>
      </c>
      <c r="E959" t="str">
        <f>VLOOKUP(LEFT(D959,3),'Table corresp.'!$A$4:$D$63,4,FALSE)</f>
        <v>Consommation finale</v>
      </c>
      <c r="F959" t="str">
        <f t="shared" si="109"/>
        <v>29  - Con</v>
      </c>
      <c r="G959" s="164">
        <v>64837.028669068917</v>
      </c>
      <c r="H959" s="164">
        <v>39439.983948296729</v>
      </c>
      <c r="I959" s="164">
        <v>104277.0126173656</v>
      </c>
      <c r="J959" s="164">
        <v>254.76558691957959</v>
      </c>
      <c r="K959" s="164">
        <v>134.68992418681529</v>
      </c>
      <c r="L959" s="164">
        <v>389.45551110639485</v>
      </c>
      <c r="M959" s="164">
        <v>0</v>
      </c>
      <c r="N959" s="164">
        <v>0</v>
      </c>
      <c r="O959" s="164">
        <v>0</v>
      </c>
      <c r="P959" s="164">
        <v>0</v>
      </c>
      <c r="Q959" s="164">
        <v>0</v>
      </c>
      <c r="R959" s="164">
        <v>0</v>
      </c>
      <c r="S959" s="163" t="str">
        <f t="shared" si="110"/>
        <v/>
      </c>
      <c r="T959" s="163">
        <f>VLOOKUP(A959,'Groupe de branches'!$Z$27:$AM$86,14,FALSE)</f>
        <v>0</v>
      </c>
      <c r="U959" s="163">
        <f>VLOOKUP(D959,'Groupe de branches'!$Z$27:$AM$86,14,FALSE)</f>
        <v>0</v>
      </c>
      <c r="V959" s="163">
        <v>2018</v>
      </c>
      <c r="W959" t="str">
        <f>VLOOKUP(D959,'Table corresp.'!$M$4:$S$63,7,FALSE)</f>
        <v>Consommation finale</v>
      </c>
      <c r="X959" s="167">
        <f>IFERROR(G959/SUMIFS('Comp2016-2017 (3)'!$I$5:$I$289,'Comp2016-2017 (3)'!$A$5:$A$289,A959,'Comp2016-2017 (3)'!$R$5:$R$289,V959),0)</f>
        <v>0.23760905948516223</v>
      </c>
      <c r="Y959" s="178">
        <f>IFERROR(IF(RIGHT(F959,3)="Exp",VLOOKUP(F959,#REF!,2,FALSE),VLOOKUP(F959,#REF!,9,FALSE)),1)</f>
        <v>1</v>
      </c>
      <c r="Z959" s="167">
        <f t="shared" si="111"/>
        <v>0.25</v>
      </c>
      <c r="AA959" s="189">
        <f t="shared" si="106"/>
        <v>5.9402264871290557E-2</v>
      </c>
      <c r="AB959" s="2">
        <f>IFERROR(SUMIFS('Comp2016-2017 (3)'!$G$5:$G$289,'Comp2016-2017 (3)'!$A$5:$A$289,A959,'Comp2016-2017 (3)'!$R$5:$R$289,V959)*AA959/SUMIFS($AA$4:$AA$1116,$A$4:$A$1116,A959,$V$4:$V$1116,V959),0)</f>
        <v>2761.5492202193936</v>
      </c>
      <c r="AC959" s="2" t="str">
        <f>IF($W959=AC$3,$AB959,IF(NOT($W959=0),"",SUMIFS('Val-Vol (2)'!AC$4:AC$1116,'Val-Vol (2)'!$A$4:$A$1116,$D959,'Val-Vol (2)'!$V$4:$V$1116,$V959)/SUMIFS('Comp2016-2017 (3)'!$G$5:$G$289,'Comp2016-2017 (3)'!$A$5:$A$289,$D959,'Comp2016-2017 (3)'!$R$5:$R$289,$V959)*$AB959))</f>
        <v/>
      </c>
      <c r="AD959" s="2" t="str">
        <f>IF($W959=AD$3,$AB959,IF(NOT($W959=0),"",SUMIFS('Val-Vol (2)'!AD$4:AD$1116,'Val-Vol (2)'!$A$4:$A$1116,$D959,'Val-Vol (2)'!$V$4:$V$1116,$V959)/SUMIFS('Comp2016-2017 (3)'!$G$5:$G$289,'Comp2016-2017 (3)'!$A$5:$A$289,$D959,'Comp2016-2017 (3)'!$R$5:$R$289,$V959)*$AB959))</f>
        <v/>
      </c>
      <c r="AE959" s="2" t="str">
        <f>IF($W959=AE$3,$AB959,IF(NOT($W959=0),"",SUMIFS('Val-Vol (2)'!AE$4:AE$1116,'Val-Vol (2)'!$A$4:$A$1116,$D959,'Val-Vol (2)'!$V$4:$V$1116,$V959)/SUMIFS('Comp2016-2017 (3)'!$G$5:$G$289,'Comp2016-2017 (3)'!$A$5:$A$289,$D959,'Comp2016-2017 (3)'!$R$5:$R$289,$V959)*$AB959))</f>
        <v/>
      </c>
      <c r="AF959" s="2" t="str">
        <f>IF($W959=AF$3,$AB959,IF(NOT($W959=0),"",SUMIFS('Val-Vol (2)'!AF$4:AF$1116,'Val-Vol (2)'!$A$4:$A$1116,$D959,'Val-Vol (2)'!$V$4:$V$1116,$V959)/SUMIFS('Comp2016-2017 (3)'!$G$5:$G$289,'Comp2016-2017 (3)'!$A$5:$A$289,$D959,'Comp2016-2017 (3)'!$R$5:$R$289,$V959)*$AB959))</f>
        <v/>
      </c>
      <c r="AG959" s="2" t="str">
        <f>IF($W959=AG$3,$AB959,IF(NOT($W959=0),"",SUMIFS('Val-Vol (2)'!AG$4:AG$1116,'Val-Vol (2)'!$A$4:$A$1116,$D959,'Val-Vol (2)'!$V$4:$V$1116,$V959)/SUMIFS('Comp2016-2017 (3)'!$G$5:$G$289,'Comp2016-2017 (3)'!$A$5:$A$289,$D959,'Comp2016-2017 (3)'!$R$5:$R$289,$V959)*$AB959))</f>
        <v/>
      </c>
      <c r="AH959" s="2" t="str">
        <f>IF($W959=AH$3,$AB959,IF(NOT($W959=0),"",SUMIFS('Val-Vol (2)'!AH$4:AH$1116,'Val-Vol (2)'!$A$4:$A$1116,$D959,'Val-Vol (2)'!$V$4:$V$1116,$V959)/SUMIFS('Comp2016-2017 (3)'!$G$5:$G$289,'Comp2016-2017 (3)'!$A$5:$A$289,$D959,'Comp2016-2017 (3)'!$R$5:$R$289,$V959)*$AB959))</f>
        <v/>
      </c>
      <c r="AI959" s="2" t="str">
        <f>IF($W959=AI$3,$AB959,IF(NOT($W959=0),"",SUMIFS('Val-Vol (2)'!AI$4:AI$1116,'Val-Vol (2)'!$A$4:$A$1116,$D959,'Val-Vol (2)'!$V$4:$V$1116,$V959)/SUMIFS('Comp2016-2017 (3)'!$G$5:$G$289,'Comp2016-2017 (3)'!$A$5:$A$289,$D959,'Comp2016-2017 (3)'!$R$5:$R$289,$V959)*$AB959))</f>
        <v/>
      </c>
      <c r="AJ959" s="2">
        <f>IF($W959=AJ$3,$AB959,IF(NOT($W959=0),"",SUMIFS('Val-Vol (2)'!AJ$4:AJ$1116,'Val-Vol (2)'!$A$4:$A$1116,$D959,'Val-Vol (2)'!$V$4:$V$1116,$V959)/SUMIFS('Comp2016-2017 (3)'!$G$5:$G$289,'Comp2016-2017 (3)'!$A$5:$A$289,$D959,'Comp2016-2017 (3)'!$R$5:$R$289,$V959)*$AB959))</f>
        <v>2761.5492202193936</v>
      </c>
      <c r="AK959" s="2">
        <f t="shared" si="108"/>
        <v>0</v>
      </c>
      <c r="AL959" t="str">
        <f t="shared" si="105"/>
        <v/>
      </c>
      <c r="AM959" t="str">
        <f>VLOOKUP(A959,'Table corresp.'!$M$4:$U$63,8,FALSE)</f>
        <v>Production intermédiaire</v>
      </c>
      <c r="AN959" t="str">
        <f>VLOOKUP(D959,'Table corresp.'!$M$4:$U$63,9,FALSE)</f>
        <v>Consommation finale française</v>
      </c>
    </row>
    <row r="960" spans="1:40" x14ac:dyDescent="0.25">
      <c r="A960" t="s">
        <v>85</v>
      </c>
      <c r="B960" t="str">
        <f>VLOOKUP(LEFT(A960,3),'Table corresp.'!$A$4:$D$63,3,FALSE)</f>
        <v>Transformation</v>
      </c>
      <c r="C960" t="str">
        <f>VLOOKUP(A960,'Table corresp.'!$M$4:$P$63,4,FALSE)</f>
        <v>Production et transformation de produits bois</v>
      </c>
      <c r="D960" t="s">
        <v>53</v>
      </c>
      <c r="E960" t="str">
        <f>VLOOKUP(LEFT(D960,3),'Table corresp.'!$A$4:$D$63,4,FALSE)</f>
        <v>Exportation</v>
      </c>
      <c r="F960" t="str">
        <f t="shared" si="109"/>
        <v>29  - Exp</v>
      </c>
      <c r="G960" s="164">
        <v>12450.000000000005</v>
      </c>
      <c r="H960" s="164">
        <v>0</v>
      </c>
      <c r="I960" s="164">
        <v>12450</v>
      </c>
      <c r="J960" s="164">
        <v>60.118632205752256</v>
      </c>
      <c r="K960" s="164">
        <v>0</v>
      </c>
      <c r="L960" s="164">
        <v>60.118632205752256</v>
      </c>
      <c r="M960" s="164">
        <v>0</v>
      </c>
      <c r="N960" s="164">
        <v>0</v>
      </c>
      <c r="O960" s="164">
        <v>0</v>
      </c>
      <c r="P960" s="164">
        <v>0</v>
      </c>
      <c r="Q960" s="164">
        <v>0</v>
      </c>
      <c r="R960" s="164">
        <v>0</v>
      </c>
      <c r="S960" s="163" t="str">
        <f t="shared" si="110"/>
        <v/>
      </c>
      <c r="T960" s="163">
        <f>VLOOKUP(A960,'Groupe de branches'!$Z$27:$AM$86,14,FALSE)</f>
        <v>0</v>
      </c>
      <c r="U960" s="163">
        <f>VLOOKUP(D960,'Groupe de branches'!$Z$27:$AM$86,14,FALSE)</f>
        <v>0</v>
      </c>
      <c r="V960" s="163">
        <v>2018</v>
      </c>
      <c r="W960" t="str">
        <f>VLOOKUP(D960,'Table corresp.'!$M$4:$S$63,7,FALSE)</f>
        <v>Exportation</v>
      </c>
      <c r="X960" s="167">
        <f>IFERROR(G960/SUMIFS('Comp2016-2017 (3)'!$I$5:$I$289,'Comp2016-2017 (3)'!$A$5:$A$289,A960,'Comp2016-2017 (3)'!$R$5:$R$289,V960),0)</f>
        <v>4.5625668716085414E-2</v>
      </c>
      <c r="Y960" s="178">
        <f>IFERROR(IF(RIGHT(F960,3)="Exp",VLOOKUP(F960,#REF!,2,FALSE),VLOOKUP(F960,#REF!,9,FALSE)),1)</f>
        <v>1</v>
      </c>
      <c r="Z960" s="167">
        <f t="shared" si="111"/>
        <v>0.25</v>
      </c>
      <c r="AA960" s="189">
        <f t="shared" si="106"/>
        <v>1.1406417179021354E-2</v>
      </c>
      <c r="AB960" s="2">
        <f>IFERROR(SUMIFS('Comp2016-2017 (3)'!$G$5:$G$289,'Comp2016-2017 (3)'!$A$5:$A$289,A960,'Comp2016-2017 (3)'!$R$5:$R$289,V960)*AA960/SUMIFS($AA$4:$AA$1116,$A$4:$A$1116,A960,$V$4:$V$1116,V960),0)</f>
        <v>530.27241527700301</v>
      </c>
      <c r="AC960" s="2">
        <f>IF($W960=AC$3,$AB960,IF(NOT($W960=0),"",SUMIFS('Val-Vol (2)'!AC$4:AC$1116,'Val-Vol (2)'!$A$4:$A$1116,$D960,'Val-Vol (2)'!$V$4:$V$1116,$V960)/SUMIFS('Comp2016-2017 (3)'!$G$5:$G$289,'Comp2016-2017 (3)'!$A$5:$A$289,$D960,'Comp2016-2017 (3)'!$R$5:$R$289,$V960)*$AB960))</f>
        <v>530.27241527700301</v>
      </c>
      <c r="AD960" s="2" t="str">
        <f>IF($W960=AD$3,$AB960,IF(NOT($W960=0),"",SUMIFS('Val-Vol (2)'!AD$4:AD$1116,'Val-Vol (2)'!$A$4:$A$1116,$D960,'Val-Vol (2)'!$V$4:$V$1116,$V960)/SUMIFS('Comp2016-2017 (3)'!$G$5:$G$289,'Comp2016-2017 (3)'!$A$5:$A$289,$D960,'Comp2016-2017 (3)'!$R$5:$R$289,$V960)*$AB960))</f>
        <v/>
      </c>
      <c r="AE960" s="2" t="str">
        <f>IF($W960=AE$3,$AB960,IF(NOT($W960=0),"",SUMIFS('Val-Vol (2)'!AE$4:AE$1116,'Val-Vol (2)'!$A$4:$A$1116,$D960,'Val-Vol (2)'!$V$4:$V$1116,$V960)/SUMIFS('Comp2016-2017 (3)'!$G$5:$G$289,'Comp2016-2017 (3)'!$A$5:$A$289,$D960,'Comp2016-2017 (3)'!$R$5:$R$289,$V960)*$AB960))</f>
        <v/>
      </c>
      <c r="AF960" s="2" t="str">
        <f>IF($W960=AF$3,$AB960,IF(NOT($W960=0),"",SUMIFS('Val-Vol (2)'!AF$4:AF$1116,'Val-Vol (2)'!$A$4:$A$1116,$D960,'Val-Vol (2)'!$V$4:$V$1116,$V960)/SUMIFS('Comp2016-2017 (3)'!$G$5:$G$289,'Comp2016-2017 (3)'!$A$5:$A$289,$D960,'Comp2016-2017 (3)'!$R$5:$R$289,$V960)*$AB960))</f>
        <v/>
      </c>
      <c r="AG960" s="2" t="str">
        <f>IF($W960=AG$3,$AB960,IF(NOT($W960=0),"",SUMIFS('Val-Vol (2)'!AG$4:AG$1116,'Val-Vol (2)'!$A$4:$A$1116,$D960,'Val-Vol (2)'!$V$4:$V$1116,$V960)/SUMIFS('Comp2016-2017 (3)'!$G$5:$G$289,'Comp2016-2017 (3)'!$A$5:$A$289,$D960,'Comp2016-2017 (3)'!$R$5:$R$289,$V960)*$AB960))</f>
        <v/>
      </c>
      <c r="AH960" s="2" t="str">
        <f>IF($W960=AH$3,$AB960,IF(NOT($W960=0),"",SUMIFS('Val-Vol (2)'!AH$4:AH$1116,'Val-Vol (2)'!$A$4:$A$1116,$D960,'Val-Vol (2)'!$V$4:$V$1116,$V960)/SUMIFS('Comp2016-2017 (3)'!$G$5:$G$289,'Comp2016-2017 (3)'!$A$5:$A$289,$D960,'Comp2016-2017 (3)'!$R$5:$R$289,$V960)*$AB960))</f>
        <v/>
      </c>
      <c r="AI960" s="2" t="str">
        <f>IF($W960=AI$3,$AB960,IF(NOT($W960=0),"",SUMIFS('Val-Vol (2)'!AI$4:AI$1116,'Val-Vol (2)'!$A$4:$A$1116,$D960,'Val-Vol (2)'!$V$4:$V$1116,$V960)/SUMIFS('Comp2016-2017 (3)'!$G$5:$G$289,'Comp2016-2017 (3)'!$A$5:$A$289,$D960,'Comp2016-2017 (3)'!$R$5:$R$289,$V960)*$AB960))</f>
        <v/>
      </c>
      <c r="AJ960" s="2" t="str">
        <f>IF($W960=AJ$3,$AB960,IF(NOT($W960=0),"",SUMIFS('Val-Vol (2)'!AJ$4:AJ$1116,'Val-Vol (2)'!$A$4:$A$1116,$D960,'Val-Vol (2)'!$V$4:$V$1116,$V960)/SUMIFS('Comp2016-2017 (3)'!$G$5:$G$289,'Comp2016-2017 (3)'!$A$5:$A$289,$D960,'Comp2016-2017 (3)'!$R$5:$R$289,$V960)*$AB960))</f>
        <v/>
      </c>
      <c r="AK960" s="2">
        <f t="shared" si="108"/>
        <v>0</v>
      </c>
      <c r="AL960" t="str">
        <f t="shared" si="105"/>
        <v/>
      </c>
      <c r="AM960" t="str">
        <f>VLOOKUP(A960,'Table corresp.'!$M$4:$U$63,8,FALSE)</f>
        <v>Production intermédiaire</v>
      </c>
      <c r="AN960" t="str">
        <f>VLOOKUP(D960,'Table corresp.'!$M$4:$U$63,9,FALSE)</f>
        <v>Exportation</v>
      </c>
    </row>
    <row r="961" spans="1:40" x14ac:dyDescent="0.25">
      <c r="A961" t="s">
        <v>86</v>
      </c>
      <c r="B961" t="str">
        <f>VLOOKUP(LEFT(A961,3),'Table corresp.'!$A$4:$D$63,3,FALSE)</f>
        <v>Transformation</v>
      </c>
      <c r="C961" t="str">
        <f>VLOOKUP(A961,'Table corresp.'!$M$4:$P$63,4,FALSE)</f>
        <v>Production et transformation de produits bois</v>
      </c>
      <c r="D961" t="s">
        <v>101</v>
      </c>
      <c r="E961" t="str">
        <f>VLOOKUP(LEFT(D961,3),'Table corresp.'!$A$4:$D$63,4,FALSE)</f>
        <v>Transformation</v>
      </c>
      <c r="F961" t="str">
        <f t="shared" si="109"/>
        <v xml:space="preserve">30  - 49 </v>
      </c>
      <c r="G961" s="164">
        <v>189378.63329049444</v>
      </c>
      <c r="H961" s="164">
        <v>32640.153877657416</v>
      </c>
      <c r="I961" s="164">
        <v>222018.78716815187</v>
      </c>
      <c r="J961" s="164">
        <v>0</v>
      </c>
      <c r="K961" s="164">
        <v>0</v>
      </c>
      <c r="L961" s="164">
        <v>0</v>
      </c>
      <c r="M961" s="164">
        <v>0</v>
      </c>
      <c r="N961" s="164">
        <v>0</v>
      </c>
      <c r="O961" s="164">
        <v>0</v>
      </c>
      <c r="P961" s="164">
        <v>2217.1122032773851</v>
      </c>
      <c r="Q961" s="164">
        <v>338.89285815980656</v>
      </c>
      <c r="R961" s="164">
        <v>2556.0050614371917</v>
      </c>
      <c r="S961" s="163" t="str">
        <f t="shared" si="110"/>
        <v>BE</v>
      </c>
      <c r="T961" s="163">
        <f>VLOOKUP(A961,'Groupe de branches'!$Z$27:$AM$86,14,FALSE)</f>
        <v>1</v>
      </c>
      <c r="U961" s="163">
        <f>VLOOKUP(D961,'Groupe de branches'!$Z$27:$AM$86,14,FALSE)</f>
        <v>1</v>
      </c>
      <c r="V961" s="163">
        <v>2018</v>
      </c>
      <c r="W961" t="str">
        <f>VLOOKUP(D961,'Table corresp.'!$M$4:$S$63,7,FALSE)</f>
        <v>Energie</v>
      </c>
      <c r="X961" s="167">
        <f>IFERROR(G961/SUMIFS('Comp2016-2017 (3)'!$I$5:$I$289,'Comp2016-2017 (3)'!$A$5:$A$289,A961,'Comp2016-2017 (3)'!$R$5:$R$289,V961),0)</f>
        <v>0.39581009229372965</v>
      </c>
      <c r="Y961" s="178">
        <f>IFERROR(IF(RIGHT(F961,3)="Exp",VLOOKUP(F961,#REF!,2,FALSE),VLOOKUP(F961,#REF!,9,FALSE)),1)</f>
        <v>1</v>
      </c>
      <c r="Z961" s="167">
        <f t="shared" si="111"/>
        <v>0.33333333333333331</v>
      </c>
      <c r="AA961" s="189">
        <f t="shared" si="106"/>
        <v>0.1319366974312432</v>
      </c>
      <c r="AB961" s="2">
        <f>IFERROR(SUMIFS('Comp2016-2017 (3)'!$G$5:$G$289,'Comp2016-2017 (3)'!$A$5:$A$289,A961,'Comp2016-2017 (3)'!$R$5:$R$289,V961)*AA961/SUMIFS($AA$4:$AA$1116,$A$4:$A$1116,A961,$V$4:$V$1116,V961),0)</f>
        <v>35265.226188003158</v>
      </c>
      <c r="AC961" s="2" t="str">
        <f>IF($W961=AC$3,$AB961,IF(NOT($W961=0),"",SUMIFS('Val-Vol (2)'!AC$4:AC$1116,'Val-Vol (2)'!$A$4:$A$1116,$D961,'Val-Vol (2)'!$V$4:$V$1116,$V961)/SUMIFS('Comp2016-2017 (3)'!$G$5:$G$289,'Comp2016-2017 (3)'!$A$5:$A$289,$D961,'Comp2016-2017 (3)'!$R$5:$R$289,$V961)*$AB961))</f>
        <v/>
      </c>
      <c r="AD961" s="2" t="str">
        <f>IF($W961=AD$3,$AB961,IF(NOT($W961=0),"",SUMIFS('Val-Vol (2)'!AD$4:AD$1116,'Val-Vol (2)'!$A$4:$A$1116,$D961,'Val-Vol (2)'!$V$4:$V$1116,$V961)/SUMIFS('Comp2016-2017 (3)'!$G$5:$G$289,'Comp2016-2017 (3)'!$A$5:$A$289,$D961,'Comp2016-2017 (3)'!$R$5:$R$289,$V961)*$AB961))</f>
        <v/>
      </c>
      <c r="AE961" s="2" t="str">
        <f>IF($W961=AE$3,$AB961,IF(NOT($W961=0),"",SUMIFS('Val-Vol (2)'!AE$4:AE$1116,'Val-Vol (2)'!$A$4:$A$1116,$D961,'Val-Vol (2)'!$V$4:$V$1116,$V961)/SUMIFS('Comp2016-2017 (3)'!$G$5:$G$289,'Comp2016-2017 (3)'!$A$5:$A$289,$D961,'Comp2016-2017 (3)'!$R$5:$R$289,$V961)*$AB961))</f>
        <v/>
      </c>
      <c r="AF961" s="2" t="str">
        <f>IF($W961=AF$3,$AB961,IF(NOT($W961=0),"",SUMIFS('Val-Vol (2)'!AF$4:AF$1116,'Val-Vol (2)'!$A$4:$A$1116,$D961,'Val-Vol (2)'!$V$4:$V$1116,$V961)/SUMIFS('Comp2016-2017 (3)'!$G$5:$G$289,'Comp2016-2017 (3)'!$A$5:$A$289,$D961,'Comp2016-2017 (3)'!$R$5:$R$289,$V961)*$AB961))</f>
        <v/>
      </c>
      <c r="AG961" s="2" t="str">
        <f>IF($W961=AG$3,$AB961,IF(NOT($W961=0),"",SUMIFS('Val-Vol (2)'!AG$4:AG$1116,'Val-Vol (2)'!$A$4:$A$1116,$D961,'Val-Vol (2)'!$V$4:$V$1116,$V961)/SUMIFS('Comp2016-2017 (3)'!$G$5:$G$289,'Comp2016-2017 (3)'!$A$5:$A$289,$D961,'Comp2016-2017 (3)'!$R$5:$R$289,$V961)*$AB961))</f>
        <v/>
      </c>
      <c r="AH961" s="2">
        <f>IF($W961=AH$3,$AB961,IF(NOT($W961=0),"",SUMIFS('Val-Vol (2)'!AH$4:AH$1116,'Val-Vol (2)'!$A$4:$A$1116,$D961,'Val-Vol (2)'!$V$4:$V$1116,$V961)/SUMIFS('Comp2016-2017 (3)'!$G$5:$G$289,'Comp2016-2017 (3)'!$A$5:$A$289,$D961,'Comp2016-2017 (3)'!$R$5:$R$289,$V961)*$AB961))</f>
        <v>35265.226188003158</v>
      </c>
      <c r="AI961" s="2" t="str">
        <f>IF($W961=AI$3,$AB961,IF(NOT($W961=0),"",SUMIFS('Val-Vol (2)'!AI$4:AI$1116,'Val-Vol (2)'!$A$4:$A$1116,$D961,'Val-Vol (2)'!$V$4:$V$1116,$V961)/SUMIFS('Comp2016-2017 (3)'!$G$5:$G$289,'Comp2016-2017 (3)'!$A$5:$A$289,$D961,'Comp2016-2017 (3)'!$R$5:$R$289,$V961)*$AB961))</f>
        <v/>
      </c>
      <c r="AJ961" s="2" t="str">
        <f>IF($W961=AJ$3,$AB961,IF(NOT($W961=0),"",SUMIFS('Val-Vol (2)'!AJ$4:AJ$1116,'Val-Vol (2)'!$A$4:$A$1116,$D961,'Val-Vol (2)'!$V$4:$V$1116,$V961)/SUMIFS('Comp2016-2017 (3)'!$G$5:$G$289,'Comp2016-2017 (3)'!$A$5:$A$289,$D961,'Comp2016-2017 (3)'!$R$5:$R$289,$V961)*$AB961))</f>
        <v/>
      </c>
      <c r="AK961" s="2">
        <f t="shared" si="108"/>
        <v>0</v>
      </c>
      <c r="AL961" t="str">
        <f t="shared" si="105"/>
        <v/>
      </c>
      <c r="AM961" t="str">
        <f>VLOOKUP(A961,'Table corresp.'!$M$4:$U$63,8,FALSE)</f>
        <v>Production intermédiaire</v>
      </c>
      <c r="AN961" t="str">
        <f>VLOOKUP(D961,'Table corresp.'!$M$4:$U$63,9,FALSE)</f>
        <v>Production finale</v>
      </c>
    </row>
    <row r="962" spans="1:40" x14ac:dyDescent="0.25">
      <c r="A962" t="s">
        <v>86</v>
      </c>
      <c r="B962" t="str">
        <f>VLOOKUP(LEFT(A962,3),'Table corresp.'!$A$4:$D$63,3,FALSE)</f>
        <v>Transformation</v>
      </c>
      <c r="C962" t="str">
        <f>VLOOKUP(A962,'Table corresp.'!$M$4:$P$63,4,FALSE)</f>
        <v>Production et transformation de produits bois</v>
      </c>
      <c r="D962" t="s">
        <v>54</v>
      </c>
      <c r="E962" t="str">
        <f>VLOOKUP(LEFT(D962,3),'Table corresp.'!$A$4:$D$63,4,FALSE)</f>
        <v>Consommation finale</v>
      </c>
      <c r="F962" t="str">
        <f t="shared" si="109"/>
        <v>30  - Con</v>
      </c>
      <c r="G962" s="164">
        <v>238914.84792683765</v>
      </c>
      <c r="H962" s="164">
        <v>82847.919122342646</v>
      </c>
      <c r="I962" s="164">
        <v>321762.76704918029</v>
      </c>
      <c r="J962" s="164">
        <v>0</v>
      </c>
      <c r="K962" s="164">
        <v>0</v>
      </c>
      <c r="L962" s="164">
        <v>0</v>
      </c>
      <c r="M962" s="164">
        <v>0</v>
      </c>
      <c r="N962" s="164">
        <v>0</v>
      </c>
      <c r="O962" s="164">
        <v>0</v>
      </c>
      <c r="P962" s="164">
        <v>2797.047458200977</v>
      </c>
      <c r="Q962" s="164">
        <v>860.18491852705233</v>
      </c>
      <c r="R962" s="164">
        <v>3657.2323767280295</v>
      </c>
      <c r="S962" s="163" t="str">
        <f t="shared" si="110"/>
        <v>BE</v>
      </c>
      <c r="T962" s="163">
        <f>VLOOKUP(A962,'Groupe de branches'!$Z$27:$AM$86,14,FALSE)</f>
        <v>1</v>
      </c>
      <c r="U962" s="163">
        <f>VLOOKUP(D962,'Groupe de branches'!$Z$27:$AM$86,14,FALSE)</f>
        <v>0</v>
      </c>
      <c r="V962" s="163">
        <v>2018</v>
      </c>
      <c r="W962" t="str">
        <f>VLOOKUP(D962,'Table corresp.'!$M$4:$S$63,7,FALSE)</f>
        <v>Consommation finale</v>
      </c>
      <c r="X962" s="167">
        <f>IFERROR(G962/SUMIFS('Comp2016-2017 (3)'!$I$5:$I$289,'Comp2016-2017 (3)'!$A$5:$A$289,A962,'Comp2016-2017 (3)'!$R$5:$R$289,V962),0)</f>
        <v>0.49934306930606903</v>
      </c>
      <c r="Y962" s="178">
        <f>IFERROR(IF(RIGHT(F962,3)="Exp",VLOOKUP(F962,#REF!,2,FALSE),VLOOKUP(F962,#REF!,9,FALSE)),1)</f>
        <v>1</v>
      </c>
      <c r="Z962" s="167">
        <f t="shared" si="111"/>
        <v>0.33333333333333331</v>
      </c>
      <c r="AA962" s="189">
        <f t="shared" si="106"/>
        <v>0.16644768976868968</v>
      </c>
      <c r="AB962" s="2">
        <f>IFERROR(SUMIFS('Comp2016-2017 (3)'!$G$5:$G$289,'Comp2016-2017 (3)'!$A$5:$A$289,A962,'Comp2016-2017 (3)'!$R$5:$R$289,V962)*AA962/SUMIFS($AA$4:$AA$1116,$A$4:$A$1116,A962,$V$4:$V$1116,V962),0)</f>
        <v>44489.634365922982</v>
      </c>
      <c r="AC962" s="2" t="str">
        <f>IF($W962=AC$3,$AB962,IF(NOT($W962=0),"",SUMIFS('Val-Vol (2)'!AC$4:AC$1116,'Val-Vol (2)'!$A$4:$A$1116,$D962,'Val-Vol (2)'!$V$4:$V$1116,$V962)/SUMIFS('Comp2016-2017 (3)'!$G$5:$G$289,'Comp2016-2017 (3)'!$A$5:$A$289,$D962,'Comp2016-2017 (3)'!$R$5:$R$289,$V962)*$AB962))</f>
        <v/>
      </c>
      <c r="AD962" s="2" t="str">
        <f>IF($W962=AD$3,$AB962,IF(NOT($W962=0),"",SUMIFS('Val-Vol (2)'!AD$4:AD$1116,'Val-Vol (2)'!$A$4:$A$1116,$D962,'Val-Vol (2)'!$V$4:$V$1116,$V962)/SUMIFS('Comp2016-2017 (3)'!$G$5:$G$289,'Comp2016-2017 (3)'!$A$5:$A$289,$D962,'Comp2016-2017 (3)'!$R$5:$R$289,$V962)*$AB962))</f>
        <v/>
      </c>
      <c r="AE962" s="2" t="str">
        <f>IF($W962=AE$3,$AB962,IF(NOT($W962=0),"",SUMIFS('Val-Vol (2)'!AE$4:AE$1116,'Val-Vol (2)'!$A$4:$A$1116,$D962,'Val-Vol (2)'!$V$4:$V$1116,$V962)/SUMIFS('Comp2016-2017 (3)'!$G$5:$G$289,'Comp2016-2017 (3)'!$A$5:$A$289,$D962,'Comp2016-2017 (3)'!$R$5:$R$289,$V962)*$AB962))</f>
        <v/>
      </c>
      <c r="AF962" s="2" t="str">
        <f>IF($W962=AF$3,$AB962,IF(NOT($W962=0),"",SUMIFS('Val-Vol (2)'!AF$4:AF$1116,'Val-Vol (2)'!$A$4:$A$1116,$D962,'Val-Vol (2)'!$V$4:$V$1116,$V962)/SUMIFS('Comp2016-2017 (3)'!$G$5:$G$289,'Comp2016-2017 (3)'!$A$5:$A$289,$D962,'Comp2016-2017 (3)'!$R$5:$R$289,$V962)*$AB962))</f>
        <v/>
      </c>
      <c r="AG962" s="2" t="str">
        <f>IF($W962=AG$3,$AB962,IF(NOT($W962=0),"",SUMIFS('Val-Vol (2)'!AG$4:AG$1116,'Val-Vol (2)'!$A$4:$A$1116,$D962,'Val-Vol (2)'!$V$4:$V$1116,$V962)/SUMIFS('Comp2016-2017 (3)'!$G$5:$G$289,'Comp2016-2017 (3)'!$A$5:$A$289,$D962,'Comp2016-2017 (3)'!$R$5:$R$289,$V962)*$AB962))</f>
        <v/>
      </c>
      <c r="AH962" s="2" t="str">
        <f>IF($W962=AH$3,$AB962,IF(NOT($W962=0),"",SUMIFS('Val-Vol (2)'!AH$4:AH$1116,'Val-Vol (2)'!$A$4:$A$1116,$D962,'Val-Vol (2)'!$V$4:$V$1116,$V962)/SUMIFS('Comp2016-2017 (3)'!$G$5:$G$289,'Comp2016-2017 (3)'!$A$5:$A$289,$D962,'Comp2016-2017 (3)'!$R$5:$R$289,$V962)*$AB962))</f>
        <v/>
      </c>
      <c r="AI962" s="2" t="str">
        <f>IF($W962=AI$3,$AB962,IF(NOT($W962=0),"",SUMIFS('Val-Vol (2)'!AI$4:AI$1116,'Val-Vol (2)'!$A$4:$A$1116,$D962,'Val-Vol (2)'!$V$4:$V$1116,$V962)/SUMIFS('Comp2016-2017 (3)'!$G$5:$G$289,'Comp2016-2017 (3)'!$A$5:$A$289,$D962,'Comp2016-2017 (3)'!$R$5:$R$289,$V962)*$AB962))</f>
        <v/>
      </c>
      <c r="AJ962" s="2">
        <f>IF($W962=AJ$3,$AB962,IF(NOT($W962=0),"",SUMIFS('Val-Vol (2)'!AJ$4:AJ$1116,'Val-Vol (2)'!$A$4:$A$1116,$D962,'Val-Vol (2)'!$V$4:$V$1116,$V962)/SUMIFS('Comp2016-2017 (3)'!$G$5:$G$289,'Comp2016-2017 (3)'!$A$5:$A$289,$D962,'Comp2016-2017 (3)'!$R$5:$R$289,$V962)*$AB962))</f>
        <v>44489.634365922982</v>
      </c>
      <c r="AK962" s="2">
        <f t="shared" si="108"/>
        <v>0</v>
      </c>
      <c r="AL962" t="str">
        <f t="shared" si="105"/>
        <v/>
      </c>
      <c r="AM962" t="str">
        <f>VLOOKUP(A962,'Table corresp.'!$M$4:$U$63,8,FALSE)</f>
        <v>Production intermédiaire</v>
      </c>
      <c r="AN962" t="str">
        <f>VLOOKUP(D962,'Table corresp.'!$M$4:$U$63,9,FALSE)</f>
        <v>Consommation finale française</v>
      </c>
    </row>
    <row r="963" spans="1:40" x14ac:dyDescent="0.25">
      <c r="A963" t="s">
        <v>86</v>
      </c>
      <c r="B963" t="str">
        <f>VLOOKUP(LEFT(A963,3),'Table corresp.'!$A$4:$D$63,3,FALSE)</f>
        <v>Transformation</v>
      </c>
      <c r="C963" t="str">
        <f>VLOOKUP(A963,'Table corresp.'!$M$4:$P$63,4,FALSE)</f>
        <v>Production et transformation de produits bois</v>
      </c>
      <c r="D963" t="s">
        <v>53</v>
      </c>
      <c r="E963" t="str">
        <f>VLOOKUP(LEFT(D963,3),'Table corresp.'!$A$4:$D$63,4,FALSE)</f>
        <v>Exportation</v>
      </c>
      <c r="F963" t="str">
        <f t="shared" si="109"/>
        <v>30  - Exp</v>
      </c>
      <c r="G963" s="164">
        <v>50164.84199999999</v>
      </c>
      <c r="H963" s="164">
        <v>0</v>
      </c>
      <c r="I963" s="164">
        <v>50164.84199999999</v>
      </c>
      <c r="J963" s="164">
        <v>0</v>
      </c>
      <c r="K963" s="164">
        <v>0</v>
      </c>
      <c r="L963" s="164">
        <v>0</v>
      </c>
      <c r="M963" s="164">
        <v>0</v>
      </c>
      <c r="N963" s="164">
        <v>0</v>
      </c>
      <c r="O963" s="164">
        <v>0</v>
      </c>
      <c r="P963" s="164">
        <v>496.68841240346171</v>
      </c>
      <c r="Q963" s="164">
        <v>0</v>
      </c>
      <c r="R963" s="164">
        <v>496.68841240346171</v>
      </c>
      <c r="S963" s="163" t="str">
        <f t="shared" si="110"/>
        <v>BE</v>
      </c>
      <c r="T963" s="163">
        <f>VLOOKUP(A963,'Groupe de branches'!$Z$27:$AM$86,14,FALSE)</f>
        <v>1</v>
      </c>
      <c r="U963" s="163">
        <f>VLOOKUP(D963,'Groupe de branches'!$Z$27:$AM$86,14,FALSE)</f>
        <v>0</v>
      </c>
      <c r="V963" s="163">
        <v>2018</v>
      </c>
      <c r="W963" t="str">
        <f>VLOOKUP(D963,'Table corresp.'!$M$4:$S$63,7,FALSE)</f>
        <v>Exportation</v>
      </c>
      <c r="X963" s="167">
        <f>IFERROR(G963/SUMIFS('Comp2016-2017 (3)'!$I$5:$I$289,'Comp2016-2017 (3)'!$A$5:$A$289,A963,'Comp2016-2017 (3)'!$R$5:$R$289,V963),0)</f>
        <v>0.10484683724305338</v>
      </c>
      <c r="Y963" s="178">
        <f>IFERROR(IF(RIGHT(F963,3)="Exp",VLOOKUP(F963,#REF!,2,FALSE),VLOOKUP(F963,#REF!,9,FALSE)),1)</f>
        <v>1</v>
      </c>
      <c r="Z963" s="167">
        <f t="shared" si="111"/>
        <v>0.33333333333333331</v>
      </c>
      <c r="AA963" s="189">
        <f t="shared" si="106"/>
        <v>3.4948945747684458E-2</v>
      </c>
      <c r="AB963" s="2">
        <f>IFERROR(SUMIFS('Comp2016-2017 (3)'!$G$5:$G$289,'Comp2016-2017 (3)'!$A$5:$A$289,A963,'Comp2016-2017 (3)'!$R$5:$R$289,V963)*AA963/SUMIFS($AA$4:$AA$1116,$A$4:$A$1116,A963,$V$4:$V$1116,V963),0)</f>
        <v>9341.4683012406986</v>
      </c>
      <c r="AC963" s="2">
        <f>IF($W963=AC$3,$AB963,IF(NOT($W963=0),"",SUMIFS('Val-Vol (2)'!AC$4:AC$1116,'Val-Vol (2)'!$A$4:$A$1116,$D963,'Val-Vol (2)'!$V$4:$V$1116,$V963)/SUMIFS('Comp2016-2017 (3)'!$G$5:$G$289,'Comp2016-2017 (3)'!$A$5:$A$289,$D963,'Comp2016-2017 (3)'!$R$5:$R$289,$V963)*$AB963))</f>
        <v>9341.4683012406986</v>
      </c>
      <c r="AD963" s="2" t="str">
        <f>IF($W963=AD$3,$AB963,IF(NOT($W963=0),"",SUMIFS('Val-Vol (2)'!AD$4:AD$1116,'Val-Vol (2)'!$A$4:$A$1116,$D963,'Val-Vol (2)'!$V$4:$V$1116,$V963)/SUMIFS('Comp2016-2017 (3)'!$G$5:$G$289,'Comp2016-2017 (3)'!$A$5:$A$289,$D963,'Comp2016-2017 (3)'!$R$5:$R$289,$V963)*$AB963))</f>
        <v/>
      </c>
      <c r="AE963" s="2" t="str">
        <f>IF($W963=AE$3,$AB963,IF(NOT($W963=0),"",SUMIFS('Val-Vol (2)'!AE$4:AE$1116,'Val-Vol (2)'!$A$4:$A$1116,$D963,'Val-Vol (2)'!$V$4:$V$1116,$V963)/SUMIFS('Comp2016-2017 (3)'!$G$5:$G$289,'Comp2016-2017 (3)'!$A$5:$A$289,$D963,'Comp2016-2017 (3)'!$R$5:$R$289,$V963)*$AB963))</f>
        <v/>
      </c>
      <c r="AF963" s="2" t="str">
        <f>IF($W963=AF$3,$AB963,IF(NOT($W963=0),"",SUMIFS('Val-Vol (2)'!AF$4:AF$1116,'Val-Vol (2)'!$A$4:$A$1116,$D963,'Val-Vol (2)'!$V$4:$V$1116,$V963)/SUMIFS('Comp2016-2017 (3)'!$G$5:$G$289,'Comp2016-2017 (3)'!$A$5:$A$289,$D963,'Comp2016-2017 (3)'!$R$5:$R$289,$V963)*$AB963))</f>
        <v/>
      </c>
      <c r="AG963" s="2" t="str">
        <f>IF($W963=AG$3,$AB963,IF(NOT($W963=0),"",SUMIFS('Val-Vol (2)'!AG$4:AG$1116,'Val-Vol (2)'!$A$4:$A$1116,$D963,'Val-Vol (2)'!$V$4:$V$1116,$V963)/SUMIFS('Comp2016-2017 (3)'!$G$5:$G$289,'Comp2016-2017 (3)'!$A$5:$A$289,$D963,'Comp2016-2017 (3)'!$R$5:$R$289,$V963)*$AB963))</f>
        <v/>
      </c>
      <c r="AH963" s="2" t="str">
        <f>IF($W963=AH$3,$AB963,IF(NOT($W963=0),"",SUMIFS('Val-Vol (2)'!AH$4:AH$1116,'Val-Vol (2)'!$A$4:$A$1116,$D963,'Val-Vol (2)'!$V$4:$V$1116,$V963)/SUMIFS('Comp2016-2017 (3)'!$G$5:$G$289,'Comp2016-2017 (3)'!$A$5:$A$289,$D963,'Comp2016-2017 (3)'!$R$5:$R$289,$V963)*$AB963))</f>
        <v/>
      </c>
      <c r="AI963" s="2" t="str">
        <f>IF($W963=AI$3,$AB963,IF(NOT($W963=0),"",SUMIFS('Val-Vol (2)'!AI$4:AI$1116,'Val-Vol (2)'!$A$4:$A$1116,$D963,'Val-Vol (2)'!$V$4:$V$1116,$V963)/SUMIFS('Comp2016-2017 (3)'!$G$5:$G$289,'Comp2016-2017 (3)'!$A$5:$A$289,$D963,'Comp2016-2017 (3)'!$R$5:$R$289,$V963)*$AB963))</f>
        <v/>
      </c>
      <c r="AJ963" s="2" t="str">
        <f>IF($W963=AJ$3,$AB963,IF(NOT($W963=0),"",SUMIFS('Val-Vol (2)'!AJ$4:AJ$1116,'Val-Vol (2)'!$A$4:$A$1116,$D963,'Val-Vol (2)'!$V$4:$V$1116,$V963)/SUMIFS('Comp2016-2017 (3)'!$G$5:$G$289,'Comp2016-2017 (3)'!$A$5:$A$289,$D963,'Comp2016-2017 (3)'!$R$5:$R$289,$V963)*$AB963))</f>
        <v/>
      </c>
      <c r="AK963" s="2">
        <f t="shared" si="108"/>
        <v>0</v>
      </c>
      <c r="AL963" t="str">
        <f t="shared" si="105"/>
        <v/>
      </c>
      <c r="AM963" t="str">
        <f>VLOOKUP(A963,'Table corresp.'!$M$4:$U$63,8,FALSE)</f>
        <v>Production intermédiaire</v>
      </c>
      <c r="AN963" t="str">
        <f>VLOOKUP(D963,'Table corresp.'!$M$4:$U$63,9,FALSE)</f>
        <v>Exportation</v>
      </c>
    </row>
    <row r="964" spans="1:40" x14ac:dyDescent="0.25">
      <c r="A964" t="s">
        <v>87</v>
      </c>
      <c r="B964" t="str">
        <f>VLOOKUP(LEFT(A964,3),'Table corresp.'!$A$4:$D$63,3,FALSE)</f>
        <v>Transformation</v>
      </c>
      <c r="C964" t="str">
        <f>VLOOKUP(A964,'Table corresp.'!$M$4:$P$63,4,FALSE)</f>
        <v>Production et transformation de produits bois</v>
      </c>
      <c r="D964" t="s">
        <v>87</v>
      </c>
      <c r="E964" t="str">
        <f>VLOOKUP(LEFT(D964,3),'Table corresp.'!$A$4:$D$63,4,FALSE)</f>
        <v>Transformation</v>
      </c>
      <c r="F964" t="str">
        <f t="shared" si="109"/>
        <v xml:space="preserve">31  - 31 </v>
      </c>
      <c r="G964" s="164">
        <v>0</v>
      </c>
      <c r="H964" s="164">
        <f>44465.6408565415+13516.7302530464</f>
        <v>57982.371109587897</v>
      </c>
      <c r="I964" s="164">
        <v>57982.371109284286</v>
      </c>
      <c r="J964" s="164">
        <v>0</v>
      </c>
      <c r="K964" s="164">
        <v>0</v>
      </c>
      <c r="L964" s="164">
        <v>0</v>
      </c>
      <c r="M964" s="164">
        <v>0</v>
      </c>
      <c r="N964" s="164">
        <v>0</v>
      </c>
      <c r="O964" s="164">
        <v>0</v>
      </c>
      <c r="P964" s="164">
        <v>0</v>
      </c>
      <c r="Q964" s="164">
        <v>0</v>
      </c>
      <c r="R964" s="164">
        <v>0</v>
      </c>
      <c r="S964" s="163" t="str">
        <f t="shared" si="110"/>
        <v/>
      </c>
      <c r="T964" s="163">
        <f>VLOOKUP(A964,'Groupe de branches'!$Z$27:$AM$86,14,FALSE)</f>
        <v>0</v>
      </c>
      <c r="U964" s="163">
        <f>VLOOKUP(D964,'Groupe de branches'!$Z$27:$AM$86,14,FALSE)</f>
        <v>0</v>
      </c>
      <c r="V964" s="163">
        <v>2018</v>
      </c>
      <c r="W964">
        <f>VLOOKUP(D964,'Table corresp.'!$M$4:$S$63,7,FALSE)</f>
        <v>0</v>
      </c>
      <c r="X964" s="167">
        <f>IFERROR(G964/SUMIFS('Comp2016-2017 (3)'!$I$5:$I$289,'Comp2016-2017 (3)'!$A$5:$A$289,A964,'Comp2016-2017 (3)'!$R$5:$R$289,V964),0)</f>
        <v>0</v>
      </c>
      <c r="Y964" s="178">
        <f>IFERROR(IF(RIGHT(F964,3)="Exp",VLOOKUP(F964,#REF!,2,FALSE),VLOOKUP(F964,#REF!,9,FALSE)),1)</f>
        <v>1</v>
      </c>
      <c r="Z964" s="167">
        <f t="shared" si="111"/>
        <v>5.8823529411764705E-2</v>
      </c>
      <c r="AA964" s="189">
        <f t="shared" si="106"/>
        <v>0</v>
      </c>
      <c r="AB964" s="2">
        <f>IFERROR(SUMIFS('Comp2016-2017 (3)'!$G$5:$G$289,'Comp2016-2017 (3)'!$A$5:$A$289,A964,'Comp2016-2017 (3)'!$R$5:$R$289,V964)*AA964/SUMIFS($AA$4:$AA$1116,$A$4:$A$1116,A964,$V$4:$V$1116,V964),0)</f>
        <v>0</v>
      </c>
      <c r="AJ964" s="198">
        <f>AB964</f>
        <v>0</v>
      </c>
      <c r="AK964" s="2">
        <f t="shared" ref="AK964:AK965" si="112">SUM(AC964:AJ964)-AB964</f>
        <v>0</v>
      </c>
      <c r="AL964" s="231" t="str">
        <f t="shared" ref="AL964:AL1027" si="113">IF(A964=D964,"remplir à la main","")</f>
        <v>remplir à la main</v>
      </c>
      <c r="AM964" t="str">
        <f>VLOOKUP(A964,'Table corresp.'!$M$4:$U$63,8,FALSE)</f>
        <v>Production intermédiaire</v>
      </c>
      <c r="AN964" t="str">
        <f>VLOOKUP(D964,'Table corresp.'!$M$4:$U$63,9,FALSE)</f>
        <v>Production intermédiaire</v>
      </c>
    </row>
    <row r="965" spans="1:40" x14ac:dyDescent="0.25">
      <c r="A965" t="s">
        <v>87</v>
      </c>
      <c r="B965" t="str">
        <f>VLOOKUP(LEFT(A965,3),'Table corresp.'!$A$4:$D$63,3,FALSE)</f>
        <v>Transformation</v>
      </c>
      <c r="C965" t="str">
        <f>VLOOKUP(A965,'Table corresp.'!$M$4:$P$63,4,FALSE)</f>
        <v>Production et transformation de produits bois</v>
      </c>
      <c r="D965" t="s">
        <v>89</v>
      </c>
      <c r="E965" t="str">
        <f>VLOOKUP(LEFT(D965,3),'Table corresp.'!$A$4:$D$63,4,FALSE)</f>
        <v>Transformation</v>
      </c>
      <c r="F965" t="str">
        <f t="shared" si="109"/>
        <v xml:space="preserve">31  - 33 </v>
      </c>
      <c r="G965" s="164">
        <v>2834.0556596406141</v>
      </c>
      <c r="H965" s="164">
        <v>5381.9640361950615</v>
      </c>
      <c r="I965" s="164">
        <v>8216.0196958062861</v>
      </c>
      <c r="J965" s="164">
        <v>0.63470917469889343</v>
      </c>
      <c r="K965" s="164">
        <v>0.81181029422182516</v>
      </c>
      <c r="L965" s="164">
        <v>1.4465194689207186</v>
      </c>
      <c r="M965" s="164">
        <v>6.8020252815076736</v>
      </c>
      <c r="N965" s="164">
        <v>8.9590263733663456</v>
      </c>
      <c r="O965" s="164">
        <v>15.76105165487402</v>
      </c>
      <c r="P965" s="164">
        <v>1.6708319247731123</v>
      </c>
      <c r="Q965" s="164">
        <v>3.2457000758507335</v>
      </c>
      <c r="R965" s="164">
        <v>4.916532000623846</v>
      </c>
      <c r="S965" s="163" t="str">
        <f t="shared" si="110"/>
        <v>BI</v>
      </c>
      <c r="T965" s="163">
        <f>VLOOKUP(A965,'Groupe de branches'!$Z$27:$AM$86,14,FALSE)</f>
        <v>0</v>
      </c>
      <c r="U965" s="163">
        <f>VLOOKUP(D965,'Groupe de branches'!$Z$27:$AM$86,14,FALSE)</f>
        <v>0</v>
      </c>
      <c r="V965" s="163">
        <v>2018</v>
      </c>
      <c r="W965" t="str">
        <f>VLOOKUP(D965,'Table corresp.'!$M$4:$S$63,7,FALSE)</f>
        <v>Construction</v>
      </c>
      <c r="X965" s="167">
        <f>IFERROR(G965/SUMIFS('Comp2016-2017 (3)'!$I$5:$I$289,'Comp2016-2017 (3)'!$A$5:$A$289,A965,'Comp2016-2017 (3)'!$R$5:$R$289,V965),0)</f>
        <v>1.7896759392618832E-3</v>
      </c>
      <c r="Y965" s="178">
        <f>IFERROR(IF(RIGHT(F965,3)="Exp",VLOOKUP(F965,#REF!,2,FALSE),VLOOKUP(F965,#REF!,9,FALSE)),1)</f>
        <v>1</v>
      </c>
      <c r="Z965" s="167">
        <f t="shared" si="111"/>
        <v>5.8823529411764705E-2</v>
      </c>
      <c r="AA965" s="189">
        <f t="shared" ref="AA965:AA1028" si="114">X965*Z965</f>
        <v>1.0527505525069901E-4</v>
      </c>
      <c r="AB965" s="2">
        <f>IFERROR(SUMIFS('Comp2016-2017 (3)'!$G$5:$G$289,'Comp2016-2017 (3)'!$A$5:$A$289,A965,'Comp2016-2017 (3)'!$R$5:$R$289,V965)*AA965/SUMIFS($AA$4:$AA$1116,$A$4:$A$1116,A965,$V$4:$V$1116,V965),0)</f>
        <v>742.8333737958053</v>
      </c>
      <c r="AC965" s="2" t="str">
        <f>IF($W965=AC$3,$AB965,IF(NOT($W965=0),"",SUMIFS('Val-Vol (2)'!AC$4:AC$1116,'Val-Vol (2)'!$A$4:$A$1116,$D965,'Val-Vol (2)'!$V$4:$V$1116,$V965)/SUMIFS('Comp2016-2017 (3)'!$G$5:$G$289,'Comp2016-2017 (3)'!$A$5:$A$289,$D965,'Comp2016-2017 (3)'!$R$5:$R$289,$V965)*$AB965))</f>
        <v/>
      </c>
      <c r="AD965" s="2">
        <f>IF($W965=AD$3,$AB965,IF(NOT($W965=0),"",SUMIFS('Val-Vol (2)'!AD$4:AD$1116,'Val-Vol (2)'!$A$4:$A$1116,$D965,'Val-Vol (2)'!$V$4:$V$1116,$V965)/SUMIFS('Comp2016-2017 (3)'!$G$5:$G$289,'Comp2016-2017 (3)'!$A$5:$A$289,$D965,'Comp2016-2017 (3)'!$R$5:$R$289,$V965)*$AB965))</f>
        <v>742.8333737958053</v>
      </c>
      <c r="AE965" s="2" t="str">
        <f>IF($W965=AE$3,$AB965,IF(NOT($W965=0),"",SUMIFS('Val-Vol (2)'!AE$4:AE$1116,'Val-Vol (2)'!$A$4:$A$1116,$D965,'Val-Vol (2)'!$V$4:$V$1116,$V965)/SUMIFS('Comp2016-2017 (3)'!$G$5:$G$289,'Comp2016-2017 (3)'!$A$5:$A$289,$D965,'Comp2016-2017 (3)'!$R$5:$R$289,$V965)*$AB965))</f>
        <v/>
      </c>
      <c r="AF965" s="2" t="str">
        <f>IF($W965=AF$3,$AB965,IF(NOT($W965=0),"",SUMIFS('Val-Vol (2)'!AF$4:AF$1116,'Val-Vol (2)'!$A$4:$A$1116,$D965,'Val-Vol (2)'!$V$4:$V$1116,$V965)/SUMIFS('Comp2016-2017 (3)'!$G$5:$G$289,'Comp2016-2017 (3)'!$A$5:$A$289,$D965,'Comp2016-2017 (3)'!$R$5:$R$289,$V965)*$AB965))</f>
        <v/>
      </c>
      <c r="AG965" s="2" t="str">
        <f>IF($W965=AG$3,$AB965,IF(NOT($W965=0),"",SUMIFS('Val-Vol (2)'!AG$4:AG$1116,'Val-Vol (2)'!$A$4:$A$1116,$D965,'Val-Vol (2)'!$V$4:$V$1116,$V965)/SUMIFS('Comp2016-2017 (3)'!$G$5:$G$289,'Comp2016-2017 (3)'!$A$5:$A$289,$D965,'Comp2016-2017 (3)'!$R$5:$R$289,$V965)*$AB965))</f>
        <v/>
      </c>
      <c r="AH965" s="2" t="str">
        <f>IF($W965=AH$3,$AB965,IF(NOT($W965=0),"",SUMIFS('Val-Vol (2)'!AH$4:AH$1116,'Val-Vol (2)'!$A$4:$A$1116,$D965,'Val-Vol (2)'!$V$4:$V$1116,$V965)/SUMIFS('Comp2016-2017 (3)'!$G$5:$G$289,'Comp2016-2017 (3)'!$A$5:$A$289,$D965,'Comp2016-2017 (3)'!$R$5:$R$289,$V965)*$AB965))</f>
        <v/>
      </c>
      <c r="AI965" s="2" t="str">
        <f>IF($W965=AI$3,$AB965,IF(NOT($W965=0),"",SUMIFS('Val-Vol (2)'!AI$4:AI$1116,'Val-Vol (2)'!$A$4:$A$1116,$D965,'Val-Vol (2)'!$V$4:$V$1116,$V965)/SUMIFS('Comp2016-2017 (3)'!$G$5:$G$289,'Comp2016-2017 (3)'!$A$5:$A$289,$D965,'Comp2016-2017 (3)'!$R$5:$R$289,$V965)*$AB965))</f>
        <v/>
      </c>
      <c r="AJ965" s="2" t="str">
        <f>IF($W965=AJ$3,$AB965,IF(NOT($W965=0),"",SUMIFS('Val-Vol (2)'!AJ$4:AJ$1116,'Val-Vol (2)'!$A$4:$A$1116,$D965,'Val-Vol (2)'!$V$4:$V$1116,$V965)/SUMIFS('Comp2016-2017 (3)'!$G$5:$G$289,'Comp2016-2017 (3)'!$A$5:$A$289,$D965,'Comp2016-2017 (3)'!$R$5:$R$289,$V965)*$AB965))</f>
        <v/>
      </c>
      <c r="AK965" s="2">
        <f t="shared" si="112"/>
        <v>0</v>
      </c>
      <c r="AL965" t="str">
        <f t="shared" si="113"/>
        <v/>
      </c>
      <c r="AM965" t="str">
        <f>VLOOKUP(A965,'Table corresp.'!$M$4:$U$63,8,FALSE)</f>
        <v>Production intermédiaire</v>
      </c>
      <c r="AN965" t="str">
        <f>VLOOKUP(D965,'Table corresp.'!$M$4:$U$63,9,FALSE)</f>
        <v>Production finale</v>
      </c>
    </row>
    <row r="966" spans="1:40" x14ac:dyDescent="0.25">
      <c r="A966" t="s">
        <v>87</v>
      </c>
      <c r="B966" t="str">
        <f>VLOOKUP(LEFT(A966,3),'Table corresp.'!$A$4:$D$63,3,FALSE)</f>
        <v>Transformation</v>
      </c>
      <c r="C966" t="str">
        <f>VLOOKUP(A966,'Table corresp.'!$M$4:$P$63,4,FALSE)</f>
        <v>Production et transformation de produits bois</v>
      </c>
      <c r="D966" t="s">
        <v>90</v>
      </c>
      <c r="E966" t="str">
        <f>VLOOKUP(LEFT(D966,3),'Table corresp.'!$A$4:$D$63,4,FALSE)</f>
        <v>Transformation</v>
      </c>
      <c r="F966" t="str">
        <f t="shared" si="109"/>
        <v xml:space="preserve">31  - 34 </v>
      </c>
      <c r="G966" s="164">
        <v>10753.979503026156</v>
      </c>
      <c r="H966" s="164">
        <v>14229.370323384381</v>
      </c>
      <c r="I966" s="164">
        <v>24983.349826352878</v>
      </c>
      <c r="J966" s="164">
        <v>3.484208050553586</v>
      </c>
      <c r="K966" s="164">
        <v>3.1050451509961876</v>
      </c>
      <c r="L966" s="164">
        <v>6.5892532015497736</v>
      </c>
      <c r="M966" s="164">
        <v>37.339418099858413</v>
      </c>
      <c r="N966" s="164">
        <v>34.266849775456151</v>
      </c>
      <c r="O966" s="164">
        <v>71.606267875314558</v>
      </c>
      <c r="P966" s="164">
        <v>6.3400632979418328</v>
      </c>
      <c r="Q966" s="164">
        <v>8.5813037819123359</v>
      </c>
      <c r="R966" s="164">
        <v>14.921367079854168</v>
      </c>
      <c r="S966" s="163" t="str">
        <f t="shared" si="110"/>
        <v>BI</v>
      </c>
      <c r="T966" s="163">
        <f>VLOOKUP(A966,'Groupe de branches'!$Z$27:$AM$86,14,FALSE)</f>
        <v>0</v>
      </c>
      <c r="U966" s="163">
        <f>VLOOKUP(D966,'Groupe de branches'!$Z$27:$AM$86,14,FALSE)</f>
        <v>0</v>
      </c>
      <c r="V966" s="163">
        <v>2018</v>
      </c>
      <c r="W966" t="str">
        <f>VLOOKUP(D966,'Table corresp.'!$M$4:$S$63,7,FALSE)</f>
        <v>Construction</v>
      </c>
      <c r="X966" s="167">
        <f>IFERROR(G966/SUMIFS('Comp2016-2017 (3)'!$I$5:$I$289,'Comp2016-2017 (3)'!$A$5:$A$289,A966,'Comp2016-2017 (3)'!$R$5:$R$289,V966),0)</f>
        <v>6.7910234234150411E-3</v>
      </c>
      <c r="Y966" s="178">
        <f>IFERROR(IF(RIGHT(F966,3)="Exp",VLOOKUP(F966,#REF!,2,FALSE),VLOOKUP(F966,#REF!,9,FALSE)),1)</f>
        <v>1</v>
      </c>
      <c r="Z966" s="167">
        <f t="shared" si="111"/>
        <v>5.8823529411764705E-2</v>
      </c>
      <c r="AA966" s="189">
        <f t="shared" si="114"/>
        <v>3.994719660832377E-4</v>
      </c>
      <c r="AB966" s="2">
        <f>IFERROR(SUMIFS('Comp2016-2017 (3)'!$G$5:$G$289,'Comp2016-2017 (3)'!$A$5:$A$289,A966,'Comp2016-2017 (3)'!$R$5:$R$289,V966)*AA966/SUMIFS($AA$4:$AA$1116,$A$4:$A$1116,A966,$V$4:$V$1116,V966),0)</f>
        <v>2818.7219431593189</v>
      </c>
      <c r="AC966" s="2" t="str">
        <f>IF($W966=AC$3,$AB966,IF(NOT($W966=0),"",SUMIFS('Val-Vol (2)'!AC$4:AC$1116,'Val-Vol (2)'!$A$4:$A$1116,$D966,'Val-Vol (2)'!$V$4:$V$1116,$V966)/SUMIFS('Comp2016-2017 (3)'!$G$5:$G$289,'Comp2016-2017 (3)'!$A$5:$A$289,$D966,'Comp2016-2017 (3)'!$R$5:$R$289,$V966)*$AB966))</f>
        <v/>
      </c>
      <c r="AD966" s="2">
        <f>IF($W966=AD$3,$AB966,IF(NOT($W966=0),"",SUMIFS('Val-Vol (2)'!AD$4:AD$1116,'Val-Vol (2)'!$A$4:$A$1116,$D966,'Val-Vol (2)'!$V$4:$V$1116,$V966)/SUMIFS('Comp2016-2017 (3)'!$G$5:$G$289,'Comp2016-2017 (3)'!$A$5:$A$289,$D966,'Comp2016-2017 (3)'!$R$5:$R$289,$V966)*$AB966))</f>
        <v>2818.7219431593189</v>
      </c>
      <c r="AE966" s="2" t="str">
        <f>IF($W966=AE$3,$AB966,IF(NOT($W966=0),"",SUMIFS('Val-Vol (2)'!AE$4:AE$1116,'Val-Vol (2)'!$A$4:$A$1116,$D966,'Val-Vol (2)'!$V$4:$V$1116,$V966)/SUMIFS('Comp2016-2017 (3)'!$G$5:$G$289,'Comp2016-2017 (3)'!$A$5:$A$289,$D966,'Comp2016-2017 (3)'!$R$5:$R$289,$V966)*$AB966))</f>
        <v/>
      </c>
      <c r="AF966" s="2" t="str">
        <f>IF($W966=AF$3,$AB966,IF(NOT($W966=0),"",SUMIFS('Val-Vol (2)'!AF$4:AF$1116,'Val-Vol (2)'!$A$4:$A$1116,$D966,'Val-Vol (2)'!$V$4:$V$1116,$V966)/SUMIFS('Comp2016-2017 (3)'!$G$5:$G$289,'Comp2016-2017 (3)'!$A$5:$A$289,$D966,'Comp2016-2017 (3)'!$R$5:$R$289,$V966)*$AB966))</f>
        <v/>
      </c>
      <c r="AG966" s="2" t="str">
        <f>IF($W966=AG$3,$AB966,IF(NOT($W966=0),"",SUMIFS('Val-Vol (2)'!AG$4:AG$1116,'Val-Vol (2)'!$A$4:$A$1116,$D966,'Val-Vol (2)'!$V$4:$V$1116,$V966)/SUMIFS('Comp2016-2017 (3)'!$G$5:$G$289,'Comp2016-2017 (3)'!$A$5:$A$289,$D966,'Comp2016-2017 (3)'!$R$5:$R$289,$V966)*$AB966))</f>
        <v/>
      </c>
      <c r="AH966" s="2" t="str">
        <f>IF($W966=AH$3,$AB966,IF(NOT($W966=0),"",SUMIFS('Val-Vol (2)'!AH$4:AH$1116,'Val-Vol (2)'!$A$4:$A$1116,$D966,'Val-Vol (2)'!$V$4:$V$1116,$V966)/SUMIFS('Comp2016-2017 (3)'!$G$5:$G$289,'Comp2016-2017 (3)'!$A$5:$A$289,$D966,'Comp2016-2017 (3)'!$R$5:$R$289,$V966)*$AB966))</f>
        <v/>
      </c>
      <c r="AI966" s="2" t="str">
        <f>IF($W966=AI$3,$AB966,IF(NOT($W966=0),"",SUMIFS('Val-Vol (2)'!AI$4:AI$1116,'Val-Vol (2)'!$A$4:$A$1116,$D966,'Val-Vol (2)'!$V$4:$V$1116,$V966)/SUMIFS('Comp2016-2017 (3)'!$G$5:$G$289,'Comp2016-2017 (3)'!$A$5:$A$289,$D966,'Comp2016-2017 (3)'!$R$5:$R$289,$V966)*$AB966))</f>
        <v/>
      </c>
      <c r="AJ966" s="2" t="str">
        <f>IF($W966=AJ$3,$AB966,IF(NOT($W966=0),"",SUMIFS('Val-Vol (2)'!AJ$4:AJ$1116,'Val-Vol (2)'!$A$4:$A$1116,$D966,'Val-Vol (2)'!$V$4:$V$1116,$V966)/SUMIFS('Comp2016-2017 (3)'!$G$5:$G$289,'Comp2016-2017 (3)'!$A$5:$A$289,$D966,'Comp2016-2017 (3)'!$R$5:$R$289,$V966)*$AB966))</f>
        <v/>
      </c>
      <c r="AK966" s="2">
        <f t="shared" ref="AK966:AK995" si="115">SUM(AC966:AJ966)-AB966</f>
        <v>0</v>
      </c>
      <c r="AL966" t="str">
        <f t="shared" si="113"/>
        <v/>
      </c>
      <c r="AM966" t="str">
        <f>VLOOKUP(A966,'Table corresp.'!$M$4:$U$63,8,FALSE)</f>
        <v>Production intermédiaire</v>
      </c>
      <c r="AN966" t="str">
        <f>VLOOKUP(D966,'Table corresp.'!$M$4:$U$63,9,FALSE)</f>
        <v>Production finale</v>
      </c>
    </row>
    <row r="967" spans="1:40" x14ac:dyDescent="0.25">
      <c r="A967" t="s">
        <v>87</v>
      </c>
      <c r="B967" t="str">
        <f>VLOOKUP(LEFT(A967,3),'Table corresp.'!$A$4:$D$63,3,FALSE)</f>
        <v>Transformation</v>
      </c>
      <c r="C967" t="str">
        <f>VLOOKUP(A967,'Table corresp.'!$M$4:$P$63,4,FALSE)</f>
        <v>Production et transformation de produits bois</v>
      </c>
      <c r="D967" t="s">
        <v>15</v>
      </c>
      <c r="E967" t="str">
        <f>VLOOKUP(LEFT(D967,3),'Table corresp.'!$A$4:$D$63,4,FALSE)</f>
        <v>Transformation</v>
      </c>
      <c r="F967" t="str">
        <f t="shared" si="109"/>
        <v xml:space="preserve">31  - 35 </v>
      </c>
      <c r="G967" s="164">
        <v>10127.871473524547</v>
      </c>
      <c r="H967" s="164">
        <v>6624.9223795733697</v>
      </c>
      <c r="I967" s="164">
        <v>16752.79385310255</v>
      </c>
      <c r="J967" s="164">
        <v>1.4062944783674738</v>
      </c>
      <c r="K967" s="164">
        <v>0.61956410206254275</v>
      </c>
      <c r="L967" s="164">
        <v>2.0258585804300164</v>
      </c>
      <c r="M967" s="164">
        <v>15.070919054601903</v>
      </c>
      <c r="N967" s="164">
        <v>6.8374239275815905</v>
      </c>
      <c r="O967" s="164">
        <v>21.908342982183495</v>
      </c>
      <c r="P967" s="164">
        <v>5.970938125509357</v>
      </c>
      <c r="Q967" s="164">
        <v>3.9952907387111312</v>
      </c>
      <c r="R967" s="164">
        <v>9.9662288642204881</v>
      </c>
      <c r="S967" s="163" t="str">
        <f t="shared" si="110"/>
        <v>BI</v>
      </c>
      <c r="T967" s="163">
        <f>VLOOKUP(A967,'Groupe de branches'!$Z$27:$AM$86,14,FALSE)</f>
        <v>0</v>
      </c>
      <c r="U967" s="163">
        <f>VLOOKUP(D967,'Groupe de branches'!$Z$27:$AM$86,14,FALSE)</f>
        <v>0</v>
      </c>
      <c r="V967" s="163">
        <v>2018</v>
      </c>
      <c r="W967" t="str">
        <f>VLOOKUP(D967,'Table corresp.'!$M$4:$S$63,7,FALSE)</f>
        <v>Construction</v>
      </c>
      <c r="X967" s="167">
        <f>IFERROR(G967/SUMIFS('Comp2016-2017 (3)'!$I$5:$I$289,'Comp2016-2017 (3)'!$A$5:$A$289,A967,'Comp2016-2017 (3)'!$R$5:$R$289,V967),0)</f>
        <v>6.3956428768241558E-3</v>
      </c>
      <c r="Y967" s="178">
        <f>IFERROR(IF(RIGHT(F967,3)="Exp",VLOOKUP(F967,#REF!,2,FALSE),VLOOKUP(F967,#REF!,9,FALSE)),1)</f>
        <v>1</v>
      </c>
      <c r="Z967" s="167">
        <f t="shared" si="111"/>
        <v>5.8823529411764705E-2</v>
      </c>
      <c r="AA967" s="189">
        <f t="shared" si="114"/>
        <v>3.7621428687200915E-4</v>
      </c>
      <c r="AB967" s="2">
        <f>IFERROR(SUMIFS('Comp2016-2017 (3)'!$G$5:$G$289,'Comp2016-2017 (3)'!$A$5:$A$289,A967,'Comp2016-2017 (3)'!$R$5:$R$289,V967)*AA967/SUMIFS($AA$4:$AA$1116,$A$4:$A$1116,A967,$V$4:$V$1116,V967),0)</f>
        <v>2654.6129785618127</v>
      </c>
      <c r="AC967" s="2" t="str">
        <f>IF($W967=AC$3,$AB967,IF(NOT($W967=0),"",SUMIFS('Val-Vol (2)'!AC$4:AC$1116,'Val-Vol (2)'!$A$4:$A$1116,$D967,'Val-Vol (2)'!$V$4:$V$1116,$V967)/SUMIFS('Comp2016-2017 (3)'!$G$5:$G$289,'Comp2016-2017 (3)'!$A$5:$A$289,$D967,'Comp2016-2017 (3)'!$R$5:$R$289,$V967)*$AB967))</f>
        <v/>
      </c>
      <c r="AD967" s="2">
        <f>IF($W967=AD$3,$AB967,IF(NOT($W967=0),"",SUMIFS('Val-Vol (2)'!AD$4:AD$1116,'Val-Vol (2)'!$A$4:$A$1116,$D967,'Val-Vol (2)'!$V$4:$V$1116,$V967)/SUMIFS('Comp2016-2017 (3)'!$G$5:$G$289,'Comp2016-2017 (3)'!$A$5:$A$289,$D967,'Comp2016-2017 (3)'!$R$5:$R$289,$V967)*$AB967))</f>
        <v>2654.6129785618127</v>
      </c>
      <c r="AE967" s="2" t="str">
        <f>IF($W967=AE$3,$AB967,IF(NOT($W967=0),"",SUMIFS('Val-Vol (2)'!AE$4:AE$1116,'Val-Vol (2)'!$A$4:$A$1116,$D967,'Val-Vol (2)'!$V$4:$V$1116,$V967)/SUMIFS('Comp2016-2017 (3)'!$G$5:$G$289,'Comp2016-2017 (3)'!$A$5:$A$289,$D967,'Comp2016-2017 (3)'!$R$5:$R$289,$V967)*$AB967))</f>
        <v/>
      </c>
      <c r="AF967" s="2" t="str">
        <f>IF($W967=AF$3,$AB967,IF(NOT($W967=0),"",SUMIFS('Val-Vol (2)'!AF$4:AF$1116,'Val-Vol (2)'!$A$4:$A$1116,$D967,'Val-Vol (2)'!$V$4:$V$1116,$V967)/SUMIFS('Comp2016-2017 (3)'!$G$5:$G$289,'Comp2016-2017 (3)'!$A$5:$A$289,$D967,'Comp2016-2017 (3)'!$R$5:$R$289,$V967)*$AB967))</f>
        <v/>
      </c>
      <c r="AG967" s="2" t="str">
        <f>IF($W967=AG$3,$AB967,IF(NOT($W967=0),"",SUMIFS('Val-Vol (2)'!AG$4:AG$1116,'Val-Vol (2)'!$A$4:$A$1116,$D967,'Val-Vol (2)'!$V$4:$V$1116,$V967)/SUMIFS('Comp2016-2017 (3)'!$G$5:$G$289,'Comp2016-2017 (3)'!$A$5:$A$289,$D967,'Comp2016-2017 (3)'!$R$5:$R$289,$V967)*$AB967))</f>
        <v/>
      </c>
      <c r="AH967" s="2" t="str">
        <f>IF($W967=AH$3,$AB967,IF(NOT($W967=0),"",SUMIFS('Val-Vol (2)'!AH$4:AH$1116,'Val-Vol (2)'!$A$4:$A$1116,$D967,'Val-Vol (2)'!$V$4:$V$1116,$V967)/SUMIFS('Comp2016-2017 (3)'!$G$5:$G$289,'Comp2016-2017 (3)'!$A$5:$A$289,$D967,'Comp2016-2017 (3)'!$R$5:$R$289,$V967)*$AB967))</f>
        <v/>
      </c>
      <c r="AI967" s="2" t="str">
        <f>IF($W967=AI$3,$AB967,IF(NOT($W967=0),"",SUMIFS('Val-Vol (2)'!AI$4:AI$1116,'Val-Vol (2)'!$A$4:$A$1116,$D967,'Val-Vol (2)'!$V$4:$V$1116,$V967)/SUMIFS('Comp2016-2017 (3)'!$G$5:$G$289,'Comp2016-2017 (3)'!$A$5:$A$289,$D967,'Comp2016-2017 (3)'!$R$5:$R$289,$V967)*$AB967))</f>
        <v/>
      </c>
      <c r="AJ967" s="2" t="str">
        <f>IF($W967=AJ$3,$AB967,IF(NOT($W967=0),"",SUMIFS('Val-Vol (2)'!AJ$4:AJ$1116,'Val-Vol (2)'!$A$4:$A$1116,$D967,'Val-Vol (2)'!$V$4:$V$1116,$V967)/SUMIFS('Comp2016-2017 (3)'!$G$5:$G$289,'Comp2016-2017 (3)'!$A$5:$A$289,$D967,'Comp2016-2017 (3)'!$R$5:$R$289,$V967)*$AB967))</f>
        <v/>
      </c>
      <c r="AK967" s="2">
        <f t="shared" si="115"/>
        <v>0</v>
      </c>
      <c r="AL967" t="str">
        <f t="shared" si="113"/>
        <v/>
      </c>
      <c r="AM967" t="str">
        <f>VLOOKUP(A967,'Table corresp.'!$M$4:$U$63,8,FALSE)</f>
        <v>Production intermédiaire</v>
      </c>
      <c r="AN967" t="str">
        <f>VLOOKUP(D967,'Table corresp.'!$M$4:$U$63,9,FALSE)</f>
        <v>Production finale</v>
      </c>
    </row>
    <row r="968" spans="1:40" x14ac:dyDescent="0.25">
      <c r="A968" t="s">
        <v>87</v>
      </c>
      <c r="B968" t="str">
        <f>VLOOKUP(LEFT(A968,3),'Table corresp.'!$A$4:$D$63,3,FALSE)</f>
        <v>Transformation</v>
      </c>
      <c r="C968" t="str">
        <f>VLOOKUP(A968,'Table corresp.'!$M$4:$P$63,4,FALSE)</f>
        <v>Production et transformation de produits bois</v>
      </c>
      <c r="D968" t="s">
        <v>16</v>
      </c>
      <c r="E968" t="str">
        <f>VLOOKUP(LEFT(D968,3),'Table corresp.'!$A$4:$D$63,4,FALSE)</f>
        <v>Transformation</v>
      </c>
      <c r="F968" t="str">
        <f t="shared" si="109"/>
        <v xml:space="preserve">31  - 36 </v>
      </c>
      <c r="G968" s="164">
        <v>39818.366267033321</v>
      </c>
      <c r="H968" s="164">
        <v>79137.223604482162</v>
      </c>
      <c r="I968" s="164">
        <v>118955.58987107195</v>
      </c>
      <c r="J968" s="164">
        <v>7.5469970234779211</v>
      </c>
      <c r="K968" s="164">
        <v>10.102268645532247</v>
      </c>
      <c r="L968" s="164">
        <v>17.64926566901017</v>
      </c>
      <c r="M968" s="164">
        <v>70.773123432682027</v>
      </c>
      <c r="N968" s="164">
        <v>97.55642851088821</v>
      </c>
      <c r="O968" s="164">
        <v>168.32955194357024</v>
      </c>
      <c r="P968" s="164">
        <v>23.475120301520356</v>
      </c>
      <c r="Q968" s="164">
        <v>47.725271095879698</v>
      </c>
      <c r="R968" s="164">
        <v>71.200391397400054</v>
      </c>
      <c r="S968" s="163" t="str">
        <f t="shared" si="110"/>
        <v>BI</v>
      </c>
      <c r="T968" s="163">
        <f>VLOOKUP(A968,'Groupe de branches'!$Z$27:$AM$86,14,FALSE)</f>
        <v>0</v>
      </c>
      <c r="U968" s="163">
        <f>VLOOKUP(D968,'Groupe de branches'!$Z$27:$AM$86,14,FALSE)</f>
        <v>0</v>
      </c>
      <c r="V968" s="163">
        <v>2018</v>
      </c>
      <c r="W968" t="str">
        <f>VLOOKUP(D968,'Table corresp.'!$M$4:$S$63,7,FALSE)</f>
        <v>Construction</v>
      </c>
      <c r="X968" s="167">
        <f>IFERROR(G968/SUMIFS('Comp2016-2017 (3)'!$I$5:$I$289,'Comp2016-2017 (3)'!$A$5:$A$289,A968,'Comp2016-2017 (3)'!$R$5:$R$289,V968),0)</f>
        <v>2.5144873851159037E-2</v>
      </c>
      <c r="Y968" s="178">
        <f>IFERROR(IF(RIGHT(F968,3)="Exp",VLOOKUP(F968,#REF!,2,FALSE),VLOOKUP(F968,#REF!,9,FALSE)),1)</f>
        <v>1</v>
      </c>
      <c r="Z968" s="167">
        <f t="shared" si="111"/>
        <v>5.8823529411764705E-2</v>
      </c>
      <c r="AA968" s="189">
        <f t="shared" si="114"/>
        <v>1.479110226538767E-3</v>
      </c>
      <c r="AB968" s="2">
        <f>IFERROR(SUMIFS('Comp2016-2017 (3)'!$G$5:$G$289,'Comp2016-2017 (3)'!$A$5:$A$289,A968,'Comp2016-2017 (3)'!$R$5:$R$289,V968)*AA968/SUMIFS($AA$4:$AA$1116,$A$4:$A$1116,A968,$V$4:$V$1116,V968),0)</f>
        <v>10436.778562397143</v>
      </c>
      <c r="AC968" s="2" t="str">
        <f>IF($W968=AC$3,$AB968,IF(NOT($W968=0),"",SUMIFS('Val-Vol (2)'!AC$4:AC$1116,'Val-Vol (2)'!$A$4:$A$1116,$D968,'Val-Vol (2)'!$V$4:$V$1116,$V968)/SUMIFS('Comp2016-2017 (3)'!$G$5:$G$289,'Comp2016-2017 (3)'!$A$5:$A$289,$D968,'Comp2016-2017 (3)'!$R$5:$R$289,$V968)*$AB968))</f>
        <v/>
      </c>
      <c r="AD968" s="2">
        <f>IF($W968=AD$3,$AB968,IF(NOT($W968=0),"",SUMIFS('Val-Vol (2)'!AD$4:AD$1116,'Val-Vol (2)'!$A$4:$A$1116,$D968,'Val-Vol (2)'!$V$4:$V$1116,$V968)/SUMIFS('Comp2016-2017 (3)'!$G$5:$G$289,'Comp2016-2017 (3)'!$A$5:$A$289,$D968,'Comp2016-2017 (3)'!$R$5:$R$289,$V968)*$AB968))</f>
        <v>10436.778562397143</v>
      </c>
      <c r="AE968" s="2" t="str">
        <f>IF($W968=AE$3,$AB968,IF(NOT($W968=0),"",SUMIFS('Val-Vol (2)'!AE$4:AE$1116,'Val-Vol (2)'!$A$4:$A$1116,$D968,'Val-Vol (2)'!$V$4:$V$1116,$V968)/SUMIFS('Comp2016-2017 (3)'!$G$5:$G$289,'Comp2016-2017 (3)'!$A$5:$A$289,$D968,'Comp2016-2017 (3)'!$R$5:$R$289,$V968)*$AB968))</f>
        <v/>
      </c>
      <c r="AF968" s="2" t="str">
        <f>IF($W968=AF$3,$AB968,IF(NOT($W968=0),"",SUMIFS('Val-Vol (2)'!AF$4:AF$1116,'Val-Vol (2)'!$A$4:$A$1116,$D968,'Val-Vol (2)'!$V$4:$V$1116,$V968)/SUMIFS('Comp2016-2017 (3)'!$G$5:$G$289,'Comp2016-2017 (3)'!$A$5:$A$289,$D968,'Comp2016-2017 (3)'!$R$5:$R$289,$V968)*$AB968))</f>
        <v/>
      </c>
      <c r="AG968" s="2" t="str">
        <f>IF($W968=AG$3,$AB968,IF(NOT($W968=0),"",SUMIFS('Val-Vol (2)'!AG$4:AG$1116,'Val-Vol (2)'!$A$4:$A$1116,$D968,'Val-Vol (2)'!$V$4:$V$1116,$V968)/SUMIFS('Comp2016-2017 (3)'!$G$5:$G$289,'Comp2016-2017 (3)'!$A$5:$A$289,$D968,'Comp2016-2017 (3)'!$R$5:$R$289,$V968)*$AB968))</f>
        <v/>
      </c>
      <c r="AH968" s="2" t="str">
        <f>IF($W968=AH$3,$AB968,IF(NOT($W968=0),"",SUMIFS('Val-Vol (2)'!AH$4:AH$1116,'Val-Vol (2)'!$A$4:$A$1116,$D968,'Val-Vol (2)'!$V$4:$V$1116,$V968)/SUMIFS('Comp2016-2017 (3)'!$G$5:$G$289,'Comp2016-2017 (3)'!$A$5:$A$289,$D968,'Comp2016-2017 (3)'!$R$5:$R$289,$V968)*$AB968))</f>
        <v/>
      </c>
      <c r="AI968" s="2" t="str">
        <f>IF($W968=AI$3,$AB968,IF(NOT($W968=0),"",SUMIFS('Val-Vol (2)'!AI$4:AI$1116,'Val-Vol (2)'!$A$4:$A$1116,$D968,'Val-Vol (2)'!$V$4:$V$1116,$V968)/SUMIFS('Comp2016-2017 (3)'!$G$5:$G$289,'Comp2016-2017 (3)'!$A$5:$A$289,$D968,'Comp2016-2017 (3)'!$R$5:$R$289,$V968)*$AB968))</f>
        <v/>
      </c>
      <c r="AJ968" s="2" t="str">
        <f>IF($W968=AJ$3,$AB968,IF(NOT($W968=0),"",SUMIFS('Val-Vol (2)'!AJ$4:AJ$1116,'Val-Vol (2)'!$A$4:$A$1116,$D968,'Val-Vol (2)'!$V$4:$V$1116,$V968)/SUMIFS('Comp2016-2017 (3)'!$G$5:$G$289,'Comp2016-2017 (3)'!$A$5:$A$289,$D968,'Comp2016-2017 (3)'!$R$5:$R$289,$V968)*$AB968))</f>
        <v/>
      </c>
      <c r="AK968" s="2">
        <f t="shared" si="115"/>
        <v>0</v>
      </c>
      <c r="AL968" t="str">
        <f t="shared" si="113"/>
        <v/>
      </c>
      <c r="AM968" t="str">
        <f>VLOOKUP(A968,'Table corresp.'!$M$4:$U$63,8,FALSE)</f>
        <v>Production intermédiaire</v>
      </c>
      <c r="AN968" t="str">
        <f>VLOOKUP(D968,'Table corresp.'!$M$4:$U$63,9,FALSE)</f>
        <v>Production finale</v>
      </c>
    </row>
    <row r="969" spans="1:40" x14ac:dyDescent="0.25">
      <c r="A969" t="s">
        <v>87</v>
      </c>
      <c r="B969" t="str">
        <f>VLOOKUP(LEFT(A969,3),'Table corresp.'!$A$4:$D$63,3,FALSE)</f>
        <v>Transformation</v>
      </c>
      <c r="C969" t="str">
        <f>VLOOKUP(A969,'Table corresp.'!$M$4:$P$63,4,FALSE)</f>
        <v>Production et transformation de produits bois</v>
      </c>
      <c r="D969" t="s">
        <v>91</v>
      </c>
      <c r="E969" t="str">
        <f>VLOOKUP(LEFT(D969,3),'Table corresp.'!$A$4:$D$63,4,FALSE)</f>
        <v>Transformation</v>
      </c>
      <c r="F969" t="str">
        <f t="shared" si="109"/>
        <v xml:space="preserve">31  - 37 </v>
      </c>
      <c r="G969" s="164">
        <v>117220.70366861938</v>
      </c>
      <c r="H969" s="164">
        <v>70979.709931449688</v>
      </c>
      <c r="I969" s="164">
        <v>188200.41360017224</v>
      </c>
      <c r="J969" s="164">
        <v>18.769592138185956</v>
      </c>
      <c r="K969" s="164">
        <v>7.6547690754863442</v>
      </c>
      <c r="L969" s="164">
        <v>26.424361213672299</v>
      </c>
      <c r="M969" s="164">
        <v>378.23639128764404</v>
      </c>
      <c r="N969" s="164">
        <v>158.84859018539291</v>
      </c>
      <c r="O969" s="164">
        <v>537.08498147303692</v>
      </c>
      <c r="P969" s="164">
        <v>1.9745160540781273E-3</v>
      </c>
      <c r="Q969" s="164">
        <v>1.2230205943885041E-3</v>
      </c>
      <c r="R969" s="164">
        <v>3.1975366484666315E-3</v>
      </c>
      <c r="S969" s="163" t="str">
        <f t="shared" si="110"/>
        <v/>
      </c>
      <c r="T969" s="163">
        <f>VLOOKUP(A969,'Groupe de branches'!$Z$27:$AM$86,14,FALSE)</f>
        <v>0</v>
      </c>
      <c r="U969" s="163">
        <f>VLOOKUP(D969,'Groupe de branches'!$Z$27:$AM$86,14,FALSE)</f>
        <v>0</v>
      </c>
      <c r="V969" s="163">
        <v>2018</v>
      </c>
      <c r="W969" t="str">
        <f>VLOOKUP(D969,'Table corresp.'!$M$4:$S$63,7,FALSE)</f>
        <v>Emballage bois et carton</v>
      </c>
      <c r="X969" s="167">
        <f>IFERROR(G969/SUMIFS('Comp2016-2017 (3)'!$I$5:$I$289,'Comp2016-2017 (3)'!$A$5:$A$289,A969,'Comp2016-2017 (3)'!$R$5:$R$289,V969),0)</f>
        <v>7.4023624844996277E-2</v>
      </c>
      <c r="Y969" s="178">
        <f>IFERROR(IF(RIGHT(F969,3)="Exp",VLOOKUP(F969,#REF!,2,FALSE),VLOOKUP(F969,#REF!,9,FALSE)),1)</f>
        <v>1</v>
      </c>
      <c r="Z969" s="167">
        <f t="shared" si="111"/>
        <v>5.8823529411764705E-2</v>
      </c>
      <c r="AA969" s="189">
        <f t="shared" si="114"/>
        <v>4.3543308732350754E-3</v>
      </c>
      <c r="AB969" s="2">
        <f>IFERROR(SUMIFS('Comp2016-2017 (3)'!$G$5:$G$289,'Comp2016-2017 (3)'!$A$5:$A$289,A969,'Comp2016-2017 (3)'!$R$5:$R$289,V969)*AA969/SUMIFS($AA$4:$AA$1116,$A$4:$A$1116,A969,$V$4:$V$1116,V969),0)</f>
        <v>30724.679132067893</v>
      </c>
      <c r="AC969" s="2" t="str">
        <f>IF($W969=AC$3,$AB969,IF(NOT($W969=0),"",SUMIFS('Val-Vol (2)'!AC$4:AC$1116,'Val-Vol (2)'!$A$4:$A$1116,$D969,'Val-Vol (2)'!$V$4:$V$1116,$V969)/SUMIFS('Comp2016-2017 (3)'!$G$5:$G$289,'Comp2016-2017 (3)'!$A$5:$A$289,$D969,'Comp2016-2017 (3)'!$R$5:$R$289,$V969)*$AB969))</f>
        <v/>
      </c>
      <c r="AD969" s="2" t="str">
        <f>IF($W969=AD$3,$AB969,IF(NOT($W969=0),"",SUMIFS('Val-Vol (2)'!AD$4:AD$1116,'Val-Vol (2)'!$A$4:$A$1116,$D969,'Val-Vol (2)'!$V$4:$V$1116,$V969)/SUMIFS('Comp2016-2017 (3)'!$G$5:$G$289,'Comp2016-2017 (3)'!$A$5:$A$289,$D969,'Comp2016-2017 (3)'!$R$5:$R$289,$V969)*$AB969))</f>
        <v/>
      </c>
      <c r="AE969" s="2" t="str">
        <f>IF($W969=AE$3,$AB969,IF(NOT($W969=0),"",SUMIFS('Val-Vol (2)'!AE$4:AE$1116,'Val-Vol (2)'!$A$4:$A$1116,$D969,'Val-Vol (2)'!$V$4:$V$1116,$V969)/SUMIFS('Comp2016-2017 (3)'!$G$5:$G$289,'Comp2016-2017 (3)'!$A$5:$A$289,$D969,'Comp2016-2017 (3)'!$R$5:$R$289,$V969)*$AB969))</f>
        <v/>
      </c>
      <c r="AF969" s="2" t="str">
        <f>IF($W969=AF$3,$AB969,IF(NOT($W969=0),"",SUMIFS('Val-Vol (2)'!AF$4:AF$1116,'Val-Vol (2)'!$A$4:$A$1116,$D969,'Val-Vol (2)'!$V$4:$V$1116,$V969)/SUMIFS('Comp2016-2017 (3)'!$G$5:$G$289,'Comp2016-2017 (3)'!$A$5:$A$289,$D969,'Comp2016-2017 (3)'!$R$5:$R$289,$V969)*$AB969))</f>
        <v/>
      </c>
      <c r="AG969" s="2">
        <f>IF($W969=AG$3,$AB969,IF(NOT($W969=0),"",SUMIFS('Val-Vol (2)'!AG$4:AG$1116,'Val-Vol (2)'!$A$4:$A$1116,$D969,'Val-Vol (2)'!$V$4:$V$1116,$V969)/SUMIFS('Comp2016-2017 (3)'!$G$5:$G$289,'Comp2016-2017 (3)'!$A$5:$A$289,$D969,'Comp2016-2017 (3)'!$R$5:$R$289,$V969)*$AB969))</f>
        <v>30724.679132067893</v>
      </c>
      <c r="AH969" s="2" t="str">
        <f>IF($W969=AH$3,$AB969,IF(NOT($W969=0),"",SUMIFS('Val-Vol (2)'!AH$4:AH$1116,'Val-Vol (2)'!$A$4:$A$1116,$D969,'Val-Vol (2)'!$V$4:$V$1116,$V969)/SUMIFS('Comp2016-2017 (3)'!$G$5:$G$289,'Comp2016-2017 (3)'!$A$5:$A$289,$D969,'Comp2016-2017 (3)'!$R$5:$R$289,$V969)*$AB969))</f>
        <v/>
      </c>
      <c r="AI969" s="2" t="str">
        <f>IF($W969=AI$3,$AB969,IF(NOT($W969=0),"",SUMIFS('Val-Vol (2)'!AI$4:AI$1116,'Val-Vol (2)'!$A$4:$A$1116,$D969,'Val-Vol (2)'!$V$4:$V$1116,$V969)/SUMIFS('Comp2016-2017 (3)'!$G$5:$G$289,'Comp2016-2017 (3)'!$A$5:$A$289,$D969,'Comp2016-2017 (3)'!$R$5:$R$289,$V969)*$AB969))</f>
        <v/>
      </c>
      <c r="AJ969" s="2" t="str">
        <f>IF($W969=AJ$3,$AB969,IF(NOT($W969=0),"",SUMIFS('Val-Vol (2)'!AJ$4:AJ$1116,'Val-Vol (2)'!$A$4:$A$1116,$D969,'Val-Vol (2)'!$V$4:$V$1116,$V969)/SUMIFS('Comp2016-2017 (3)'!$G$5:$G$289,'Comp2016-2017 (3)'!$A$5:$A$289,$D969,'Comp2016-2017 (3)'!$R$5:$R$289,$V969)*$AB969))</f>
        <v/>
      </c>
      <c r="AK969" s="2">
        <f t="shared" si="115"/>
        <v>0</v>
      </c>
      <c r="AL969" t="str">
        <f t="shared" si="113"/>
        <v/>
      </c>
      <c r="AM969" t="str">
        <f>VLOOKUP(A969,'Table corresp.'!$M$4:$U$63,8,FALSE)</f>
        <v>Production intermédiaire</v>
      </c>
      <c r="AN969" t="str">
        <f>VLOOKUP(D969,'Table corresp.'!$M$4:$U$63,9,FALSE)</f>
        <v>Production finale</v>
      </c>
    </row>
    <row r="970" spans="1:40" x14ac:dyDescent="0.25">
      <c r="A970" t="s">
        <v>87</v>
      </c>
      <c r="B970" t="str">
        <f>VLOOKUP(LEFT(A970,3),'Table corresp.'!$A$4:$D$63,3,FALSE)</f>
        <v>Transformation</v>
      </c>
      <c r="C970" t="str">
        <f>VLOOKUP(A970,'Table corresp.'!$M$4:$P$63,4,FALSE)</f>
        <v>Production et transformation de produits bois</v>
      </c>
      <c r="D970" t="s">
        <v>18</v>
      </c>
      <c r="E970" t="str">
        <f>VLOOKUP(LEFT(D970,3),'Table corresp.'!$A$4:$D$63,4,FALSE)</f>
        <v>Transformation</v>
      </c>
      <c r="F970" t="str">
        <f t="shared" si="109"/>
        <v xml:space="preserve">31  - 39 </v>
      </c>
      <c r="G970" s="164">
        <v>3673.3189194015449</v>
      </c>
      <c r="H970" s="164">
        <v>0</v>
      </c>
      <c r="I970" s="164">
        <v>3673.3189194241245</v>
      </c>
      <c r="J970" s="164">
        <v>0.51005466717672077</v>
      </c>
      <c r="K970" s="164">
        <v>0</v>
      </c>
      <c r="L970" s="164">
        <v>0.51005466717672077</v>
      </c>
      <c r="M970" s="164">
        <v>5.4661329619710086</v>
      </c>
      <c r="N970" s="164">
        <v>0</v>
      </c>
      <c r="O970" s="164">
        <v>5.4661329619710086</v>
      </c>
      <c r="P970" s="164">
        <v>2.1656238470586238</v>
      </c>
      <c r="Q970" s="164">
        <v>0</v>
      </c>
      <c r="R970" s="164">
        <v>2.1656238470586238</v>
      </c>
      <c r="S970" s="163" t="str">
        <f t="shared" si="110"/>
        <v>BI</v>
      </c>
      <c r="T970" s="163">
        <f>VLOOKUP(A970,'Groupe de branches'!$Z$27:$AM$86,14,FALSE)</f>
        <v>0</v>
      </c>
      <c r="U970" s="163">
        <f>VLOOKUP(D970,'Groupe de branches'!$Z$27:$AM$86,14,FALSE)</f>
        <v>0</v>
      </c>
      <c r="V970" s="163">
        <v>2018</v>
      </c>
      <c r="W970" t="str">
        <f>VLOOKUP(D970,'Table corresp.'!$M$4:$S$63,7,FALSE)</f>
        <v>Construction</v>
      </c>
      <c r="X970" s="167">
        <f>IFERROR(G970/SUMIFS('Comp2016-2017 (3)'!$I$5:$I$289,'Comp2016-2017 (3)'!$A$5:$A$289,A970,'Comp2016-2017 (3)'!$R$5:$R$289,V970),0)</f>
        <v>2.3196617416194501E-3</v>
      </c>
      <c r="Y970" s="178">
        <f>IFERROR(IF(RIGHT(F970,3)="Exp",VLOOKUP(F970,#REF!,2,FALSE),VLOOKUP(F970,#REF!,9,FALSE)),1)</f>
        <v>1</v>
      </c>
      <c r="Z970" s="167">
        <f t="shared" si="111"/>
        <v>5.8823529411764705E-2</v>
      </c>
      <c r="AA970" s="189">
        <f t="shared" si="114"/>
        <v>1.3645069068349706E-4</v>
      </c>
      <c r="AB970" s="2">
        <f>IFERROR(SUMIFS('Comp2016-2017 (3)'!$G$5:$G$289,'Comp2016-2017 (3)'!$A$5:$A$289,A970,'Comp2016-2017 (3)'!$R$5:$R$289,V970)*AA970/SUMIFS($AA$4:$AA$1116,$A$4:$A$1116,A970,$V$4:$V$1116,V970),0)</f>
        <v>962.81238395756588</v>
      </c>
      <c r="AC970" s="2" t="str">
        <f>IF($W970=AC$3,$AB970,IF(NOT($W970=0),"",SUMIFS('Val-Vol (2)'!AC$4:AC$1116,'Val-Vol (2)'!$A$4:$A$1116,$D970,'Val-Vol (2)'!$V$4:$V$1116,$V970)/SUMIFS('Comp2016-2017 (3)'!$G$5:$G$289,'Comp2016-2017 (3)'!$A$5:$A$289,$D970,'Comp2016-2017 (3)'!$R$5:$R$289,$V970)*$AB970))</f>
        <v/>
      </c>
      <c r="AD970" s="2">
        <f>IF($W970=AD$3,$AB970,IF(NOT($W970=0),"",SUMIFS('Val-Vol (2)'!AD$4:AD$1116,'Val-Vol (2)'!$A$4:$A$1116,$D970,'Val-Vol (2)'!$V$4:$V$1116,$V970)/SUMIFS('Comp2016-2017 (3)'!$G$5:$G$289,'Comp2016-2017 (3)'!$A$5:$A$289,$D970,'Comp2016-2017 (3)'!$R$5:$R$289,$V970)*$AB970))</f>
        <v>962.81238395756588</v>
      </c>
      <c r="AE970" s="2" t="str">
        <f>IF($W970=AE$3,$AB970,IF(NOT($W970=0),"",SUMIFS('Val-Vol (2)'!AE$4:AE$1116,'Val-Vol (2)'!$A$4:$A$1116,$D970,'Val-Vol (2)'!$V$4:$V$1116,$V970)/SUMIFS('Comp2016-2017 (3)'!$G$5:$G$289,'Comp2016-2017 (3)'!$A$5:$A$289,$D970,'Comp2016-2017 (3)'!$R$5:$R$289,$V970)*$AB970))</f>
        <v/>
      </c>
      <c r="AF970" s="2" t="str">
        <f>IF($W970=AF$3,$AB970,IF(NOT($W970=0),"",SUMIFS('Val-Vol (2)'!AF$4:AF$1116,'Val-Vol (2)'!$A$4:$A$1116,$D970,'Val-Vol (2)'!$V$4:$V$1116,$V970)/SUMIFS('Comp2016-2017 (3)'!$G$5:$G$289,'Comp2016-2017 (3)'!$A$5:$A$289,$D970,'Comp2016-2017 (3)'!$R$5:$R$289,$V970)*$AB970))</f>
        <v/>
      </c>
      <c r="AG970" s="2" t="str">
        <f>IF($W970=AG$3,$AB970,IF(NOT($W970=0),"",SUMIFS('Val-Vol (2)'!AG$4:AG$1116,'Val-Vol (2)'!$A$4:$A$1116,$D970,'Val-Vol (2)'!$V$4:$V$1116,$V970)/SUMIFS('Comp2016-2017 (3)'!$G$5:$G$289,'Comp2016-2017 (3)'!$A$5:$A$289,$D970,'Comp2016-2017 (3)'!$R$5:$R$289,$V970)*$AB970))</f>
        <v/>
      </c>
      <c r="AH970" s="2" t="str">
        <f>IF($W970=AH$3,$AB970,IF(NOT($W970=0),"",SUMIFS('Val-Vol (2)'!AH$4:AH$1116,'Val-Vol (2)'!$A$4:$A$1116,$D970,'Val-Vol (2)'!$V$4:$V$1116,$V970)/SUMIFS('Comp2016-2017 (3)'!$G$5:$G$289,'Comp2016-2017 (3)'!$A$5:$A$289,$D970,'Comp2016-2017 (3)'!$R$5:$R$289,$V970)*$AB970))</f>
        <v/>
      </c>
      <c r="AI970" s="2" t="str">
        <f>IF($W970=AI$3,$AB970,IF(NOT($W970=0),"",SUMIFS('Val-Vol (2)'!AI$4:AI$1116,'Val-Vol (2)'!$A$4:$A$1116,$D970,'Val-Vol (2)'!$V$4:$V$1116,$V970)/SUMIFS('Comp2016-2017 (3)'!$G$5:$G$289,'Comp2016-2017 (3)'!$A$5:$A$289,$D970,'Comp2016-2017 (3)'!$R$5:$R$289,$V970)*$AB970))</f>
        <v/>
      </c>
      <c r="AJ970" s="2" t="str">
        <f>IF($W970=AJ$3,$AB970,IF(NOT($W970=0),"",SUMIFS('Val-Vol (2)'!AJ$4:AJ$1116,'Val-Vol (2)'!$A$4:$A$1116,$D970,'Val-Vol (2)'!$V$4:$V$1116,$V970)/SUMIFS('Comp2016-2017 (3)'!$G$5:$G$289,'Comp2016-2017 (3)'!$A$5:$A$289,$D970,'Comp2016-2017 (3)'!$R$5:$R$289,$V970)*$AB970))</f>
        <v/>
      </c>
      <c r="AK970" s="2">
        <f t="shared" si="115"/>
        <v>0</v>
      </c>
      <c r="AL970" t="str">
        <f t="shared" si="113"/>
        <v/>
      </c>
      <c r="AM970" t="str">
        <f>VLOOKUP(A970,'Table corresp.'!$M$4:$U$63,8,FALSE)</f>
        <v>Production intermédiaire</v>
      </c>
      <c r="AN970" t="str">
        <f>VLOOKUP(D970,'Table corresp.'!$M$4:$U$63,9,FALSE)</f>
        <v>Production finale</v>
      </c>
    </row>
    <row r="971" spans="1:40" x14ac:dyDescent="0.25">
      <c r="A971" t="s">
        <v>87</v>
      </c>
      <c r="B971" t="str">
        <f>VLOOKUP(LEFT(A971,3),'Table corresp.'!$A$4:$D$63,3,FALSE)</f>
        <v>Transformation</v>
      </c>
      <c r="C971" t="str">
        <f>VLOOKUP(A971,'Table corresp.'!$M$4:$P$63,4,FALSE)</f>
        <v>Production et transformation de produits bois</v>
      </c>
      <c r="D971" t="s">
        <v>99</v>
      </c>
      <c r="E971" t="str">
        <f>VLOOKUP(LEFT(D971,3),'Table corresp.'!$A$4:$D$63,4,FALSE)</f>
        <v>Transformation</v>
      </c>
      <c r="F971" t="str">
        <f t="shared" si="109"/>
        <v xml:space="preserve">31  - 47 </v>
      </c>
      <c r="G971" s="164">
        <v>225304.41600283206</v>
      </c>
      <c r="H971" s="164">
        <v>299726.69252418174</v>
      </c>
      <c r="I971" s="164">
        <v>525031.1085257919</v>
      </c>
      <c r="J971" s="164">
        <v>53.819108348279713</v>
      </c>
      <c r="K971" s="164">
        <v>48.221373638278358</v>
      </c>
      <c r="L971" s="164">
        <v>102.04048198655806</v>
      </c>
      <c r="M971" s="164">
        <v>581.68552382756161</v>
      </c>
      <c r="N971" s="164">
        <v>536.70313282856227</v>
      </c>
      <c r="O971" s="164">
        <v>1118.3886566561239</v>
      </c>
      <c r="P971" s="164">
        <v>132.82936408441284</v>
      </c>
      <c r="Q971" s="164">
        <v>180.7561221364073</v>
      </c>
      <c r="R971" s="164">
        <v>313.58548622082014</v>
      </c>
      <c r="S971" s="163" t="str">
        <f t="shared" si="110"/>
        <v>BI</v>
      </c>
      <c r="T971" s="163">
        <f>VLOOKUP(A971,'Groupe de branches'!$Z$27:$AM$86,14,FALSE)</f>
        <v>0</v>
      </c>
      <c r="U971" s="163">
        <f>VLOOKUP(D971,'Groupe de branches'!$Z$27:$AM$86,14,FALSE)</f>
        <v>0</v>
      </c>
      <c r="V971" s="163">
        <v>2018</v>
      </c>
      <c r="W971" t="str">
        <f>VLOOKUP(D971,'Table corresp.'!$M$4:$S$63,7,FALSE)</f>
        <v>Meuble</v>
      </c>
      <c r="X971" s="167">
        <f>IFERROR(G971/SUMIFS('Comp2016-2017 (3)'!$I$5:$I$289,'Comp2016-2017 (3)'!$A$5:$A$289,A971,'Comp2016-2017 (3)'!$R$5:$R$289,V971),0)</f>
        <v>0.14227733705866985</v>
      </c>
      <c r="Y971" s="178">
        <f>IFERROR(IF(RIGHT(F971,3)="Exp",VLOOKUP(F971,#REF!,2,FALSE),VLOOKUP(F971,#REF!,9,FALSE)),1)</f>
        <v>1</v>
      </c>
      <c r="Z971" s="167">
        <f t="shared" ref="Z971:Z980" si="116">Y971/SUMIFS($Y$4:$Y$1116,$V$4:$V$1116,V971,$A$4:$A$1116,A971)</f>
        <v>5.8823529411764705E-2</v>
      </c>
      <c r="AA971" s="189">
        <f t="shared" si="114"/>
        <v>8.369255121098226E-3</v>
      </c>
      <c r="AB971" s="2">
        <f>IFERROR(SUMIFS('Comp2016-2017 (3)'!$G$5:$G$289,'Comp2016-2017 (3)'!$A$5:$A$289,A971,'Comp2016-2017 (3)'!$R$5:$R$289,V971)*AA971/SUMIFS($AA$4:$AA$1116,$A$4:$A$1116,A971,$V$4:$V$1116,V971),0)</f>
        <v>59054.464544885021</v>
      </c>
      <c r="AC971" s="2" t="str">
        <f>IF($W971=AC$3,$AB971,IF(NOT($W971=0),"",SUMIFS('Val-Vol (2)'!AC$4:AC$1116,'Val-Vol (2)'!$A$4:$A$1116,$D971,'Val-Vol (2)'!$V$4:$V$1116,$V971)/SUMIFS('Comp2016-2017 (3)'!$G$5:$G$289,'Comp2016-2017 (3)'!$A$5:$A$289,$D971,'Comp2016-2017 (3)'!$R$5:$R$289,$V971)*$AB971))</f>
        <v/>
      </c>
      <c r="AD971" s="2" t="str">
        <f>IF($W971=AD$3,$AB971,IF(NOT($W971=0),"",SUMIFS('Val-Vol (2)'!AD$4:AD$1116,'Val-Vol (2)'!$A$4:$A$1116,$D971,'Val-Vol (2)'!$V$4:$V$1116,$V971)/SUMIFS('Comp2016-2017 (3)'!$G$5:$G$289,'Comp2016-2017 (3)'!$A$5:$A$289,$D971,'Comp2016-2017 (3)'!$R$5:$R$289,$V971)*$AB971))</f>
        <v/>
      </c>
      <c r="AE971" s="2">
        <f>IF($W971=AE$3,$AB971,IF(NOT($W971=0),"",SUMIFS('Val-Vol (2)'!AE$4:AE$1116,'Val-Vol (2)'!$A$4:$A$1116,$D971,'Val-Vol (2)'!$V$4:$V$1116,$V971)/SUMIFS('Comp2016-2017 (3)'!$G$5:$G$289,'Comp2016-2017 (3)'!$A$5:$A$289,$D971,'Comp2016-2017 (3)'!$R$5:$R$289,$V971)*$AB971))</f>
        <v>59054.464544885021</v>
      </c>
      <c r="AF971" s="2" t="str">
        <f>IF($W971=AF$3,$AB971,IF(NOT($W971=0),"",SUMIFS('Val-Vol (2)'!AF$4:AF$1116,'Val-Vol (2)'!$A$4:$A$1116,$D971,'Val-Vol (2)'!$V$4:$V$1116,$V971)/SUMIFS('Comp2016-2017 (3)'!$G$5:$G$289,'Comp2016-2017 (3)'!$A$5:$A$289,$D971,'Comp2016-2017 (3)'!$R$5:$R$289,$V971)*$AB971))</f>
        <v/>
      </c>
      <c r="AG971" s="2" t="str">
        <f>IF($W971=AG$3,$AB971,IF(NOT($W971=0),"",SUMIFS('Val-Vol (2)'!AG$4:AG$1116,'Val-Vol (2)'!$A$4:$A$1116,$D971,'Val-Vol (2)'!$V$4:$V$1116,$V971)/SUMIFS('Comp2016-2017 (3)'!$G$5:$G$289,'Comp2016-2017 (3)'!$A$5:$A$289,$D971,'Comp2016-2017 (3)'!$R$5:$R$289,$V971)*$AB971))</f>
        <v/>
      </c>
      <c r="AH971" s="2" t="str">
        <f>IF($W971=AH$3,$AB971,IF(NOT($W971=0),"",SUMIFS('Val-Vol (2)'!AH$4:AH$1116,'Val-Vol (2)'!$A$4:$A$1116,$D971,'Val-Vol (2)'!$V$4:$V$1116,$V971)/SUMIFS('Comp2016-2017 (3)'!$G$5:$G$289,'Comp2016-2017 (3)'!$A$5:$A$289,$D971,'Comp2016-2017 (3)'!$R$5:$R$289,$V971)*$AB971))</f>
        <v/>
      </c>
      <c r="AI971" s="2" t="str">
        <f>IF($W971=AI$3,$AB971,IF(NOT($W971=0),"",SUMIFS('Val-Vol (2)'!AI$4:AI$1116,'Val-Vol (2)'!$A$4:$A$1116,$D971,'Val-Vol (2)'!$V$4:$V$1116,$V971)/SUMIFS('Comp2016-2017 (3)'!$G$5:$G$289,'Comp2016-2017 (3)'!$A$5:$A$289,$D971,'Comp2016-2017 (3)'!$R$5:$R$289,$V971)*$AB971))</f>
        <v/>
      </c>
      <c r="AJ971" s="2" t="str">
        <f>IF($W971=AJ$3,$AB971,IF(NOT($W971=0),"",SUMIFS('Val-Vol (2)'!AJ$4:AJ$1116,'Val-Vol (2)'!$A$4:$A$1116,$D971,'Val-Vol (2)'!$V$4:$V$1116,$V971)/SUMIFS('Comp2016-2017 (3)'!$G$5:$G$289,'Comp2016-2017 (3)'!$A$5:$A$289,$D971,'Comp2016-2017 (3)'!$R$5:$R$289,$V971)*$AB971))</f>
        <v/>
      </c>
      <c r="AK971" s="2">
        <f t="shared" si="115"/>
        <v>0</v>
      </c>
      <c r="AL971" t="str">
        <f t="shared" si="113"/>
        <v/>
      </c>
      <c r="AM971" t="str">
        <f>VLOOKUP(A971,'Table corresp.'!$M$4:$U$63,8,FALSE)</f>
        <v>Production intermédiaire</v>
      </c>
      <c r="AN971" t="str">
        <f>VLOOKUP(D971,'Table corresp.'!$M$4:$U$63,9,FALSE)</f>
        <v>Production finale</v>
      </c>
    </row>
    <row r="972" spans="1:40" x14ac:dyDescent="0.25">
      <c r="A972" t="s">
        <v>87</v>
      </c>
      <c r="B972" t="str">
        <f>VLOOKUP(LEFT(A972,3),'Table corresp.'!$A$4:$D$63,3,FALSE)</f>
        <v>Transformation</v>
      </c>
      <c r="C972" t="str">
        <f>VLOOKUP(A972,'Table corresp.'!$M$4:$P$63,4,FALSE)</f>
        <v>Production et transformation de produits bois</v>
      </c>
      <c r="D972" t="s">
        <v>19</v>
      </c>
      <c r="E972" t="str">
        <f>VLOOKUP(LEFT(D972,3),'Table corresp.'!$A$4:$D$63,4,FALSE)</f>
        <v>Transformation</v>
      </c>
      <c r="F972" t="str">
        <f t="shared" si="109"/>
        <v xml:space="preserve">31  - 52 </v>
      </c>
      <c r="G972" s="164">
        <v>2487.7003781202025</v>
      </c>
      <c r="H972" s="164">
        <v>2343.5808559453199</v>
      </c>
      <c r="I972" s="164">
        <v>4831.2812340604314</v>
      </c>
      <c r="J972" s="164">
        <v>0.34542690581416352</v>
      </c>
      <c r="K972" s="164">
        <v>0.21917216314891116</v>
      </c>
      <c r="L972" s="164">
        <v>0.56459906896307466</v>
      </c>
      <c r="M972" s="164">
        <v>3.7018569132478092</v>
      </c>
      <c r="N972" s="164">
        <v>2.418753745714767</v>
      </c>
      <c r="O972" s="164">
        <v>6.1206106589625762</v>
      </c>
      <c r="P972" s="164">
        <v>1.4666364074022686</v>
      </c>
      <c r="Q972" s="164">
        <v>1.4133428820311729</v>
      </c>
      <c r="R972" s="164">
        <v>2.8799792894334413</v>
      </c>
      <c r="S972" s="163" t="str">
        <f t="shared" si="110"/>
        <v>BI</v>
      </c>
      <c r="T972" s="163">
        <f>VLOOKUP(A972,'Groupe de branches'!$Z$27:$AM$86,14,FALSE)</f>
        <v>0</v>
      </c>
      <c r="U972" s="163">
        <f>VLOOKUP(D972,'Groupe de branches'!$Z$27:$AM$86,14,FALSE)</f>
        <v>0</v>
      </c>
      <c r="V972" s="163">
        <v>2018</v>
      </c>
      <c r="W972" t="str">
        <f>VLOOKUP(D972,'Table corresp.'!$M$4:$S$63,7,FALSE)</f>
        <v>Construction</v>
      </c>
      <c r="X972" s="167">
        <f>IFERROR(G972/SUMIFS('Comp2016-2017 (3)'!$I$5:$I$289,'Comp2016-2017 (3)'!$A$5:$A$289,A972,'Comp2016-2017 (3)'!$R$5:$R$289,V972),0)</f>
        <v>1.5709562709784589E-3</v>
      </c>
      <c r="Y972" s="178">
        <f>IFERROR(IF(RIGHT(F972,3)="Exp",VLOOKUP(F972,#REF!,2,FALSE),VLOOKUP(F972,#REF!,9,FALSE)),1)</f>
        <v>1</v>
      </c>
      <c r="Z972" s="167">
        <f t="shared" si="116"/>
        <v>5.8823529411764705E-2</v>
      </c>
      <c r="AA972" s="189">
        <f t="shared" si="114"/>
        <v>9.2409192410497585E-5</v>
      </c>
      <c r="AB972" s="2">
        <f>IFERROR(SUMIFS('Comp2016-2017 (3)'!$G$5:$G$289,'Comp2016-2017 (3)'!$A$5:$A$289,A972,'Comp2016-2017 (3)'!$R$5:$R$289,V972)*AA972/SUMIFS($AA$4:$AA$1116,$A$4:$A$1116,A972,$V$4:$V$1116,V972),0)</f>
        <v>652.05030768748861</v>
      </c>
      <c r="AC972" s="2" t="str">
        <f>IF($W972=AC$3,$AB972,IF(NOT($W972=0),"",SUMIFS('Val-Vol (2)'!AC$4:AC$1116,'Val-Vol (2)'!$A$4:$A$1116,$D972,'Val-Vol (2)'!$V$4:$V$1116,$V972)/SUMIFS('Comp2016-2017 (3)'!$G$5:$G$289,'Comp2016-2017 (3)'!$A$5:$A$289,$D972,'Comp2016-2017 (3)'!$R$5:$R$289,$V972)*$AB972))</f>
        <v/>
      </c>
      <c r="AD972" s="2">
        <f>IF($W972=AD$3,$AB972,IF(NOT($W972=0),"",SUMIFS('Val-Vol (2)'!AD$4:AD$1116,'Val-Vol (2)'!$A$4:$A$1116,$D972,'Val-Vol (2)'!$V$4:$V$1116,$V972)/SUMIFS('Comp2016-2017 (3)'!$G$5:$G$289,'Comp2016-2017 (3)'!$A$5:$A$289,$D972,'Comp2016-2017 (3)'!$R$5:$R$289,$V972)*$AB972))</f>
        <v>652.05030768748861</v>
      </c>
      <c r="AE972" s="2" t="str">
        <f>IF($W972=AE$3,$AB972,IF(NOT($W972=0),"",SUMIFS('Val-Vol (2)'!AE$4:AE$1116,'Val-Vol (2)'!$A$4:$A$1116,$D972,'Val-Vol (2)'!$V$4:$V$1116,$V972)/SUMIFS('Comp2016-2017 (3)'!$G$5:$G$289,'Comp2016-2017 (3)'!$A$5:$A$289,$D972,'Comp2016-2017 (3)'!$R$5:$R$289,$V972)*$AB972))</f>
        <v/>
      </c>
      <c r="AF972" s="2" t="str">
        <f>IF($W972=AF$3,$AB972,IF(NOT($W972=0),"",SUMIFS('Val-Vol (2)'!AF$4:AF$1116,'Val-Vol (2)'!$A$4:$A$1116,$D972,'Val-Vol (2)'!$V$4:$V$1116,$V972)/SUMIFS('Comp2016-2017 (3)'!$G$5:$G$289,'Comp2016-2017 (3)'!$A$5:$A$289,$D972,'Comp2016-2017 (3)'!$R$5:$R$289,$V972)*$AB972))</f>
        <v/>
      </c>
      <c r="AG972" s="2" t="str">
        <f>IF($W972=AG$3,$AB972,IF(NOT($W972=0),"",SUMIFS('Val-Vol (2)'!AG$4:AG$1116,'Val-Vol (2)'!$A$4:$A$1116,$D972,'Val-Vol (2)'!$V$4:$V$1116,$V972)/SUMIFS('Comp2016-2017 (3)'!$G$5:$G$289,'Comp2016-2017 (3)'!$A$5:$A$289,$D972,'Comp2016-2017 (3)'!$R$5:$R$289,$V972)*$AB972))</f>
        <v/>
      </c>
      <c r="AH972" s="2" t="str">
        <f>IF($W972=AH$3,$AB972,IF(NOT($W972=0),"",SUMIFS('Val-Vol (2)'!AH$4:AH$1116,'Val-Vol (2)'!$A$4:$A$1116,$D972,'Val-Vol (2)'!$V$4:$V$1116,$V972)/SUMIFS('Comp2016-2017 (3)'!$G$5:$G$289,'Comp2016-2017 (3)'!$A$5:$A$289,$D972,'Comp2016-2017 (3)'!$R$5:$R$289,$V972)*$AB972))</f>
        <v/>
      </c>
      <c r="AI972" s="2" t="str">
        <f>IF($W972=AI$3,$AB972,IF(NOT($W972=0),"",SUMIFS('Val-Vol (2)'!AI$4:AI$1116,'Val-Vol (2)'!$A$4:$A$1116,$D972,'Val-Vol (2)'!$V$4:$V$1116,$V972)/SUMIFS('Comp2016-2017 (3)'!$G$5:$G$289,'Comp2016-2017 (3)'!$A$5:$A$289,$D972,'Comp2016-2017 (3)'!$R$5:$R$289,$V972)*$AB972))</f>
        <v/>
      </c>
      <c r="AJ972" s="2" t="str">
        <f>IF($W972=AJ$3,$AB972,IF(NOT($W972=0),"",SUMIFS('Val-Vol (2)'!AJ$4:AJ$1116,'Val-Vol (2)'!$A$4:$A$1116,$D972,'Val-Vol (2)'!$V$4:$V$1116,$V972)/SUMIFS('Comp2016-2017 (3)'!$G$5:$G$289,'Comp2016-2017 (3)'!$A$5:$A$289,$D972,'Comp2016-2017 (3)'!$R$5:$R$289,$V972)*$AB972))</f>
        <v/>
      </c>
      <c r="AK972" s="2">
        <f t="shared" si="115"/>
        <v>0</v>
      </c>
      <c r="AL972" t="str">
        <f t="shared" si="113"/>
        <v/>
      </c>
      <c r="AM972" t="str">
        <f>VLOOKUP(A972,'Table corresp.'!$M$4:$U$63,8,FALSE)</f>
        <v>Production intermédiaire</v>
      </c>
      <c r="AN972" t="str">
        <f>VLOOKUP(D972,'Table corresp.'!$M$4:$U$63,9,FALSE)</f>
        <v xml:space="preserve">Mise en œuvre </v>
      </c>
    </row>
    <row r="973" spans="1:40" x14ac:dyDescent="0.25">
      <c r="A973" t="s">
        <v>87</v>
      </c>
      <c r="B973" t="str">
        <f>VLOOKUP(LEFT(A973,3),'Table corresp.'!$A$4:$D$63,3,FALSE)</f>
        <v>Transformation</v>
      </c>
      <c r="C973" t="str">
        <f>VLOOKUP(A973,'Table corresp.'!$M$4:$P$63,4,FALSE)</f>
        <v>Production et transformation de produits bois</v>
      </c>
      <c r="D973" t="s">
        <v>20</v>
      </c>
      <c r="E973" t="str">
        <f>VLOOKUP(LEFT(D973,3),'Table corresp.'!$A$4:$D$63,4,FALSE)</f>
        <v>Transformation</v>
      </c>
      <c r="F973" t="str">
        <f t="shared" si="109"/>
        <v xml:space="preserve">31  - 53 </v>
      </c>
      <c r="G973" s="164">
        <v>4768.6418857182935</v>
      </c>
      <c r="H973" s="164">
        <v>9975.8826334101414</v>
      </c>
      <c r="I973" s="164">
        <v>14744.524519070983</v>
      </c>
      <c r="J973" s="164">
        <v>2.9522367828172786</v>
      </c>
      <c r="K973" s="164">
        <v>4.1596344931944467</v>
      </c>
      <c r="L973" s="164">
        <v>7.1118712760117253</v>
      </c>
      <c r="M973" s="164">
        <v>31.63841021086002</v>
      </c>
      <c r="N973" s="164">
        <v>45.905152217631873</v>
      </c>
      <c r="O973" s="164">
        <v>77.543562428491896</v>
      </c>
      <c r="P973" s="164">
        <v>2.8113770713588417</v>
      </c>
      <c r="Q973" s="164">
        <v>6.0161537316455957</v>
      </c>
      <c r="R973" s="164">
        <v>8.8275308030044375</v>
      </c>
      <c r="S973" s="163" t="str">
        <f t="shared" si="110"/>
        <v>BI</v>
      </c>
      <c r="T973" s="163">
        <f>VLOOKUP(A973,'Groupe de branches'!$Z$27:$AM$86,14,FALSE)</f>
        <v>0</v>
      </c>
      <c r="U973" s="163">
        <f>VLOOKUP(D973,'Groupe de branches'!$Z$27:$AM$86,14,FALSE)</f>
        <v>0</v>
      </c>
      <c r="V973" s="163">
        <v>2018</v>
      </c>
      <c r="W973" t="str">
        <f>VLOOKUP(D973,'Table corresp.'!$M$4:$S$63,7,FALSE)</f>
        <v>Construction</v>
      </c>
      <c r="X973" s="167">
        <f>IFERROR(G973/SUMIFS('Comp2016-2017 (3)'!$I$5:$I$289,'Comp2016-2017 (3)'!$A$5:$A$289,A973,'Comp2016-2017 (3)'!$R$5:$R$289,V973),0)</f>
        <v>3.0113465191818714E-3</v>
      </c>
      <c r="Y973" s="178">
        <f>IFERROR(IF(RIGHT(F973,3)="Exp",VLOOKUP(F973,#REF!,2,FALSE),VLOOKUP(F973,#REF!,9,FALSE)),1)</f>
        <v>1</v>
      </c>
      <c r="Z973" s="167">
        <f t="shared" si="116"/>
        <v>5.8823529411764705E-2</v>
      </c>
      <c r="AA973" s="189">
        <f t="shared" si="114"/>
        <v>1.7713803054011007E-4</v>
      </c>
      <c r="AB973" s="2">
        <f>IFERROR(SUMIFS('Comp2016-2017 (3)'!$G$5:$G$289,'Comp2016-2017 (3)'!$A$5:$A$289,A973,'Comp2016-2017 (3)'!$R$5:$R$289,V973)*AA973/SUMIFS($AA$4:$AA$1116,$A$4:$A$1116,A973,$V$4:$V$1116,V973),0)</f>
        <v>1249.9071175056986</v>
      </c>
      <c r="AC973" s="2" t="str">
        <f>IF($W973=AC$3,$AB973,IF(NOT($W973=0),"",SUMIFS('Val-Vol (2)'!AC$4:AC$1116,'Val-Vol (2)'!$A$4:$A$1116,$D973,'Val-Vol (2)'!$V$4:$V$1116,$V973)/SUMIFS('Comp2016-2017 (3)'!$G$5:$G$289,'Comp2016-2017 (3)'!$A$5:$A$289,$D973,'Comp2016-2017 (3)'!$R$5:$R$289,$V973)*$AB973))</f>
        <v/>
      </c>
      <c r="AD973" s="2">
        <f>IF($W973=AD$3,$AB973,IF(NOT($W973=0),"",SUMIFS('Val-Vol (2)'!AD$4:AD$1116,'Val-Vol (2)'!$A$4:$A$1116,$D973,'Val-Vol (2)'!$V$4:$V$1116,$V973)/SUMIFS('Comp2016-2017 (3)'!$G$5:$G$289,'Comp2016-2017 (3)'!$A$5:$A$289,$D973,'Comp2016-2017 (3)'!$R$5:$R$289,$V973)*$AB973))</f>
        <v>1249.9071175056986</v>
      </c>
      <c r="AE973" s="2" t="str">
        <f>IF($W973=AE$3,$AB973,IF(NOT($W973=0),"",SUMIFS('Val-Vol (2)'!AE$4:AE$1116,'Val-Vol (2)'!$A$4:$A$1116,$D973,'Val-Vol (2)'!$V$4:$V$1116,$V973)/SUMIFS('Comp2016-2017 (3)'!$G$5:$G$289,'Comp2016-2017 (3)'!$A$5:$A$289,$D973,'Comp2016-2017 (3)'!$R$5:$R$289,$V973)*$AB973))</f>
        <v/>
      </c>
      <c r="AF973" s="2" t="str">
        <f>IF($W973=AF$3,$AB973,IF(NOT($W973=0),"",SUMIFS('Val-Vol (2)'!AF$4:AF$1116,'Val-Vol (2)'!$A$4:$A$1116,$D973,'Val-Vol (2)'!$V$4:$V$1116,$V973)/SUMIFS('Comp2016-2017 (3)'!$G$5:$G$289,'Comp2016-2017 (3)'!$A$5:$A$289,$D973,'Comp2016-2017 (3)'!$R$5:$R$289,$V973)*$AB973))</f>
        <v/>
      </c>
      <c r="AG973" s="2" t="str">
        <f>IF($W973=AG$3,$AB973,IF(NOT($W973=0),"",SUMIFS('Val-Vol (2)'!AG$4:AG$1116,'Val-Vol (2)'!$A$4:$A$1116,$D973,'Val-Vol (2)'!$V$4:$V$1116,$V973)/SUMIFS('Comp2016-2017 (3)'!$G$5:$G$289,'Comp2016-2017 (3)'!$A$5:$A$289,$D973,'Comp2016-2017 (3)'!$R$5:$R$289,$V973)*$AB973))</f>
        <v/>
      </c>
      <c r="AH973" s="2" t="str">
        <f>IF($W973=AH$3,$AB973,IF(NOT($W973=0),"",SUMIFS('Val-Vol (2)'!AH$4:AH$1116,'Val-Vol (2)'!$A$4:$A$1116,$D973,'Val-Vol (2)'!$V$4:$V$1116,$V973)/SUMIFS('Comp2016-2017 (3)'!$G$5:$G$289,'Comp2016-2017 (3)'!$A$5:$A$289,$D973,'Comp2016-2017 (3)'!$R$5:$R$289,$V973)*$AB973))</f>
        <v/>
      </c>
      <c r="AI973" s="2" t="str">
        <f>IF($W973=AI$3,$AB973,IF(NOT($W973=0),"",SUMIFS('Val-Vol (2)'!AI$4:AI$1116,'Val-Vol (2)'!$A$4:$A$1116,$D973,'Val-Vol (2)'!$V$4:$V$1116,$V973)/SUMIFS('Comp2016-2017 (3)'!$G$5:$G$289,'Comp2016-2017 (3)'!$A$5:$A$289,$D973,'Comp2016-2017 (3)'!$R$5:$R$289,$V973)*$AB973))</f>
        <v/>
      </c>
      <c r="AJ973" s="2" t="str">
        <f>IF($W973=AJ$3,$AB973,IF(NOT($W973=0),"",SUMIFS('Val-Vol (2)'!AJ$4:AJ$1116,'Val-Vol (2)'!$A$4:$A$1116,$D973,'Val-Vol (2)'!$V$4:$V$1116,$V973)/SUMIFS('Comp2016-2017 (3)'!$G$5:$G$289,'Comp2016-2017 (3)'!$A$5:$A$289,$D973,'Comp2016-2017 (3)'!$R$5:$R$289,$V973)*$AB973))</f>
        <v/>
      </c>
      <c r="AK973" s="2">
        <f t="shared" si="115"/>
        <v>0</v>
      </c>
      <c r="AL973" t="str">
        <f t="shared" si="113"/>
        <v/>
      </c>
      <c r="AM973" t="str">
        <f>VLOOKUP(A973,'Table corresp.'!$M$4:$U$63,8,FALSE)</f>
        <v>Production intermédiaire</v>
      </c>
      <c r="AN973" t="str">
        <f>VLOOKUP(D973,'Table corresp.'!$M$4:$U$63,9,FALSE)</f>
        <v xml:space="preserve">Mise en œuvre </v>
      </c>
    </row>
    <row r="974" spans="1:40" x14ac:dyDescent="0.25">
      <c r="A974" t="s">
        <v>87</v>
      </c>
      <c r="B974" t="str">
        <f>VLOOKUP(LEFT(A974,3),'Table corresp.'!$A$4:$D$63,3,FALSE)</f>
        <v>Transformation</v>
      </c>
      <c r="C974" t="str">
        <f>VLOOKUP(A974,'Table corresp.'!$M$4:$P$63,4,FALSE)</f>
        <v>Production et transformation de produits bois</v>
      </c>
      <c r="D974" t="s">
        <v>21</v>
      </c>
      <c r="E974" t="str">
        <f>VLOOKUP(LEFT(D974,3),'Table corresp.'!$A$4:$D$63,4,FALSE)</f>
        <v>Transformation</v>
      </c>
      <c r="F974" t="str">
        <f t="shared" si="109"/>
        <v xml:space="preserve">31  - 54 </v>
      </c>
      <c r="G974" s="164">
        <v>156344.02529806143</v>
      </c>
      <c r="H974" s="164">
        <v>351600.90319371741</v>
      </c>
      <c r="I974" s="164">
        <v>507944.9284896818</v>
      </c>
      <c r="J974" s="164">
        <v>37.937951230455994</v>
      </c>
      <c r="K974" s="164">
        <v>57.463216068406823</v>
      </c>
      <c r="L974" s="164">
        <v>95.401167298862816</v>
      </c>
      <c r="M974" s="164">
        <v>354.03243614889408</v>
      </c>
      <c r="N974" s="164">
        <v>552.20699481173983</v>
      </c>
      <c r="O974" s="164">
        <v>906.23943096063385</v>
      </c>
      <c r="P974" s="164">
        <v>92.173415093993583</v>
      </c>
      <c r="Q974" s="164">
        <v>212.03989296291056</v>
      </c>
      <c r="R974" s="164">
        <v>304.21330805690411</v>
      </c>
      <c r="S974" s="163" t="str">
        <f t="shared" si="110"/>
        <v>BI</v>
      </c>
      <c r="T974" s="163">
        <f>VLOOKUP(A974,'Groupe de branches'!$Z$27:$AM$86,14,FALSE)</f>
        <v>0</v>
      </c>
      <c r="U974" s="163">
        <f>VLOOKUP(D974,'Groupe de branches'!$Z$27:$AM$86,14,FALSE)</f>
        <v>0</v>
      </c>
      <c r="V974" s="163">
        <v>2018</v>
      </c>
      <c r="W974" t="str">
        <f>VLOOKUP(D974,'Table corresp.'!$M$4:$S$63,7,FALSE)</f>
        <v>Construction</v>
      </c>
      <c r="X974" s="167">
        <f>IFERROR(G974/SUMIFS('Comp2016-2017 (3)'!$I$5:$I$289,'Comp2016-2017 (3)'!$A$5:$A$289,A974,'Comp2016-2017 (3)'!$R$5:$R$289,V974),0)</f>
        <v>9.8729585416390084E-2</v>
      </c>
      <c r="Y974" s="178">
        <f>IFERROR(IF(RIGHT(F974,3)="Exp",VLOOKUP(F974,#REF!,2,FALSE),VLOOKUP(F974,#REF!,9,FALSE)),1)</f>
        <v>1</v>
      </c>
      <c r="Z974" s="167">
        <f t="shared" si="116"/>
        <v>5.8823529411764705E-2</v>
      </c>
      <c r="AA974" s="189">
        <f t="shared" si="114"/>
        <v>5.8076226715523581E-3</v>
      </c>
      <c r="AB974" s="2">
        <f>IFERROR(SUMIFS('Comp2016-2017 (3)'!$G$5:$G$289,'Comp2016-2017 (3)'!$A$5:$A$289,A974,'Comp2016-2017 (3)'!$R$5:$R$289,V974)*AA974/SUMIFS($AA$4:$AA$1116,$A$4:$A$1116,A974,$V$4:$V$1116,V974),0)</f>
        <v>40979.27977875463</v>
      </c>
      <c r="AC974" s="2" t="str">
        <f>IF($W974=AC$3,$AB974,IF(NOT($W974=0),"",SUMIFS('Val-Vol (2)'!AC$4:AC$1116,'Val-Vol (2)'!$A$4:$A$1116,$D974,'Val-Vol (2)'!$V$4:$V$1116,$V974)/SUMIFS('Comp2016-2017 (3)'!$G$5:$G$289,'Comp2016-2017 (3)'!$A$5:$A$289,$D974,'Comp2016-2017 (3)'!$R$5:$R$289,$V974)*$AB974))</f>
        <v/>
      </c>
      <c r="AD974" s="2">
        <f>IF($W974=AD$3,$AB974,IF(NOT($W974=0),"",SUMIFS('Val-Vol (2)'!AD$4:AD$1116,'Val-Vol (2)'!$A$4:$A$1116,$D974,'Val-Vol (2)'!$V$4:$V$1116,$V974)/SUMIFS('Comp2016-2017 (3)'!$G$5:$G$289,'Comp2016-2017 (3)'!$A$5:$A$289,$D974,'Comp2016-2017 (3)'!$R$5:$R$289,$V974)*$AB974))</f>
        <v>40979.27977875463</v>
      </c>
      <c r="AE974" s="2" t="str">
        <f>IF($W974=AE$3,$AB974,IF(NOT($W974=0),"",SUMIFS('Val-Vol (2)'!AE$4:AE$1116,'Val-Vol (2)'!$A$4:$A$1116,$D974,'Val-Vol (2)'!$V$4:$V$1116,$V974)/SUMIFS('Comp2016-2017 (3)'!$G$5:$G$289,'Comp2016-2017 (3)'!$A$5:$A$289,$D974,'Comp2016-2017 (3)'!$R$5:$R$289,$V974)*$AB974))</f>
        <v/>
      </c>
      <c r="AF974" s="2" t="str">
        <f>IF($W974=AF$3,$AB974,IF(NOT($W974=0),"",SUMIFS('Val-Vol (2)'!AF$4:AF$1116,'Val-Vol (2)'!$A$4:$A$1116,$D974,'Val-Vol (2)'!$V$4:$V$1116,$V974)/SUMIFS('Comp2016-2017 (3)'!$G$5:$G$289,'Comp2016-2017 (3)'!$A$5:$A$289,$D974,'Comp2016-2017 (3)'!$R$5:$R$289,$V974)*$AB974))</f>
        <v/>
      </c>
      <c r="AG974" s="2" t="str">
        <f>IF($W974=AG$3,$AB974,IF(NOT($W974=0),"",SUMIFS('Val-Vol (2)'!AG$4:AG$1116,'Val-Vol (2)'!$A$4:$A$1116,$D974,'Val-Vol (2)'!$V$4:$V$1116,$V974)/SUMIFS('Comp2016-2017 (3)'!$G$5:$G$289,'Comp2016-2017 (3)'!$A$5:$A$289,$D974,'Comp2016-2017 (3)'!$R$5:$R$289,$V974)*$AB974))</f>
        <v/>
      </c>
      <c r="AH974" s="2" t="str">
        <f>IF($W974=AH$3,$AB974,IF(NOT($W974=0),"",SUMIFS('Val-Vol (2)'!AH$4:AH$1116,'Val-Vol (2)'!$A$4:$A$1116,$D974,'Val-Vol (2)'!$V$4:$V$1116,$V974)/SUMIFS('Comp2016-2017 (3)'!$G$5:$G$289,'Comp2016-2017 (3)'!$A$5:$A$289,$D974,'Comp2016-2017 (3)'!$R$5:$R$289,$V974)*$AB974))</f>
        <v/>
      </c>
      <c r="AI974" s="2" t="str">
        <f>IF($W974=AI$3,$AB974,IF(NOT($W974=0),"",SUMIFS('Val-Vol (2)'!AI$4:AI$1116,'Val-Vol (2)'!$A$4:$A$1116,$D974,'Val-Vol (2)'!$V$4:$V$1116,$V974)/SUMIFS('Comp2016-2017 (3)'!$G$5:$G$289,'Comp2016-2017 (3)'!$A$5:$A$289,$D974,'Comp2016-2017 (3)'!$R$5:$R$289,$V974)*$AB974))</f>
        <v/>
      </c>
      <c r="AJ974" s="2" t="str">
        <f>IF($W974=AJ$3,$AB974,IF(NOT($W974=0),"",SUMIFS('Val-Vol (2)'!AJ$4:AJ$1116,'Val-Vol (2)'!$A$4:$A$1116,$D974,'Val-Vol (2)'!$V$4:$V$1116,$V974)/SUMIFS('Comp2016-2017 (3)'!$G$5:$G$289,'Comp2016-2017 (3)'!$A$5:$A$289,$D974,'Comp2016-2017 (3)'!$R$5:$R$289,$V974)*$AB974))</f>
        <v/>
      </c>
      <c r="AK974" s="2">
        <f t="shared" si="115"/>
        <v>0</v>
      </c>
      <c r="AL974" t="str">
        <f t="shared" si="113"/>
        <v/>
      </c>
      <c r="AM974" t="str">
        <f>VLOOKUP(A974,'Table corresp.'!$M$4:$U$63,8,FALSE)</f>
        <v>Production intermédiaire</v>
      </c>
      <c r="AN974" t="str">
        <f>VLOOKUP(D974,'Table corresp.'!$M$4:$U$63,9,FALSE)</f>
        <v xml:space="preserve">Mise en œuvre </v>
      </c>
    </row>
    <row r="975" spans="1:40" x14ac:dyDescent="0.25">
      <c r="A975" t="s">
        <v>87</v>
      </c>
      <c r="B975" t="str">
        <f>VLOOKUP(LEFT(A975,3),'Table corresp.'!$A$4:$D$63,3,FALSE)</f>
        <v>Transformation</v>
      </c>
      <c r="C975" t="str">
        <f>VLOOKUP(A975,'Table corresp.'!$M$4:$P$63,4,FALSE)</f>
        <v>Production et transformation de produits bois</v>
      </c>
      <c r="D975" t="s">
        <v>22</v>
      </c>
      <c r="E975" t="str">
        <f>VLOOKUP(LEFT(D975,3),'Table corresp.'!$A$4:$D$63,4,FALSE)</f>
        <v>Transformation</v>
      </c>
      <c r="F975" t="str">
        <f t="shared" si="109"/>
        <v xml:space="preserve">31  - 55 </v>
      </c>
      <c r="G975" s="164">
        <v>30281.575205375251</v>
      </c>
      <c r="H975" s="164">
        <v>39132.285207533358</v>
      </c>
      <c r="I975" s="164">
        <v>69413.860412754395</v>
      </c>
      <c r="J975" s="164">
        <v>5.8851954823636259</v>
      </c>
      <c r="K975" s="164">
        <v>5.122299904388</v>
      </c>
      <c r="L975" s="164">
        <v>11.007495386751625</v>
      </c>
      <c r="M975" s="164">
        <v>70.094758688950805</v>
      </c>
      <c r="N975" s="164">
        <v>62.824993100042064</v>
      </c>
      <c r="O975" s="164">
        <v>132.91975178899287</v>
      </c>
      <c r="P975" s="164">
        <v>17.852656638357931</v>
      </c>
      <c r="Q975" s="164">
        <v>23.599500147551748</v>
      </c>
      <c r="R975" s="164">
        <v>41.452156785909679</v>
      </c>
      <c r="S975" s="163" t="str">
        <f t="shared" si="110"/>
        <v>BI</v>
      </c>
      <c r="T975" s="163">
        <f>VLOOKUP(A975,'Groupe de branches'!$Z$27:$AM$86,14,FALSE)</f>
        <v>0</v>
      </c>
      <c r="U975" s="163">
        <f>VLOOKUP(D975,'Groupe de branches'!$Z$27:$AM$86,14,FALSE)</f>
        <v>0</v>
      </c>
      <c r="V975" s="163">
        <v>2018</v>
      </c>
      <c r="W975" t="str">
        <f>VLOOKUP(D975,'Table corresp.'!$M$4:$S$63,7,FALSE)</f>
        <v>Construction</v>
      </c>
      <c r="X975" s="167">
        <f>IFERROR(G975/SUMIFS('Comp2016-2017 (3)'!$I$5:$I$289,'Comp2016-2017 (3)'!$A$5:$A$289,A975,'Comp2016-2017 (3)'!$R$5:$R$289,V975),0)</f>
        <v>1.9122491953768354E-2</v>
      </c>
      <c r="Y975" s="178">
        <f>IFERROR(IF(RIGHT(F975,3)="Exp",VLOOKUP(F975,#REF!,2,FALSE),VLOOKUP(F975,#REF!,9,FALSE)),1)</f>
        <v>1</v>
      </c>
      <c r="Z975" s="167">
        <f t="shared" si="116"/>
        <v>5.8823529411764705E-2</v>
      </c>
      <c r="AA975" s="189">
        <f t="shared" si="114"/>
        <v>1.1248524678687268E-3</v>
      </c>
      <c r="AB975" s="2">
        <f>IFERROR(SUMIFS('Comp2016-2017 (3)'!$G$5:$G$289,'Comp2016-2017 (3)'!$A$5:$A$289,A975,'Comp2016-2017 (3)'!$R$5:$R$289,V975)*AA975/SUMIFS($AA$4:$AA$1116,$A$4:$A$1116,A975,$V$4:$V$1116,V975),0)</f>
        <v>7937.0934713797351</v>
      </c>
      <c r="AC975" s="2" t="str">
        <f>IF($W975=AC$3,$AB975,IF(NOT($W975=0),"",SUMIFS('Val-Vol (2)'!AC$4:AC$1116,'Val-Vol (2)'!$A$4:$A$1116,$D975,'Val-Vol (2)'!$V$4:$V$1116,$V975)/SUMIFS('Comp2016-2017 (3)'!$G$5:$G$289,'Comp2016-2017 (3)'!$A$5:$A$289,$D975,'Comp2016-2017 (3)'!$R$5:$R$289,$V975)*$AB975))</f>
        <v/>
      </c>
      <c r="AD975" s="2">
        <f>IF($W975=AD$3,$AB975,IF(NOT($W975=0),"",SUMIFS('Val-Vol (2)'!AD$4:AD$1116,'Val-Vol (2)'!$A$4:$A$1116,$D975,'Val-Vol (2)'!$V$4:$V$1116,$V975)/SUMIFS('Comp2016-2017 (3)'!$G$5:$G$289,'Comp2016-2017 (3)'!$A$5:$A$289,$D975,'Comp2016-2017 (3)'!$R$5:$R$289,$V975)*$AB975))</f>
        <v>7937.0934713797351</v>
      </c>
      <c r="AE975" s="2" t="str">
        <f>IF($W975=AE$3,$AB975,IF(NOT($W975=0),"",SUMIFS('Val-Vol (2)'!AE$4:AE$1116,'Val-Vol (2)'!$A$4:$A$1116,$D975,'Val-Vol (2)'!$V$4:$V$1116,$V975)/SUMIFS('Comp2016-2017 (3)'!$G$5:$G$289,'Comp2016-2017 (3)'!$A$5:$A$289,$D975,'Comp2016-2017 (3)'!$R$5:$R$289,$V975)*$AB975))</f>
        <v/>
      </c>
      <c r="AF975" s="2" t="str">
        <f>IF($W975=AF$3,$AB975,IF(NOT($W975=0),"",SUMIFS('Val-Vol (2)'!AF$4:AF$1116,'Val-Vol (2)'!$A$4:$A$1116,$D975,'Val-Vol (2)'!$V$4:$V$1116,$V975)/SUMIFS('Comp2016-2017 (3)'!$G$5:$G$289,'Comp2016-2017 (3)'!$A$5:$A$289,$D975,'Comp2016-2017 (3)'!$R$5:$R$289,$V975)*$AB975))</f>
        <v/>
      </c>
      <c r="AG975" s="2" t="str">
        <f>IF($W975=AG$3,$AB975,IF(NOT($W975=0),"",SUMIFS('Val-Vol (2)'!AG$4:AG$1116,'Val-Vol (2)'!$A$4:$A$1116,$D975,'Val-Vol (2)'!$V$4:$V$1116,$V975)/SUMIFS('Comp2016-2017 (3)'!$G$5:$G$289,'Comp2016-2017 (3)'!$A$5:$A$289,$D975,'Comp2016-2017 (3)'!$R$5:$R$289,$V975)*$AB975))</f>
        <v/>
      </c>
      <c r="AH975" s="2" t="str">
        <f>IF($W975=AH$3,$AB975,IF(NOT($W975=0),"",SUMIFS('Val-Vol (2)'!AH$4:AH$1116,'Val-Vol (2)'!$A$4:$A$1116,$D975,'Val-Vol (2)'!$V$4:$V$1116,$V975)/SUMIFS('Comp2016-2017 (3)'!$G$5:$G$289,'Comp2016-2017 (3)'!$A$5:$A$289,$D975,'Comp2016-2017 (3)'!$R$5:$R$289,$V975)*$AB975))</f>
        <v/>
      </c>
      <c r="AI975" s="2" t="str">
        <f>IF($W975=AI$3,$AB975,IF(NOT($W975=0),"",SUMIFS('Val-Vol (2)'!AI$4:AI$1116,'Val-Vol (2)'!$A$4:$A$1116,$D975,'Val-Vol (2)'!$V$4:$V$1116,$V975)/SUMIFS('Comp2016-2017 (3)'!$G$5:$G$289,'Comp2016-2017 (3)'!$A$5:$A$289,$D975,'Comp2016-2017 (3)'!$R$5:$R$289,$V975)*$AB975))</f>
        <v/>
      </c>
      <c r="AJ975" s="2" t="str">
        <f>IF($W975=AJ$3,$AB975,IF(NOT($W975=0),"",SUMIFS('Val-Vol (2)'!AJ$4:AJ$1116,'Val-Vol (2)'!$A$4:$A$1116,$D975,'Val-Vol (2)'!$V$4:$V$1116,$V975)/SUMIFS('Comp2016-2017 (3)'!$G$5:$G$289,'Comp2016-2017 (3)'!$A$5:$A$289,$D975,'Comp2016-2017 (3)'!$R$5:$R$289,$V975)*$AB975))</f>
        <v/>
      </c>
      <c r="AK975" s="2">
        <f t="shared" si="115"/>
        <v>0</v>
      </c>
      <c r="AL975" t="str">
        <f t="shared" si="113"/>
        <v/>
      </c>
      <c r="AM975" t="str">
        <f>VLOOKUP(A975,'Table corresp.'!$M$4:$U$63,8,FALSE)</f>
        <v>Production intermédiaire</v>
      </c>
      <c r="AN975" t="str">
        <f>VLOOKUP(D975,'Table corresp.'!$M$4:$U$63,9,FALSE)</f>
        <v xml:space="preserve">Mise en œuvre </v>
      </c>
    </row>
    <row r="976" spans="1:40" x14ac:dyDescent="0.25">
      <c r="A976" t="s">
        <v>87</v>
      </c>
      <c r="B976" t="str">
        <f>VLOOKUP(LEFT(A976,3),'Table corresp.'!$A$4:$D$63,3,FALSE)</f>
        <v>Transformation</v>
      </c>
      <c r="C976" t="str">
        <f>VLOOKUP(A976,'Table corresp.'!$M$4:$P$63,4,FALSE)</f>
        <v>Production et transformation de produits bois</v>
      </c>
      <c r="D976" t="s">
        <v>24</v>
      </c>
      <c r="E976" t="str">
        <f>VLOOKUP(LEFT(D976,3),'Table corresp.'!$A$4:$D$63,4,FALSE)</f>
        <v>Transformation</v>
      </c>
      <c r="F976" t="str">
        <f t="shared" si="109"/>
        <v xml:space="preserve">31  - 57 </v>
      </c>
      <c r="G976" s="164">
        <v>14574.233087013112</v>
      </c>
      <c r="H976" s="164">
        <v>33394.832982565829</v>
      </c>
      <c r="I976" s="164">
        <v>47969.066069378081</v>
      </c>
      <c r="J976" s="164">
        <v>4.8040620464272461</v>
      </c>
      <c r="K976" s="164">
        <v>7.4139479841433147</v>
      </c>
      <c r="L976" s="164">
        <v>12.218010030570561</v>
      </c>
      <c r="M976" s="164">
        <v>50.603907378439523</v>
      </c>
      <c r="N976" s="164">
        <v>80.420686164126579</v>
      </c>
      <c r="O976" s="164">
        <v>131.02459354256609</v>
      </c>
      <c r="P976" s="164">
        <v>8.5923132236415043</v>
      </c>
      <c r="Q976" s="164">
        <v>20.13941587412868</v>
      </c>
      <c r="R976" s="164">
        <v>28.731729097770184</v>
      </c>
      <c r="S976" s="163" t="str">
        <f t="shared" si="110"/>
        <v>BI</v>
      </c>
      <c r="T976" s="163">
        <f>VLOOKUP(A976,'Groupe de branches'!$Z$27:$AM$86,14,FALSE)</f>
        <v>0</v>
      </c>
      <c r="U976" s="163">
        <f>VLOOKUP(D976,'Groupe de branches'!$Z$27:$AM$86,14,FALSE)</f>
        <v>0</v>
      </c>
      <c r="V976" s="163">
        <v>2018</v>
      </c>
      <c r="W976" t="str">
        <f>VLOOKUP(D976,'Table corresp.'!$M$4:$S$63,7,FALSE)</f>
        <v>Construction</v>
      </c>
      <c r="X976" s="167">
        <f>IFERROR(G976/SUMIFS('Comp2016-2017 (3)'!$I$5:$I$289,'Comp2016-2017 (3)'!$A$5:$A$289,A976,'Comp2016-2017 (3)'!$R$5:$R$289,V976),0)</f>
        <v>9.2034728394605365E-3</v>
      </c>
      <c r="Y976" s="178">
        <f>IFERROR(IF(RIGHT(F976,3)="Exp",VLOOKUP(F976,#REF!,2,FALSE),VLOOKUP(F976,#REF!,9,FALSE)),1)</f>
        <v>1</v>
      </c>
      <c r="Z976" s="167">
        <f t="shared" si="116"/>
        <v>5.8823529411764705E-2</v>
      </c>
      <c r="AA976" s="189">
        <f t="shared" si="114"/>
        <v>5.4138075526238448E-4</v>
      </c>
      <c r="AB976" s="2">
        <f>IFERROR(SUMIFS('Comp2016-2017 (3)'!$G$5:$G$289,'Comp2016-2017 (3)'!$A$5:$A$289,A976,'Comp2016-2017 (3)'!$R$5:$R$289,V976)*AA976/SUMIFS($AA$4:$AA$1116,$A$4:$A$1116,A976,$V$4:$V$1116,V976),0)</f>
        <v>3820.0473225304531</v>
      </c>
      <c r="AC976" s="2" t="str">
        <f>IF($W976=AC$3,$AB976,IF(NOT($W976=0),"",SUMIFS('Val-Vol (2)'!AC$4:AC$1116,'Val-Vol (2)'!$A$4:$A$1116,$D976,'Val-Vol (2)'!$V$4:$V$1116,$V976)/SUMIFS('Comp2016-2017 (3)'!$G$5:$G$289,'Comp2016-2017 (3)'!$A$5:$A$289,$D976,'Comp2016-2017 (3)'!$R$5:$R$289,$V976)*$AB976))</f>
        <v/>
      </c>
      <c r="AD976" s="2">
        <f>IF($W976=AD$3,$AB976,IF(NOT($W976=0),"",SUMIFS('Val-Vol (2)'!AD$4:AD$1116,'Val-Vol (2)'!$A$4:$A$1116,$D976,'Val-Vol (2)'!$V$4:$V$1116,$V976)/SUMIFS('Comp2016-2017 (3)'!$G$5:$G$289,'Comp2016-2017 (3)'!$A$5:$A$289,$D976,'Comp2016-2017 (3)'!$R$5:$R$289,$V976)*$AB976))</f>
        <v>3820.0473225304531</v>
      </c>
      <c r="AE976" s="2" t="str">
        <f>IF($W976=AE$3,$AB976,IF(NOT($W976=0),"",SUMIFS('Val-Vol (2)'!AE$4:AE$1116,'Val-Vol (2)'!$A$4:$A$1116,$D976,'Val-Vol (2)'!$V$4:$V$1116,$V976)/SUMIFS('Comp2016-2017 (3)'!$G$5:$G$289,'Comp2016-2017 (3)'!$A$5:$A$289,$D976,'Comp2016-2017 (3)'!$R$5:$R$289,$V976)*$AB976))</f>
        <v/>
      </c>
      <c r="AF976" s="2" t="str">
        <f>IF($W976=AF$3,$AB976,IF(NOT($W976=0),"",SUMIFS('Val-Vol (2)'!AF$4:AF$1116,'Val-Vol (2)'!$A$4:$A$1116,$D976,'Val-Vol (2)'!$V$4:$V$1116,$V976)/SUMIFS('Comp2016-2017 (3)'!$G$5:$G$289,'Comp2016-2017 (3)'!$A$5:$A$289,$D976,'Comp2016-2017 (3)'!$R$5:$R$289,$V976)*$AB976))</f>
        <v/>
      </c>
      <c r="AG976" s="2" t="str">
        <f>IF($W976=AG$3,$AB976,IF(NOT($W976=0),"",SUMIFS('Val-Vol (2)'!AG$4:AG$1116,'Val-Vol (2)'!$A$4:$A$1116,$D976,'Val-Vol (2)'!$V$4:$V$1116,$V976)/SUMIFS('Comp2016-2017 (3)'!$G$5:$G$289,'Comp2016-2017 (3)'!$A$5:$A$289,$D976,'Comp2016-2017 (3)'!$R$5:$R$289,$V976)*$AB976))</f>
        <v/>
      </c>
      <c r="AH976" s="2" t="str">
        <f>IF($W976=AH$3,$AB976,IF(NOT($W976=0),"",SUMIFS('Val-Vol (2)'!AH$4:AH$1116,'Val-Vol (2)'!$A$4:$A$1116,$D976,'Val-Vol (2)'!$V$4:$V$1116,$V976)/SUMIFS('Comp2016-2017 (3)'!$G$5:$G$289,'Comp2016-2017 (3)'!$A$5:$A$289,$D976,'Comp2016-2017 (3)'!$R$5:$R$289,$V976)*$AB976))</f>
        <v/>
      </c>
      <c r="AI976" s="2" t="str">
        <f>IF($W976=AI$3,$AB976,IF(NOT($W976=0),"",SUMIFS('Val-Vol (2)'!AI$4:AI$1116,'Val-Vol (2)'!$A$4:$A$1116,$D976,'Val-Vol (2)'!$V$4:$V$1116,$V976)/SUMIFS('Comp2016-2017 (3)'!$G$5:$G$289,'Comp2016-2017 (3)'!$A$5:$A$289,$D976,'Comp2016-2017 (3)'!$R$5:$R$289,$V976)*$AB976))</f>
        <v/>
      </c>
      <c r="AJ976" s="2" t="str">
        <f>IF($W976=AJ$3,$AB976,IF(NOT($W976=0),"",SUMIFS('Val-Vol (2)'!AJ$4:AJ$1116,'Val-Vol (2)'!$A$4:$A$1116,$D976,'Val-Vol (2)'!$V$4:$V$1116,$V976)/SUMIFS('Comp2016-2017 (3)'!$G$5:$G$289,'Comp2016-2017 (3)'!$A$5:$A$289,$D976,'Comp2016-2017 (3)'!$R$5:$R$289,$V976)*$AB976))</f>
        <v/>
      </c>
      <c r="AK976" s="2">
        <f t="shared" si="115"/>
        <v>0</v>
      </c>
      <c r="AL976" t="str">
        <f t="shared" si="113"/>
        <v/>
      </c>
      <c r="AM976" t="str">
        <f>VLOOKUP(A976,'Table corresp.'!$M$4:$U$63,8,FALSE)</f>
        <v>Production intermédiaire</v>
      </c>
      <c r="AN976" t="str">
        <f>VLOOKUP(D976,'Table corresp.'!$M$4:$U$63,9,FALSE)</f>
        <v xml:space="preserve">Mise en œuvre </v>
      </c>
    </row>
    <row r="977" spans="1:40" x14ac:dyDescent="0.25">
      <c r="A977" t="s">
        <v>87</v>
      </c>
      <c r="B977" t="str">
        <f>VLOOKUP(LEFT(A977,3),'Table corresp.'!$A$4:$D$63,3,FALSE)</f>
        <v>Transformation</v>
      </c>
      <c r="C977" t="str">
        <f>VLOOKUP(A977,'Table corresp.'!$M$4:$P$63,4,FALSE)</f>
        <v>Production et transformation de produits bois</v>
      </c>
      <c r="D977" t="s">
        <v>25</v>
      </c>
      <c r="E977" t="str">
        <f>VLOOKUP(LEFT(D977,3),'Table corresp.'!$A$4:$D$63,4,FALSE)</f>
        <v>Transformation</v>
      </c>
      <c r="F977" t="str">
        <f t="shared" si="109"/>
        <v xml:space="preserve">31  - 58 </v>
      </c>
      <c r="G977" s="164">
        <v>1901.9918514100523</v>
      </c>
      <c r="H977" s="164">
        <v>3171.241079291824</v>
      </c>
      <c r="I977" s="164">
        <v>5073.2329306859865</v>
      </c>
      <c r="J977" s="164">
        <v>0.6269480398330548</v>
      </c>
      <c r="K977" s="164">
        <v>0.70404353929012031</v>
      </c>
      <c r="L977" s="164">
        <v>1.3309915791231752</v>
      </c>
      <c r="M977" s="164">
        <v>6.6039989142939115</v>
      </c>
      <c r="N977" s="164">
        <v>7.6369114863265546</v>
      </c>
      <c r="O977" s="164">
        <v>14.240910400620466</v>
      </c>
      <c r="P977" s="164">
        <v>1.121328967264257</v>
      </c>
      <c r="Q977" s="164">
        <v>1.9124797829149569</v>
      </c>
      <c r="R977" s="164">
        <v>3.0338087501792139</v>
      </c>
      <c r="S977" s="163" t="str">
        <f t="shared" si="110"/>
        <v>BI</v>
      </c>
      <c r="T977" s="163">
        <f>VLOOKUP(A977,'Groupe de branches'!$Z$27:$AM$86,14,FALSE)</f>
        <v>0</v>
      </c>
      <c r="U977" s="163">
        <f>VLOOKUP(D977,'Groupe de branches'!$Z$27:$AM$86,14,FALSE)</f>
        <v>0</v>
      </c>
      <c r="V977" s="163">
        <v>2018</v>
      </c>
      <c r="W977" t="str">
        <f>VLOOKUP(D977,'Table corresp.'!$M$4:$S$63,7,FALSE)</f>
        <v>Construction</v>
      </c>
      <c r="X977" s="167">
        <f>IFERROR(G977/SUMIFS('Comp2016-2017 (3)'!$I$5:$I$289,'Comp2016-2017 (3)'!$A$5:$A$289,A977,'Comp2016-2017 (3)'!$R$5:$R$289,V977),0)</f>
        <v>1.2010875797592443E-3</v>
      </c>
      <c r="Y977" s="178">
        <f>IFERROR(IF(RIGHT(F977,3)="Exp",VLOOKUP(F977,#REF!,2,FALSE),VLOOKUP(F977,#REF!,9,FALSE)),1)</f>
        <v>1</v>
      </c>
      <c r="Z977" s="167">
        <f t="shared" si="116"/>
        <v>5.8823529411764705E-2</v>
      </c>
      <c r="AA977" s="189">
        <f t="shared" si="114"/>
        <v>7.0652210574073194E-5</v>
      </c>
      <c r="AB977" s="2">
        <f>IFERROR(SUMIFS('Comp2016-2017 (3)'!$G$5:$G$289,'Comp2016-2017 (3)'!$A$5:$A$289,A977,'Comp2016-2017 (3)'!$R$5:$R$289,V977)*AA977/SUMIFS($AA$4:$AA$1116,$A$4:$A$1116,A977,$V$4:$V$1116,V977),0)</f>
        <v>498.53044315093803</v>
      </c>
      <c r="AC977" s="2" t="str">
        <f>IF($W977=AC$3,$AB977,IF(NOT($W977=0),"",SUMIFS('Val-Vol (2)'!AC$4:AC$1116,'Val-Vol (2)'!$A$4:$A$1116,$D977,'Val-Vol (2)'!$V$4:$V$1116,$V977)/SUMIFS('Comp2016-2017 (3)'!$G$5:$G$289,'Comp2016-2017 (3)'!$A$5:$A$289,$D977,'Comp2016-2017 (3)'!$R$5:$R$289,$V977)*$AB977))</f>
        <v/>
      </c>
      <c r="AD977" s="2">
        <f>IF($W977=AD$3,$AB977,IF(NOT($W977=0),"",SUMIFS('Val-Vol (2)'!AD$4:AD$1116,'Val-Vol (2)'!$A$4:$A$1116,$D977,'Val-Vol (2)'!$V$4:$V$1116,$V977)/SUMIFS('Comp2016-2017 (3)'!$G$5:$G$289,'Comp2016-2017 (3)'!$A$5:$A$289,$D977,'Comp2016-2017 (3)'!$R$5:$R$289,$V977)*$AB977))</f>
        <v>498.53044315093803</v>
      </c>
      <c r="AE977" s="2" t="str">
        <f>IF($W977=AE$3,$AB977,IF(NOT($W977=0),"",SUMIFS('Val-Vol (2)'!AE$4:AE$1116,'Val-Vol (2)'!$A$4:$A$1116,$D977,'Val-Vol (2)'!$V$4:$V$1116,$V977)/SUMIFS('Comp2016-2017 (3)'!$G$5:$G$289,'Comp2016-2017 (3)'!$A$5:$A$289,$D977,'Comp2016-2017 (3)'!$R$5:$R$289,$V977)*$AB977))</f>
        <v/>
      </c>
      <c r="AF977" s="2" t="str">
        <f>IF($W977=AF$3,$AB977,IF(NOT($W977=0),"",SUMIFS('Val-Vol (2)'!AF$4:AF$1116,'Val-Vol (2)'!$A$4:$A$1116,$D977,'Val-Vol (2)'!$V$4:$V$1116,$V977)/SUMIFS('Comp2016-2017 (3)'!$G$5:$G$289,'Comp2016-2017 (3)'!$A$5:$A$289,$D977,'Comp2016-2017 (3)'!$R$5:$R$289,$V977)*$AB977))</f>
        <v/>
      </c>
      <c r="AG977" s="2" t="str">
        <f>IF($W977=AG$3,$AB977,IF(NOT($W977=0),"",SUMIFS('Val-Vol (2)'!AG$4:AG$1116,'Val-Vol (2)'!$A$4:$A$1116,$D977,'Val-Vol (2)'!$V$4:$V$1116,$V977)/SUMIFS('Comp2016-2017 (3)'!$G$5:$G$289,'Comp2016-2017 (3)'!$A$5:$A$289,$D977,'Comp2016-2017 (3)'!$R$5:$R$289,$V977)*$AB977))</f>
        <v/>
      </c>
      <c r="AH977" s="2" t="str">
        <f>IF($W977=AH$3,$AB977,IF(NOT($W977=0),"",SUMIFS('Val-Vol (2)'!AH$4:AH$1116,'Val-Vol (2)'!$A$4:$A$1116,$D977,'Val-Vol (2)'!$V$4:$V$1116,$V977)/SUMIFS('Comp2016-2017 (3)'!$G$5:$G$289,'Comp2016-2017 (3)'!$A$5:$A$289,$D977,'Comp2016-2017 (3)'!$R$5:$R$289,$V977)*$AB977))</f>
        <v/>
      </c>
      <c r="AI977" s="2" t="str">
        <f>IF($W977=AI$3,$AB977,IF(NOT($W977=0),"",SUMIFS('Val-Vol (2)'!AI$4:AI$1116,'Val-Vol (2)'!$A$4:$A$1116,$D977,'Val-Vol (2)'!$V$4:$V$1116,$V977)/SUMIFS('Comp2016-2017 (3)'!$G$5:$G$289,'Comp2016-2017 (3)'!$A$5:$A$289,$D977,'Comp2016-2017 (3)'!$R$5:$R$289,$V977)*$AB977))</f>
        <v/>
      </c>
      <c r="AJ977" s="2" t="str">
        <f>IF($W977=AJ$3,$AB977,IF(NOT($W977=0),"",SUMIFS('Val-Vol (2)'!AJ$4:AJ$1116,'Val-Vol (2)'!$A$4:$A$1116,$D977,'Val-Vol (2)'!$V$4:$V$1116,$V977)/SUMIFS('Comp2016-2017 (3)'!$G$5:$G$289,'Comp2016-2017 (3)'!$A$5:$A$289,$D977,'Comp2016-2017 (3)'!$R$5:$R$289,$V977)*$AB977))</f>
        <v/>
      </c>
      <c r="AK977" s="2">
        <f t="shared" si="115"/>
        <v>0</v>
      </c>
      <c r="AL977" t="str">
        <f t="shared" si="113"/>
        <v/>
      </c>
      <c r="AM977" t="str">
        <f>VLOOKUP(A977,'Table corresp.'!$M$4:$U$63,8,FALSE)</f>
        <v>Production intermédiaire</v>
      </c>
      <c r="AN977" t="str">
        <f>VLOOKUP(D977,'Table corresp.'!$M$4:$U$63,9,FALSE)</f>
        <v xml:space="preserve">Mise en œuvre </v>
      </c>
    </row>
    <row r="978" spans="1:40" x14ac:dyDescent="0.25">
      <c r="A978" t="s">
        <v>87</v>
      </c>
      <c r="B978" t="str">
        <f>VLOOKUP(LEFT(A978,3),'Table corresp.'!$A$4:$D$63,3,FALSE)</f>
        <v>Transformation</v>
      </c>
      <c r="C978" t="str">
        <f>VLOOKUP(A978,'Table corresp.'!$M$4:$P$63,4,FALSE)</f>
        <v>Production et transformation de produits bois</v>
      </c>
      <c r="D978" t="s">
        <v>26</v>
      </c>
      <c r="E978" t="str">
        <f>VLOOKUP(LEFT(D978,3),'Table corresp.'!$A$4:$D$63,4,FALSE)</f>
        <v>Transformation</v>
      </c>
      <c r="F978" t="str">
        <f t="shared" si="109"/>
        <v xml:space="preserve">31  - 59 </v>
      </c>
      <c r="G978" s="164">
        <v>1740.301693968202</v>
      </c>
      <c r="H978" s="164">
        <v>3524.3484506584141</v>
      </c>
      <c r="I978" s="164">
        <v>5264.6501446066604</v>
      </c>
      <c r="J978" s="164">
        <v>0.24433265601980803</v>
      </c>
      <c r="K978" s="164">
        <v>0.33325998888135272</v>
      </c>
      <c r="L978" s="164">
        <v>0.5775926449011608</v>
      </c>
      <c r="M978" s="164">
        <v>2.5896799765818805</v>
      </c>
      <c r="N978" s="164">
        <v>3.6373957376416497</v>
      </c>
      <c r="O978" s="164">
        <v>6.2270757142235302</v>
      </c>
      <c r="P978" s="164">
        <v>1.0260037127808315</v>
      </c>
      <c r="Q978" s="164">
        <v>2.1254281813658409</v>
      </c>
      <c r="R978" s="164">
        <v>3.1514318941466724</v>
      </c>
      <c r="S978" s="163" t="str">
        <f t="shared" si="110"/>
        <v>BI</v>
      </c>
      <c r="T978" s="163">
        <f>VLOOKUP(A978,'Groupe de branches'!$Z$27:$AM$86,14,FALSE)</f>
        <v>0</v>
      </c>
      <c r="U978" s="163">
        <f>VLOOKUP(D978,'Groupe de branches'!$Z$27:$AM$86,14,FALSE)</f>
        <v>0</v>
      </c>
      <c r="V978" s="163">
        <v>2018</v>
      </c>
      <c r="W978" t="str">
        <f>VLOOKUP(D978,'Table corresp.'!$M$4:$S$63,7,FALSE)</f>
        <v>Construction</v>
      </c>
      <c r="X978" s="167">
        <f>IFERROR(G978/SUMIFS('Comp2016-2017 (3)'!$I$5:$I$289,'Comp2016-2017 (3)'!$A$5:$A$289,A978,'Comp2016-2017 (3)'!$R$5:$R$289,V978),0)</f>
        <v>1.0989819688814958E-3</v>
      </c>
      <c r="Y978" s="178">
        <f>IFERROR(IF(RIGHT(F978,3)="Exp",VLOOKUP(F978,#REF!,2,FALSE),VLOOKUP(F978,#REF!,9,FALSE)),1)</f>
        <v>1</v>
      </c>
      <c r="Z978" s="167">
        <f t="shared" si="116"/>
        <v>5.8823529411764705E-2</v>
      </c>
      <c r="AA978" s="189">
        <f t="shared" si="114"/>
        <v>6.4645998169499748E-5</v>
      </c>
      <c r="AB978" s="2">
        <f>IFERROR(SUMIFS('Comp2016-2017 (3)'!$G$5:$G$289,'Comp2016-2017 (3)'!$A$5:$A$289,A978,'Comp2016-2017 (3)'!$R$5:$R$289,V978)*AA978/SUMIFS($AA$4:$AA$1116,$A$4:$A$1116,A978,$V$4:$V$1116,V978),0)</f>
        <v>456.14989047776447</v>
      </c>
      <c r="AC978" s="2" t="str">
        <f>IF($W978=AC$3,$AB978,IF(NOT($W978=0),"",SUMIFS('Val-Vol (2)'!AC$4:AC$1116,'Val-Vol (2)'!$A$4:$A$1116,$D978,'Val-Vol (2)'!$V$4:$V$1116,$V978)/SUMIFS('Comp2016-2017 (3)'!$G$5:$G$289,'Comp2016-2017 (3)'!$A$5:$A$289,$D978,'Comp2016-2017 (3)'!$R$5:$R$289,$V978)*$AB978))</f>
        <v/>
      </c>
      <c r="AD978" s="2">
        <f>IF($W978=AD$3,$AB978,IF(NOT($W978=0),"",SUMIFS('Val-Vol (2)'!AD$4:AD$1116,'Val-Vol (2)'!$A$4:$A$1116,$D978,'Val-Vol (2)'!$V$4:$V$1116,$V978)/SUMIFS('Comp2016-2017 (3)'!$G$5:$G$289,'Comp2016-2017 (3)'!$A$5:$A$289,$D978,'Comp2016-2017 (3)'!$R$5:$R$289,$V978)*$AB978))</f>
        <v>456.14989047776447</v>
      </c>
      <c r="AE978" s="2" t="str">
        <f>IF($W978=AE$3,$AB978,IF(NOT($W978=0),"",SUMIFS('Val-Vol (2)'!AE$4:AE$1116,'Val-Vol (2)'!$A$4:$A$1116,$D978,'Val-Vol (2)'!$V$4:$V$1116,$V978)/SUMIFS('Comp2016-2017 (3)'!$G$5:$G$289,'Comp2016-2017 (3)'!$A$5:$A$289,$D978,'Comp2016-2017 (3)'!$R$5:$R$289,$V978)*$AB978))</f>
        <v/>
      </c>
      <c r="AF978" s="2" t="str">
        <f>IF($W978=AF$3,$AB978,IF(NOT($W978=0),"",SUMIFS('Val-Vol (2)'!AF$4:AF$1116,'Val-Vol (2)'!$A$4:$A$1116,$D978,'Val-Vol (2)'!$V$4:$V$1116,$V978)/SUMIFS('Comp2016-2017 (3)'!$G$5:$G$289,'Comp2016-2017 (3)'!$A$5:$A$289,$D978,'Comp2016-2017 (3)'!$R$5:$R$289,$V978)*$AB978))</f>
        <v/>
      </c>
      <c r="AG978" s="2" t="str">
        <f>IF($W978=AG$3,$AB978,IF(NOT($W978=0),"",SUMIFS('Val-Vol (2)'!AG$4:AG$1116,'Val-Vol (2)'!$A$4:$A$1116,$D978,'Val-Vol (2)'!$V$4:$V$1116,$V978)/SUMIFS('Comp2016-2017 (3)'!$G$5:$G$289,'Comp2016-2017 (3)'!$A$5:$A$289,$D978,'Comp2016-2017 (3)'!$R$5:$R$289,$V978)*$AB978))</f>
        <v/>
      </c>
      <c r="AH978" s="2" t="str">
        <f>IF($W978=AH$3,$AB978,IF(NOT($W978=0),"",SUMIFS('Val-Vol (2)'!AH$4:AH$1116,'Val-Vol (2)'!$A$4:$A$1116,$D978,'Val-Vol (2)'!$V$4:$V$1116,$V978)/SUMIFS('Comp2016-2017 (3)'!$G$5:$G$289,'Comp2016-2017 (3)'!$A$5:$A$289,$D978,'Comp2016-2017 (3)'!$R$5:$R$289,$V978)*$AB978))</f>
        <v/>
      </c>
      <c r="AI978" s="2" t="str">
        <f>IF($W978=AI$3,$AB978,IF(NOT($W978=0),"",SUMIFS('Val-Vol (2)'!AI$4:AI$1116,'Val-Vol (2)'!$A$4:$A$1116,$D978,'Val-Vol (2)'!$V$4:$V$1116,$V978)/SUMIFS('Comp2016-2017 (3)'!$G$5:$G$289,'Comp2016-2017 (3)'!$A$5:$A$289,$D978,'Comp2016-2017 (3)'!$R$5:$R$289,$V978)*$AB978))</f>
        <v/>
      </c>
      <c r="AJ978" s="2" t="str">
        <f>IF($W978=AJ$3,$AB978,IF(NOT($W978=0),"",SUMIFS('Val-Vol (2)'!AJ$4:AJ$1116,'Val-Vol (2)'!$A$4:$A$1116,$D978,'Val-Vol (2)'!$V$4:$V$1116,$V978)/SUMIFS('Comp2016-2017 (3)'!$G$5:$G$289,'Comp2016-2017 (3)'!$A$5:$A$289,$D978,'Comp2016-2017 (3)'!$R$5:$R$289,$V978)*$AB978))</f>
        <v/>
      </c>
      <c r="AK978" s="2">
        <f t="shared" si="115"/>
        <v>0</v>
      </c>
      <c r="AL978" t="str">
        <f t="shared" si="113"/>
        <v/>
      </c>
      <c r="AM978" t="str">
        <f>VLOOKUP(A978,'Table corresp.'!$M$4:$U$63,8,FALSE)</f>
        <v>Production intermédiaire</v>
      </c>
      <c r="AN978" t="str">
        <f>VLOOKUP(D978,'Table corresp.'!$M$4:$U$63,9,FALSE)</f>
        <v xml:space="preserve">Mise en œuvre </v>
      </c>
    </row>
    <row r="979" spans="1:40" x14ac:dyDescent="0.25">
      <c r="A979" t="s">
        <v>87</v>
      </c>
      <c r="B979" t="str">
        <f>VLOOKUP(LEFT(A979,3),'Table corresp.'!$A$4:$D$63,3,FALSE)</f>
        <v>Transformation</v>
      </c>
      <c r="C979" t="str">
        <f>VLOOKUP(A979,'Table corresp.'!$M$4:$P$63,4,FALSE)</f>
        <v>Production et transformation de produits bois</v>
      </c>
      <c r="D979" t="s">
        <v>54</v>
      </c>
      <c r="E979" t="str">
        <f>VLOOKUP(LEFT(D979,3),'Table corresp.'!$A$4:$D$63,4,FALSE)</f>
        <v>Consommation finale</v>
      </c>
      <c r="F979" t="str">
        <f t="shared" si="109"/>
        <v>31  - Con</v>
      </c>
      <c r="G979" s="164">
        <v>65998.445473113476</v>
      </c>
      <c r="H979" s="164">
        <v>155508.18394107078</v>
      </c>
      <c r="I979" s="164">
        <v>221506.62941323742</v>
      </c>
      <c r="J979" s="164">
        <v>16.678737920399954</v>
      </c>
      <c r="K979" s="164">
        <v>26.137223766539091</v>
      </c>
      <c r="L979" s="164">
        <v>42.815961686939048</v>
      </c>
      <c r="M979" s="164">
        <v>168.49737488066279</v>
      </c>
      <c r="N979" s="164">
        <v>301.47127055475738</v>
      </c>
      <c r="O979" s="164">
        <v>469.96864543542017</v>
      </c>
      <c r="P979" s="164">
        <v>38.909719118169711</v>
      </c>
      <c r="Q979" s="164">
        <v>93.782292304163946</v>
      </c>
      <c r="R979" s="164">
        <v>132.69201142233365</v>
      </c>
      <c r="S979" s="163" t="str">
        <f t="shared" si="110"/>
        <v>BI</v>
      </c>
      <c r="T979" s="163">
        <f>VLOOKUP(A979,'Groupe de branches'!$Z$27:$AM$86,14,FALSE)</f>
        <v>0</v>
      </c>
      <c r="U979" s="163">
        <f>VLOOKUP(D979,'Groupe de branches'!$Z$27:$AM$86,14,FALSE)</f>
        <v>0</v>
      </c>
      <c r="V979" s="163">
        <v>2018</v>
      </c>
      <c r="W979" t="str">
        <f>VLOOKUP(D979,'Table corresp.'!$M$4:$S$63,7,FALSE)</f>
        <v>Consommation finale</v>
      </c>
      <c r="X979" s="167">
        <f>IFERROR(G979/SUMIFS('Comp2016-2017 (3)'!$I$5:$I$289,'Comp2016-2017 (3)'!$A$5:$A$289,A979,'Comp2016-2017 (3)'!$R$5:$R$289,V979),0)</f>
        <v>4.1677314801536677E-2</v>
      </c>
      <c r="Y979" s="178">
        <f>IFERROR(IF(RIGHT(F979,3)="Exp",VLOOKUP(F979,#REF!,2,FALSE),VLOOKUP(F979,#REF!,9,FALSE)),1)</f>
        <v>1</v>
      </c>
      <c r="Z979" s="167">
        <f t="shared" si="116"/>
        <v>5.8823529411764705E-2</v>
      </c>
      <c r="AA979" s="189">
        <f t="shared" si="114"/>
        <v>2.4516067530315692E-3</v>
      </c>
      <c r="AB979" s="2">
        <f>IFERROR(SUMIFS('Comp2016-2017 (3)'!$G$5:$G$289,'Comp2016-2017 (3)'!$A$5:$A$289,A979,'Comp2016-2017 (3)'!$R$5:$R$289,V979)*AA979/SUMIFS($AA$4:$AA$1116,$A$4:$A$1116,A979,$V$4:$V$1116,V979),0)</f>
        <v>17298.830299715548</v>
      </c>
      <c r="AC979" s="2" t="str">
        <f>IF($W979=AC$3,$AB979,IF(NOT($W979=0),"",SUMIFS('Val-Vol (2)'!AC$4:AC$1116,'Val-Vol (2)'!$A$4:$A$1116,$D979,'Val-Vol (2)'!$V$4:$V$1116,$V979)/SUMIFS('Comp2016-2017 (3)'!$G$5:$G$289,'Comp2016-2017 (3)'!$A$5:$A$289,$D979,'Comp2016-2017 (3)'!$R$5:$R$289,$V979)*$AB979))</f>
        <v/>
      </c>
      <c r="AD979" s="2" t="str">
        <f>IF($W979=AD$3,$AB979,IF(NOT($W979=0),"",SUMIFS('Val-Vol (2)'!AD$4:AD$1116,'Val-Vol (2)'!$A$4:$A$1116,$D979,'Val-Vol (2)'!$V$4:$V$1116,$V979)/SUMIFS('Comp2016-2017 (3)'!$G$5:$G$289,'Comp2016-2017 (3)'!$A$5:$A$289,$D979,'Comp2016-2017 (3)'!$R$5:$R$289,$V979)*$AB979))</f>
        <v/>
      </c>
      <c r="AE979" s="2" t="str">
        <f>IF($W979=AE$3,$AB979,IF(NOT($W979=0),"",SUMIFS('Val-Vol (2)'!AE$4:AE$1116,'Val-Vol (2)'!$A$4:$A$1116,$D979,'Val-Vol (2)'!$V$4:$V$1116,$V979)/SUMIFS('Comp2016-2017 (3)'!$G$5:$G$289,'Comp2016-2017 (3)'!$A$5:$A$289,$D979,'Comp2016-2017 (3)'!$R$5:$R$289,$V979)*$AB979))</f>
        <v/>
      </c>
      <c r="AF979" s="2" t="str">
        <f>IF($W979=AF$3,$AB979,IF(NOT($W979=0),"",SUMIFS('Val-Vol (2)'!AF$4:AF$1116,'Val-Vol (2)'!$A$4:$A$1116,$D979,'Val-Vol (2)'!$V$4:$V$1116,$V979)/SUMIFS('Comp2016-2017 (3)'!$G$5:$G$289,'Comp2016-2017 (3)'!$A$5:$A$289,$D979,'Comp2016-2017 (3)'!$R$5:$R$289,$V979)*$AB979))</f>
        <v/>
      </c>
      <c r="AG979" s="2" t="str">
        <f>IF($W979=AG$3,$AB979,IF(NOT($W979=0),"",SUMIFS('Val-Vol (2)'!AG$4:AG$1116,'Val-Vol (2)'!$A$4:$A$1116,$D979,'Val-Vol (2)'!$V$4:$V$1116,$V979)/SUMIFS('Comp2016-2017 (3)'!$G$5:$G$289,'Comp2016-2017 (3)'!$A$5:$A$289,$D979,'Comp2016-2017 (3)'!$R$5:$R$289,$V979)*$AB979))</f>
        <v/>
      </c>
      <c r="AH979" s="2" t="str">
        <f>IF($W979=AH$3,$AB979,IF(NOT($W979=0),"",SUMIFS('Val-Vol (2)'!AH$4:AH$1116,'Val-Vol (2)'!$A$4:$A$1116,$D979,'Val-Vol (2)'!$V$4:$V$1116,$V979)/SUMIFS('Comp2016-2017 (3)'!$G$5:$G$289,'Comp2016-2017 (3)'!$A$5:$A$289,$D979,'Comp2016-2017 (3)'!$R$5:$R$289,$V979)*$AB979))</f>
        <v/>
      </c>
      <c r="AI979" s="2" t="str">
        <f>IF($W979=AI$3,$AB979,IF(NOT($W979=0),"",SUMIFS('Val-Vol (2)'!AI$4:AI$1116,'Val-Vol (2)'!$A$4:$A$1116,$D979,'Val-Vol (2)'!$V$4:$V$1116,$V979)/SUMIFS('Comp2016-2017 (3)'!$G$5:$G$289,'Comp2016-2017 (3)'!$A$5:$A$289,$D979,'Comp2016-2017 (3)'!$R$5:$R$289,$V979)*$AB979))</f>
        <v/>
      </c>
      <c r="AJ979" s="2">
        <f>IF($W979=AJ$3,$AB979,IF(NOT($W979=0),"",SUMIFS('Val-Vol (2)'!AJ$4:AJ$1116,'Val-Vol (2)'!$A$4:$A$1116,$D979,'Val-Vol (2)'!$V$4:$V$1116,$V979)/SUMIFS('Comp2016-2017 (3)'!$G$5:$G$289,'Comp2016-2017 (3)'!$A$5:$A$289,$D979,'Comp2016-2017 (3)'!$R$5:$R$289,$V979)*$AB979))</f>
        <v>17298.830299715548</v>
      </c>
      <c r="AK979" s="2">
        <f t="shared" si="115"/>
        <v>0</v>
      </c>
      <c r="AL979" t="str">
        <f t="shared" si="113"/>
        <v/>
      </c>
      <c r="AM979" t="str">
        <f>VLOOKUP(A979,'Table corresp.'!$M$4:$U$63,8,FALSE)</f>
        <v>Production intermédiaire</v>
      </c>
      <c r="AN979" t="str">
        <f>VLOOKUP(D979,'Table corresp.'!$M$4:$U$63,9,FALSE)</f>
        <v>Consommation finale française</v>
      </c>
    </row>
    <row r="980" spans="1:40" x14ac:dyDescent="0.25">
      <c r="A980" t="s">
        <v>87</v>
      </c>
      <c r="B980" t="str">
        <f>VLOOKUP(LEFT(A980,3),'Table corresp.'!$A$4:$D$63,3,FALSE)</f>
        <v>Transformation</v>
      </c>
      <c r="C980" t="str">
        <f>VLOOKUP(A980,'Table corresp.'!$M$4:$P$63,4,FALSE)</f>
        <v>Production et transformation de produits bois</v>
      </c>
      <c r="D980" t="s">
        <v>53</v>
      </c>
      <c r="E980" t="str">
        <f>VLOOKUP(LEFT(D980,3),'Table corresp.'!$A$4:$D$63,4,FALSE)</f>
        <v>Exportation</v>
      </c>
      <c r="F980" t="str">
        <f t="shared" si="109"/>
        <v>31  - Exp</v>
      </c>
      <c r="G980" s="164">
        <v>882211.64599457767</v>
      </c>
      <c r="H980" s="164">
        <v>0</v>
      </c>
      <c r="I980" s="164">
        <v>882211.64600000042</v>
      </c>
      <c r="J980" s="164">
        <v>212.62199441561481</v>
      </c>
      <c r="K980" s="164">
        <v>0</v>
      </c>
      <c r="L980" s="164">
        <v>212.62199441561481</v>
      </c>
      <c r="M980" s="164">
        <v>2278.6186793434995</v>
      </c>
      <c r="N980" s="164">
        <v>0</v>
      </c>
      <c r="O980" s="164">
        <v>2278.6186793434995</v>
      </c>
      <c r="P980" s="164">
        <v>520.11236177390276</v>
      </c>
      <c r="Q980" s="164">
        <v>0</v>
      </c>
      <c r="R980" s="164">
        <v>520.11236177390276</v>
      </c>
      <c r="S980" s="163" t="str">
        <f t="shared" si="110"/>
        <v>BI</v>
      </c>
      <c r="T980" s="163">
        <f>VLOOKUP(A980,'Groupe de branches'!$Z$27:$AM$86,14,FALSE)</f>
        <v>0</v>
      </c>
      <c r="U980" s="163">
        <f>VLOOKUP(D980,'Groupe de branches'!$Z$27:$AM$86,14,FALSE)</f>
        <v>0</v>
      </c>
      <c r="V980" s="163">
        <v>2018</v>
      </c>
      <c r="W980" t="str">
        <f>VLOOKUP(D980,'Table corresp.'!$M$4:$S$63,7,FALSE)</f>
        <v>Exportation</v>
      </c>
      <c r="X980" s="167">
        <f>IFERROR(G980/SUMIFS('Comp2016-2017 (3)'!$I$5:$I$289,'Comp2016-2017 (3)'!$A$5:$A$289,A980,'Comp2016-2017 (3)'!$R$5:$R$289,V980),0)</f>
        <v>0.55710725045299014</v>
      </c>
      <c r="Y980" s="178">
        <f>IFERROR(IF(RIGHT(F980,3)="Exp",VLOOKUP(F980,#REF!,2,FALSE),VLOOKUP(F980,#REF!,9,FALSE)),1)</f>
        <v>1</v>
      </c>
      <c r="Z980" s="167">
        <f t="shared" si="116"/>
        <v>5.8823529411764705E-2</v>
      </c>
      <c r="AA980" s="189">
        <f t="shared" si="114"/>
        <v>3.277101473252883E-2</v>
      </c>
      <c r="AB980" s="2">
        <f>IFERROR(SUMIFS('Comp2016-2017 (3)'!$G$5:$G$289,'Comp2016-2017 (3)'!$A$5:$A$289,A980,'Comp2016-2017 (3)'!$R$5:$R$289,V980)*AA980/SUMIFS($AA$4:$AA$1116,$A$4:$A$1116,A980,$V$4:$V$1116,V980),0)</f>
        <v>231236.19720270624</v>
      </c>
      <c r="AC980" s="2">
        <f>IF($W980=AC$3,$AB980,IF(NOT($W980=0),"",SUMIFS('Val-Vol (2)'!AC$4:AC$1116,'Val-Vol (2)'!$A$4:$A$1116,$D980,'Val-Vol (2)'!$V$4:$V$1116,$V980)/SUMIFS('Comp2016-2017 (3)'!$G$5:$G$289,'Comp2016-2017 (3)'!$A$5:$A$289,$D980,'Comp2016-2017 (3)'!$R$5:$R$289,$V980)*$AB980))</f>
        <v>231236.19720270624</v>
      </c>
      <c r="AD980" s="2" t="str">
        <f>IF($W980=AD$3,$AB980,IF(NOT($W980=0),"",SUMIFS('Val-Vol (2)'!AD$4:AD$1116,'Val-Vol (2)'!$A$4:$A$1116,$D980,'Val-Vol (2)'!$V$4:$V$1116,$V980)/SUMIFS('Comp2016-2017 (3)'!$G$5:$G$289,'Comp2016-2017 (3)'!$A$5:$A$289,$D980,'Comp2016-2017 (3)'!$R$5:$R$289,$V980)*$AB980))</f>
        <v/>
      </c>
      <c r="AE980" s="2" t="str">
        <f>IF($W980=AE$3,$AB980,IF(NOT($W980=0),"",SUMIFS('Val-Vol (2)'!AE$4:AE$1116,'Val-Vol (2)'!$A$4:$A$1116,$D980,'Val-Vol (2)'!$V$4:$V$1116,$V980)/SUMIFS('Comp2016-2017 (3)'!$G$5:$G$289,'Comp2016-2017 (3)'!$A$5:$A$289,$D980,'Comp2016-2017 (3)'!$R$5:$R$289,$V980)*$AB980))</f>
        <v/>
      </c>
      <c r="AF980" s="2" t="str">
        <f>IF($W980=AF$3,$AB980,IF(NOT($W980=0),"",SUMIFS('Val-Vol (2)'!AF$4:AF$1116,'Val-Vol (2)'!$A$4:$A$1116,$D980,'Val-Vol (2)'!$V$4:$V$1116,$V980)/SUMIFS('Comp2016-2017 (3)'!$G$5:$G$289,'Comp2016-2017 (3)'!$A$5:$A$289,$D980,'Comp2016-2017 (3)'!$R$5:$R$289,$V980)*$AB980))</f>
        <v/>
      </c>
      <c r="AG980" s="2" t="str">
        <f>IF($W980=AG$3,$AB980,IF(NOT($W980=0),"",SUMIFS('Val-Vol (2)'!AG$4:AG$1116,'Val-Vol (2)'!$A$4:$A$1116,$D980,'Val-Vol (2)'!$V$4:$V$1116,$V980)/SUMIFS('Comp2016-2017 (3)'!$G$5:$G$289,'Comp2016-2017 (3)'!$A$5:$A$289,$D980,'Comp2016-2017 (3)'!$R$5:$R$289,$V980)*$AB980))</f>
        <v/>
      </c>
      <c r="AH980" s="2" t="str">
        <f>IF($W980=AH$3,$AB980,IF(NOT($W980=0),"",SUMIFS('Val-Vol (2)'!AH$4:AH$1116,'Val-Vol (2)'!$A$4:$A$1116,$D980,'Val-Vol (2)'!$V$4:$V$1116,$V980)/SUMIFS('Comp2016-2017 (3)'!$G$5:$G$289,'Comp2016-2017 (3)'!$A$5:$A$289,$D980,'Comp2016-2017 (3)'!$R$5:$R$289,$V980)*$AB980))</f>
        <v/>
      </c>
      <c r="AI980" s="2" t="str">
        <f>IF($W980=AI$3,$AB980,IF(NOT($W980=0),"",SUMIFS('Val-Vol (2)'!AI$4:AI$1116,'Val-Vol (2)'!$A$4:$A$1116,$D980,'Val-Vol (2)'!$V$4:$V$1116,$V980)/SUMIFS('Comp2016-2017 (3)'!$G$5:$G$289,'Comp2016-2017 (3)'!$A$5:$A$289,$D980,'Comp2016-2017 (3)'!$R$5:$R$289,$V980)*$AB980))</f>
        <v/>
      </c>
      <c r="AJ980" s="2" t="str">
        <f>IF($W980=AJ$3,$AB980,IF(NOT($W980=0),"",SUMIFS('Val-Vol (2)'!AJ$4:AJ$1116,'Val-Vol (2)'!$A$4:$A$1116,$D980,'Val-Vol (2)'!$V$4:$V$1116,$V980)/SUMIFS('Comp2016-2017 (3)'!$G$5:$G$289,'Comp2016-2017 (3)'!$A$5:$A$289,$D980,'Comp2016-2017 (3)'!$R$5:$R$289,$V980)*$AB980))</f>
        <v/>
      </c>
      <c r="AK980" s="2">
        <f t="shared" si="115"/>
        <v>0</v>
      </c>
      <c r="AL980" t="str">
        <f t="shared" si="113"/>
        <v/>
      </c>
      <c r="AM980" t="str">
        <f>VLOOKUP(A980,'Table corresp.'!$M$4:$U$63,8,FALSE)</f>
        <v>Production intermédiaire</v>
      </c>
      <c r="AN980" t="str">
        <f>VLOOKUP(D980,'Table corresp.'!$M$4:$U$63,9,FALSE)</f>
        <v>Exportation</v>
      </c>
    </row>
    <row r="981" spans="1:40" x14ac:dyDescent="0.25">
      <c r="A981" t="s">
        <v>88</v>
      </c>
      <c r="B981" t="str">
        <f>VLOOKUP(LEFT(A981,3),'Table corresp.'!$A$4:$D$63,3,FALSE)</f>
        <v>Transformation</v>
      </c>
      <c r="C981" t="str">
        <f>VLOOKUP(A981,'Table corresp.'!$M$4:$P$63,4,FALSE)</f>
        <v>Production et transformation de produits bois</v>
      </c>
      <c r="D981" t="s">
        <v>54</v>
      </c>
      <c r="E981" t="str">
        <f>VLOOKUP(LEFT(D981,3),'Table corresp.'!$A$4:$D$63,4,FALSE)</f>
        <v>Consommation finale</v>
      </c>
      <c r="F981" t="str">
        <f t="shared" si="109"/>
        <v>32  - Con</v>
      </c>
      <c r="G981" s="164">
        <v>1</v>
      </c>
      <c r="H981" s="164">
        <v>0</v>
      </c>
      <c r="I981" s="164">
        <v>1</v>
      </c>
      <c r="J981" s="164">
        <v>0</v>
      </c>
      <c r="K981" s="164">
        <v>0</v>
      </c>
      <c r="L981" s="164">
        <v>0</v>
      </c>
      <c r="M981" s="164">
        <v>0</v>
      </c>
      <c r="N981" s="164">
        <v>0</v>
      </c>
      <c r="O981" s="164">
        <v>0</v>
      </c>
      <c r="P981" s="164">
        <v>0</v>
      </c>
      <c r="Q981" s="164">
        <v>0</v>
      </c>
      <c r="R981" s="164">
        <v>0</v>
      </c>
      <c r="S981" s="163" t="str">
        <f t="shared" si="110"/>
        <v/>
      </c>
      <c r="T981" s="163">
        <f>VLOOKUP(A981,'Groupe de branches'!$Z$27:$AM$86,14,FALSE)</f>
        <v>0</v>
      </c>
      <c r="U981" s="163">
        <f>VLOOKUP(D981,'Groupe de branches'!$Z$27:$AM$86,14,FALSE)</f>
        <v>0</v>
      </c>
      <c r="V981" s="163">
        <v>2018</v>
      </c>
      <c r="W981" t="str">
        <f>VLOOKUP(D981,'Table corresp.'!$M$4:$S$63,7,FALSE)</f>
        <v>Consommation finale</v>
      </c>
      <c r="X981" s="167">
        <f>IFERROR(G981/SUMIFS('Comp2016-2017 (3)'!$I$5:$I$289,'Comp2016-2017 (3)'!$A$5:$A$289,A981,'Comp2016-2017 (3)'!$R$5:$R$289,V981),0)</f>
        <v>1</v>
      </c>
      <c r="Y981" s="232"/>
      <c r="Z981" s="233"/>
      <c r="AA981" s="189">
        <f t="shared" si="114"/>
        <v>0</v>
      </c>
      <c r="AB981" s="2">
        <f>IFERROR(SUMIFS('Comp2016-2017 (3)'!$G$5:$G$289,'Comp2016-2017 (3)'!$A$5:$A$289,A981,'Comp2016-2017 (3)'!$R$5:$R$289,V981)*AA981/SUMIFS($AA$4:$AA$1116,$A$4:$A$1116,A981,$V$4:$V$1116,V981),0)</f>
        <v>0</v>
      </c>
      <c r="AC981" s="2" t="str">
        <f>IF($W981=AC$3,$AB981,IF(NOT($W981=0),"",SUMIFS('Val-Vol (2)'!AC$4:AC$1116,'Val-Vol (2)'!$A$4:$A$1116,$D981,'Val-Vol (2)'!$V$4:$V$1116,$V981)/SUMIFS('Comp2016-2017 (3)'!$G$5:$G$289,'Comp2016-2017 (3)'!$A$5:$A$289,$D981,'Comp2016-2017 (3)'!$R$5:$R$289,$V981)*$AB981))</f>
        <v/>
      </c>
      <c r="AD981" s="2" t="str">
        <f>IF($W981=AD$3,$AB981,IF(NOT($W981=0),"",SUMIFS('Val-Vol (2)'!AD$4:AD$1116,'Val-Vol (2)'!$A$4:$A$1116,$D981,'Val-Vol (2)'!$V$4:$V$1116,$V981)/SUMIFS('Comp2016-2017 (3)'!$G$5:$G$289,'Comp2016-2017 (3)'!$A$5:$A$289,$D981,'Comp2016-2017 (3)'!$R$5:$R$289,$V981)*$AB981))</f>
        <v/>
      </c>
      <c r="AE981" s="2" t="str">
        <f>IF($W981=AE$3,$AB981,IF(NOT($W981=0),"",SUMIFS('Val-Vol (2)'!AE$4:AE$1116,'Val-Vol (2)'!$A$4:$A$1116,$D981,'Val-Vol (2)'!$V$4:$V$1116,$V981)/SUMIFS('Comp2016-2017 (3)'!$G$5:$G$289,'Comp2016-2017 (3)'!$A$5:$A$289,$D981,'Comp2016-2017 (3)'!$R$5:$R$289,$V981)*$AB981))</f>
        <v/>
      </c>
      <c r="AF981" s="2" t="str">
        <f>IF($W981=AF$3,$AB981,IF(NOT($W981=0),"",SUMIFS('Val-Vol (2)'!AF$4:AF$1116,'Val-Vol (2)'!$A$4:$A$1116,$D981,'Val-Vol (2)'!$V$4:$V$1116,$V981)/SUMIFS('Comp2016-2017 (3)'!$G$5:$G$289,'Comp2016-2017 (3)'!$A$5:$A$289,$D981,'Comp2016-2017 (3)'!$R$5:$R$289,$V981)*$AB981))</f>
        <v/>
      </c>
      <c r="AG981" s="2" t="str">
        <f>IF($W981=AG$3,$AB981,IF(NOT($W981=0),"",SUMIFS('Val-Vol (2)'!AG$4:AG$1116,'Val-Vol (2)'!$A$4:$A$1116,$D981,'Val-Vol (2)'!$V$4:$V$1116,$V981)/SUMIFS('Comp2016-2017 (3)'!$G$5:$G$289,'Comp2016-2017 (3)'!$A$5:$A$289,$D981,'Comp2016-2017 (3)'!$R$5:$R$289,$V981)*$AB981))</f>
        <v/>
      </c>
      <c r="AH981" s="2" t="str">
        <f>IF($W981=AH$3,$AB981,IF(NOT($W981=0),"",SUMIFS('Val-Vol (2)'!AH$4:AH$1116,'Val-Vol (2)'!$A$4:$A$1116,$D981,'Val-Vol (2)'!$V$4:$V$1116,$V981)/SUMIFS('Comp2016-2017 (3)'!$G$5:$G$289,'Comp2016-2017 (3)'!$A$5:$A$289,$D981,'Comp2016-2017 (3)'!$R$5:$R$289,$V981)*$AB981))</f>
        <v/>
      </c>
      <c r="AI981" s="2" t="str">
        <f>IF($W981=AI$3,$AB981,IF(NOT($W981=0),"",SUMIFS('Val-Vol (2)'!AI$4:AI$1116,'Val-Vol (2)'!$A$4:$A$1116,$D981,'Val-Vol (2)'!$V$4:$V$1116,$V981)/SUMIFS('Comp2016-2017 (3)'!$G$5:$G$289,'Comp2016-2017 (3)'!$A$5:$A$289,$D981,'Comp2016-2017 (3)'!$R$5:$R$289,$V981)*$AB981))</f>
        <v/>
      </c>
      <c r="AJ981" s="2">
        <f>IF($W981=AJ$3,$AB981,IF(NOT($W981=0),"",SUMIFS('Val-Vol (2)'!AJ$4:AJ$1116,'Val-Vol (2)'!$A$4:$A$1116,$D981,'Val-Vol (2)'!$V$4:$V$1116,$V981)/SUMIFS('Comp2016-2017 (3)'!$G$5:$G$289,'Comp2016-2017 (3)'!$A$5:$A$289,$D981,'Comp2016-2017 (3)'!$R$5:$R$289,$V981)*$AB981))</f>
        <v>0</v>
      </c>
      <c r="AK981" s="2">
        <f t="shared" si="115"/>
        <v>0</v>
      </c>
      <c r="AL981" t="str">
        <f t="shared" si="113"/>
        <v/>
      </c>
      <c r="AM981" t="str">
        <f>VLOOKUP(A981,'Table corresp.'!$M$4:$U$63,8,FALSE)</f>
        <v>Production finale</v>
      </c>
      <c r="AN981" t="str">
        <f>VLOOKUP(D981,'Table corresp.'!$M$4:$U$63,9,FALSE)</f>
        <v>Consommation finale française</v>
      </c>
    </row>
    <row r="982" spans="1:40" x14ac:dyDescent="0.25">
      <c r="A982" t="s">
        <v>89</v>
      </c>
      <c r="B982" t="str">
        <f>VLOOKUP(LEFT(A982,3),'Table corresp.'!$A$4:$D$63,3,FALSE)</f>
        <v>Transformation</v>
      </c>
      <c r="C982" t="str">
        <f>VLOOKUP(A982,'Table corresp.'!$M$4:$P$63,4,FALSE)</f>
        <v>Production et transformation de produits bois</v>
      </c>
      <c r="D982" t="s">
        <v>22</v>
      </c>
      <c r="E982" t="str">
        <f>VLOOKUP(LEFT(D982,3),'Table corresp.'!$A$4:$D$63,4,FALSE)</f>
        <v>Transformation</v>
      </c>
      <c r="F982" t="str">
        <f t="shared" si="109"/>
        <v xml:space="preserve">33  - 55 </v>
      </c>
      <c r="G982" s="164">
        <v>5499.2672477807901</v>
      </c>
      <c r="H982" s="164">
        <v>0</v>
      </c>
      <c r="I982" s="164">
        <v>5499.2672477807873</v>
      </c>
      <c r="J982" s="164">
        <v>1.1547908237734705</v>
      </c>
      <c r="K982" s="164">
        <v>0</v>
      </c>
      <c r="L982" s="164">
        <v>1.1547908237734705</v>
      </c>
      <c r="M982" s="164">
        <v>0.78637222058928846</v>
      </c>
      <c r="N982" s="164">
        <v>0</v>
      </c>
      <c r="O982" s="164">
        <v>0.78637222058928846</v>
      </c>
      <c r="P982" s="164">
        <v>0.24530242471055297</v>
      </c>
      <c r="Q982" s="164">
        <v>0</v>
      </c>
      <c r="R982" s="164">
        <v>0.24530242471055297</v>
      </c>
      <c r="S982" s="163" t="str">
        <f t="shared" si="110"/>
        <v/>
      </c>
      <c r="T982" s="163">
        <f>VLOOKUP(A982,'Groupe de branches'!$Z$27:$AM$86,14,FALSE)</f>
        <v>0</v>
      </c>
      <c r="U982" s="163">
        <f>VLOOKUP(D982,'Groupe de branches'!$Z$27:$AM$86,14,FALSE)</f>
        <v>0</v>
      </c>
      <c r="V982" s="163">
        <v>2018</v>
      </c>
      <c r="W982" t="str">
        <f>VLOOKUP(D982,'Table corresp.'!$M$4:$S$63,7,FALSE)</f>
        <v>Construction</v>
      </c>
      <c r="X982" s="167">
        <f>IFERROR(G982/SUMIFS('Comp2016-2017 (3)'!$I$5:$I$289,'Comp2016-2017 (3)'!$A$5:$A$289,A982,'Comp2016-2017 (3)'!$R$5:$R$289,V982),0)</f>
        <v>7.8609249508807447E-2</v>
      </c>
      <c r="Y982" s="178">
        <f>IFERROR(IF(RIGHT(F982,3)="Exp",VLOOKUP(F982,#REF!,2,FALSE),VLOOKUP(F982,#REF!,9,FALSE)),1)</f>
        <v>1</v>
      </c>
      <c r="Z982" s="167">
        <f t="shared" ref="Z982:Z1013" si="117">Y982/SUMIFS($Y$4:$Y$1116,$V$4:$V$1116,V982,$A$4:$A$1116,A982)</f>
        <v>0.25</v>
      </c>
      <c r="AA982" s="189">
        <f t="shared" si="114"/>
        <v>1.9652312377201862E-2</v>
      </c>
      <c r="AB982" s="2">
        <f>IFERROR(SUMIFS('Comp2016-2017 (3)'!$G$5:$G$289,'Comp2016-2017 (3)'!$A$5:$A$289,A982,'Comp2016-2017 (3)'!$R$5:$R$289,V982)*AA982/SUMIFS($AA$4:$AA$1116,$A$4:$A$1116,A982,$V$4:$V$1116,V982),0)</f>
        <v>1431.455305331189</v>
      </c>
      <c r="AC982" s="2" t="str">
        <f>IF($W982=AC$3,$AB982,IF(NOT($W982=0),"",SUMIFS('Val-Vol (2)'!AC$4:AC$1116,'Val-Vol (2)'!$A$4:$A$1116,$D982,'Val-Vol (2)'!$V$4:$V$1116,$V982)/SUMIFS('Comp2016-2017 (3)'!$G$5:$G$289,'Comp2016-2017 (3)'!$A$5:$A$289,$D982,'Comp2016-2017 (3)'!$R$5:$R$289,$V982)*$AB982))</f>
        <v/>
      </c>
      <c r="AD982" s="2">
        <f>IF($W982=AD$3,$AB982,IF(NOT($W982=0),"",SUMIFS('Val-Vol (2)'!AD$4:AD$1116,'Val-Vol (2)'!$A$4:$A$1116,$D982,'Val-Vol (2)'!$V$4:$V$1116,$V982)/SUMIFS('Comp2016-2017 (3)'!$G$5:$G$289,'Comp2016-2017 (3)'!$A$5:$A$289,$D982,'Comp2016-2017 (3)'!$R$5:$R$289,$V982)*$AB982))</f>
        <v>1431.455305331189</v>
      </c>
      <c r="AE982" s="2" t="str">
        <f>IF($W982=AE$3,$AB982,IF(NOT($W982=0),"",SUMIFS('Val-Vol (2)'!AE$4:AE$1116,'Val-Vol (2)'!$A$4:$A$1116,$D982,'Val-Vol (2)'!$V$4:$V$1116,$V982)/SUMIFS('Comp2016-2017 (3)'!$G$5:$G$289,'Comp2016-2017 (3)'!$A$5:$A$289,$D982,'Comp2016-2017 (3)'!$R$5:$R$289,$V982)*$AB982))</f>
        <v/>
      </c>
      <c r="AF982" s="2" t="str">
        <f>IF($W982=AF$3,$AB982,IF(NOT($W982=0),"",SUMIFS('Val-Vol (2)'!AF$4:AF$1116,'Val-Vol (2)'!$A$4:$A$1116,$D982,'Val-Vol (2)'!$V$4:$V$1116,$V982)/SUMIFS('Comp2016-2017 (3)'!$G$5:$G$289,'Comp2016-2017 (3)'!$A$5:$A$289,$D982,'Comp2016-2017 (3)'!$R$5:$R$289,$V982)*$AB982))</f>
        <v/>
      </c>
      <c r="AG982" s="2" t="str">
        <f>IF($W982=AG$3,$AB982,IF(NOT($W982=0),"",SUMIFS('Val-Vol (2)'!AG$4:AG$1116,'Val-Vol (2)'!$A$4:$A$1116,$D982,'Val-Vol (2)'!$V$4:$V$1116,$V982)/SUMIFS('Comp2016-2017 (3)'!$G$5:$G$289,'Comp2016-2017 (3)'!$A$5:$A$289,$D982,'Comp2016-2017 (3)'!$R$5:$R$289,$V982)*$AB982))</f>
        <v/>
      </c>
      <c r="AH982" s="2" t="str">
        <f>IF($W982=AH$3,$AB982,IF(NOT($W982=0),"",SUMIFS('Val-Vol (2)'!AH$4:AH$1116,'Val-Vol (2)'!$A$4:$A$1116,$D982,'Val-Vol (2)'!$V$4:$V$1116,$V982)/SUMIFS('Comp2016-2017 (3)'!$G$5:$G$289,'Comp2016-2017 (3)'!$A$5:$A$289,$D982,'Comp2016-2017 (3)'!$R$5:$R$289,$V982)*$AB982))</f>
        <v/>
      </c>
      <c r="AI982" s="2" t="str">
        <f>IF($W982=AI$3,$AB982,IF(NOT($W982=0),"",SUMIFS('Val-Vol (2)'!AI$4:AI$1116,'Val-Vol (2)'!$A$4:$A$1116,$D982,'Val-Vol (2)'!$V$4:$V$1116,$V982)/SUMIFS('Comp2016-2017 (3)'!$G$5:$G$289,'Comp2016-2017 (3)'!$A$5:$A$289,$D982,'Comp2016-2017 (3)'!$R$5:$R$289,$V982)*$AB982))</f>
        <v/>
      </c>
      <c r="AJ982" s="2" t="str">
        <f>IF($W982=AJ$3,$AB982,IF(NOT($W982=0),"",SUMIFS('Val-Vol (2)'!AJ$4:AJ$1116,'Val-Vol (2)'!$A$4:$A$1116,$D982,'Val-Vol (2)'!$V$4:$V$1116,$V982)/SUMIFS('Comp2016-2017 (3)'!$G$5:$G$289,'Comp2016-2017 (3)'!$A$5:$A$289,$D982,'Comp2016-2017 (3)'!$R$5:$R$289,$V982)*$AB982))</f>
        <v/>
      </c>
      <c r="AK982" s="2">
        <f t="shared" si="115"/>
        <v>0</v>
      </c>
      <c r="AL982" t="str">
        <f t="shared" si="113"/>
        <v/>
      </c>
      <c r="AM982" t="str">
        <f>VLOOKUP(A982,'Table corresp.'!$M$4:$U$63,8,FALSE)</f>
        <v>Production finale</v>
      </c>
      <c r="AN982" t="str">
        <f>VLOOKUP(D982,'Table corresp.'!$M$4:$U$63,9,FALSE)</f>
        <v xml:space="preserve">Mise en œuvre </v>
      </c>
    </row>
    <row r="983" spans="1:40" x14ac:dyDescent="0.25">
      <c r="A983" t="s">
        <v>89</v>
      </c>
      <c r="B983" t="str">
        <f>VLOOKUP(LEFT(A983,3),'Table corresp.'!$A$4:$D$63,3,FALSE)</f>
        <v>Transformation</v>
      </c>
      <c r="C983" t="str">
        <f>VLOOKUP(A983,'Table corresp.'!$M$4:$P$63,4,FALSE)</f>
        <v>Production et transformation de produits bois</v>
      </c>
      <c r="D983" t="s">
        <v>23</v>
      </c>
      <c r="E983" t="str">
        <f>VLOOKUP(LEFT(D983,3),'Table corresp.'!$A$4:$D$63,4,FALSE)</f>
        <v>Transformation</v>
      </c>
      <c r="F983" t="str">
        <f t="shared" si="109"/>
        <v xml:space="preserve">33  - 56 </v>
      </c>
      <c r="G983" s="164">
        <v>13279.430934492533</v>
      </c>
      <c r="H983" s="164">
        <v>32881.975776929845</v>
      </c>
      <c r="I983" s="164">
        <v>46161.406711422365</v>
      </c>
      <c r="J983" s="164">
        <v>3.3462563568134804</v>
      </c>
      <c r="K983" s="164">
        <v>8.7843129046277024</v>
      </c>
      <c r="L983" s="164">
        <v>12.130569261441183</v>
      </c>
      <c r="M983" s="164">
        <v>2.2786837129255093</v>
      </c>
      <c r="N983" s="164">
        <v>5.981810301012823</v>
      </c>
      <c r="O983" s="164">
        <v>8.2604940139383327</v>
      </c>
      <c r="P983" s="164">
        <v>0.71081686928131427</v>
      </c>
      <c r="Q983" s="164">
        <v>1.8659771194580215</v>
      </c>
      <c r="R983" s="164">
        <v>2.5767939887393356</v>
      </c>
      <c r="S983" s="163" t="str">
        <f t="shared" si="110"/>
        <v>BI</v>
      </c>
      <c r="T983" s="163">
        <f>VLOOKUP(A983,'Groupe de branches'!$Z$27:$AM$86,14,FALSE)</f>
        <v>0</v>
      </c>
      <c r="U983" s="163">
        <f>VLOOKUP(D983,'Groupe de branches'!$Z$27:$AM$86,14,FALSE)</f>
        <v>0</v>
      </c>
      <c r="V983" s="163">
        <v>2018</v>
      </c>
      <c r="W983" t="str">
        <f>VLOOKUP(D983,'Table corresp.'!$M$4:$S$63,7,FALSE)</f>
        <v>Construction</v>
      </c>
      <c r="X983" s="167">
        <f>IFERROR(G983/SUMIFS('Comp2016-2017 (3)'!$I$5:$I$289,'Comp2016-2017 (3)'!$A$5:$A$289,A983,'Comp2016-2017 (3)'!$R$5:$R$289,V983),0)</f>
        <v>0.1898227623117891</v>
      </c>
      <c r="Y983" s="178">
        <f>IFERROR(IF(RIGHT(F983,3)="Exp",VLOOKUP(F983,#REF!,2,FALSE),VLOOKUP(F983,#REF!,9,FALSE)),1)</f>
        <v>1</v>
      </c>
      <c r="Z983" s="167">
        <f t="shared" si="117"/>
        <v>0.25</v>
      </c>
      <c r="AA983" s="189">
        <f t="shared" si="114"/>
        <v>4.7455690577947275E-2</v>
      </c>
      <c r="AB983" s="2">
        <f>IFERROR(SUMIFS('Comp2016-2017 (3)'!$G$5:$G$289,'Comp2016-2017 (3)'!$A$5:$A$289,A983,'Comp2016-2017 (3)'!$R$5:$R$289,V983)*AA983/SUMIFS($AA$4:$AA$1116,$A$4:$A$1116,A983,$V$4:$V$1116,V983),0)</f>
        <v>3456.626311556221</v>
      </c>
      <c r="AC983" s="2" t="str">
        <f>IF($W983=AC$3,$AB983,IF(NOT($W983=0),"",SUMIFS('Val-Vol (2)'!AC$4:AC$1116,'Val-Vol (2)'!$A$4:$A$1116,$D983,'Val-Vol (2)'!$V$4:$V$1116,$V983)/SUMIFS('Comp2016-2017 (3)'!$G$5:$G$289,'Comp2016-2017 (3)'!$A$5:$A$289,$D983,'Comp2016-2017 (3)'!$R$5:$R$289,$V983)*$AB983))</f>
        <v/>
      </c>
      <c r="AD983" s="2">
        <f>IF($W983=AD$3,$AB983,IF(NOT($W983=0),"",SUMIFS('Val-Vol (2)'!AD$4:AD$1116,'Val-Vol (2)'!$A$4:$A$1116,$D983,'Val-Vol (2)'!$V$4:$V$1116,$V983)/SUMIFS('Comp2016-2017 (3)'!$G$5:$G$289,'Comp2016-2017 (3)'!$A$5:$A$289,$D983,'Comp2016-2017 (3)'!$R$5:$R$289,$V983)*$AB983))</f>
        <v>3456.626311556221</v>
      </c>
      <c r="AE983" s="2" t="str">
        <f>IF($W983=AE$3,$AB983,IF(NOT($W983=0),"",SUMIFS('Val-Vol (2)'!AE$4:AE$1116,'Val-Vol (2)'!$A$4:$A$1116,$D983,'Val-Vol (2)'!$V$4:$V$1116,$V983)/SUMIFS('Comp2016-2017 (3)'!$G$5:$G$289,'Comp2016-2017 (3)'!$A$5:$A$289,$D983,'Comp2016-2017 (3)'!$R$5:$R$289,$V983)*$AB983))</f>
        <v/>
      </c>
      <c r="AF983" s="2" t="str">
        <f>IF($W983=AF$3,$AB983,IF(NOT($W983=0),"",SUMIFS('Val-Vol (2)'!AF$4:AF$1116,'Val-Vol (2)'!$A$4:$A$1116,$D983,'Val-Vol (2)'!$V$4:$V$1116,$V983)/SUMIFS('Comp2016-2017 (3)'!$G$5:$G$289,'Comp2016-2017 (3)'!$A$5:$A$289,$D983,'Comp2016-2017 (3)'!$R$5:$R$289,$V983)*$AB983))</f>
        <v/>
      </c>
      <c r="AG983" s="2" t="str">
        <f>IF($W983=AG$3,$AB983,IF(NOT($W983=0),"",SUMIFS('Val-Vol (2)'!AG$4:AG$1116,'Val-Vol (2)'!$A$4:$A$1116,$D983,'Val-Vol (2)'!$V$4:$V$1116,$V983)/SUMIFS('Comp2016-2017 (3)'!$G$5:$G$289,'Comp2016-2017 (3)'!$A$5:$A$289,$D983,'Comp2016-2017 (3)'!$R$5:$R$289,$V983)*$AB983))</f>
        <v/>
      </c>
      <c r="AH983" s="2" t="str">
        <f>IF($W983=AH$3,$AB983,IF(NOT($W983=0),"",SUMIFS('Val-Vol (2)'!AH$4:AH$1116,'Val-Vol (2)'!$A$4:$A$1116,$D983,'Val-Vol (2)'!$V$4:$V$1116,$V983)/SUMIFS('Comp2016-2017 (3)'!$G$5:$G$289,'Comp2016-2017 (3)'!$A$5:$A$289,$D983,'Comp2016-2017 (3)'!$R$5:$R$289,$V983)*$AB983))</f>
        <v/>
      </c>
      <c r="AI983" s="2" t="str">
        <f>IF($W983=AI$3,$AB983,IF(NOT($W983=0),"",SUMIFS('Val-Vol (2)'!AI$4:AI$1116,'Val-Vol (2)'!$A$4:$A$1116,$D983,'Val-Vol (2)'!$V$4:$V$1116,$V983)/SUMIFS('Comp2016-2017 (3)'!$G$5:$G$289,'Comp2016-2017 (3)'!$A$5:$A$289,$D983,'Comp2016-2017 (3)'!$R$5:$R$289,$V983)*$AB983))</f>
        <v/>
      </c>
      <c r="AJ983" s="2" t="str">
        <f>IF($W983=AJ$3,$AB983,IF(NOT($W983=0),"",SUMIFS('Val-Vol (2)'!AJ$4:AJ$1116,'Val-Vol (2)'!$A$4:$A$1116,$D983,'Val-Vol (2)'!$V$4:$V$1116,$V983)/SUMIFS('Comp2016-2017 (3)'!$G$5:$G$289,'Comp2016-2017 (3)'!$A$5:$A$289,$D983,'Comp2016-2017 (3)'!$R$5:$R$289,$V983)*$AB983))</f>
        <v/>
      </c>
      <c r="AK983" s="2">
        <f t="shared" si="115"/>
        <v>0</v>
      </c>
      <c r="AL983" t="str">
        <f t="shared" si="113"/>
        <v/>
      </c>
      <c r="AM983" t="str">
        <f>VLOOKUP(A983,'Table corresp.'!$M$4:$U$63,8,FALSE)</f>
        <v>Production finale</v>
      </c>
      <c r="AN983" t="str">
        <f>VLOOKUP(D983,'Table corresp.'!$M$4:$U$63,9,FALSE)</f>
        <v xml:space="preserve">Mise en œuvre </v>
      </c>
    </row>
    <row r="984" spans="1:40" x14ac:dyDescent="0.25">
      <c r="A984" t="s">
        <v>89</v>
      </c>
      <c r="B984" t="str">
        <f>VLOOKUP(LEFT(A984,3),'Table corresp.'!$A$4:$D$63,3,FALSE)</f>
        <v>Transformation</v>
      </c>
      <c r="C984" t="str">
        <f>VLOOKUP(A984,'Table corresp.'!$M$4:$P$63,4,FALSE)</f>
        <v>Production et transformation de produits bois</v>
      </c>
      <c r="D984" t="s">
        <v>54</v>
      </c>
      <c r="E984" t="str">
        <f>VLOOKUP(LEFT(D984,3),'Table corresp.'!$A$4:$D$63,4,FALSE)</f>
        <v>Consommation finale</v>
      </c>
      <c r="F984" t="str">
        <f t="shared" si="109"/>
        <v>33  - Con</v>
      </c>
      <c r="G984" s="164">
        <v>33975.788698890108</v>
      </c>
      <c r="H984" s="164">
        <v>83765.804223070183</v>
      </c>
      <c r="I984" s="164">
        <v>117741.59292196024</v>
      </c>
      <c r="J984" s="164">
        <v>12.842233165591292</v>
      </c>
      <c r="K984" s="164">
        <v>33.566643318289806</v>
      </c>
      <c r="L984" s="164">
        <v>46.408876483881102</v>
      </c>
      <c r="M984" s="164">
        <v>8.7451122782150357</v>
      </c>
      <c r="N984" s="164">
        <v>22.85771180418568</v>
      </c>
      <c r="O984" s="164">
        <v>31.602824082400716</v>
      </c>
      <c r="P984" s="164">
        <v>2.7279667186165564</v>
      </c>
      <c r="Q984" s="164">
        <v>7.1302774717804578</v>
      </c>
      <c r="R984" s="164">
        <v>9.8582441903970146</v>
      </c>
      <c r="S984" s="163" t="str">
        <f t="shared" si="110"/>
        <v>BI</v>
      </c>
      <c r="T984" s="163">
        <f>VLOOKUP(A984,'Groupe de branches'!$Z$27:$AM$86,14,FALSE)</f>
        <v>0</v>
      </c>
      <c r="U984" s="163">
        <f>VLOOKUP(D984,'Groupe de branches'!$Z$27:$AM$86,14,FALSE)</f>
        <v>0</v>
      </c>
      <c r="V984" s="163">
        <v>2018</v>
      </c>
      <c r="W984" t="str">
        <f>VLOOKUP(D984,'Table corresp.'!$M$4:$S$63,7,FALSE)</f>
        <v>Consommation finale</v>
      </c>
      <c r="X984" s="167">
        <f>IFERROR(G984/SUMIFS('Comp2016-2017 (3)'!$I$5:$I$289,'Comp2016-2017 (3)'!$A$5:$A$289,A984,'Comp2016-2017 (3)'!$R$5:$R$289,V984),0)</f>
        <v>0.48566674990515679</v>
      </c>
      <c r="Y984" s="178">
        <f>IFERROR(IF(RIGHT(F984,3)="Exp",VLOOKUP(F984,#REF!,2,FALSE),VLOOKUP(F984,#REF!,9,FALSE)),1)</f>
        <v>1</v>
      </c>
      <c r="Z984" s="167">
        <f t="shared" si="117"/>
        <v>0.25</v>
      </c>
      <c r="AA984" s="189">
        <f t="shared" si="114"/>
        <v>0.1214166874762892</v>
      </c>
      <c r="AB984" s="2">
        <f>IFERROR(SUMIFS('Comp2016-2017 (3)'!$G$5:$G$289,'Comp2016-2017 (3)'!$A$5:$A$289,A984,'Comp2016-2017 (3)'!$R$5:$R$289,V984)*AA984/SUMIFS($AA$4:$AA$1116,$A$4:$A$1116,A984,$V$4:$V$1116,V984),0)</f>
        <v>8843.8733370276022</v>
      </c>
      <c r="AC984" s="2" t="str">
        <f>IF($W984=AC$3,$AB984,IF(NOT($W984=0),"",SUMIFS('Val-Vol (2)'!AC$4:AC$1116,'Val-Vol (2)'!$A$4:$A$1116,$D984,'Val-Vol (2)'!$V$4:$V$1116,$V984)/SUMIFS('Comp2016-2017 (3)'!$G$5:$G$289,'Comp2016-2017 (3)'!$A$5:$A$289,$D984,'Comp2016-2017 (3)'!$R$5:$R$289,$V984)*$AB984))</f>
        <v/>
      </c>
      <c r="AD984" s="2" t="str">
        <f>IF($W984=AD$3,$AB984,IF(NOT($W984=0),"",SUMIFS('Val-Vol (2)'!AD$4:AD$1116,'Val-Vol (2)'!$A$4:$A$1116,$D984,'Val-Vol (2)'!$V$4:$V$1116,$V984)/SUMIFS('Comp2016-2017 (3)'!$G$5:$G$289,'Comp2016-2017 (3)'!$A$5:$A$289,$D984,'Comp2016-2017 (3)'!$R$5:$R$289,$V984)*$AB984))</f>
        <v/>
      </c>
      <c r="AE984" s="2" t="str">
        <f>IF($W984=AE$3,$AB984,IF(NOT($W984=0),"",SUMIFS('Val-Vol (2)'!AE$4:AE$1116,'Val-Vol (2)'!$A$4:$A$1116,$D984,'Val-Vol (2)'!$V$4:$V$1116,$V984)/SUMIFS('Comp2016-2017 (3)'!$G$5:$G$289,'Comp2016-2017 (3)'!$A$5:$A$289,$D984,'Comp2016-2017 (3)'!$R$5:$R$289,$V984)*$AB984))</f>
        <v/>
      </c>
      <c r="AF984" s="2" t="str">
        <f>IF($W984=AF$3,$AB984,IF(NOT($W984=0),"",SUMIFS('Val-Vol (2)'!AF$4:AF$1116,'Val-Vol (2)'!$A$4:$A$1116,$D984,'Val-Vol (2)'!$V$4:$V$1116,$V984)/SUMIFS('Comp2016-2017 (3)'!$G$5:$G$289,'Comp2016-2017 (3)'!$A$5:$A$289,$D984,'Comp2016-2017 (3)'!$R$5:$R$289,$V984)*$AB984))</f>
        <v/>
      </c>
      <c r="AG984" s="2" t="str">
        <f>IF($W984=AG$3,$AB984,IF(NOT($W984=0),"",SUMIFS('Val-Vol (2)'!AG$4:AG$1116,'Val-Vol (2)'!$A$4:$A$1116,$D984,'Val-Vol (2)'!$V$4:$V$1116,$V984)/SUMIFS('Comp2016-2017 (3)'!$G$5:$G$289,'Comp2016-2017 (3)'!$A$5:$A$289,$D984,'Comp2016-2017 (3)'!$R$5:$R$289,$V984)*$AB984))</f>
        <v/>
      </c>
      <c r="AH984" s="2" t="str">
        <f>IF($W984=AH$3,$AB984,IF(NOT($W984=0),"",SUMIFS('Val-Vol (2)'!AH$4:AH$1116,'Val-Vol (2)'!$A$4:$A$1116,$D984,'Val-Vol (2)'!$V$4:$V$1116,$V984)/SUMIFS('Comp2016-2017 (3)'!$G$5:$G$289,'Comp2016-2017 (3)'!$A$5:$A$289,$D984,'Comp2016-2017 (3)'!$R$5:$R$289,$V984)*$AB984))</f>
        <v/>
      </c>
      <c r="AI984" s="2" t="str">
        <f>IF($W984=AI$3,$AB984,IF(NOT($W984=0),"",SUMIFS('Val-Vol (2)'!AI$4:AI$1116,'Val-Vol (2)'!$A$4:$A$1116,$D984,'Val-Vol (2)'!$V$4:$V$1116,$V984)/SUMIFS('Comp2016-2017 (3)'!$G$5:$G$289,'Comp2016-2017 (3)'!$A$5:$A$289,$D984,'Comp2016-2017 (3)'!$R$5:$R$289,$V984)*$AB984))</f>
        <v/>
      </c>
      <c r="AJ984" s="2">
        <f>IF($W984=AJ$3,$AB984,IF(NOT($W984=0),"",SUMIFS('Val-Vol (2)'!AJ$4:AJ$1116,'Val-Vol (2)'!$A$4:$A$1116,$D984,'Val-Vol (2)'!$V$4:$V$1116,$V984)/SUMIFS('Comp2016-2017 (3)'!$G$5:$G$289,'Comp2016-2017 (3)'!$A$5:$A$289,$D984,'Comp2016-2017 (3)'!$R$5:$R$289,$V984)*$AB984))</f>
        <v>8843.8733370276022</v>
      </c>
      <c r="AK984" s="2">
        <f t="shared" si="115"/>
        <v>0</v>
      </c>
      <c r="AL984" t="str">
        <f t="shared" si="113"/>
        <v/>
      </c>
      <c r="AM984" t="str">
        <f>VLOOKUP(A984,'Table corresp.'!$M$4:$U$63,8,FALSE)</f>
        <v>Production finale</v>
      </c>
      <c r="AN984" t="str">
        <f>VLOOKUP(D984,'Table corresp.'!$M$4:$U$63,9,FALSE)</f>
        <v>Consommation finale française</v>
      </c>
    </row>
    <row r="985" spans="1:40" x14ac:dyDescent="0.25">
      <c r="A985" t="s">
        <v>89</v>
      </c>
      <c r="B985" t="str">
        <f>VLOOKUP(LEFT(A985,3),'Table corresp.'!$A$4:$D$63,3,FALSE)</f>
        <v>Transformation</v>
      </c>
      <c r="C985" t="str">
        <f>VLOOKUP(A985,'Table corresp.'!$M$4:$P$63,4,FALSE)</f>
        <v>Production et transformation de produits bois</v>
      </c>
      <c r="D985" t="s">
        <v>53</v>
      </c>
      <c r="E985" t="str">
        <f>VLOOKUP(LEFT(D985,3),'Table corresp.'!$A$4:$D$63,4,FALSE)</f>
        <v>Exportation</v>
      </c>
      <c r="F985" t="str">
        <f t="shared" si="109"/>
        <v>33  - Exp</v>
      </c>
      <c r="G985" s="164">
        <v>17202.513000000006</v>
      </c>
      <c r="H985" s="164">
        <v>0</v>
      </c>
      <c r="I985" s="164">
        <v>17202.512999999999</v>
      </c>
      <c r="J985" s="164">
        <v>5.8018885032872261</v>
      </c>
      <c r="K985" s="164">
        <v>0</v>
      </c>
      <c r="L985" s="164">
        <v>5.8018885032872261</v>
      </c>
      <c r="M985" s="164">
        <v>3.9508834431441855</v>
      </c>
      <c r="N985" s="164">
        <v>0</v>
      </c>
      <c r="O985" s="164">
        <v>3.9508834431441855</v>
      </c>
      <c r="P985" s="164">
        <v>1.2324459880154219</v>
      </c>
      <c r="Q985" s="164">
        <v>0</v>
      </c>
      <c r="R985" s="164">
        <v>1.2324459880154219</v>
      </c>
      <c r="S985" s="163" t="str">
        <f t="shared" si="110"/>
        <v>BI</v>
      </c>
      <c r="T985" s="163">
        <f>VLOOKUP(A985,'Groupe de branches'!$Z$27:$AM$86,14,FALSE)</f>
        <v>0</v>
      </c>
      <c r="U985" s="163">
        <f>VLOOKUP(D985,'Groupe de branches'!$Z$27:$AM$86,14,FALSE)</f>
        <v>0</v>
      </c>
      <c r="V985" s="163">
        <v>2018</v>
      </c>
      <c r="W985" t="str">
        <f>VLOOKUP(D985,'Table corresp.'!$M$4:$S$63,7,FALSE)</f>
        <v>Exportation</v>
      </c>
      <c r="X985" s="167">
        <f>IFERROR(G985/SUMIFS('Comp2016-2017 (3)'!$I$5:$I$289,'Comp2016-2017 (3)'!$A$5:$A$289,A985,'Comp2016-2017 (3)'!$R$5:$R$289,V985),0)</f>
        <v>0.24590124023181648</v>
      </c>
      <c r="Y985" s="178">
        <f>IFERROR(IF(RIGHT(F985,3)="Exp",VLOOKUP(F985,#REF!,2,FALSE),VLOOKUP(F985,#REF!,9,FALSE)),1)</f>
        <v>1</v>
      </c>
      <c r="Z985" s="167">
        <f t="shared" si="117"/>
        <v>0.25</v>
      </c>
      <c r="AA985" s="189">
        <f t="shared" si="114"/>
        <v>6.1475310057954119E-2</v>
      </c>
      <c r="AB985" s="2">
        <f>IFERROR(SUMIFS('Comp2016-2017 (3)'!$G$5:$G$289,'Comp2016-2017 (3)'!$A$5:$A$289,A985,'Comp2016-2017 (3)'!$R$5:$R$289,V985)*AA985/SUMIFS($AA$4:$AA$1116,$A$4:$A$1116,A985,$V$4:$V$1116,V985),0)</f>
        <v>4477.8017487358775</v>
      </c>
      <c r="AC985" s="2">
        <f>IF($W985=AC$3,$AB985,IF(NOT($W985=0),"",SUMIFS('Val-Vol (2)'!AC$4:AC$1116,'Val-Vol (2)'!$A$4:$A$1116,$D985,'Val-Vol (2)'!$V$4:$V$1116,$V985)/SUMIFS('Comp2016-2017 (3)'!$G$5:$G$289,'Comp2016-2017 (3)'!$A$5:$A$289,$D985,'Comp2016-2017 (3)'!$R$5:$R$289,$V985)*$AB985))</f>
        <v>4477.8017487358775</v>
      </c>
      <c r="AD985" s="2" t="str">
        <f>IF($W985=AD$3,$AB985,IF(NOT($W985=0),"",SUMIFS('Val-Vol (2)'!AD$4:AD$1116,'Val-Vol (2)'!$A$4:$A$1116,$D985,'Val-Vol (2)'!$V$4:$V$1116,$V985)/SUMIFS('Comp2016-2017 (3)'!$G$5:$G$289,'Comp2016-2017 (3)'!$A$5:$A$289,$D985,'Comp2016-2017 (3)'!$R$5:$R$289,$V985)*$AB985))</f>
        <v/>
      </c>
      <c r="AE985" s="2" t="str">
        <f>IF($W985=AE$3,$AB985,IF(NOT($W985=0),"",SUMIFS('Val-Vol (2)'!AE$4:AE$1116,'Val-Vol (2)'!$A$4:$A$1116,$D985,'Val-Vol (2)'!$V$4:$V$1116,$V985)/SUMIFS('Comp2016-2017 (3)'!$G$5:$G$289,'Comp2016-2017 (3)'!$A$5:$A$289,$D985,'Comp2016-2017 (3)'!$R$5:$R$289,$V985)*$AB985))</f>
        <v/>
      </c>
      <c r="AF985" s="2" t="str">
        <f>IF($W985=AF$3,$AB985,IF(NOT($W985=0),"",SUMIFS('Val-Vol (2)'!AF$4:AF$1116,'Val-Vol (2)'!$A$4:$A$1116,$D985,'Val-Vol (2)'!$V$4:$V$1116,$V985)/SUMIFS('Comp2016-2017 (3)'!$G$5:$G$289,'Comp2016-2017 (3)'!$A$5:$A$289,$D985,'Comp2016-2017 (3)'!$R$5:$R$289,$V985)*$AB985))</f>
        <v/>
      </c>
      <c r="AG985" s="2" t="str">
        <f>IF($W985=AG$3,$AB985,IF(NOT($W985=0),"",SUMIFS('Val-Vol (2)'!AG$4:AG$1116,'Val-Vol (2)'!$A$4:$A$1116,$D985,'Val-Vol (2)'!$V$4:$V$1116,$V985)/SUMIFS('Comp2016-2017 (3)'!$G$5:$G$289,'Comp2016-2017 (3)'!$A$5:$A$289,$D985,'Comp2016-2017 (3)'!$R$5:$R$289,$V985)*$AB985))</f>
        <v/>
      </c>
      <c r="AH985" s="2" t="str">
        <f>IF($W985=AH$3,$AB985,IF(NOT($W985=0),"",SUMIFS('Val-Vol (2)'!AH$4:AH$1116,'Val-Vol (2)'!$A$4:$A$1116,$D985,'Val-Vol (2)'!$V$4:$V$1116,$V985)/SUMIFS('Comp2016-2017 (3)'!$G$5:$G$289,'Comp2016-2017 (3)'!$A$5:$A$289,$D985,'Comp2016-2017 (3)'!$R$5:$R$289,$V985)*$AB985))</f>
        <v/>
      </c>
      <c r="AI985" s="2" t="str">
        <f>IF($W985=AI$3,$AB985,IF(NOT($W985=0),"",SUMIFS('Val-Vol (2)'!AI$4:AI$1116,'Val-Vol (2)'!$A$4:$A$1116,$D985,'Val-Vol (2)'!$V$4:$V$1116,$V985)/SUMIFS('Comp2016-2017 (3)'!$G$5:$G$289,'Comp2016-2017 (3)'!$A$5:$A$289,$D985,'Comp2016-2017 (3)'!$R$5:$R$289,$V985)*$AB985))</f>
        <v/>
      </c>
      <c r="AJ985" s="2" t="str">
        <f>IF($W985=AJ$3,$AB985,IF(NOT($W985=0),"",SUMIFS('Val-Vol (2)'!AJ$4:AJ$1116,'Val-Vol (2)'!$A$4:$A$1116,$D985,'Val-Vol (2)'!$V$4:$V$1116,$V985)/SUMIFS('Comp2016-2017 (3)'!$G$5:$G$289,'Comp2016-2017 (3)'!$A$5:$A$289,$D985,'Comp2016-2017 (3)'!$R$5:$R$289,$V985)*$AB985))</f>
        <v/>
      </c>
      <c r="AK985" s="2">
        <f t="shared" si="115"/>
        <v>0</v>
      </c>
      <c r="AL985" t="str">
        <f t="shared" si="113"/>
        <v/>
      </c>
      <c r="AM985" t="str">
        <f>VLOOKUP(A985,'Table corresp.'!$M$4:$U$63,8,FALSE)</f>
        <v>Production finale</v>
      </c>
      <c r="AN985" t="str">
        <f>VLOOKUP(D985,'Table corresp.'!$M$4:$U$63,9,FALSE)</f>
        <v>Exportation</v>
      </c>
    </row>
    <row r="986" spans="1:40" x14ac:dyDescent="0.25">
      <c r="A986" t="s">
        <v>90</v>
      </c>
      <c r="B986" t="str">
        <f>VLOOKUP(LEFT(A986,3),'Table corresp.'!$A$4:$D$63,3,FALSE)</f>
        <v>Transformation</v>
      </c>
      <c r="C986" t="str">
        <f>VLOOKUP(A986,'Table corresp.'!$M$4:$P$63,4,FALSE)</f>
        <v>Production et transformation de produits bois</v>
      </c>
      <c r="D986" t="s">
        <v>24</v>
      </c>
      <c r="E986" t="str">
        <f>VLOOKUP(LEFT(D986,3),'Table corresp.'!$A$4:$D$63,4,FALSE)</f>
        <v>Transformation</v>
      </c>
      <c r="F986" t="str">
        <f t="shared" si="109"/>
        <v xml:space="preserve">34  - 57 </v>
      </c>
      <c r="G986" s="164">
        <v>530160.09986371163</v>
      </c>
      <c r="H986" s="164">
        <v>63066.62182511315</v>
      </c>
      <c r="I986" s="164">
        <v>593226.72168882506</v>
      </c>
      <c r="J986" s="164">
        <v>447.89842638158183</v>
      </c>
      <c r="K986" s="164">
        <v>72.757330959084058</v>
      </c>
      <c r="L986" s="164">
        <v>520.6557573406659</v>
      </c>
      <c r="M986" s="164">
        <v>47.545513206632968</v>
      </c>
      <c r="N986" s="164">
        <v>7.7233685948416344</v>
      </c>
      <c r="O986" s="164">
        <v>55.268881801474606</v>
      </c>
      <c r="P986" s="164">
        <v>9.9777939981515047</v>
      </c>
      <c r="Q986" s="164">
        <v>1.620808686535997</v>
      </c>
      <c r="R986" s="164">
        <v>11.598602684687501</v>
      </c>
      <c r="S986" s="163" t="str">
        <f t="shared" si="110"/>
        <v>BI</v>
      </c>
      <c r="T986" s="163">
        <f>VLOOKUP(A986,'Groupe de branches'!$Z$27:$AM$86,14,FALSE)</f>
        <v>0</v>
      </c>
      <c r="U986" s="163">
        <f>VLOOKUP(D986,'Groupe de branches'!$Z$27:$AM$86,14,FALSE)</f>
        <v>0</v>
      </c>
      <c r="V986" s="163">
        <v>2018</v>
      </c>
      <c r="W986" t="str">
        <f>VLOOKUP(D986,'Table corresp.'!$M$4:$S$63,7,FALSE)</f>
        <v>Construction</v>
      </c>
      <c r="X986" s="167">
        <f>IFERROR(G986/SUMIFS('Comp2016-2017 (3)'!$I$5:$I$289,'Comp2016-2017 (3)'!$A$5:$A$289,A986,'Comp2016-2017 (3)'!$R$5:$R$289,V986),0)</f>
        <v>0.67730277261701488</v>
      </c>
      <c r="Y986" s="178">
        <f>IFERROR(IF(RIGHT(F986,3)="Exp",VLOOKUP(F986,#REF!,2,FALSE),VLOOKUP(F986,#REF!,9,FALSE)),1)</f>
        <v>1</v>
      </c>
      <c r="Z986" s="167">
        <f t="shared" si="117"/>
        <v>0.33333333333333331</v>
      </c>
      <c r="AA986" s="189">
        <f t="shared" si="114"/>
        <v>0.22576759087233828</v>
      </c>
      <c r="AB986" s="2">
        <f>IFERROR(SUMIFS('Comp2016-2017 (3)'!$G$5:$G$289,'Comp2016-2017 (3)'!$A$5:$A$289,A986,'Comp2016-2017 (3)'!$R$5:$R$289,V986)*AA986/SUMIFS($AA$4:$AA$1116,$A$4:$A$1116,A986,$V$4:$V$1116,V986),0)</f>
        <v>157177.2339420449</v>
      </c>
      <c r="AC986" s="2" t="str">
        <f>IF($W986=AC$3,$AB986,IF(NOT($W986=0),"",SUMIFS('Val-Vol (2)'!AC$4:AC$1116,'Val-Vol (2)'!$A$4:$A$1116,$D986,'Val-Vol (2)'!$V$4:$V$1116,$V986)/SUMIFS('Comp2016-2017 (3)'!$G$5:$G$289,'Comp2016-2017 (3)'!$A$5:$A$289,$D986,'Comp2016-2017 (3)'!$R$5:$R$289,$V986)*$AB986))</f>
        <v/>
      </c>
      <c r="AD986" s="2">
        <f>IF($W986=AD$3,$AB986,IF(NOT($W986=0),"",SUMIFS('Val-Vol (2)'!AD$4:AD$1116,'Val-Vol (2)'!$A$4:$A$1116,$D986,'Val-Vol (2)'!$V$4:$V$1116,$V986)/SUMIFS('Comp2016-2017 (3)'!$G$5:$G$289,'Comp2016-2017 (3)'!$A$5:$A$289,$D986,'Comp2016-2017 (3)'!$R$5:$R$289,$V986)*$AB986))</f>
        <v>157177.2339420449</v>
      </c>
      <c r="AE986" s="2" t="str">
        <f>IF($W986=AE$3,$AB986,IF(NOT($W986=0),"",SUMIFS('Val-Vol (2)'!AE$4:AE$1116,'Val-Vol (2)'!$A$4:$A$1116,$D986,'Val-Vol (2)'!$V$4:$V$1116,$V986)/SUMIFS('Comp2016-2017 (3)'!$G$5:$G$289,'Comp2016-2017 (3)'!$A$5:$A$289,$D986,'Comp2016-2017 (3)'!$R$5:$R$289,$V986)*$AB986))</f>
        <v/>
      </c>
      <c r="AF986" s="2" t="str">
        <f>IF($W986=AF$3,$AB986,IF(NOT($W986=0),"",SUMIFS('Val-Vol (2)'!AF$4:AF$1116,'Val-Vol (2)'!$A$4:$A$1116,$D986,'Val-Vol (2)'!$V$4:$V$1116,$V986)/SUMIFS('Comp2016-2017 (3)'!$G$5:$G$289,'Comp2016-2017 (3)'!$A$5:$A$289,$D986,'Comp2016-2017 (3)'!$R$5:$R$289,$V986)*$AB986))</f>
        <v/>
      </c>
      <c r="AG986" s="2" t="str">
        <f>IF($W986=AG$3,$AB986,IF(NOT($W986=0),"",SUMIFS('Val-Vol (2)'!AG$4:AG$1116,'Val-Vol (2)'!$A$4:$A$1116,$D986,'Val-Vol (2)'!$V$4:$V$1116,$V986)/SUMIFS('Comp2016-2017 (3)'!$G$5:$G$289,'Comp2016-2017 (3)'!$A$5:$A$289,$D986,'Comp2016-2017 (3)'!$R$5:$R$289,$V986)*$AB986))</f>
        <v/>
      </c>
      <c r="AH986" s="2" t="str">
        <f>IF($W986=AH$3,$AB986,IF(NOT($W986=0),"",SUMIFS('Val-Vol (2)'!AH$4:AH$1116,'Val-Vol (2)'!$A$4:$A$1116,$D986,'Val-Vol (2)'!$V$4:$V$1116,$V986)/SUMIFS('Comp2016-2017 (3)'!$G$5:$G$289,'Comp2016-2017 (3)'!$A$5:$A$289,$D986,'Comp2016-2017 (3)'!$R$5:$R$289,$V986)*$AB986))</f>
        <v/>
      </c>
      <c r="AI986" s="2" t="str">
        <f>IF($W986=AI$3,$AB986,IF(NOT($W986=0),"",SUMIFS('Val-Vol (2)'!AI$4:AI$1116,'Val-Vol (2)'!$A$4:$A$1116,$D986,'Val-Vol (2)'!$V$4:$V$1116,$V986)/SUMIFS('Comp2016-2017 (3)'!$G$5:$G$289,'Comp2016-2017 (3)'!$A$5:$A$289,$D986,'Comp2016-2017 (3)'!$R$5:$R$289,$V986)*$AB986))</f>
        <v/>
      </c>
      <c r="AJ986" s="2" t="str">
        <f>IF($W986=AJ$3,$AB986,IF(NOT($W986=0),"",SUMIFS('Val-Vol (2)'!AJ$4:AJ$1116,'Val-Vol (2)'!$A$4:$A$1116,$D986,'Val-Vol (2)'!$V$4:$V$1116,$V986)/SUMIFS('Comp2016-2017 (3)'!$G$5:$G$289,'Comp2016-2017 (3)'!$A$5:$A$289,$D986,'Comp2016-2017 (3)'!$R$5:$R$289,$V986)*$AB986))</f>
        <v/>
      </c>
      <c r="AK986" s="2">
        <f t="shared" si="115"/>
        <v>0</v>
      </c>
      <c r="AL986" t="str">
        <f t="shared" si="113"/>
        <v/>
      </c>
      <c r="AM986" t="str">
        <f>VLOOKUP(A986,'Table corresp.'!$M$4:$U$63,8,FALSE)</f>
        <v>Production finale</v>
      </c>
      <c r="AN986" t="str">
        <f>VLOOKUP(D986,'Table corresp.'!$M$4:$U$63,9,FALSE)</f>
        <v xml:space="preserve">Mise en œuvre </v>
      </c>
    </row>
    <row r="987" spans="1:40" x14ac:dyDescent="0.25">
      <c r="A987" t="s">
        <v>90</v>
      </c>
      <c r="B987" t="str">
        <f>VLOOKUP(LEFT(A987,3),'Table corresp.'!$A$4:$D$63,3,FALSE)</f>
        <v>Transformation</v>
      </c>
      <c r="C987" t="str">
        <f>VLOOKUP(A987,'Table corresp.'!$M$4:$P$63,4,FALSE)</f>
        <v>Production et transformation de produits bois</v>
      </c>
      <c r="D987" t="s">
        <v>54</v>
      </c>
      <c r="E987" t="str">
        <f>VLOOKUP(LEFT(D987,3),'Table corresp.'!$A$4:$D$63,4,FALSE)</f>
        <v>Consommation finale</v>
      </c>
      <c r="F987" t="str">
        <f t="shared" si="109"/>
        <v>34  - Con</v>
      </c>
      <c r="G987" s="164">
        <v>225336.43613806355</v>
      </c>
      <c r="H987" s="164">
        <v>112090.44017488674</v>
      </c>
      <c r="I987" s="164">
        <v>337426.87631295039</v>
      </c>
      <c r="J987" s="164">
        <v>220.43116627258311</v>
      </c>
      <c r="K987" s="164">
        <v>193.97109795500802</v>
      </c>
      <c r="L987" s="164">
        <v>414.4022642275911</v>
      </c>
      <c r="M987" s="164">
        <v>23.399307320266978</v>
      </c>
      <c r="N987" s="164">
        <v>20.590506365539152</v>
      </c>
      <c r="O987" s="164">
        <v>43.989813685806126</v>
      </c>
      <c r="P987" s="164">
        <v>4.9105257761418182</v>
      </c>
      <c r="Q987" s="164">
        <v>4.3210771527504583</v>
      </c>
      <c r="R987" s="164">
        <v>9.2316029288922756</v>
      </c>
      <c r="S987" s="163" t="str">
        <f t="shared" si="110"/>
        <v>BI</v>
      </c>
      <c r="T987" s="163">
        <f>VLOOKUP(A987,'Groupe de branches'!$Z$27:$AM$86,14,FALSE)</f>
        <v>0</v>
      </c>
      <c r="U987" s="163">
        <f>VLOOKUP(D987,'Groupe de branches'!$Z$27:$AM$86,14,FALSE)</f>
        <v>0</v>
      </c>
      <c r="V987" s="163">
        <v>2018</v>
      </c>
      <c r="W987" t="str">
        <f>VLOOKUP(D987,'Table corresp.'!$M$4:$S$63,7,FALSE)</f>
        <v>Consommation finale</v>
      </c>
      <c r="X987" s="167">
        <f>IFERROR(G987/SUMIFS('Comp2016-2017 (3)'!$I$5:$I$289,'Comp2016-2017 (3)'!$A$5:$A$289,A987,'Comp2016-2017 (3)'!$R$5:$R$289,V987),0)</f>
        <v>0.28787717711533112</v>
      </c>
      <c r="Y987" s="178">
        <f>IFERROR(IF(RIGHT(F987,3)="Exp",VLOOKUP(F987,#REF!,2,FALSE),VLOOKUP(F987,#REF!,9,FALSE)),1)</f>
        <v>1</v>
      </c>
      <c r="Z987" s="167">
        <f t="shared" si="117"/>
        <v>0.33333333333333331</v>
      </c>
      <c r="AA987" s="189">
        <f t="shared" si="114"/>
        <v>9.5959059038443706E-2</v>
      </c>
      <c r="AB987" s="2">
        <f>IFERROR(SUMIFS('Comp2016-2017 (3)'!$G$5:$G$289,'Comp2016-2017 (3)'!$A$5:$A$289,A987,'Comp2016-2017 (3)'!$R$5:$R$289,V987)*AA987/SUMIFS($AA$4:$AA$1116,$A$4:$A$1116,A987,$V$4:$V$1116,V987),0)</f>
        <v>66805.777627633477</v>
      </c>
      <c r="AC987" s="2" t="str">
        <f>IF($W987=AC$3,$AB987,IF(NOT($W987=0),"",SUMIFS('Val-Vol (2)'!AC$4:AC$1116,'Val-Vol (2)'!$A$4:$A$1116,$D987,'Val-Vol (2)'!$V$4:$V$1116,$V987)/SUMIFS('Comp2016-2017 (3)'!$G$5:$G$289,'Comp2016-2017 (3)'!$A$5:$A$289,$D987,'Comp2016-2017 (3)'!$R$5:$R$289,$V987)*$AB987))</f>
        <v/>
      </c>
      <c r="AD987" s="2" t="str">
        <f>IF($W987=AD$3,$AB987,IF(NOT($W987=0),"",SUMIFS('Val-Vol (2)'!AD$4:AD$1116,'Val-Vol (2)'!$A$4:$A$1116,$D987,'Val-Vol (2)'!$V$4:$V$1116,$V987)/SUMIFS('Comp2016-2017 (3)'!$G$5:$G$289,'Comp2016-2017 (3)'!$A$5:$A$289,$D987,'Comp2016-2017 (3)'!$R$5:$R$289,$V987)*$AB987))</f>
        <v/>
      </c>
      <c r="AE987" s="2" t="str">
        <f>IF($W987=AE$3,$AB987,IF(NOT($W987=0),"",SUMIFS('Val-Vol (2)'!AE$4:AE$1116,'Val-Vol (2)'!$A$4:$A$1116,$D987,'Val-Vol (2)'!$V$4:$V$1116,$V987)/SUMIFS('Comp2016-2017 (3)'!$G$5:$G$289,'Comp2016-2017 (3)'!$A$5:$A$289,$D987,'Comp2016-2017 (3)'!$R$5:$R$289,$V987)*$AB987))</f>
        <v/>
      </c>
      <c r="AF987" s="2" t="str">
        <f>IF($W987=AF$3,$AB987,IF(NOT($W987=0),"",SUMIFS('Val-Vol (2)'!AF$4:AF$1116,'Val-Vol (2)'!$A$4:$A$1116,$D987,'Val-Vol (2)'!$V$4:$V$1116,$V987)/SUMIFS('Comp2016-2017 (3)'!$G$5:$G$289,'Comp2016-2017 (3)'!$A$5:$A$289,$D987,'Comp2016-2017 (3)'!$R$5:$R$289,$V987)*$AB987))</f>
        <v/>
      </c>
      <c r="AG987" s="2" t="str">
        <f>IF($W987=AG$3,$AB987,IF(NOT($W987=0),"",SUMIFS('Val-Vol (2)'!AG$4:AG$1116,'Val-Vol (2)'!$A$4:$A$1116,$D987,'Val-Vol (2)'!$V$4:$V$1116,$V987)/SUMIFS('Comp2016-2017 (3)'!$G$5:$G$289,'Comp2016-2017 (3)'!$A$5:$A$289,$D987,'Comp2016-2017 (3)'!$R$5:$R$289,$V987)*$AB987))</f>
        <v/>
      </c>
      <c r="AH987" s="2" t="str">
        <f>IF($W987=AH$3,$AB987,IF(NOT($W987=0),"",SUMIFS('Val-Vol (2)'!AH$4:AH$1116,'Val-Vol (2)'!$A$4:$A$1116,$D987,'Val-Vol (2)'!$V$4:$V$1116,$V987)/SUMIFS('Comp2016-2017 (3)'!$G$5:$G$289,'Comp2016-2017 (3)'!$A$5:$A$289,$D987,'Comp2016-2017 (3)'!$R$5:$R$289,$V987)*$AB987))</f>
        <v/>
      </c>
      <c r="AI987" s="2" t="str">
        <f>IF($W987=AI$3,$AB987,IF(NOT($W987=0),"",SUMIFS('Val-Vol (2)'!AI$4:AI$1116,'Val-Vol (2)'!$A$4:$A$1116,$D987,'Val-Vol (2)'!$V$4:$V$1116,$V987)/SUMIFS('Comp2016-2017 (3)'!$G$5:$G$289,'Comp2016-2017 (3)'!$A$5:$A$289,$D987,'Comp2016-2017 (3)'!$R$5:$R$289,$V987)*$AB987))</f>
        <v/>
      </c>
      <c r="AJ987" s="2">
        <f>IF($W987=AJ$3,$AB987,IF(NOT($W987=0),"",SUMIFS('Val-Vol (2)'!AJ$4:AJ$1116,'Val-Vol (2)'!$A$4:$A$1116,$D987,'Val-Vol (2)'!$V$4:$V$1116,$V987)/SUMIFS('Comp2016-2017 (3)'!$G$5:$G$289,'Comp2016-2017 (3)'!$A$5:$A$289,$D987,'Comp2016-2017 (3)'!$R$5:$R$289,$V987)*$AB987))</f>
        <v>66805.777627633477</v>
      </c>
      <c r="AK987" s="2">
        <f t="shared" si="115"/>
        <v>0</v>
      </c>
      <c r="AL987" t="str">
        <f t="shared" si="113"/>
        <v/>
      </c>
      <c r="AM987" t="str">
        <f>VLOOKUP(A987,'Table corresp.'!$M$4:$U$63,8,FALSE)</f>
        <v>Production finale</v>
      </c>
      <c r="AN987" t="str">
        <f>VLOOKUP(D987,'Table corresp.'!$M$4:$U$63,9,FALSE)</f>
        <v>Consommation finale française</v>
      </c>
    </row>
    <row r="988" spans="1:40" x14ac:dyDescent="0.25">
      <c r="A988" t="s">
        <v>90</v>
      </c>
      <c r="B988" t="str">
        <f>VLOOKUP(LEFT(A988,3),'Table corresp.'!$A$4:$D$63,3,FALSE)</f>
        <v>Transformation</v>
      </c>
      <c r="C988" t="str">
        <f>VLOOKUP(A988,'Table corresp.'!$M$4:$P$63,4,FALSE)</f>
        <v>Production et transformation de produits bois</v>
      </c>
      <c r="D988" t="s">
        <v>53</v>
      </c>
      <c r="E988" t="str">
        <f>VLOOKUP(LEFT(D988,3),'Table corresp.'!$A$4:$D$63,4,FALSE)</f>
        <v>Exportation</v>
      </c>
      <c r="F988" t="str">
        <f t="shared" si="109"/>
        <v>34  - Exp</v>
      </c>
      <c r="G988" s="164">
        <v>27255.463999999985</v>
      </c>
      <c r="H988" s="164">
        <v>0</v>
      </c>
      <c r="I988" s="164">
        <v>27255.463999999996</v>
      </c>
      <c r="J988" s="164">
        <v>20.356853469907616</v>
      </c>
      <c r="K988" s="164">
        <v>0</v>
      </c>
      <c r="L988" s="164">
        <v>20.356853469907616</v>
      </c>
      <c r="M988" s="164">
        <v>2.1609297744538472</v>
      </c>
      <c r="N988" s="164">
        <v>0</v>
      </c>
      <c r="O988" s="164">
        <v>2.1609297744538472</v>
      </c>
      <c r="P988" s="164">
        <v>0.45348784101387113</v>
      </c>
      <c r="Q988" s="164">
        <v>0</v>
      </c>
      <c r="R988" s="164">
        <v>0.45348784101387113</v>
      </c>
      <c r="S988" s="163" t="str">
        <f t="shared" si="110"/>
        <v>BI</v>
      </c>
      <c r="T988" s="163">
        <f>VLOOKUP(A988,'Groupe de branches'!$Z$27:$AM$86,14,FALSE)</f>
        <v>0</v>
      </c>
      <c r="U988" s="163">
        <f>VLOOKUP(D988,'Groupe de branches'!$Z$27:$AM$86,14,FALSE)</f>
        <v>0</v>
      </c>
      <c r="V988" s="163">
        <v>2018</v>
      </c>
      <c r="W988" t="str">
        <f>VLOOKUP(D988,'Table corresp.'!$M$4:$S$63,7,FALSE)</f>
        <v>Exportation</v>
      </c>
      <c r="X988" s="167">
        <f>IFERROR(G988/SUMIFS('Comp2016-2017 (3)'!$I$5:$I$289,'Comp2016-2017 (3)'!$A$5:$A$289,A988,'Comp2016-2017 (3)'!$R$5:$R$289,V988),0)</f>
        <v>3.4820050284638152E-2</v>
      </c>
      <c r="Y988" s="178">
        <f>IFERROR(IF(RIGHT(F988,3)="Exp",VLOOKUP(F988,#REF!,2,FALSE),VLOOKUP(F988,#REF!,9,FALSE)),1)</f>
        <v>1</v>
      </c>
      <c r="Z988" s="167">
        <f t="shared" si="117"/>
        <v>0.33333333333333331</v>
      </c>
      <c r="AA988" s="189">
        <f t="shared" si="114"/>
        <v>1.1606683428212717E-2</v>
      </c>
      <c r="AB988" s="2">
        <f>IFERROR(SUMIFS('Comp2016-2017 (3)'!$G$5:$G$289,'Comp2016-2017 (3)'!$A$5:$A$289,A988,'Comp2016-2017 (3)'!$R$5:$R$289,V988)*AA988/SUMIFS($AA$4:$AA$1116,$A$4:$A$1116,A988,$V$4:$V$1116,V988),0)</f>
        <v>8080.4618122492666</v>
      </c>
      <c r="AC988" s="2">
        <f>IF($W988=AC$3,$AB988,IF(NOT($W988=0),"",SUMIFS('Val-Vol (2)'!AC$4:AC$1116,'Val-Vol (2)'!$A$4:$A$1116,$D988,'Val-Vol (2)'!$V$4:$V$1116,$V988)/SUMIFS('Comp2016-2017 (3)'!$G$5:$G$289,'Comp2016-2017 (3)'!$A$5:$A$289,$D988,'Comp2016-2017 (3)'!$R$5:$R$289,$V988)*$AB988))</f>
        <v>8080.4618122492666</v>
      </c>
      <c r="AD988" s="2" t="str">
        <f>IF($W988=AD$3,$AB988,IF(NOT($W988=0),"",SUMIFS('Val-Vol (2)'!AD$4:AD$1116,'Val-Vol (2)'!$A$4:$A$1116,$D988,'Val-Vol (2)'!$V$4:$V$1116,$V988)/SUMIFS('Comp2016-2017 (3)'!$G$5:$G$289,'Comp2016-2017 (3)'!$A$5:$A$289,$D988,'Comp2016-2017 (3)'!$R$5:$R$289,$V988)*$AB988))</f>
        <v/>
      </c>
      <c r="AE988" s="2" t="str">
        <f>IF($W988=AE$3,$AB988,IF(NOT($W988=0),"",SUMIFS('Val-Vol (2)'!AE$4:AE$1116,'Val-Vol (2)'!$A$4:$A$1116,$D988,'Val-Vol (2)'!$V$4:$V$1116,$V988)/SUMIFS('Comp2016-2017 (3)'!$G$5:$G$289,'Comp2016-2017 (3)'!$A$5:$A$289,$D988,'Comp2016-2017 (3)'!$R$5:$R$289,$V988)*$AB988))</f>
        <v/>
      </c>
      <c r="AF988" s="2" t="str">
        <f>IF($W988=AF$3,$AB988,IF(NOT($W988=0),"",SUMIFS('Val-Vol (2)'!AF$4:AF$1116,'Val-Vol (2)'!$A$4:$A$1116,$D988,'Val-Vol (2)'!$V$4:$V$1116,$V988)/SUMIFS('Comp2016-2017 (3)'!$G$5:$G$289,'Comp2016-2017 (3)'!$A$5:$A$289,$D988,'Comp2016-2017 (3)'!$R$5:$R$289,$V988)*$AB988))</f>
        <v/>
      </c>
      <c r="AG988" s="2" t="str">
        <f>IF($W988=AG$3,$AB988,IF(NOT($W988=0),"",SUMIFS('Val-Vol (2)'!AG$4:AG$1116,'Val-Vol (2)'!$A$4:$A$1116,$D988,'Val-Vol (2)'!$V$4:$V$1116,$V988)/SUMIFS('Comp2016-2017 (3)'!$G$5:$G$289,'Comp2016-2017 (3)'!$A$5:$A$289,$D988,'Comp2016-2017 (3)'!$R$5:$R$289,$V988)*$AB988))</f>
        <v/>
      </c>
      <c r="AH988" s="2" t="str">
        <f>IF($W988=AH$3,$AB988,IF(NOT($W988=0),"",SUMIFS('Val-Vol (2)'!AH$4:AH$1116,'Val-Vol (2)'!$A$4:$A$1116,$D988,'Val-Vol (2)'!$V$4:$V$1116,$V988)/SUMIFS('Comp2016-2017 (3)'!$G$5:$G$289,'Comp2016-2017 (3)'!$A$5:$A$289,$D988,'Comp2016-2017 (3)'!$R$5:$R$289,$V988)*$AB988))</f>
        <v/>
      </c>
      <c r="AI988" s="2" t="str">
        <f>IF($W988=AI$3,$AB988,IF(NOT($W988=0),"",SUMIFS('Val-Vol (2)'!AI$4:AI$1116,'Val-Vol (2)'!$A$4:$A$1116,$D988,'Val-Vol (2)'!$V$4:$V$1116,$V988)/SUMIFS('Comp2016-2017 (3)'!$G$5:$G$289,'Comp2016-2017 (3)'!$A$5:$A$289,$D988,'Comp2016-2017 (3)'!$R$5:$R$289,$V988)*$AB988))</f>
        <v/>
      </c>
      <c r="AJ988" s="2" t="str">
        <f>IF($W988=AJ$3,$AB988,IF(NOT($W988=0),"",SUMIFS('Val-Vol (2)'!AJ$4:AJ$1116,'Val-Vol (2)'!$A$4:$A$1116,$D988,'Val-Vol (2)'!$V$4:$V$1116,$V988)/SUMIFS('Comp2016-2017 (3)'!$G$5:$G$289,'Comp2016-2017 (3)'!$A$5:$A$289,$D988,'Comp2016-2017 (3)'!$R$5:$R$289,$V988)*$AB988))</f>
        <v/>
      </c>
      <c r="AK988" s="2">
        <f t="shared" si="115"/>
        <v>0</v>
      </c>
      <c r="AL988" t="str">
        <f t="shared" si="113"/>
        <v/>
      </c>
      <c r="AM988" t="str">
        <f>VLOOKUP(A988,'Table corresp.'!$M$4:$U$63,8,FALSE)</f>
        <v>Production finale</v>
      </c>
      <c r="AN988" t="str">
        <f>VLOOKUP(D988,'Table corresp.'!$M$4:$U$63,9,FALSE)</f>
        <v>Exportation</v>
      </c>
    </row>
    <row r="989" spans="1:40" x14ac:dyDescent="0.25">
      <c r="A989" t="s">
        <v>15</v>
      </c>
      <c r="B989" t="str">
        <f>VLOOKUP(LEFT(A989,3),'Table corresp.'!$A$4:$D$63,3,FALSE)</f>
        <v>Transformation</v>
      </c>
      <c r="C989" t="str">
        <f>VLOOKUP(A989,'Table corresp.'!$M$4:$P$63,4,FALSE)</f>
        <v>Production et transformation de produits bois</v>
      </c>
      <c r="D989" t="s">
        <v>21</v>
      </c>
      <c r="E989" t="str">
        <f>VLOOKUP(LEFT(D989,3),'Table corresp.'!$A$4:$D$63,4,FALSE)</f>
        <v>Transformation</v>
      </c>
      <c r="F989" t="str">
        <f t="shared" si="109"/>
        <v xml:space="preserve">35  - 54 </v>
      </c>
      <c r="G989" s="164">
        <v>576617.04444120859</v>
      </c>
      <c r="H989" s="164">
        <v>61870.712259995555</v>
      </c>
      <c r="I989" s="164">
        <v>638487.75670120388</v>
      </c>
      <c r="J989" s="164">
        <v>550.82731431427339</v>
      </c>
      <c r="K989" s="164">
        <v>82.872050634948295</v>
      </c>
      <c r="L989" s="164">
        <v>633.69936494922172</v>
      </c>
      <c r="M989" s="164">
        <v>20.636172604081629</v>
      </c>
      <c r="N989" s="164">
        <v>3.1047152102215043</v>
      </c>
      <c r="O989" s="164">
        <v>23.740887814303132</v>
      </c>
      <c r="P989" s="164">
        <v>9.3875113796185801</v>
      </c>
      <c r="Q989" s="164">
        <v>1.4123524708581165</v>
      </c>
      <c r="R989" s="164">
        <v>10.799863850476697</v>
      </c>
      <c r="S989" s="163" t="str">
        <f t="shared" si="110"/>
        <v>BI</v>
      </c>
      <c r="T989" s="163">
        <f>VLOOKUP(A989,'Groupe de branches'!$Z$27:$AM$86,14,FALSE)</f>
        <v>0</v>
      </c>
      <c r="U989" s="163">
        <f>VLOOKUP(D989,'Groupe de branches'!$Z$27:$AM$86,14,FALSE)</f>
        <v>0</v>
      </c>
      <c r="V989" s="163">
        <v>2018</v>
      </c>
      <c r="W989" t="str">
        <f>VLOOKUP(D989,'Table corresp.'!$M$4:$S$63,7,FALSE)</f>
        <v>Construction</v>
      </c>
      <c r="X989" s="167">
        <f>IFERROR(G989/SUMIFS('Comp2016-2017 (3)'!$I$5:$I$289,'Comp2016-2017 (3)'!$A$5:$A$289,A989,'Comp2016-2017 (3)'!$R$5:$R$289,V989),0)</f>
        <v>0.94020904566467989</v>
      </c>
      <c r="Y989" s="178">
        <f>IFERROR(IF(RIGHT(F989,3)="Exp",VLOOKUP(F989,#REF!,2,FALSE),VLOOKUP(F989,#REF!,9,FALSE)),1)</f>
        <v>1</v>
      </c>
      <c r="Z989" s="167">
        <f t="shared" si="117"/>
        <v>0.33333333333333331</v>
      </c>
      <c r="AA989" s="189">
        <f t="shared" si="114"/>
        <v>0.31340301522155994</v>
      </c>
      <c r="AB989" s="2">
        <f>IFERROR(SUMIFS('Comp2016-2017 (3)'!$G$5:$G$289,'Comp2016-2017 (3)'!$A$5:$A$289,A989,'Comp2016-2017 (3)'!$R$5:$R$289,V989)*AA989/SUMIFS($AA$4:$AA$1116,$A$4:$A$1116,A989,$V$4:$V$1116,V989),0)</f>
        <v>219111.89710671967</v>
      </c>
      <c r="AC989" s="2" t="str">
        <f>IF($W989=AC$3,$AB989,IF(NOT($W989=0),"",SUMIFS('Val-Vol (2)'!AC$4:AC$1116,'Val-Vol (2)'!$A$4:$A$1116,$D989,'Val-Vol (2)'!$V$4:$V$1116,$V989)/SUMIFS('Comp2016-2017 (3)'!$G$5:$G$289,'Comp2016-2017 (3)'!$A$5:$A$289,$D989,'Comp2016-2017 (3)'!$R$5:$R$289,$V989)*$AB989))</f>
        <v/>
      </c>
      <c r="AD989" s="2">
        <f>IF($W989=AD$3,$AB989,IF(NOT($W989=0),"",SUMIFS('Val-Vol (2)'!AD$4:AD$1116,'Val-Vol (2)'!$A$4:$A$1116,$D989,'Val-Vol (2)'!$V$4:$V$1116,$V989)/SUMIFS('Comp2016-2017 (3)'!$G$5:$G$289,'Comp2016-2017 (3)'!$A$5:$A$289,$D989,'Comp2016-2017 (3)'!$R$5:$R$289,$V989)*$AB989))</f>
        <v>219111.89710671967</v>
      </c>
      <c r="AE989" s="2" t="str">
        <f>IF($W989=AE$3,$AB989,IF(NOT($W989=0),"",SUMIFS('Val-Vol (2)'!AE$4:AE$1116,'Val-Vol (2)'!$A$4:$A$1116,$D989,'Val-Vol (2)'!$V$4:$V$1116,$V989)/SUMIFS('Comp2016-2017 (3)'!$G$5:$G$289,'Comp2016-2017 (3)'!$A$5:$A$289,$D989,'Comp2016-2017 (3)'!$R$5:$R$289,$V989)*$AB989))</f>
        <v/>
      </c>
      <c r="AF989" s="2" t="str">
        <f>IF($W989=AF$3,$AB989,IF(NOT($W989=0),"",SUMIFS('Val-Vol (2)'!AF$4:AF$1116,'Val-Vol (2)'!$A$4:$A$1116,$D989,'Val-Vol (2)'!$V$4:$V$1116,$V989)/SUMIFS('Comp2016-2017 (3)'!$G$5:$G$289,'Comp2016-2017 (3)'!$A$5:$A$289,$D989,'Comp2016-2017 (3)'!$R$5:$R$289,$V989)*$AB989))</f>
        <v/>
      </c>
      <c r="AG989" s="2" t="str">
        <f>IF($W989=AG$3,$AB989,IF(NOT($W989=0),"",SUMIFS('Val-Vol (2)'!AG$4:AG$1116,'Val-Vol (2)'!$A$4:$A$1116,$D989,'Val-Vol (2)'!$V$4:$V$1116,$V989)/SUMIFS('Comp2016-2017 (3)'!$G$5:$G$289,'Comp2016-2017 (3)'!$A$5:$A$289,$D989,'Comp2016-2017 (3)'!$R$5:$R$289,$V989)*$AB989))</f>
        <v/>
      </c>
      <c r="AH989" s="2" t="str">
        <f>IF($W989=AH$3,$AB989,IF(NOT($W989=0),"",SUMIFS('Val-Vol (2)'!AH$4:AH$1116,'Val-Vol (2)'!$A$4:$A$1116,$D989,'Val-Vol (2)'!$V$4:$V$1116,$V989)/SUMIFS('Comp2016-2017 (3)'!$G$5:$G$289,'Comp2016-2017 (3)'!$A$5:$A$289,$D989,'Comp2016-2017 (3)'!$R$5:$R$289,$V989)*$AB989))</f>
        <v/>
      </c>
      <c r="AI989" s="2" t="str">
        <f>IF($W989=AI$3,$AB989,IF(NOT($W989=0),"",SUMIFS('Val-Vol (2)'!AI$4:AI$1116,'Val-Vol (2)'!$A$4:$A$1116,$D989,'Val-Vol (2)'!$V$4:$V$1116,$V989)/SUMIFS('Comp2016-2017 (3)'!$G$5:$G$289,'Comp2016-2017 (3)'!$A$5:$A$289,$D989,'Comp2016-2017 (3)'!$R$5:$R$289,$V989)*$AB989))</f>
        <v/>
      </c>
      <c r="AJ989" s="2" t="str">
        <f>IF($W989=AJ$3,$AB989,IF(NOT($W989=0),"",SUMIFS('Val-Vol (2)'!AJ$4:AJ$1116,'Val-Vol (2)'!$A$4:$A$1116,$D989,'Val-Vol (2)'!$V$4:$V$1116,$V989)/SUMIFS('Comp2016-2017 (3)'!$G$5:$G$289,'Comp2016-2017 (3)'!$A$5:$A$289,$D989,'Comp2016-2017 (3)'!$R$5:$R$289,$V989)*$AB989))</f>
        <v/>
      </c>
      <c r="AK989" s="2">
        <f t="shared" si="115"/>
        <v>0</v>
      </c>
      <c r="AL989" t="str">
        <f t="shared" si="113"/>
        <v/>
      </c>
      <c r="AM989" t="str">
        <f>VLOOKUP(A989,'Table corresp.'!$M$4:$U$63,8,FALSE)</f>
        <v>Production finale</v>
      </c>
      <c r="AN989" t="str">
        <f>VLOOKUP(D989,'Table corresp.'!$M$4:$U$63,9,FALSE)</f>
        <v xml:space="preserve">Mise en œuvre </v>
      </c>
    </row>
    <row r="990" spans="1:40" x14ac:dyDescent="0.25">
      <c r="A990" t="s">
        <v>15</v>
      </c>
      <c r="B990" t="str">
        <f>VLOOKUP(LEFT(A990,3),'Table corresp.'!$A$4:$D$63,3,FALSE)</f>
        <v>Transformation</v>
      </c>
      <c r="C990" t="str">
        <f>VLOOKUP(A990,'Table corresp.'!$M$4:$P$63,4,FALSE)</f>
        <v>Production et transformation de produits bois</v>
      </c>
      <c r="D990" t="s">
        <v>54</v>
      </c>
      <c r="E990" t="str">
        <f>VLOOKUP(LEFT(D990,3),'Table corresp.'!$A$4:$D$63,4,FALSE)</f>
        <v>Consommation finale</v>
      </c>
      <c r="F990" t="str">
        <f t="shared" si="109"/>
        <v>35  - Con</v>
      </c>
      <c r="G990" s="164">
        <v>32188.922571533836</v>
      </c>
      <c r="H990" s="164">
        <v>9911.0257400044538</v>
      </c>
      <c r="I990" s="164">
        <v>42099.948311538283</v>
      </c>
      <c r="J990" s="164">
        <v>30.749243265832504</v>
      </c>
      <c r="K990" s="164">
        <v>19.940778956688341</v>
      </c>
      <c r="L990" s="164">
        <v>50.690022222520845</v>
      </c>
      <c r="M990" s="164">
        <v>1.1519884272052909</v>
      </c>
      <c r="N990" s="164">
        <v>0.7470605500425096</v>
      </c>
      <c r="O990" s="164">
        <v>1.8990489772478005</v>
      </c>
      <c r="P990" s="164">
        <v>0.52404603688184004</v>
      </c>
      <c r="Q990" s="164">
        <v>0.33984206031505404</v>
      </c>
      <c r="R990" s="164">
        <v>0.86388809719689408</v>
      </c>
      <c r="S990" s="163" t="str">
        <f t="shared" si="110"/>
        <v>BI</v>
      </c>
      <c r="T990" s="163">
        <f>VLOOKUP(A990,'Groupe de branches'!$Z$27:$AM$86,14,FALSE)</f>
        <v>0</v>
      </c>
      <c r="U990" s="163">
        <f>VLOOKUP(D990,'Groupe de branches'!$Z$27:$AM$86,14,FALSE)</f>
        <v>0</v>
      </c>
      <c r="V990" s="163">
        <v>2018</v>
      </c>
      <c r="W990" t="str">
        <f>VLOOKUP(D990,'Table corresp.'!$M$4:$S$63,7,FALSE)</f>
        <v>Consommation finale</v>
      </c>
      <c r="X990" s="167">
        <f>IFERROR(G990/SUMIFS('Comp2016-2017 (3)'!$I$5:$I$289,'Comp2016-2017 (3)'!$A$5:$A$289,A990,'Comp2016-2017 (3)'!$R$5:$R$289,V990),0)</f>
        <v>5.2485989555311918E-2</v>
      </c>
      <c r="Y990" s="178">
        <f>IFERROR(IF(RIGHT(F990,3)="Exp",VLOOKUP(F990,#REF!,2,FALSE),VLOOKUP(F990,#REF!,9,FALSE)),1)</f>
        <v>1</v>
      </c>
      <c r="Z990" s="167">
        <f t="shared" si="117"/>
        <v>0.33333333333333331</v>
      </c>
      <c r="AA990" s="189">
        <f t="shared" si="114"/>
        <v>1.7495329851770637E-2</v>
      </c>
      <c r="AB990" s="2">
        <f>IFERROR(SUMIFS('Comp2016-2017 (3)'!$G$5:$G$289,'Comp2016-2017 (3)'!$A$5:$A$289,A990,'Comp2016-2017 (3)'!$R$5:$R$289,V990)*AA990/SUMIFS($AA$4:$AA$1116,$A$4:$A$1116,A990,$V$4:$V$1116,V990),0)</f>
        <v>12231.646564150782</v>
      </c>
      <c r="AC990" s="2" t="str">
        <f>IF($W990=AC$3,$AB990,IF(NOT($W990=0),"",SUMIFS('Val-Vol (2)'!AC$4:AC$1116,'Val-Vol (2)'!$A$4:$A$1116,$D990,'Val-Vol (2)'!$V$4:$V$1116,$V990)/SUMIFS('Comp2016-2017 (3)'!$G$5:$G$289,'Comp2016-2017 (3)'!$A$5:$A$289,$D990,'Comp2016-2017 (3)'!$R$5:$R$289,$V990)*$AB990))</f>
        <v/>
      </c>
      <c r="AD990" s="2" t="str">
        <f>IF($W990=AD$3,$AB990,IF(NOT($W990=0),"",SUMIFS('Val-Vol (2)'!AD$4:AD$1116,'Val-Vol (2)'!$A$4:$A$1116,$D990,'Val-Vol (2)'!$V$4:$V$1116,$V990)/SUMIFS('Comp2016-2017 (3)'!$G$5:$G$289,'Comp2016-2017 (3)'!$A$5:$A$289,$D990,'Comp2016-2017 (3)'!$R$5:$R$289,$V990)*$AB990))</f>
        <v/>
      </c>
      <c r="AE990" s="2" t="str">
        <f>IF($W990=AE$3,$AB990,IF(NOT($W990=0),"",SUMIFS('Val-Vol (2)'!AE$4:AE$1116,'Val-Vol (2)'!$A$4:$A$1116,$D990,'Val-Vol (2)'!$V$4:$V$1116,$V990)/SUMIFS('Comp2016-2017 (3)'!$G$5:$G$289,'Comp2016-2017 (3)'!$A$5:$A$289,$D990,'Comp2016-2017 (3)'!$R$5:$R$289,$V990)*$AB990))</f>
        <v/>
      </c>
      <c r="AF990" s="2" t="str">
        <f>IF($W990=AF$3,$AB990,IF(NOT($W990=0),"",SUMIFS('Val-Vol (2)'!AF$4:AF$1116,'Val-Vol (2)'!$A$4:$A$1116,$D990,'Val-Vol (2)'!$V$4:$V$1116,$V990)/SUMIFS('Comp2016-2017 (3)'!$G$5:$G$289,'Comp2016-2017 (3)'!$A$5:$A$289,$D990,'Comp2016-2017 (3)'!$R$5:$R$289,$V990)*$AB990))</f>
        <v/>
      </c>
      <c r="AG990" s="2" t="str">
        <f>IF($W990=AG$3,$AB990,IF(NOT($W990=0),"",SUMIFS('Val-Vol (2)'!AG$4:AG$1116,'Val-Vol (2)'!$A$4:$A$1116,$D990,'Val-Vol (2)'!$V$4:$V$1116,$V990)/SUMIFS('Comp2016-2017 (3)'!$G$5:$G$289,'Comp2016-2017 (3)'!$A$5:$A$289,$D990,'Comp2016-2017 (3)'!$R$5:$R$289,$V990)*$AB990))</f>
        <v/>
      </c>
      <c r="AH990" s="2" t="str">
        <f>IF($W990=AH$3,$AB990,IF(NOT($W990=0),"",SUMIFS('Val-Vol (2)'!AH$4:AH$1116,'Val-Vol (2)'!$A$4:$A$1116,$D990,'Val-Vol (2)'!$V$4:$V$1116,$V990)/SUMIFS('Comp2016-2017 (3)'!$G$5:$G$289,'Comp2016-2017 (3)'!$A$5:$A$289,$D990,'Comp2016-2017 (3)'!$R$5:$R$289,$V990)*$AB990))</f>
        <v/>
      </c>
      <c r="AI990" s="2" t="str">
        <f>IF($W990=AI$3,$AB990,IF(NOT($W990=0),"",SUMIFS('Val-Vol (2)'!AI$4:AI$1116,'Val-Vol (2)'!$A$4:$A$1116,$D990,'Val-Vol (2)'!$V$4:$V$1116,$V990)/SUMIFS('Comp2016-2017 (3)'!$G$5:$G$289,'Comp2016-2017 (3)'!$A$5:$A$289,$D990,'Comp2016-2017 (3)'!$R$5:$R$289,$V990)*$AB990))</f>
        <v/>
      </c>
      <c r="AJ990" s="2">
        <f>IF($W990=AJ$3,$AB990,IF(NOT($W990=0),"",SUMIFS('Val-Vol (2)'!AJ$4:AJ$1116,'Val-Vol (2)'!$A$4:$A$1116,$D990,'Val-Vol (2)'!$V$4:$V$1116,$V990)/SUMIFS('Comp2016-2017 (3)'!$G$5:$G$289,'Comp2016-2017 (3)'!$A$5:$A$289,$D990,'Comp2016-2017 (3)'!$R$5:$R$289,$V990)*$AB990))</f>
        <v>12231.646564150782</v>
      </c>
      <c r="AK990" s="2">
        <f t="shared" si="115"/>
        <v>0</v>
      </c>
      <c r="AL990" t="str">
        <f t="shared" si="113"/>
        <v/>
      </c>
      <c r="AM990" t="str">
        <f>VLOOKUP(A990,'Table corresp.'!$M$4:$U$63,8,FALSE)</f>
        <v>Production finale</v>
      </c>
      <c r="AN990" t="str">
        <f>VLOOKUP(D990,'Table corresp.'!$M$4:$U$63,9,FALSE)</f>
        <v>Consommation finale française</v>
      </c>
    </row>
    <row r="991" spans="1:40" x14ac:dyDescent="0.25">
      <c r="A991" t="s">
        <v>15</v>
      </c>
      <c r="B991" t="str">
        <f>VLOOKUP(LEFT(A991,3),'Table corresp.'!$A$4:$D$63,3,FALSE)</f>
        <v>Transformation</v>
      </c>
      <c r="C991" t="str">
        <f>VLOOKUP(A991,'Table corresp.'!$M$4:$P$63,4,FALSE)</f>
        <v>Production et transformation de produits bois</v>
      </c>
      <c r="D991" t="s">
        <v>53</v>
      </c>
      <c r="E991" t="str">
        <f>VLOOKUP(LEFT(D991,3),'Table corresp.'!$A$4:$D$63,4,FALSE)</f>
        <v>Exportation</v>
      </c>
      <c r="F991" t="str">
        <f t="shared" si="109"/>
        <v>35  - Exp</v>
      </c>
      <c r="G991" s="164">
        <v>4480.6459999999997</v>
      </c>
      <c r="H991" s="164">
        <v>0</v>
      </c>
      <c r="I991" s="164">
        <v>4480.6459999999988</v>
      </c>
      <c r="J991" s="164">
        <v>3.2079350425823576</v>
      </c>
      <c r="K991" s="164">
        <v>0</v>
      </c>
      <c r="L991" s="164">
        <v>3.2079350425823576</v>
      </c>
      <c r="M991" s="164">
        <v>0.12018195089657717</v>
      </c>
      <c r="N991" s="164">
        <v>0</v>
      </c>
      <c r="O991" s="164">
        <v>0.12018195089657717</v>
      </c>
      <c r="P991" s="164">
        <v>5.4671447720069509E-2</v>
      </c>
      <c r="Q991" s="164">
        <v>0</v>
      </c>
      <c r="R991" s="164">
        <v>5.4671447720069509E-2</v>
      </c>
      <c r="S991" s="163" t="str">
        <f t="shared" si="110"/>
        <v/>
      </c>
      <c r="T991" s="163">
        <f>VLOOKUP(A991,'Groupe de branches'!$Z$27:$AM$86,14,FALSE)</f>
        <v>0</v>
      </c>
      <c r="U991" s="163">
        <f>VLOOKUP(D991,'Groupe de branches'!$Z$27:$AM$86,14,FALSE)</f>
        <v>0</v>
      </c>
      <c r="V991" s="163">
        <v>2018</v>
      </c>
      <c r="W991" t="str">
        <f>VLOOKUP(D991,'Table corresp.'!$M$4:$S$63,7,FALSE)</f>
        <v>Exportation</v>
      </c>
      <c r="X991" s="167">
        <f>IFERROR(G991/SUMIFS('Comp2016-2017 (3)'!$I$5:$I$289,'Comp2016-2017 (3)'!$A$5:$A$289,A991,'Comp2016-2017 (3)'!$R$5:$R$289,V991),0)</f>
        <v>7.3059649211441114E-3</v>
      </c>
      <c r="Y991" s="178">
        <f>IFERROR(IF(RIGHT(F991,3)="Exp",VLOOKUP(F991,#REF!,2,FALSE),VLOOKUP(F991,#REF!,9,FALSE)),1)</f>
        <v>1</v>
      </c>
      <c r="Z991" s="167">
        <f t="shared" si="117"/>
        <v>0.33333333333333331</v>
      </c>
      <c r="AA991" s="189">
        <f t="shared" si="114"/>
        <v>2.4353216403813702E-3</v>
      </c>
      <c r="AB991" s="2">
        <f>IFERROR(SUMIFS('Comp2016-2017 (3)'!$G$5:$G$289,'Comp2016-2017 (3)'!$A$5:$A$289,A991,'Comp2016-2017 (3)'!$R$5:$R$289,V991)*AA991/SUMIFS($AA$4:$AA$1116,$A$4:$A$1116,A991,$V$4:$V$1116,V991),0)</f>
        <v>1702.625433618681</v>
      </c>
      <c r="AC991" s="2">
        <f>IF($W991=AC$3,$AB991,IF(NOT($W991=0),"",SUMIFS('Val-Vol (2)'!AC$4:AC$1116,'Val-Vol (2)'!$A$4:$A$1116,$D991,'Val-Vol (2)'!$V$4:$V$1116,$V991)/SUMIFS('Comp2016-2017 (3)'!$G$5:$G$289,'Comp2016-2017 (3)'!$A$5:$A$289,$D991,'Comp2016-2017 (3)'!$R$5:$R$289,$V991)*$AB991))</f>
        <v>1702.625433618681</v>
      </c>
      <c r="AD991" s="2" t="str">
        <f>IF($W991=AD$3,$AB991,IF(NOT($W991=0),"",SUMIFS('Val-Vol (2)'!AD$4:AD$1116,'Val-Vol (2)'!$A$4:$A$1116,$D991,'Val-Vol (2)'!$V$4:$V$1116,$V991)/SUMIFS('Comp2016-2017 (3)'!$G$5:$G$289,'Comp2016-2017 (3)'!$A$5:$A$289,$D991,'Comp2016-2017 (3)'!$R$5:$R$289,$V991)*$AB991))</f>
        <v/>
      </c>
      <c r="AE991" s="2" t="str">
        <f>IF($W991=AE$3,$AB991,IF(NOT($W991=0),"",SUMIFS('Val-Vol (2)'!AE$4:AE$1116,'Val-Vol (2)'!$A$4:$A$1116,$D991,'Val-Vol (2)'!$V$4:$V$1116,$V991)/SUMIFS('Comp2016-2017 (3)'!$G$5:$G$289,'Comp2016-2017 (3)'!$A$5:$A$289,$D991,'Comp2016-2017 (3)'!$R$5:$R$289,$V991)*$AB991))</f>
        <v/>
      </c>
      <c r="AF991" s="2" t="str">
        <f>IF($W991=AF$3,$AB991,IF(NOT($W991=0),"",SUMIFS('Val-Vol (2)'!AF$4:AF$1116,'Val-Vol (2)'!$A$4:$A$1116,$D991,'Val-Vol (2)'!$V$4:$V$1116,$V991)/SUMIFS('Comp2016-2017 (3)'!$G$5:$G$289,'Comp2016-2017 (3)'!$A$5:$A$289,$D991,'Comp2016-2017 (3)'!$R$5:$R$289,$V991)*$AB991))</f>
        <v/>
      </c>
      <c r="AG991" s="2" t="str">
        <f>IF($W991=AG$3,$AB991,IF(NOT($W991=0),"",SUMIFS('Val-Vol (2)'!AG$4:AG$1116,'Val-Vol (2)'!$A$4:$A$1116,$D991,'Val-Vol (2)'!$V$4:$V$1116,$V991)/SUMIFS('Comp2016-2017 (3)'!$G$5:$G$289,'Comp2016-2017 (3)'!$A$5:$A$289,$D991,'Comp2016-2017 (3)'!$R$5:$R$289,$V991)*$AB991))</f>
        <v/>
      </c>
      <c r="AH991" s="2" t="str">
        <f>IF($W991=AH$3,$AB991,IF(NOT($W991=0),"",SUMIFS('Val-Vol (2)'!AH$4:AH$1116,'Val-Vol (2)'!$A$4:$A$1116,$D991,'Val-Vol (2)'!$V$4:$V$1116,$V991)/SUMIFS('Comp2016-2017 (3)'!$G$5:$G$289,'Comp2016-2017 (3)'!$A$5:$A$289,$D991,'Comp2016-2017 (3)'!$R$5:$R$289,$V991)*$AB991))</f>
        <v/>
      </c>
      <c r="AI991" s="2" t="str">
        <f>IF($W991=AI$3,$AB991,IF(NOT($W991=0),"",SUMIFS('Val-Vol (2)'!AI$4:AI$1116,'Val-Vol (2)'!$A$4:$A$1116,$D991,'Val-Vol (2)'!$V$4:$V$1116,$V991)/SUMIFS('Comp2016-2017 (3)'!$G$5:$G$289,'Comp2016-2017 (3)'!$A$5:$A$289,$D991,'Comp2016-2017 (3)'!$R$5:$R$289,$V991)*$AB991))</f>
        <v/>
      </c>
      <c r="AJ991" s="2" t="str">
        <f>IF($W991=AJ$3,$AB991,IF(NOT($W991=0),"",SUMIFS('Val-Vol (2)'!AJ$4:AJ$1116,'Val-Vol (2)'!$A$4:$A$1116,$D991,'Val-Vol (2)'!$V$4:$V$1116,$V991)/SUMIFS('Comp2016-2017 (3)'!$G$5:$G$289,'Comp2016-2017 (3)'!$A$5:$A$289,$D991,'Comp2016-2017 (3)'!$R$5:$R$289,$V991)*$AB991))</f>
        <v/>
      </c>
      <c r="AK991" s="2">
        <f t="shared" si="115"/>
        <v>0</v>
      </c>
      <c r="AL991" t="str">
        <f t="shared" si="113"/>
        <v/>
      </c>
      <c r="AM991" t="str">
        <f>VLOOKUP(A991,'Table corresp.'!$M$4:$U$63,8,FALSE)</f>
        <v>Production finale</v>
      </c>
      <c r="AN991" t="str">
        <f>VLOOKUP(D991,'Table corresp.'!$M$4:$U$63,9,FALSE)</f>
        <v>Exportation</v>
      </c>
    </row>
    <row r="992" spans="1:40" x14ac:dyDescent="0.25">
      <c r="A992" t="s">
        <v>16</v>
      </c>
      <c r="B992" t="str">
        <f>VLOOKUP(LEFT(A992,3),'Table corresp.'!$A$4:$D$63,3,FALSE)</f>
        <v>Transformation</v>
      </c>
      <c r="C992" t="str">
        <f>VLOOKUP(A992,'Table corresp.'!$M$4:$P$63,4,FALSE)</f>
        <v>Production et transformation de produits bois</v>
      </c>
      <c r="D992" t="s">
        <v>21</v>
      </c>
      <c r="E992" t="str">
        <f>VLOOKUP(LEFT(D992,3),'Table corresp.'!$A$4:$D$63,4,FALSE)</f>
        <v>Transformation</v>
      </c>
      <c r="F992" t="str">
        <f t="shared" si="109"/>
        <v xml:space="preserve">36  - 54 </v>
      </c>
      <c r="G992" s="164">
        <v>112796.52521651862</v>
      </c>
      <c r="H992" s="164">
        <v>44517.306145351897</v>
      </c>
      <c r="I992" s="164">
        <v>157313.83136187054</v>
      </c>
      <c r="J992" s="164">
        <v>57.360388830260305</v>
      </c>
      <c r="K992" s="164">
        <v>24.016950834485872</v>
      </c>
      <c r="L992" s="164">
        <v>81.377339664746174</v>
      </c>
      <c r="M992" s="164">
        <v>34.659170635491073</v>
      </c>
      <c r="N992" s="164">
        <v>14.511889024669781</v>
      </c>
      <c r="O992" s="164">
        <v>49.17105966016085</v>
      </c>
      <c r="P992" s="164">
        <v>14.660209608254119</v>
      </c>
      <c r="Q992" s="164">
        <v>6.1382696415570779</v>
      </c>
      <c r="R992" s="164">
        <v>20.798479249811198</v>
      </c>
      <c r="S992" s="163" t="str">
        <f t="shared" si="110"/>
        <v>BI</v>
      </c>
      <c r="T992" s="163">
        <f>VLOOKUP(A992,'Groupe de branches'!$Z$27:$AM$86,14,FALSE)</f>
        <v>0</v>
      </c>
      <c r="U992" s="163">
        <f>VLOOKUP(D992,'Groupe de branches'!$Z$27:$AM$86,14,FALSE)</f>
        <v>0</v>
      </c>
      <c r="V992" s="163">
        <v>2018</v>
      </c>
      <c r="W992" t="str">
        <f>VLOOKUP(D992,'Table corresp.'!$M$4:$S$63,7,FALSE)</f>
        <v>Construction</v>
      </c>
      <c r="X992" s="167">
        <f>IFERROR(G992/SUMIFS('Comp2016-2017 (3)'!$I$5:$I$289,'Comp2016-2017 (3)'!$A$5:$A$289,A992,'Comp2016-2017 (3)'!$R$5:$R$289,V992),0)</f>
        <v>0.21026671001847927</v>
      </c>
      <c r="Y992" s="178">
        <f>IFERROR(IF(RIGHT(F992,3)="Exp",VLOOKUP(F992,#REF!,2,FALSE),VLOOKUP(F992,#REF!,9,FALSE)),1)</f>
        <v>1</v>
      </c>
      <c r="Z992" s="167">
        <f t="shared" si="117"/>
        <v>0.25</v>
      </c>
      <c r="AA992" s="189">
        <f t="shared" si="114"/>
        <v>5.2566677504619817E-2</v>
      </c>
      <c r="AB992" s="2">
        <f>IFERROR(SUMIFS('Comp2016-2017 (3)'!$G$5:$G$289,'Comp2016-2017 (3)'!$A$5:$A$289,A992,'Comp2016-2017 (3)'!$R$5:$R$289,V992)*AA992/SUMIFS($AA$4:$AA$1116,$A$4:$A$1116,A992,$V$4:$V$1116,V992),0)</f>
        <v>40265.103553853231</v>
      </c>
      <c r="AC992" s="2" t="str">
        <f>IF($W992=AC$3,$AB992,IF(NOT($W992=0),"",SUMIFS('Val-Vol (2)'!AC$4:AC$1116,'Val-Vol (2)'!$A$4:$A$1116,$D992,'Val-Vol (2)'!$V$4:$V$1116,$V992)/SUMIFS('Comp2016-2017 (3)'!$G$5:$G$289,'Comp2016-2017 (3)'!$A$5:$A$289,$D992,'Comp2016-2017 (3)'!$R$5:$R$289,$V992)*$AB992))</f>
        <v/>
      </c>
      <c r="AD992" s="2">
        <f>IF($W992=AD$3,$AB992,IF(NOT($W992=0),"",SUMIFS('Val-Vol (2)'!AD$4:AD$1116,'Val-Vol (2)'!$A$4:$A$1116,$D992,'Val-Vol (2)'!$V$4:$V$1116,$V992)/SUMIFS('Comp2016-2017 (3)'!$G$5:$G$289,'Comp2016-2017 (3)'!$A$5:$A$289,$D992,'Comp2016-2017 (3)'!$R$5:$R$289,$V992)*$AB992))</f>
        <v>40265.103553853231</v>
      </c>
      <c r="AE992" s="2" t="str">
        <f>IF($W992=AE$3,$AB992,IF(NOT($W992=0),"",SUMIFS('Val-Vol (2)'!AE$4:AE$1116,'Val-Vol (2)'!$A$4:$A$1116,$D992,'Val-Vol (2)'!$V$4:$V$1116,$V992)/SUMIFS('Comp2016-2017 (3)'!$G$5:$G$289,'Comp2016-2017 (3)'!$A$5:$A$289,$D992,'Comp2016-2017 (3)'!$R$5:$R$289,$V992)*$AB992))</f>
        <v/>
      </c>
      <c r="AF992" s="2" t="str">
        <f>IF($W992=AF$3,$AB992,IF(NOT($W992=0),"",SUMIFS('Val-Vol (2)'!AF$4:AF$1116,'Val-Vol (2)'!$A$4:$A$1116,$D992,'Val-Vol (2)'!$V$4:$V$1116,$V992)/SUMIFS('Comp2016-2017 (3)'!$G$5:$G$289,'Comp2016-2017 (3)'!$A$5:$A$289,$D992,'Comp2016-2017 (3)'!$R$5:$R$289,$V992)*$AB992))</f>
        <v/>
      </c>
      <c r="AG992" s="2" t="str">
        <f>IF($W992=AG$3,$AB992,IF(NOT($W992=0),"",SUMIFS('Val-Vol (2)'!AG$4:AG$1116,'Val-Vol (2)'!$A$4:$A$1116,$D992,'Val-Vol (2)'!$V$4:$V$1116,$V992)/SUMIFS('Comp2016-2017 (3)'!$G$5:$G$289,'Comp2016-2017 (3)'!$A$5:$A$289,$D992,'Comp2016-2017 (3)'!$R$5:$R$289,$V992)*$AB992))</f>
        <v/>
      </c>
      <c r="AH992" s="2" t="str">
        <f>IF($W992=AH$3,$AB992,IF(NOT($W992=0),"",SUMIFS('Val-Vol (2)'!AH$4:AH$1116,'Val-Vol (2)'!$A$4:$A$1116,$D992,'Val-Vol (2)'!$V$4:$V$1116,$V992)/SUMIFS('Comp2016-2017 (3)'!$G$5:$G$289,'Comp2016-2017 (3)'!$A$5:$A$289,$D992,'Comp2016-2017 (3)'!$R$5:$R$289,$V992)*$AB992))</f>
        <v/>
      </c>
      <c r="AI992" s="2" t="str">
        <f>IF($W992=AI$3,$AB992,IF(NOT($W992=0),"",SUMIFS('Val-Vol (2)'!AI$4:AI$1116,'Val-Vol (2)'!$A$4:$A$1116,$D992,'Val-Vol (2)'!$V$4:$V$1116,$V992)/SUMIFS('Comp2016-2017 (3)'!$G$5:$G$289,'Comp2016-2017 (3)'!$A$5:$A$289,$D992,'Comp2016-2017 (3)'!$R$5:$R$289,$V992)*$AB992))</f>
        <v/>
      </c>
      <c r="AJ992" s="2" t="str">
        <f>IF($W992=AJ$3,$AB992,IF(NOT($W992=0),"",SUMIFS('Val-Vol (2)'!AJ$4:AJ$1116,'Val-Vol (2)'!$A$4:$A$1116,$D992,'Val-Vol (2)'!$V$4:$V$1116,$V992)/SUMIFS('Comp2016-2017 (3)'!$G$5:$G$289,'Comp2016-2017 (3)'!$A$5:$A$289,$D992,'Comp2016-2017 (3)'!$R$5:$R$289,$V992)*$AB992))</f>
        <v/>
      </c>
      <c r="AK992" s="2">
        <f t="shared" si="115"/>
        <v>0</v>
      </c>
      <c r="AL992" t="str">
        <f t="shared" si="113"/>
        <v/>
      </c>
      <c r="AM992" t="str">
        <f>VLOOKUP(A992,'Table corresp.'!$M$4:$U$63,8,FALSE)</f>
        <v>Production finale</v>
      </c>
      <c r="AN992" t="str">
        <f>VLOOKUP(D992,'Table corresp.'!$M$4:$U$63,9,FALSE)</f>
        <v xml:space="preserve">Mise en œuvre </v>
      </c>
    </row>
    <row r="993" spans="1:40" x14ac:dyDescent="0.25">
      <c r="A993" t="s">
        <v>16</v>
      </c>
      <c r="B993" t="str">
        <f>VLOOKUP(LEFT(A993,3),'Table corresp.'!$A$4:$D$63,3,FALSE)</f>
        <v>Transformation</v>
      </c>
      <c r="C993" t="str">
        <f>VLOOKUP(A993,'Table corresp.'!$M$4:$P$63,4,FALSE)</f>
        <v>Production et transformation de produits bois</v>
      </c>
      <c r="D993" t="s">
        <v>22</v>
      </c>
      <c r="E993" t="str">
        <f>VLOOKUP(LEFT(D993,3),'Table corresp.'!$A$4:$D$63,4,FALSE)</f>
        <v>Transformation</v>
      </c>
      <c r="F993" t="str">
        <f t="shared" si="109"/>
        <v xml:space="preserve">36  - 55 </v>
      </c>
      <c r="G993" s="164">
        <v>298575.60541894834</v>
      </c>
      <c r="H993" s="164">
        <v>24714.528283294771</v>
      </c>
      <c r="I993" s="164">
        <v>323290.13370224315</v>
      </c>
      <c r="J993" s="164">
        <v>125.04024082229554</v>
      </c>
      <c r="K993" s="164">
        <v>11.111177166683673</v>
      </c>
      <c r="L993" s="164">
        <v>136.1514179889792</v>
      </c>
      <c r="M993" s="164">
        <v>75.553724989335493</v>
      </c>
      <c r="N993" s="164">
        <v>6.7137652521996349</v>
      </c>
      <c r="O993" s="164">
        <v>82.267490241535128</v>
      </c>
      <c r="P993" s="164">
        <v>31.957875065072276</v>
      </c>
      <c r="Q993" s="164">
        <v>2.8398026857882188</v>
      </c>
      <c r="R993" s="164">
        <v>34.797677750860494</v>
      </c>
      <c r="S993" s="163" t="str">
        <f t="shared" si="110"/>
        <v>BI</v>
      </c>
      <c r="T993" s="163">
        <f>VLOOKUP(A993,'Groupe de branches'!$Z$27:$AM$86,14,FALSE)</f>
        <v>0</v>
      </c>
      <c r="U993" s="163">
        <f>VLOOKUP(D993,'Groupe de branches'!$Z$27:$AM$86,14,FALSE)</f>
        <v>0</v>
      </c>
      <c r="V993" s="163">
        <v>2018</v>
      </c>
      <c r="W993" t="str">
        <f>VLOOKUP(D993,'Table corresp.'!$M$4:$S$63,7,FALSE)</f>
        <v>Construction</v>
      </c>
      <c r="X993" s="167">
        <f>IFERROR(G993/SUMIFS('Comp2016-2017 (3)'!$I$5:$I$289,'Comp2016-2017 (3)'!$A$5:$A$289,A993,'Comp2016-2017 (3)'!$R$5:$R$289,V993),0)</f>
        <v>0.55658195252652987</v>
      </c>
      <c r="Y993" s="178">
        <f>IFERROR(IF(RIGHT(F993,3)="Exp",VLOOKUP(F993,#REF!,2,FALSE),VLOOKUP(F993,#REF!,9,FALSE)),1)</f>
        <v>1</v>
      </c>
      <c r="Z993" s="167">
        <f t="shared" si="117"/>
        <v>0.25</v>
      </c>
      <c r="AA993" s="189">
        <f t="shared" si="114"/>
        <v>0.13914548813163247</v>
      </c>
      <c r="AB993" s="2">
        <f>IFERROR(SUMIFS('Comp2016-2017 (3)'!$G$5:$G$289,'Comp2016-2017 (3)'!$A$5:$A$289,A993,'Comp2016-2017 (3)'!$R$5:$R$289,V993)*AA993/SUMIFS($AA$4:$AA$1116,$A$4:$A$1116,A993,$V$4:$V$1116,V993),0)</f>
        <v>106582.87254657179</v>
      </c>
      <c r="AC993" s="2" t="str">
        <f>IF($W993=AC$3,$AB993,IF(NOT($W993=0),"",SUMIFS('Val-Vol (2)'!AC$4:AC$1116,'Val-Vol (2)'!$A$4:$A$1116,$D993,'Val-Vol (2)'!$V$4:$V$1116,$V993)/SUMIFS('Comp2016-2017 (3)'!$G$5:$G$289,'Comp2016-2017 (3)'!$A$5:$A$289,$D993,'Comp2016-2017 (3)'!$R$5:$R$289,$V993)*$AB993))</f>
        <v/>
      </c>
      <c r="AD993" s="2">
        <f>IF($W993=AD$3,$AB993,IF(NOT($W993=0),"",SUMIFS('Val-Vol (2)'!AD$4:AD$1116,'Val-Vol (2)'!$A$4:$A$1116,$D993,'Val-Vol (2)'!$V$4:$V$1116,$V993)/SUMIFS('Comp2016-2017 (3)'!$G$5:$G$289,'Comp2016-2017 (3)'!$A$5:$A$289,$D993,'Comp2016-2017 (3)'!$R$5:$R$289,$V993)*$AB993))</f>
        <v>106582.87254657179</v>
      </c>
      <c r="AE993" s="2" t="str">
        <f>IF($W993=AE$3,$AB993,IF(NOT($W993=0),"",SUMIFS('Val-Vol (2)'!AE$4:AE$1116,'Val-Vol (2)'!$A$4:$A$1116,$D993,'Val-Vol (2)'!$V$4:$V$1116,$V993)/SUMIFS('Comp2016-2017 (3)'!$G$5:$G$289,'Comp2016-2017 (3)'!$A$5:$A$289,$D993,'Comp2016-2017 (3)'!$R$5:$R$289,$V993)*$AB993))</f>
        <v/>
      </c>
      <c r="AF993" s="2" t="str">
        <f>IF($W993=AF$3,$AB993,IF(NOT($W993=0),"",SUMIFS('Val-Vol (2)'!AF$4:AF$1116,'Val-Vol (2)'!$A$4:$A$1116,$D993,'Val-Vol (2)'!$V$4:$V$1116,$V993)/SUMIFS('Comp2016-2017 (3)'!$G$5:$G$289,'Comp2016-2017 (3)'!$A$5:$A$289,$D993,'Comp2016-2017 (3)'!$R$5:$R$289,$V993)*$AB993))</f>
        <v/>
      </c>
      <c r="AG993" s="2" t="str">
        <f>IF($W993=AG$3,$AB993,IF(NOT($W993=0),"",SUMIFS('Val-Vol (2)'!AG$4:AG$1116,'Val-Vol (2)'!$A$4:$A$1116,$D993,'Val-Vol (2)'!$V$4:$V$1116,$V993)/SUMIFS('Comp2016-2017 (3)'!$G$5:$G$289,'Comp2016-2017 (3)'!$A$5:$A$289,$D993,'Comp2016-2017 (3)'!$R$5:$R$289,$V993)*$AB993))</f>
        <v/>
      </c>
      <c r="AH993" s="2" t="str">
        <f>IF($W993=AH$3,$AB993,IF(NOT($W993=0),"",SUMIFS('Val-Vol (2)'!AH$4:AH$1116,'Val-Vol (2)'!$A$4:$A$1116,$D993,'Val-Vol (2)'!$V$4:$V$1116,$V993)/SUMIFS('Comp2016-2017 (3)'!$G$5:$G$289,'Comp2016-2017 (3)'!$A$5:$A$289,$D993,'Comp2016-2017 (3)'!$R$5:$R$289,$V993)*$AB993))</f>
        <v/>
      </c>
      <c r="AI993" s="2" t="str">
        <f>IF($W993=AI$3,$AB993,IF(NOT($W993=0),"",SUMIFS('Val-Vol (2)'!AI$4:AI$1116,'Val-Vol (2)'!$A$4:$A$1116,$D993,'Val-Vol (2)'!$V$4:$V$1116,$V993)/SUMIFS('Comp2016-2017 (3)'!$G$5:$G$289,'Comp2016-2017 (3)'!$A$5:$A$289,$D993,'Comp2016-2017 (3)'!$R$5:$R$289,$V993)*$AB993))</f>
        <v/>
      </c>
      <c r="AJ993" s="2" t="str">
        <f>IF($W993=AJ$3,$AB993,IF(NOT($W993=0),"",SUMIFS('Val-Vol (2)'!AJ$4:AJ$1116,'Val-Vol (2)'!$A$4:$A$1116,$D993,'Val-Vol (2)'!$V$4:$V$1116,$V993)/SUMIFS('Comp2016-2017 (3)'!$G$5:$G$289,'Comp2016-2017 (3)'!$A$5:$A$289,$D993,'Comp2016-2017 (3)'!$R$5:$R$289,$V993)*$AB993))</f>
        <v/>
      </c>
      <c r="AK993" s="2">
        <f t="shared" si="115"/>
        <v>0</v>
      </c>
      <c r="AL993" t="str">
        <f t="shared" si="113"/>
        <v/>
      </c>
      <c r="AM993" t="str">
        <f>VLOOKUP(A993,'Table corresp.'!$M$4:$U$63,8,FALSE)</f>
        <v>Production finale</v>
      </c>
      <c r="AN993" t="str">
        <f>VLOOKUP(D993,'Table corresp.'!$M$4:$U$63,9,FALSE)</f>
        <v xml:space="preserve">Mise en œuvre </v>
      </c>
    </row>
    <row r="994" spans="1:40" x14ac:dyDescent="0.25">
      <c r="A994" t="s">
        <v>16</v>
      </c>
      <c r="B994" t="str">
        <f>VLOOKUP(LEFT(A994,3),'Table corresp.'!$A$4:$D$63,3,FALSE)</f>
        <v>Transformation</v>
      </c>
      <c r="C994" t="str">
        <f>VLOOKUP(A994,'Table corresp.'!$M$4:$P$63,4,FALSE)</f>
        <v>Production et transformation de produits bois</v>
      </c>
      <c r="D994" t="s">
        <v>54</v>
      </c>
      <c r="E994" t="str">
        <f>VLOOKUP(LEFT(D994,3),'Table corresp.'!$A$4:$D$63,4,FALSE)</f>
        <v>Consommation finale</v>
      </c>
      <c r="F994" t="str">
        <f t="shared" si="109"/>
        <v>36  - Con</v>
      </c>
      <c r="G994" s="164">
        <v>96352.140917468641</v>
      </c>
      <c r="H994" s="164">
        <v>29281.482571353423</v>
      </c>
      <c r="I994" s="164">
        <v>125633.62348882208</v>
      </c>
      <c r="J994" s="164">
        <v>75.734679201234727</v>
      </c>
      <c r="K994" s="164">
        <v>20.141519892300547</v>
      </c>
      <c r="L994" s="164">
        <v>95.876199093535277</v>
      </c>
      <c r="M994" s="164">
        <v>45.761565132121497</v>
      </c>
      <c r="N994" s="164">
        <v>12.170216922189134</v>
      </c>
      <c r="O994" s="164">
        <v>57.931782054310631</v>
      </c>
      <c r="P994" s="164">
        <v>19.356324012891918</v>
      </c>
      <c r="Q994" s="164">
        <v>5.1477842021561129</v>
      </c>
      <c r="R994" s="164">
        <v>24.504108215048031</v>
      </c>
      <c r="S994" s="163" t="str">
        <f t="shared" si="110"/>
        <v>BI</v>
      </c>
      <c r="T994" s="163">
        <f>VLOOKUP(A994,'Groupe de branches'!$Z$27:$AM$86,14,FALSE)</f>
        <v>0</v>
      </c>
      <c r="U994" s="163">
        <f>VLOOKUP(D994,'Groupe de branches'!$Z$27:$AM$86,14,FALSE)</f>
        <v>0</v>
      </c>
      <c r="V994" s="163">
        <v>2018</v>
      </c>
      <c r="W994" t="str">
        <f>VLOOKUP(D994,'Table corresp.'!$M$4:$S$63,7,FALSE)</f>
        <v>Consommation finale</v>
      </c>
      <c r="X994" s="167">
        <f>IFERROR(G994/SUMIFS('Comp2016-2017 (3)'!$I$5:$I$289,'Comp2016-2017 (3)'!$A$5:$A$289,A994,'Comp2016-2017 (3)'!$R$5:$R$289,V994),0)</f>
        <v>0.17961233854556788</v>
      </c>
      <c r="Y994" s="178">
        <f>IFERROR(IF(RIGHT(F994,3)="Exp",VLOOKUP(F994,#REF!,2,FALSE),VLOOKUP(F994,#REF!,9,FALSE)),1)</f>
        <v>1</v>
      </c>
      <c r="Z994" s="167">
        <f t="shared" si="117"/>
        <v>0.25</v>
      </c>
      <c r="AA994" s="189">
        <f t="shared" si="114"/>
        <v>4.490308463639197E-2</v>
      </c>
      <c r="AB994" s="2">
        <f>IFERROR(SUMIFS('Comp2016-2017 (3)'!$G$5:$G$289,'Comp2016-2017 (3)'!$A$5:$A$289,A994,'Comp2016-2017 (3)'!$R$5:$R$289,V994)*AA994/SUMIFS($AA$4:$AA$1116,$A$4:$A$1116,A994,$V$4:$V$1116,V994),0)</f>
        <v>34394.933037433468</v>
      </c>
      <c r="AC994" s="2" t="str">
        <f>IF($W994=AC$3,$AB994,IF(NOT($W994=0),"",SUMIFS('Val-Vol (2)'!AC$4:AC$1116,'Val-Vol (2)'!$A$4:$A$1116,$D994,'Val-Vol (2)'!$V$4:$V$1116,$V994)/SUMIFS('Comp2016-2017 (3)'!$G$5:$G$289,'Comp2016-2017 (3)'!$A$5:$A$289,$D994,'Comp2016-2017 (3)'!$R$5:$R$289,$V994)*$AB994))</f>
        <v/>
      </c>
      <c r="AD994" s="2" t="str">
        <f>IF($W994=AD$3,$AB994,IF(NOT($W994=0),"",SUMIFS('Val-Vol (2)'!AD$4:AD$1116,'Val-Vol (2)'!$A$4:$A$1116,$D994,'Val-Vol (2)'!$V$4:$V$1116,$V994)/SUMIFS('Comp2016-2017 (3)'!$G$5:$G$289,'Comp2016-2017 (3)'!$A$5:$A$289,$D994,'Comp2016-2017 (3)'!$R$5:$R$289,$V994)*$AB994))</f>
        <v/>
      </c>
      <c r="AE994" s="2" t="str">
        <f>IF($W994=AE$3,$AB994,IF(NOT($W994=0),"",SUMIFS('Val-Vol (2)'!AE$4:AE$1116,'Val-Vol (2)'!$A$4:$A$1116,$D994,'Val-Vol (2)'!$V$4:$V$1116,$V994)/SUMIFS('Comp2016-2017 (3)'!$G$5:$G$289,'Comp2016-2017 (3)'!$A$5:$A$289,$D994,'Comp2016-2017 (3)'!$R$5:$R$289,$V994)*$AB994))</f>
        <v/>
      </c>
      <c r="AF994" s="2" t="str">
        <f>IF($W994=AF$3,$AB994,IF(NOT($W994=0),"",SUMIFS('Val-Vol (2)'!AF$4:AF$1116,'Val-Vol (2)'!$A$4:$A$1116,$D994,'Val-Vol (2)'!$V$4:$V$1116,$V994)/SUMIFS('Comp2016-2017 (3)'!$G$5:$G$289,'Comp2016-2017 (3)'!$A$5:$A$289,$D994,'Comp2016-2017 (3)'!$R$5:$R$289,$V994)*$AB994))</f>
        <v/>
      </c>
      <c r="AG994" s="2" t="str">
        <f>IF($W994=AG$3,$AB994,IF(NOT($W994=0),"",SUMIFS('Val-Vol (2)'!AG$4:AG$1116,'Val-Vol (2)'!$A$4:$A$1116,$D994,'Val-Vol (2)'!$V$4:$V$1116,$V994)/SUMIFS('Comp2016-2017 (3)'!$G$5:$G$289,'Comp2016-2017 (3)'!$A$5:$A$289,$D994,'Comp2016-2017 (3)'!$R$5:$R$289,$V994)*$AB994))</f>
        <v/>
      </c>
      <c r="AH994" s="2" t="str">
        <f>IF($W994=AH$3,$AB994,IF(NOT($W994=0),"",SUMIFS('Val-Vol (2)'!AH$4:AH$1116,'Val-Vol (2)'!$A$4:$A$1116,$D994,'Val-Vol (2)'!$V$4:$V$1116,$V994)/SUMIFS('Comp2016-2017 (3)'!$G$5:$G$289,'Comp2016-2017 (3)'!$A$5:$A$289,$D994,'Comp2016-2017 (3)'!$R$5:$R$289,$V994)*$AB994))</f>
        <v/>
      </c>
      <c r="AI994" s="2" t="str">
        <f>IF($W994=AI$3,$AB994,IF(NOT($W994=0),"",SUMIFS('Val-Vol (2)'!AI$4:AI$1116,'Val-Vol (2)'!$A$4:$A$1116,$D994,'Val-Vol (2)'!$V$4:$V$1116,$V994)/SUMIFS('Comp2016-2017 (3)'!$G$5:$G$289,'Comp2016-2017 (3)'!$A$5:$A$289,$D994,'Comp2016-2017 (3)'!$R$5:$R$289,$V994)*$AB994))</f>
        <v/>
      </c>
      <c r="AJ994" s="2">
        <f>IF($W994=AJ$3,$AB994,IF(NOT($W994=0),"",SUMIFS('Val-Vol (2)'!AJ$4:AJ$1116,'Val-Vol (2)'!$A$4:$A$1116,$D994,'Val-Vol (2)'!$V$4:$V$1116,$V994)/SUMIFS('Comp2016-2017 (3)'!$G$5:$G$289,'Comp2016-2017 (3)'!$A$5:$A$289,$D994,'Comp2016-2017 (3)'!$R$5:$R$289,$V994)*$AB994))</f>
        <v>34394.933037433468</v>
      </c>
      <c r="AK994" s="2">
        <f t="shared" si="115"/>
        <v>0</v>
      </c>
      <c r="AL994" t="str">
        <f t="shared" si="113"/>
        <v/>
      </c>
      <c r="AM994" t="str">
        <f>VLOOKUP(A994,'Table corresp.'!$M$4:$U$63,8,FALSE)</f>
        <v>Production finale</v>
      </c>
      <c r="AN994" t="str">
        <f>VLOOKUP(D994,'Table corresp.'!$M$4:$U$63,9,FALSE)</f>
        <v>Consommation finale française</v>
      </c>
    </row>
    <row r="995" spans="1:40" x14ac:dyDescent="0.25">
      <c r="A995" t="s">
        <v>16</v>
      </c>
      <c r="B995" t="str">
        <f>VLOOKUP(LEFT(A995,3),'Table corresp.'!$A$4:$D$63,3,FALSE)</f>
        <v>Transformation</v>
      </c>
      <c r="C995" t="str">
        <f>VLOOKUP(A995,'Table corresp.'!$M$4:$P$63,4,FALSE)</f>
        <v>Production et transformation de produits bois</v>
      </c>
      <c r="D995" t="s">
        <v>53</v>
      </c>
      <c r="E995" t="str">
        <f>VLOOKUP(LEFT(D995,3),'Table corresp.'!$A$4:$D$63,4,FALSE)</f>
        <v>Exportation</v>
      </c>
      <c r="F995" t="str">
        <f t="shared" si="109"/>
        <v>36  - Exp</v>
      </c>
      <c r="G995" s="164">
        <v>28720.729999999996</v>
      </c>
      <c r="H995" s="164">
        <v>0</v>
      </c>
      <c r="I995" s="164">
        <v>28720.730000000007</v>
      </c>
      <c r="J995" s="164">
        <v>20.447483927162025</v>
      </c>
      <c r="K995" s="164">
        <v>0</v>
      </c>
      <c r="L995" s="164">
        <v>20.447483927162025</v>
      </c>
      <c r="M995" s="164">
        <v>12.35509118662217</v>
      </c>
      <c r="N995" s="164">
        <v>0</v>
      </c>
      <c r="O995" s="164">
        <v>12.35509118662217</v>
      </c>
      <c r="P995" s="164">
        <v>5.2259827111817376</v>
      </c>
      <c r="Q995" s="164">
        <v>0</v>
      </c>
      <c r="R995" s="164">
        <v>5.2259827111817376</v>
      </c>
      <c r="S995" s="163" t="str">
        <f t="shared" si="110"/>
        <v>BI</v>
      </c>
      <c r="T995" s="163">
        <f>VLOOKUP(A995,'Groupe de branches'!$Z$27:$AM$86,14,FALSE)</f>
        <v>0</v>
      </c>
      <c r="U995" s="163">
        <f>VLOOKUP(D995,'Groupe de branches'!$Z$27:$AM$86,14,FALSE)</f>
        <v>0</v>
      </c>
      <c r="V995" s="163">
        <v>2018</v>
      </c>
      <c r="W995" t="str">
        <f>VLOOKUP(D995,'Table corresp.'!$M$4:$S$63,7,FALSE)</f>
        <v>Exportation</v>
      </c>
      <c r="X995" s="167">
        <f>IFERROR(G995/SUMIFS('Comp2016-2017 (3)'!$I$5:$I$289,'Comp2016-2017 (3)'!$A$5:$A$289,A995,'Comp2016-2017 (3)'!$R$5:$R$289,V995),0)</f>
        <v>5.3539002153096878E-2</v>
      </c>
      <c r="Y995" s="178">
        <f>IFERROR(IF(RIGHT(F995,3)="Exp",VLOOKUP(F995,#REF!,2,FALSE),VLOOKUP(F995,#REF!,9,FALSE)),1)</f>
        <v>1</v>
      </c>
      <c r="Z995" s="167">
        <f t="shared" si="117"/>
        <v>0.25</v>
      </c>
      <c r="AA995" s="189">
        <f t="shared" si="114"/>
        <v>1.3384750538274219E-2</v>
      </c>
      <c r="AB995" s="2">
        <f>IFERROR(SUMIFS('Comp2016-2017 (3)'!$G$5:$G$289,'Comp2016-2017 (3)'!$A$5:$A$289,A995,'Comp2016-2017 (3)'!$R$5:$R$289,V995)*AA995/SUMIFS($AA$4:$AA$1116,$A$4:$A$1116,A995,$V$4:$V$1116,V995),0)</f>
        <v>10252.471566587781</v>
      </c>
      <c r="AC995" s="2">
        <f>IF($W995=AC$3,$AB995,IF(NOT($W995=0),"",SUMIFS('Val-Vol (2)'!AC$4:AC$1116,'Val-Vol (2)'!$A$4:$A$1116,$D995,'Val-Vol (2)'!$V$4:$V$1116,$V995)/SUMIFS('Comp2016-2017 (3)'!$G$5:$G$289,'Comp2016-2017 (3)'!$A$5:$A$289,$D995,'Comp2016-2017 (3)'!$R$5:$R$289,$V995)*$AB995))</f>
        <v>10252.471566587781</v>
      </c>
      <c r="AD995" s="2" t="str">
        <f>IF($W995=AD$3,$AB995,IF(NOT($W995=0),"",SUMIFS('Val-Vol (2)'!AD$4:AD$1116,'Val-Vol (2)'!$A$4:$A$1116,$D995,'Val-Vol (2)'!$V$4:$V$1116,$V995)/SUMIFS('Comp2016-2017 (3)'!$G$5:$G$289,'Comp2016-2017 (3)'!$A$5:$A$289,$D995,'Comp2016-2017 (3)'!$R$5:$R$289,$V995)*$AB995))</f>
        <v/>
      </c>
      <c r="AE995" s="2" t="str">
        <f>IF($W995=AE$3,$AB995,IF(NOT($W995=0),"",SUMIFS('Val-Vol (2)'!AE$4:AE$1116,'Val-Vol (2)'!$A$4:$A$1116,$D995,'Val-Vol (2)'!$V$4:$V$1116,$V995)/SUMIFS('Comp2016-2017 (3)'!$G$5:$G$289,'Comp2016-2017 (3)'!$A$5:$A$289,$D995,'Comp2016-2017 (3)'!$R$5:$R$289,$V995)*$AB995))</f>
        <v/>
      </c>
      <c r="AF995" s="2" t="str">
        <f>IF($W995=AF$3,$AB995,IF(NOT($W995=0),"",SUMIFS('Val-Vol (2)'!AF$4:AF$1116,'Val-Vol (2)'!$A$4:$A$1116,$D995,'Val-Vol (2)'!$V$4:$V$1116,$V995)/SUMIFS('Comp2016-2017 (3)'!$G$5:$G$289,'Comp2016-2017 (3)'!$A$5:$A$289,$D995,'Comp2016-2017 (3)'!$R$5:$R$289,$V995)*$AB995))</f>
        <v/>
      </c>
      <c r="AG995" s="2" t="str">
        <f>IF($W995=AG$3,$AB995,IF(NOT($W995=0),"",SUMIFS('Val-Vol (2)'!AG$4:AG$1116,'Val-Vol (2)'!$A$4:$A$1116,$D995,'Val-Vol (2)'!$V$4:$V$1116,$V995)/SUMIFS('Comp2016-2017 (3)'!$G$5:$G$289,'Comp2016-2017 (3)'!$A$5:$A$289,$D995,'Comp2016-2017 (3)'!$R$5:$R$289,$V995)*$AB995))</f>
        <v/>
      </c>
      <c r="AH995" s="2" t="str">
        <f>IF($W995=AH$3,$AB995,IF(NOT($W995=0),"",SUMIFS('Val-Vol (2)'!AH$4:AH$1116,'Val-Vol (2)'!$A$4:$A$1116,$D995,'Val-Vol (2)'!$V$4:$V$1116,$V995)/SUMIFS('Comp2016-2017 (3)'!$G$5:$G$289,'Comp2016-2017 (3)'!$A$5:$A$289,$D995,'Comp2016-2017 (3)'!$R$5:$R$289,$V995)*$AB995))</f>
        <v/>
      </c>
      <c r="AI995" s="2" t="str">
        <f>IF($W995=AI$3,$AB995,IF(NOT($W995=0),"",SUMIFS('Val-Vol (2)'!AI$4:AI$1116,'Val-Vol (2)'!$A$4:$A$1116,$D995,'Val-Vol (2)'!$V$4:$V$1116,$V995)/SUMIFS('Comp2016-2017 (3)'!$G$5:$G$289,'Comp2016-2017 (3)'!$A$5:$A$289,$D995,'Comp2016-2017 (3)'!$R$5:$R$289,$V995)*$AB995))</f>
        <v/>
      </c>
      <c r="AJ995" s="2" t="str">
        <f>IF($W995=AJ$3,$AB995,IF(NOT($W995=0),"",SUMIFS('Val-Vol (2)'!AJ$4:AJ$1116,'Val-Vol (2)'!$A$4:$A$1116,$D995,'Val-Vol (2)'!$V$4:$V$1116,$V995)/SUMIFS('Comp2016-2017 (3)'!$G$5:$G$289,'Comp2016-2017 (3)'!$A$5:$A$289,$D995,'Comp2016-2017 (3)'!$R$5:$R$289,$V995)*$AB995))</f>
        <v/>
      </c>
      <c r="AK995" s="2">
        <f t="shared" si="115"/>
        <v>0</v>
      </c>
      <c r="AL995" t="str">
        <f t="shared" si="113"/>
        <v/>
      </c>
      <c r="AM995" t="str">
        <f>VLOOKUP(A995,'Table corresp.'!$M$4:$U$63,8,FALSE)</f>
        <v>Production finale</v>
      </c>
      <c r="AN995" t="str">
        <f>VLOOKUP(D995,'Table corresp.'!$M$4:$U$63,9,FALSE)</f>
        <v>Exportation</v>
      </c>
    </row>
    <row r="996" spans="1:40" x14ac:dyDescent="0.25">
      <c r="A996" t="s">
        <v>91</v>
      </c>
      <c r="B996" t="str">
        <f>VLOOKUP(LEFT(A996,3),'Table corresp.'!$A$4:$D$63,3,FALSE)</f>
        <v>Transformation</v>
      </c>
      <c r="C996" t="str">
        <f>VLOOKUP(A996,'Table corresp.'!$M$4:$P$63,4,FALSE)</f>
        <v>Production et transformation de produits bois</v>
      </c>
      <c r="D996" t="s">
        <v>91</v>
      </c>
      <c r="E996" t="str">
        <f>VLOOKUP(LEFT(D996,3),'Table corresp.'!$A$4:$D$63,4,FALSE)</f>
        <v>Transformation</v>
      </c>
      <c r="F996" t="str">
        <f t="shared" si="109"/>
        <v xml:space="preserve">37  - 37 </v>
      </c>
      <c r="G996" s="164">
        <v>13021.347583035638</v>
      </c>
      <c r="H996" s="164">
        <v>8868.0266123930487</v>
      </c>
      <c r="I996" s="164">
        <v>21889.374195428682</v>
      </c>
      <c r="J996" s="164">
        <v>0</v>
      </c>
      <c r="K996" s="164">
        <v>0</v>
      </c>
      <c r="L996" s="164">
        <v>0</v>
      </c>
      <c r="M996" s="164">
        <v>0</v>
      </c>
      <c r="N996" s="164">
        <v>0</v>
      </c>
      <c r="O996" s="164">
        <v>0</v>
      </c>
      <c r="P996" s="164">
        <v>0</v>
      </c>
      <c r="Q996" s="164">
        <v>0</v>
      </c>
      <c r="R996" s="164">
        <v>0</v>
      </c>
      <c r="S996" s="163" t="str">
        <f t="shared" si="110"/>
        <v/>
      </c>
      <c r="T996" s="163">
        <f>VLOOKUP(A996,'Groupe de branches'!$Z$27:$AM$86,14,FALSE)</f>
        <v>0</v>
      </c>
      <c r="U996" s="163">
        <f>VLOOKUP(D996,'Groupe de branches'!$Z$27:$AM$86,14,FALSE)</f>
        <v>0</v>
      </c>
      <c r="V996" s="163">
        <v>2018</v>
      </c>
      <c r="W996" t="str">
        <f>VLOOKUP(D996,'Table corresp.'!$M$4:$S$63,7,FALSE)</f>
        <v>Emballage bois et carton</v>
      </c>
      <c r="X996" s="167">
        <f>IFERROR(G996/SUMIFS('Comp2016-2017 (3)'!$I$5:$I$289,'Comp2016-2017 (3)'!$A$5:$A$289,A996,'Comp2016-2017 (3)'!$R$5:$R$289,V996),0)</f>
        <v>8.9073590846621212E-3</v>
      </c>
      <c r="Y996" s="178">
        <f>IFERROR(IF(RIGHT(F996,3)="Exp",VLOOKUP(F996,#REF!,2,FALSE),VLOOKUP(F996,#REF!,9,FALSE)),1)</f>
        <v>1</v>
      </c>
      <c r="Z996" s="167">
        <f t="shared" si="117"/>
        <v>0.33333333333333331</v>
      </c>
      <c r="AA996" s="189">
        <f t="shared" si="114"/>
        <v>2.9691196948873734E-3</v>
      </c>
      <c r="AB996" s="2">
        <f>IFERROR(SUMIFS('Comp2016-2017 (3)'!$G$5:$G$289,'Comp2016-2017 (3)'!$A$5:$A$289,A996,'Comp2016-2017 (3)'!$R$5:$R$289,V996)*AA996/SUMIFS($AA$4:$AA$1116,$A$4:$A$1116,A996,$V$4:$V$1116,V996),0)</f>
        <v>4721.1570291336102</v>
      </c>
      <c r="AG996" s="198">
        <f>AB996</f>
        <v>4721.1570291336102</v>
      </c>
      <c r="AK996" s="2">
        <f t="shared" ref="AK996:AK997" si="118">SUM(AC996:AJ996)-AB996</f>
        <v>0</v>
      </c>
      <c r="AL996" s="231" t="str">
        <f t="shared" si="113"/>
        <v>remplir à la main</v>
      </c>
      <c r="AM996" t="str">
        <f>VLOOKUP(A996,'Table corresp.'!$M$4:$U$63,8,FALSE)</f>
        <v>Production finale</v>
      </c>
      <c r="AN996" t="str">
        <f>VLOOKUP(D996,'Table corresp.'!$M$4:$U$63,9,FALSE)</f>
        <v>Production finale</v>
      </c>
    </row>
    <row r="997" spans="1:40" x14ac:dyDescent="0.25">
      <c r="A997" t="s">
        <v>91</v>
      </c>
      <c r="B997" t="str">
        <f>VLOOKUP(LEFT(A997,3),'Table corresp.'!$A$4:$D$63,3,FALSE)</f>
        <v>Transformation</v>
      </c>
      <c r="C997" t="str">
        <f>VLOOKUP(A997,'Table corresp.'!$M$4:$P$63,4,FALSE)</f>
        <v>Production et transformation de produits bois</v>
      </c>
      <c r="D997" t="s">
        <v>54</v>
      </c>
      <c r="E997" t="str">
        <f>VLOOKUP(LEFT(D997,3),'Table corresp.'!$A$4:$D$63,4,FALSE)</f>
        <v>Consommation finale</v>
      </c>
      <c r="F997" t="str">
        <f t="shared" si="109"/>
        <v>37  - Con</v>
      </c>
      <c r="G997" s="164">
        <v>1337017.5954151549</v>
      </c>
      <c r="H997" s="164">
        <v>241430.10638760705</v>
      </c>
      <c r="I997" s="164">
        <v>1578447.7018027615</v>
      </c>
      <c r="J997" s="164">
        <v>5557.8194783168792</v>
      </c>
      <c r="K997" s="164">
        <v>1116.1937569090067</v>
      </c>
      <c r="L997" s="164">
        <v>6674.0132352258861</v>
      </c>
      <c r="M997" s="164">
        <v>494.0658146282118</v>
      </c>
      <c r="N997" s="164">
        <v>96.5746702326378</v>
      </c>
      <c r="O997" s="164">
        <v>590.6404848608496</v>
      </c>
      <c r="P997" s="164">
        <v>2.9414219416365084E-3</v>
      </c>
      <c r="Q997" s="164">
        <v>5.7495751703111331E-4</v>
      </c>
      <c r="R997" s="164">
        <v>3.5163794586676217E-3</v>
      </c>
      <c r="S997" s="163" t="str">
        <f t="shared" si="110"/>
        <v/>
      </c>
      <c r="T997" s="163">
        <f>VLOOKUP(A997,'Groupe de branches'!$Z$27:$AM$86,14,FALSE)</f>
        <v>0</v>
      </c>
      <c r="U997" s="163">
        <f>VLOOKUP(D997,'Groupe de branches'!$Z$27:$AM$86,14,FALSE)</f>
        <v>0</v>
      </c>
      <c r="V997" s="163">
        <v>2018</v>
      </c>
      <c r="W997" t="str">
        <f>VLOOKUP(D997,'Table corresp.'!$M$4:$S$63,7,FALSE)</f>
        <v>Consommation finale</v>
      </c>
      <c r="X997" s="167">
        <f>IFERROR(G997/SUMIFS('Comp2016-2017 (3)'!$I$5:$I$289,'Comp2016-2017 (3)'!$A$5:$A$289,A997,'Comp2016-2017 (3)'!$R$5:$R$289,V997),0)</f>
        <v>0.91459779787998696</v>
      </c>
      <c r="Y997" s="178">
        <f>IFERROR(IF(RIGHT(F997,3)="Exp",VLOOKUP(F997,#REF!,2,FALSE),VLOOKUP(F997,#REF!,9,FALSE)),1)</f>
        <v>1</v>
      </c>
      <c r="Z997" s="167">
        <f t="shared" si="117"/>
        <v>0.33333333333333331</v>
      </c>
      <c r="AA997" s="189">
        <f t="shared" si="114"/>
        <v>0.30486593262666228</v>
      </c>
      <c r="AB997" s="2">
        <f>IFERROR(SUMIFS('Comp2016-2017 (3)'!$G$5:$G$289,'Comp2016-2017 (3)'!$A$5:$A$289,A997,'Comp2016-2017 (3)'!$R$5:$R$289,V997)*AA997/SUMIFS($AA$4:$AA$1116,$A$4:$A$1116,A997,$V$4:$V$1116,V997),0)</f>
        <v>484763.19201349589</v>
      </c>
      <c r="AC997" s="2" t="str">
        <f>IF($W997=AC$3,$AB997,IF(NOT($W997=0),"",SUMIFS('Val-Vol (2)'!AC$4:AC$1116,'Val-Vol (2)'!$A$4:$A$1116,$D997,'Val-Vol (2)'!$V$4:$V$1116,$V997)/SUMIFS('Comp2016-2017 (3)'!$G$5:$G$289,'Comp2016-2017 (3)'!$A$5:$A$289,$D997,'Comp2016-2017 (3)'!$R$5:$R$289,$V997)*$AB997))</f>
        <v/>
      </c>
      <c r="AD997" s="2" t="str">
        <f>IF($W997=AD$3,$AB997,IF(NOT($W997=0),"",SUMIFS('Val-Vol (2)'!AD$4:AD$1116,'Val-Vol (2)'!$A$4:$A$1116,$D997,'Val-Vol (2)'!$V$4:$V$1116,$V997)/SUMIFS('Comp2016-2017 (3)'!$G$5:$G$289,'Comp2016-2017 (3)'!$A$5:$A$289,$D997,'Comp2016-2017 (3)'!$R$5:$R$289,$V997)*$AB997))</f>
        <v/>
      </c>
      <c r="AE997" s="2" t="str">
        <f>IF($W997=AE$3,$AB997,IF(NOT($W997=0),"",SUMIFS('Val-Vol (2)'!AE$4:AE$1116,'Val-Vol (2)'!$A$4:$A$1116,$D997,'Val-Vol (2)'!$V$4:$V$1116,$V997)/SUMIFS('Comp2016-2017 (3)'!$G$5:$G$289,'Comp2016-2017 (3)'!$A$5:$A$289,$D997,'Comp2016-2017 (3)'!$R$5:$R$289,$V997)*$AB997))</f>
        <v/>
      </c>
      <c r="AF997" s="2" t="str">
        <f>IF($W997=AF$3,$AB997,IF(NOT($W997=0),"",SUMIFS('Val-Vol (2)'!AF$4:AF$1116,'Val-Vol (2)'!$A$4:$A$1116,$D997,'Val-Vol (2)'!$V$4:$V$1116,$V997)/SUMIFS('Comp2016-2017 (3)'!$G$5:$G$289,'Comp2016-2017 (3)'!$A$5:$A$289,$D997,'Comp2016-2017 (3)'!$R$5:$R$289,$V997)*$AB997))</f>
        <v/>
      </c>
      <c r="AG997" s="2" t="str">
        <f>IF($W997=AG$3,$AB997,IF(NOT($W997=0),"",SUMIFS('Val-Vol (2)'!AG$4:AG$1116,'Val-Vol (2)'!$A$4:$A$1116,$D997,'Val-Vol (2)'!$V$4:$V$1116,$V997)/SUMIFS('Comp2016-2017 (3)'!$G$5:$G$289,'Comp2016-2017 (3)'!$A$5:$A$289,$D997,'Comp2016-2017 (3)'!$R$5:$R$289,$V997)*$AB997))</f>
        <v/>
      </c>
      <c r="AH997" s="2" t="str">
        <f>IF($W997=AH$3,$AB997,IF(NOT($W997=0),"",SUMIFS('Val-Vol (2)'!AH$4:AH$1116,'Val-Vol (2)'!$A$4:$A$1116,$D997,'Val-Vol (2)'!$V$4:$V$1116,$V997)/SUMIFS('Comp2016-2017 (3)'!$G$5:$G$289,'Comp2016-2017 (3)'!$A$5:$A$289,$D997,'Comp2016-2017 (3)'!$R$5:$R$289,$V997)*$AB997))</f>
        <v/>
      </c>
      <c r="AI997" s="2" t="str">
        <f>IF($W997=AI$3,$AB997,IF(NOT($W997=0),"",SUMIFS('Val-Vol (2)'!AI$4:AI$1116,'Val-Vol (2)'!$A$4:$A$1116,$D997,'Val-Vol (2)'!$V$4:$V$1116,$V997)/SUMIFS('Comp2016-2017 (3)'!$G$5:$G$289,'Comp2016-2017 (3)'!$A$5:$A$289,$D997,'Comp2016-2017 (3)'!$R$5:$R$289,$V997)*$AB997))</f>
        <v/>
      </c>
      <c r="AJ997" s="2">
        <f>IF($W997=AJ$3,$AB997,IF(NOT($W997=0),"",SUMIFS('Val-Vol (2)'!AJ$4:AJ$1116,'Val-Vol (2)'!$A$4:$A$1116,$D997,'Val-Vol (2)'!$V$4:$V$1116,$V997)/SUMIFS('Comp2016-2017 (3)'!$G$5:$G$289,'Comp2016-2017 (3)'!$A$5:$A$289,$D997,'Comp2016-2017 (3)'!$R$5:$R$289,$V997)*$AB997))</f>
        <v>484763.19201349589</v>
      </c>
      <c r="AK997" s="2">
        <f t="shared" si="118"/>
        <v>0</v>
      </c>
      <c r="AL997" t="str">
        <f t="shared" si="113"/>
        <v/>
      </c>
      <c r="AM997" t="str">
        <f>VLOOKUP(A997,'Table corresp.'!$M$4:$U$63,8,FALSE)</f>
        <v>Production finale</v>
      </c>
      <c r="AN997" t="str">
        <f>VLOOKUP(D997,'Table corresp.'!$M$4:$U$63,9,FALSE)</f>
        <v>Consommation finale française</v>
      </c>
    </row>
    <row r="998" spans="1:40" x14ac:dyDescent="0.25">
      <c r="A998" t="s">
        <v>91</v>
      </c>
      <c r="B998" t="str">
        <f>VLOOKUP(LEFT(A998,3),'Table corresp.'!$A$4:$D$63,3,FALSE)</f>
        <v>Transformation</v>
      </c>
      <c r="C998" t="str">
        <f>VLOOKUP(A998,'Table corresp.'!$M$4:$P$63,4,FALSE)</f>
        <v>Production et transformation de produits bois</v>
      </c>
      <c r="D998" t="s">
        <v>53</v>
      </c>
      <c r="E998" t="str">
        <f>VLOOKUP(LEFT(D998,3),'Table corresp.'!$A$4:$D$63,4,FALSE)</f>
        <v>Exportation</v>
      </c>
      <c r="F998" t="str">
        <f t="shared" si="109"/>
        <v>37  - Exp</v>
      </c>
      <c r="G998" s="164">
        <v>111825.057</v>
      </c>
      <c r="H998" s="164">
        <v>0</v>
      </c>
      <c r="I998" s="164">
        <v>111825.05699999996</v>
      </c>
      <c r="J998" s="164">
        <v>429.80081767132987</v>
      </c>
      <c r="K998" s="164">
        <v>0</v>
      </c>
      <c r="L998" s="164">
        <v>429.80081767132987</v>
      </c>
      <c r="M998" s="164">
        <v>38.207410647127531</v>
      </c>
      <c r="N998" s="164">
        <v>0</v>
      </c>
      <c r="O998" s="164">
        <v>38.207410647127531</v>
      </c>
      <c r="P998" s="164">
        <v>2.2746790545536357E-4</v>
      </c>
      <c r="Q998" s="164">
        <v>0</v>
      </c>
      <c r="R998" s="164">
        <v>2.2746790545536357E-4</v>
      </c>
      <c r="S998" s="163" t="str">
        <f t="shared" si="110"/>
        <v/>
      </c>
      <c r="T998" s="163">
        <f>VLOOKUP(A998,'Groupe de branches'!$Z$27:$AM$86,14,FALSE)</f>
        <v>0</v>
      </c>
      <c r="U998" s="163">
        <f>VLOOKUP(D998,'Groupe de branches'!$Z$27:$AM$86,14,FALSE)</f>
        <v>0</v>
      </c>
      <c r="V998" s="163">
        <v>2018</v>
      </c>
      <c r="W998" t="str">
        <f>VLOOKUP(D998,'Table corresp.'!$M$4:$S$63,7,FALSE)</f>
        <v>Exportation</v>
      </c>
      <c r="X998" s="167">
        <f>IFERROR(G998/SUMIFS('Comp2016-2017 (3)'!$I$5:$I$289,'Comp2016-2017 (3)'!$A$5:$A$289,A998,'Comp2016-2017 (3)'!$R$5:$R$289,V998),0)</f>
        <v>7.6494842873213509E-2</v>
      </c>
      <c r="Y998" s="178">
        <f>IFERROR(IF(RIGHT(F998,3)="Exp",VLOOKUP(F998,#REF!,2,FALSE),VLOOKUP(F998,#REF!,9,FALSE)),1)</f>
        <v>1</v>
      </c>
      <c r="Z998" s="167">
        <f t="shared" si="117"/>
        <v>0.33333333333333331</v>
      </c>
      <c r="AA998" s="189">
        <f t="shared" si="114"/>
        <v>2.5498280957737835E-2</v>
      </c>
      <c r="AB998" s="2">
        <f>IFERROR(SUMIFS('Comp2016-2017 (3)'!$G$5:$G$289,'Comp2016-2017 (3)'!$A$5:$A$289,A998,'Comp2016-2017 (3)'!$R$5:$R$289,V998)*AA998/SUMIFS($AA$4:$AA$1116,$A$4:$A$1116,A998,$V$4:$V$1116,V998),0)</f>
        <v>40544.471340019198</v>
      </c>
      <c r="AC998" s="2">
        <f>IF($W998=AC$3,$AB998,IF(NOT($W998=0),"",SUMIFS('Val-Vol (2)'!AC$4:AC$1116,'Val-Vol (2)'!$A$4:$A$1116,$D998,'Val-Vol (2)'!$V$4:$V$1116,$V998)/SUMIFS('Comp2016-2017 (3)'!$G$5:$G$289,'Comp2016-2017 (3)'!$A$5:$A$289,$D998,'Comp2016-2017 (3)'!$R$5:$R$289,$V998)*$AB998))</f>
        <v>40544.471340019198</v>
      </c>
      <c r="AD998" s="2" t="str">
        <f>IF($W998=AD$3,$AB998,IF(NOT($W998=0),"",SUMIFS('Val-Vol (2)'!AD$4:AD$1116,'Val-Vol (2)'!$A$4:$A$1116,$D998,'Val-Vol (2)'!$V$4:$V$1116,$V998)/SUMIFS('Comp2016-2017 (3)'!$G$5:$G$289,'Comp2016-2017 (3)'!$A$5:$A$289,$D998,'Comp2016-2017 (3)'!$R$5:$R$289,$V998)*$AB998))</f>
        <v/>
      </c>
      <c r="AE998" s="2" t="str">
        <f>IF($W998=AE$3,$AB998,IF(NOT($W998=0),"",SUMIFS('Val-Vol (2)'!AE$4:AE$1116,'Val-Vol (2)'!$A$4:$A$1116,$D998,'Val-Vol (2)'!$V$4:$V$1116,$V998)/SUMIFS('Comp2016-2017 (3)'!$G$5:$G$289,'Comp2016-2017 (3)'!$A$5:$A$289,$D998,'Comp2016-2017 (3)'!$R$5:$R$289,$V998)*$AB998))</f>
        <v/>
      </c>
      <c r="AF998" s="2" t="str">
        <f>IF($W998=AF$3,$AB998,IF(NOT($W998=0),"",SUMIFS('Val-Vol (2)'!AF$4:AF$1116,'Val-Vol (2)'!$A$4:$A$1116,$D998,'Val-Vol (2)'!$V$4:$V$1116,$V998)/SUMIFS('Comp2016-2017 (3)'!$G$5:$G$289,'Comp2016-2017 (3)'!$A$5:$A$289,$D998,'Comp2016-2017 (3)'!$R$5:$R$289,$V998)*$AB998))</f>
        <v/>
      </c>
      <c r="AG998" s="2" t="str">
        <f>IF($W998=AG$3,$AB998,IF(NOT($W998=0),"",SUMIFS('Val-Vol (2)'!AG$4:AG$1116,'Val-Vol (2)'!$A$4:$A$1116,$D998,'Val-Vol (2)'!$V$4:$V$1116,$V998)/SUMIFS('Comp2016-2017 (3)'!$G$5:$G$289,'Comp2016-2017 (3)'!$A$5:$A$289,$D998,'Comp2016-2017 (3)'!$R$5:$R$289,$V998)*$AB998))</f>
        <v/>
      </c>
      <c r="AH998" s="2" t="str">
        <f>IF($W998=AH$3,$AB998,IF(NOT($W998=0),"",SUMIFS('Val-Vol (2)'!AH$4:AH$1116,'Val-Vol (2)'!$A$4:$A$1116,$D998,'Val-Vol (2)'!$V$4:$V$1116,$V998)/SUMIFS('Comp2016-2017 (3)'!$G$5:$G$289,'Comp2016-2017 (3)'!$A$5:$A$289,$D998,'Comp2016-2017 (3)'!$R$5:$R$289,$V998)*$AB998))</f>
        <v/>
      </c>
      <c r="AI998" s="2" t="str">
        <f>IF($W998=AI$3,$AB998,IF(NOT($W998=0),"",SUMIFS('Val-Vol (2)'!AI$4:AI$1116,'Val-Vol (2)'!$A$4:$A$1116,$D998,'Val-Vol (2)'!$V$4:$V$1116,$V998)/SUMIFS('Comp2016-2017 (3)'!$G$5:$G$289,'Comp2016-2017 (3)'!$A$5:$A$289,$D998,'Comp2016-2017 (3)'!$R$5:$R$289,$V998)*$AB998))</f>
        <v/>
      </c>
      <c r="AJ998" s="2" t="str">
        <f>IF($W998=AJ$3,$AB998,IF(NOT($W998=0),"",SUMIFS('Val-Vol (2)'!AJ$4:AJ$1116,'Val-Vol (2)'!$A$4:$A$1116,$D998,'Val-Vol (2)'!$V$4:$V$1116,$V998)/SUMIFS('Comp2016-2017 (3)'!$G$5:$G$289,'Comp2016-2017 (3)'!$A$5:$A$289,$D998,'Comp2016-2017 (3)'!$R$5:$R$289,$V998)*$AB998))</f>
        <v/>
      </c>
      <c r="AK998" s="2">
        <f t="shared" ref="AK998" si="119">SUM(AC998:AJ998)-AB998</f>
        <v>0</v>
      </c>
      <c r="AL998" t="str">
        <f t="shared" si="113"/>
        <v/>
      </c>
      <c r="AM998" t="str">
        <f>VLOOKUP(A998,'Table corresp.'!$M$4:$U$63,8,FALSE)</f>
        <v>Production finale</v>
      </c>
      <c r="AN998" t="str">
        <f>VLOOKUP(D998,'Table corresp.'!$M$4:$U$63,9,FALSE)</f>
        <v>Exportation</v>
      </c>
    </row>
    <row r="999" spans="1:40" x14ac:dyDescent="0.25">
      <c r="A999" t="s">
        <v>17</v>
      </c>
      <c r="B999" t="str">
        <f>VLOOKUP(LEFT(A999,3),'Table corresp.'!$A$4:$D$63,3,FALSE)</f>
        <v>Transformation</v>
      </c>
      <c r="C999" t="str">
        <f>VLOOKUP(A999,'Table corresp.'!$M$4:$P$63,4,FALSE)</f>
        <v>Production et transformation de produits bois</v>
      </c>
      <c r="D999" t="s">
        <v>17</v>
      </c>
      <c r="E999" t="str">
        <f>VLOOKUP(LEFT(D999,3),'Table corresp.'!$A$4:$D$63,4,FALSE)</f>
        <v>Transformation</v>
      </c>
      <c r="F999" t="str">
        <f t="shared" si="109"/>
        <v xml:space="preserve">38  - 38 </v>
      </c>
      <c r="G999" s="164">
        <v>1745.2417787208392</v>
      </c>
      <c r="H999" s="164">
        <v>1358.1062444818633</v>
      </c>
      <c r="I999" s="164">
        <v>3103.3480232027032</v>
      </c>
      <c r="J999" s="164">
        <v>0</v>
      </c>
      <c r="K999" s="164">
        <v>0</v>
      </c>
      <c r="L999" s="164">
        <v>0</v>
      </c>
      <c r="M999" s="164">
        <v>0</v>
      </c>
      <c r="N999" s="164">
        <v>0</v>
      </c>
      <c r="O999" s="164">
        <v>0</v>
      </c>
      <c r="P999" s="164">
        <v>0</v>
      </c>
      <c r="Q999" s="164">
        <v>0</v>
      </c>
      <c r="R999" s="164">
        <v>0</v>
      </c>
      <c r="S999" s="163" t="str">
        <f t="shared" si="110"/>
        <v/>
      </c>
      <c r="T999" s="163">
        <f>VLOOKUP(A999,'Groupe de branches'!$Z$27:$AM$86,14,FALSE)</f>
        <v>0</v>
      </c>
      <c r="U999" s="163">
        <f>VLOOKUP(D999,'Groupe de branches'!$Z$27:$AM$86,14,FALSE)</f>
        <v>0</v>
      </c>
      <c r="V999" s="163">
        <v>2018</v>
      </c>
      <c r="W999" t="str">
        <f>VLOOKUP(D999,'Table corresp.'!$M$4:$S$63,7,FALSE)</f>
        <v>Emballage bois et carton</v>
      </c>
      <c r="X999" s="167">
        <f>IFERROR(G999/SUMIFS('Comp2016-2017 (3)'!$I$5:$I$289,'Comp2016-2017 (3)'!$A$5:$A$289,A999,'Comp2016-2017 (3)'!$R$5:$R$289,V999),0)</f>
        <v>2.3229996731481154E-3</v>
      </c>
      <c r="Y999" s="178">
        <f>IFERROR(IF(RIGHT(F999,3)="Exp",VLOOKUP(F999,#REF!,2,FALSE),VLOOKUP(F999,#REF!,9,FALSE)),1)</f>
        <v>1</v>
      </c>
      <c r="Z999" s="167">
        <f t="shared" si="117"/>
        <v>0.33333333333333331</v>
      </c>
      <c r="AA999" s="189">
        <f t="shared" si="114"/>
        <v>7.7433322438270511E-4</v>
      </c>
      <c r="AB999" s="2">
        <f>IFERROR(SUMIFS('Comp2016-2017 (3)'!$G$5:$G$289,'Comp2016-2017 (3)'!$A$5:$A$289,A999,'Comp2016-2017 (3)'!$R$5:$R$289,V999)*AA999/SUMIFS($AA$4:$AA$1116,$A$4:$A$1116,A999,$V$4:$V$1116,V999),0)</f>
        <v>505.79364173946493</v>
      </c>
      <c r="AG999" s="198">
        <f>AB999</f>
        <v>505.79364173946493</v>
      </c>
      <c r="AK999" s="2">
        <f t="shared" ref="AK999:AK1000" si="120">SUM(AC999:AJ999)-AB999</f>
        <v>0</v>
      </c>
      <c r="AL999" s="231" t="str">
        <f t="shared" si="113"/>
        <v>remplir à la main</v>
      </c>
      <c r="AM999" t="str">
        <f>VLOOKUP(A999,'Table corresp.'!$M$4:$U$63,8,FALSE)</f>
        <v>Production finale</v>
      </c>
      <c r="AN999" t="str">
        <f>VLOOKUP(D999,'Table corresp.'!$M$4:$U$63,9,FALSE)</f>
        <v>Production finale</v>
      </c>
    </row>
    <row r="1000" spans="1:40" x14ac:dyDescent="0.25">
      <c r="A1000" t="s">
        <v>17</v>
      </c>
      <c r="B1000" t="str">
        <f>VLOOKUP(LEFT(A1000,3),'Table corresp.'!$A$4:$D$63,3,FALSE)</f>
        <v>Transformation</v>
      </c>
      <c r="C1000" t="str">
        <f>VLOOKUP(A1000,'Table corresp.'!$M$4:$P$63,4,FALSE)</f>
        <v>Production et transformation de produits bois</v>
      </c>
      <c r="D1000" t="s">
        <v>54</v>
      </c>
      <c r="E1000" t="str">
        <f>VLOOKUP(LEFT(D1000,3),'Table corresp.'!$A$4:$D$63,4,FALSE)</f>
        <v>Consommation finale</v>
      </c>
      <c r="F1000" t="str">
        <f t="shared" si="109"/>
        <v>38  - Con</v>
      </c>
      <c r="G1000" s="164">
        <v>316897.48822087358</v>
      </c>
      <c r="H1000" s="164">
        <v>37064.494755518135</v>
      </c>
      <c r="I1000" s="164">
        <v>353961.9829763918</v>
      </c>
      <c r="J1000" s="164">
        <v>137.02476938538757</v>
      </c>
      <c r="K1000" s="164">
        <v>42.348838641094282</v>
      </c>
      <c r="L1000" s="164">
        <v>179.37360802648186</v>
      </c>
      <c r="M1000" s="164">
        <v>0</v>
      </c>
      <c r="N1000" s="164">
        <v>0</v>
      </c>
      <c r="O1000" s="164">
        <v>0</v>
      </c>
      <c r="P1000" s="164">
        <v>0</v>
      </c>
      <c r="Q1000" s="164">
        <v>0</v>
      </c>
      <c r="R1000" s="164">
        <v>0</v>
      </c>
      <c r="S1000" s="163" t="str">
        <f t="shared" si="110"/>
        <v/>
      </c>
      <c r="T1000" s="163">
        <f>VLOOKUP(A1000,'Groupe de branches'!$Z$27:$AM$86,14,FALSE)</f>
        <v>0</v>
      </c>
      <c r="U1000" s="163">
        <f>VLOOKUP(D1000,'Groupe de branches'!$Z$27:$AM$86,14,FALSE)</f>
        <v>0</v>
      </c>
      <c r="V1000" s="163">
        <v>2018</v>
      </c>
      <c r="W1000" t="str">
        <f>VLOOKUP(D1000,'Table corresp.'!$M$4:$S$63,7,FALSE)</f>
        <v>Consommation finale</v>
      </c>
      <c r="X1000" s="167">
        <f>IFERROR(G1000/SUMIFS('Comp2016-2017 (3)'!$I$5:$I$289,'Comp2016-2017 (3)'!$A$5:$A$289,A1000,'Comp2016-2017 (3)'!$R$5:$R$289,V1000),0)</f>
        <v>0.42180560340361856</v>
      </c>
      <c r="Y1000" s="178">
        <f>IFERROR(IF(RIGHT(F1000,3)="Exp",VLOOKUP(F1000,#REF!,2,FALSE),VLOOKUP(F1000,#REF!,9,FALSE)),1)</f>
        <v>1</v>
      </c>
      <c r="Z1000" s="167">
        <f t="shared" si="117"/>
        <v>0.33333333333333331</v>
      </c>
      <c r="AA1000" s="189">
        <f t="shared" si="114"/>
        <v>0.14060186780120618</v>
      </c>
      <c r="AB1000" s="2">
        <f>IFERROR(SUMIFS('Comp2016-2017 (3)'!$G$5:$G$289,'Comp2016-2017 (3)'!$A$5:$A$289,A1000,'Comp2016-2017 (3)'!$R$5:$R$289,V1000)*AA1000/SUMIFS($AA$4:$AA$1116,$A$4:$A$1116,A1000,$V$4:$V$1116,V1000),0)</f>
        <v>91840.991076207356</v>
      </c>
      <c r="AC1000" s="2" t="str">
        <f>IF($W1000=AC$3,$AB1000,IF(NOT($W1000=0),"",SUMIFS('Val-Vol (2)'!AC$4:AC$1116,'Val-Vol (2)'!$A$4:$A$1116,$D1000,'Val-Vol (2)'!$V$4:$V$1116,$V1000)/SUMIFS('Comp2016-2017 (3)'!$G$5:$G$289,'Comp2016-2017 (3)'!$A$5:$A$289,$D1000,'Comp2016-2017 (3)'!$R$5:$R$289,$V1000)*$AB1000))</f>
        <v/>
      </c>
      <c r="AD1000" s="2" t="str">
        <f>IF($W1000=AD$3,$AB1000,IF(NOT($W1000=0),"",SUMIFS('Val-Vol (2)'!AD$4:AD$1116,'Val-Vol (2)'!$A$4:$A$1116,$D1000,'Val-Vol (2)'!$V$4:$V$1116,$V1000)/SUMIFS('Comp2016-2017 (3)'!$G$5:$G$289,'Comp2016-2017 (3)'!$A$5:$A$289,$D1000,'Comp2016-2017 (3)'!$R$5:$R$289,$V1000)*$AB1000))</f>
        <v/>
      </c>
      <c r="AE1000" s="2" t="str">
        <f>IF($W1000=AE$3,$AB1000,IF(NOT($W1000=0),"",SUMIFS('Val-Vol (2)'!AE$4:AE$1116,'Val-Vol (2)'!$A$4:$A$1116,$D1000,'Val-Vol (2)'!$V$4:$V$1116,$V1000)/SUMIFS('Comp2016-2017 (3)'!$G$5:$G$289,'Comp2016-2017 (3)'!$A$5:$A$289,$D1000,'Comp2016-2017 (3)'!$R$5:$R$289,$V1000)*$AB1000))</f>
        <v/>
      </c>
      <c r="AF1000" s="2" t="str">
        <f>IF($W1000=AF$3,$AB1000,IF(NOT($W1000=0),"",SUMIFS('Val-Vol (2)'!AF$4:AF$1116,'Val-Vol (2)'!$A$4:$A$1116,$D1000,'Val-Vol (2)'!$V$4:$V$1116,$V1000)/SUMIFS('Comp2016-2017 (3)'!$G$5:$G$289,'Comp2016-2017 (3)'!$A$5:$A$289,$D1000,'Comp2016-2017 (3)'!$R$5:$R$289,$V1000)*$AB1000))</f>
        <v/>
      </c>
      <c r="AG1000" s="2" t="str">
        <f>IF($W1000=AG$3,$AB1000,IF(NOT($W1000=0),"",SUMIFS('Val-Vol (2)'!AG$4:AG$1116,'Val-Vol (2)'!$A$4:$A$1116,$D1000,'Val-Vol (2)'!$V$4:$V$1116,$V1000)/SUMIFS('Comp2016-2017 (3)'!$G$5:$G$289,'Comp2016-2017 (3)'!$A$5:$A$289,$D1000,'Comp2016-2017 (3)'!$R$5:$R$289,$V1000)*$AB1000))</f>
        <v/>
      </c>
      <c r="AH1000" s="2" t="str">
        <f>IF($W1000=AH$3,$AB1000,IF(NOT($W1000=0),"",SUMIFS('Val-Vol (2)'!AH$4:AH$1116,'Val-Vol (2)'!$A$4:$A$1116,$D1000,'Val-Vol (2)'!$V$4:$V$1116,$V1000)/SUMIFS('Comp2016-2017 (3)'!$G$5:$G$289,'Comp2016-2017 (3)'!$A$5:$A$289,$D1000,'Comp2016-2017 (3)'!$R$5:$R$289,$V1000)*$AB1000))</f>
        <v/>
      </c>
      <c r="AI1000" s="2" t="str">
        <f>IF($W1000=AI$3,$AB1000,IF(NOT($W1000=0),"",SUMIFS('Val-Vol (2)'!AI$4:AI$1116,'Val-Vol (2)'!$A$4:$A$1116,$D1000,'Val-Vol (2)'!$V$4:$V$1116,$V1000)/SUMIFS('Comp2016-2017 (3)'!$G$5:$G$289,'Comp2016-2017 (3)'!$A$5:$A$289,$D1000,'Comp2016-2017 (3)'!$R$5:$R$289,$V1000)*$AB1000))</f>
        <v/>
      </c>
      <c r="AJ1000" s="2">
        <f>IF($W1000=AJ$3,$AB1000,IF(NOT($W1000=0),"",SUMIFS('Val-Vol (2)'!AJ$4:AJ$1116,'Val-Vol (2)'!$A$4:$A$1116,$D1000,'Val-Vol (2)'!$V$4:$V$1116,$V1000)/SUMIFS('Comp2016-2017 (3)'!$G$5:$G$289,'Comp2016-2017 (3)'!$A$5:$A$289,$D1000,'Comp2016-2017 (3)'!$R$5:$R$289,$V1000)*$AB1000))</f>
        <v>91840.991076207356</v>
      </c>
      <c r="AK1000" s="2">
        <f t="shared" si="120"/>
        <v>0</v>
      </c>
      <c r="AL1000" t="str">
        <f t="shared" si="113"/>
        <v/>
      </c>
      <c r="AM1000" t="str">
        <f>VLOOKUP(A1000,'Table corresp.'!$M$4:$U$63,8,FALSE)</f>
        <v>Production finale</v>
      </c>
      <c r="AN1000" t="str">
        <f>VLOOKUP(D1000,'Table corresp.'!$M$4:$U$63,9,FALSE)</f>
        <v>Consommation finale française</v>
      </c>
    </row>
    <row r="1001" spans="1:40" x14ac:dyDescent="0.25">
      <c r="A1001" t="s">
        <v>17</v>
      </c>
      <c r="B1001" t="str">
        <f>VLOOKUP(LEFT(A1001,3),'Table corresp.'!$A$4:$D$63,3,FALSE)</f>
        <v>Transformation</v>
      </c>
      <c r="C1001" t="str">
        <f>VLOOKUP(A1001,'Table corresp.'!$M$4:$P$63,4,FALSE)</f>
        <v>Production et transformation de produits bois</v>
      </c>
      <c r="D1001" t="s">
        <v>53</v>
      </c>
      <c r="E1001" t="str">
        <f>VLOOKUP(LEFT(D1001,3),'Table corresp.'!$A$4:$D$63,4,FALSE)</f>
        <v>Exportation</v>
      </c>
      <c r="F1001" t="str">
        <f t="shared" si="109"/>
        <v>38  - Exp</v>
      </c>
      <c r="G1001" s="164">
        <v>432645.26999999996</v>
      </c>
      <c r="H1001" s="164">
        <v>0</v>
      </c>
      <c r="I1001" s="164">
        <v>432645.27000000008</v>
      </c>
      <c r="J1001" s="164">
        <v>154.81103126839869</v>
      </c>
      <c r="K1001" s="164">
        <v>0</v>
      </c>
      <c r="L1001" s="164">
        <v>154.81103126839869</v>
      </c>
      <c r="M1001" s="164">
        <v>0</v>
      </c>
      <c r="N1001" s="164">
        <v>0</v>
      </c>
      <c r="O1001" s="164">
        <v>0</v>
      </c>
      <c r="P1001" s="164">
        <v>0</v>
      </c>
      <c r="Q1001" s="164">
        <v>0</v>
      </c>
      <c r="R1001" s="164">
        <v>0</v>
      </c>
      <c r="S1001" s="163" t="str">
        <f t="shared" si="110"/>
        <v/>
      </c>
      <c r="T1001" s="163">
        <f>VLOOKUP(A1001,'Groupe de branches'!$Z$27:$AM$86,14,FALSE)</f>
        <v>0</v>
      </c>
      <c r="U1001" s="163">
        <f>VLOOKUP(D1001,'Groupe de branches'!$Z$27:$AM$86,14,FALSE)</f>
        <v>0</v>
      </c>
      <c r="V1001" s="163">
        <v>2018</v>
      </c>
      <c r="W1001" t="str">
        <f>VLOOKUP(D1001,'Table corresp.'!$M$4:$S$63,7,FALSE)</f>
        <v>Exportation</v>
      </c>
      <c r="X1001" s="167">
        <f>IFERROR(G1001/SUMIFS('Comp2016-2017 (3)'!$I$5:$I$289,'Comp2016-2017 (3)'!$A$5:$A$289,A1001,'Comp2016-2017 (3)'!$R$5:$R$289,V1001),0)</f>
        <v>0.57587139676183441</v>
      </c>
      <c r="Y1001" s="178">
        <f>IFERROR(IF(RIGHT(F1001,3)="Exp",VLOOKUP(F1001,#REF!,2,FALSE),VLOOKUP(F1001,#REF!,9,FALSE)),1)</f>
        <v>1</v>
      </c>
      <c r="Z1001" s="167">
        <f t="shared" si="117"/>
        <v>0.33333333333333331</v>
      </c>
      <c r="AA1001" s="189">
        <f t="shared" si="114"/>
        <v>0.19195713225394478</v>
      </c>
      <c r="AB1001" s="2">
        <f>IFERROR(SUMIFS('Comp2016-2017 (3)'!$G$5:$G$289,'Comp2016-2017 (3)'!$A$5:$A$289,A1001,'Comp2016-2017 (3)'!$R$5:$R$289,V1001)*AA1001/SUMIFS($AA$4:$AA$1116,$A$4:$A$1116,A1001,$V$4:$V$1116,V1001),0)</f>
        <v>125386.19540442308</v>
      </c>
      <c r="AC1001" s="2">
        <f>IF($W1001=AC$3,$AB1001,IF(NOT($W1001=0),"",SUMIFS('Val-Vol (2)'!AC$4:AC$1116,'Val-Vol (2)'!$A$4:$A$1116,$D1001,'Val-Vol (2)'!$V$4:$V$1116,$V1001)/SUMIFS('Comp2016-2017 (3)'!$G$5:$G$289,'Comp2016-2017 (3)'!$A$5:$A$289,$D1001,'Comp2016-2017 (3)'!$R$5:$R$289,$V1001)*$AB1001))</f>
        <v>125386.19540442308</v>
      </c>
      <c r="AD1001" s="2" t="str">
        <f>IF($W1001=AD$3,$AB1001,IF(NOT($W1001=0),"",SUMIFS('Val-Vol (2)'!AD$4:AD$1116,'Val-Vol (2)'!$A$4:$A$1116,$D1001,'Val-Vol (2)'!$V$4:$V$1116,$V1001)/SUMIFS('Comp2016-2017 (3)'!$G$5:$G$289,'Comp2016-2017 (3)'!$A$5:$A$289,$D1001,'Comp2016-2017 (3)'!$R$5:$R$289,$V1001)*$AB1001))</f>
        <v/>
      </c>
      <c r="AE1001" s="2" t="str">
        <f>IF($W1001=AE$3,$AB1001,IF(NOT($W1001=0),"",SUMIFS('Val-Vol (2)'!AE$4:AE$1116,'Val-Vol (2)'!$A$4:$A$1116,$D1001,'Val-Vol (2)'!$V$4:$V$1116,$V1001)/SUMIFS('Comp2016-2017 (3)'!$G$5:$G$289,'Comp2016-2017 (3)'!$A$5:$A$289,$D1001,'Comp2016-2017 (3)'!$R$5:$R$289,$V1001)*$AB1001))</f>
        <v/>
      </c>
      <c r="AF1001" s="2" t="str">
        <f>IF($W1001=AF$3,$AB1001,IF(NOT($W1001=0),"",SUMIFS('Val-Vol (2)'!AF$4:AF$1116,'Val-Vol (2)'!$A$4:$A$1116,$D1001,'Val-Vol (2)'!$V$4:$V$1116,$V1001)/SUMIFS('Comp2016-2017 (3)'!$G$5:$G$289,'Comp2016-2017 (3)'!$A$5:$A$289,$D1001,'Comp2016-2017 (3)'!$R$5:$R$289,$V1001)*$AB1001))</f>
        <v/>
      </c>
      <c r="AG1001" s="2" t="str">
        <f>IF($W1001=AG$3,$AB1001,IF(NOT($W1001=0),"",SUMIFS('Val-Vol (2)'!AG$4:AG$1116,'Val-Vol (2)'!$A$4:$A$1116,$D1001,'Val-Vol (2)'!$V$4:$V$1116,$V1001)/SUMIFS('Comp2016-2017 (3)'!$G$5:$G$289,'Comp2016-2017 (3)'!$A$5:$A$289,$D1001,'Comp2016-2017 (3)'!$R$5:$R$289,$V1001)*$AB1001))</f>
        <v/>
      </c>
      <c r="AH1001" s="2" t="str">
        <f>IF($W1001=AH$3,$AB1001,IF(NOT($W1001=0),"",SUMIFS('Val-Vol (2)'!AH$4:AH$1116,'Val-Vol (2)'!$A$4:$A$1116,$D1001,'Val-Vol (2)'!$V$4:$V$1116,$V1001)/SUMIFS('Comp2016-2017 (3)'!$G$5:$G$289,'Comp2016-2017 (3)'!$A$5:$A$289,$D1001,'Comp2016-2017 (3)'!$R$5:$R$289,$V1001)*$AB1001))</f>
        <v/>
      </c>
      <c r="AI1001" s="2" t="str">
        <f>IF($W1001=AI$3,$AB1001,IF(NOT($W1001=0),"",SUMIFS('Val-Vol (2)'!AI$4:AI$1116,'Val-Vol (2)'!$A$4:$A$1116,$D1001,'Val-Vol (2)'!$V$4:$V$1116,$V1001)/SUMIFS('Comp2016-2017 (3)'!$G$5:$G$289,'Comp2016-2017 (3)'!$A$5:$A$289,$D1001,'Comp2016-2017 (3)'!$R$5:$R$289,$V1001)*$AB1001))</f>
        <v/>
      </c>
      <c r="AJ1001" s="2" t="str">
        <f>IF($W1001=AJ$3,$AB1001,IF(NOT($W1001=0),"",SUMIFS('Val-Vol (2)'!AJ$4:AJ$1116,'Val-Vol (2)'!$A$4:$A$1116,$D1001,'Val-Vol (2)'!$V$4:$V$1116,$V1001)/SUMIFS('Comp2016-2017 (3)'!$G$5:$G$289,'Comp2016-2017 (3)'!$A$5:$A$289,$D1001,'Comp2016-2017 (3)'!$R$5:$R$289,$V1001)*$AB1001))</f>
        <v/>
      </c>
      <c r="AK1001" s="2">
        <f t="shared" ref="AK1001:AK1018" si="121">SUM(AC1001:AJ1001)-AB1001</f>
        <v>0</v>
      </c>
      <c r="AL1001" t="str">
        <f t="shared" si="113"/>
        <v/>
      </c>
      <c r="AM1001" t="str">
        <f>VLOOKUP(A1001,'Table corresp.'!$M$4:$U$63,8,FALSE)</f>
        <v>Production finale</v>
      </c>
      <c r="AN1001" t="str">
        <f>VLOOKUP(D1001,'Table corresp.'!$M$4:$U$63,9,FALSE)</f>
        <v>Exportation</v>
      </c>
    </row>
    <row r="1002" spans="1:40" x14ac:dyDescent="0.25">
      <c r="A1002" t="s">
        <v>18</v>
      </c>
      <c r="B1002" t="str">
        <f>VLOOKUP(LEFT(A1002,3),'Table corresp.'!$A$4:$D$63,3,FALSE)</f>
        <v>Transformation</v>
      </c>
      <c r="C1002" t="str">
        <f>VLOOKUP(A1002,'Table corresp.'!$M$4:$P$63,4,FALSE)</f>
        <v>Production et transformation de produits bois</v>
      </c>
      <c r="D1002" t="s">
        <v>19</v>
      </c>
      <c r="E1002" t="str">
        <f>VLOOKUP(LEFT(D1002,3),'Table corresp.'!$A$4:$D$63,4,FALSE)</f>
        <v>Transformation</v>
      </c>
      <c r="F1002" t="str">
        <f t="shared" ref="F1002:F1065" si="122">LEFT(A1002,3)&amp;" - "&amp;LEFT(D1002,3)</f>
        <v xml:space="preserve">39  - 52 </v>
      </c>
      <c r="G1002" s="164">
        <v>7223.5738358106428</v>
      </c>
      <c r="H1002" s="164">
        <v>5205.8476275066287</v>
      </c>
      <c r="I1002" s="164">
        <v>12429.421463317265</v>
      </c>
      <c r="J1002" s="164">
        <v>11.673562692190927</v>
      </c>
      <c r="K1002" s="164">
        <v>15.125758095537577</v>
      </c>
      <c r="L1002" s="164">
        <v>26.799320787728504</v>
      </c>
      <c r="M1002" s="164">
        <v>3.0177428586512129</v>
      </c>
      <c r="N1002" s="164">
        <v>3.9101728990609796</v>
      </c>
      <c r="O1002" s="164">
        <v>6.9279157577121921</v>
      </c>
      <c r="P1002" s="164">
        <v>1.1955976820273677</v>
      </c>
      <c r="Q1002" s="164">
        <v>1.5491689893462424</v>
      </c>
      <c r="R1002" s="164">
        <v>2.7447666713736103</v>
      </c>
      <c r="S1002" s="163" t="str">
        <f t="shared" si="110"/>
        <v>BI</v>
      </c>
      <c r="T1002" s="163">
        <f>VLOOKUP(A1002,'Groupe de branches'!$Z$27:$AM$86,14,FALSE)</f>
        <v>0</v>
      </c>
      <c r="U1002" s="163">
        <f>VLOOKUP(D1002,'Groupe de branches'!$Z$27:$AM$86,14,FALSE)</f>
        <v>0</v>
      </c>
      <c r="V1002" s="163">
        <v>2018</v>
      </c>
      <c r="W1002" t="str">
        <f>VLOOKUP(D1002,'Table corresp.'!$M$4:$S$63,7,FALSE)</f>
        <v>Construction</v>
      </c>
      <c r="X1002" s="167">
        <f>IFERROR(G1002/SUMIFS('Comp2016-2017 (3)'!$I$5:$I$289,'Comp2016-2017 (3)'!$A$5:$A$289,A1002,'Comp2016-2017 (3)'!$R$5:$R$289,V1002),0)</f>
        <v>0.26988604407561967</v>
      </c>
      <c r="Y1002" s="178">
        <f>IFERROR(IF(RIGHT(F1002,3)="Exp",VLOOKUP(F1002,#REF!,2,FALSE),VLOOKUP(F1002,#REF!,9,FALSE)),1)</f>
        <v>1</v>
      </c>
      <c r="Z1002" s="167">
        <f t="shared" si="117"/>
        <v>0.2</v>
      </c>
      <c r="AA1002" s="189">
        <f t="shared" si="114"/>
        <v>5.3977208815123939E-2</v>
      </c>
      <c r="AB1002" s="2">
        <f>IFERROR(SUMIFS('Comp2016-2017 (3)'!$G$5:$G$289,'Comp2016-2017 (3)'!$A$5:$A$289,A1002,'Comp2016-2017 (3)'!$R$5:$R$289,V1002)*AA1002/SUMIFS($AA$4:$AA$1116,$A$4:$A$1116,A1002,$V$4:$V$1116,V1002),0)</f>
        <v>2757.16617742583</v>
      </c>
      <c r="AC1002" s="2" t="str">
        <f>IF($W1002=AC$3,$AB1002,IF(NOT($W1002=0),"",SUMIFS('Val-Vol (2)'!AC$4:AC$1116,'Val-Vol (2)'!$A$4:$A$1116,$D1002,'Val-Vol (2)'!$V$4:$V$1116,$V1002)/SUMIFS('Comp2016-2017 (3)'!$G$5:$G$289,'Comp2016-2017 (3)'!$A$5:$A$289,$D1002,'Comp2016-2017 (3)'!$R$5:$R$289,$V1002)*$AB1002))</f>
        <v/>
      </c>
      <c r="AD1002" s="2">
        <f>IF($W1002=AD$3,$AB1002,IF(NOT($W1002=0),"",SUMIFS('Val-Vol (2)'!AD$4:AD$1116,'Val-Vol (2)'!$A$4:$A$1116,$D1002,'Val-Vol (2)'!$V$4:$V$1116,$V1002)/SUMIFS('Comp2016-2017 (3)'!$G$5:$G$289,'Comp2016-2017 (3)'!$A$5:$A$289,$D1002,'Comp2016-2017 (3)'!$R$5:$R$289,$V1002)*$AB1002))</f>
        <v>2757.16617742583</v>
      </c>
      <c r="AE1002" s="2" t="str">
        <f>IF($W1002=AE$3,$AB1002,IF(NOT($W1002=0),"",SUMIFS('Val-Vol (2)'!AE$4:AE$1116,'Val-Vol (2)'!$A$4:$A$1116,$D1002,'Val-Vol (2)'!$V$4:$V$1116,$V1002)/SUMIFS('Comp2016-2017 (3)'!$G$5:$G$289,'Comp2016-2017 (3)'!$A$5:$A$289,$D1002,'Comp2016-2017 (3)'!$R$5:$R$289,$V1002)*$AB1002))</f>
        <v/>
      </c>
      <c r="AF1002" s="2" t="str">
        <f>IF($W1002=AF$3,$AB1002,IF(NOT($W1002=0),"",SUMIFS('Val-Vol (2)'!AF$4:AF$1116,'Val-Vol (2)'!$A$4:$A$1116,$D1002,'Val-Vol (2)'!$V$4:$V$1116,$V1002)/SUMIFS('Comp2016-2017 (3)'!$G$5:$G$289,'Comp2016-2017 (3)'!$A$5:$A$289,$D1002,'Comp2016-2017 (3)'!$R$5:$R$289,$V1002)*$AB1002))</f>
        <v/>
      </c>
      <c r="AG1002" s="2" t="str">
        <f>IF($W1002=AG$3,$AB1002,IF(NOT($W1002=0),"",SUMIFS('Val-Vol (2)'!AG$4:AG$1116,'Val-Vol (2)'!$A$4:$A$1116,$D1002,'Val-Vol (2)'!$V$4:$V$1116,$V1002)/SUMIFS('Comp2016-2017 (3)'!$G$5:$G$289,'Comp2016-2017 (3)'!$A$5:$A$289,$D1002,'Comp2016-2017 (3)'!$R$5:$R$289,$V1002)*$AB1002))</f>
        <v/>
      </c>
      <c r="AH1002" s="2" t="str">
        <f>IF($W1002=AH$3,$AB1002,IF(NOT($W1002=0),"",SUMIFS('Val-Vol (2)'!AH$4:AH$1116,'Val-Vol (2)'!$A$4:$A$1116,$D1002,'Val-Vol (2)'!$V$4:$V$1116,$V1002)/SUMIFS('Comp2016-2017 (3)'!$G$5:$G$289,'Comp2016-2017 (3)'!$A$5:$A$289,$D1002,'Comp2016-2017 (3)'!$R$5:$R$289,$V1002)*$AB1002))</f>
        <v/>
      </c>
      <c r="AI1002" s="2" t="str">
        <f>IF($W1002=AI$3,$AB1002,IF(NOT($W1002=0),"",SUMIFS('Val-Vol (2)'!AI$4:AI$1116,'Val-Vol (2)'!$A$4:$A$1116,$D1002,'Val-Vol (2)'!$V$4:$V$1116,$V1002)/SUMIFS('Comp2016-2017 (3)'!$G$5:$G$289,'Comp2016-2017 (3)'!$A$5:$A$289,$D1002,'Comp2016-2017 (3)'!$R$5:$R$289,$V1002)*$AB1002))</f>
        <v/>
      </c>
      <c r="AJ1002" s="2" t="str">
        <f>IF($W1002=AJ$3,$AB1002,IF(NOT($W1002=0),"",SUMIFS('Val-Vol (2)'!AJ$4:AJ$1116,'Val-Vol (2)'!$A$4:$A$1116,$D1002,'Val-Vol (2)'!$V$4:$V$1116,$V1002)/SUMIFS('Comp2016-2017 (3)'!$G$5:$G$289,'Comp2016-2017 (3)'!$A$5:$A$289,$D1002,'Comp2016-2017 (3)'!$R$5:$R$289,$V1002)*$AB1002))</f>
        <v/>
      </c>
      <c r="AK1002" s="2">
        <f t="shared" si="121"/>
        <v>0</v>
      </c>
      <c r="AL1002" t="str">
        <f t="shared" si="113"/>
        <v/>
      </c>
      <c r="AM1002" t="str">
        <f>VLOOKUP(A1002,'Table corresp.'!$M$4:$U$63,8,FALSE)</f>
        <v>Production finale</v>
      </c>
      <c r="AN1002" t="str">
        <f>VLOOKUP(D1002,'Table corresp.'!$M$4:$U$63,9,FALSE)</f>
        <v xml:space="preserve">Mise en œuvre </v>
      </c>
    </row>
    <row r="1003" spans="1:40" x14ac:dyDescent="0.25">
      <c r="A1003" t="s">
        <v>18</v>
      </c>
      <c r="B1003" t="str">
        <f>VLOOKUP(LEFT(A1003,3),'Table corresp.'!$A$4:$D$63,3,FALSE)</f>
        <v>Transformation</v>
      </c>
      <c r="C1003" t="str">
        <f>VLOOKUP(A1003,'Table corresp.'!$M$4:$P$63,4,FALSE)</f>
        <v>Production et transformation de produits bois</v>
      </c>
      <c r="D1003" t="s">
        <v>25</v>
      </c>
      <c r="E1003" t="str">
        <f>VLOOKUP(LEFT(D1003,3),'Table corresp.'!$A$4:$D$63,4,FALSE)</f>
        <v>Transformation</v>
      </c>
      <c r="F1003" t="str">
        <f t="shared" si="122"/>
        <v xml:space="preserve">39  - 58 </v>
      </c>
      <c r="G1003" s="164">
        <v>2386.1897627557673</v>
      </c>
      <c r="H1003" s="164">
        <v>3437.4418382589893</v>
      </c>
      <c r="I1003" s="164">
        <v>5823.6316010147548</v>
      </c>
      <c r="J1003" s="164">
        <v>0.62119844644727629</v>
      </c>
      <c r="K1003" s="164">
        <v>2.413383809207732</v>
      </c>
      <c r="L1003" s="164">
        <v>3.0345822556550082</v>
      </c>
      <c r="M1003" s="164">
        <v>0.16058655142405909</v>
      </c>
      <c r="N1003" s="164">
        <v>0.62388595045564499</v>
      </c>
      <c r="O1003" s="164">
        <v>0.78447250187970408</v>
      </c>
      <c r="P1003" s="164">
        <v>6.3622686769669701E-2</v>
      </c>
      <c r="Q1003" s="164">
        <v>0.24717698993995782</v>
      </c>
      <c r="R1003" s="164">
        <v>0.31079967670962749</v>
      </c>
      <c r="S1003" s="163" t="str">
        <f t="shared" ref="S1003:S1066" si="123">IF(VLOOKUP(F1003,$F$4:$S$374,14,FALSE)=0,"",VLOOKUP(F1003,$F$4:$S$374,14,FALSE))</f>
        <v/>
      </c>
      <c r="T1003" s="163">
        <f>VLOOKUP(A1003,'Groupe de branches'!$Z$27:$AM$86,14,FALSE)</f>
        <v>0</v>
      </c>
      <c r="U1003" s="163">
        <f>VLOOKUP(D1003,'Groupe de branches'!$Z$27:$AM$86,14,FALSE)</f>
        <v>0</v>
      </c>
      <c r="V1003" s="163">
        <v>2018</v>
      </c>
      <c r="W1003" t="str">
        <f>VLOOKUP(D1003,'Table corresp.'!$M$4:$S$63,7,FALSE)</f>
        <v>Construction</v>
      </c>
      <c r="X1003" s="167">
        <f>IFERROR(G1003/SUMIFS('Comp2016-2017 (3)'!$I$5:$I$289,'Comp2016-2017 (3)'!$A$5:$A$289,A1003,'Comp2016-2017 (3)'!$R$5:$R$289,V1003),0)</f>
        <v>8.9152451421108045E-2</v>
      </c>
      <c r="Y1003" s="178">
        <f>IFERROR(IF(RIGHT(F1003,3)="Exp",VLOOKUP(F1003,#REF!,2,FALSE),VLOOKUP(F1003,#REF!,9,FALSE)),1)</f>
        <v>1</v>
      </c>
      <c r="Z1003" s="167">
        <f t="shared" si="117"/>
        <v>0.2</v>
      </c>
      <c r="AA1003" s="189">
        <f t="shared" si="114"/>
        <v>1.7830490284221609E-2</v>
      </c>
      <c r="AB1003" s="2">
        <f>IFERROR(SUMIFS('Comp2016-2017 (3)'!$G$5:$G$289,'Comp2016-2017 (3)'!$A$5:$A$289,A1003,'Comp2016-2017 (3)'!$R$5:$R$289,V1003)*AA1003/SUMIFS($AA$4:$AA$1116,$A$4:$A$1116,A1003,$V$4:$V$1116,V1003),0)</f>
        <v>910.78486305132969</v>
      </c>
      <c r="AC1003" s="2" t="str">
        <f>IF($W1003=AC$3,$AB1003,IF(NOT($W1003=0),"",SUMIFS('Val-Vol (2)'!AC$4:AC$1116,'Val-Vol (2)'!$A$4:$A$1116,$D1003,'Val-Vol (2)'!$V$4:$V$1116,$V1003)/SUMIFS('Comp2016-2017 (3)'!$G$5:$G$289,'Comp2016-2017 (3)'!$A$5:$A$289,$D1003,'Comp2016-2017 (3)'!$R$5:$R$289,$V1003)*$AB1003))</f>
        <v/>
      </c>
      <c r="AD1003" s="2">
        <f>IF($W1003=AD$3,$AB1003,IF(NOT($W1003=0),"",SUMIFS('Val-Vol (2)'!AD$4:AD$1116,'Val-Vol (2)'!$A$4:$A$1116,$D1003,'Val-Vol (2)'!$V$4:$V$1116,$V1003)/SUMIFS('Comp2016-2017 (3)'!$G$5:$G$289,'Comp2016-2017 (3)'!$A$5:$A$289,$D1003,'Comp2016-2017 (3)'!$R$5:$R$289,$V1003)*$AB1003))</f>
        <v>910.78486305132969</v>
      </c>
      <c r="AE1003" s="2" t="str">
        <f>IF($W1003=AE$3,$AB1003,IF(NOT($W1003=0),"",SUMIFS('Val-Vol (2)'!AE$4:AE$1116,'Val-Vol (2)'!$A$4:$A$1116,$D1003,'Val-Vol (2)'!$V$4:$V$1116,$V1003)/SUMIFS('Comp2016-2017 (3)'!$G$5:$G$289,'Comp2016-2017 (3)'!$A$5:$A$289,$D1003,'Comp2016-2017 (3)'!$R$5:$R$289,$V1003)*$AB1003))</f>
        <v/>
      </c>
      <c r="AF1003" s="2" t="str">
        <f>IF($W1003=AF$3,$AB1003,IF(NOT($W1003=0),"",SUMIFS('Val-Vol (2)'!AF$4:AF$1116,'Val-Vol (2)'!$A$4:$A$1116,$D1003,'Val-Vol (2)'!$V$4:$V$1116,$V1003)/SUMIFS('Comp2016-2017 (3)'!$G$5:$G$289,'Comp2016-2017 (3)'!$A$5:$A$289,$D1003,'Comp2016-2017 (3)'!$R$5:$R$289,$V1003)*$AB1003))</f>
        <v/>
      </c>
      <c r="AG1003" s="2" t="str">
        <f>IF($W1003=AG$3,$AB1003,IF(NOT($W1003=0),"",SUMIFS('Val-Vol (2)'!AG$4:AG$1116,'Val-Vol (2)'!$A$4:$A$1116,$D1003,'Val-Vol (2)'!$V$4:$V$1116,$V1003)/SUMIFS('Comp2016-2017 (3)'!$G$5:$G$289,'Comp2016-2017 (3)'!$A$5:$A$289,$D1003,'Comp2016-2017 (3)'!$R$5:$R$289,$V1003)*$AB1003))</f>
        <v/>
      </c>
      <c r="AH1003" s="2" t="str">
        <f>IF($W1003=AH$3,$AB1003,IF(NOT($W1003=0),"",SUMIFS('Val-Vol (2)'!AH$4:AH$1116,'Val-Vol (2)'!$A$4:$A$1116,$D1003,'Val-Vol (2)'!$V$4:$V$1116,$V1003)/SUMIFS('Comp2016-2017 (3)'!$G$5:$G$289,'Comp2016-2017 (3)'!$A$5:$A$289,$D1003,'Comp2016-2017 (3)'!$R$5:$R$289,$V1003)*$AB1003))</f>
        <v/>
      </c>
      <c r="AI1003" s="2" t="str">
        <f>IF($W1003=AI$3,$AB1003,IF(NOT($W1003=0),"",SUMIFS('Val-Vol (2)'!AI$4:AI$1116,'Val-Vol (2)'!$A$4:$A$1116,$D1003,'Val-Vol (2)'!$V$4:$V$1116,$V1003)/SUMIFS('Comp2016-2017 (3)'!$G$5:$G$289,'Comp2016-2017 (3)'!$A$5:$A$289,$D1003,'Comp2016-2017 (3)'!$R$5:$R$289,$V1003)*$AB1003))</f>
        <v/>
      </c>
      <c r="AJ1003" s="2" t="str">
        <f>IF($W1003=AJ$3,$AB1003,IF(NOT($W1003=0),"",SUMIFS('Val-Vol (2)'!AJ$4:AJ$1116,'Val-Vol (2)'!$A$4:$A$1116,$D1003,'Val-Vol (2)'!$V$4:$V$1116,$V1003)/SUMIFS('Comp2016-2017 (3)'!$G$5:$G$289,'Comp2016-2017 (3)'!$A$5:$A$289,$D1003,'Comp2016-2017 (3)'!$R$5:$R$289,$V1003)*$AB1003))</f>
        <v/>
      </c>
      <c r="AK1003" s="2">
        <f t="shared" si="121"/>
        <v>0</v>
      </c>
      <c r="AL1003" t="str">
        <f t="shared" si="113"/>
        <v/>
      </c>
      <c r="AM1003" t="str">
        <f>VLOOKUP(A1003,'Table corresp.'!$M$4:$U$63,8,FALSE)</f>
        <v>Production finale</v>
      </c>
      <c r="AN1003" t="str">
        <f>VLOOKUP(D1003,'Table corresp.'!$M$4:$U$63,9,FALSE)</f>
        <v xml:space="preserve">Mise en œuvre </v>
      </c>
    </row>
    <row r="1004" spans="1:40" x14ac:dyDescent="0.25">
      <c r="A1004" t="s">
        <v>18</v>
      </c>
      <c r="B1004" t="str">
        <f>VLOOKUP(LEFT(A1004,3),'Table corresp.'!$A$4:$D$63,3,FALSE)</f>
        <v>Transformation</v>
      </c>
      <c r="C1004" t="str">
        <f>VLOOKUP(A1004,'Table corresp.'!$M$4:$P$63,4,FALSE)</f>
        <v>Production et transformation de produits bois</v>
      </c>
      <c r="D1004" t="s">
        <v>26</v>
      </c>
      <c r="E1004" t="str">
        <f>VLOOKUP(LEFT(D1004,3),'Table corresp.'!$A$4:$D$63,4,FALSE)</f>
        <v>Transformation</v>
      </c>
      <c r="F1004" t="str">
        <f t="shared" si="122"/>
        <v xml:space="preserve">39  - 59 </v>
      </c>
      <c r="G1004" s="164">
        <v>13936.700430022565</v>
      </c>
      <c r="H1004" s="164">
        <v>6168.8425342343771</v>
      </c>
      <c r="I1004" s="164">
        <v>20105.542964256936</v>
      </c>
      <c r="J1004" s="164">
        <v>4.3537811405574534</v>
      </c>
      <c r="K1004" s="164">
        <v>4.3310651915535159</v>
      </c>
      <c r="L1004" s="164">
        <v>8.6848463321109683</v>
      </c>
      <c r="M1004" s="164">
        <v>1.1254997545725007</v>
      </c>
      <c r="N1004" s="164">
        <v>1.11962743481103</v>
      </c>
      <c r="O1004" s="164">
        <v>2.2451271893835307</v>
      </c>
      <c r="P1004" s="164">
        <v>0.44591105363122036</v>
      </c>
      <c r="Q1004" s="164">
        <v>0.4435845028865768</v>
      </c>
      <c r="R1004" s="164">
        <v>0.8894955565177971</v>
      </c>
      <c r="S1004" s="163" t="str">
        <f t="shared" si="123"/>
        <v>BI</v>
      </c>
      <c r="T1004" s="163">
        <f>VLOOKUP(A1004,'Groupe de branches'!$Z$27:$AM$86,14,FALSE)</f>
        <v>0</v>
      </c>
      <c r="U1004" s="163">
        <f>VLOOKUP(D1004,'Groupe de branches'!$Z$27:$AM$86,14,FALSE)</f>
        <v>0</v>
      </c>
      <c r="V1004" s="163">
        <v>2018</v>
      </c>
      <c r="W1004" t="str">
        <f>VLOOKUP(D1004,'Table corresp.'!$M$4:$S$63,7,FALSE)</f>
        <v>Construction</v>
      </c>
      <c r="X1004" s="167">
        <f>IFERROR(G1004/SUMIFS('Comp2016-2017 (3)'!$I$5:$I$289,'Comp2016-2017 (3)'!$A$5:$A$289,A1004,'Comp2016-2017 (3)'!$R$5:$R$289,V1004),0)</f>
        <v>0.52070083756590757</v>
      </c>
      <c r="Y1004" s="178">
        <f>IFERROR(IF(RIGHT(F1004,3)="Exp",VLOOKUP(F1004,#REF!,2,FALSE),VLOOKUP(F1004,#REF!,9,FALSE)),1)</f>
        <v>1</v>
      </c>
      <c r="Z1004" s="167">
        <f t="shared" si="117"/>
        <v>0.2</v>
      </c>
      <c r="AA1004" s="189">
        <f t="shared" si="114"/>
        <v>0.10414016751318152</v>
      </c>
      <c r="AB1004" s="2">
        <f>IFERROR(SUMIFS('Comp2016-2017 (3)'!$G$5:$G$289,'Comp2016-2017 (3)'!$A$5:$A$289,A1004,'Comp2016-2017 (3)'!$R$5:$R$289,V1004)*AA1004/SUMIFS($AA$4:$AA$1116,$A$4:$A$1116,A1004,$V$4:$V$1116,V1004),0)</f>
        <v>5319.4997274174075</v>
      </c>
      <c r="AC1004" s="2" t="str">
        <f>IF($W1004=AC$3,$AB1004,IF(NOT($W1004=0),"",SUMIFS('Val-Vol (2)'!AC$4:AC$1116,'Val-Vol (2)'!$A$4:$A$1116,$D1004,'Val-Vol (2)'!$V$4:$V$1116,$V1004)/SUMIFS('Comp2016-2017 (3)'!$G$5:$G$289,'Comp2016-2017 (3)'!$A$5:$A$289,$D1004,'Comp2016-2017 (3)'!$R$5:$R$289,$V1004)*$AB1004))</f>
        <v/>
      </c>
      <c r="AD1004" s="2">
        <f>IF($W1004=AD$3,$AB1004,IF(NOT($W1004=0),"",SUMIFS('Val-Vol (2)'!AD$4:AD$1116,'Val-Vol (2)'!$A$4:$A$1116,$D1004,'Val-Vol (2)'!$V$4:$V$1116,$V1004)/SUMIFS('Comp2016-2017 (3)'!$G$5:$G$289,'Comp2016-2017 (3)'!$A$5:$A$289,$D1004,'Comp2016-2017 (3)'!$R$5:$R$289,$V1004)*$AB1004))</f>
        <v>5319.4997274174075</v>
      </c>
      <c r="AE1004" s="2" t="str">
        <f>IF($W1004=AE$3,$AB1004,IF(NOT($W1004=0),"",SUMIFS('Val-Vol (2)'!AE$4:AE$1116,'Val-Vol (2)'!$A$4:$A$1116,$D1004,'Val-Vol (2)'!$V$4:$V$1116,$V1004)/SUMIFS('Comp2016-2017 (3)'!$G$5:$G$289,'Comp2016-2017 (3)'!$A$5:$A$289,$D1004,'Comp2016-2017 (3)'!$R$5:$R$289,$V1004)*$AB1004))</f>
        <v/>
      </c>
      <c r="AF1004" s="2" t="str">
        <f>IF($W1004=AF$3,$AB1004,IF(NOT($W1004=0),"",SUMIFS('Val-Vol (2)'!AF$4:AF$1116,'Val-Vol (2)'!$A$4:$A$1116,$D1004,'Val-Vol (2)'!$V$4:$V$1116,$V1004)/SUMIFS('Comp2016-2017 (3)'!$G$5:$G$289,'Comp2016-2017 (3)'!$A$5:$A$289,$D1004,'Comp2016-2017 (3)'!$R$5:$R$289,$V1004)*$AB1004))</f>
        <v/>
      </c>
      <c r="AG1004" s="2" t="str">
        <f>IF($W1004=AG$3,$AB1004,IF(NOT($W1004=0),"",SUMIFS('Val-Vol (2)'!AG$4:AG$1116,'Val-Vol (2)'!$A$4:$A$1116,$D1004,'Val-Vol (2)'!$V$4:$V$1116,$V1004)/SUMIFS('Comp2016-2017 (3)'!$G$5:$G$289,'Comp2016-2017 (3)'!$A$5:$A$289,$D1004,'Comp2016-2017 (3)'!$R$5:$R$289,$V1004)*$AB1004))</f>
        <v/>
      </c>
      <c r="AH1004" s="2" t="str">
        <f>IF($W1004=AH$3,$AB1004,IF(NOT($W1004=0),"",SUMIFS('Val-Vol (2)'!AH$4:AH$1116,'Val-Vol (2)'!$A$4:$A$1116,$D1004,'Val-Vol (2)'!$V$4:$V$1116,$V1004)/SUMIFS('Comp2016-2017 (3)'!$G$5:$G$289,'Comp2016-2017 (3)'!$A$5:$A$289,$D1004,'Comp2016-2017 (3)'!$R$5:$R$289,$V1004)*$AB1004))</f>
        <v/>
      </c>
      <c r="AI1004" s="2" t="str">
        <f>IF($W1004=AI$3,$AB1004,IF(NOT($W1004=0),"",SUMIFS('Val-Vol (2)'!AI$4:AI$1116,'Val-Vol (2)'!$A$4:$A$1116,$D1004,'Val-Vol (2)'!$V$4:$V$1116,$V1004)/SUMIFS('Comp2016-2017 (3)'!$G$5:$G$289,'Comp2016-2017 (3)'!$A$5:$A$289,$D1004,'Comp2016-2017 (3)'!$R$5:$R$289,$V1004)*$AB1004))</f>
        <v/>
      </c>
      <c r="AJ1004" s="2" t="str">
        <f>IF($W1004=AJ$3,$AB1004,IF(NOT($W1004=0),"",SUMIFS('Val-Vol (2)'!AJ$4:AJ$1116,'Val-Vol (2)'!$A$4:$A$1116,$D1004,'Val-Vol (2)'!$V$4:$V$1116,$V1004)/SUMIFS('Comp2016-2017 (3)'!$G$5:$G$289,'Comp2016-2017 (3)'!$A$5:$A$289,$D1004,'Comp2016-2017 (3)'!$R$5:$R$289,$V1004)*$AB1004))</f>
        <v/>
      </c>
      <c r="AK1004" s="2">
        <f t="shared" si="121"/>
        <v>0</v>
      </c>
      <c r="AL1004" t="str">
        <f t="shared" si="113"/>
        <v/>
      </c>
      <c r="AM1004" t="str">
        <f>VLOOKUP(A1004,'Table corresp.'!$M$4:$U$63,8,FALSE)</f>
        <v>Production finale</v>
      </c>
      <c r="AN1004" t="str">
        <f>VLOOKUP(D1004,'Table corresp.'!$M$4:$U$63,9,FALSE)</f>
        <v xml:space="preserve">Mise en œuvre </v>
      </c>
    </row>
    <row r="1005" spans="1:40" x14ac:dyDescent="0.25">
      <c r="A1005" t="s">
        <v>18</v>
      </c>
      <c r="B1005" t="str">
        <f>VLOOKUP(LEFT(A1005,3),'Table corresp.'!$A$4:$D$63,3,FALSE)</f>
        <v>Transformation</v>
      </c>
      <c r="C1005" t="str">
        <f>VLOOKUP(A1005,'Table corresp.'!$M$4:$P$63,4,FALSE)</f>
        <v>Production et transformation de produits bois</v>
      </c>
      <c r="D1005" t="s">
        <v>54</v>
      </c>
      <c r="E1005" t="str">
        <f>VLOOKUP(LEFT(D1005,3),'Table corresp.'!$A$4:$D$63,4,FALSE)</f>
        <v>Consommation finale</v>
      </c>
      <c r="F1005" t="str">
        <f t="shared" si="122"/>
        <v>39  - Con</v>
      </c>
      <c r="G1005" s="164">
        <v>698.00017410311216</v>
      </c>
      <c r="H1005" s="164">
        <v>0</v>
      </c>
      <c r="I1005" s="164">
        <v>698.00017410311193</v>
      </c>
      <c r="J1005" s="164">
        <v>0.9023952937155475</v>
      </c>
      <c r="K1005" s="164">
        <v>0</v>
      </c>
      <c r="L1005" s="164">
        <v>0.9023952937155475</v>
      </c>
      <c r="M1005" s="164">
        <v>0.23327899331985855</v>
      </c>
      <c r="N1005" s="164">
        <v>0</v>
      </c>
      <c r="O1005" s="164">
        <v>0.23327899331985855</v>
      </c>
      <c r="P1005" s="164">
        <v>9.2422660492537528E-2</v>
      </c>
      <c r="Q1005" s="164">
        <v>0</v>
      </c>
      <c r="R1005" s="164">
        <v>9.2422660492537528E-2</v>
      </c>
      <c r="S1005" s="163" t="str">
        <f t="shared" si="123"/>
        <v/>
      </c>
      <c r="T1005" s="163">
        <f>VLOOKUP(A1005,'Groupe de branches'!$Z$27:$AM$86,14,FALSE)</f>
        <v>0</v>
      </c>
      <c r="U1005" s="163">
        <f>VLOOKUP(D1005,'Groupe de branches'!$Z$27:$AM$86,14,FALSE)</f>
        <v>0</v>
      </c>
      <c r="V1005" s="163">
        <v>2018</v>
      </c>
      <c r="W1005" t="str">
        <f>VLOOKUP(D1005,'Table corresp.'!$M$4:$S$63,7,FALSE)</f>
        <v>Consommation finale</v>
      </c>
      <c r="X1005" s="167">
        <f>IFERROR(G1005/SUMIFS('Comp2016-2017 (3)'!$I$5:$I$289,'Comp2016-2017 (3)'!$A$5:$A$289,A1005,'Comp2016-2017 (3)'!$R$5:$R$289,V1005),0)</f>
        <v>2.6078574128901709E-2</v>
      </c>
      <c r="Y1005" s="178">
        <f>IFERROR(IF(RIGHT(F1005,3)="Exp",VLOOKUP(F1005,#REF!,2,FALSE),VLOOKUP(F1005,#REF!,9,FALSE)),1)</f>
        <v>1</v>
      </c>
      <c r="Z1005" s="167">
        <f t="shared" si="117"/>
        <v>0.2</v>
      </c>
      <c r="AA1005" s="189">
        <f t="shared" si="114"/>
        <v>5.2157148257803423E-3</v>
      </c>
      <c r="AB1005" s="2">
        <f>IFERROR(SUMIFS('Comp2016-2017 (3)'!$G$5:$G$289,'Comp2016-2017 (3)'!$A$5:$A$289,A1005,'Comp2016-2017 (3)'!$R$5:$R$289,V1005)*AA1005/SUMIFS($AA$4:$AA$1116,$A$4:$A$1116,A1005,$V$4:$V$1116,V1005),0)</f>
        <v>266.41971351269086</v>
      </c>
      <c r="AC1005" s="2" t="str">
        <f>IF($W1005=AC$3,$AB1005,IF(NOT($W1005=0),"",SUMIFS('Val-Vol (2)'!AC$4:AC$1116,'Val-Vol (2)'!$A$4:$A$1116,$D1005,'Val-Vol (2)'!$V$4:$V$1116,$V1005)/SUMIFS('Comp2016-2017 (3)'!$G$5:$G$289,'Comp2016-2017 (3)'!$A$5:$A$289,$D1005,'Comp2016-2017 (3)'!$R$5:$R$289,$V1005)*$AB1005))</f>
        <v/>
      </c>
      <c r="AD1005" s="2" t="str">
        <f>IF($W1005=AD$3,$AB1005,IF(NOT($W1005=0),"",SUMIFS('Val-Vol (2)'!AD$4:AD$1116,'Val-Vol (2)'!$A$4:$A$1116,$D1005,'Val-Vol (2)'!$V$4:$V$1116,$V1005)/SUMIFS('Comp2016-2017 (3)'!$G$5:$G$289,'Comp2016-2017 (3)'!$A$5:$A$289,$D1005,'Comp2016-2017 (3)'!$R$5:$R$289,$V1005)*$AB1005))</f>
        <v/>
      </c>
      <c r="AE1005" s="2" t="str">
        <f>IF($W1005=AE$3,$AB1005,IF(NOT($W1005=0),"",SUMIFS('Val-Vol (2)'!AE$4:AE$1116,'Val-Vol (2)'!$A$4:$A$1116,$D1005,'Val-Vol (2)'!$V$4:$V$1116,$V1005)/SUMIFS('Comp2016-2017 (3)'!$G$5:$G$289,'Comp2016-2017 (3)'!$A$5:$A$289,$D1005,'Comp2016-2017 (3)'!$R$5:$R$289,$V1005)*$AB1005))</f>
        <v/>
      </c>
      <c r="AF1005" s="2" t="str">
        <f>IF($W1005=AF$3,$AB1005,IF(NOT($W1005=0),"",SUMIFS('Val-Vol (2)'!AF$4:AF$1116,'Val-Vol (2)'!$A$4:$A$1116,$D1005,'Val-Vol (2)'!$V$4:$V$1116,$V1005)/SUMIFS('Comp2016-2017 (3)'!$G$5:$G$289,'Comp2016-2017 (3)'!$A$5:$A$289,$D1005,'Comp2016-2017 (3)'!$R$5:$R$289,$V1005)*$AB1005))</f>
        <v/>
      </c>
      <c r="AG1005" s="2" t="str">
        <f>IF($W1005=AG$3,$AB1005,IF(NOT($W1005=0),"",SUMIFS('Val-Vol (2)'!AG$4:AG$1116,'Val-Vol (2)'!$A$4:$A$1116,$D1005,'Val-Vol (2)'!$V$4:$V$1116,$V1005)/SUMIFS('Comp2016-2017 (3)'!$G$5:$G$289,'Comp2016-2017 (3)'!$A$5:$A$289,$D1005,'Comp2016-2017 (3)'!$R$5:$R$289,$V1005)*$AB1005))</f>
        <v/>
      </c>
      <c r="AH1005" s="2" t="str">
        <f>IF($W1005=AH$3,$AB1005,IF(NOT($W1005=0),"",SUMIFS('Val-Vol (2)'!AH$4:AH$1116,'Val-Vol (2)'!$A$4:$A$1116,$D1005,'Val-Vol (2)'!$V$4:$V$1116,$V1005)/SUMIFS('Comp2016-2017 (3)'!$G$5:$G$289,'Comp2016-2017 (3)'!$A$5:$A$289,$D1005,'Comp2016-2017 (3)'!$R$5:$R$289,$V1005)*$AB1005))</f>
        <v/>
      </c>
      <c r="AI1005" s="2" t="str">
        <f>IF($W1005=AI$3,$AB1005,IF(NOT($W1005=0),"",SUMIFS('Val-Vol (2)'!AI$4:AI$1116,'Val-Vol (2)'!$A$4:$A$1116,$D1005,'Val-Vol (2)'!$V$4:$V$1116,$V1005)/SUMIFS('Comp2016-2017 (3)'!$G$5:$G$289,'Comp2016-2017 (3)'!$A$5:$A$289,$D1005,'Comp2016-2017 (3)'!$R$5:$R$289,$V1005)*$AB1005))</f>
        <v/>
      </c>
      <c r="AJ1005" s="2">
        <f>IF($W1005=AJ$3,$AB1005,IF(NOT($W1005=0),"",SUMIFS('Val-Vol (2)'!AJ$4:AJ$1116,'Val-Vol (2)'!$A$4:$A$1116,$D1005,'Val-Vol (2)'!$V$4:$V$1116,$V1005)/SUMIFS('Comp2016-2017 (3)'!$G$5:$G$289,'Comp2016-2017 (3)'!$A$5:$A$289,$D1005,'Comp2016-2017 (3)'!$R$5:$R$289,$V1005)*$AB1005))</f>
        <v>266.41971351269086</v>
      </c>
      <c r="AK1005" s="2">
        <f t="shared" si="121"/>
        <v>0</v>
      </c>
      <c r="AL1005" t="str">
        <f t="shared" si="113"/>
        <v/>
      </c>
      <c r="AM1005" t="str">
        <f>VLOOKUP(A1005,'Table corresp.'!$M$4:$U$63,8,FALSE)</f>
        <v>Production finale</v>
      </c>
      <c r="AN1005" t="str">
        <f>VLOOKUP(D1005,'Table corresp.'!$M$4:$U$63,9,FALSE)</f>
        <v>Consommation finale française</v>
      </c>
    </row>
    <row r="1006" spans="1:40" x14ac:dyDescent="0.25">
      <c r="A1006" t="s">
        <v>18</v>
      </c>
      <c r="B1006" t="str">
        <f>VLOOKUP(LEFT(A1006,3),'Table corresp.'!$A$4:$D$63,3,FALSE)</f>
        <v>Transformation</v>
      </c>
      <c r="C1006" t="str">
        <f>VLOOKUP(A1006,'Table corresp.'!$M$4:$P$63,4,FALSE)</f>
        <v>Production et transformation de produits bois</v>
      </c>
      <c r="D1006" t="s">
        <v>53</v>
      </c>
      <c r="E1006" t="str">
        <f>VLOOKUP(LEFT(D1006,3),'Table corresp.'!$A$4:$D$63,4,FALSE)</f>
        <v>Exportation</v>
      </c>
      <c r="F1006" t="str">
        <f t="shared" si="122"/>
        <v>39  - Exp</v>
      </c>
      <c r="G1006" s="164">
        <v>2520.8030000000008</v>
      </c>
      <c r="H1006" s="164">
        <v>0</v>
      </c>
      <c r="I1006" s="164">
        <v>2520.8029999999999</v>
      </c>
      <c r="J1006" s="164">
        <v>3.5937552668026287</v>
      </c>
      <c r="K1006" s="164">
        <v>0</v>
      </c>
      <c r="L1006" s="164">
        <v>3.5937552668026287</v>
      </c>
      <c r="M1006" s="164">
        <v>0.9290248040033775</v>
      </c>
      <c r="N1006" s="164">
        <v>0</v>
      </c>
      <c r="O1006" s="164">
        <v>0.9290248040033775</v>
      </c>
      <c r="P1006" s="164">
        <v>0.36806976413782838</v>
      </c>
      <c r="Q1006" s="164">
        <v>0</v>
      </c>
      <c r="R1006" s="164">
        <v>0.36806976413782838</v>
      </c>
      <c r="S1006" s="163" t="str">
        <f t="shared" si="123"/>
        <v/>
      </c>
      <c r="T1006" s="163">
        <f>VLOOKUP(A1006,'Groupe de branches'!$Z$27:$AM$86,14,FALSE)</f>
        <v>0</v>
      </c>
      <c r="U1006" s="163">
        <f>VLOOKUP(D1006,'Groupe de branches'!$Z$27:$AM$86,14,FALSE)</f>
        <v>0</v>
      </c>
      <c r="V1006" s="163">
        <v>2018</v>
      </c>
      <c r="W1006" t="str">
        <f>VLOOKUP(D1006,'Table corresp.'!$M$4:$S$63,7,FALSE)</f>
        <v>Exportation</v>
      </c>
      <c r="X1006" s="167">
        <f>IFERROR(G1006/SUMIFS('Comp2016-2017 (3)'!$I$5:$I$289,'Comp2016-2017 (3)'!$A$5:$A$289,A1006,'Comp2016-2017 (3)'!$R$5:$R$289,V1006),0)</f>
        <v>9.4181850290121202E-2</v>
      </c>
      <c r="Y1006" s="178">
        <f>IFERROR(IF(RIGHT(F1006,3)="Exp",VLOOKUP(F1006,#REF!,2,FALSE),VLOOKUP(F1006,#REF!,9,FALSE)),1)</f>
        <v>1</v>
      </c>
      <c r="Z1006" s="167">
        <f t="shared" si="117"/>
        <v>0.2</v>
      </c>
      <c r="AA1006" s="189">
        <f t="shared" si="114"/>
        <v>1.8836370058024243E-2</v>
      </c>
      <c r="AB1006" s="2">
        <f>IFERROR(SUMIFS('Comp2016-2017 (3)'!$G$5:$G$289,'Comp2016-2017 (3)'!$A$5:$A$289,A1006,'Comp2016-2017 (3)'!$R$5:$R$289,V1006)*AA1006/SUMIFS($AA$4:$AA$1116,$A$4:$A$1116,A1006,$V$4:$V$1116,V1006),0)</f>
        <v>962.16539479361381</v>
      </c>
      <c r="AC1006" s="2">
        <f>IF($W1006=AC$3,$AB1006,IF(NOT($W1006=0),"",SUMIFS('Val-Vol (2)'!AC$4:AC$1116,'Val-Vol (2)'!$A$4:$A$1116,$D1006,'Val-Vol (2)'!$V$4:$V$1116,$V1006)/SUMIFS('Comp2016-2017 (3)'!$G$5:$G$289,'Comp2016-2017 (3)'!$A$5:$A$289,$D1006,'Comp2016-2017 (3)'!$R$5:$R$289,$V1006)*$AB1006))</f>
        <v>962.16539479361381</v>
      </c>
      <c r="AD1006" s="2" t="str">
        <f>IF($W1006=AD$3,$AB1006,IF(NOT($W1006=0),"",SUMIFS('Val-Vol (2)'!AD$4:AD$1116,'Val-Vol (2)'!$A$4:$A$1116,$D1006,'Val-Vol (2)'!$V$4:$V$1116,$V1006)/SUMIFS('Comp2016-2017 (3)'!$G$5:$G$289,'Comp2016-2017 (3)'!$A$5:$A$289,$D1006,'Comp2016-2017 (3)'!$R$5:$R$289,$V1006)*$AB1006))</f>
        <v/>
      </c>
      <c r="AE1006" s="2" t="str">
        <f>IF($W1006=AE$3,$AB1006,IF(NOT($W1006=0),"",SUMIFS('Val-Vol (2)'!AE$4:AE$1116,'Val-Vol (2)'!$A$4:$A$1116,$D1006,'Val-Vol (2)'!$V$4:$V$1116,$V1006)/SUMIFS('Comp2016-2017 (3)'!$G$5:$G$289,'Comp2016-2017 (3)'!$A$5:$A$289,$D1006,'Comp2016-2017 (3)'!$R$5:$R$289,$V1006)*$AB1006))</f>
        <v/>
      </c>
      <c r="AF1006" s="2" t="str">
        <f>IF($W1006=AF$3,$AB1006,IF(NOT($W1006=0),"",SUMIFS('Val-Vol (2)'!AF$4:AF$1116,'Val-Vol (2)'!$A$4:$A$1116,$D1006,'Val-Vol (2)'!$V$4:$V$1116,$V1006)/SUMIFS('Comp2016-2017 (3)'!$G$5:$G$289,'Comp2016-2017 (3)'!$A$5:$A$289,$D1006,'Comp2016-2017 (3)'!$R$5:$R$289,$V1006)*$AB1006))</f>
        <v/>
      </c>
      <c r="AG1006" s="2" t="str">
        <f>IF($W1006=AG$3,$AB1006,IF(NOT($W1006=0),"",SUMIFS('Val-Vol (2)'!AG$4:AG$1116,'Val-Vol (2)'!$A$4:$A$1116,$D1006,'Val-Vol (2)'!$V$4:$V$1116,$V1006)/SUMIFS('Comp2016-2017 (3)'!$G$5:$G$289,'Comp2016-2017 (3)'!$A$5:$A$289,$D1006,'Comp2016-2017 (3)'!$R$5:$R$289,$V1006)*$AB1006))</f>
        <v/>
      </c>
      <c r="AH1006" s="2" t="str">
        <f>IF($W1006=AH$3,$AB1006,IF(NOT($W1006=0),"",SUMIFS('Val-Vol (2)'!AH$4:AH$1116,'Val-Vol (2)'!$A$4:$A$1116,$D1006,'Val-Vol (2)'!$V$4:$V$1116,$V1006)/SUMIFS('Comp2016-2017 (3)'!$G$5:$G$289,'Comp2016-2017 (3)'!$A$5:$A$289,$D1006,'Comp2016-2017 (3)'!$R$5:$R$289,$V1006)*$AB1006))</f>
        <v/>
      </c>
      <c r="AI1006" s="2" t="str">
        <f>IF($W1006=AI$3,$AB1006,IF(NOT($W1006=0),"",SUMIFS('Val-Vol (2)'!AI$4:AI$1116,'Val-Vol (2)'!$A$4:$A$1116,$D1006,'Val-Vol (2)'!$V$4:$V$1116,$V1006)/SUMIFS('Comp2016-2017 (3)'!$G$5:$G$289,'Comp2016-2017 (3)'!$A$5:$A$289,$D1006,'Comp2016-2017 (3)'!$R$5:$R$289,$V1006)*$AB1006))</f>
        <v/>
      </c>
      <c r="AJ1006" s="2" t="str">
        <f>IF($W1006=AJ$3,$AB1006,IF(NOT($W1006=0),"",SUMIFS('Val-Vol (2)'!AJ$4:AJ$1116,'Val-Vol (2)'!$A$4:$A$1116,$D1006,'Val-Vol (2)'!$V$4:$V$1116,$V1006)/SUMIFS('Comp2016-2017 (3)'!$G$5:$G$289,'Comp2016-2017 (3)'!$A$5:$A$289,$D1006,'Comp2016-2017 (3)'!$R$5:$R$289,$V1006)*$AB1006))</f>
        <v/>
      </c>
      <c r="AK1006" s="2">
        <f t="shared" si="121"/>
        <v>0</v>
      </c>
      <c r="AL1006" t="str">
        <f t="shared" si="113"/>
        <v/>
      </c>
      <c r="AM1006" t="str">
        <f>VLOOKUP(A1006,'Table corresp.'!$M$4:$U$63,8,FALSE)</f>
        <v>Production finale</v>
      </c>
      <c r="AN1006" t="str">
        <f>VLOOKUP(D1006,'Table corresp.'!$M$4:$U$63,9,FALSE)</f>
        <v>Exportation</v>
      </c>
    </row>
    <row r="1007" spans="1:40" x14ac:dyDescent="0.25">
      <c r="A1007" t="s">
        <v>92</v>
      </c>
      <c r="B1007" t="str">
        <f>VLOOKUP(LEFT(A1007,3),'Table corresp.'!$A$4:$D$63,3,FALSE)</f>
        <v>Transformation</v>
      </c>
      <c r="C1007" t="str">
        <f>VLOOKUP(A1007,'Table corresp.'!$M$4:$P$63,4,FALSE)</f>
        <v>Production et transformation de produits bois</v>
      </c>
      <c r="D1007" t="s">
        <v>54</v>
      </c>
      <c r="E1007" t="str">
        <f>VLOOKUP(LEFT(D1007,3),'Table corresp.'!$A$4:$D$63,4,FALSE)</f>
        <v>Consommation finale</v>
      </c>
      <c r="F1007" t="str">
        <f t="shared" si="122"/>
        <v>40  - Con</v>
      </c>
      <c r="G1007" s="164">
        <v>216543.73699999994</v>
      </c>
      <c r="H1007" s="164">
        <v>206862.76954545453</v>
      </c>
      <c r="I1007" s="164">
        <v>423406.50654545455</v>
      </c>
      <c r="J1007" s="164">
        <v>543.08367193506842</v>
      </c>
      <c r="K1007" s="164">
        <v>518.80416108381519</v>
      </c>
      <c r="L1007" s="164">
        <v>1061.8878330188836</v>
      </c>
      <c r="M1007" s="164">
        <v>0</v>
      </c>
      <c r="N1007" s="164">
        <v>0</v>
      </c>
      <c r="O1007" s="164">
        <v>0</v>
      </c>
      <c r="P1007" s="164">
        <v>0</v>
      </c>
      <c r="Q1007" s="164">
        <v>0</v>
      </c>
      <c r="R1007" s="164">
        <v>0</v>
      </c>
      <c r="S1007" s="163" t="str">
        <f t="shared" si="123"/>
        <v/>
      </c>
      <c r="T1007" s="163">
        <f>VLOOKUP(A1007,'Groupe de branches'!$Z$27:$AM$86,14,FALSE)</f>
        <v>0</v>
      </c>
      <c r="U1007" s="163">
        <f>VLOOKUP(D1007,'Groupe de branches'!$Z$27:$AM$86,14,FALSE)</f>
        <v>0</v>
      </c>
      <c r="V1007" s="163">
        <v>2018</v>
      </c>
      <c r="W1007" t="str">
        <f>VLOOKUP(D1007,'Table corresp.'!$M$4:$S$63,7,FALSE)</f>
        <v>Consommation finale</v>
      </c>
      <c r="X1007" s="167">
        <f>IFERROR(G1007/SUMIFS('Comp2016-2017 (3)'!$I$5:$I$289,'Comp2016-2017 (3)'!$A$5:$A$289,A1007,'Comp2016-2017 (3)'!$R$5:$R$289,V1007),0)</f>
        <v>0.95335339034448086</v>
      </c>
      <c r="Y1007" s="178">
        <f>IFERROR(IF(RIGHT(F1007,3)="Exp",VLOOKUP(F1007,#REF!,2,FALSE),VLOOKUP(F1007,#REF!,9,FALSE)),1)</f>
        <v>1</v>
      </c>
      <c r="Z1007" s="167">
        <f t="shared" si="117"/>
        <v>0.5</v>
      </c>
      <c r="AA1007" s="189">
        <f t="shared" si="114"/>
        <v>0.47667669517224043</v>
      </c>
      <c r="AB1007" s="2">
        <f>IFERROR(SUMIFS('Comp2016-2017 (3)'!$G$5:$G$289,'Comp2016-2017 (3)'!$A$5:$A$289,A1007,'Comp2016-2017 (3)'!$R$5:$R$289,V1007)*AA1007/SUMIFS($AA$4:$AA$1116,$A$4:$A$1116,A1007,$V$4:$V$1116,V1007),0)</f>
        <v>62675.730660515736</v>
      </c>
      <c r="AC1007" s="2" t="str">
        <f>IF($W1007=AC$3,$AB1007,IF(NOT($W1007=0),"",SUMIFS('Val-Vol (2)'!AC$4:AC$1116,'Val-Vol (2)'!$A$4:$A$1116,$D1007,'Val-Vol (2)'!$V$4:$V$1116,$V1007)/SUMIFS('Comp2016-2017 (3)'!$G$5:$G$289,'Comp2016-2017 (3)'!$A$5:$A$289,$D1007,'Comp2016-2017 (3)'!$R$5:$R$289,$V1007)*$AB1007))</f>
        <v/>
      </c>
      <c r="AD1007" s="2" t="str">
        <f>IF($W1007=AD$3,$AB1007,IF(NOT($W1007=0),"",SUMIFS('Val-Vol (2)'!AD$4:AD$1116,'Val-Vol (2)'!$A$4:$A$1116,$D1007,'Val-Vol (2)'!$V$4:$V$1116,$V1007)/SUMIFS('Comp2016-2017 (3)'!$G$5:$G$289,'Comp2016-2017 (3)'!$A$5:$A$289,$D1007,'Comp2016-2017 (3)'!$R$5:$R$289,$V1007)*$AB1007))</f>
        <v/>
      </c>
      <c r="AE1007" s="2" t="str">
        <f>IF($W1007=AE$3,$AB1007,IF(NOT($W1007=0),"",SUMIFS('Val-Vol (2)'!AE$4:AE$1116,'Val-Vol (2)'!$A$4:$A$1116,$D1007,'Val-Vol (2)'!$V$4:$V$1116,$V1007)/SUMIFS('Comp2016-2017 (3)'!$G$5:$G$289,'Comp2016-2017 (3)'!$A$5:$A$289,$D1007,'Comp2016-2017 (3)'!$R$5:$R$289,$V1007)*$AB1007))</f>
        <v/>
      </c>
      <c r="AF1007" s="2" t="str">
        <f>IF($W1007=AF$3,$AB1007,IF(NOT($W1007=0),"",SUMIFS('Val-Vol (2)'!AF$4:AF$1116,'Val-Vol (2)'!$A$4:$A$1116,$D1007,'Val-Vol (2)'!$V$4:$V$1116,$V1007)/SUMIFS('Comp2016-2017 (3)'!$G$5:$G$289,'Comp2016-2017 (3)'!$A$5:$A$289,$D1007,'Comp2016-2017 (3)'!$R$5:$R$289,$V1007)*$AB1007))</f>
        <v/>
      </c>
      <c r="AG1007" s="2" t="str">
        <f>IF($W1007=AG$3,$AB1007,IF(NOT($W1007=0),"",SUMIFS('Val-Vol (2)'!AG$4:AG$1116,'Val-Vol (2)'!$A$4:$A$1116,$D1007,'Val-Vol (2)'!$V$4:$V$1116,$V1007)/SUMIFS('Comp2016-2017 (3)'!$G$5:$G$289,'Comp2016-2017 (3)'!$A$5:$A$289,$D1007,'Comp2016-2017 (3)'!$R$5:$R$289,$V1007)*$AB1007))</f>
        <v/>
      </c>
      <c r="AH1007" s="2" t="str">
        <f>IF($W1007=AH$3,$AB1007,IF(NOT($W1007=0),"",SUMIFS('Val-Vol (2)'!AH$4:AH$1116,'Val-Vol (2)'!$A$4:$A$1116,$D1007,'Val-Vol (2)'!$V$4:$V$1116,$V1007)/SUMIFS('Comp2016-2017 (3)'!$G$5:$G$289,'Comp2016-2017 (3)'!$A$5:$A$289,$D1007,'Comp2016-2017 (3)'!$R$5:$R$289,$V1007)*$AB1007))</f>
        <v/>
      </c>
      <c r="AI1007" s="2" t="str">
        <f>IF($W1007=AI$3,$AB1007,IF(NOT($W1007=0),"",SUMIFS('Val-Vol (2)'!AI$4:AI$1116,'Val-Vol (2)'!$A$4:$A$1116,$D1007,'Val-Vol (2)'!$V$4:$V$1116,$V1007)/SUMIFS('Comp2016-2017 (3)'!$G$5:$G$289,'Comp2016-2017 (3)'!$A$5:$A$289,$D1007,'Comp2016-2017 (3)'!$R$5:$R$289,$V1007)*$AB1007))</f>
        <v/>
      </c>
      <c r="AJ1007" s="2">
        <f>IF($W1007=AJ$3,$AB1007,IF(NOT($W1007=0),"",SUMIFS('Val-Vol (2)'!AJ$4:AJ$1116,'Val-Vol (2)'!$A$4:$A$1116,$D1007,'Val-Vol (2)'!$V$4:$V$1116,$V1007)/SUMIFS('Comp2016-2017 (3)'!$G$5:$G$289,'Comp2016-2017 (3)'!$A$5:$A$289,$D1007,'Comp2016-2017 (3)'!$R$5:$R$289,$V1007)*$AB1007))</f>
        <v>62675.730660515736</v>
      </c>
      <c r="AK1007" s="2">
        <f t="shared" si="121"/>
        <v>0</v>
      </c>
      <c r="AL1007" t="str">
        <f t="shared" si="113"/>
        <v/>
      </c>
      <c r="AM1007" t="str">
        <f>VLOOKUP(A1007,'Table corresp.'!$M$4:$U$63,8,FALSE)</f>
        <v>Production finale</v>
      </c>
      <c r="AN1007" t="str">
        <f>VLOOKUP(D1007,'Table corresp.'!$M$4:$U$63,9,FALSE)</f>
        <v>Consommation finale française</v>
      </c>
    </row>
    <row r="1008" spans="1:40" x14ac:dyDescent="0.25">
      <c r="A1008" t="s">
        <v>92</v>
      </c>
      <c r="B1008" t="str">
        <f>VLOOKUP(LEFT(A1008,3),'Table corresp.'!$A$4:$D$63,3,FALSE)</f>
        <v>Transformation</v>
      </c>
      <c r="C1008" t="str">
        <f>VLOOKUP(A1008,'Table corresp.'!$M$4:$P$63,4,FALSE)</f>
        <v>Production et transformation de produits bois</v>
      </c>
      <c r="D1008" t="s">
        <v>53</v>
      </c>
      <c r="E1008" t="str">
        <f>VLOOKUP(LEFT(D1008,3),'Table corresp.'!$A$4:$D$63,4,FALSE)</f>
        <v>Exportation</v>
      </c>
      <c r="F1008" t="str">
        <f t="shared" si="122"/>
        <v>40  - Exp</v>
      </c>
      <c r="G1008" s="164">
        <v>10595.263000000003</v>
      </c>
      <c r="H1008" s="164">
        <v>0</v>
      </c>
      <c r="I1008" s="164">
        <v>10595.263000000003</v>
      </c>
      <c r="J1008" s="164">
        <v>26.572527171071091</v>
      </c>
      <c r="K1008" s="164">
        <v>0</v>
      </c>
      <c r="L1008" s="164">
        <v>26.572527171071091</v>
      </c>
      <c r="M1008" s="164">
        <v>0</v>
      </c>
      <c r="N1008" s="164">
        <v>0</v>
      </c>
      <c r="O1008" s="164">
        <v>0</v>
      </c>
      <c r="P1008" s="164">
        <v>0</v>
      </c>
      <c r="Q1008" s="164">
        <v>0</v>
      </c>
      <c r="R1008" s="164">
        <v>0</v>
      </c>
      <c r="S1008" s="163" t="str">
        <f t="shared" si="123"/>
        <v/>
      </c>
      <c r="T1008" s="163">
        <f>VLOOKUP(A1008,'Groupe de branches'!$Z$27:$AM$86,14,FALSE)</f>
        <v>0</v>
      </c>
      <c r="U1008" s="163">
        <f>VLOOKUP(D1008,'Groupe de branches'!$Z$27:$AM$86,14,FALSE)</f>
        <v>0</v>
      </c>
      <c r="V1008" s="163">
        <v>2018</v>
      </c>
      <c r="W1008" t="str">
        <f>VLOOKUP(D1008,'Table corresp.'!$M$4:$S$63,7,FALSE)</f>
        <v>Exportation</v>
      </c>
      <c r="X1008" s="167">
        <f>IFERROR(G1008/SUMIFS('Comp2016-2017 (3)'!$I$5:$I$289,'Comp2016-2017 (3)'!$A$5:$A$289,A1008,'Comp2016-2017 (3)'!$R$5:$R$289,V1008),0)</f>
        <v>4.664660378813653E-2</v>
      </c>
      <c r="Y1008" s="178">
        <f>IFERROR(IF(RIGHT(F1008,3)="Exp",VLOOKUP(F1008,#REF!,2,FALSE),VLOOKUP(F1008,#REF!,9,FALSE)),1)</f>
        <v>1</v>
      </c>
      <c r="Z1008" s="167">
        <f t="shared" si="117"/>
        <v>0.5</v>
      </c>
      <c r="AA1008" s="189">
        <f t="shared" si="114"/>
        <v>2.3323301894068265E-2</v>
      </c>
      <c r="AB1008" s="2">
        <f>IFERROR(SUMIFS('Comp2016-2017 (3)'!$G$5:$G$289,'Comp2016-2017 (3)'!$A$5:$A$289,A1008,'Comp2016-2017 (3)'!$R$5:$R$289,V1008)*AA1008/SUMIFS($AA$4:$AA$1116,$A$4:$A$1116,A1008,$V$4:$V$1116,V1008),0)</f>
        <v>3066.6592313650167</v>
      </c>
      <c r="AC1008" s="2">
        <f>IF($W1008=AC$3,$AB1008,IF(NOT($W1008=0),"",SUMIFS('Val-Vol (2)'!AC$4:AC$1116,'Val-Vol (2)'!$A$4:$A$1116,$D1008,'Val-Vol (2)'!$V$4:$V$1116,$V1008)/SUMIFS('Comp2016-2017 (3)'!$G$5:$G$289,'Comp2016-2017 (3)'!$A$5:$A$289,$D1008,'Comp2016-2017 (3)'!$R$5:$R$289,$V1008)*$AB1008))</f>
        <v>3066.6592313650167</v>
      </c>
      <c r="AD1008" s="2" t="str">
        <f>IF($W1008=AD$3,$AB1008,IF(NOT($W1008=0),"",SUMIFS('Val-Vol (2)'!AD$4:AD$1116,'Val-Vol (2)'!$A$4:$A$1116,$D1008,'Val-Vol (2)'!$V$4:$V$1116,$V1008)/SUMIFS('Comp2016-2017 (3)'!$G$5:$G$289,'Comp2016-2017 (3)'!$A$5:$A$289,$D1008,'Comp2016-2017 (3)'!$R$5:$R$289,$V1008)*$AB1008))</f>
        <v/>
      </c>
      <c r="AE1008" s="2" t="str">
        <f>IF($W1008=AE$3,$AB1008,IF(NOT($W1008=0),"",SUMIFS('Val-Vol (2)'!AE$4:AE$1116,'Val-Vol (2)'!$A$4:$A$1116,$D1008,'Val-Vol (2)'!$V$4:$V$1116,$V1008)/SUMIFS('Comp2016-2017 (3)'!$G$5:$G$289,'Comp2016-2017 (3)'!$A$5:$A$289,$D1008,'Comp2016-2017 (3)'!$R$5:$R$289,$V1008)*$AB1008))</f>
        <v/>
      </c>
      <c r="AF1008" s="2" t="str">
        <f>IF($W1008=AF$3,$AB1008,IF(NOT($W1008=0),"",SUMIFS('Val-Vol (2)'!AF$4:AF$1116,'Val-Vol (2)'!$A$4:$A$1116,$D1008,'Val-Vol (2)'!$V$4:$V$1116,$V1008)/SUMIFS('Comp2016-2017 (3)'!$G$5:$G$289,'Comp2016-2017 (3)'!$A$5:$A$289,$D1008,'Comp2016-2017 (3)'!$R$5:$R$289,$V1008)*$AB1008))</f>
        <v/>
      </c>
      <c r="AG1008" s="2" t="str">
        <f>IF($W1008=AG$3,$AB1008,IF(NOT($W1008=0),"",SUMIFS('Val-Vol (2)'!AG$4:AG$1116,'Val-Vol (2)'!$A$4:$A$1116,$D1008,'Val-Vol (2)'!$V$4:$V$1116,$V1008)/SUMIFS('Comp2016-2017 (3)'!$G$5:$G$289,'Comp2016-2017 (3)'!$A$5:$A$289,$D1008,'Comp2016-2017 (3)'!$R$5:$R$289,$V1008)*$AB1008))</f>
        <v/>
      </c>
      <c r="AH1008" s="2" t="str">
        <f>IF($W1008=AH$3,$AB1008,IF(NOT($W1008=0),"",SUMIFS('Val-Vol (2)'!AH$4:AH$1116,'Val-Vol (2)'!$A$4:$A$1116,$D1008,'Val-Vol (2)'!$V$4:$V$1116,$V1008)/SUMIFS('Comp2016-2017 (3)'!$G$5:$G$289,'Comp2016-2017 (3)'!$A$5:$A$289,$D1008,'Comp2016-2017 (3)'!$R$5:$R$289,$V1008)*$AB1008))</f>
        <v/>
      </c>
      <c r="AI1008" s="2" t="str">
        <f>IF($W1008=AI$3,$AB1008,IF(NOT($W1008=0),"",SUMIFS('Val-Vol (2)'!AI$4:AI$1116,'Val-Vol (2)'!$A$4:$A$1116,$D1008,'Val-Vol (2)'!$V$4:$V$1116,$V1008)/SUMIFS('Comp2016-2017 (3)'!$G$5:$G$289,'Comp2016-2017 (3)'!$A$5:$A$289,$D1008,'Comp2016-2017 (3)'!$R$5:$R$289,$V1008)*$AB1008))</f>
        <v/>
      </c>
      <c r="AJ1008" s="2" t="str">
        <f>IF($W1008=AJ$3,$AB1008,IF(NOT($W1008=0),"",SUMIFS('Val-Vol (2)'!AJ$4:AJ$1116,'Val-Vol (2)'!$A$4:$A$1116,$D1008,'Val-Vol (2)'!$V$4:$V$1116,$V1008)/SUMIFS('Comp2016-2017 (3)'!$G$5:$G$289,'Comp2016-2017 (3)'!$A$5:$A$289,$D1008,'Comp2016-2017 (3)'!$R$5:$R$289,$V1008)*$AB1008))</f>
        <v/>
      </c>
      <c r="AK1008" s="2">
        <f t="shared" si="121"/>
        <v>0</v>
      </c>
      <c r="AL1008" t="str">
        <f t="shared" si="113"/>
        <v/>
      </c>
      <c r="AM1008" t="str">
        <f>VLOOKUP(A1008,'Table corresp.'!$M$4:$U$63,8,FALSE)</f>
        <v>Production finale</v>
      </c>
      <c r="AN1008" t="str">
        <f>VLOOKUP(D1008,'Table corresp.'!$M$4:$U$63,9,FALSE)</f>
        <v>Exportation</v>
      </c>
    </row>
    <row r="1009" spans="1:40" x14ac:dyDescent="0.25">
      <c r="A1009" t="s">
        <v>93</v>
      </c>
      <c r="B1009" t="str">
        <f>VLOOKUP(LEFT(A1009,3),'Table corresp.'!$A$4:$D$63,3,FALSE)</f>
        <v>Transformation</v>
      </c>
      <c r="C1009" t="str">
        <f>VLOOKUP(A1009,'Table corresp.'!$M$4:$P$63,4,FALSE)</f>
        <v>Production et transformation de produits bois</v>
      </c>
      <c r="D1009" t="s">
        <v>54</v>
      </c>
      <c r="E1009" t="str">
        <f>VLOOKUP(LEFT(D1009,3),'Table corresp.'!$A$4:$D$63,4,FALSE)</f>
        <v>Consommation finale</v>
      </c>
      <c r="F1009" t="str">
        <f t="shared" si="122"/>
        <v>41  - Con</v>
      </c>
      <c r="G1009" s="164">
        <v>169013.73300000001</v>
      </c>
      <c r="H1009" s="164">
        <v>202948.86199999996</v>
      </c>
      <c r="I1009" s="164">
        <v>371962.59499999997</v>
      </c>
      <c r="J1009" s="164">
        <v>216.49012239036691</v>
      </c>
      <c r="K1009" s="164">
        <v>689.20089469010043</v>
      </c>
      <c r="L1009" s="164">
        <v>905.6910170804673</v>
      </c>
      <c r="M1009" s="164">
        <v>0</v>
      </c>
      <c r="N1009" s="164">
        <v>0</v>
      </c>
      <c r="O1009" s="164">
        <v>0</v>
      </c>
      <c r="P1009" s="164">
        <v>0</v>
      </c>
      <c r="Q1009" s="164">
        <v>0</v>
      </c>
      <c r="R1009" s="164">
        <v>0</v>
      </c>
      <c r="S1009" s="163" t="str">
        <f t="shared" si="123"/>
        <v/>
      </c>
      <c r="T1009" s="163">
        <f>VLOOKUP(A1009,'Groupe de branches'!$Z$27:$AM$86,14,FALSE)</f>
        <v>0</v>
      </c>
      <c r="U1009" s="163">
        <f>VLOOKUP(D1009,'Groupe de branches'!$Z$27:$AM$86,14,FALSE)</f>
        <v>0</v>
      </c>
      <c r="V1009" s="163">
        <v>2018</v>
      </c>
      <c r="W1009" t="str">
        <f>VLOOKUP(D1009,'Table corresp.'!$M$4:$S$63,7,FALSE)</f>
        <v>Consommation finale</v>
      </c>
      <c r="X1009" s="167">
        <f>IFERROR(G1009/SUMIFS('Comp2016-2017 (3)'!$I$5:$I$289,'Comp2016-2017 (3)'!$A$5:$A$289,A1009,'Comp2016-2017 (3)'!$R$5:$R$289,V1009),0)</f>
        <v>0.74787154124528754</v>
      </c>
      <c r="Y1009" s="178">
        <f>IFERROR(IF(RIGHT(F1009,3)="Exp",VLOOKUP(F1009,#REF!,2,FALSE),VLOOKUP(F1009,#REF!,9,FALSE)),1)</f>
        <v>1</v>
      </c>
      <c r="Z1009" s="167">
        <f t="shared" si="117"/>
        <v>0.5</v>
      </c>
      <c r="AA1009" s="189">
        <f t="shared" si="114"/>
        <v>0.37393577062264377</v>
      </c>
      <c r="AB1009" s="2">
        <f>IFERROR(SUMIFS('Comp2016-2017 (3)'!$G$5:$G$289,'Comp2016-2017 (3)'!$A$5:$A$289,A1009,'Comp2016-2017 (3)'!$R$5:$R$289,V1009)*AA1009/SUMIFS($AA$4:$AA$1116,$A$4:$A$1116,A1009,$V$4:$V$1116,V1009),0)</f>
        <v>68430.590298045936</v>
      </c>
      <c r="AC1009" s="2" t="str">
        <f>IF($W1009=AC$3,$AB1009,IF(NOT($W1009=0),"",SUMIFS('Val-Vol (2)'!AC$4:AC$1116,'Val-Vol (2)'!$A$4:$A$1116,$D1009,'Val-Vol (2)'!$V$4:$V$1116,$V1009)/SUMIFS('Comp2016-2017 (3)'!$G$5:$G$289,'Comp2016-2017 (3)'!$A$5:$A$289,$D1009,'Comp2016-2017 (3)'!$R$5:$R$289,$V1009)*$AB1009))</f>
        <v/>
      </c>
      <c r="AD1009" s="2" t="str">
        <f>IF($W1009=AD$3,$AB1009,IF(NOT($W1009=0),"",SUMIFS('Val-Vol (2)'!AD$4:AD$1116,'Val-Vol (2)'!$A$4:$A$1116,$D1009,'Val-Vol (2)'!$V$4:$V$1116,$V1009)/SUMIFS('Comp2016-2017 (3)'!$G$5:$G$289,'Comp2016-2017 (3)'!$A$5:$A$289,$D1009,'Comp2016-2017 (3)'!$R$5:$R$289,$V1009)*$AB1009))</f>
        <v/>
      </c>
      <c r="AE1009" s="2" t="str">
        <f>IF($W1009=AE$3,$AB1009,IF(NOT($W1009=0),"",SUMIFS('Val-Vol (2)'!AE$4:AE$1116,'Val-Vol (2)'!$A$4:$A$1116,$D1009,'Val-Vol (2)'!$V$4:$V$1116,$V1009)/SUMIFS('Comp2016-2017 (3)'!$G$5:$G$289,'Comp2016-2017 (3)'!$A$5:$A$289,$D1009,'Comp2016-2017 (3)'!$R$5:$R$289,$V1009)*$AB1009))</f>
        <v/>
      </c>
      <c r="AF1009" s="2" t="str">
        <f>IF($W1009=AF$3,$AB1009,IF(NOT($W1009=0),"",SUMIFS('Val-Vol (2)'!AF$4:AF$1116,'Val-Vol (2)'!$A$4:$A$1116,$D1009,'Val-Vol (2)'!$V$4:$V$1116,$V1009)/SUMIFS('Comp2016-2017 (3)'!$G$5:$G$289,'Comp2016-2017 (3)'!$A$5:$A$289,$D1009,'Comp2016-2017 (3)'!$R$5:$R$289,$V1009)*$AB1009))</f>
        <v/>
      </c>
      <c r="AG1009" s="2" t="str">
        <f>IF($W1009=AG$3,$AB1009,IF(NOT($W1009=0),"",SUMIFS('Val-Vol (2)'!AG$4:AG$1116,'Val-Vol (2)'!$A$4:$A$1116,$D1009,'Val-Vol (2)'!$V$4:$V$1116,$V1009)/SUMIFS('Comp2016-2017 (3)'!$G$5:$G$289,'Comp2016-2017 (3)'!$A$5:$A$289,$D1009,'Comp2016-2017 (3)'!$R$5:$R$289,$V1009)*$AB1009))</f>
        <v/>
      </c>
      <c r="AH1009" s="2" t="str">
        <f>IF($W1009=AH$3,$AB1009,IF(NOT($W1009=0),"",SUMIFS('Val-Vol (2)'!AH$4:AH$1116,'Val-Vol (2)'!$A$4:$A$1116,$D1009,'Val-Vol (2)'!$V$4:$V$1116,$V1009)/SUMIFS('Comp2016-2017 (3)'!$G$5:$G$289,'Comp2016-2017 (3)'!$A$5:$A$289,$D1009,'Comp2016-2017 (3)'!$R$5:$R$289,$V1009)*$AB1009))</f>
        <v/>
      </c>
      <c r="AI1009" s="2" t="str">
        <f>IF($W1009=AI$3,$AB1009,IF(NOT($W1009=0),"",SUMIFS('Val-Vol (2)'!AI$4:AI$1116,'Val-Vol (2)'!$A$4:$A$1116,$D1009,'Val-Vol (2)'!$V$4:$V$1116,$V1009)/SUMIFS('Comp2016-2017 (3)'!$G$5:$G$289,'Comp2016-2017 (3)'!$A$5:$A$289,$D1009,'Comp2016-2017 (3)'!$R$5:$R$289,$V1009)*$AB1009))</f>
        <v/>
      </c>
      <c r="AJ1009" s="2">
        <f>IF($W1009=AJ$3,$AB1009,IF(NOT($W1009=0),"",SUMIFS('Val-Vol (2)'!AJ$4:AJ$1116,'Val-Vol (2)'!$A$4:$A$1116,$D1009,'Val-Vol (2)'!$V$4:$V$1116,$V1009)/SUMIFS('Comp2016-2017 (3)'!$G$5:$G$289,'Comp2016-2017 (3)'!$A$5:$A$289,$D1009,'Comp2016-2017 (3)'!$R$5:$R$289,$V1009)*$AB1009))</f>
        <v>68430.590298045936</v>
      </c>
      <c r="AK1009" s="2">
        <f t="shared" si="121"/>
        <v>0</v>
      </c>
      <c r="AL1009" t="str">
        <f t="shared" si="113"/>
        <v/>
      </c>
      <c r="AM1009" t="str">
        <f>VLOOKUP(A1009,'Table corresp.'!$M$4:$U$63,8,FALSE)</f>
        <v>Production finale</v>
      </c>
      <c r="AN1009" t="str">
        <f>VLOOKUP(D1009,'Table corresp.'!$M$4:$U$63,9,FALSE)</f>
        <v>Consommation finale française</v>
      </c>
    </row>
    <row r="1010" spans="1:40" x14ac:dyDescent="0.25">
      <c r="A1010" t="s">
        <v>93</v>
      </c>
      <c r="B1010" t="str">
        <f>VLOOKUP(LEFT(A1010,3),'Table corresp.'!$A$4:$D$63,3,FALSE)</f>
        <v>Transformation</v>
      </c>
      <c r="C1010" t="str">
        <f>VLOOKUP(A1010,'Table corresp.'!$M$4:$P$63,4,FALSE)</f>
        <v>Production et transformation de produits bois</v>
      </c>
      <c r="D1010" t="s">
        <v>53</v>
      </c>
      <c r="E1010" t="str">
        <f>VLOOKUP(LEFT(D1010,3),'Table corresp.'!$A$4:$D$63,4,FALSE)</f>
        <v>Exportation</v>
      </c>
      <c r="F1010" t="str">
        <f t="shared" si="122"/>
        <v>41  - Exp</v>
      </c>
      <c r="G1010" s="164">
        <v>56979.267000000058</v>
      </c>
      <c r="H1010" s="164">
        <v>0</v>
      </c>
      <c r="I1010" s="164">
        <v>56979.267000000058</v>
      </c>
      <c r="J1010" s="164">
        <v>62.974239466813721</v>
      </c>
      <c r="K1010" s="164">
        <v>0</v>
      </c>
      <c r="L1010" s="164">
        <v>62.974239466813721</v>
      </c>
      <c r="M1010" s="164">
        <v>0</v>
      </c>
      <c r="N1010" s="164">
        <v>0</v>
      </c>
      <c r="O1010" s="164">
        <v>0</v>
      </c>
      <c r="P1010" s="164">
        <v>0</v>
      </c>
      <c r="Q1010" s="164">
        <v>0</v>
      </c>
      <c r="R1010" s="164">
        <v>0</v>
      </c>
      <c r="S1010" s="163" t="str">
        <f t="shared" si="123"/>
        <v/>
      </c>
      <c r="T1010" s="163">
        <f>VLOOKUP(A1010,'Groupe de branches'!$Z$27:$AM$86,14,FALSE)</f>
        <v>0</v>
      </c>
      <c r="U1010" s="163">
        <f>VLOOKUP(D1010,'Groupe de branches'!$Z$27:$AM$86,14,FALSE)</f>
        <v>0</v>
      </c>
      <c r="V1010" s="163">
        <v>2018</v>
      </c>
      <c r="W1010" t="str">
        <f>VLOOKUP(D1010,'Table corresp.'!$M$4:$S$63,7,FALSE)</f>
        <v>Exportation</v>
      </c>
      <c r="X1010" s="167">
        <f>IFERROR(G1010/SUMIFS('Comp2016-2017 (3)'!$I$5:$I$289,'Comp2016-2017 (3)'!$A$5:$A$289,A1010,'Comp2016-2017 (3)'!$R$5:$R$289,V1010),0)</f>
        <v>0.25212846006020584</v>
      </c>
      <c r="Y1010" s="178">
        <f>IFERROR(IF(RIGHT(F1010,3)="Exp",VLOOKUP(F1010,#REF!,2,FALSE),VLOOKUP(F1010,#REF!,9,FALSE)),1)</f>
        <v>1</v>
      </c>
      <c r="Z1010" s="167">
        <f t="shared" si="117"/>
        <v>0.5</v>
      </c>
      <c r="AA1010" s="189">
        <f t="shared" si="114"/>
        <v>0.12606423003010292</v>
      </c>
      <c r="AB1010" s="2">
        <f>IFERROR(SUMIFS('Comp2016-2017 (3)'!$G$5:$G$289,'Comp2016-2017 (3)'!$A$5:$A$289,A1010,'Comp2016-2017 (3)'!$R$5:$R$289,V1010)*AA1010/SUMIFS($AA$4:$AA$1116,$A$4:$A$1116,A1010,$V$4:$V$1116,V1010),0)</f>
        <v>23069.870159958973</v>
      </c>
      <c r="AC1010" s="2">
        <f>IF($W1010=AC$3,$AB1010,IF(NOT($W1010=0),"",SUMIFS('Val-Vol (2)'!AC$4:AC$1116,'Val-Vol (2)'!$A$4:$A$1116,$D1010,'Val-Vol (2)'!$V$4:$V$1116,$V1010)/SUMIFS('Comp2016-2017 (3)'!$G$5:$G$289,'Comp2016-2017 (3)'!$A$5:$A$289,$D1010,'Comp2016-2017 (3)'!$R$5:$R$289,$V1010)*$AB1010))</f>
        <v>23069.870159958973</v>
      </c>
      <c r="AD1010" s="2" t="str">
        <f>IF($W1010=AD$3,$AB1010,IF(NOT($W1010=0),"",SUMIFS('Val-Vol (2)'!AD$4:AD$1116,'Val-Vol (2)'!$A$4:$A$1116,$D1010,'Val-Vol (2)'!$V$4:$V$1116,$V1010)/SUMIFS('Comp2016-2017 (3)'!$G$5:$G$289,'Comp2016-2017 (3)'!$A$5:$A$289,$D1010,'Comp2016-2017 (3)'!$R$5:$R$289,$V1010)*$AB1010))</f>
        <v/>
      </c>
      <c r="AE1010" s="2" t="str">
        <f>IF($W1010=AE$3,$AB1010,IF(NOT($W1010=0),"",SUMIFS('Val-Vol (2)'!AE$4:AE$1116,'Val-Vol (2)'!$A$4:$A$1116,$D1010,'Val-Vol (2)'!$V$4:$V$1116,$V1010)/SUMIFS('Comp2016-2017 (3)'!$G$5:$G$289,'Comp2016-2017 (3)'!$A$5:$A$289,$D1010,'Comp2016-2017 (3)'!$R$5:$R$289,$V1010)*$AB1010))</f>
        <v/>
      </c>
      <c r="AF1010" s="2" t="str">
        <f>IF($W1010=AF$3,$AB1010,IF(NOT($W1010=0),"",SUMIFS('Val-Vol (2)'!AF$4:AF$1116,'Val-Vol (2)'!$A$4:$A$1116,$D1010,'Val-Vol (2)'!$V$4:$V$1116,$V1010)/SUMIFS('Comp2016-2017 (3)'!$G$5:$G$289,'Comp2016-2017 (3)'!$A$5:$A$289,$D1010,'Comp2016-2017 (3)'!$R$5:$R$289,$V1010)*$AB1010))</f>
        <v/>
      </c>
      <c r="AG1010" s="2" t="str">
        <f>IF($W1010=AG$3,$AB1010,IF(NOT($W1010=0),"",SUMIFS('Val-Vol (2)'!AG$4:AG$1116,'Val-Vol (2)'!$A$4:$A$1116,$D1010,'Val-Vol (2)'!$V$4:$V$1116,$V1010)/SUMIFS('Comp2016-2017 (3)'!$G$5:$G$289,'Comp2016-2017 (3)'!$A$5:$A$289,$D1010,'Comp2016-2017 (3)'!$R$5:$R$289,$V1010)*$AB1010))</f>
        <v/>
      </c>
      <c r="AH1010" s="2" t="str">
        <f>IF($W1010=AH$3,$AB1010,IF(NOT($W1010=0),"",SUMIFS('Val-Vol (2)'!AH$4:AH$1116,'Val-Vol (2)'!$A$4:$A$1116,$D1010,'Val-Vol (2)'!$V$4:$V$1116,$V1010)/SUMIFS('Comp2016-2017 (3)'!$G$5:$G$289,'Comp2016-2017 (3)'!$A$5:$A$289,$D1010,'Comp2016-2017 (3)'!$R$5:$R$289,$V1010)*$AB1010))</f>
        <v/>
      </c>
      <c r="AI1010" s="2" t="str">
        <f>IF($W1010=AI$3,$AB1010,IF(NOT($W1010=0),"",SUMIFS('Val-Vol (2)'!AI$4:AI$1116,'Val-Vol (2)'!$A$4:$A$1116,$D1010,'Val-Vol (2)'!$V$4:$V$1116,$V1010)/SUMIFS('Comp2016-2017 (3)'!$G$5:$G$289,'Comp2016-2017 (3)'!$A$5:$A$289,$D1010,'Comp2016-2017 (3)'!$R$5:$R$289,$V1010)*$AB1010))</f>
        <v/>
      </c>
      <c r="AJ1010" s="2" t="str">
        <f>IF($W1010=AJ$3,$AB1010,IF(NOT($W1010=0),"",SUMIFS('Val-Vol (2)'!AJ$4:AJ$1116,'Val-Vol (2)'!$A$4:$A$1116,$D1010,'Val-Vol (2)'!$V$4:$V$1116,$V1010)/SUMIFS('Comp2016-2017 (3)'!$G$5:$G$289,'Comp2016-2017 (3)'!$A$5:$A$289,$D1010,'Comp2016-2017 (3)'!$R$5:$R$289,$V1010)*$AB1010))</f>
        <v/>
      </c>
      <c r="AK1010" s="2">
        <f t="shared" si="121"/>
        <v>0</v>
      </c>
      <c r="AL1010" t="str">
        <f t="shared" si="113"/>
        <v/>
      </c>
      <c r="AM1010" t="str">
        <f>VLOOKUP(A1010,'Table corresp.'!$M$4:$U$63,8,FALSE)</f>
        <v>Production finale</v>
      </c>
      <c r="AN1010" t="str">
        <f>VLOOKUP(D1010,'Table corresp.'!$M$4:$U$63,9,FALSE)</f>
        <v>Exportation</v>
      </c>
    </row>
    <row r="1011" spans="1:40" x14ac:dyDescent="0.25">
      <c r="A1011" t="s">
        <v>94</v>
      </c>
      <c r="B1011" t="str">
        <f>VLOOKUP(LEFT(A1011,3),'Table corresp.'!$A$4:$D$63,3,FALSE)</f>
        <v>Transformation</v>
      </c>
      <c r="C1011" t="str">
        <f>VLOOKUP(A1011,'Table corresp.'!$M$4:$P$63,4,FALSE)</f>
        <v>Production et transformation de produits bois</v>
      </c>
      <c r="D1011" t="s">
        <v>20</v>
      </c>
      <c r="E1011" t="str">
        <f>VLOOKUP(LEFT(D1011,3),'Table corresp.'!$A$4:$D$63,4,FALSE)</f>
        <v>Transformation</v>
      </c>
      <c r="F1011" t="str">
        <f t="shared" si="122"/>
        <v xml:space="preserve">42  - 53 </v>
      </c>
      <c r="G1011" s="164">
        <v>425.1709658740134</v>
      </c>
      <c r="H1011" s="164">
        <v>550.19839364933318</v>
      </c>
      <c r="I1011" s="164">
        <v>975.36935952334636</v>
      </c>
      <c r="J1011" s="164">
        <v>2.6441272187371086E-2</v>
      </c>
      <c r="K1011" s="164">
        <v>6.4929420218707512E-2</v>
      </c>
      <c r="L1011" s="164">
        <v>9.1370692406078591E-2</v>
      </c>
      <c r="M1011" s="164">
        <v>0</v>
      </c>
      <c r="N1011" s="164">
        <v>0</v>
      </c>
      <c r="O1011" s="164">
        <v>0</v>
      </c>
      <c r="P1011" s="164">
        <v>0</v>
      </c>
      <c r="Q1011" s="164">
        <v>0</v>
      </c>
      <c r="R1011" s="164">
        <v>0</v>
      </c>
      <c r="S1011" s="163" t="str">
        <f t="shared" si="123"/>
        <v/>
      </c>
      <c r="T1011" s="163">
        <f>VLOOKUP(A1011,'Groupe de branches'!$Z$27:$AM$86,14,FALSE)</f>
        <v>0</v>
      </c>
      <c r="U1011" s="163">
        <f>VLOOKUP(D1011,'Groupe de branches'!$Z$27:$AM$86,14,FALSE)</f>
        <v>0</v>
      </c>
      <c r="V1011" s="163">
        <v>2018</v>
      </c>
      <c r="W1011" t="str">
        <f>VLOOKUP(D1011,'Table corresp.'!$M$4:$S$63,7,FALSE)</f>
        <v>Construction</v>
      </c>
      <c r="X1011" s="167">
        <f>IFERROR(G1011/SUMIFS('Comp2016-2017 (3)'!$I$5:$I$289,'Comp2016-2017 (3)'!$A$5:$A$289,A1011,'Comp2016-2017 (3)'!$R$5:$R$289,V1011),0)</f>
        <v>1.2343936536174094E-3</v>
      </c>
      <c r="Y1011" s="178">
        <f>IFERROR(IF(RIGHT(F1011,3)="Exp",VLOOKUP(F1011,#REF!,2,FALSE),VLOOKUP(F1011,#REF!,9,FALSE)),1)</f>
        <v>1</v>
      </c>
      <c r="Z1011" s="167">
        <f t="shared" si="117"/>
        <v>0.33333333333333331</v>
      </c>
      <c r="AA1011" s="189">
        <f t="shared" si="114"/>
        <v>4.1146455120580312E-4</v>
      </c>
      <c r="AB1011" s="2">
        <f>IFERROR(SUMIFS('Comp2016-2017 (3)'!$G$5:$G$289,'Comp2016-2017 (3)'!$A$5:$A$289,A1011,'Comp2016-2017 (3)'!$R$5:$R$289,V1011)*AA1011/SUMIFS($AA$4:$AA$1116,$A$4:$A$1116,A1011,$V$4:$V$1116,V1011),0)</f>
        <v>89.001874234804987</v>
      </c>
      <c r="AC1011" s="2" t="str">
        <f>IF($W1011=AC$3,$AB1011,IF(NOT($W1011=0),"",SUMIFS('Val-Vol (2)'!AC$4:AC$1116,'Val-Vol (2)'!$A$4:$A$1116,$D1011,'Val-Vol (2)'!$V$4:$V$1116,$V1011)/SUMIFS('Comp2016-2017 (3)'!$G$5:$G$289,'Comp2016-2017 (3)'!$A$5:$A$289,$D1011,'Comp2016-2017 (3)'!$R$5:$R$289,$V1011)*$AB1011))</f>
        <v/>
      </c>
      <c r="AD1011" s="2">
        <f>IF($W1011=AD$3,$AB1011,IF(NOT($W1011=0),"",SUMIFS('Val-Vol (2)'!AD$4:AD$1116,'Val-Vol (2)'!$A$4:$A$1116,$D1011,'Val-Vol (2)'!$V$4:$V$1116,$V1011)/SUMIFS('Comp2016-2017 (3)'!$G$5:$G$289,'Comp2016-2017 (3)'!$A$5:$A$289,$D1011,'Comp2016-2017 (3)'!$R$5:$R$289,$V1011)*$AB1011))</f>
        <v>89.001874234804987</v>
      </c>
      <c r="AE1011" s="2" t="str">
        <f>IF($W1011=AE$3,$AB1011,IF(NOT($W1011=0),"",SUMIFS('Val-Vol (2)'!AE$4:AE$1116,'Val-Vol (2)'!$A$4:$A$1116,$D1011,'Val-Vol (2)'!$V$4:$V$1116,$V1011)/SUMIFS('Comp2016-2017 (3)'!$G$5:$G$289,'Comp2016-2017 (3)'!$A$5:$A$289,$D1011,'Comp2016-2017 (3)'!$R$5:$R$289,$V1011)*$AB1011))</f>
        <v/>
      </c>
      <c r="AF1011" s="2" t="str">
        <f>IF($W1011=AF$3,$AB1011,IF(NOT($W1011=0),"",SUMIFS('Val-Vol (2)'!AF$4:AF$1116,'Val-Vol (2)'!$A$4:$A$1116,$D1011,'Val-Vol (2)'!$V$4:$V$1116,$V1011)/SUMIFS('Comp2016-2017 (3)'!$G$5:$G$289,'Comp2016-2017 (3)'!$A$5:$A$289,$D1011,'Comp2016-2017 (3)'!$R$5:$R$289,$V1011)*$AB1011))</f>
        <v/>
      </c>
      <c r="AG1011" s="2" t="str">
        <f>IF($W1011=AG$3,$AB1011,IF(NOT($W1011=0),"",SUMIFS('Val-Vol (2)'!AG$4:AG$1116,'Val-Vol (2)'!$A$4:$A$1116,$D1011,'Val-Vol (2)'!$V$4:$V$1116,$V1011)/SUMIFS('Comp2016-2017 (3)'!$G$5:$G$289,'Comp2016-2017 (3)'!$A$5:$A$289,$D1011,'Comp2016-2017 (3)'!$R$5:$R$289,$V1011)*$AB1011))</f>
        <v/>
      </c>
      <c r="AH1011" s="2" t="str">
        <f>IF($W1011=AH$3,$AB1011,IF(NOT($W1011=0),"",SUMIFS('Val-Vol (2)'!AH$4:AH$1116,'Val-Vol (2)'!$A$4:$A$1116,$D1011,'Val-Vol (2)'!$V$4:$V$1116,$V1011)/SUMIFS('Comp2016-2017 (3)'!$G$5:$G$289,'Comp2016-2017 (3)'!$A$5:$A$289,$D1011,'Comp2016-2017 (3)'!$R$5:$R$289,$V1011)*$AB1011))</f>
        <v/>
      </c>
      <c r="AI1011" s="2" t="str">
        <f>IF($W1011=AI$3,$AB1011,IF(NOT($W1011=0),"",SUMIFS('Val-Vol (2)'!AI$4:AI$1116,'Val-Vol (2)'!$A$4:$A$1116,$D1011,'Val-Vol (2)'!$V$4:$V$1116,$V1011)/SUMIFS('Comp2016-2017 (3)'!$G$5:$G$289,'Comp2016-2017 (3)'!$A$5:$A$289,$D1011,'Comp2016-2017 (3)'!$R$5:$R$289,$V1011)*$AB1011))</f>
        <v/>
      </c>
      <c r="AJ1011" s="2" t="str">
        <f>IF($W1011=AJ$3,$AB1011,IF(NOT($W1011=0),"",SUMIFS('Val-Vol (2)'!AJ$4:AJ$1116,'Val-Vol (2)'!$A$4:$A$1116,$D1011,'Val-Vol (2)'!$V$4:$V$1116,$V1011)/SUMIFS('Comp2016-2017 (3)'!$G$5:$G$289,'Comp2016-2017 (3)'!$A$5:$A$289,$D1011,'Comp2016-2017 (3)'!$R$5:$R$289,$V1011)*$AB1011))</f>
        <v/>
      </c>
      <c r="AK1011" s="2">
        <f t="shared" si="121"/>
        <v>0</v>
      </c>
      <c r="AL1011" t="str">
        <f t="shared" si="113"/>
        <v/>
      </c>
      <c r="AM1011" t="str">
        <f>VLOOKUP(A1011,'Table corresp.'!$M$4:$U$63,8,FALSE)</f>
        <v>Production finale</v>
      </c>
      <c r="AN1011" t="str">
        <f>VLOOKUP(D1011,'Table corresp.'!$M$4:$U$63,9,FALSE)</f>
        <v xml:space="preserve">Mise en œuvre </v>
      </c>
    </row>
    <row r="1012" spans="1:40" x14ac:dyDescent="0.25">
      <c r="A1012" t="s">
        <v>94</v>
      </c>
      <c r="B1012" t="str">
        <f>VLOOKUP(LEFT(A1012,3),'Table corresp.'!$A$4:$D$63,3,FALSE)</f>
        <v>Transformation</v>
      </c>
      <c r="C1012" t="str">
        <f>VLOOKUP(A1012,'Table corresp.'!$M$4:$P$63,4,FALSE)</f>
        <v>Production et transformation de produits bois</v>
      </c>
      <c r="D1012" t="s">
        <v>54</v>
      </c>
      <c r="E1012" t="str">
        <f>VLOOKUP(LEFT(D1012,3),'Table corresp.'!$A$4:$D$63,4,FALSE)</f>
        <v>Consommation finale</v>
      </c>
      <c r="F1012" t="str">
        <f t="shared" si="122"/>
        <v>42  - Con</v>
      </c>
      <c r="G1012" s="164">
        <v>255545.16140554458</v>
      </c>
      <c r="H1012" s="164">
        <v>284285.40260635089</v>
      </c>
      <c r="I1012" s="164">
        <v>539830.56401189533</v>
      </c>
      <c r="J1012" s="164">
        <v>15.892287364918271</v>
      </c>
      <c r="K1012" s="164">
        <v>33.548782731700676</v>
      </c>
      <c r="L1012" s="164">
        <v>49.441070096618944</v>
      </c>
      <c r="M1012" s="164">
        <v>0</v>
      </c>
      <c r="N1012" s="164">
        <v>0</v>
      </c>
      <c r="O1012" s="164">
        <v>0</v>
      </c>
      <c r="P1012" s="164">
        <v>0</v>
      </c>
      <c r="Q1012" s="164">
        <v>0</v>
      </c>
      <c r="R1012" s="164">
        <v>0</v>
      </c>
      <c r="S1012" s="163" t="str">
        <f t="shared" si="123"/>
        <v/>
      </c>
      <c r="T1012" s="163">
        <f>VLOOKUP(A1012,'Groupe de branches'!$Z$27:$AM$86,14,FALSE)</f>
        <v>0</v>
      </c>
      <c r="U1012" s="163">
        <f>VLOOKUP(D1012,'Groupe de branches'!$Z$27:$AM$86,14,FALSE)</f>
        <v>0</v>
      </c>
      <c r="V1012" s="163">
        <v>2018</v>
      </c>
      <c r="W1012" t="str">
        <f>VLOOKUP(D1012,'Table corresp.'!$M$4:$S$63,7,FALSE)</f>
        <v>Consommation finale</v>
      </c>
      <c r="X1012" s="167">
        <f>IFERROR(G1012/SUMIFS('Comp2016-2017 (3)'!$I$5:$I$289,'Comp2016-2017 (3)'!$A$5:$A$289,A1012,'Comp2016-2017 (3)'!$R$5:$R$289,V1012),0)</f>
        <v>0.74192113472092758</v>
      </c>
      <c r="Y1012" s="178">
        <f>IFERROR(IF(RIGHT(F1012,3)="Exp",VLOOKUP(F1012,#REF!,2,FALSE),VLOOKUP(F1012,#REF!,9,FALSE)),1)</f>
        <v>1</v>
      </c>
      <c r="Z1012" s="167">
        <f t="shared" si="117"/>
        <v>0.33333333333333331</v>
      </c>
      <c r="AA1012" s="189">
        <f t="shared" si="114"/>
        <v>0.24730704490697586</v>
      </c>
      <c r="AB1012" s="2">
        <f>IFERROR(SUMIFS('Comp2016-2017 (3)'!$G$5:$G$289,'Comp2016-2017 (3)'!$A$5:$A$289,A1012,'Comp2016-2017 (3)'!$R$5:$R$289,V1012)*AA1012/SUMIFS($AA$4:$AA$1116,$A$4:$A$1116,A1012,$V$4:$V$1116,V1012),0)</f>
        <v>53493.771076242105</v>
      </c>
      <c r="AC1012" s="2" t="str">
        <f>IF($W1012=AC$3,$AB1012,IF(NOT($W1012=0),"",SUMIFS('Val-Vol (2)'!AC$4:AC$1116,'Val-Vol (2)'!$A$4:$A$1116,$D1012,'Val-Vol (2)'!$V$4:$V$1116,$V1012)/SUMIFS('Comp2016-2017 (3)'!$G$5:$G$289,'Comp2016-2017 (3)'!$A$5:$A$289,$D1012,'Comp2016-2017 (3)'!$R$5:$R$289,$V1012)*$AB1012))</f>
        <v/>
      </c>
      <c r="AD1012" s="2" t="str">
        <f>IF($W1012=AD$3,$AB1012,IF(NOT($W1012=0),"",SUMIFS('Val-Vol (2)'!AD$4:AD$1116,'Val-Vol (2)'!$A$4:$A$1116,$D1012,'Val-Vol (2)'!$V$4:$V$1116,$V1012)/SUMIFS('Comp2016-2017 (3)'!$G$5:$G$289,'Comp2016-2017 (3)'!$A$5:$A$289,$D1012,'Comp2016-2017 (3)'!$R$5:$R$289,$V1012)*$AB1012))</f>
        <v/>
      </c>
      <c r="AE1012" s="2" t="str">
        <f>IF($W1012=AE$3,$AB1012,IF(NOT($W1012=0),"",SUMIFS('Val-Vol (2)'!AE$4:AE$1116,'Val-Vol (2)'!$A$4:$A$1116,$D1012,'Val-Vol (2)'!$V$4:$V$1116,$V1012)/SUMIFS('Comp2016-2017 (3)'!$G$5:$G$289,'Comp2016-2017 (3)'!$A$5:$A$289,$D1012,'Comp2016-2017 (3)'!$R$5:$R$289,$V1012)*$AB1012))</f>
        <v/>
      </c>
      <c r="AF1012" s="2" t="str">
        <f>IF($W1012=AF$3,$AB1012,IF(NOT($W1012=0),"",SUMIFS('Val-Vol (2)'!AF$4:AF$1116,'Val-Vol (2)'!$A$4:$A$1116,$D1012,'Val-Vol (2)'!$V$4:$V$1116,$V1012)/SUMIFS('Comp2016-2017 (3)'!$G$5:$G$289,'Comp2016-2017 (3)'!$A$5:$A$289,$D1012,'Comp2016-2017 (3)'!$R$5:$R$289,$V1012)*$AB1012))</f>
        <v/>
      </c>
      <c r="AG1012" s="2" t="str">
        <f>IF($W1012=AG$3,$AB1012,IF(NOT($W1012=0),"",SUMIFS('Val-Vol (2)'!AG$4:AG$1116,'Val-Vol (2)'!$A$4:$A$1116,$D1012,'Val-Vol (2)'!$V$4:$V$1116,$V1012)/SUMIFS('Comp2016-2017 (3)'!$G$5:$G$289,'Comp2016-2017 (3)'!$A$5:$A$289,$D1012,'Comp2016-2017 (3)'!$R$5:$R$289,$V1012)*$AB1012))</f>
        <v/>
      </c>
      <c r="AH1012" s="2" t="str">
        <f>IF($W1012=AH$3,$AB1012,IF(NOT($W1012=0),"",SUMIFS('Val-Vol (2)'!AH$4:AH$1116,'Val-Vol (2)'!$A$4:$A$1116,$D1012,'Val-Vol (2)'!$V$4:$V$1116,$V1012)/SUMIFS('Comp2016-2017 (3)'!$G$5:$G$289,'Comp2016-2017 (3)'!$A$5:$A$289,$D1012,'Comp2016-2017 (3)'!$R$5:$R$289,$V1012)*$AB1012))</f>
        <v/>
      </c>
      <c r="AI1012" s="2" t="str">
        <f>IF($W1012=AI$3,$AB1012,IF(NOT($W1012=0),"",SUMIFS('Val-Vol (2)'!AI$4:AI$1116,'Val-Vol (2)'!$A$4:$A$1116,$D1012,'Val-Vol (2)'!$V$4:$V$1116,$V1012)/SUMIFS('Comp2016-2017 (3)'!$G$5:$G$289,'Comp2016-2017 (3)'!$A$5:$A$289,$D1012,'Comp2016-2017 (3)'!$R$5:$R$289,$V1012)*$AB1012))</f>
        <v/>
      </c>
      <c r="AJ1012" s="2">
        <f>IF($W1012=AJ$3,$AB1012,IF(NOT($W1012=0),"",SUMIFS('Val-Vol (2)'!AJ$4:AJ$1116,'Val-Vol (2)'!$A$4:$A$1116,$D1012,'Val-Vol (2)'!$V$4:$V$1116,$V1012)/SUMIFS('Comp2016-2017 (3)'!$G$5:$G$289,'Comp2016-2017 (3)'!$A$5:$A$289,$D1012,'Comp2016-2017 (3)'!$R$5:$R$289,$V1012)*$AB1012))</f>
        <v>53493.771076242105</v>
      </c>
      <c r="AK1012" s="2">
        <f t="shared" si="121"/>
        <v>0</v>
      </c>
      <c r="AL1012" t="str">
        <f t="shared" si="113"/>
        <v/>
      </c>
      <c r="AM1012" t="str">
        <f>VLOOKUP(A1012,'Table corresp.'!$M$4:$U$63,8,FALSE)</f>
        <v>Production finale</v>
      </c>
      <c r="AN1012" t="str">
        <f>VLOOKUP(D1012,'Table corresp.'!$M$4:$U$63,9,FALSE)</f>
        <v>Consommation finale française</v>
      </c>
    </row>
    <row r="1013" spans="1:40" x14ac:dyDescent="0.25">
      <c r="A1013" t="s">
        <v>94</v>
      </c>
      <c r="B1013" t="str">
        <f>VLOOKUP(LEFT(A1013,3),'Table corresp.'!$A$4:$D$63,3,FALSE)</f>
        <v>Transformation</v>
      </c>
      <c r="C1013" t="str">
        <f>VLOOKUP(A1013,'Table corresp.'!$M$4:$P$63,4,FALSE)</f>
        <v>Production et transformation de produits bois</v>
      </c>
      <c r="D1013" t="s">
        <v>53</v>
      </c>
      <c r="E1013" t="str">
        <f>VLOOKUP(LEFT(D1013,3),'Table corresp.'!$A$4:$D$63,4,FALSE)</f>
        <v>Exportation</v>
      </c>
      <c r="F1013" t="str">
        <f t="shared" si="122"/>
        <v>42  - Exp</v>
      </c>
      <c r="G1013" s="164">
        <v>88466.763999999981</v>
      </c>
      <c r="H1013" s="164">
        <v>0</v>
      </c>
      <c r="I1013" s="164">
        <v>88466.763999999952</v>
      </c>
      <c r="J1013" s="164">
        <v>5.501725127564483</v>
      </c>
      <c r="K1013" s="164">
        <v>0</v>
      </c>
      <c r="L1013" s="164">
        <v>5.501725127564483</v>
      </c>
      <c r="M1013" s="164">
        <v>0</v>
      </c>
      <c r="N1013" s="164">
        <v>0</v>
      </c>
      <c r="O1013" s="164">
        <v>0</v>
      </c>
      <c r="P1013" s="164">
        <v>0</v>
      </c>
      <c r="Q1013" s="164">
        <v>0</v>
      </c>
      <c r="R1013" s="164">
        <v>0</v>
      </c>
      <c r="S1013" s="163" t="str">
        <f t="shared" si="123"/>
        <v/>
      </c>
      <c r="T1013" s="163">
        <f>VLOOKUP(A1013,'Groupe de branches'!$Z$27:$AM$86,14,FALSE)</f>
        <v>0</v>
      </c>
      <c r="U1013" s="163">
        <f>VLOOKUP(D1013,'Groupe de branches'!$Z$27:$AM$86,14,FALSE)</f>
        <v>0</v>
      </c>
      <c r="V1013" s="163">
        <v>2018</v>
      </c>
      <c r="W1013" t="str">
        <f>VLOOKUP(D1013,'Table corresp.'!$M$4:$S$63,7,FALSE)</f>
        <v>Exportation</v>
      </c>
      <c r="X1013" s="167">
        <f>IFERROR(G1013/SUMIFS('Comp2016-2017 (3)'!$I$5:$I$289,'Comp2016-2017 (3)'!$A$5:$A$289,A1013,'Comp2016-2017 (3)'!$R$5:$R$289,V1013),0)</f>
        <v>0.25684447152496309</v>
      </c>
      <c r="Y1013" s="178">
        <f>IFERROR(IF(RIGHT(F1013,3)="Exp",VLOOKUP(F1013,#REF!,2,FALSE),VLOOKUP(F1013,#REF!,9,FALSE)),1)</f>
        <v>1</v>
      </c>
      <c r="Z1013" s="167">
        <f t="shared" si="117"/>
        <v>0.33333333333333331</v>
      </c>
      <c r="AA1013" s="189">
        <f t="shared" si="114"/>
        <v>8.5614823841654364E-2</v>
      </c>
      <c r="AB1013" s="2">
        <f>IFERROR(SUMIFS('Comp2016-2017 (3)'!$G$5:$G$289,'Comp2016-2017 (3)'!$A$5:$A$289,A1013,'Comp2016-2017 (3)'!$R$5:$R$289,V1013)*AA1013/SUMIFS($AA$4:$AA$1116,$A$4:$A$1116,A1013,$V$4:$V$1116,V1013),0)</f>
        <v>18518.921646736591</v>
      </c>
      <c r="AC1013" s="2">
        <f>IF($W1013=AC$3,$AB1013,IF(NOT($W1013=0),"",SUMIFS('Val-Vol (2)'!AC$4:AC$1116,'Val-Vol (2)'!$A$4:$A$1116,$D1013,'Val-Vol (2)'!$V$4:$V$1116,$V1013)/SUMIFS('Comp2016-2017 (3)'!$G$5:$G$289,'Comp2016-2017 (3)'!$A$5:$A$289,$D1013,'Comp2016-2017 (3)'!$R$5:$R$289,$V1013)*$AB1013))</f>
        <v>18518.921646736591</v>
      </c>
      <c r="AD1013" s="2" t="str">
        <f>IF($W1013=AD$3,$AB1013,IF(NOT($W1013=0),"",SUMIFS('Val-Vol (2)'!AD$4:AD$1116,'Val-Vol (2)'!$A$4:$A$1116,$D1013,'Val-Vol (2)'!$V$4:$V$1116,$V1013)/SUMIFS('Comp2016-2017 (3)'!$G$5:$G$289,'Comp2016-2017 (3)'!$A$5:$A$289,$D1013,'Comp2016-2017 (3)'!$R$5:$R$289,$V1013)*$AB1013))</f>
        <v/>
      </c>
      <c r="AE1013" s="2" t="str">
        <f>IF($W1013=AE$3,$AB1013,IF(NOT($W1013=0),"",SUMIFS('Val-Vol (2)'!AE$4:AE$1116,'Val-Vol (2)'!$A$4:$A$1116,$D1013,'Val-Vol (2)'!$V$4:$V$1116,$V1013)/SUMIFS('Comp2016-2017 (3)'!$G$5:$G$289,'Comp2016-2017 (3)'!$A$5:$A$289,$D1013,'Comp2016-2017 (3)'!$R$5:$R$289,$V1013)*$AB1013))</f>
        <v/>
      </c>
      <c r="AF1013" s="2" t="str">
        <f>IF($W1013=AF$3,$AB1013,IF(NOT($W1013=0),"",SUMIFS('Val-Vol (2)'!AF$4:AF$1116,'Val-Vol (2)'!$A$4:$A$1116,$D1013,'Val-Vol (2)'!$V$4:$V$1116,$V1013)/SUMIFS('Comp2016-2017 (3)'!$G$5:$G$289,'Comp2016-2017 (3)'!$A$5:$A$289,$D1013,'Comp2016-2017 (3)'!$R$5:$R$289,$V1013)*$AB1013))</f>
        <v/>
      </c>
      <c r="AG1013" s="2" t="str">
        <f>IF($W1013=AG$3,$AB1013,IF(NOT($W1013=0),"",SUMIFS('Val-Vol (2)'!AG$4:AG$1116,'Val-Vol (2)'!$A$4:$A$1116,$D1013,'Val-Vol (2)'!$V$4:$V$1116,$V1013)/SUMIFS('Comp2016-2017 (3)'!$G$5:$G$289,'Comp2016-2017 (3)'!$A$5:$A$289,$D1013,'Comp2016-2017 (3)'!$R$5:$R$289,$V1013)*$AB1013))</f>
        <v/>
      </c>
      <c r="AH1013" s="2" t="str">
        <f>IF($W1013=AH$3,$AB1013,IF(NOT($W1013=0),"",SUMIFS('Val-Vol (2)'!AH$4:AH$1116,'Val-Vol (2)'!$A$4:$A$1116,$D1013,'Val-Vol (2)'!$V$4:$V$1116,$V1013)/SUMIFS('Comp2016-2017 (3)'!$G$5:$G$289,'Comp2016-2017 (3)'!$A$5:$A$289,$D1013,'Comp2016-2017 (3)'!$R$5:$R$289,$V1013)*$AB1013))</f>
        <v/>
      </c>
      <c r="AI1013" s="2" t="str">
        <f>IF($W1013=AI$3,$AB1013,IF(NOT($W1013=0),"",SUMIFS('Val-Vol (2)'!AI$4:AI$1116,'Val-Vol (2)'!$A$4:$A$1116,$D1013,'Val-Vol (2)'!$V$4:$V$1116,$V1013)/SUMIFS('Comp2016-2017 (3)'!$G$5:$G$289,'Comp2016-2017 (3)'!$A$5:$A$289,$D1013,'Comp2016-2017 (3)'!$R$5:$R$289,$V1013)*$AB1013))</f>
        <v/>
      </c>
      <c r="AJ1013" s="2" t="str">
        <f>IF($W1013=AJ$3,$AB1013,IF(NOT($W1013=0),"",SUMIFS('Val-Vol (2)'!AJ$4:AJ$1116,'Val-Vol (2)'!$A$4:$A$1116,$D1013,'Val-Vol (2)'!$V$4:$V$1116,$V1013)/SUMIFS('Comp2016-2017 (3)'!$G$5:$G$289,'Comp2016-2017 (3)'!$A$5:$A$289,$D1013,'Comp2016-2017 (3)'!$R$5:$R$289,$V1013)*$AB1013))</f>
        <v/>
      </c>
      <c r="AK1013" s="2">
        <f t="shared" si="121"/>
        <v>0</v>
      </c>
      <c r="AL1013" t="str">
        <f t="shared" si="113"/>
        <v/>
      </c>
      <c r="AM1013" t="str">
        <f>VLOOKUP(A1013,'Table corresp.'!$M$4:$U$63,8,FALSE)</f>
        <v>Production finale</v>
      </c>
      <c r="AN1013" t="str">
        <f>VLOOKUP(D1013,'Table corresp.'!$M$4:$U$63,9,FALSE)</f>
        <v>Exportation</v>
      </c>
    </row>
    <row r="1014" spans="1:40" x14ac:dyDescent="0.25">
      <c r="A1014" t="s">
        <v>95</v>
      </c>
      <c r="B1014" t="str">
        <f>VLOOKUP(LEFT(A1014,3),'Table corresp.'!$A$4:$D$63,3,FALSE)</f>
        <v>Transformation</v>
      </c>
      <c r="C1014" t="str">
        <f>VLOOKUP(A1014,'Table corresp.'!$M$4:$P$63,4,FALSE)</f>
        <v>Production et transformation de produits bois</v>
      </c>
      <c r="D1014" t="s">
        <v>96</v>
      </c>
      <c r="E1014" t="str">
        <f>VLOOKUP(LEFT(D1014,3),'Table corresp.'!$A$4:$D$63,4,FALSE)</f>
        <v>Transformation</v>
      </c>
      <c r="F1014" t="str">
        <f t="shared" si="122"/>
        <v xml:space="preserve">43  - 44 </v>
      </c>
      <c r="G1014" s="164">
        <v>185501.38974411678</v>
      </c>
      <c r="H1014" s="164">
        <v>1326076.2210000001</v>
      </c>
      <c r="I1014" s="164">
        <v>1511577.2528506846</v>
      </c>
      <c r="J1014" s="164">
        <v>0</v>
      </c>
      <c r="K1014" s="164">
        <v>0</v>
      </c>
      <c r="L1014" s="164">
        <v>0</v>
      </c>
      <c r="M1014" s="164">
        <v>1664.6053589948431</v>
      </c>
      <c r="N1014" s="164">
        <v>6701.5129303007907</v>
      </c>
      <c r="O1014" s="164">
        <v>8366.1182892956331</v>
      </c>
      <c r="P1014" s="164">
        <v>0</v>
      </c>
      <c r="Q1014" s="164">
        <v>0</v>
      </c>
      <c r="R1014" s="164">
        <v>0</v>
      </c>
      <c r="S1014" s="163" t="str">
        <f t="shared" si="123"/>
        <v/>
      </c>
      <c r="T1014" s="163">
        <f>VLOOKUP(A1014,'Groupe de branches'!$Z$27:$AM$86,14,FALSE)</f>
        <v>0</v>
      </c>
      <c r="U1014" s="163">
        <f>VLOOKUP(D1014,'Groupe de branches'!$Z$27:$AM$86,14,FALSE)</f>
        <v>0</v>
      </c>
      <c r="V1014" s="163">
        <v>2018</v>
      </c>
      <c r="W1014" t="str">
        <f>VLOOKUP(D1014,'Table corresp.'!$M$4:$S$63,7,FALSE)</f>
        <v>Pate &amp; papier &amp; carton</v>
      </c>
      <c r="X1014" s="167">
        <f>IFERROR(G1014/SUMIFS('Comp2016-2017 (3)'!$I$5:$I$289,'Comp2016-2017 (3)'!$A$5:$A$289,A1014,'Comp2016-2017 (3)'!$R$5:$R$289,V1014),0)</f>
        <v>0.3127499634234252</v>
      </c>
      <c r="Y1014" s="178">
        <f>IFERROR(IF(RIGHT(F1014,3)="Exp",VLOOKUP(F1014,#REF!,2,FALSE),VLOOKUP(F1014,#REF!,9,FALSE)),1)</f>
        <v>1</v>
      </c>
      <c r="Z1014" s="167">
        <f t="shared" ref="Z1014:Z1045" si="124">Y1014/SUMIFS($Y$4:$Y$1116,$V$4:$V$1116,V1014,$A$4:$A$1116,A1014)</f>
        <v>0.5</v>
      </c>
      <c r="AA1014" s="189">
        <f t="shared" si="114"/>
        <v>0.1563749817117126</v>
      </c>
      <c r="AB1014" s="2">
        <f>IFERROR(SUMIFS('Comp2016-2017 (3)'!$G$5:$G$289,'Comp2016-2017 (3)'!$A$5:$A$289,A1014,'Comp2016-2017 (3)'!$R$5:$R$289,V1014)*AA1014/SUMIFS($AA$4:$AA$1116,$A$4:$A$1116,A1014,$V$4:$V$1116,V1014),0)</f>
        <v>31938.585779227062</v>
      </c>
      <c r="AC1014" s="2" t="str">
        <f>IF($W1014=AC$3,$AB1014,IF(NOT($W1014=0),"",SUMIFS('Val-Vol (2)'!AC$4:AC$1116,'Val-Vol (2)'!$A$4:$A$1116,$D1014,'Val-Vol (2)'!$V$4:$V$1116,$V1014)/SUMIFS('Comp2016-2017 (3)'!$G$5:$G$289,'Comp2016-2017 (3)'!$A$5:$A$289,$D1014,'Comp2016-2017 (3)'!$R$5:$R$289,$V1014)*$AB1014))</f>
        <v/>
      </c>
      <c r="AD1014" s="2" t="str">
        <f>IF($W1014=AD$3,$AB1014,IF(NOT($W1014=0),"",SUMIFS('Val-Vol (2)'!AD$4:AD$1116,'Val-Vol (2)'!$A$4:$A$1116,$D1014,'Val-Vol (2)'!$V$4:$V$1116,$V1014)/SUMIFS('Comp2016-2017 (3)'!$G$5:$G$289,'Comp2016-2017 (3)'!$A$5:$A$289,$D1014,'Comp2016-2017 (3)'!$R$5:$R$289,$V1014)*$AB1014))</f>
        <v/>
      </c>
      <c r="AE1014" s="2" t="str">
        <f>IF($W1014=AE$3,$AB1014,IF(NOT($W1014=0),"",SUMIFS('Val-Vol (2)'!AE$4:AE$1116,'Val-Vol (2)'!$A$4:$A$1116,$D1014,'Val-Vol (2)'!$V$4:$V$1116,$V1014)/SUMIFS('Comp2016-2017 (3)'!$G$5:$G$289,'Comp2016-2017 (3)'!$A$5:$A$289,$D1014,'Comp2016-2017 (3)'!$R$5:$R$289,$V1014)*$AB1014))</f>
        <v/>
      </c>
      <c r="AF1014" s="2">
        <f>IF($W1014=AF$3,$AB1014,IF(NOT($W1014=0),"",SUMIFS('Val-Vol (2)'!AF$4:AF$1116,'Val-Vol (2)'!$A$4:$A$1116,$D1014,'Val-Vol (2)'!$V$4:$V$1116,$V1014)/SUMIFS('Comp2016-2017 (3)'!$G$5:$G$289,'Comp2016-2017 (3)'!$A$5:$A$289,$D1014,'Comp2016-2017 (3)'!$R$5:$R$289,$V1014)*$AB1014))</f>
        <v>31938.585779227062</v>
      </c>
      <c r="AG1014" s="2" t="str">
        <f>IF($W1014=AG$3,$AB1014,IF(NOT($W1014=0),"",SUMIFS('Val-Vol (2)'!AG$4:AG$1116,'Val-Vol (2)'!$A$4:$A$1116,$D1014,'Val-Vol (2)'!$V$4:$V$1116,$V1014)/SUMIFS('Comp2016-2017 (3)'!$G$5:$G$289,'Comp2016-2017 (3)'!$A$5:$A$289,$D1014,'Comp2016-2017 (3)'!$R$5:$R$289,$V1014)*$AB1014))</f>
        <v/>
      </c>
      <c r="AH1014" s="2" t="str">
        <f>IF($W1014=AH$3,$AB1014,IF(NOT($W1014=0),"",SUMIFS('Val-Vol (2)'!AH$4:AH$1116,'Val-Vol (2)'!$A$4:$A$1116,$D1014,'Val-Vol (2)'!$V$4:$V$1116,$V1014)/SUMIFS('Comp2016-2017 (3)'!$G$5:$G$289,'Comp2016-2017 (3)'!$A$5:$A$289,$D1014,'Comp2016-2017 (3)'!$R$5:$R$289,$V1014)*$AB1014))</f>
        <v/>
      </c>
      <c r="AI1014" s="2" t="str">
        <f>IF($W1014=AI$3,$AB1014,IF(NOT($W1014=0),"",SUMIFS('Val-Vol (2)'!AI$4:AI$1116,'Val-Vol (2)'!$A$4:$A$1116,$D1014,'Val-Vol (2)'!$V$4:$V$1116,$V1014)/SUMIFS('Comp2016-2017 (3)'!$G$5:$G$289,'Comp2016-2017 (3)'!$A$5:$A$289,$D1014,'Comp2016-2017 (3)'!$R$5:$R$289,$V1014)*$AB1014))</f>
        <v/>
      </c>
      <c r="AJ1014" s="2" t="str">
        <f>IF($W1014=AJ$3,$AB1014,IF(NOT($W1014=0),"",SUMIFS('Val-Vol (2)'!AJ$4:AJ$1116,'Val-Vol (2)'!$A$4:$A$1116,$D1014,'Val-Vol (2)'!$V$4:$V$1116,$V1014)/SUMIFS('Comp2016-2017 (3)'!$G$5:$G$289,'Comp2016-2017 (3)'!$A$5:$A$289,$D1014,'Comp2016-2017 (3)'!$R$5:$R$289,$V1014)*$AB1014))</f>
        <v/>
      </c>
      <c r="AK1014" s="2">
        <f t="shared" si="121"/>
        <v>0</v>
      </c>
      <c r="AL1014" t="str">
        <f t="shared" si="113"/>
        <v/>
      </c>
      <c r="AM1014" t="str">
        <f>VLOOKUP(A1014,'Table corresp.'!$M$4:$U$63,8,FALSE)</f>
        <v>Production intermédiaire</v>
      </c>
      <c r="AN1014" t="str">
        <f>VLOOKUP(D1014,'Table corresp.'!$M$4:$U$63,9,FALSE)</f>
        <v>Production intermédiaire</v>
      </c>
    </row>
    <row r="1015" spans="1:40" x14ac:dyDescent="0.25">
      <c r="A1015" t="s">
        <v>95</v>
      </c>
      <c r="B1015" t="str">
        <f>VLOOKUP(LEFT(A1015,3),'Table corresp.'!$A$4:$D$63,3,FALSE)</f>
        <v>Transformation</v>
      </c>
      <c r="C1015" t="str">
        <f>VLOOKUP(A1015,'Table corresp.'!$M$4:$P$63,4,FALSE)</f>
        <v>Production et transformation de produits bois</v>
      </c>
      <c r="D1015" t="s">
        <v>53</v>
      </c>
      <c r="E1015" t="str">
        <f>VLOOKUP(LEFT(D1015,3),'Table corresp.'!$A$4:$D$63,4,FALSE)</f>
        <v>Exportation</v>
      </c>
      <c r="F1015" t="str">
        <f t="shared" si="122"/>
        <v>43  - Exp</v>
      </c>
      <c r="G1015" s="164">
        <v>407628.60910656769</v>
      </c>
      <c r="H1015" s="164">
        <v>0</v>
      </c>
      <c r="I1015" s="164">
        <v>407628.96699999995</v>
      </c>
      <c r="J1015" s="164">
        <v>0</v>
      </c>
      <c r="K1015" s="164">
        <v>0</v>
      </c>
      <c r="L1015" s="164">
        <v>0</v>
      </c>
      <c r="M1015" s="164">
        <v>2115.3552759104896</v>
      </c>
      <c r="N1015" s="164">
        <v>0</v>
      </c>
      <c r="O1015" s="164">
        <v>2115.3552759104896</v>
      </c>
      <c r="P1015" s="164">
        <v>0</v>
      </c>
      <c r="Q1015" s="164">
        <v>0</v>
      </c>
      <c r="R1015" s="164">
        <v>0</v>
      </c>
      <c r="S1015" s="163" t="str">
        <f t="shared" si="123"/>
        <v/>
      </c>
      <c r="T1015" s="163">
        <f>VLOOKUP(A1015,'Groupe de branches'!$Z$27:$AM$86,14,FALSE)</f>
        <v>0</v>
      </c>
      <c r="U1015" s="163">
        <f>VLOOKUP(D1015,'Groupe de branches'!$Z$27:$AM$86,14,FALSE)</f>
        <v>0</v>
      </c>
      <c r="V1015" s="163">
        <v>2018</v>
      </c>
      <c r="W1015" t="str">
        <f>VLOOKUP(D1015,'Table corresp.'!$M$4:$S$63,7,FALSE)</f>
        <v>Exportation</v>
      </c>
      <c r="X1015" s="167">
        <f>IFERROR(G1015/SUMIFS('Comp2016-2017 (3)'!$I$5:$I$289,'Comp2016-2017 (3)'!$A$5:$A$289,A1015,'Comp2016-2017 (3)'!$R$5:$R$289,V1015),0)</f>
        <v>0.68725001340570258</v>
      </c>
      <c r="Y1015" s="178">
        <f>IFERROR(IF(RIGHT(F1015,3)="Exp",VLOOKUP(F1015,#REF!,2,FALSE),VLOOKUP(F1015,#REF!,9,FALSE)),1)</f>
        <v>1</v>
      </c>
      <c r="Z1015" s="167">
        <f t="shared" si="124"/>
        <v>0.5</v>
      </c>
      <c r="AA1015" s="189">
        <f t="shared" si="114"/>
        <v>0.34362500670285129</v>
      </c>
      <c r="AB1015" s="2">
        <f>IFERROR(SUMIFS('Comp2016-2017 (3)'!$G$5:$G$289,'Comp2016-2017 (3)'!$A$5:$A$289,A1015,'Comp2016-2017 (3)'!$R$5:$R$289,V1015)*AA1015/SUMIFS($AA$4:$AA$1116,$A$4:$A$1116,A1015,$V$4:$V$1116,V1015),0)</f>
        <v>70183.200869685301</v>
      </c>
      <c r="AC1015" s="2">
        <f>IF($W1015=AC$3,$AB1015,IF(NOT($W1015=0),"",SUMIFS('Val-Vol (2)'!AC$4:AC$1116,'Val-Vol (2)'!$A$4:$A$1116,$D1015,'Val-Vol (2)'!$V$4:$V$1116,$V1015)/SUMIFS('Comp2016-2017 (3)'!$G$5:$G$289,'Comp2016-2017 (3)'!$A$5:$A$289,$D1015,'Comp2016-2017 (3)'!$R$5:$R$289,$V1015)*$AB1015))</f>
        <v>70183.200869685301</v>
      </c>
      <c r="AD1015" s="2" t="str">
        <f>IF($W1015=AD$3,$AB1015,IF(NOT($W1015=0),"",SUMIFS('Val-Vol (2)'!AD$4:AD$1116,'Val-Vol (2)'!$A$4:$A$1116,$D1015,'Val-Vol (2)'!$V$4:$V$1116,$V1015)/SUMIFS('Comp2016-2017 (3)'!$G$5:$G$289,'Comp2016-2017 (3)'!$A$5:$A$289,$D1015,'Comp2016-2017 (3)'!$R$5:$R$289,$V1015)*$AB1015))</f>
        <v/>
      </c>
      <c r="AE1015" s="2" t="str">
        <f>IF($W1015=AE$3,$AB1015,IF(NOT($W1015=0),"",SUMIFS('Val-Vol (2)'!AE$4:AE$1116,'Val-Vol (2)'!$A$4:$A$1116,$D1015,'Val-Vol (2)'!$V$4:$V$1116,$V1015)/SUMIFS('Comp2016-2017 (3)'!$G$5:$G$289,'Comp2016-2017 (3)'!$A$5:$A$289,$D1015,'Comp2016-2017 (3)'!$R$5:$R$289,$V1015)*$AB1015))</f>
        <v/>
      </c>
      <c r="AF1015" s="2" t="str">
        <f>IF($W1015=AF$3,$AB1015,IF(NOT($W1015=0),"",SUMIFS('Val-Vol (2)'!AF$4:AF$1116,'Val-Vol (2)'!$A$4:$A$1116,$D1015,'Val-Vol (2)'!$V$4:$V$1116,$V1015)/SUMIFS('Comp2016-2017 (3)'!$G$5:$G$289,'Comp2016-2017 (3)'!$A$5:$A$289,$D1015,'Comp2016-2017 (3)'!$R$5:$R$289,$V1015)*$AB1015))</f>
        <v/>
      </c>
      <c r="AG1015" s="2" t="str">
        <f>IF($W1015=AG$3,$AB1015,IF(NOT($W1015=0),"",SUMIFS('Val-Vol (2)'!AG$4:AG$1116,'Val-Vol (2)'!$A$4:$A$1116,$D1015,'Val-Vol (2)'!$V$4:$V$1116,$V1015)/SUMIFS('Comp2016-2017 (3)'!$G$5:$G$289,'Comp2016-2017 (3)'!$A$5:$A$289,$D1015,'Comp2016-2017 (3)'!$R$5:$R$289,$V1015)*$AB1015))</f>
        <v/>
      </c>
      <c r="AH1015" s="2" t="str">
        <f>IF($W1015=AH$3,$AB1015,IF(NOT($W1015=0),"",SUMIFS('Val-Vol (2)'!AH$4:AH$1116,'Val-Vol (2)'!$A$4:$A$1116,$D1015,'Val-Vol (2)'!$V$4:$V$1116,$V1015)/SUMIFS('Comp2016-2017 (3)'!$G$5:$G$289,'Comp2016-2017 (3)'!$A$5:$A$289,$D1015,'Comp2016-2017 (3)'!$R$5:$R$289,$V1015)*$AB1015))</f>
        <v/>
      </c>
      <c r="AI1015" s="2" t="str">
        <f>IF($W1015=AI$3,$AB1015,IF(NOT($W1015=0),"",SUMIFS('Val-Vol (2)'!AI$4:AI$1116,'Val-Vol (2)'!$A$4:$A$1116,$D1015,'Val-Vol (2)'!$V$4:$V$1116,$V1015)/SUMIFS('Comp2016-2017 (3)'!$G$5:$G$289,'Comp2016-2017 (3)'!$A$5:$A$289,$D1015,'Comp2016-2017 (3)'!$R$5:$R$289,$V1015)*$AB1015))</f>
        <v/>
      </c>
      <c r="AJ1015" s="2" t="str">
        <f>IF($W1015=AJ$3,$AB1015,IF(NOT($W1015=0),"",SUMIFS('Val-Vol (2)'!AJ$4:AJ$1116,'Val-Vol (2)'!$A$4:$A$1116,$D1015,'Val-Vol (2)'!$V$4:$V$1116,$V1015)/SUMIFS('Comp2016-2017 (3)'!$G$5:$G$289,'Comp2016-2017 (3)'!$A$5:$A$289,$D1015,'Comp2016-2017 (3)'!$R$5:$R$289,$V1015)*$AB1015))</f>
        <v/>
      </c>
      <c r="AK1015" s="2">
        <f t="shared" si="121"/>
        <v>0</v>
      </c>
      <c r="AL1015" t="str">
        <f t="shared" si="113"/>
        <v/>
      </c>
      <c r="AM1015" t="str">
        <f>VLOOKUP(A1015,'Table corresp.'!$M$4:$U$63,8,FALSE)</f>
        <v>Production intermédiaire</v>
      </c>
      <c r="AN1015" t="str">
        <f>VLOOKUP(D1015,'Table corresp.'!$M$4:$U$63,9,FALSE)</f>
        <v>Exportation</v>
      </c>
    </row>
    <row r="1016" spans="1:40" x14ac:dyDescent="0.25">
      <c r="A1016" t="s">
        <v>96</v>
      </c>
      <c r="B1016" t="str">
        <f>VLOOKUP(LEFT(A1016,3),'Table corresp.'!$A$4:$D$63,3,FALSE)</f>
        <v>Transformation</v>
      </c>
      <c r="C1016" t="str">
        <f>VLOOKUP(A1016,'Table corresp.'!$M$4:$P$63,4,FALSE)</f>
        <v>Production et transformation de produits bois</v>
      </c>
      <c r="D1016" t="s">
        <v>97</v>
      </c>
      <c r="E1016" t="str">
        <f>VLOOKUP(LEFT(D1016,3),'Table corresp.'!$A$4:$D$63,4,FALSE)</f>
        <v>Transformation</v>
      </c>
      <c r="F1016" t="str">
        <f t="shared" si="122"/>
        <v xml:space="preserve">44  - 45 </v>
      </c>
      <c r="G1016" s="164">
        <v>671270.04725711211</v>
      </c>
      <c r="H1016" s="164">
        <v>1865078.4273493288</v>
      </c>
      <c r="I1016" s="164">
        <v>2536348.4714161707</v>
      </c>
      <c r="J1016" s="164">
        <v>0</v>
      </c>
      <c r="K1016" s="164">
        <v>0</v>
      </c>
      <c r="L1016" s="164">
        <v>0</v>
      </c>
      <c r="M1016" s="164">
        <v>1163.6968255718466</v>
      </c>
      <c r="N1016" s="164">
        <v>2258.8724460688795</v>
      </c>
      <c r="O1016" s="164">
        <v>3422.5692716407261</v>
      </c>
      <c r="P1016" s="164">
        <v>0</v>
      </c>
      <c r="Q1016" s="164">
        <v>0</v>
      </c>
      <c r="R1016" s="164">
        <v>0</v>
      </c>
      <c r="S1016" s="163" t="str">
        <f t="shared" si="123"/>
        <v/>
      </c>
      <c r="T1016" s="163">
        <f>VLOOKUP(A1016,'Groupe de branches'!$Z$27:$AM$86,14,FALSE)</f>
        <v>0</v>
      </c>
      <c r="U1016" s="163">
        <f>VLOOKUP(D1016,'Groupe de branches'!$Z$27:$AM$86,14,FALSE)</f>
        <v>0</v>
      </c>
      <c r="V1016" s="163">
        <v>2018</v>
      </c>
      <c r="W1016" t="str">
        <f>VLOOKUP(D1016,'Table corresp.'!$M$4:$S$63,7,FALSE)</f>
        <v>Pate &amp; papier &amp; carton</v>
      </c>
      <c r="X1016" s="167">
        <f>IFERROR(G1016/SUMIFS('Comp2016-2017 (3)'!$I$5:$I$289,'Comp2016-2017 (3)'!$A$5:$A$289,A1016,'Comp2016-2017 (3)'!$R$5:$R$289,V1016),0)</f>
        <v>0.11806996977517219</v>
      </c>
      <c r="Y1016" s="178">
        <f>IFERROR(IF(RIGHT(F1016,3)="Exp",VLOOKUP(F1016,#REF!,2,FALSE),VLOOKUP(F1016,#REF!,9,FALSE)),1)</f>
        <v>1</v>
      </c>
      <c r="Z1016" s="167">
        <f t="shared" si="124"/>
        <v>0.33333333333333331</v>
      </c>
      <c r="AA1016" s="189">
        <f t="shared" si="114"/>
        <v>3.9356656591724062E-2</v>
      </c>
      <c r="AB1016" s="2">
        <f>IFERROR(SUMIFS('Comp2016-2017 (3)'!$G$5:$G$289,'Comp2016-2017 (3)'!$A$5:$A$289,A1016,'Comp2016-2017 (3)'!$R$5:$R$289,V1016)*AA1016/SUMIFS($AA$4:$AA$1116,$A$4:$A$1116,A1016,$V$4:$V$1116,V1016),0)</f>
        <v>160003.18986348659</v>
      </c>
      <c r="AC1016" s="2" t="str">
        <f>IF($W1016=AC$3,$AB1016,IF(NOT($W1016=0),"",SUMIFS('Val-Vol (2)'!AC$4:AC$1116,'Val-Vol (2)'!$A$4:$A$1116,$D1016,'Val-Vol (2)'!$V$4:$V$1116,$V1016)/SUMIFS('Comp2016-2017 (3)'!$G$5:$G$289,'Comp2016-2017 (3)'!$A$5:$A$289,$D1016,'Comp2016-2017 (3)'!$R$5:$R$289,$V1016)*$AB1016))</f>
        <v/>
      </c>
      <c r="AD1016" s="2" t="str">
        <f>IF($W1016=AD$3,$AB1016,IF(NOT($W1016=0),"",SUMIFS('Val-Vol (2)'!AD$4:AD$1116,'Val-Vol (2)'!$A$4:$A$1116,$D1016,'Val-Vol (2)'!$V$4:$V$1116,$V1016)/SUMIFS('Comp2016-2017 (3)'!$G$5:$G$289,'Comp2016-2017 (3)'!$A$5:$A$289,$D1016,'Comp2016-2017 (3)'!$R$5:$R$289,$V1016)*$AB1016))</f>
        <v/>
      </c>
      <c r="AE1016" s="2" t="str">
        <f>IF($W1016=AE$3,$AB1016,IF(NOT($W1016=0),"",SUMIFS('Val-Vol (2)'!AE$4:AE$1116,'Val-Vol (2)'!$A$4:$A$1116,$D1016,'Val-Vol (2)'!$V$4:$V$1116,$V1016)/SUMIFS('Comp2016-2017 (3)'!$G$5:$G$289,'Comp2016-2017 (3)'!$A$5:$A$289,$D1016,'Comp2016-2017 (3)'!$R$5:$R$289,$V1016)*$AB1016))</f>
        <v/>
      </c>
      <c r="AF1016" s="2">
        <f>IF($W1016=AF$3,$AB1016,IF(NOT($W1016=0),"",SUMIFS('Val-Vol (2)'!AF$4:AF$1116,'Val-Vol (2)'!$A$4:$A$1116,$D1016,'Val-Vol (2)'!$V$4:$V$1116,$V1016)/SUMIFS('Comp2016-2017 (3)'!$G$5:$G$289,'Comp2016-2017 (3)'!$A$5:$A$289,$D1016,'Comp2016-2017 (3)'!$R$5:$R$289,$V1016)*$AB1016))</f>
        <v>160003.18986348659</v>
      </c>
      <c r="AG1016" s="2" t="str">
        <f>IF($W1016=AG$3,$AB1016,IF(NOT($W1016=0),"",SUMIFS('Val-Vol (2)'!AG$4:AG$1116,'Val-Vol (2)'!$A$4:$A$1116,$D1016,'Val-Vol (2)'!$V$4:$V$1116,$V1016)/SUMIFS('Comp2016-2017 (3)'!$G$5:$G$289,'Comp2016-2017 (3)'!$A$5:$A$289,$D1016,'Comp2016-2017 (3)'!$R$5:$R$289,$V1016)*$AB1016))</f>
        <v/>
      </c>
      <c r="AH1016" s="2" t="str">
        <f>IF($W1016=AH$3,$AB1016,IF(NOT($W1016=0),"",SUMIFS('Val-Vol (2)'!AH$4:AH$1116,'Val-Vol (2)'!$A$4:$A$1116,$D1016,'Val-Vol (2)'!$V$4:$V$1116,$V1016)/SUMIFS('Comp2016-2017 (3)'!$G$5:$G$289,'Comp2016-2017 (3)'!$A$5:$A$289,$D1016,'Comp2016-2017 (3)'!$R$5:$R$289,$V1016)*$AB1016))</f>
        <v/>
      </c>
      <c r="AI1016" s="2" t="str">
        <f>IF($W1016=AI$3,$AB1016,IF(NOT($W1016=0),"",SUMIFS('Val-Vol (2)'!AI$4:AI$1116,'Val-Vol (2)'!$A$4:$A$1116,$D1016,'Val-Vol (2)'!$V$4:$V$1116,$V1016)/SUMIFS('Comp2016-2017 (3)'!$G$5:$G$289,'Comp2016-2017 (3)'!$A$5:$A$289,$D1016,'Comp2016-2017 (3)'!$R$5:$R$289,$V1016)*$AB1016))</f>
        <v/>
      </c>
      <c r="AJ1016" s="2" t="str">
        <f>IF($W1016=AJ$3,$AB1016,IF(NOT($W1016=0),"",SUMIFS('Val-Vol (2)'!AJ$4:AJ$1116,'Val-Vol (2)'!$A$4:$A$1116,$D1016,'Val-Vol (2)'!$V$4:$V$1116,$V1016)/SUMIFS('Comp2016-2017 (3)'!$G$5:$G$289,'Comp2016-2017 (3)'!$A$5:$A$289,$D1016,'Comp2016-2017 (3)'!$R$5:$R$289,$V1016)*$AB1016))</f>
        <v/>
      </c>
      <c r="AK1016" s="2">
        <f t="shared" si="121"/>
        <v>0</v>
      </c>
      <c r="AL1016" t="str">
        <f t="shared" si="113"/>
        <v/>
      </c>
      <c r="AM1016" t="str">
        <f>VLOOKUP(A1016,'Table corresp.'!$M$4:$U$63,8,FALSE)</f>
        <v>Production intermédiaire</v>
      </c>
      <c r="AN1016" t="str">
        <f>VLOOKUP(D1016,'Table corresp.'!$M$4:$U$63,9,FALSE)</f>
        <v>Production finale</v>
      </c>
    </row>
    <row r="1017" spans="1:40" x14ac:dyDescent="0.25">
      <c r="A1017" t="s">
        <v>96</v>
      </c>
      <c r="B1017" t="str">
        <f>VLOOKUP(LEFT(A1017,3),'Table corresp.'!$A$4:$D$63,3,FALSE)</f>
        <v>Transformation</v>
      </c>
      <c r="C1017" t="str">
        <f>VLOOKUP(A1017,'Table corresp.'!$M$4:$P$63,4,FALSE)</f>
        <v>Production et transformation de produits bois</v>
      </c>
      <c r="D1017" t="s">
        <v>54</v>
      </c>
      <c r="E1017" t="str">
        <f>VLOOKUP(LEFT(D1017,3),'Table corresp.'!$A$4:$D$63,4,FALSE)</f>
        <v>Consommation finale</v>
      </c>
      <c r="F1017" t="str">
        <f t="shared" si="122"/>
        <v>44  - Con</v>
      </c>
      <c r="G1017" s="164">
        <v>1172461.354445294</v>
      </c>
      <c r="H1017" s="164">
        <v>2376642.6586506735</v>
      </c>
      <c r="I1017" s="164">
        <v>3549104.0095838401</v>
      </c>
      <c r="J1017" s="164">
        <v>0</v>
      </c>
      <c r="K1017" s="164">
        <v>0</v>
      </c>
      <c r="L1017" s="164">
        <v>0</v>
      </c>
      <c r="M1017" s="164">
        <v>2032.5494364730137</v>
      </c>
      <c r="N1017" s="164">
        <v>2878.4487220774477</v>
      </c>
      <c r="O1017" s="164">
        <v>4910.9981585504611</v>
      </c>
      <c r="P1017" s="164">
        <v>0</v>
      </c>
      <c r="Q1017" s="164">
        <v>0</v>
      </c>
      <c r="R1017" s="164">
        <v>0</v>
      </c>
      <c r="S1017" s="163" t="str">
        <f t="shared" si="123"/>
        <v/>
      </c>
      <c r="T1017" s="163">
        <f>VLOOKUP(A1017,'Groupe de branches'!$Z$27:$AM$86,14,FALSE)</f>
        <v>0</v>
      </c>
      <c r="U1017" s="163">
        <f>VLOOKUP(D1017,'Groupe de branches'!$Z$27:$AM$86,14,FALSE)</f>
        <v>0</v>
      </c>
      <c r="V1017" s="163">
        <v>2018</v>
      </c>
      <c r="W1017" t="str">
        <f>VLOOKUP(D1017,'Table corresp.'!$M$4:$S$63,7,FALSE)</f>
        <v>Consommation finale</v>
      </c>
      <c r="X1017" s="167">
        <f>IFERROR(G1017/SUMIFS('Comp2016-2017 (3)'!$I$5:$I$289,'Comp2016-2017 (3)'!$A$5:$A$289,A1017,'Comp2016-2017 (3)'!$R$5:$R$289,V1017),0)</f>
        <v>0.20622471872171952</v>
      </c>
      <c r="Y1017" s="178">
        <f>IFERROR(IF(RIGHT(F1017,3)="Exp",VLOOKUP(F1017,#REF!,2,FALSE),VLOOKUP(F1017,#REF!,9,FALSE)),1)</f>
        <v>1</v>
      </c>
      <c r="Z1017" s="167">
        <f t="shared" si="124"/>
        <v>0.33333333333333331</v>
      </c>
      <c r="AA1017" s="189">
        <f t="shared" si="114"/>
        <v>6.874157290723984E-2</v>
      </c>
      <c r="AB1017" s="2">
        <f>IFERROR(SUMIFS('Comp2016-2017 (3)'!$G$5:$G$289,'Comp2016-2017 (3)'!$A$5:$A$289,A1017,'Comp2016-2017 (3)'!$R$5:$R$289,V1017)*AA1017/SUMIFS($AA$4:$AA$1116,$A$4:$A$1116,A1017,$V$4:$V$1116,V1017),0)</f>
        <v>279466.59838235978</v>
      </c>
      <c r="AC1017" s="2" t="str">
        <f>IF($W1017=AC$3,$AB1017,IF(NOT($W1017=0),"",SUMIFS('Val-Vol (2)'!AC$4:AC$1116,'Val-Vol (2)'!$A$4:$A$1116,$D1017,'Val-Vol (2)'!$V$4:$V$1116,$V1017)/SUMIFS('Comp2016-2017 (3)'!$G$5:$G$289,'Comp2016-2017 (3)'!$A$5:$A$289,$D1017,'Comp2016-2017 (3)'!$R$5:$R$289,$V1017)*$AB1017))</f>
        <v/>
      </c>
      <c r="AD1017" s="2" t="str">
        <f>IF($W1017=AD$3,$AB1017,IF(NOT($W1017=0),"",SUMIFS('Val-Vol (2)'!AD$4:AD$1116,'Val-Vol (2)'!$A$4:$A$1116,$D1017,'Val-Vol (2)'!$V$4:$V$1116,$V1017)/SUMIFS('Comp2016-2017 (3)'!$G$5:$G$289,'Comp2016-2017 (3)'!$A$5:$A$289,$D1017,'Comp2016-2017 (3)'!$R$5:$R$289,$V1017)*$AB1017))</f>
        <v/>
      </c>
      <c r="AE1017" s="2" t="str">
        <f>IF($W1017=AE$3,$AB1017,IF(NOT($W1017=0),"",SUMIFS('Val-Vol (2)'!AE$4:AE$1116,'Val-Vol (2)'!$A$4:$A$1116,$D1017,'Val-Vol (2)'!$V$4:$V$1116,$V1017)/SUMIFS('Comp2016-2017 (3)'!$G$5:$G$289,'Comp2016-2017 (3)'!$A$5:$A$289,$D1017,'Comp2016-2017 (3)'!$R$5:$R$289,$V1017)*$AB1017))</f>
        <v/>
      </c>
      <c r="AF1017" s="2" t="str">
        <f>IF($W1017=AF$3,$AB1017,IF(NOT($W1017=0),"",SUMIFS('Val-Vol (2)'!AF$4:AF$1116,'Val-Vol (2)'!$A$4:$A$1116,$D1017,'Val-Vol (2)'!$V$4:$V$1116,$V1017)/SUMIFS('Comp2016-2017 (3)'!$G$5:$G$289,'Comp2016-2017 (3)'!$A$5:$A$289,$D1017,'Comp2016-2017 (3)'!$R$5:$R$289,$V1017)*$AB1017))</f>
        <v/>
      </c>
      <c r="AG1017" s="2" t="str">
        <f>IF($W1017=AG$3,$AB1017,IF(NOT($W1017=0),"",SUMIFS('Val-Vol (2)'!AG$4:AG$1116,'Val-Vol (2)'!$A$4:$A$1116,$D1017,'Val-Vol (2)'!$V$4:$V$1116,$V1017)/SUMIFS('Comp2016-2017 (3)'!$G$5:$G$289,'Comp2016-2017 (3)'!$A$5:$A$289,$D1017,'Comp2016-2017 (3)'!$R$5:$R$289,$V1017)*$AB1017))</f>
        <v/>
      </c>
      <c r="AH1017" s="2" t="str">
        <f>IF($W1017=AH$3,$AB1017,IF(NOT($W1017=0),"",SUMIFS('Val-Vol (2)'!AH$4:AH$1116,'Val-Vol (2)'!$A$4:$A$1116,$D1017,'Val-Vol (2)'!$V$4:$V$1116,$V1017)/SUMIFS('Comp2016-2017 (3)'!$G$5:$G$289,'Comp2016-2017 (3)'!$A$5:$A$289,$D1017,'Comp2016-2017 (3)'!$R$5:$R$289,$V1017)*$AB1017))</f>
        <v/>
      </c>
      <c r="AI1017" s="2" t="str">
        <f>IF($W1017=AI$3,$AB1017,IF(NOT($W1017=0),"",SUMIFS('Val-Vol (2)'!AI$4:AI$1116,'Val-Vol (2)'!$A$4:$A$1116,$D1017,'Val-Vol (2)'!$V$4:$V$1116,$V1017)/SUMIFS('Comp2016-2017 (3)'!$G$5:$G$289,'Comp2016-2017 (3)'!$A$5:$A$289,$D1017,'Comp2016-2017 (3)'!$R$5:$R$289,$V1017)*$AB1017))</f>
        <v/>
      </c>
      <c r="AJ1017" s="2">
        <f>IF($W1017=AJ$3,$AB1017,IF(NOT($W1017=0),"",SUMIFS('Val-Vol (2)'!AJ$4:AJ$1116,'Val-Vol (2)'!$A$4:$A$1116,$D1017,'Val-Vol (2)'!$V$4:$V$1116,$V1017)/SUMIFS('Comp2016-2017 (3)'!$G$5:$G$289,'Comp2016-2017 (3)'!$A$5:$A$289,$D1017,'Comp2016-2017 (3)'!$R$5:$R$289,$V1017)*$AB1017))</f>
        <v>279466.59838235978</v>
      </c>
      <c r="AK1017" s="2">
        <f t="shared" si="121"/>
        <v>0</v>
      </c>
      <c r="AL1017" t="str">
        <f t="shared" si="113"/>
        <v/>
      </c>
      <c r="AM1017" t="str">
        <f>VLOOKUP(A1017,'Table corresp.'!$M$4:$U$63,8,FALSE)</f>
        <v>Production intermédiaire</v>
      </c>
      <c r="AN1017" t="str">
        <f>VLOOKUP(D1017,'Table corresp.'!$M$4:$U$63,9,FALSE)</f>
        <v>Consommation finale française</v>
      </c>
    </row>
    <row r="1018" spans="1:40" x14ac:dyDescent="0.25">
      <c r="A1018" t="s">
        <v>96</v>
      </c>
      <c r="B1018" t="str">
        <f>VLOOKUP(LEFT(A1018,3),'Table corresp.'!$A$4:$D$63,3,FALSE)</f>
        <v>Transformation</v>
      </c>
      <c r="C1018" t="str">
        <f>VLOOKUP(A1018,'Table corresp.'!$M$4:$P$63,4,FALSE)</f>
        <v>Production et transformation de produits bois</v>
      </c>
      <c r="D1018" t="s">
        <v>53</v>
      </c>
      <c r="E1018" t="str">
        <f>VLOOKUP(LEFT(D1018,3),'Table corresp.'!$A$4:$D$63,4,FALSE)</f>
        <v>Exportation</v>
      </c>
      <c r="F1018" t="str">
        <f t="shared" si="122"/>
        <v>44  - Exp</v>
      </c>
      <c r="G1018" s="164">
        <v>3841626.5982975941</v>
      </c>
      <c r="H1018" s="164">
        <v>0</v>
      </c>
      <c r="I1018" s="164">
        <v>3841626.6049999939</v>
      </c>
      <c r="J1018" s="164">
        <v>0</v>
      </c>
      <c r="K1018" s="164">
        <v>0</v>
      </c>
      <c r="L1018" s="164">
        <v>0</v>
      </c>
      <c r="M1018" s="164">
        <v>5169.8720272507735</v>
      </c>
      <c r="N1018" s="164">
        <v>0</v>
      </c>
      <c r="O1018" s="164">
        <v>5169.8720272507735</v>
      </c>
      <c r="P1018" s="164">
        <v>0</v>
      </c>
      <c r="Q1018" s="164">
        <v>0</v>
      </c>
      <c r="R1018" s="164">
        <v>0</v>
      </c>
      <c r="S1018" s="163" t="str">
        <f t="shared" si="123"/>
        <v/>
      </c>
      <c r="T1018" s="163">
        <f>VLOOKUP(A1018,'Groupe de branches'!$Z$27:$AM$86,14,FALSE)</f>
        <v>0</v>
      </c>
      <c r="U1018" s="163">
        <f>VLOOKUP(D1018,'Groupe de branches'!$Z$27:$AM$86,14,FALSE)</f>
        <v>0</v>
      </c>
      <c r="V1018" s="163">
        <v>2018</v>
      </c>
      <c r="W1018" t="str">
        <f>VLOOKUP(D1018,'Table corresp.'!$M$4:$S$63,7,FALSE)</f>
        <v>Exportation</v>
      </c>
      <c r="X1018" s="167">
        <f>IFERROR(G1018/SUMIFS('Comp2016-2017 (3)'!$I$5:$I$289,'Comp2016-2017 (3)'!$A$5:$A$289,A1018,'Comp2016-2017 (3)'!$R$5:$R$289,V1018),0)</f>
        <v>0.67570531144936141</v>
      </c>
      <c r="Y1018" s="178">
        <f>IFERROR(IF(RIGHT(F1018,3)="Exp",VLOOKUP(F1018,#REF!,2,FALSE),VLOOKUP(F1018,#REF!,9,FALSE)),1)</f>
        <v>1</v>
      </c>
      <c r="Z1018" s="167">
        <f t="shared" si="124"/>
        <v>0.33333333333333331</v>
      </c>
      <c r="AA1018" s="189">
        <f t="shared" si="114"/>
        <v>0.22523510381645379</v>
      </c>
      <c r="AB1018" s="2">
        <f>IFERROR(SUMIFS('Comp2016-2017 (3)'!$G$5:$G$289,'Comp2016-2017 (3)'!$A$5:$A$289,A1018,'Comp2016-2017 (3)'!$R$5:$R$289,V1018)*AA1018/SUMIFS($AA$4:$AA$1116,$A$4:$A$1116,A1018,$V$4:$V$1116,V1018),0)</f>
        <v>915685.88901538763</v>
      </c>
      <c r="AC1018" s="2">
        <f>IF($W1018=AC$3,$AB1018,IF(NOT($W1018=0),"",SUMIFS('Val-Vol (2)'!AC$4:AC$1116,'Val-Vol (2)'!$A$4:$A$1116,$D1018,'Val-Vol (2)'!$V$4:$V$1116,$V1018)/SUMIFS('Comp2016-2017 (3)'!$G$5:$G$289,'Comp2016-2017 (3)'!$A$5:$A$289,$D1018,'Comp2016-2017 (3)'!$R$5:$R$289,$V1018)*$AB1018))</f>
        <v>915685.88901538763</v>
      </c>
      <c r="AD1018" s="2" t="str">
        <f>IF($W1018=AD$3,$AB1018,IF(NOT($W1018=0),"",SUMIFS('Val-Vol (2)'!AD$4:AD$1116,'Val-Vol (2)'!$A$4:$A$1116,$D1018,'Val-Vol (2)'!$V$4:$V$1116,$V1018)/SUMIFS('Comp2016-2017 (3)'!$G$5:$G$289,'Comp2016-2017 (3)'!$A$5:$A$289,$D1018,'Comp2016-2017 (3)'!$R$5:$R$289,$V1018)*$AB1018))</f>
        <v/>
      </c>
      <c r="AE1018" s="2" t="str">
        <f>IF($W1018=AE$3,$AB1018,IF(NOT($W1018=0),"",SUMIFS('Val-Vol (2)'!AE$4:AE$1116,'Val-Vol (2)'!$A$4:$A$1116,$D1018,'Val-Vol (2)'!$V$4:$V$1116,$V1018)/SUMIFS('Comp2016-2017 (3)'!$G$5:$G$289,'Comp2016-2017 (3)'!$A$5:$A$289,$D1018,'Comp2016-2017 (3)'!$R$5:$R$289,$V1018)*$AB1018))</f>
        <v/>
      </c>
      <c r="AF1018" s="2" t="str">
        <f>IF($W1018=AF$3,$AB1018,IF(NOT($W1018=0),"",SUMIFS('Val-Vol (2)'!AF$4:AF$1116,'Val-Vol (2)'!$A$4:$A$1116,$D1018,'Val-Vol (2)'!$V$4:$V$1116,$V1018)/SUMIFS('Comp2016-2017 (3)'!$G$5:$G$289,'Comp2016-2017 (3)'!$A$5:$A$289,$D1018,'Comp2016-2017 (3)'!$R$5:$R$289,$V1018)*$AB1018))</f>
        <v/>
      </c>
      <c r="AG1018" s="2" t="str">
        <f>IF($W1018=AG$3,$AB1018,IF(NOT($W1018=0),"",SUMIFS('Val-Vol (2)'!AG$4:AG$1116,'Val-Vol (2)'!$A$4:$A$1116,$D1018,'Val-Vol (2)'!$V$4:$V$1116,$V1018)/SUMIFS('Comp2016-2017 (3)'!$G$5:$G$289,'Comp2016-2017 (3)'!$A$5:$A$289,$D1018,'Comp2016-2017 (3)'!$R$5:$R$289,$V1018)*$AB1018))</f>
        <v/>
      </c>
      <c r="AH1018" s="2" t="str">
        <f>IF($W1018=AH$3,$AB1018,IF(NOT($W1018=0),"",SUMIFS('Val-Vol (2)'!AH$4:AH$1116,'Val-Vol (2)'!$A$4:$A$1116,$D1018,'Val-Vol (2)'!$V$4:$V$1116,$V1018)/SUMIFS('Comp2016-2017 (3)'!$G$5:$G$289,'Comp2016-2017 (3)'!$A$5:$A$289,$D1018,'Comp2016-2017 (3)'!$R$5:$R$289,$V1018)*$AB1018))</f>
        <v/>
      </c>
      <c r="AI1018" s="2" t="str">
        <f>IF($W1018=AI$3,$AB1018,IF(NOT($W1018=0),"",SUMIFS('Val-Vol (2)'!AI$4:AI$1116,'Val-Vol (2)'!$A$4:$A$1116,$D1018,'Val-Vol (2)'!$V$4:$V$1116,$V1018)/SUMIFS('Comp2016-2017 (3)'!$G$5:$G$289,'Comp2016-2017 (3)'!$A$5:$A$289,$D1018,'Comp2016-2017 (3)'!$R$5:$R$289,$V1018)*$AB1018))</f>
        <v/>
      </c>
      <c r="AJ1018" s="2" t="str">
        <f>IF($W1018=AJ$3,$AB1018,IF(NOT($W1018=0),"",SUMIFS('Val-Vol (2)'!AJ$4:AJ$1116,'Val-Vol (2)'!$A$4:$A$1116,$D1018,'Val-Vol (2)'!$V$4:$V$1116,$V1018)/SUMIFS('Comp2016-2017 (3)'!$G$5:$G$289,'Comp2016-2017 (3)'!$A$5:$A$289,$D1018,'Comp2016-2017 (3)'!$R$5:$R$289,$V1018)*$AB1018))</f>
        <v/>
      </c>
      <c r="AK1018" s="2">
        <f t="shared" si="121"/>
        <v>0</v>
      </c>
      <c r="AL1018" t="str">
        <f t="shared" si="113"/>
        <v/>
      </c>
      <c r="AM1018" t="str">
        <f>VLOOKUP(A1018,'Table corresp.'!$M$4:$U$63,8,FALSE)</f>
        <v>Production intermédiaire</v>
      </c>
      <c r="AN1018" t="str">
        <f>VLOOKUP(D1018,'Table corresp.'!$M$4:$U$63,9,FALSE)</f>
        <v>Exportation</v>
      </c>
    </row>
    <row r="1019" spans="1:40" x14ac:dyDescent="0.25">
      <c r="A1019" t="s">
        <v>97</v>
      </c>
      <c r="B1019" t="str">
        <f>VLOOKUP(LEFT(A1019,3),'Table corresp.'!$A$4:$D$63,3,FALSE)</f>
        <v>Transformation</v>
      </c>
      <c r="C1019" t="str">
        <f>VLOOKUP(A1019,'Table corresp.'!$M$4:$P$63,4,FALSE)</f>
        <v>Production et transformation de produits bois</v>
      </c>
      <c r="D1019" t="s">
        <v>97</v>
      </c>
      <c r="E1019" t="str">
        <f>VLOOKUP(LEFT(D1019,3),'Table corresp.'!$A$4:$D$63,4,FALSE)</f>
        <v>Transformation</v>
      </c>
      <c r="F1019" t="str">
        <f t="shared" si="122"/>
        <v xml:space="preserve">45  - 45 </v>
      </c>
      <c r="G1019" s="164">
        <v>392010.22752584034</v>
      </c>
      <c r="H1019" s="164">
        <v>606123.93520615029</v>
      </c>
      <c r="I1019" s="164">
        <v>998134.16273199068</v>
      </c>
      <c r="J1019" s="164">
        <v>0</v>
      </c>
      <c r="K1019" s="164">
        <v>0</v>
      </c>
      <c r="L1019" s="164">
        <v>0</v>
      </c>
      <c r="M1019" s="164">
        <v>0</v>
      </c>
      <c r="N1019" s="164">
        <v>0</v>
      </c>
      <c r="O1019" s="164">
        <v>0</v>
      </c>
      <c r="P1019" s="164">
        <v>0</v>
      </c>
      <c r="Q1019" s="164">
        <v>0</v>
      </c>
      <c r="R1019" s="164">
        <v>0</v>
      </c>
      <c r="S1019" s="163" t="str">
        <f t="shared" si="123"/>
        <v/>
      </c>
      <c r="T1019" s="163">
        <f>VLOOKUP(A1019,'Groupe de branches'!$Z$27:$AM$86,14,FALSE)</f>
        <v>0</v>
      </c>
      <c r="U1019" s="163">
        <f>VLOOKUP(D1019,'Groupe de branches'!$Z$27:$AM$86,14,FALSE)</f>
        <v>0</v>
      </c>
      <c r="V1019" s="163">
        <v>2018</v>
      </c>
      <c r="W1019" t="str">
        <f>VLOOKUP(D1019,'Table corresp.'!$M$4:$S$63,7,FALSE)</f>
        <v>Pate &amp; papier &amp; carton</v>
      </c>
      <c r="X1019" s="167">
        <f>IFERROR(G1019/SUMIFS('Comp2016-2017 (3)'!$I$5:$I$289,'Comp2016-2017 (3)'!$A$5:$A$289,A1019,'Comp2016-2017 (3)'!$R$5:$R$289,V1019),0)</f>
        <v>4.0827887503132598E-2</v>
      </c>
      <c r="Y1019" s="178">
        <f>IFERROR(IF(RIGHT(F1019,3)="Exp",VLOOKUP(F1019,#REF!,2,FALSE),VLOOKUP(F1019,#REF!,9,FALSE)),1)</f>
        <v>1</v>
      </c>
      <c r="Z1019" s="167">
        <f t="shared" si="124"/>
        <v>0.33333333333333331</v>
      </c>
      <c r="AA1019" s="189">
        <f t="shared" si="114"/>
        <v>1.3609295834377533E-2</v>
      </c>
      <c r="AB1019" s="2">
        <f>IFERROR(SUMIFS('Comp2016-2017 (3)'!$G$5:$G$289,'Comp2016-2017 (3)'!$A$5:$A$289,A1019,'Comp2016-2017 (3)'!$R$5:$R$289,V1019)*AA1019/SUMIFS($AA$4:$AA$1116,$A$4:$A$1116,A1019,$V$4:$V$1116,V1019),0)</f>
        <v>116971.07204613644</v>
      </c>
      <c r="AF1019" s="198">
        <f>AB1019</f>
        <v>116971.07204613644</v>
      </c>
      <c r="AK1019" s="2">
        <f t="shared" ref="AK1019:AK1020" si="125">SUM(AC1019:AJ1019)-AB1019</f>
        <v>0</v>
      </c>
      <c r="AL1019" s="231" t="str">
        <f t="shared" si="113"/>
        <v>remplir à la main</v>
      </c>
      <c r="AM1019" t="str">
        <f>VLOOKUP(A1019,'Table corresp.'!$M$4:$U$63,8,FALSE)</f>
        <v>Production finale</v>
      </c>
      <c r="AN1019" t="str">
        <f>VLOOKUP(D1019,'Table corresp.'!$M$4:$U$63,9,FALSE)</f>
        <v>Production finale</v>
      </c>
    </row>
    <row r="1020" spans="1:40" x14ac:dyDescent="0.25">
      <c r="A1020" t="s">
        <v>97</v>
      </c>
      <c r="B1020" t="str">
        <f>VLOOKUP(LEFT(A1020,3),'Table corresp.'!$A$4:$D$63,3,FALSE)</f>
        <v>Transformation</v>
      </c>
      <c r="C1020" t="str">
        <f>VLOOKUP(A1020,'Table corresp.'!$M$4:$P$63,4,FALSE)</f>
        <v>Production et transformation de produits bois</v>
      </c>
      <c r="D1020" t="s">
        <v>54</v>
      </c>
      <c r="E1020" t="str">
        <f>VLOOKUP(LEFT(D1020,3),'Table corresp.'!$A$4:$D$63,4,FALSE)</f>
        <v>Consommation finale</v>
      </c>
      <c r="F1020" t="str">
        <f t="shared" si="122"/>
        <v>45  - Con</v>
      </c>
      <c r="G1020" s="164">
        <v>7087943.8764741654</v>
      </c>
      <c r="H1020" s="164">
        <v>3193421.6047938531</v>
      </c>
      <c r="I1020" s="164">
        <v>10281365.481268018</v>
      </c>
      <c r="J1020" s="164">
        <v>0</v>
      </c>
      <c r="K1020" s="164">
        <v>0</v>
      </c>
      <c r="L1020" s="164">
        <v>0</v>
      </c>
      <c r="M1020" s="164">
        <v>2690.3409311829046</v>
      </c>
      <c r="N1020" s="164">
        <v>1504.4929084054515</v>
      </c>
      <c r="O1020" s="164">
        <v>4194.8338395883566</v>
      </c>
      <c r="P1020" s="164">
        <v>0</v>
      </c>
      <c r="Q1020" s="164">
        <v>0</v>
      </c>
      <c r="R1020" s="164">
        <v>0</v>
      </c>
      <c r="S1020" s="163" t="str">
        <f t="shared" si="123"/>
        <v/>
      </c>
      <c r="T1020" s="163">
        <f>VLOOKUP(A1020,'Groupe de branches'!$Z$27:$AM$86,14,FALSE)</f>
        <v>0</v>
      </c>
      <c r="U1020" s="163">
        <f>VLOOKUP(D1020,'Groupe de branches'!$Z$27:$AM$86,14,FALSE)</f>
        <v>0</v>
      </c>
      <c r="V1020" s="163">
        <v>2018</v>
      </c>
      <c r="W1020" t="str">
        <f>VLOOKUP(D1020,'Table corresp.'!$M$4:$S$63,7,FALSE)</f>
        <v>Consommation finale</v>
      </c>
      <c r="X1020" s="167">
        <f>IFERROR(G1020/SUMIFS('Comp2016-2017 (3)'!$I$5:$I$289,'Comp2016-2017 (3)'!$A$5:$A$289,A1020,'Comp2016-2017 (3)'!$R$5:$R$289,V1020),0)</f>
        <v>0.73820975805568545</v>
      </c>
      <c r="Y1020" s="178">
        <f>IFERROR(IF(RIGHT(F1020,3)="Exp",VLOOKUP(F1020,#REF!,2,FALSE),VLOOKUP(F1020,#REF!,9,FALSE)),1)</f>
        <v>1</v>
      </c>
      <c r="Z1020" s="167">
        <f t="shared" si="124"/>
        <v>0.33333333333333331</v>
      </c>
      <c r="AA1020" s="189">
        <f t="shared" si="114"/>
        <v>0.24606991935189515</v>
      </c>
      <c r="AB1020" s="2">
        <f>IFERROR(SUMIFS('Comp2016-2017 (3)'!$G$5:$G$289,'Comp2016-2017 (3)'!$A$5:$A$289,A1020,'Comp2016-2017 (3)'!$R$5:$R$289,V1020)*AA1020/SUMIFS($AA$4:$AA$1116,$A$4:$A$1116,A1020,$V$4:$V$1116,V1020),0)</f>
        <v>2114956.0282311258</v>
      </c>
      <c r="AC1020" s="2" t="str">
        <f>IF($W1020=AC$3,$AB1020,IF(NOT($W1020=0),"",SUMIFS('Val-Vol (2)'!AC$4:AC$1116,'Val-Vol (2)'!$A$4:$A$1116,$D1020,'Val-Vol (2)'!$V$4:$V$1116,$V1020)/SUMIFS('Comp2016-2017 (3)'!$G$5:$G$289,'Comp2016-2017 (3)'!$A$5:$A$289,$D1020,'Comp2016-2017 (3)'!$R$5:$R$289,$V1020)*$AB1020))</f>
        <v/>
      </c>
      <c r="AD1020" s="2" t="str">
        <f>IF($W1020=AD$3,$AB1020,IF(NOT($W1020=0),"",SUMIFS('Val-Vol (2)'!AD$4:AD$1116,'Val-Vol (2)'!$A$4:$A$1116,$D1020,'Val-Vol (2)'!$V$4:$V$1116,$V1020)/SUMIFS('Comp2016-2017 (3)'!$G$5:$G$289,'Comp2016-2017 (3)'!$A$5:$A$289,$D1020,'Comp2016-2017 (3)'!$R$5:$R$289,$V1020)*$AB1020))</f>
        <v/>
      </c>
      <c r="AE1020" s="2" t="str">
        <f>IF($W1020=AE$3,$AB1020,IF(NOT($W1020=0),"",SUMIFS('Val-Vol (2)'!AE$4:AE$1116,'Val-Vol (2)'!$A$4:$A$1116,$D1020,'Val-Vol (2)'!$V$4:$V$1116,$V1020)/SUMIFS('Comp2016-2017 (3)'!$G$5:$G$289,'Comp2016-2017 (3)'!$A$5:$A$289,$D1020,'Comp2016-2017 (3)'!$R$5:$R$289,$V1020)*$AB1020))</f>
        <v/>
      </c>
      <c r="AF1020" s="2" t="str">
        <f>IF($W1020=AF$3,$AB1020,IF(NOT($W1020=0),"",SUMIFS('Val-Vol (2)'!AF$4:AF$1116,'Val-Vol (2)'!$A$4:$A$1116,$D1020,'Val-Vol (2)'!$V$4:$V$1116,$V1020)/SUMIFS('Comp2016-2017 (3)'!$G$5:$G$289,'Comp2016-2017 (3)'!$A$5:$A$289,$D1020,'Comp2016-2017 (3)'!$R$5:$R$289,$V1020)*$AB1020))</f>
        <v/>
      </c>
      <c r="AG1020" s="2" t="str">
        <f>IF($W1020=AG$3,$AB1020,IF(NOT($W1020=0),"",SUMIFS('Val-Vol (2)'!AG$4:AG$1116,'Val-Vol (2)'!$A$4:$A$1116,$D1020,'Val-Vol (2)'!$V$4:$V$1116,$V1020)/SUMIFS('Comp2016-2017 (3)'!$G$5:$G$289,'Comp2016-2017 (3)'!$A$5:$A$289,$D1020,'Comp2016-2017 (3)'!$R$5:$R$289,$V1020)*$AB1020))</f>
        <v/>
      </c>
      <c r="AH1020" s="2" t="str">
        <f>IF($W1020=AH$3,$AB1020,IF(NOT($W1020=0),"",SUMIFS('Val-Vol (2)'!AH$4:AH$1116,'Val-Vol (2)'!$A$4:$A$1116,$D1020,'Val-Vol (2)'!$V$4:$V$1116,$V1020)/SUMIFS('Comp2016-2017 (3)'!$G$5:$G$289,'Comp2016-2017 (3)'!$A$5:$A$289,$D1020,'Comp2016-2017 (3)'!$R$5:$R$289,$V1020)*$AB1020))</f>
        <v/>
      </c>
      <c r="AI1020" s="2" t="str">
        <f>IF($W1020=AI$3,$AB1020,IF(NOT($W1020=0),"",SUMIFS('Val-Vol (2)'!AI$4:AI$1116,'Val-Vol (2)'!$A$4:$A$1116,$D1020,'Val-Vol (2)'!$V$4:$V$1116,$V1020)/SUMIFS('Comp2016-2017 (3)'!$G$5:$G$289,'Comp2016-2017 (3)'!$A$5:$A$289,$D1020,'Comp2016-2017 (3)'!$R$5:$R$289,$V1020)*$AB1020))</f>
        <v/>
      </c>
      <c r="AJ1020" s="2">
        <f>IF($W1020=AJ$3,$AB1020,IF(NOT($W1020=0),"",SUMIFS('Val-Vol (2)'!AJ$4:AJ$1116,'Val-Vol (2)'!$A$4:$A$1116,$D1020,'Val-Vol (2)'!$V$4:$V$1116,$V1020)/SUMIFS('Comp2016-2017 (3)'!$G$5:$G$289,'Comp2016-2017 (3)'!$A$5:$A$289,$D1020,'Comp2016-2017 (3)'!$R$5:$R$289,$V1020)*$AB1020))</f>
        <v>2114956.0282311258</v>
      </c>
      <c r="AK1020" s="2">
        <f t="shared" si="125"/>
        <v>0</v>
      </c>
      <c r="AL1020" t="str">
        <f t="shared" si="113"/>
        <v/>
      </c>
      <c r="AM1020" t="str">
        <f>VLOOKUP(A1020,'Table corresp.'!$M$4:$U$63,8,FALSE)</f>
        <v>Production finale</v>
      </c>
      <c r="AN1020" t="str">
        <f>VLOOKUP(D1020,'Table corresp.'!$M$4:$U$63,9,FALSE)</f>
        <v>Consommation finale française</v>
      </c>
    </row>
    <row r="1021" spans="1:40" x14ac:dyDescent="0.25">
      <c r="A1021" t="s">
        <v>97</v>
      </c>
      <c r="B1021" t="str">
        <f>VLOOKUP(LEFT(A1021,3),'Table corresp.'!$A$4:$D$63,3,FALSE)</f>
        <v>Transformation</v>
      </c>
      <c r="C1021" t="str">
        <f>VLOOKUP(A1021,'Table corresp.'!$M$4:$P$63,4,FALSE)</f>
        <v>Production et transformation de produits bois</v>
      </c>
      <c r="D1021" t="s">
        <v>53</v>
      </c>
      <c r="E1021" t="str">
        <f>VLOOKUP(LEFT(D1021,3),'Table corresp.'!$A$4:$D$63,4,FALSE)</f>
        <v>Exportation</v>
      </c>
      <c r="F1021" t="str">
        <f t="shared" si="122"/>
        <v>45  - Exp</v>
      </c>
      <c r="G1021" s="164">
        <v>2121576.8959999941</v>
      </c>
      <c r="H1021" s="164">
        <v>0</v>
      </c>
      <c r="I1021" s="164">
        <v>2121576.8959999941</v>
      </c>
      <c r="J1021" s="164">
        <v>0</v>
      </c>
      <c r="K1021" s="164">
        <v>0</v>
      </c>
      <c r="L1021" s="164">
        <v>0</v>
      </c>
      <c r="M1021" s="164">
        <v>732.21345960304075</v>
      </c>
      <c r="N1021" s="164">
        <v>0</v>
      </c>
      <c r="O1021" s="164">
        <v>732.21345960304075</v>
      </c>
      <c r="P1021" s="164">
        <v>0</v>
      </c>
      <c r="Q1021" s="164">
        <v>0</v>
      </c>
      <c r="R1021" s="164">
        <v>0</v>
      </c>
      <c r="S1021" s="163" t="str">
        <f t="shared" si="123"/>
        <v/>
      </c>
      <c r="T1021" s="163">
        <f>VLOOKUP(A1021,'Groupe de branches'!$Z$27:$AM$86,14,FALSE)</f>
        <v>0</v>
      </c>
      <c r="U1021" s="163">
        <f>VLOOKUP(D1021,'Groupe de branches'!$Z$27:$AM$86,14,FALSE)</f>
        <v>0</v>
      </c>
      <c r="V1021" s="163">
        <v>2018</v>
      </c>
      <c r="W1021" t="str">
        <f>VLOOKUP(D1021,'Table corresp.'!$M$4:$S$63,7,FALSE)</f>
        <v>Exportation</v>
      </c>
      <c r="X1021" s="167">
        <f>IFERROR(G1021/SUMIFS('Comp2016-2017 (3)'!$I$5:$I$289,'Comp2016-2017 (3)'!$A$5:$A$289,A1021,'Comp2016-2017 (3)'!$R$5:$R$289,V1021),0)</f>
        <v>0.2209623544411817</v>
      </c>
      <c r="Y1021" s="178">
        <f>IFERROR(IF(RIGHT(F1021,3)="Exp",VLOOKUP(F1021,#REF!,2,FALSE),VLOOKUP(F1021,#REF!,9,FALSE)),1)</f>
        <v>1</v>
      </c>
      <c r="Z1021" s="167">
        <f t="shared" si="124"/>
        <v>0.33333333333333331</v>
      </c>
      <c r="AA1021" s="189">
        <f t="shared" si="114"/>
        <v>7.3654118147060563E-2</v>
      </c>
      <c r="AB1021" s="2">
        <f>IFERROR(SUMIFS('Comp2016-2017 (3)'!$G$5:$G$289,'Comp2016-2017 (3)'!$A$5:$A$289,A1021,'Comp2016-2017 (3)'!$R$5:$R$289,V1021)*AA1021/SUMIFS($AA$4:$AA$1116,$A$4:$A$1116,A1021,$V$4:$V$1116,V1021),0)</f>
        <v>633052.67701740144</v>
      </c>
      <c r="AC1021" s="2">
        <f>IF($W1021=AC$3,$AB1021,IF(NOT($W1021=0),"",SUMIFS('Val-Vol (2)'!AC$4:AC$1116,'Val-Vol (2)'!$A$4:$A$1116,$D1021,'Val-Vol (2)'!$V$4:$V$1116,$V1021)/SUMIFS('Comp2016-2017 (3)'!$G$5:$G$289,'Comp2016-2017 (3)'!$A$5:$A$289,$D1021,'Comp2016-2017 (3)'!$R$5:$R$289,$V1021)*$AB1021))</f>
        <v>633052.67701740144</v>
      </c>
      <c r="AD1021" s="2" t="str">
        <f>IF($W1021=AD$3,$AB1021,IF(NOT($W1021=0),"",SUMIFS('Val-Vol (2)'!AD$4:AD$1116,'Val-Vol (2)'!$A$4:$A$1116,$D1021,'Val-Vol (2)'!$V$4:$V$1116,$V1021)/SUMIFS('Comp2016-2017 (3)'!$G$5:$G$289,'Comp2016-2017 (3)'!$A$5:$A$289,$D1021,'Comp2016-2017 (3)'!$R$5:$R$289,$V1021)*$AB1021))</f>
        <v/>
      </c>
      <c r="AE1021" s="2" t="str">
        <f>IF($W1021=AE$3,$AB1021,IF(NOT($W1021=0),"",SUMIFS('Val-Vol (2)'!AE$4:AE$1116,'Val-Vol (2)'!$A$4:$A$1116,$D1021,'Val-Vol (2)'!$V$4:$V$1116,$V1021)/SUMIFS('Comp2016-2017 (3)'!$G$5:$G$289,'Comp2016-2017 (3)'!$A$5:$A$289,$D1021,'Comp2016-2017 (3)'!$R$5:$R$289,$V1021)*$AB1021))</f>
        <v/>
      </c>
      <c r="AF1021" s="2" t="str">
        <f>IF($W1021=AF$3,$AB1021,IF(NOT($W1021=0),"",SUMIFS('Val-Vol (2)'!AF$4:AF$1116,'Val-Vol (2)'!$A$4:$A$1116,$D1021,'Val-Vol (2)'!$V$4:$V$1116,$V1021)/SUMIFS('Comp2016-2017 (3)'!$G$5:$G$289,'Comp2016-2017 (3)'!$A$5:$A$289,$D1021,'Comp2016-2017 (3)'!$R$5:$R$289,$V1021)*$AB1021))</f>
        <v/>
      </c>
      <c r="AG1021" s="2" t="str">
        <f>IF($W1021=AG$3,$AB1021,IF(NOT($W1021=0),"",SUMIFS('Val-Vol (2)'!AG$4:AG$1116,'Val-Vol (2)'!$A$4:$A$1116,$D1021,'Val-Vol (2)'!$V$4:$V$1116,$V1021)/SUMIFS('Comp2016-2017 (3)'!$G$5:$G$289,'Comp2016-2017 (3)'!$A$5:$A$289,$D1021,'Comp2016-2017 (3)'!$R$5:$R$289,$V1021)*$AB1021))</f>
        <v/>
      </c>
      <c r="AH1021" s="2" t="str">
        <f>IF($W1021=AH$3,$AB1021,IF(NOT($W1021=0),"",SUMIFS('Val-Vol (2)'!AH$4:AH$1116,'Val-Vol (2)'!$A$4:$A$1116,$D1021,'Val-Vol (2)'!$V$4:$V$1116,$V1021)/SUMIFS('Comp2016-2017 (3)'!$G$5:$G$289,'Comp2016-2017 (3)'!$A$5:$A$289,$D1021,'Comp2016-2017 (3)'!$R$5:$R$289,$V1021)*$AB1021))</f>
        <v/>
      </c>
      <c r="AI1021" s="2" t="str">
        <f>IF($W1021=AI$3,$AB1021,IF(NOT($W1021=0),"",SUMIFS('Val-Vol (2)'!AI$4:AI$1116,'Val-Vol (2)'!$A$4:$A$1116,$D1021,'Val-Vol (2)'!$V$4:$V$1116,$V1021)/SUMIFS('Comp2016-2017 (3)'!$G$5:$G$289,'Comp2016-2017 (3)'!$A$5:$A$289,$D1021,'Comp2016-2017 (3)'!$R$5:$R$289,$V1021)*$AB1021))</f>
        <v/>
      </c>
      <c r="AJ1021" s="2" t="str">
        <f>IF($W1021=AJ$3,$AB1021,IF(NOT($W1021=0),"",SUMIFS('Val-Vol (2)'!AJ$4:AJ$1116,'Val-Vol (2)'!$A$4:$A$1116,$D1021,'Val-Vol (2)'!$V$4:$V$1116,$V1021)/SUMIFS('Comp2016-2017 (3)'!$G$5:$G$289,'Comp2016-2017 (3)'!$A$5:$A$289,$D1021,'Comp2016-2017 (3)'!$R$5:$R$289,$V1021)*$AB1021))</f>
        <v/>
      </c>
      <c r="AK1021" s="2">
        <f t="shared" ref="AK1021:AK1031" si="126">SUM(AC1021:AJ1021)-AB1021</f>
        <v>0</v>
      </c>
      <c r="AL1021" t="str">
        <f t="shared" si="113"/>
        <v/>
      </c>
      <c r="AM1021" t="str">
        <f>VLOOKUP(A1021,'Table corresp.'!$M$4:$U$63,8,FALSE)</f>
        <v>Production finale</v>
      </c>
      <c r="AN1021" t="str">
        <f>VLOOKUP(D1021,'Table corresp.'!$M$4:$U$63,9,FALSE)</f>
        <v>Exportation</v>
      </c>
    </row>
    <row r="1022" spans="1:40" x14ac:dyDescent="0.25">
      <c r="A1022" t="s">
        <v>98</v>
      </c>
      <c r="B1022" t="str">
        <f>VLOOKUP(LEFT(A1022,3),'Table corresp.'!$A$4:$D$63,3,FALSE)</f>
        <v>Transformation</v>
      </c>
      <c r="C1022" t="str">
        <f>VLOOKUP(A1022,'Table corresp.'!$M$4:$P$63,4,FALSE)</f>
        <v>Production et transformation de produits bois</v>
      </c>
      <c r="D1022" t="s">
        <v>54</v>
      </c>
      <c r="E1022" t="str">
        <f>VLOOKUP(LEFT(D1022,3),'Table corresp.'!$A$4:$D$63,4,FALSE)</f>
        <v>Consommation finale</v>
      </c>
      <c r="F1022" t="str">
        <f t="shared" si="122"/>
        <v>46  - Con</v>
      </c>
      <c r="G1022" s="164">
        <v>185553.63321799305</v>
      </c>
      <c r="H1022" s="164">
        <v>27833.044982698957</v>
      </c>
      <c r="I1022" s="164">
        <v>213386.678200692</v>
      </c>
      <c r="J1022" s="164">
        <v>0</v>
      </c>
      <c r="K1022" s="164">
        <v>0</v>
      </c>
      <c r="L1022" s="164">
        <v>0</v>
      </c>
      <c r="M1022" s="164">
        <v>519.85789189552884</v>
      </c>
      <c r="N1022" s="164">
        <v>77.978682317496208</v>
      </c>
      <c r="O1022" s="164">
        <v>597.83657421302507</v>
      </c>
      <c r="P1022" s="164">
        <v>0</v>
      </c>
      <c r="Q1022" s="164">
        <v>0</v>
      </c>
      <c r="R1022" s="164">
        <v>0</v>
      </c>
      <c r="S1022" s="163" t="str">
        <f t="shared" si="123"/>
        <v/>
      </c>
      <c r="T1022" s="163">
        <f>VLOOKUP(A1022,'Groupe de branches'!$Z$27:$AM$86,14,FALSE)</f>
        <v>0</v>
      </c>
      <c r="U1022" s="163">
        <f>VLOOKUP(D1022,'Groupe de branches'!$Z$27:$AM$86,14,FALSE)</f>
        <v>0</v>
      </c>
      <c r="V1022" s="163">
        <v>2018</v>
      </c>
      <c r="W1022" t="str">
        <f>VLOOKUP(D1022,'Table corresp.'!$M$4:$S$63,7,FALSE)</f>
        <v>Consommation finale</v>
      </c>
      <c r="X1022" s="167">
        <f>IFERROR(G1022/SUMIFS('Comp2016-2017 (3)'!$I$5:$I$289,'Comp2016-2017 (3)'!$A$5:$A$289,A1022,'Comp2016-2017 (3)'!$R$5:$R$289,V1022),0)</f>
        <v>0.99999998118930666</v>
      </c>
      <c r="Y1022" s="178">
        <f>IFERROR(IF(RIGHT(F1022,3)="Exp",VLOOKUP(F1022,#REF!,2,FALSE),VLOOKUP(F1022,#REF!,9,FALSE)),1)</f>
        <v>1</v>
      </c>
      <c r="Z1022" s="167">
        <f t="shared" si="124"/>
        <v>1</v>
      </c>
      <c r="AA1022" s="189">
        <f t="shared" si="114"/>
        <v>0.99999998118930666</v>
      </c>
      <c r="AB1022" s="2">
        <f>IFERROR(SUMIFS('Comp2016-2017 (3)'!$G$5:$G$289,'Comp2016-2017 (3)'!$A$5:$A$289,A1022,'Comp2016-2017 (3)'!$R$5:$R$289,V1022)*AA1022/SUMIFS($AA$4:$AA$1116,$A$4:$A$1116,A1022,$V$4:$V$1116,V1022),0)</f>
        <v>65816.317685804024</v>
      </c>
      <c r="AC1022" s="2" t="str">
        <f>IF($W1022=AC$3,$AB1022,IF(NOT($W1022=0),"",SUMIFS('Val-Vol (2)'!AC$4:AC$1116,'Val-Vol (2)'!$A$4:$A$1116,$D1022,'Val-Vol (2)'!$V$4:$V$1116,$V1022)/SUMIFS('Comp2016-2017 (3)'!$G$5:$G$289,'Comp2016-2017 (3)'!$A$5:$A$289,$D1022,'Comp2016-2017 (3)'!$R$5:$R$289,$V1022)*$AB1022))</f>
        <v/>
      </c>
      <c r="AD1022" s="2" t="str">
        <f>IF($W1022=AD$3,$AB1022,IF(NOT($W1022=0),"",SUMIFS('Val-Vol (2)'!AD$4:AD$1116,'Val-Vol (2)'!$A$4:$A$1116,$D1022,'Val-Vol (2)'!$V$4:$V$1116,$V1022)/SUMIFS('Comp2016-2017 (3)'!$G$5:$G$289,'Comp2016-2017 (3)'!$A$5:$A$289,$D1022,'Comp2016-2017 (3)'!$R$5:$R$289,$V1022)*$AB1022))</f>
        <v/>
      </c>
      <c r="AE1022" s="2" t="str">
        <f>IF($W1022=AE$3,$AB1022,IF(NOT($W1022=0),"",SUMIFS('Val-Vol (2)'!AE$4:AE$1116,'Val-Vol (2)'!$A$4:$A$1116,$D1022,'Val-Vol (2)'!$V$4:$V$1116,$V1022)/SUMIFS('Comp2016-2017 (3)'!$G$5:$G$289,'Comp2016-2017 (3)'!$A$5:$A$289,$D1022,'Comp2016-2017 (3)'!$R$5:$R$289,$V1022)*$AB1022))</f>
        <v/>
      </c>
      <c r="AF1022" s="2" t="str">
        <f>IF($W1022=AF$3,$AB1022,IF(NOT($W1022=0),"",SUMIFS('Val-Vol (2)'!AF$4:AF$1116,'Val-Vol (2)'!$A$4:$A$1116,$D1022,'Val-Vol (2)'!$V$4:$V$1116,$V1022)/SUMIFS('Comp2016-2017 (3)'!$G$5:$G$289,'Comp2016-2017 (3)'!$A$5:$A$289,$D1022,'Comp2016-2017 (3)'!$R$5:$R$289,$V1022)*$AB1022))</f>
        <v/>
      </c>
      <c r="AG1022" s="2" t="str">
        <f>IF($W1022=AG$3,$AB1022,IF(NOT($W1022=0),"",SUMIFS('Val-Vol (2)'!AG$4:AG$1116,'Val-Vol (2)'!$A$4:$A$1116,$D1022,'Val-Vol (2)'!$V$4:$V$1116,$V1022)/SUMIFS('Comp2016-2017 (3)'!$G$5:$G$289,'Comp2016-2017 (3)'!$A$5:$A$289,$D1022,'Comp2016-2017 (3)'!$R$5:$R$289,$V1022)*$AB1022))</f>
        <v/>
      </c>
      <c r="AH1022" s="2" t="str">
        <f>IF($W1022=AH$3,$AB1022,IF(NOT($W1022=0),"",SUMIFS('Val-Vol (2)'!AH$4:AH$1116,'Val-Vol (2)'!$A$4:$A$1116,$D1022,'Val-Vol (2)'!$V$4:$V$1116,$V1022)/SUMIFS('Comp2016-2017 (3)'!$G$5:$G$289,'Comp2016-2017 (3)'!$A$5:$A$289,$D1022,'Comp2016-2017 (3)'!$R$5:$R$289,$V1022)*$AB1022))</f>
        <v/>
      </c>
      <c r="AI1022" s="2" t="str">
        <f>IF($W1022=AI$3,$AB1022,IF(NOT($W1022=0),"",SUMIFS('Val-Vol (2)'!AI$4:AI$1116,'Val-Vol (2)'!$A$4:$A$1116,$D1022,'Val-Vol (2)'!$V$4:$V$1116,$V1022)/SUMIFS('Comp2016-2017 (3)'!$G$5:$G$289,'Comp2016-2017 (3)'!$A$5:$A$289,$D1022,'Comp2016-2017 (3)'!$R$5:$R$289,$V1022)*$AB1022))</f>
        <v/>
      </c>
      <c r="AJ1022" s="2">
        <f>IF($W1022=AJ$3,$AB1022,IF(NOT($W1022=0),"",SUMIFS('Val-Vol (2)'!AJ$4:AJ$1116,'Val-Vol (2)'!$A$4:$A$1116,$D1022,'Val-Vol (2)'!$V$4:$V$1116,$V1022)/SUMIFS('Comp2016-2017 (3)'!$G$5:$G$289,'Comp2016-2017 (3)'!$A$5:$A$289,$D1022,'Comp2016-2017 (3)'!$R$5:$R$289,$V1022)*$AB1022))</f>
        <v>65816.317685804024</v>
      </c>
      <c r="AK1022" s="2">
        <f t="shared" si="126"/>
        <v>0</v>
      </c>
      <c r="AL1022" t="str">
        <f t="shared" si="113"/>
        <v/>
      </c>
      <c r="AM1022" t="str">
        <f>VLOOKUP(A1022,'Table corresp.'!$M$4:$U$63,8,FALSE)</f>
        <v>Production intermédiaire</v>
      </c>
      <c r="AN1022" t="str">
        <f>VLOOKUP(D1022,'Table corresp.'!$M$4:$U$63,9,FALSE)</f>
        <v>Consommation finale française</v>
      </c>
    </row>
    <row r="1023" spans="1:40" x14ac:dyDescent="0.25">
      <c r="A1023" t="s">
        <v>99</v>
      </c>
      <c r="B1023" t="str">
        <f>VLOOKUP(LEFT(A1023,3),'Table corresp.'!$A$4:$D$63,3,FALSE)</f>
        <v>Transformation</v>
      </c>
      <c r="C1023" t="str">
        <f>VLOOKUP(A1023,'Table corresp.'!$M$4:$P$63,4,FALSE)</f>
        <v>Production et transformation de produits bois</v>
      </c>
      <c r="D1023" t="s">
        <v>90</v>
      </c>
      <c r="E1023" t="str">
        <f>VLOOKUP(LEFT(D1023,3),'Table corresp.'!$A$4:$D$63,4,FALSE)</f>
        <v>Transformation</v>
      </c>
      <c r="F1023" t="str">
        <f t="shared" si="122"/>
        <v xml:space="preserve">47  - 34 </v>
      </c>
      <c r="G1023" s="164">
        <v>2113.2574595443466</v>
      </c>
      <c r="H1023" s="164">
        <v>3358.5144934892692</v>
      </c>
      <c r="I1023" s="164">
        <v>5471.7719530336171</v>
      </c>
      <c r="J1023" s="164">
        <v>0.28415469741461818</v>
      </c>
      <c r="K1023" s="164">
        <v>0.49844079295785065</v>
      </c>
      <c r="L1023" s="164">
        <v>0.78259549037246878</v>
      </c>
      <c r="M1023" s="164">
        <v>0.54445109931176139</v>
      </c>
      <c r="N1023" s="164">
        <v>0.95503132672747781</v>
      </c>
      <c r="O1023" s="164">
        <v>1.4994824260392392</v>
      </c>
      <c r="P1023" s="164">
        <v>0.15265888265677793</v>
      </c>
      <c r="Q1023" s="164">
        <v>0.26778165279624683</v>
      </c>
      <c r="R1023" s="164">
        <v>0.42044053545302473</v>
      </c>
      <c r="S1023" s="163" t="str">
        <f t="shared" si="123"/>
        <v/>
      </c>
      <c r="T1023" s="163">
        <f>VLOOKUP(A1023,'Groupe de branches'!$Z$27:$AM$86,14,FALSE)</f>
        <v>0</v>
      </c>
      <c r="U1023" s="163">
        <f>VLOOKUP(D1023,'Groupe de branches'!$Z$27:$AM$86,14,FALSE)</f>
        <v>0</v>
      </c>
      <c r="V1023" s="163">
        <v>2018</v>
      </c>
      <c r="W1023" t="str">
        <f>VLOOKUP(D1023,'Table corresp.'!$M$4:$S$63,7,FALSE)</f>
        <v>Construction</v>
      </c>
      <c r="X1023" s="167">
        <f>IFERROR(G1023/SUMIFS('Comp2016-2017 (3)'!$I$5:$I$289,'Comp2016-2017 (3)'!$A$5:$A$289,A1023,'Comp2016-2017 (3)'!$R$5:$R$289,V1023),0)</f>
        <v>6.4416031748184101E-4</v>
      </c>
      <c r="Y1023" s="178">
        <f>IFERROR(IF(RIGHT(F1023,3)="Exp",VLOOKUP(F1023,#REF!,2,FALSE),VLOOKUP(F1023,#REF!,9,FALSE)),1)</f>
        <v>1</v>
      </c>
      <c r="Z1023" s="167">
        <f t="shared" si="124"/>
        <v>0.25</v>
      </c>
      <c r="AA1023" s="189">
        <f t="shared" si="114"/>
        <v>1.6104007937046025E-4</v>
      </c>
      <c r="AB1023" s="2">
        <f>IFERROR(SUMIFS('Comp2016-2017 (3)'!$G$5:$G$289,'Comp2016-2017 (3)'!$A$5:$A$289,A1023,'Comp2016-2017 (3)'!$R$5:$R$289,V1023)*AA1023/SUMIFS($AA$4:$AA$1116,$A$4:$A$1116,A1023,$V$4:$V$1116,V1023),0)</f>
        <v>671.62053611361137</v>
      </c>
      <c r="AC1023" s="2" t="str">
        <f>IF($W1023=AC$3,$AB1023,IF(NOT($W1023=0),"",SUMIFS('Val-Vol (2)'!AC$4:AC$1116,'Val-Vol (2)'!$A$4:$A$1116,$D1023,'Val-Vol (2)'!$V$4:$V$1116,$V1023)/SUMIFS('Comp2016-2017 (3)'!$G$5:$G$289,'Comp2016-2017 (3)'!$A$5:$A$289,$D1023,'Comp2016-2017 (3)'!$R$5:$R$289,$V1023)*$AB1023))</f>
        <v/>
      </c>
      <c r="AD1023" s="2">
        <f>IF($W1023=AD$3,$AB1023,IF(NOT($W1023=0),"",SUMIFS('Val-Vol (2)'!AD$4:AD$1116,'Val-Vol (2)'!$A$4:$A$1116,$D1023,'Val-Vol (2)'!$V$4:$V$1116,$V1023)/SUMIFS('Comp2016-2017 (3)'!$G$5:$G$289,'Comp2016-2017 (3)'!$A$5:$A$289,$D1023,'Comp2016-2017 (3)'!$R$5:$R$289,$V1023)*$AB1023))</f>
        <v>671.62053611361137</v>
      </c>
      <c r="AE1023" s="2" t="str">
        <f>IF($W1023=AE$3,$AB1023,IF(NOT($W1023=0),"",SUMIFS('Val-Vol (2)'!AE$4:AE$1116,'Val-Vol (2)'!$A$4:$A$1116,$D1023,'Val-Vol (2)'!$V$4:$V$1116,$V1023)/SUMIFS('Comp2016-2017 (3)'!$G$5:$G$289,'Comp2016-2017 (3)'!$A$5:$A$289,$D1023,'Comp2016-2017 (3)'!$R$5:$R$289,$V1023)*$AB1023))</f>
        <v/>
      </c>
      <c r="AF1023" s="2" t="str">
        <f>IF($W1023=AF$3,$AB1023,IF(NOT($W1023=0),"",SUMIFS('Val-Vol (2)'!AF$4:AF$1116,'Val-Vol (2)'!$A$4:$A$1116,$D1023,'Val-Vol (2)'!$V$4:$V$1116,$V1023)/SUMIFS('Comp2016-2017 (3)'!$G$5:$G$289,'Comp2016-2017 (3)'!$A$5:$A$289,$D1023,'Comp2016-2017 (3)'!$R$5:$R$289,$V1023)*$AB1023))</f>
        <v/>
      </c>
      <c r="AG1023" s="2" t="str">
        <f>IF($W1023=AG$3,$AB1023,IF(NOT($W1023=0),"",SUMIFS('Val-Vol (2)'!AG$4:AG$1116,'Val-Vol (2)'!$A$4:$A$1116,$D1023,'Val-Vol (2)'!$V$4:$V$1116,$V1023)/SUMIFS('Comp2016-2017 (3)'!$G$5:$G$289,'Comp2016-2017 (3)'!$A$5:$A$289,$D1023,'Comp2016-2017 (3)'!$R$5:$R$289,$V1023)*$AB1023))</f>
        <v/>
      </c>
      <c r="AH1023" s="2" t="str">
        <f>IF($W1023=AH$3,$AB1023,IF(NOT($W1023=0),"",SUMIFS('Val-Vol (2)'!AH$4:AH$1116,'Val-Vol (2)'!$A$4:$A$1116,$D1023,'Val-Vol (2)'!$V$4:$V$1116,$V1023)/SUMIFS('Comp2016-2017 (3)'!$G$5:$G$289,'Comp2016-2017 (3)'!$A$5:$A$289,$D1023,'Comp2016-2017 (3)'!$R$5:$R$289,$V1023)*$AB1023))</f>
        <v/>
      </c>
      <c r="AI1023" s="2" t="str">
        <f>IF($W1023=AI$3,$AB1023,IF(NOT($W1023=0),"",SUMIFS('Val-Vol (2)'!AI$4:AI$1116,'Val-Vol (2)'!$A$4:$A$1116,$D1023,'Val-Vol (2)'!$V$4:$V$1116,$V1023)/SUMIFS('Comp2016-2017 (3)'!$G$5:$G$289,'Comp2016-2017 (3)'!$A$5:$A$289,$D1023,'Comp2016-2017 (3)'!$R$5:$R$289,$V1023)*$AB1023))</f>
        <v/>
      </c>
      <c r="AJ1023" s="2" t="str">
        <f>IF($W1023=AJ$3,$AB1023,IF(NOT($W1023=0),"",SUMIFS('Val-Vol (2)'!AJ$4:AJ$1116,'Val-Vol (2)'!$A$4:$A$1116,$D1023,'Val-Vol (2)'!$V$4:$V$1116,$V1023)/SUMIFS('Comp2016-2017 (3)'!$G$5:$G$289,'Comp2016-2017 (3)'!$A$5:$A$289,$D1023,'Comp2016-2017 (3)'!$R$5:$R$289,$V1023)*$AB1023))</f>
        <v/>
      </c>
      <c r="AK1023" s="2">
        <f t="shared" si="126"/>
        <v>0</v>
      </c>
      <c r="AL1023" t="str">
        <f t="shared" si="113"/>
        <v/>
      </c>
      <c r="AM1023" t="str">
        <f>VLOOKUP(A1023,'Table corresp.'!$M$4:$U$63,8,FALSE)</f>
        <v>Production finale</v>
      </c>
      <c r="AN1023" t="str">
        <f>VLOOKUP(D1023,'Table corresp.'!$M$4:$U$63,9,FALSE)</f>
        <v>Production finale</v>
      </c>
    </row>
    <row r="1024" spans="1:40" x14ac:dyDescent="0.25">
      <c r="A1024" t="s">
        <v>99</v>
      </c>
      <c r="B1024" t="str">
        <f>VLOOKUP(LEFT(A1024,3),'Table corresp.'!$A$4:$D$63,3,FALSE)</f>
        <v>Transformation</v>
      </c>
      <c r="C1024" t="str">
        <f>VLOOKUP(A1024,'Table corresp.'!$M$4:$P$63,4,FALSE)</f>
        <v>Production et transformation de produits bois</v>
      </c>
      <c r="D1024" t="s">
        <v>22</v>
      </c>
      <c r="E1024" t="str">
        <f>VLOOKUP(LEFT(D1024,3),'Table corresp.'!$A$4:$D$63,4,FALSE)</f>
        <v>Transformation</v>
      </c>
      <c r="F1024" t="str">
        <f t="shared" si="122"/>
        <v xml:space="preserve">47  - 55 </v>
      </c>
      <c r="G1024" s="164">
        <v>21268.018836125248</v>
      </c>
      <c r="H1024" s="164">
        <v>33665.275856665306</v>
      </c>
      <c r="I1024" s="164">
        <v>54933.294692790572</v>
      </c>
      <c r="J1024" s="164">
        <v>2.1448193982563639</v>
      </c>
      <c r="K1024" s="164">
        <v>3.7472251851980856</v>
      </c>
      <c r="L1024" s="164">
        <v>5.8920445834544495</v>
      </c>
      <c r="M1024" s="164">
        <v>4.1095547243478148</v>
      </c>
      <c r="N1024" s="164">
        <v>7.1798245463207335</v>
      </c>
      <c r="O1024" s="164">
        <v>11.289379270668547</v>
      </c>
      <c r="P1024" s="164">
        <v>1.1522798525503282</v>
      </c>
      <c r="Q1024" s="164">
        <v>2.0131541552557448</v>
      </c>
      <c r="R1024" s="164">
        <v>3.165434007806073</v>
      </c>
      <c r="S1024" s="163" t="str">
        <f t="shared" si="123"/>
        <v>BI</v>
      </c>
      <c r="T1024" s="163">
        <f>VLOOKUP(A1024,'Groupe de branches'!$Z$27:$AM$86,14,FALSE)</f>
        <v>0</v>
      </c>
      <c r="U1024" s="163">
        <f>VLOOKUP(D1024,'Groupe de branches'!$Z$27:$AM$86,14,FALSE)</f>
        <v>0</v>
      </c>
      <c r="V1024" s="163">
        <v>2018</v>
      </c>
      <c r="W1024" t="str">
        <f>VLOOKUP(D1024,'Table corresp.'!$M$4:$S$63,7,FALSE)</f>
        <v>Construction</v>
      </c>
      <c r="X1024" s="167">
        <f>IFERROR(G1024/SUMIFS('Comp2016-2017 (3)'!$I$5:$I$289,'Comp2016-2017 (3)'!$A$5:$A$289,A1024,'Comp2016-2017 (3)'!$R$5:$R$289,V1024),0)</f>
        <v>6.4828891074361402E-3</v>
      </c>
      <c r="Y1024" s="178">
        <f>IFERROR(IF(RIGHT(F1024,3)="Exp",VLOOKUP(F1024,#REF!,2,FALSE),VLOOKUP(F1024,#REF!,9,FALSE)),1)</f>
        <v>1</v>
      </c>
      <c r="Z1024" s="167">
        <f t="shared" si="124"/>
        <v>0.25</v>
      </c>
      <c r="AA1024" s="189">
        <f t="shared" si="114"/>
        <v>1.6207222768590351E-3</v>
      </c>
      <c r="AB1024" s="2">
        <f>IFERROR(SUMIFS('Comp2016-2017 (3)'!$G$5:$G$289,'Comp2016-2017 (3)'!$A$5:$A$289,A1024,'Comp2016-2017 (3)'!$R$5:$R$289,V1024)*AA1024/SUMIFS($AA$4:$AA$1116,$A$4:$A$1116,A1024,$V$4:$V$1116,V1024),0)</f>
        <v>6759.2512915452817</v>
      </c>
      <c r="AC1024" s="2" t="str">
        <f>IF($W1024=AC$3,$AB1024,IF(NOT($W1024=0),"",SUMIFS('Val-Vol (2)'!AC$4:AC$1116,'Val-Vol (2)'!$A$4:$A$1116,$D1024,'Val-Vol (2)'!$V$4:$V$1116,$V1024)/SUMIFS('Comp2016-2017 (3)'!$G$5:$G$289,'Comp2016-2017 (3)'!$A$5:$A$289,$D1024,'Comp2016-2017 (3)'!$R$5:$R$289,$V1024)*$AB1024))</f>
        <v/>
      </c>
      <c r="AD1024" s="2">
        <f>IF($W1024=AD$3,$AB1024,IF(NOT($W1024=0),"",SUMIFS('Val-Vol (2)'!AD$4:AD$1116,'Val-Vol (2)'!$A$4:$A$1116,$D1024,'Val-Vol (2)'!$V$4:$V$1116,$V1024)/SUMIFS('Comp2016-2017 (3)'!$G$5:$G$289,'Comp2016-2017 (3)'!$A$5:$A$289,$D1024,'Comp2016-2017 (3)'!$R$5:$R$289,$V1024)*$AB1024))</f>
        <v>6759.2512915452817</v>
      </c>
      <c r="AE1024" s="2" t="str">
        <f>IF($W1024=AE$3,$AB1024,IF(NOT($W1024=0),"",SUMIFS('Val-Vol (2)'!AE$4:AE$1116,'Val-Vol (2)'!$A$4:$A$1116,$D1024,'Val-Vol (2)'!$V$4:$V$1116,$V1024)/SUMIFS('Comp2016-2017 (3)'!$G$5:$G$289,'Comp2016-2017 (3)'!$A$5:$A$289,$D1024,'Comp2016-2017 (3)'!$R$5:$R$289,$V1024)*$AB1024))</f>
        <v/>
      </c>
      <c r="AF1024" s="2" t="str">
        <f>IF($W1024=AF$3,$AB1024,IF(NOT($W1024=0),"",SUMIFS('Val-Vol (2)'!AF$4:AF$1116,'Val-Vol (2)'!$A$4:$A$1116,$D1024,'Val-Vol (2)'!$V$4:$V$1116,$V1024)/SUMIFS('Comp2016-2017 (3)'!$G$5:$G$289,'Comp2016-2017 (3)'!$A$5:$A$289,$D1024,'Comp2016-2017 (3)'!$R$5:$R$289,$V1024)*$AB1024))</f>
        <v/>
      </c>
      <c r="AG1024" s="2" t="str">
        <f>IF($W1024=AG$3,$AB1024,IF(NOT($W1024=0),"",SUMIFS('Val-Vol (2)'!AG$4:AG$1116,'Val-Vol (2)'!$A$4:$A$1116,$D1024,'Val-Vol (2)'!$V$4:$V$1116,$V1024)/SUMIFS('Comp2016-2017 (3)'!$G$5:$G$289,'Comp2016-2017 (3)'!$A$5:$A$289,$D1024,'Comp2016-2017 (3)'!$R$5:$R$289,$V1024)*$AB1024))</f>
        <v/>
      </c>
      <c r="AH1024" s="2" t="str">
        <f>IF($W1024=AH$3,$AB1024,IF(NOT($W1024=0),"",SUMIFS('Val-Vol (2)'!AH$4:AH$1116,'Val-Vol (2)'!$A$4:$A$1116,$D1024,'Val-Vol (2)'!$V$4:$V$1116,$V1024)/SUMIFS('Comp2016-2017 (3)'!$G$5:$G$289,'Comp2016-2017 (3)'!$A$5:$A$289,$D1024,'Comp2016-2017 (3)'!$R$5:$R$289,$V1024)*$AB1024))</f>
        <v/>
      </c>
      <c r="AI1024" s="2" t="str">
        <f>IF($W1024=AI$3,$AB1024,IF(NOT($W1024=0),"",SUMIFS('Val-Vol (2)'!AI$4:AI$1116,'Val-Vol (2)'!$A$4:$A$1116,$D1024,'Val-Vol (2)'!$V$4:$V$1116,$V1024)/SUMIFS('Comp2016-2017 (3)'!$G$5:$G$289,'Comp2016-2017 (3)'!$A$5:$A$289,$D1024,'Comp2016-2017 (3)'!$R$5:$R$289,$V1024)*$AB1024))</f>
        <v/>
      </c>
      <c r="AJ1024" s="2" t="str">
        <f>IF($W1024=AJ$3,$AB1024,IF(NOT($W1024=0),"",SUMIFS('Val-Vol (2)'!AJ$4:AJ$1116,'Val-Vol (2)'!$A$4:$A$1116,$D1024,'Val-Vol (2)'!$V$4:$V$1116,$V1024)/SUMIFS('Comp2016-2017 (3)'!$G$5:$G$289,'Comp2016-2017 (3)'!$A$5:$A$289,$D1024,'Comp2016-2017 (3)'!$R$5:$R$289,$V1024)*$AB1024))</f>
        <v/>
      </c>
      <c r="AK1024" s="2">
        <f t="shared" si="126"/>
        <v>0</v>
      </c>
      <c r="AL1024" t="str">
        <f t="shared" si="113"/>
        <v/>
      </c>
      <c r="AM1024" t="str">
        <f>VLOOKUP(A1024,'Table corresp.'!$M$4:$U$63,8,FALSE)</f>
        <v>Production finale</v>
      </c>
      <c r="AN1024" t="str">
        <f>VLOOKUP(D1024,'Table corresp.'!$M$4:$U$63,9,FALSE)</f>
        <v xml:space="preserve">Mise en œuvre </v>
      </c>
    </row>
    <row r="1025" spans="1:40" x14ac:dyDescent="0.25">
      <c r="A1025" t="s">
        <v>99</v>
      </c>
      <c r="B1025" t="str">
        <f>VLOOKUP(LEFT(A1025,3),'Table corresp.'!$A$4:$D$63,3,FALSE)</f>
        <v>Transformation</v>
      </c>
      <c r="C1025" t="str">
        <f>VLOOKUP(A1025,'Table corresp.'!$M$4:$P$63,4,FALSE)</f>
        <v>Production et transformation de produits bois</v>
      </c>
      <c r="D1025" t="s">
        <v>54</v>
      </c>
      <c r="E1025" t="str">
        <f>VLOOKUP(LEFT(D1025,3),'Table corresp.'!$A$4:$D$63,4,FALSE)</f>
        <v>Consommation finale</v>
      </c>
      <c r="F1025" t="str">
        <f t="shared" si="122"/>
        <v>47  - Con</v>
      </c>
      <c r="G1025" s="164">
        <v>2378105.2637076005</v>
      </c>
      <c r="H1025" s="164">
        <v>3493492.9236498484</v>
      </c>
      <c r="I1025" s="164">
        <v>5871598.1873574508</v>
      </c>
      <c r="J1025" s="164">
        <v>403.94964433873656</v>
      </c>
      <c r="K1025" s="164">
        <v>762.155440464972</v>
      </c>
      <c r="L1025" s="164">
        <v>1166.1050848037085</v>
      </c>
      <c r="M1025" s="164">
        <v>773.98272816835686</v>
      </c>
      <c r="N1025" s="164">
        <v>1460.3185208024875</v>
      </c>
      <c r="O1025" s="164">
        <v>2234.3012489708444</v>
      </c>
      <c r="P1025" s="164">
        <v>217.01735679693874</v>
      </c>
      <c r="Q1025" s="164">
        <v>409.45935087744743</v>
      </c>
      <c r="R1025" s="164">
        <v>626.47670767438615</v>
      </c>
      <c r="S1025" s="163" t="str">
        <f t="shared" si="123"/>
        <v>BI</v>
      </c>
      <c r="T1025" s="163">
        <f>VLOOKUP(A1025,'Groupe de branches'!$Z$27:$AM$86,14,FALSE)</f>
        <v>0</v>
      </c>
      <c r="U1025" s="163">
        <f>VLOOKUP(D1025,'Groupe de branches'!$Z$27:$AM$86,14,FALSE)</f>
        <v>0</v>
      </c>
      <c r="V1025" s="163">
        <v>2018</v>
      </c>
      <c r="W1025" t="str">
        <f>VLOOKUP(D1025,'Table corresp.'!$M$4:$S$63,7,FALSE)</f>
        <v>Consommation finale</v>
      </c>
      <c r="X1025" s="167">
        <f>IFERROR(G1025/SUMIFS('Comp2016-2017 (3)'!$I$5:$I$289,'Comp2016-2017 (3)'!$A$5:$A$289,A1025,'Comp2016-2017 (3)'!$R$5:$R$289,V1025),0)</f>
        <v>0.72489087155780074</v>
      </c>
      <c r="Y1025" s="178">
        <f>IFERROR(IF(RIGHT(F1025,3)="Exp",VLOOKUP(F1025,#REF!,2,FALSE),VLOOKUP(F1025,#REF!,9,FALSE)),1)</f>
        <v>1</v>
      </c>
      <c r="Z1025" s="167">
        <f t="shared" si="124"/>
        <v>0.25</v>
      </c>
      <c r="AA1025" s="189">
        <f t="shared" si="114"/>
        <v>0.18122271788945019</v>
      </c>
      <c r="AB1025" s="2">
        <f>IFERROR(SUMIFS('Comp2016-2017 (3)'!$G$5:$G$289,'Comp2016-2017 (3)'!$A$5:$A$289,A1025,'Comp2016-2017 (3)'!$R$5:$R$289,V1025)*AA1025/SUMIFS($AA$4:$AA$1116,$A$4:$A$1116,A1025,$V$4:$V$1116,V1025),0)</f>
        <v>755792.59163731022</v>
      </c>
      <c r="AC1025" s="2" t="str">
        <f>IF($W1025=AC$3,$AB1025,IF(NOT($W1025=0),"",SUMIFS('Val-Vol (2)'!AC$4:AC$1116,'Val-Vol (2)'!$A$4:$A$1116,$D1025,'Val-Vol (2)'!$V$4:$V$1116,$V1025)/SUMIFS('Comp2016-2017 (3)'!$G$5:$G$289,'Comp2016-2017 (3)'!$A$5:$A$289,$D1025,'Comp2016-2017 (3)'!$R$5:$R$289,$V1025)*$AB1025))</f>
        <v/>
      </c>
      <c r="AD1025" s="2" t="str">
        <f>IF($W1025=AD$3,$AB1025,IF(NOT($W1025=0),"",SUMIFS('Val-Vol (2)'!AD$4:AD$1116,'Val-Vol (2)'!$A$4:$A$1116,$D1025,'Val-Vol (2)'!$V$4:$V$1116,$V1025)/SUMIFS('Comp2016-2017 (3)'!$G$5:$G$289,'Comp2016-2017 (3)'!$A$5:$A$289,$D1025,'Comp2016-2017 (3)'!$R$5:$R$289,$V1025)*$AB1025))</f>
        <v/>
      </c>
      <c r="AE1025" s="2" t="str">
        <f>IF($W1025=AE$3,$AB1025,IF(NOT($W1025=0),"",SUMIFS('Val-Vol (2)'!AE$4:AE$1116,'Val-Vol (2)'!$A$4:$A$1116,$D1025,'Val-Vol (2)'!$V$4:$V$1116,$V1025)/SUMIFS('Comp2016-2017 (3)'!$G$5:$G$289,'Comp2016-2017 (3)'!$A$5:$A$289,$D1025,'Comp2016-2017 (3)'!$R$5:$R$289,$V1025)*$AB1025))</f>
        <v/>
      </c>
      <c r="AF1025" s="2" t="str">
        <f>IF($W1025=AF$3,$AB1025,IF(NOT($W1025=0),"",SUMIFS('Val-Vol (2)'!AF$4:AF$1116,'Val-Vol (2)'!$A$4:$A$1116,$D1025,'Val-Vol (2)'!$V$4:$V$1116,$V1025)/SUMIFS('Comp2016-2017 (3)'!$G$5:$G$289,'Comp2016-2017 (3)'!$A$5:$A$289,$D1025,'Comp2016-2017 (3)'!$R$5:$R$289,$V1025)*$AB1025))</f>
        <v/>
      </c>
      <c r="AG1025" s="2" t="str">
        <f>IF($W1025=AG$3,$AB1025,IF(NOT($W1025=0),"",SUMIFS('Val-Vol (2)'!AG$4:AG$1116,'Val-Vol (2)'!$A$4:$A$1116,$D1025,'Val-Vol (2)'!$V$4:$V$1116,$V1025)/SUMIFS('Comp2016-2017 (3)'!$G$5:$G$289,'Comp2016-2017 (3)'!$A$5:$A$289,$D1025,'Comp2016-2017 (3)'!$R$5:$R$289,$V1025)*$AB1025))</f>
        <v/>
      </c>
      <c r="AH1025" s="2" t="str">
        <f>IF($W1025=AH$3,$AB1025,IF(NOT($W1025=0),"",SUMIFS('Val-Vol (2)'!AH$4:AH$1116,'Val-Vol (2)'!$A$4:$A$1116,$D1025,'Val-Vol (2)'!$V$4:$V$1116,$V1025)/SUMIFS('Comp2016-2017 (3)'!$G$5:$G$289,'Comp2016-2017 (3)'!$A$5:$A$289,$D1025,'Comp2016-2017 (3)'!$R$5:$R$289,$V1025)*$AB1025))</f>
        <v/>
      </c>
      <c r="AI1025" s="2" t="str">
        <f>IF($W1025=AI$3,$AB1025,IF(NOT($W1025=0),"",SUMIFS('Val-Vol (2)'!AI$4:AI$1116,'Val-Vol (2)'!$A$4:$A$1116,$D1025,'Val-Vol (2)'!$V$4:$V$1116,$V1025)/SUMIFS('Comp2016-2017 (3)'!$G$5:$G$289,'Comp2016-2017 (3)'!$A$5:$A$289,$D1025,'Comp2016-2017 (3)'!$R$5:$R$289,$V1025)*$AB1025))</f>
        <v/>
      </c>
      <c r="AJ1025" s="2">
        <f>IF($W1025=AJ$3,$AB1025,IF(NOT($W1025=0),"",SUMIFS('Val-Vol (2)'!AJ$4:AJ$1116,'Val-Vol (2)'!$A$4:$A$1116,$D1025,'Val-Vol (2)'!$V$4:$V$1116,$V1025)/SUMIFS('Comp2016-2017 (3)'!$G$5:$G$289,'Comp2016-2017 (3)'!$A$5:$A$289,$D1025,'Comp2016-2017 (3)'!$R$5:$R$289,$V1025)*$AB1025))</f>
        <v>755792.59163731022</v>
      </c>
      <c r="AK1025" s="2">
        <f t="shared" si="126"/>
        <v>0</v>
      </c>
      <c r="AL1025" t="str">
        <f t="shared" si="113"/>
        <v/>
      </c>
      <c r="AM1025" t="str">
        <f>VLOOKUP(A1025,'Table corresp.'!$M$4:$U$63,8,FALSE)</f>
        <v>Production finale</v>
      </c>
      <c r="AN1025" t="str">
        <f>VLOOKUP(D1025,'Table corresp.'!$M$4:$U$63,9,FALSE)</f>
        <v>Consommation finale française</v>
      </c>
    </row>
    <row r="1026" spans="1:40" x14ac:dyDescent="0.25">
      <c r="A1026" t="s">
        <v>99</v>
      </c>
      <c r="B1026" t="str">
        <f>VLOOKUP(LEFT(A1026,3),'Table corresp.'!$A$4:$D$63,3,FALSE)</f>
        <v>Transformation</v>
      </c>
      <c r="C1026" t="str">
        <f>VLOOKUP(A1026,'Table corresp.'!$M$4:$P$63,4,FALSE)</f>
        <v>Production et transformation de produits bois</v>
      </c>
      <c r="D1026" t="s">
        <v>53</v>
      </c>
      <c r="E1026" t="str">
        <f>VLOOKUP(LEFT(D1026,3),'Table corresp.'!$A$4:$D$63,4,FALSE)</f>
        <v>Exportation</v>
      </c>
      <c r="F1026" t="str">
        <f t="shared" si="122"/>
        <v>47  - Exp</v>
      </c>
      <c r="G1026" s="164">
        <v>879152.46</v>
      </c>
      <c r="H1026" s="164">
        <v>0</v>
      </c>
      <c r="I1026" s="164">
        <v>879152.4600000002</v>
      </c>
      <c r="J1026" s="164">
        <v>177.3200658474062</v>
      </c>
      <c r="K1026" s="164">
        <v>0</v>
      </c>
      <c r="L1026" s="164">
        <v>177.3200658474062</v>
      </c>
      <c r="M1026" s="164">
        <v>339.7519226641075</v>
      </c>
      <c r="N1026" s="164">
        <v>0</v>
      </c>
      <c r="O1026" s="164">
        <v>339.7519226641075</v>
      </c>
      <c r="P1026" s="164">
        <v>95.2631906886743</v>
      </c>
      <c r="Q1026" s="164">
        <v>0</v>
      </c>
      <c r="R1026" s="164">
        <v>95.2631906886743</v>
      </c>
      <c r="S1026" s="163" t="str">
        <f t="shared" si="123"/>
        <v>BI</v>
      </c>
      <c r="T1026" s="163">
        <f>VLOOKUP(A1026,'Groupe de branches'!$Z$27:$AM$86,14,FALSE)</f>
        <v>0</v>
      </c>
      <c r="U1026" s="163">
        <f>VLOOKUP(D1026,'Groupe de branches'!$Z$27:$AM$86,14,FALSE)</f>
        <v>0</v>
      </c>
      <c r="V1026" s="163">
        <v>2018</v>
      </c>
      <c r="W1026" t="str">
        <f>VLOOKUP(D1026,'Table corresp.'!$M$4:$S$63,7,FALSE)</f>
        <v>Exportation</v>
      </c>
      <c r="X1026" s="167">
        <f>IFERROR(G1026/SUMIFS('Comp2016-2017 (3)'!$I$5:$I$289,'Comp2016-2017 (3)'!$A$5:$A$289,A1026,'Comp2016-2017 (3)'!$R$5:$R$289,V1026),0)</f>
        <v>0.26798207913135602</v>
      </c>
      <c r="Y1026" s="178">
        <f>IFERROR(IF(RIGHT(F1026,3)="Exp",VLOOKUP(F1026,#REF!,2,FALSE),VLOOKUP(F1026,#REF!,9,FALSE)),1)</f>
        <v>1</v>
      </c>
      <c r="Z1026" s="167">
        <f t="shared" si="124"/>
        <v>0.25</v>
      </c>
      <c r="AA1026" s="189">
        <f t="shared" si="114"/>
        <v>6.6995519782839005E-2</v>
      </c>
      <c r="AB1026" s="2">
        <f>IFERROR(SUMIFS('Comp2016-2017 (3)'!$G$5:$G$289,'Comp2016-2017 (3)'!$A$5:$A$289,A1026,'Comp2016-2017 (3)'!$R$5:$R$289,V1026)*AA1026/SUMIFS($AA$4:$AA$1116,$A$4:$A$1116,A1026,$V$4:$V$1116,V1026),0)</f>
        <v>279406.01550655952</v>
      </c>
      <c r="AC1026" s="2">
        <f>IF($W1026=AC$3,$AB1026,IF(NOT($W1026=0),"",SUMIFS('Val-Vol (2)'!AC$4:AC$1116,'Val-Vol (2)'!$A$4:$A$1116,$D1026,'Val-Vol (2)'!$V$4:$V$1116,$V1026)/SUMIFS('Comp2016-2017 (3)'!$G$5:$G$289,'Comp2016-2017 (3)'!$A$5:$A$289,$D1026,'Comp2016-2017 (3)'!$R$5:$R$289,$V1026)*$AB1026))</f>
        <v>279406.01550655952</v>
      </c>
      <c r="AD1026" s="2" t="str">
        <f>IF($W1026=AD$3,$AB1026,IF(NOT($W1026=0),"",SUMIFS('Val-Vol (2)'!AD$4:AD$1116,'Val-Vol (2)'!$A$4:$A$1116,$D1026,'Val-Vol (2)'!$V$4:$V$1116,$V1026)/SUMIFS('Comp2016-2017 (3)'!$G$5:$G$289,'Comp2016-2017 (3)'!$A$5:$A$289,$D1026,'Comp2016-2017 (3)'!$R$5:$R$289,$V1026)*$AB1026))</f>
        <v/>
      </c>
      <c r="AE1026" s="2" t="str">
        <f>IF($W1026=AE$3,$AB1026,IF(NOT($W1026=0),"",SUMIFS('Val-Vol (2)'!AE$4:AE$1116,'Val-Vol (2)'!$A$4:$A$1116,$D1026,'Val-Vol (2)'!$V$4:$V$1116,$V1026)/SUMIFS('Comp2016-2017 (3)'!$G$5:$G$289,'Comp2016-2017 (3)'!$A$5:$A$289,$D1026,'Comp2016-2017 (3)'!$R$5:$R$289,$V1026)*$AB1026))</f>
        <v/>
      </c>
      <c r="AF1026" s="2" t="str">
        <f>IF($W1026=AF$3,$AB1026,IF(NOT($W1026=0),"",SUMIFS('Val-Vol (2)'!AF$4:AF$1116,'Val-Vol (2)'!$A$4:$A$1116,$D1026,'Val-Vol (2)'!$V$4:$V$1116,$V1026)/SUMIFS('Comp2016-2017 (3)'!$G$5:$G$289,'Comp2016-2017 (3)'!$A$5:$A$289,$D1026,'Comp2016-2017 (3)'!$R$5:$R$289,$V1026)*$AB1026))</f>
        <v/>
      </c>
      <c r="AG1026" s="2" t="str">
        <f>IF($W1026=AG$3,$AB1026,IF(NOT($W1026=0),"",SUMIFS('Val-Vol (2)'!AG$4:AG$1116,'Val-Vol (2)'!$A$4:$A$1116,$D1026,'Val-Vol (2)'!$V$4:$V$1116,$V1026)/SUMIFS('Comp2016-2017 (3)'!$G$5:$G$289,'Comp2016-2017 (3)'!$A$5:$A$289,$D1026,'Comp2016-2017 (3)'!$R$5:$R$289,$V1026)*$AB1026))</f>
        <v/>
      </c>
      <c r="AH1026" s="2" t="str">
        <f>IF($W1026=AH$3,$AB1026,IF(NOT($W1026=0),"",SUMIFS('Val-Vol (2)'!AH$4:AH$1116,'Val-Vol (2)'!$A$4:$A$1116,$D1026,'Val-Vol (2)'!$V$4:$V$1116,$V1026)/SUMIFS('Comp2016-2017 (3)'!$G$5:$G$289,'Comp2016-2017 (3)'!$A$5:$A$289,$D1026,'Comp2016-2017 (3)'!$R$5:$R$289,$V1026)*$AB1026))</f>
        <v/>
      </c>
      <c r="AI1026" s="2" t="str">
        <f>IF($W1026=AI$3,$AB1026,IF(NOT($W1026=0),"",SUMIFS('Val-Vol (2)'!AI$4:AI$1116,'Val-Vol (2)'!$A$4:$A$1116,$D1026,'Val-Vol (2)'!$V$4:$V$1116,$V1026)/SUMIFS('Comp2016-2017 (3)'!$G$5:$G$289,'Comp2016-2017 (3)'!$A$5:$A$289,$D1026,'Comp2016-2017 (3)'!$R$5:$R$289,$V1026)*$AB1026))</f>
        <v/>
      </c>
      <c r="AJ1026" s="2" t="str">
        <f>IF($W1026=AJ$3,$AB1026,IF(NOT($W1026=0),"",SUMIFS('Val-Vol (2)'!AJ$4:AJ$1116,'Val-Vol (2)'!$A$4:$A$1116,$D1026,'Val-Vol (2)'!$V$4:$V$1116,$V1026)/SUMIFS('Comp2016-2017 (3)'!$G$5:$G$289,'Comp2016-2017 (3)'!$A$5:$A$289,$D1026,'Comp2016-2017 (3)'!$R$5:$R$289,$V1026)*$AB1026))</f>
        <v/>
      </c>
      <c r="AK1026" s="2">
        <f t="shared" si="126"/>
        <v>0</v>
      </c>
      <c r="AL1026" t="str">
        <f t="shared" si="113"/>
        <v/>
      </c>
      <c r="AM1026" t="str">
        <f>VLOOKUP(A1026,'Table corresp.'!$M$4:$U$63,8,FALSE)</f>
        <v>Production finale</v>
      </c>
      <c r="AN1026" t="str">
        <f>VLOOKUP(D1026,'Table corresp.'!$M$4:$U$63,9,FALSE)</f>
        <v>Exportation</v>
      </c>
    </row>
    <row r="1027" spans="1:40" x14ac:dyDescent="0.25">
      <c r="A1027" t="s">
        <v>100</v>
      </c>
      <c r="B1027" t="str">
        <f>VLOOKUP(LEFT(A1027,3),'Table corresp.'!$A$4:$D$63,3,FALSE)</f>
        <v>Transformation</v>
      </c>
      <c r="C1027" t="str">
        <f>VLOOKUP(A1027,'Table corresp.'!$M$4:$P$63,4,FALSE)</f>
        <v>Production et transformation de produits bois</v>
      </c>
      <c r="D1027" t="s">
        <v>54</v>
      </c>
      <c r="E1027" t="str">
        <f>VLOOKUP(LEFT(D1027,3),'Table corresp.'!$A$4:$D$63,4,FALSE)</f>
        <v>Consommation finale</v>
      </c>
      <c r="F1027" t="str">
        <f t="shared" si="122"/>
        <v>48  - Con</v>
      </c>
      <c r="G1027" s="164">
        <v>359084.3</v>
      </c>
      <c r="H1027" s="164">
        <v>427335.13499999919</v>
      </c>
      <c r="I1027" s="164">
        <v>786419.43499999936</v>
      </c>
      <c r="J1027" s="164">
        <v>228.13543447256208</v>
      </c>
      <c r="K1027" s="164">
        <v>508.61769891962655</v>
      </c>
      <c r="L1027" s="164">
        <v>736.7531333921886</v>
      </c>
      <c r="M1027" s="164">
        <v>0</v>
      </c>
      <c r="N1027" s="164">
        <v>0</v>
      </c>
      <c r="O1027" s="164">
        <v>0</v>
      </c>
      <c r="P1027" s="164">
        <v>0</v>
      </c>
      <c r="Q1027" s="164">
        <v>0</v>
      </c>
      <c r="R1027" s="164">
        <v>0</v>
      </c>
      <c r="S1027" s="163" t="str">
        <f t="shared" si="123"/>
        <v/>
      </c>
      <c r="T1027" s="163">
        <f>VLOOKUP(A1027,'Groupe de branches'!$Z$27:$AM$86,14,FALSE)</f>
        <v>0</v>
      </c>
      <c r="U1027" s="163">
        <f>VLOOKUP(D1027,'Groupe de branches'!$Z$27:$AM$86,14,FALSE)</f>
        <v>0</v>
      </c>
      <c r="V1027" s="163">
        <v>2018</v>
      </c>
      <c r="W1027" t="str">
        <f>VLOOKUP(D1027,'Table corresp.'!$M$4:$S$63,7,FALSE)</f>
        <v>Consommation finale</v>
      </c>
      <c r="X1027" s="167">
        <f>IFERROR(G1027/SUMIFS('Comp2016-2017 (3)'!$I$5:$I$289,'Comp2016-2017 (3)'!$A$5:$A$289,A1027,'Comp2016-2017 (3)'!$R$5:$R$289,V1027),0)</f>
        <v>0.75502594701049619</v>
      </c>
      <c r="Y1027" s="178">
        <f>IFERROR(IF(RIGHT(F1027,3)="Exp",VLOOKUP(F1027,#REF!,2,FALSE),VLOOKUP(F1027,#REF!,9,FALSE)),1)</f>
        <v>1</v>
      </c>
      <c r="Z1027" s="167">
        <f t="shared" si="124"/>
        <v>0.5</v>
      </c>
      <c r="AA1027" s="189">
        <f t="shared" si="114"/>
        <v>0.3775129735052481</v>
      </c>
      <c r="AB1027" s="2">
        <f>IFERROR(SUMIFS('Comp2016-2017 (3)'!$G$5:$G$289,'Comp2016-2017 (3)'!$A$5:$A$289,A1027,'Comp2016-2017 (3)'!$R$5:$R$289,V1027)*AA1027/SUMIFS($AA$4:$AA$1116,$A$4:$A$1116,A1027,$V$4:$V$1116,V1027),0)</f>
        <v>131947.85886145232</v>
      </c>
      <c r="AC1027" s="2" t="str">
        <f>IF($W1027=AC$3,$AB1027,IF(NOT($W1027=0),"",SUMIFS('Val-Vol (2)'!AC$4:AC$1116,'Val-Vol (2)'!$A$4:$A$1116,$D1027,'Val-Vol (2)'!$V$4:$V$1116,$V1027)/SUMIFS('Comp2016-2017 (3)'!$G$5:$G$289,'Comp2016-2017 (3)'!$A$5:$A$289,$D1027,'Comp2016-2017 (3)'!$R$5:$R$289,$V1027)*$AB1027))</f>
        <v/>
      </c>
      <c r="AD1027" s="2" t="str">
        <f>IF($W1027=AD$3,$AB1027,IF(NOT($W1027=0),"",SUMIFS('Val-Vol (2)'!AD$4:AD$1116,'Val-Vol (2)'!$A$4:$A$1116,$D1027,'Val-Vol (2)'!$V$4:$V$1116,$V1027)/SUMIFS('Comp2016-2017 (3)'!$G$5:$G$289,'Comp2016-2017 (3)'!$A$5:$A$289,$D1027,'Comp2016-2017 (3)'!$R$5:$R$289,$V1027)*$AB1027))</f>
        <v/>
      </c>
      <c r="AE1027" s="2" t="str">
        <f>IF($W1027=AE$3,$AB1027,IF(NOT($W1027=0),"",SUMIFS('Val-Vol (2)'!AE$4:AE$1116,'Val-Vol (2)'!$A$4:$A$1116,$D1027,'Val-Vol (2)'!$V$4:$V$1116,$V1027)/SUMIFS('Comp2016-2017 (3)'!$G$5:$G$289,'Comp2016-2017 (3)'!$A$5:$A$289,$D1027,'Comp2016-2017 (3)'!$R$5:$R$289,$V1027)*$AB1027))</f>
        <v/>
      </c>
      <c r="AF1027" s="2" t="str">
        <f>IF($W1027=AF$3,$AB1027,IF(NOT($W1027=0),"",SUMIFS('Val-Vol (2)'!AF$4:AF$1116,'Val-Vol (2)'!$A$4:$A$1116,$D1027,'Val-Vol (2)'!$V$4:$V$1116,$V1027)/SUMIFS('Comp2016-2017 (3)'!$G$5:$G$289,'Comp2016-2017 (3)'!$A$5:$A$289,$D1027,'Comp2016-2017 (3)'!$R$5:$R$289,$V1027)*$AB1027))</f>
        <v/>
      </c>
      <c r="AG1027" s="2" t="str">
        <f>IF($W1027=AG$3,$AB1027,IF(NOT($W1027=0),"",SUMIFS('Val-Vol (2)'!AG$4:AG$1116,'Val-Vol (2)'!$A$4:$A$1116,$D1027,'Val-Vol (2)'!$V$4:$V$1116,$V1027)/SUMIFS('Comp2016-2017 (3)'!$G$5:$G$289,'Comp2016-2017 (3)'!$A$5:$A$289,$D1027,'Comp2016-2017 (3)'!$R$5:$R$289,$V1027)*$AB1027))</f>
        <v/>
      </c>
      <c r="AH1027" s="2" t="str">
        <f>IF($W1027=AH$3,$AB1027,IF(NOT($W1027=0),"",SUMIFS('Val-Vol (2)'!AH$4:AH$1116,'Val-Vol (2)'!$A$4:$A$1116,$D1027,'Val-Vol (2)'!$V$4:$V$1116,$V1027)/SUMIFS('Comp2016-2017 (3)'!$G$5:$G$289,'Comp2016-2017 (3)'!$A$5:$A$289,$D1027,'Comp2016-2017 (3)'!$R$5:$R$289,$V1027)*$AB1027))</f>
        <v/>
      </c>
      <c r="AI1027" s="2" t="str">
        <f>IF($W1027=AI$3,$AB1027,IF(NOT($W1027=0),"",SUMIFS('Val-Vol (2)'!AI$4:AI$1116,'Val-Vol (2)'!$A$4:$A$1116,$D1027,'Val-Vol (2)'!$V$4:$V$1116,$V1027)/SUMIFS('Comp2016-2017 (3)'!$G$5:$G$289,'Comp2016-2017 (3)'!$A$5:$A$289,$D1027,'Comp2016-2017 (3)'!$R$5:$R$289,$V1027)*$AB1027))</f>
        <v/>
      </c>
      <c r="AJ1027" s="2">
        <f>IF($W1027=AJ$3,$AB1027,IF(NOT($W1027=0),"",SUMIFS('Val-Vol (2)'!AJ$4:AJ$1116,'Val-Vol (2)'!$A$4:$A$1116,$D1027,'Val-Vol (2)'!$V$4:$V$1116,$V1027)/SUMIFS('Comp2016-2017 (3)'!$G$5:$G$289,'Comp2016-2017 (3)'!$A$5:$A$289,$D1027,'Comp2016-2017 (3)'!$R$5:$R$289,$V1027)*$AB1027))</f>
        <v>131947.85886145232</v>
      </c>
      <c r="AK1027" s="2">
        <f t="shared" si="126"/>
        <v>0</v>
      </c>
      <c r="AL1027" t="str">
        <f t="shared" si="113"/>
        <v/>
      </c>
      <c r="AM1027" t="str">
        <f>VLOOKUP(A1027,'Table corresp.'!$M$4:$U$63,8,FALSE)</f>
        <v>Production finale</v>
      </c>
      <c r="AN1027" t="str">
        <f>VLOOKUP(D1027,'Table corresp.'!$M$4:$U$63,9,FALSE)</f>
        <v>Consommation finale française</v>
      </c>
    </row>
    <row r="1028" spans="1:40" x14ac:dyDescent="0.25">
      <c r="A1028" t="s">
        <v>100</v>
      </c>
      <c r="B1028" t="str">
        <f>VLOOKUP(LEFT(A1028,3),'Table corresp.'!$A$4:$D$63,3,FALSE)</f>
        <v>Transformation</v>
      </c>
      <c r="C1028" t="str">
        <f>VLOOKUP(A1028,'Table corresp.'!$M$4:$P$63,4,FALSE)</f>
        <v>Production et transformation de produits bois</v>
      </c>
      <c r="D1028" t="s">
        <v>53</v>
      </c>
      <c r="E1028" t="str">
        <f>VLOOKUP(LEFT(D1028,3),'Table corresp.'!$A$4:$D$63,4,FALSE)</f>
        <v>Exportation</v>
      </c>
      <c r="F1028" t="str">
        <f t="shared" si="122"/>
        <v>48  - Exp</v>
      </c>
      <c r="G1028" s="164">
        <v>116507.70000000004</v>
      </c>
      <c r="H1028" s="164">
        <v>0</v>
      </c>
      <c r="I1028" s="164">
        <v>116507.70000000007</v>
      </c>
      <c r="J1028" s="164">
        <v>74.020318690028517</v>
      </c>
      <c r="K1028" s="164">
        <v>0</v>
      </c>
      <c r="L1028" s="164">
        <v>74.020318690028517</v>
      </c>
      <c r="M1028" s="164">
        <v>0</v>
      </c>
      <c r="N1028" s="164">
        <v>0</v>
      </c>
      <c r="O1028" s="164">
        <v>0</v>
      </c>
      <c r="P1028" s="164">
        <v>0</v>
      </c>
      <c r="Q1028" s="164">
        <v>0</v>
      </c>
      <c r="R1028" s="164">
        <v>0</v>
      </c>
      <c r="S1028" s="163" t="str">
        <f t="shared" si="123"/>
        <v/>
      </c>
      <c r="T1028" s="163">
        <f>VLOOKUP(A1028,'Groupe de branches'!$Z$27:$AM$86,14,FALSE)</f>
        <v>0</v>
      </c>
      <c r="U1028" s="163">
        <f>VLOOKUP(D1028,'Groupe de branches'!$Z$27:$AM$86,14,FALSE)</f>
        <v>0</v>
      </c>
      <c r="V1028" s="163">
        <v>2018</v>
      </c>
      <c r="W1028" t="str">
        <f>VLOOKUP(D1028,'Table corresp.'!$M$4:$S$63,7,FALSE)</f>
        <v>Exportation</v>
      </c>
      <c r="X1028" s="167">
        <f>IFERROR(G1028/SUMIFS('Comp2016-2017 (3)'!$I$5:$I$289,'Comp2016-2017 (3)'!$A$5:$A$289,A1028,'Comp2016-2017 (3)'!$R$5:$R$289,V1028),0)</f>
        <v>0.24497405352034279</v>
      </c>
      <c r="Y1028" s="178">
        <f>IFERROR(IF(RIGHT(F1028,3)="Exp",VLOOKUP(F1028,#REF!,2,FALSE),VLOOKUP(F1028,#REF!,9,FALSE)),1)</f>
        <v>1</v>
      </c>
      <c r="Z1028" s="167">
        <f t="shared" si="124"/>
        <v>0.5</v>
      </c>
      <c r="AA1028" s="189">
        <f t="shared" si="114"/>
        <v>0.1224870267601714</v>
      </c>
      <c r="AB1028" s="2">
        <f>IFERROR(SUMIFS('Comp2016-2017 (3)'!$G$5:$G$289,'Comp2016-2017 (3)'!$A$5:$A$289,A1028,'Comp2016-2017 (3)'!$R$5:$R$289,V1028)*AA1028/SUMIFS($AA$4:$AA$1116,$A$4:$A$1116,A1028,$V$4:$V$1116,V1028),0)</f>
        <v>42811.511268725575</v>
      </c>
      <c r="AC1028" s="2">
        <f>IF($W1028=AC$3,$AB1028,IF(NOT($W1028=0),"",SUMIFS('Val-Vol (2)'!AC$4:AC$1116,'Val-Vol (2)'!$A$4:$A$1116,$D1028,'Val-Vol (2)'!$V$4:$V$1116,$V1028)/SUMIFS('Comp2016-2017 (3)'!$G$5:$G$289,'Comp2016-2017 (3)'!$A$5:$A$289,$D1028,'Comp2016-2017 (3)'!$R$5:$R$289,$V1028)*$AB1028))</f>
        <v>42811.511268725575</v>
      </c>
      <c r="AD1028" s="2" t="str">
        <f>IF($W1028=AD$3,$AB1028,IF(NOT($W1028=0),"",SUMIFS('Val-Vol (2)'!AD$4:AD$1116,'Val-Vol (2)'!$A$4:$A$1116,$D1028,'Val-Vol (2)'!$V$4:$V$1116,$V1028)/SUMIFS('Comp2016-2017 (3)'!$G$5:$G$289,'Comp2016-2017 (3)'!$A$5:$A$289,$D1028,'Comp2016-2017 (3)'!$R$5:$R$289,$V1028)*$AB1028))</f>
        <v/>
      </c>
      <c r="AE1028" s="2" t="str">
        <f>IF($W1028=AE$3,$AB1028,IF(NOT($W1028=0),"",SUMIFS('Val-Vol (2)'!AE$4:AE$1116,'Val-Vol (2)'!$A$4:$A$1116,$D1028,'Val-Vol (2)'!$V$4:$V$1116,$V1028)/SUMIFS('Comp2016-2017 (3)'!$G$5:$G$289,'Comp2016-2017 (3)'!$A$5:$A$289,$D1028,'Comp2016-2017 (3)'!$R$5:$R$289,$V1028)*$AB1028))</f>
        <v/>
      </c>
      <c r="AF1028" s="2" t="str">
        <f>IF($W1028=AF$3,$AB1028,IF(NOT($W1028=0),"",SUMIFS('Val-Vol (2)'!AF$4:AF$1116,'Val-Vol (2)'!$A$4:$A$1116,$D1028,'Val-Vol (2)'!$V$4:$V$1116,$V1028)/SUMIFS('Comp2016-2017 (3)'!$G$5:$G$289,'Comp2016-2017 (3)'!$A$5:$A$289,$D1028,'Comp2016-2017 (3)'!$R$5:$R$289,$V1028)*$AB1028))</f>
        <v/>
      </c>
      <c r="AG1028" s="2" t="str">
        <f>IF($W1028=AG$3,$AB1028,IF(NOT($W1028=0),"",SUMIFS('Val-Vol (2)'!AG$4:AG$1116,'Val-Vol (2)'!$A$4:$A$1116,$D1028,'Val-Vol (2)'!$V$4:$V$1116,$V1028)/SUMIFS('Comp2016-2017 (3)'!$G$5:$G$289,'Comp2016-2017 (3)'!$A$5:$A$289,$D1028,'Comp2016-2017 (3)'!$R$5:$R$289,$V1028)*$AB1028))</f>
        <v/>
      </c>
      <c r="AH1028" s="2" t="str">
        <f>IF($W1028=AH$3,$AB1028,IF(NOT($W1028=0),"",SUMIFS('Val-Vol (2)'!AH$4:AH$1116,'Val-Vol (2)'!$A$4:$A$1116,$D1028,'Val-Vol (2)'!$V$4:$V$1116,$V1028)/SUMIFS('Comp2016-2017 (3)'!$G$5:$G$289,'Comp2016-2017 (3)'!$A$5:$A$289,$D1028,'Comp2016-2017 (3)'!$R$5:$R$289,$V1028)*$AB1028))</f>
        <v/>
      </c>
      <c r="AI1028" s="2" t="str">
        <f>IF($W1028=AI$3,$AB1028,IF(NOT($W1028=0),"",SUMIFS('Val-Vol (2)'!AI$4:AI$1116,'Val-Vol (2)'!$A$4:$A$1116,$D1028,'Val-Vol (2)'!$V$4:$V$1116,$V1028)/SUMIFS('Comp2016-2017 (3)'!$G$5:$G$289,'Comp2016-2017 (3)'!$A$5:$A$289,$D1028,'Comp2016-2017 (3)'!$R$5:$R$289,$V1028)*$AB1028))</f>
        <v/>
      </c>
      <c r="AJ1028" s="2" t="str">
        <f>IF($W1028=AJ$3,$AB1028,IF(NOT($W1028=0),"",SUMIFS('Val-Vol (2)'!AJ$4:AJ$1116,'Val-Vol (2)'!$A$4:$A$1116,$D1028,'Val-Vol (2)'!$V$4:$V$1116,$V1028)/SUMIFS('Comp2016-2017 (3)'!$G$5:$G$289,'Comp2016-2017 (3)'!$A$5:$A$289,$D1028,'Comp2016-2017 (3)'!$R$5:$R$289,$V1028)*$AB1028))</f>
        <v/>
      </c>
      <c r="AK1028" s="2">
        <f t="shared" si="126"/>
        <v>0</v>
      </c>
      <c r="AL1028" t="str">
        <f t="shared" ref="AL1028:AL1091" si="127">IF(A1028=D1028,"remplir à la main","")</f>
        <v/>
      </c>
      <c r="AM1028" t="str">
        <f>VLOOKUP(A1028,'Table corresp.'!$M$4:$U$63,8,FALSE)</f>
        <v>Production finale</v>
      </c>
      <c r="AN1028" t="str">
        <f>VLOOKUP(D1028,'Table corresp.'!$M$4:$U$63,9,FALSE)</f>
        <v>Exportation</v>
      </c>
    </row>
    <row r="1029" spans="1:40" x14ac:dyDescent="0.25">
      <c r="A1029" t="s">
        <v>101</v>
      </c>
      <c r="B1029" t="str">
        <f>VLOOKUP(LEFT(A1029,3),'Table corresp.'!$A$4:$D$63,3,FALSE)</f>
        <v>Transformation</v>
      </c>
      <c r="C1029" t="str">
        <f>VLOOKUP(A1029,'Table corresp.'!$M$4:$P$63,4,FALSE)</f>
        <v>Production et transformation de produits bois</v>
      </c>
      <c r="D1029" t="s">
        <v>54</v>
      </c>
      <c r="E1029" t="str">
        <f>VLOOKUP(LEFT(D1029,3),'Table corresp.'!$A$4:$D$63,4,FALSE)</f>
        <v>Consommation finale</v>
      </c>
      <c r="F1029" t="str">
        <f t="shared" si="122"/>
        <v>49  - Con</v>
      </c>
      <c r="G1029" s="164">
        <v>2095742.8177858237</v>
      </c>
      <c r="H1029" s="164">
        <v>0</v>
      </c>
      <c r="I1029" s="164">
        <v>2095742.8177858237</v>
      </c>
      <c r="J1029" s="164">
        <v>0</v>
      </c>
      <c r="K1029" s="164">
        <v>0</v>
      </c>
      <c r="L1029" s="164">
        <v>0</v>
      </c>
      <c r="M1029" s="164">
        <v>0</v>
      </c>
      <c r="N1029" s="164">
        <v>0</v>
      </c>
      <c r="O1029" s="164">
        <v>0</v>
      </c>
      <c r="P1029" s="164">
        <v>5366.8999209139274</v>
      </c>
      <c r="Q1029" s="164">
        <v>0</v>
      </c>
      <c r="R1029" s="164">
        <v>5366.8999209139274</v>
      </c>
      <c r="S1029" s="163" t="str">
        <f t="shared" si="123"/>
        <v>BE</v>
      </c>
      <c r="T1029" s="163">
        <f>VLOOKUP(A1029,'Groupe de branches'!$Z$27:$AM$86,14,FALSE)</f>
        <v>1</v>
      </c>
      <c r="U1029" s="163">
        <f>VLOOKUP(D1029,'Groupe de branches'!$Z$27:$AM$86,14,FALSE)</f>
        <v>0</v>
      </c>
      <c r="V1029" s="163">
        <v>2018</v>
      </c>
      <c r="W1029" t="str">
        <f>VLOOKUP(D1029,'Table corresp.'!$M$4:$S$63,7,FALSE)</f>
        <v>Consommation finale</v>
      </c>
      <c r="X1029" s="167">
        <f>IFERROR(G1029/SUMIFS('Comp2016-2017 (3)'!$I$5:$I$289,'Comp2016-2017 (3)'!$A$5:$A$289,A1029,'Comp2016-2017 (3)'!$R$5:$R$289,V1029),0)</f>
        <v>0.99999999999433031</v>
      </c>
      <c r="Y1029" s="178">
        <f>IFERROR(IF(RIGHT(F1029,3)="Exp",VLOOKUP(F1029,#REF!,2,FALSE),VLOOKUP(F1029,#REF!,9,FALSE)),1)</f>
        <v>1</v>
      </c>
      <c r="Z1029" s="167">
        <f t="shared" si="124"/>
        <v>1</v>
      </c>
      <c r="AA1029" s="189">
        <f t="shared" ref="AA1029:AA1092" si="128">X1029*Z1029</f>
        <v>0.99999999999433031</v>
      </c>
      <c r="AB1029" s="2">
        <f>IFERROR(SUMIFS('Comp2016-2017 (3)'!$G$5:$G$289,'Comp2016-2017 (3)'!$A$5:$A$289,A1029,'Comp2016-2017 (3)'!$R$5:$R$289,V1029)*AA1029/SUMIFS($AA$4:$AA$1116,$A$4:$A$1116,A1029,$V$4:$V$1116,V1029),0)</f>
        <v>544588.87242647284</v>
      </c>
      <c r="AC1029" s="2" t="str">
        <f>IF($W1029=AC$3,$AB1029,IF(NOT($W1029=0),"",SUMIFS('Val-Vol (2)'!AC$4:AC$1116,'Val-Vol (2)'!$A$4:$A$1116,$D1029,'Val-Vol (2)'!$V$4:$V$1116,$V1029)/SUMIFS('Comp2016-2017 (3)'!$G$5:$G$289,'Comp2016-2017 (3)'!$A$5:$A$289,$D1029,'Comp2016-2017 (3)'!$R$5:$R$289,$V1029)*$AB1029))</f>
        <v/>
      </c>
      <c r="AD1029" s="2" t="str">
        <f>IF($W1029=AD$3,$AB1029,IF(NOT($W1029=0),"",SUMIFS('Val-Vol (2)'!AD$4:AD$1116,'Val-Vol (2)'!$A$4:$A$1116,$D1029,'Val-Vol (2)'!$V$4:$V$1116,$V1029)/SUMIFS('Comp2016-2017 (3)'!$G$5:$G$289,'Comp2016-2017 (3)'!$A$5:$A$289,$D1029,'Comp2016-2017 (3)'!$R$5:$R$289,$V1029)*$AB1029))</f>
        <v/>
      </c>
      <c r="AE1029" s="2" t="str">
        <f>IF($W1029=AE$3,$AB1029,IF(NOT($W1029=0),"",SUMIFS('Val-Vol (2)'!AE$4:AE$1116,'Val-Vol (2)'!$A$4:$A$1116,$D1029,'Val-Vol (2)'!$V$4:$V$1116,$V1029)/SUMIFS('Comp2016-2017 (3)'!$G$5:$G$289,'Comp2016-2017 (3)'!$A$5:$A$289,$D1029,'Comp2016-2017 (3)'!$R$5:$R$289,$V1029)*$AB1029))</f>
        <v/>
      </c>
      <c r="AF1029" s="2" t="str">
        <f>IF($W1029=AF$3,$AB1029,IF(NOT($W1029=0),"",SUMIFS('Val-Vol (2)'!AF$4:AF$1116,'Val-Vol (2)'!$A$4:$A$1116,$D1029,'Val-Vol (2)'!$V$4:$V$1116,$V1029)/SUMIFS('Comp2016-2017 (3)'!$G$5:$G$289,'Comp2016-2017 (3)'!$A$5:$A$289,$D1029,'Comp2016-2017 (3)'!$R$5:$R$289,$V1029)*$AB1029))</f>
        <v/>
      </c>
      <c r="AG1029" s="2" t="str">
        <f>IF($W1029=AG$3,$AB1029,IF(NOT($W1029=0),"",SUMIFS('Val-Vol (2)'!AG$4:AG$1116,'Val-Vol (2)'!$A$4:$A$1116,$D1029,'Val-Vol (2)'!$V$4:$V$1116,$V1029)/SUMIFS('Comp2016-2017 (3)'!$G$5:$G$289,'Comp2016-2017 (3)'!$A$5:$A$289,$D1029,'Comp2016-2017 (3)'!$R$5:$R$289,$V1029)*$AB1029))</f>
        <v/>
      </c>
      <c r="AH1029" s="2" t="str">
        <f>IF($W1029=AH$3,$AB1029,IF(NOT($W1029=0),"",SUMIFS('Val-Vol (2)'!AH$4:AH$1116,'Val-Vol (2)'!$A$4:$A$1116,$D1029,'Val-Vol (2)'!$V$4:$V$1116,$V1029)/SUMIFS('Comp2016-2017 (3)'!$G$5:$G$289,'Comp2016-2017 (3)'!$A$5:$A$289,$D1029,'Comp2016-2017 (3)'!$R$5:$R$289,$V1029)*$AB1029))</f>
        <v/>
      </c>
      <c r="AI1029" s="2" t="str">
        <f>IF($W1029=AI$3,$AB1029,IF(NOT($W1029=0),"",SUMIFS('Val-Vol (2)'!AI$4:AI$1116,'Val-Vol (2)'!$A$4:$A$1116,$D1029,'Val-Vol (2)'!$V$4:$V$1116,$V1029)/SUMIFS('Comp2016-2017 (3)'!$G$5:$G$289,'Comp2016-2017 (3)'!$A$5:$A$289,$D1029,'Comp2016-2017 (3)'!$R$5:$R$289,$V1029)*$AB1029))</f>
        <v/>
      </c>
      <c r="AJ1029" s="2">
        <f>IF($W1029=AJ$3,$AB1029,IF(NOT($W1029=0),"",SUMIFS('Val-Vol (2)'!AJ$4:AJ$1116,'Val-Vol (2)'!$A$4:$A$1116,$D1029,'Val-Vol (2)'!$V$4:$V$1116,$V1029)/SUMIFS('Comp2016-2017 (3)'!$G$5:$G$289,'Comp2016-2017 (3)'!$A$5:$A$289,$D1029,'Comp2016-2017 (3)'!$R$5:$R$289,$V1029)*$AB1029))</f>
        <v>544588.87242647284</v>
      </c>
      <c r="AK1029" s="2">
        <f t="shared" si="126"/>
        <v>0</v>
      </c>
      <c r="AL1029" t="str">
        <f t="shared" si="127"/>
        <v/>
      </c>
      <c r="AM1029" t="str">
        <f>VLOOKUP(A1029,'Table corresp.'!$M$4:$U$63,8,FALSE)</f>
        <v>Production finale</v>
      </c>
      <c r="AN1029" t="str">
        <f>VLOOKUP(D1029,'Table corresp.'!$M$4:$U$63,9,FALSE)</f>
        <v>Consommation finale française</v>
      </c>
    </row>
    <row r="1030" spans="1:40" x14ac:dyDescent="0.25">
      <c r="A1030" t="s">
        <v>102</v>
      </c>
      <c r="B1030" t="str">
        <f>VLOOKUP(LEFT(A1030,3),'Table corresp.'!$A$4:$D$63,3,FALSE)</f>
        <v>Bois recyclés</v>
      </c>
      <c r="C1030" t="str">
        <f>VLOOKUP(A1030,'Table corresp.'!$M$4:$P$63,4,FALSE)</f>
        <v>Production et transformation de produits bois</v>
      </c>
      <c r="D1030" t="s">
        <v>87</v>
      </c>
      <c r="E1030" t="str">
        <f>VLOOKUP(LEFT(D1030,3),'Table corresp.'!$A$4:$D$63,4,FALSE)</f>
        <v>Transformation</v>
      </c>
      <c r="F1030" t="str">
        <f t="shared" si="122"/>
        <v xml:space="preserve">50  - 31 </v>
      </c>
      <c r="G1030" s="164">
        <v>10420.123005695592</v>
      </c>
      <c r="H1030" s="164">
        <v>0</v>
      </c>
      <c r="I1030" s="164">
        <v>10420.123005695594</v>
      </c>
      <c r="J1030" s="164">
        <v>0</v>
      </c>
      <c r="K1030" s="164">
        <v>0</v>
      </c>
      <c r="L1030" s="164">
        <v>0</v>
      </c>
      <c r="M1030" s="164">
        <v>0</v>
      </c>
      <c r="N1030" s="164">
        <v>0</v>
      </c>
      <c r="O1030" s="164">
        <v>0</v>
      </c>
      <c r="P1030" s="164">
        <v>856.52769696119253</v>
      </c>
      <c r="Q1030" s="164">
        <v>0</v>
      </c>
      <c r="R1030" s="164">
        <v>856.52769696119253</v>
      </c>
      <c r="S1030" s="163" t="str">
        <f t="shared" si="123"/>
        <v>BI</v>
      </c>
      <c r="T1030" s="163">
        <f>VLOOKUP(A1030,'Groupe de branches'!$Z$27:$AM$86,14,FALSE)</f>
        <v>0</v>
      </c>
      <c r="U1030" s="163">
        <f>VLOOKUP(D1030,'Groupe de branches'!$Z$27:$AM$86,14,FALSE)</f>
        <v>0</v>
      </c>
      <c r="V1030" s="163">
        <v>2018</v>
      </c>
      <c r="W1030">
        <f>VLOOKUP(D1030,'Table corresp.'!$M$4:$S$63,7,FALSE)</f>
        <v>0</v>
      </c>
      <c r="X1030" s="167">
        <f>IFERROR(G1030/SUMIFS('Comp2016-2017 (3)'!$I$5:$I$289,'Comp2016-2017 (3)'!$A$5:$A$289,A1030,'Comp2016-2017 (3)'!$R$5:$R$289,V1030),0)</f>
        <v>4.8667147753809842E-2</v>
      </c>
      <c r="Y1030" s="178">
        <f>IFERROR(IF(RIGHT(F1030,3)="Exp",VLOOKUP(F1030,#REF!,2,FALSE),VLOOKUP(F1030,#REF!,9,FALSE)),1)</f>
        <v>1</v>
      </c>
      <c r="Z1030" s="167">
        <f t="shared" si="124"/>
        <v>0.2</v>
      </c>
      <c r="AA1030" s="189">
        <f t="shared" si="128"/>
        <v>9.7334295507619691E-3</v>
      </c>
      <c r="AB1030" s="2">
        <f>IFERROR(SUMIFS('Comp2016-2017 (3)'!$G$5:$G$289,'Comp2016-2017 (3)'!$A$5:$A$289,A1030,'Comp2016-2017 (3)'!$R$5:$R$289,V1030)*AA1030/SUMIFS($AA$4:$AA$1116,$A$4:$A$1116,A1030,$V$4:$V$1116,V1030),0)</f>
        <v>4698.9868442408151</v>
      </c>
      <c r="AC1030" s="2">
        <f>IF($W1030=AC$3,$AB1030,IF(NOT($W1030=0),"",SUMIFS('Val-Vol (2)'!AC$4:AC$1116,'Val-Vol (2)'!$A$4:$A$1116,$D1030,'Val-Vol (2)'!$V$4:$V$1116,$V1030)/SUMIFS('Comp2016-2017 (3)'!$G$5:$G$289,'Comp2016-2017 (3)'!$A$5:$A$289,$D1030,'Comp2016-2017 (3)'!$R$5:$R$289,$V1030)*$AB1030))</f>
        <v>2640.3770342479443</v>
      </c>
      <c r="AD1030" s="2">
        <f>IF($W1030=AD$3,$AB1030,IF(NOT($W1030=0),"",SUMIFS('Val-Vol (2)'!AD$4:AD$1116,'Val-Vol (2)'!$A$4:$A$1116,$D1030,'Val-Vol (2)'!$V$4:$V$1116,$V1030)/SUMIFS('Comp2016-2017 (3)'!$G$5:$G$289,'Comp2016-2017 (3)'!$A$5:$A$289,$D1030,'Comp2016-2017 (3)'!$R$5:$R$289,$V1030)*$AB1030))</f>
        <v>835.93694656590969</v>
      </c>
      <c r="AE1030" s="2">
        <f>IF($W1030=AE$3,$AB1030,IF(NOT($W1030=0),"",SUMIFS('Val-Vol (2)'!AE$4:AE$1116,'Val-Vol (2)'!$A$4:$A$1116,$D1030,'Val-Vol (2)'!$V$4:$V$1116,$V1030)/SUMIFS('Comp2016-2017 (3)'!$G$5:$G$289,'Comp2016-2017 (3)'!$A$5:$A$289,$D1030,'Comp2016-2017 (3)'!$R$5:$R$289,$V1030)*$AB1030))</f>
        <v>674.31506762514357</v>
      </c>
      <c r="AF1030" s="2">
        <f>IF($W1030=AF$3,$AB1030,IF(NOT($W1030=0),"",SUMIFS('Val-Vol (2)'!AF$4:AF$1116,'Val-Vol (2)'!$A$4:$A$1116,$D1030,'Val-Vol (2)'!$V$4:$V$1116,$V1030)/SUMIFS('Comp2016-2017 (3)'!$G$5:$G$289,'Comp2016-2017 (3)'!$A$5:$A$289,$D1030,'Comp2016-2017 (3)'!$R$5:$R$289,$V1030)*$AB1030))</f>
        <v>0</v>
      </c>
      <c r="AG1030" s="2">
        <f>IF($W1030=AG$3,$AB1030,IF(NOT($W1030=0),"",SUMIFS('Val-Vol (2)'!AG$4:AG$1116,'Val-Vol (2)'!$A$4:$A$1116,$D1030,'Val-Vol (2)'!$V$4:$V$1116,$V1030)/SUMIFS('Comp2016-2017 (3)'!$G$5:$G$289,'Comp2016-2017 (3)'!$A$5:$A$289,$D1030,'Comp2016-2017 (3)'!$R$5:$R$289,$V1030)*$AB1030))</f>
        <v>350.83061452456587</v>
      </c>
      <c r="AH1030" s="2">
        <f>IF($W1030=AH$3,$AB1030,IF(NOT($W1030=0),"",SUMIFS('Val-Vol (2)'!AH$4:AH$1116,'Val-Vol (2)'!$A$4:$A$1116,$D1030,'Val-Vol (2)'!$V$4:$V$1116,$V1030)/SUMIFS('Comp2016-2017 (3)'!$G$5:$G$289,'Comp2016-2017 (3)'!$A$5:$A$289,$D1030,'Comp2016-2017 (3)'!$R$5:$R$289,$V1030)*$AB1030))</f>
        <v>0</v>
      </c>
      <c r="AI1030" s="2">
        <f>IF($W1030=AI$3,$AB1030,IF(NOT($W1030=0),"",SUMIFS('Val-Vol (2)'!AI$4:AI$1116,'Val-Vol (2)'!$A$4:$A$1116,$D1030,'Val-Vol (2)'!$V$4:$V$1116,$V1030)/SUMIFS('Comp2016-2017 (3)'!$G$5:$G$289,'Comp2016-2017 (3)'!$A$5:$A$289,$D1030,'Comp2016-2017 (3)'!$R$5:$R$289,$V1030)*$AB1030))</f>
        <v>0</v>
      </c>
      <c r="AJ1030" s="2">
        <f>IF($W1030=AJ$3,$AB1030,IF(NOT($W1030=0),"",SUMIFS('Val-Vol (2)'!AJ$4:AJ$1116,'Val-Vol (2)'!$A$4:$A$1116,$D1030,'Val-Vol (2)'!$V$4:$V$1116,$V1030)/SUMIFS('Comp2016-2017 (3)'!$G$5:$G$289,'Comp2016-2017 (3)'!$A$5:$A$289,$D1030,'Comp2016-2017 (3)'!$R$5:$R$289,$V1030)*$AB1030))</f>
        <v>197.52718127725228</v>
      </c>
      <c r="AK1030" s="2">
        <f t="shared" si="126"/>
        <v>0</v>
      </c>
      <c r="AL1030" t="str">
        <f t="shared" si="127"/>
        <v/>
      </c>
      <c r="AM1030" t="str">
        <f>VLOOKUP(A1030,'Table corresp.'!$M$4:$U$63,8,FALSE)</f>
        <v>Bois recyclés</v>
      </c>
      <c r="AN1030" t="str">
        <f>VLOOKUP(D1030,'Table corresp.'!$M$4:$U$63,9,FALSE)</f>
        <v>Production intermédiaire</v>
      </c>
    </row>
    <row r="1031" spans="1:40" x14ac:dyDescent="0.25">
      <c r="A1031" t="s">
        <v>102</v>
      </c>
      <c r="B1031" t="str">
        <f>VLOOKUP(LEFT(A1031,3),'Table corresp.'!$A$4:$D$63,3,FALSE)</f>
        <v>Bois recyclés</v>
      </c>
      <c r="C1031" t="str">
        <f>VLOOKUP(A1031,'Table corresp.'!$M$4:$P$63,4,FALSE)</f>
        <v>Production et transformation de produits bois</v>
      </c>
      <c r="D1031" t="s">
        <v>101</v>
      </c>
      <c r="E1031" t="str">
        <f>VLOOKUP(LEFT(D1031,3),'Table corresp.'!$A$4:$D$63,4,FALSE)</f>
        <v>Transformation</v>
      </c>
      <c r="F1031" t="str">
        <f t="shared" si="122"/>
        <v xml:space="preserve">50  - 49 </v>
      </c>
      <c r="G1031" s="164">
        <v>68263.995563488032</v>
      </c>
      <c r="H1031" s="164">
        <v>0</v>
      </c>
      <c r="I1031" s="164">
        <v>68263.995563488032</v>
      </c>
      <c r="J1031" s="164">
        <v>0</v>
      </c>
      <c r="K1031" s="164">
        <v>0</v>
      </c>
      <c r="L1031" s="164">
        <v>0</v>
      </c>
      <c r="M1031" s="164">
        <v>0</v>
      </c>
      <c r="N1031" s="164">
        <v>0</v>
      </c>
      <c r="O1031" s="164">
        <v>0</v>
      </c>
      <c r="P1031" s="164">
        <v>1419.3496228641425</v>
      </c>
      <c r="Q1031" s="164">
        <v>0</v>
      </c>
      <c r="R1031" s="164">
        <v>1419.3496228641425</v>
      </c>
      <c r="S1031" s="163" t="str">
        <f t="shared" si="123"/>
        <v>BE</v>
      </c>
      <c r="T1031" s="163">
        <f>VLOOKUP(A1031,'Groupe de branches'!$Z$27:$AM$86,14,FALSE)</f>
        <v>0</v>
      </c>
      <c r="U1031" s="163">
        <f>VLOOKUP(D1031,'Groupe de branches'!$Z$27:$AM$86,14,FALSE)</f>
        <v>1</v>
      </c>
      <c r="V1031" s="163">
        <v>2018</v>
      </c>
      <c r="W1031" t="str">
        <f>VLOOKUP(D1031,'Table corresp.'!$M$4:$S$63,7,FALSE)</f>
        <v>Energie</v>
      </c>
      <c r="X1031" s="167">
        <f>IFERROR(G1031/SUMIFS('Comp2016-2017 (3)'!$I$5:$I$289,'Comp2016-2017 (3)'!$A$5:$A$289,A1031,'Comp2016-2017 (3)'!$R$5:$R$289,V1031),0)</f>
        <v>0.3188267505611771</v>
      </c>
      <c r="Y1031" s="178">
        <f>IFERROR(IF(RIGHT(F1031,3)="Exp",VLOOKUP(F1031,#REF!,2,FALSE),VLOOKUP(F1031,#REF!,9,FALSE)),1)</f>
        <v>1</v>
      </c>
      <c r="Z1031" s="167">
        <f t="shared" si="124"/>
        <v>0.2</v>
      </c>
      <c r="AA1031" s="189">
        <f t="shared" si="128"/>
        <v>6.3765350112235428E-2</v>
      </c>
      <c r="AB1031" s="2">
        <f>IFERROR(SUMIFS('Comp2016-2017 (3)'!$G$5:$G$289,'Comp2016-2017 (3)'!$A$5:$A$289,A1031,'Comp2016-2017 (3)'!$R$5:$R$289,V1031)*AA1031/SUMIFS($AA$4:$AA$1116,$A$4:$A$1116,A1031,$V$4:$V$1116,V1031),0)</f>
        <v>30783.860892314926</v>
      </c>
      <c r="AC1031" s="2" t="str">
        <f>IF($W1031=AC$3,$AB1031,IF(NOT($W1031=0),"",SUMIFS('Val-Vol (2)'!AC$4:AC$1116,'Val-Vol (2)'!$A$4:$A$1116,$D1031,'Val-Vol (2)'!$V$4:$V$1116,$V1031)/SUMIFS('Comp2016-2017 (3)'!$G$5:$G$289,'Comp2016-2017 (3)'!$A$5:$A$289,$D1031,'Comp2016-2017 (3)'!$R$5:$R$289,$V1031)*$AB1031))</f>
        <v/>
      </c>
      <c r="AD1031" s="2" t="str">
        <f>IF($W1031=AD$3,$AB1031,IF(NOT($W1031=0),"",SUMIFS('Val-Vol (2)'!AD$4:AD$1116,'Val-Vol (2)'!$A$4:$A$1116,$D1031,'Val-Vol (2)'!$V$4:$V$1116,$V1031)/SUMIFS('Comp2016-2017 (3)'!$G$5:$G$289,'Comp2016-2017 (3)'!$A$5:$A$289,$D1031,'Comp2016-2017 (3)'!$R$5:$R$289,$V1031)*$AB1031))</f>
        <v/>
      </c>
      <c r="AE1031" s="2" t="str">
        <f>IF($W1031=AE$3,$AB1031,IF(NOT($W1031=0),"",SUMIFS('Val-Vol (2)'!AE$4:AE$1116,'Val-Vol (2)'!$A$4:$A$1116,$D1031,'Val-Vol (2)'!$V$4:$V$1116,$V1031)/SUMIFS('Comp2016-2017 (3)'!$G$5:$G$289,'Comp2016-2017 (3)'!$A$5:$A$289,$D1031,'Comp2016-2017 (3)'!$R$5:$R$289,$V1031)*$AB1031))</f>
        <v/>
      </c>
      <c r="AF1031" s="2" t="str">
        <f>IF($W1031=AF$3,$AB1031,IF(NOT($W1031=0),"",SUMIFS('Val-Vol (2)'!AF$4:AF$1116,'Val-Vol (2)'!$A$4:$A$1116,$D1031,'Val-Vol (2)'!$V$4:$V$1116,$V1031)/SUMIFS('Comp2016-2017 (3)'!$G$5:$G$289,'Comp2016-2017 (3)'!$A$5:$A$289,$D1031,'Comp2016-2017 (3)'!$R$5:$R$289,$V1031)*$AB1031))</f>
        <v/>
      </c>
      <c r="AG1031" s="2" t="str">
        <f>IF($W1031=AG$3,$AB1031,IF(NOT($W1031=0),"",SUMIFS('Val-Vol (2)'!AG$4:AG$1116,'Val-Vol (2)'!$A$4:$A$1116,$D1031,'Val-Vol (2)'!$V$4:$V$1116,$V1031)/SUMIFS('Comp2016-2017 (3)'!$G$5:$G$289,'Comp2016-2017 (3)'!$A$5:$A$289,$D1031,'Comp2016-2017 (3)'!$R$5:$R$289,$V1031)*$AB1031))</f>
        <v/>
      </c>
      <c r="AH1031" s="2">
        <f>IF($W1031=AH$3,$AB1031,IF(NOT($W1031=0),"",SUMIFS('Val-Vol (2)'!AH$4:AH$1116,'Val-Vol (2)'!$A$4:$A$1116,$D1031,'Val-Vol (2)'!$V$4:$V$1116,$V1031)/SUMIFS('Comp2016-2017 (3)'!$G$5:$G$289,'Comp2016-2017 (3)'!$A$5:$A$289,$D1031,'Comp2016-2017 (3)'!$R$5:$R$289,$V1031)*$AB1031))</f>
        <v>30783.860892314926</v>
      </c>
      <c r="AI1031" s="2" t="str">
        <f>IF($W1031=AI$3,$AB1031,IF(NOT($W1031=0),"",SUMIFS('Val-Vol (2)'!AI$4:AI$1116,'Val-Vol (2)'!$A$4:$A$1116,$D1031,'Val-Vol (2)'!$V$4:$V$1116,$V1031)/SUMIFS('Comp2016-2017 (3)'!$G$5:$G$289,'Comp2016-2017 (3)'!$A$5:$A$289,$D1031,'Comp2016-2017 (3)'!$R$5:$R$289,$V1031)*$AB1031))</f>
        <v/>
      </c>
      <c r="AJ1031" s="2" t="str">
        <f>IF($W1031=AJ$3,$AB1031,IF(NOT($W1031=0),"",SUMIFS('Val-Vol (2)'!AJ$4:AJ$1116,'Val-Vol (2)'!$A$4:$A$1116,$D1031,'Val-Vol (2)'!$V$4:$V$1116,$V1031)/SUMIFS('Comp2016-2017 (3)'!$G$5:$G$289,'Comp2016-2017 (3)'!$A$5:$A$289,$D1031,'Comp2016-2017 (3)'!$R$5:$R$289,$V1031)*$AB1031))</f>
        <v/>
      </c>
      <c r="AK1031" s="2">
        <f t="shared" si="126"/>
        <v>0</v>
      </c>
      <c r="AL1031" t="str">
        <f t="shared" si="127"/>
        <v/>
      </c>
      <c r="AM1031" t="str">
        <f>VLOOKUP(A1031,'Table corresp.'!$M$4:$U$63,8,FALSE)</f>
        <v>Bois recyclés</v>
      </c>
      <c r="AN1031" t="str">
        <f>VLOOKUP(D1031,'Table corresp.'!$M$4:$U$63,9,FALSE)</f>
        <v>Production finale</v>
      </c>
    </row>
    <row r="1032" spans="1:40" x14ac:dyDescent="0.25">
      <c r="A1032" t="s">
        <v>102</v>
      </c>
      <c r="B1032" t="str">
        <f>VLOOKUP(LEFT(A1032,3),'Table corresp.'!$A$4:$D$63,3,FALSE)</f>
        <v>Bois recyclés</v>
      </c>
      <c r="C1032" t="str">
        <f>VLOOKUP(A1032,'Table corresp.'!$M$4:$P$63,4,FALSE)</f>
        <v>Production et transformation de produits bois</v>
      </c>
      <c r="D1032" t="s">
        <v>102</v>
      </c>
      <c r="E1032" t="str">
        <f>VLOOKUP(LEFT(D1032,3),'Table corresp.'!$A$4:$D$63,4,FALSE)</f>
        <v>Transformation</v>
      </c>
      <c r="F1032" t="str">
        <f t="shared" si="122"/>
        <v xml:space="preserve">50  - 50 </v>
      </c>
      <c r="G1032" s="164">
        <v>11834.73795055626</v>
      </c>
      <c r="H1032" s="164">
        <v>0</v>
      </c>
      <c r="I1032" s="164">
        <v>11834.73795055626</v>
      </c>
      <c r="J1032" s="164">
        <v>0</v>
      </c>
      <c r="K1032" s="164">
        <v>0</v>
      </c>
      <c r="L1032" s="164">
        <v>0</v>
      </c>
      <c r="M1032" s="164">
        <v>0</v>
      </c>
      <c r="N1032" s="164">
        <v>0</v>
      </c>
      <c r="O1032" s="164">
        <v>0</v>
      </c>
      <c r="P1032" s="164">
        <v>0</v>
      </c>
      <c r="Q1032" s="164">
        <v>0</v>
      </c>
      <c r="R1032" s="164">
        <v>0</v>
      </c>
      <c r="S1032" s="163" t="str">
        <f t="shared" si="123"/>
        <v/>
      </c>
      <c r="T1032" s="163">
        <f>VLOOKUP(A1032,'Groupe de branches'!$Z$27:$AM$86,14,FALSE)</f>
        <v>0</v>
      </c>
      <c r="U1032" s="163">
        <f>VLOOKUP(D1032,'Groupe de branches'!$Z$27:$AM$86,14,FALSE)</f>
        <v>0</v>
      </c>
      <c r="V1032" s="163">
        <v>2018</v>
      </c>
      <c r="W1032">
        <f>VLOOKUP(D1032,'Table corresp.'!$M$4:$S$63,7,FALSE)</f>
        <v>0</v>
      </c>
      <c r="X1032" s="167">
        <f>IFERROR(G1032/SUMIFS('Comp2016-2017 (3)'!$I$5:$I$289,'Comp2016-2017 (3)'!$A$5:$A$289,A1032,'Comp2016-2017 (3)'!$R$5:$R$289,V1032),0)</f>
        <v>5.5274101865450481E-2</v>
      </c>
      <c r="Y1032" s="178">
        <f>IFERROR(IF(RIGHT(F1032,3)="Exp",VLOOKUP(F1032,#REF!,2,FALSE),VLOOKUP(F1032,#REF!,9,FALSE)),1)</f>
        <v>1</v>
      </c>
      <c r="Z1032" s="167">
        <f t="shared" si="124"/>
        <v>0.2</v>
      </c>
      <c r="AA1032" s="189">
        <f t="shared" si="128"/>
        <v>1.1054820373090097E-2</v>
      </c>
      <c r="AB1032" s="2">
        <f>IFERROR(SUMIFS('Comp2016-2017 (3)'!$G$5:$G$289,'Comp2016-2017 (3)'!$A$5:$A$289,A1032,'Comp2016-2017 (3)'!$R$5:$R$289,V1032)*AA1032/SUMIFS($AA$4:$AA$1116,$A$4:$A$1116,A1032,$V$4:$V$1116,V1032),0)</f>
        <v>5336.9118487665164</v>
      </c>
      <c r="AJ1032" s="198">
        <f>AB1032</f>
        <v>5336.9118487665164</v>
      </c>
      <c r="AK1032" s="2">
        <f t="shared" ref="AK1032:AK1033" si="129">SUM(AC1032:AJ1032)-AB1032</f>
        <v>0</v>
      </c>
      <c r="AL1032" s="231" t="str">
        <f t="shared" si="127"/>
        <v>remplir à la main</v>
      </c>
      <c r="AM1032" t="str">
        <f>VLOOKUP(A1032,'Table corresp.'!$M$4:$U$63,8,FALSE)</f>
        <v>Bois recyclés</v>
      </c>
      <c r="AN1032" t="str">
        <f>VLOOKUP(D1032,'Table corresp.'!$M$4:$U$63,9,FALSE)</f>
        <v>Production intermédiaire</v>
      </c>
    </row>
    <row r="1033" spans="1:40" x14ac:dyDescent="0.25">
      <c r="A1033" t="s">
        <v>102</v>
      </c>
      <c r="B1033" t="str">
        <f>VLOOKUP(LEFT(A1033,3),'Table corresp.'!$A$4:$D$63,3,FALSE)</f>
        <v>Bois recyclés</v>
      </c>
      <c r="C1033" t="str">
        <f>VLOOKUP(A1033,'Table corresp.'!$M$4:$P$63,4,FALSE)</f>
        <v>Production et transformation de produits bois</v>
      </c>
      <c r="D1033" t="s">
        <v>54</v>
      </c>
      <c r="E1033" t="str">
        <f>VLOOKUP(LEFT(D1033,3),'Table corresp.'!$A$4:$D$63,4,FALSE)</f>
        <v>Consommation finale</v>
      </c>
      <c r="F1033" t="str">
        <f t="shared" si="122"/>
        <v>50  - Con</v>
      </c>
      <c r="G1033" s="164">
        <v>73591.143408031523</v>
      </c>
      <c r="H1033" s="164">
        <v>0</v>
      </c>
      <c r="I1033" s="164">
        <v>73591.143408031523</v>
      </c>
      <c r="J1033" s="164">
        <v>0</v>
      </c>
      <c r="K1033" s="164">
        <v>0</v>
      </c>
      <c r="L1033" s="164">
        <v>0</v>
      </c>
      <c r="M1033" s="164">
        <v>0</v>
      </c>
      <c r="N1033" s="164">
        <v>0</v>
      </c>
      <c r="O1033" s="164">
        <v>0</v>
      </c>
      <c r="P1033" s="164">
        <v>2431.7569690222067</v>
      </c>
      <c r="Q1033" s="164">
        <v>0</v>
      </c>
      <c r="R1033" s="164">
        <v>2431.7569690222067</v>
      </c>
      <c r="S1033" s="163" t="str">
        <f t="shared" si="123"/>
        <v/>
      </c>
      <c r="T1033" s="163">
        <f>VLOOKUP(A1033,'Groupe de branches'!$Z$27:$AM$86,14,FALSE)</f>
        <v>0</v>
      </c>
      <c r="U1033" s="163">
        <f>VLOOKUP(D1033,'Groupe de branches'!$Z$27:$AM$86,14,FALSE)</f>
        <v>0</v>
      </c>
      <c r="V1033" s="163">
        <v>2018</v>
      </c>
      <c r="W1033" t="str">
        <f>VLOOKUP(D1033,'Table corresp.'!$M$4:$S$63,7,FALSE)</f>
        <v>Consommation finale</v>
      </c>
      <c r="X1033" s="167">
        <f>IFERROR(G1033/SUMIFS('Comp2016-2017 (3)'!$I$5:$I$289,'Comp2016-2017 (3)'!$A$5:$A$289,A1033,'Comp2016-2017 (3)'!$R$5:$R$289,V1033),0)</f>
        <v>0.34370717578409232</v>
      </c>
      <c r="Y1033" s="178">
        <f>IFERROR(IF(RIGHT(F1033,3)="Exp",VLOOKUP(F1033,#REF!,2,FALSE),VLOOKUP(F1033,#REF!,9,FALSE)),1)</f>
        <v>1</v>
      </c>
      <c r="Z1033" s="167">
        <f t="shared" si="124"/>
        <v>0.2</v>
      </c>
      <c r="AA1033" s="189">
        <f t="shared" si="128"/>
        <v>6.8741435156818465E-2</v>
      </c>
      <c r="AB1033" s="2">
        <f>IFERROR(SUMIFS('Comp2016-2017 (3)'!$G$5:$G$289,'Comp2016-2017 (3)'!$A$5:$A$289,A1033,'Comp2016-2017 (3)'!$R$5:$R$289,V1033)*AA1033/SUMIFS($AA$4:$AA$1116,$A$4:$A$1116,A1033,$V$4:$V$1116,V1033),0)</f>
        <v>33186.154764004656</v>
      </c>
      <c r="AC1033" s="2" t="str">
        <f>IF($W1033=AC$3,$AB1033,IF(NOT($W1033=0),"",SUMIFS('Val-Vol (2)'!AC$4:AC$1116,'Val-Vol (2)'!$A$4:$A$1116,$D1033,'Val-Vol (2)'!$V$4:$V$1116,$V1033)/SUMIFS('Comp2016-2017 (3)'!$G$5:$G$289,'Comp2016-2017 (3)'!$A$5:$A$289,$D1033,'Comp2016-2017 (3)'!$R$5:$R$289,$V1033)*$AB1033))</f>
        <v/>
      </c>
      <c r="AD1033" s="2" t="str">
        <f>IF($W1033=AD$3,$AB1033,IF(NOT($W1033=0),"",SUMIFS('Val-Vol (2)'!AD$4:AD$1116,'Val-Vol (2)'!$A$4:$A$1116,$D1033,'Val-Vol (2)'!$V$4:$V$1116,$V1033)/SUMIFS('Comp2016-2017 (3)'!$G$5:$G$289,'Comp2016-2017 (3)'!$A$5:$A$289,$D1033,'Comp2016-2017 (3)'!$R$5:$R$289,$V1033)*$AB1033))</f>
        <v/>
      </c>
      <c r="AE1033" s="2" t="str">
        <f>IF($W1033=AE$3,$AB1033,IF(NOT($W1033=0),"",SUMIFS('Val-Vol (2)'!AE$4:AE$1116,'Val-Vol (2)'!$A$4:$A$1116,$D1033,'Val-Vol (2)'!$V$4:$V$1116,$V1033)/SUMIFS('Comp2016-2017 (3)'!$G$5:$G$289,'Comp2016-2017 (3)'!$A$5:$A$289,$D1033,'Comp2016-2017 (3)'!$R$5:$R$289,$V1033)*$AB1033))</f>
        <v/>
      </c>
      <c r="AF1033" s="2" t="str">
        <f>IF($W1033=AF$3,$AB1033,IF(NOT($W1033=0),"",SUMIFS('Val-Vol (2)'!AF$4:AF$1116,'Val-Vol (2)'!$A$4:$A$1116,$D1033,'Val-Vol (2)'!$V$4:$V$1116,$V1033)/SUMIFS('Comp2016-2017 (3)'!$G$5:$G$289,'Comp2016-2017 (3)'!$A$5:$A$289,$D1033,'Comp2016-2017 (3)'!$R$5:$R$289,$V1033)*$AB1033))</f>
        <v/>
      </c>
      <c r="AG1033" s="2" t="str">
        <f>IF($W1033=AG$3,$AB1033,IF(NOT($W1033=0),"",SUMIFS('Val-Vol (2)'!AG$4:AG$1116,'Val-Vol (2)'!$A$4:$A$1116,$D1033,'Val-Vol (2)'!$V$4:$V$1116,$V1033)/SUMIFS('Comp2016-2017 (3)'!$G$5:$G$289,'Comp2016-2017 (3)'!$A$5:$A$289,$D1033,'Comp2016-2017 (3)'!$R$5:$R$289,$V1033)*$AB1033))</f>
        <v/>
      </c>
      <c r="AH1033" s="2" t="str">
        <f>IF($W1033=AH$3,$AB1033,IF(NOT($W1033=0),"",SUMIFS('Val-Vol (2)'!AH$4:AH$1116,'Val-Vol (2)'!$A$4:$A$1116,$D1033,'Val-Vol (2)'!$V$4:$V$1116,$V1033)/SUMIFS('Comp2016-2017 (3)'!$G$5:$G$289,'Comp2016-2017 (3)'!$A$5:$A$289,$D1033,'Comp2016-2017 (3)'!$R$5:$R$289,$V1033)*$AB1033))</f>
        <v/>
      </c>
      <c r="AI1033" s="2" t="str">
        <f>IF($W1033=AI$3,$AB1033,IF(NOT($W1033=0),"",SUMIFS('Val-Vol (2)'!AI$4:AI$1116,'Val-Vol (2)'!$A$4:$A$1116,$D1033,'Val-Vol (2)'!$V$4:$V$1116,$V1033)/SUMIFS('Comp2016-2017 (3)'!$G$5:$G$289,'Comp2016-2017 (3)'!$A$5:$A$289,$D1033,'Comp2016-2017 (3)'!$R$5:$R$289,$V1033)*$AB1033))</f>
        <v/>
      </c>
      <c r="AJ1033" s="2">
        <f>IF($W1033=AJ$3,$AB1033,IF(NOT($W1033=0),"",SUMIFS('Val-Vol (2)'!AJ$4:AJ$1116,'Val-Vol (2)'!$A$4:$A$1116,$D1033,'Val-Vol (2)'!$V$4:$V$1116,$V1033)/SUMIFS('Comp2016-2017 (3)'!$G$5:$G$289,'Comp2016-2017 (3)'!$A$5:$A$289,$D1033,'Comp2016-2017 (3)'!$R$5:$R$289,$V1033)*$AB1033))</f>
        <v>33186.154764004656</v>
      </c>
      <c r="AK1033" s="2">
        <f t="shared" si="129"/>
        <v>0</v>
      </c>
      <c r="AL1033" t="str">
        <f t="shared" si="127"/>
        <v/>
      </c>
      <c r="AM1033" t="str">
        <f>VLOOKUP(A1033,'Table corresp.'!$M$4:$U$63,8,FALSE)</f>
        <v>Bois recyclés</v>
      </c>
      <c r="AN1033" t="str">
        <f>VLOOKUP(D1033,'Table corresp.'!$M$4:$U$63,9,FALSE)</f>
        <v>Consommation finale française</v>
      </c>
    </row>
    <row r="1034" spans="1:40" x14ac:dyDescent="0.25">
      <c r="A1034" t="s">
        <v>102</v>
      </c>
      <c r="B1034" t="str">
        <f>VLOOKUP(LEFT(A1034,3),'Table corresp.'!$A$4:$D$63,3,FALSE)</f>
        <v>Bois recyclés</v>
      </c>
      <c r="C1034" t="str">
        <f>VLOOKUP(A1034,'Table corresp.'!$M$4:$P$63,4,FALSE)</f>
        <v>Production et transformation de produits bois</v>
      </c>
      <c r="D1034" t="s">
        <v>53</v>
      </c>
      <c r="E1034" t="str">
        <f>VLOOKUP(LEFT(D1034,3),'Table corresp.'!$A$4:$D$63,4,FALSE)</f>
        <v>Exportation</v>
      </c>
      <c r="F1034" t="str">
        <f t="shared" si="122"/>
        <v>50  - Exp</v>
      </c>
      <c r="G1034" s="164">
        <v>49999.999999999993</v>
      </c>
      <c r="H1034" s="164">
        <v>0</v>
      </c>
      <c r="I1034" s="164">
        <v>50000</v>
      </c>
      <c r="J1034" s="164">
        <v>0</v>
      </c>
      <c r="K1034" s="164">
        <v>0</v>
      </c>
      <c r="L1034" s="164">
        <v>0</v>
      </c>
      <c r="M1034" s="164">
        <v>0</v>
      </c>
      <c r="N1034" s="164">
        <v>0</v>
      </c>
      <c r="O1034" s="164">
        <v>0</v>
      </c>
      <c r="P1034" s="164">
        <v>1252.3238076281598</v>
      </c>
      <c r="Q1034" s="164">
        <v>0</v>
      </c>
      <c r="R1034" s="164">
        <v>1252.3238076281598</v>
      </c>
      <c r="S1034" s="163" t="str">
        <f t="shared" si="123"/>
        <v>BE</v>
      </c>
      <c r="T1034" s="163">
        <f>VLOOKUP(A1034,'Groupe de branches'!$Z$27:$AM$86,14,FALSE)</f>
        <v>0</v>
      </c>
      <c r="U1034" s="163">
        <f>VLOOKUP(D1034,'Groupe de branches'!$Z$27:$AM$86,14,FALSE)</f>
        <v>0</v>
      </c>
      <c r="V1034" s="163">
        <v>2018</v>
      </c>
      <c r="W1034" t="str">
        <f>VLOOKUP(D1034,'Table corresp.'!$M$4:$S$63,7,FALSE)</f>
        <v>Exportation</v>
      </c>
      <c r="X1034" s="167">
        <f>IFERROR(G1034/SUMIFS('Comp2016-2017 (3)'!$I$5:$I$289,'Comp2016-2017 (3)'!$A$5:$A$289,A1034,'Comp2016-2017 (3)'!$R$5:$R$289,V1034),0)</f>
        <v>0.23352482368590366</v>
      </c>
      <c r="Y1034" s="178">
        <f>IFERROR(IF(RIGHT(F1034,3)="Exp",VLOOKUP(F1034,#REF!,2,FALSE),VLOOKUP(F1034,#REF!,9,FALSE)),1)</f>
        <v>1</v>
      </c>
      <c r="Z1034" s="167">
        <f t="shared" si="124"/>
        <v>0.2</v>
      </c>
      <c r="AA1034" s="189">
        <f t="shared" si="128"/>
        <v>4.6704964737180735E-2</v>
      </c>
      <c r="AB1034" s="2">
        <f>IFERROR(SUMIFS('Comp2016-2017 (3)'!$G$5:$G$289,'Comp2016-2017 (3)'!$A$5:$A$289,A1034,'Comp2016-2017 (3)'!$R$5:$R$289,V1034)*AA1034/SUMIFS($AA$4:$AA$1116,$A$4:$A$1116,A1034,$V$4:$V$1116,V1034),0)</f>
        <v>22547.655347601794</v>
      </c>
      <c r="AC1034" s="2">
        <f>IF($W1034=AC$3,$AB1034,IF(NOT($W1034=0),"",SUMIFS('Val-Vol (2)'!AC$4:AC$1116,'Val-Vol (2)'!$A$4:$A$1116,$D1034,'Val-Vol (2)'!$V$4:$V$1116,$V1034)/SUMIFS('Comp2016-2017 (3)'!$G$5:$G$289,'Comp2016-2017 (3)'!$A$5:$A$289,$D1034,'Comp2016-2017 (3)'!$R$5:$R$289,$V1034)*$AB1034))</f>
        <v>22547.655347601794</v>
      </c>
      <c r="AD1034" s="2" t="str">
        <f>IF($W1034=AD$3,$AB1034,IF(NOT($W1034=0),"",SUMIFS('Val-Vol (2)'!AD$4:AD$1116,'Val-Vol (2)'!$A$4:$A$1116,$D1034,'Val-Vol (2)'!$V$4:$V$1116,$V1034)/SUMIFS('Comp2016-2017 (3)'!$G$5:$G$289,'Comp2016-2017 (3)'!$A$5:$A$289,$D1034,'Comp2016-2017 (3)'!$R$5:$R$289,$V1034)*$AB1034))</f>
        <v/>
      </c>
      <c r="AE1034" s="2" t="str">
        <f>IF($W1034=AE$3,$AB1034,IF(NOT($W1034=0),"",SUMIFS('Val-Vol (2)'!AE$4:AE$1116,'Val-Vol (2)'!$A$4:$A$1116,$D1034,'Val-Vol (2)'!$V$4:$V$1116,$V1034)/SUMIFS('Comp2016-2017 (3)'!$G$5:$G$289,'Comp2016-2017 (3)'!$A$5:$A$289,$D1034,'Comp2016-2017 (3)'!$R$5:$R$289,$V1034)*$AB1034))</f>
        <v/>
      </c>
      <c r="AF1034" s="2" t="str">
        <f>IF($W1034=AF$3,$AB1034,IF(NOT($W1034=0),"",SUMIFS('Val-Vol (2)'!AF$4:AF$1116,'Val-Vol (2)'!$A$4:$A$1116,$D1034,'Val-Vol (2)'!$V$4:$V$1116,$V1034)/SUMIFS('Comp2016-2017 (3)'!$G$5:$G$289,'Comp2016-2017 (3)'!$A$5:$A$289,$D1034,'Comp2016-2017 (3)'!$R$5:$R$289,$V1034)*$AB1034))</f>
        <v/>
      </c>
      <c r="AG1034" s="2" t="str">
        <f>IF($W1034=AG$3,$AB1034,IF(NOT($W1034=0),"",SUMIFS('Val-Vol (2)'!AG$4:AG$1116,'Val-Vol (2)'!$A$4:$A$1116,$D1034,'Val-Vol (2)'!$V$4:$V$1116,$V1034)/SUMIFS('Comp2016-2017 (3)'!$G$5:$G$289,'Comp2016-2017 (3)'!$A$5:$A$289,$D1034,'Comp2016-2017 (3)'!$R$5:$R$289,$V1034)*$AB1034))</f>
        <v/>
      </c>
      <c r="AH1034" s="2" t="str">
        <f>IF($W1034=AH$3,$AB1034,IF(NOT($W1034=0),"",SUMIFS('Val-Vol (2)'!AH$4:AH$1116,'Val-Vol (2)'!$A$4:$A$1116,$D1034,'Val-Vol (2)'!$V$4:$V$1116,$V1034)/SUMIFS('Comp2016-2017 (3)'!$G$5:$G$289,'Comp2016-2017 (3)'!$A$5:$A$289,$D1034,'Comp2016-2017 (3)'!$R$5:$R$289,$V1034)*$AB1034))</f>
        <v/>
      </c>
      <c r="AI1034" s="2" t="str">
        <f>IF($W1034=AI$3,$AB1034,IF(NOT($W1034=0),"",SUMIFS('Val-Vol (2)'!AI$4:AI$1116,'Val-Vol (2)'!$A$4:$A$1116,$D1034,'Val-Vol (2)'!$V$4:$V$1116,$V1034)/SUMIFS('Comp2016-2017 (3)'!$G$5:$G$289,'Comp2016-2017 (3)'!$A$5:$A$289,$D1034,'Comp2016-2017 (3)'!$R$5:$R$289,$V1034)*$AB1034))</f>
        <v/>
      </c>
      <c r="AJ1034" s="2" t="str">
        <f>IF($W1034=AJ$3,$AB1034,IF(NOT($W1034=0),"",SUMIFS('Val-Vol (2)'!AJ$4:AJ$1116,'Val-Vol (2)'!$A$4:$A$1116,$D1034,'Val-Vol (2)'!$V$4:$V$1116,$V1034)/SUMIFS('Comp2016-2017 (3)'!$G$5:$G$289,'Comp2016-2017 (3)'!$A$5:$A$289,$D1034,'Comp2016-2017 (3)'!$R$5:$R$289,$V1034)*$AB1034))</f>
        <v/>
      </c>
      <c r="AK1034" s="2">
        <f t="shared" ref="AK1034:AK1097" si="130">SUM(AC1034:AJ1034)-AB1034</f>
        <v>0</v>
      </c>
      <c r="AL1034" t="str">
        <f t="shared" si="127"/>
        <v/>
      </c>
      <c r="AM1034" t="str">
        <f>VLOOKUP(A1034,'Table corresp.'!$M$4:$U$63,8,FALSE)</f>
        <v>Bois recyclés</v>
      </c>
      <c r="AN1034" t="str">
        <f>VLOOKUP(D1034,'Table corresp.'!$M$4:$U$63,9,FALSE)</f>
        <v>Exportation</v>
      </c>
    </row>
    <row r="1035" spans="1:40" x14ac:dyDescent="0.25">
      <c r="A1035" t="s">
        <v>103</v>
      </c>
      <c r="B1035" t="str">
        <f>VLOOKUP(LEFT(A1035,3),'Table corresp.'!$A$4:$D$63,3,FALSE)</f>
        <v>Transformation</v>
      </c>
      <c r="C1035" t="str">
        <f>VLOOKUP(A1035,'Table corresp.'!$M$4:$P$63,4,FALSE)</f>
        <v>Commerces et services</v>
      </c>
      <c r="D1035" t="s">
        <v>54</v>
      </c>
      <c r="E1035" t="str">
        <f>VLOOKUP(LEFT(D1035,3),'Table corresp.'!$A$4:$D$63,4,FALSE)</f>
        <v>Consommation finale</v>
      </c>
      <c r="F1035" t="str">
        <f t="shared" si="122"/>
        <v>51  - Con</v>
      </c>
      <c r="G1035" s="164">
        <v>2140995.0000000005</v>
      </c>
      <c r="H1035" s="164">
        <v>0</v>
      </c>
      <c r="I1035" s="164">
        <v>2140995.0000000005</v>
      </c>
      <c r="J1035" s="164">
        <v>0</v>
      </c>
      <c r="K1035" s="164">
        <v>0</v>
      </c>
      <c r="L1035" s="164">
        <v>0</v>
      </c>
      <c r="M1035" s="164">
        <v>0</v>
      </c>
      <c r="N1035" s="164">
        <v>0</v>
      </c>
      <c r="O1035" s="164">
        <v>0</v>
      </c>
      <c r="P1035" s="164">
        <v>0</v>
      </c>
      <c r="Q1035" s="164">
        <v>0</v>
      </c>
      <c r="R1035" s="164">
        <v>0</v>
      </c>
      <c r="S1035" s="163" t="str">
        <f t="shared" si="123"/>
        <v/>
      </c>
      <c r="T1035" s="163">
        <f>VLOOKUP(A1035,'Groupe de branches'!$Z$27:$AM$86,14,FALSE)</f>
        <v>0</v>
      </c>
      <c r="U1035" s="163">
        <f>VLOOKUP(D1035,'Groupe de branches'!$Z$27:$AM$86,14,FALSE)</f>
        <v>0</v>
      </c>
      <c r="V1035" s="163">
        <v>2018</v>
      </c>
      <c r="W1035" t="str">
        <f>VLOOKUP(D1035,'Table corresp.'!$M$4:$S$63,7,FALSE)</f>
        <v>Consommation finale</v>
      </c>
      <c r="X1035" s="167">
        <f>IFERROR(G1035/SUMIFS('Comp2016-2017 (3)'!$I$5:$I$289,'Comp2016-2017 (3)'!$A$5:$A$289,A1035,'Comp2016-2017 (3)'!$R$5:$R$289,V1035),0)</f>
        <v>1</v>
      </c>
      <c r="Y1035" s="178">
        <f>IFERROR(IF(RIGHT(F1035,3)="Exp",VLOOKUP(F1035,#REF!,2,FALSE),VLOOKUP(F1035,#REF!,9,FALSE)),1)</f>
        <v>1</v>
      </c>
      <c r="Z1035" s="167">
        <f t="shared" si="124"/>
        <v>1</v>
      </c>
      <c r="AA1035" s="189">
        <f t="shared" si="128"/>
        <v>1</v>
      </c>
      <c r="AB1035" s="2">
        <f>IFERROR(SUMIFS('Comp2016-2017 (3)'!$G$5:$G$289,'Comp2016-2017 (3)'!$A$5:$A$289,A1035,'Comp2016-2017 (3)'!$R$5:$R$289,V1035)*AA1035/SUMIFS($AA$4:$AA$1116,$A$4:$A$1116,A1035,$V$4:$V$1116,V1035),0)</f>
        <v>276576.11486781592</v>
      </c>
      <c r="AC1035" s="2" t="str">
        <f>IF($W1035=AC$3,$AB1035,IF(NOT($W1035=0),"",SUMIFS('Val-Vol (2)'!AC$4:AC$1116,'Val-Vol (2)'!$A$4:$A$1116,$D1035,'Val-Vol (2)'!$V$4:$V$1116,$V1035)/SUMIFS('Comp2016-2017 (3)'!$G$5:$G$289,'Comp2016-2017 (3)'!$A$5:$A$289,$D1035,'Comp2016-2017 (3)'!$R$5:$R$289,$V1035)*$AB1035))</f>
        <v/>
      </c>
      <c r="AD1035" s="2" t="str">
        <f>IF($W1035=AD$3,$AB1035,IF(NOT($W1035=0),"",SUMIFS('Val-Vol (2)'!AD$4:AD$1116,'Val-Vol (2)'!$A$4:$A$1116,$D1035,'Val-Vol (2)'!$V$4:$V$1116,$V1035)/SUMIFS('Comp2016-2017 (3)'!$G$5:$G$289,'Comp2016-2017 (3)'!$A$5:$A$289,$D1035,'Comp2016-2017 (3)'!$R$5:$R$289,$V1035)*$AB1035))</f>
        <v/>
      </c>
      <c r="AE1035" s="2" t="str">
        <f>IF($W1035=AE$3,$AB1035,IF(NOT($W1035=0),"",SUMIFS('Val-Vol (2)'!AE$4:AE$1116,'Val-Vol (2)'!$A$4:$A$1116,$D1035,'Val-Vol (2)'!$V$4:$V$1116,$V1035)/SUMIFS('Comp2016-2017 (3)'!$G$5:$G$289,'Comp2016-2017 (3)'!$A$5:$A$289,$D1035,'Comp2016-2017 (3)'!$R$5:$R$289,$V1035)*$AB1035))</f>
        <v/>
      </c>
      <c r="AF1035" s="2" t="str">
        <f>IF($W1035=AF$3,$AB1035,IF(NOT($W1035=0),"",SUMIFS('Val-Vol (2)'!AF$4:AF$1116,'Val-Vol (2)'!$A$4:$A$1116,$D1035,'Val-Vol (2)'!$V$4:$V$1116,$V1035)/SUMIFS('Comp2016-2017 (3)'!$G$5:$G$289,'Comp2016-2017 (3)'!$A$5:$A$289,$D1035,'Comp2016-2017 (3)'!$R$5:$R$289,$V1035)*$AB1035))</f>
        <v/>
      </c>
      <c r="AG1035" s="2" t="str">
        <f>IF($W1035=AG$3,$AB1035,IF(NOT($W1035=0),"",SUMIFS('Val-Vol (2)'!AG$4:AG$1116,'Val-Vol (2)'!$A$4:$A$1116,$D1035,'Val-Vol (2)'!$V$4:$V$1116,$V1035)/SUMIFS('Comp2016-2017 (3)'!$G$5:$G$289,'Comp2016-2017 (3)'!$A$5:$A$289,$D1035,'Comp2016-2017 (3)'!$R$5:$R$289,$V1035)*$AB1035))</f>
        <v/>
      </c>
      <c r="AH1035" s="2" t="str">
        <f>IF($W1035=AH$3,$AB1035,IF(NOT($W1035=0),"",SUMIFS('Val-Vol (2)'!AH$4:AH$1116,'Val-Vol (2)'!$A$4:$A$1116,$D1035,'Val-Vol (2)'!$V$4:$V$1116,$V1035)/SUMIFS('Comp2016-2017 (3)'!$G$5:$G$289,'Comp2016-2017 (3)'!$A$5:$A$289,$D1035,'Comp2016-2017 (3)'!$R$5:$R$289,$V1035)*$AB1035))</f>
        <v/>
      </c>
      <c r="AI1035" s="2" t="str">
        <f>IF($W1035=AI$3,$AB1035,IF(NOT($W1035=0),"",SUMIFS('Val-Vol (2)'!AI$4:AI$1116,'Val-Vol (2)'!$A$4:$A$1116,$D1035,'Val-Vol (2)'!$V$4:$V$1116,$V1035)/SUMIFS('Comp2016-2017 (3)'!$G$5:$G$289,'Comp2016-2017 (3)'!$A$5:$A$289,$D1035,'Comp2016-2017 (3)'!$R$5:$R$289,$V1035)*$AB1035))</f>
        <v/>
      </c>
      <c r="AJ1035" s="2">
        <f>IF($W1035=AJ$3,$AB1035,IF(NOT($W1035=0),"",SUMIFS('Val-Vol (2)'!AJ$4:AJ$1116,'Val-Vol (2)'!$A$4:$A$1116,$D1035,'Val-Vol (2)'!$V$4:$V$1116,$V1035)/SUMIFS('Comp2016-2017 (3)'!$G$5:$G$289,'Comp2016-2017 (3)'!$A$5:$A$289,$D1035,'Comp2016-2017 (3)'!$R$5:$R$289,$V1035)*$AB1035))</f>
        <v>276576.11486781592</v>
      </c>
      <c r="AK1035" s="2">
        <f t="shared" si="130"/>
        <v>0</v>
      </c>
      <c r="AL1035" t="str">
        <f t="shared" si="127"/>
        <v/>
      </c>
      <c r="AM1035" t="str">
        <f>VLOOKUP(A1035,'Table corresp.'!$M$4:$U$63,8,FALSE)</f>
        <v>Production finale</v>
      </c>
      <c r="AN1035" t="str">
        <f>VLOOKUP(D1035,'Table corresp.'!$M$4:$U$63,9,FALSE)</f>
        <v>Consommation finale française</v>
      </c>
    </row>
    <row r="1036" spans="1:40" x14ac:dyDescent="0.25">
      <c r="A1036" t="s">
        <v>19</v>
      </c>
      <c r="B1036" t="str">
        <f>VLOOKUP(LEFT(A1036,3),'Table corresp.'!$A$4:$D$63,3,FALSE)</f>
        <v>Transformation</v>
      </c>
      <c r="C1036" t="str">
        <f>VLOOKUP(A1036,'Table corresp.'!$M$4:$P$63,4,FALSE)</f>
        <v>Mise en oeuvre de produits bois</v>
      </c>
      <c r="D1036" t="s">
        <v>54</v>
      </c>
      <c r="E1036" t="str">
        <f>VLOOKUP(LEFT(D1036,3),'Table corresp.'!$A$4:$D$63,4,FALSE)</f>
        <v>Consommation finale</v>
      </c>
      <c r="F1036" t="str">
        <f t="shared" si="122"/>
        <v>52  - Con</v>
      </c>
      <c r="G1036" s="164">
        <v>516392.88467729924</v>
      </c>
      <c r="H1036" s="164">
        <v>0</v>
      </c>
      <c r="I1036" s="164">
        <v>516392.88467729924</v>
      </c>
      <c r="J1036" s="164">
        <v>888.34993609624883</v>
      </c>
      <c r="K1036" s="164">
        <v>0</v>
      </c>
      <c r="L1036" s="164">
        <v>888.34993609624883</v>
      </c>
      <c r="M1036" s="164">
        <v>13.048526416674768</v>
      </c>
      <c r="N1036" s="164">
        <v>0</v>
      </c>
      <c r="O1036" s="164">
        <v>13.048526416674768</v>
      </c>
      <c r="P1036" s="164">
        <v>5.6247459608070507</v>
      </c>
      <c r="Q1036" s="164">
        <v>0</v>
      </c>
      <c r="R1036" s="164">
        <v>5.6247459608070507</v>
      </c>
      <c r="S1036" s="163" t="str">
        <f t="shared" si="123"/>
        <v>BI</v>
      </c>
      <c r="T1036" s="163">
        <f>VLOOKUP(A1036,'Groupe de branches'!$Z$27:$AM$86,14,FALSE)</f>
        <v>0</v>
      </c>
      <c r="U1036" s="163">
        <f>VLOOKUP(D1036,'Groupe de branches'!$Z$27:$AM$86,14,FALSE)</f>
        <v>0</v>
      </c>
      <c r="V1036" s="163">
        <v>2018</v>
      </c>
      <c r="W1036" t="str">
        <f>VLOOKUP(D1036,'Table corresp.'!$M$4:$S$63,7,FALSE)</f>
        <v>Consommation finale</v>
      </c>
      <c r="X1036" s="167">
        <f>IFERROR(G1036/SUMIFS('Comp2016-2017 (3)'!$I$5:$I$289,'Comp2016-2017 (3)'!$A$5:$A$289,A1036,'Comp2016-2017 (3)'!$R$5:$R$289,V1036),0)</f>
        <v>0.99999999990429633</v>
      </c>
      <c r="Y1036" s="178">
        <f>IFERROR(IF(RIGHT(F1036,3)="Exp",VLOOKUP(F1036,#REF!,2,FALSE),VLOOKUP(F1036,#REF!,9,FALSE)),1)</f>
        <v>1</v>
      </c>
      <c r="Z1036" s="167">
        <f t="shared" si="124"/>
        <v>1</v>
      </c>
      <c r="AA1036" s="189">
        <f t="shared" si="128"/>
        <v>0.99999999990429633</v>
      </c>
      <c r="AB1036" s="2">
        <f>IFERROR(SUMIFS('Comp2016-2017 (3)'!$G$5:$G$289,'Comp2016-2017 (3)'!$A$5:$A$289,A1036,'Comp2016-2017 (3)'!$R$5:$R$289,V1036)*AA1036/SUMIFS($AA$4:$AA$1116,$A$4:$A$1116,A1036,$V$4:$V$1116,V1036),0)</f>
        <v>152212.96325243035</v>
      </c>
      <c r="AC1036" s="2" t="str">
        <f>IF($W1036=AC$3,$AB1036,IF(NOT($W1036=0),"",SUMIFS('Val-Vol (2)'!AC$4:AC$1116,'Val-Vol (2)'!$A$4:$A$1116,$D1036,'Val-Vol (2)'!$V$4:$V$1116,$V1036)/SUMIFS('Comp2016-2017 (3)'!$G$5:$G$289,'Comp2016-2017 (3)'!$A$5:$A$289,$D1036,'Comp2016-2017 (3)'!$R$5:$R$289,$V1036)*$AB1036))</f>
        <v/>
      </c>
      <c r="AD1036" s="2" t="str">
        <f>IF($W1036=AD$3,$AB1036,IF(NOT($W1036=0),"",SUMIFS('Val-Vol (2)'!AD$4:AD$1116,'Val-Vol (2)'!$A$4:$A$1116,$D1036,'Val-Vol (2)'!$V$4:$V$1116,$V1036)/SUMIFS('Comp2016-2017 (3)'!$G$5:$G$289,'Comp2016-2017 (3)'!$A$5:$A$289,$D1036,'Comp2016-2017 (3)'!$R$5:$R$289,$V1036)*$AB1036))</f>
        <v/>
      </c>
      <c r="AE1036" s="2" t="str">
        <f>IF($W1036=AE$3,$AB1036,IF(NOT($W1036=0),"",SUMIFS('Val-Vol (2)'!AE$4:AE$1116,'Val-Vol (2)'!$A$4:$A$1116,$D1036,'Val-Vol (2)'!$V$4:$V$1116,$V1036)/SUMIFS('Comp2016-2017 (3)'!$G$5:$G$289,'Comp2016-2017 (3)'!$A$5:$A$289,$D1036,'Comp2016-2017 (3)'!$R$5:$R$289,$V1036)*$AB1036))</f>
        <v/>
      </c>
      <c r="AF1036" s="2" t="str">
        <f>IF($W1036=AF$3,$AB1036,IF(NOT($W1036=0),"",SUMIFS('Val-Vol (2)'!AF$4:AF$1116,'Val-Vol (2)'!$A$4:$A$1116,$D1036,'Val-Vol (2)'!$V$4:$V$1116,$V1036)/SUMIFS('Comp2016-2017 (3)'!$G$5:$G$289,'Comp2016-2017 (3)'!$A$5:$A$289,$D1036,'Comp2016-2017 (3)'!$R$5:$R$289,$V1036)*$AB1036))</f>
        <v/>
      </c>
      <c r="AG1036" s="2" t="str">
        <f>IF($W1036=AG$3,$AB1036,IF(NOT($W1036=0),"",SUMIFS('Val-Vol (2)'!AG$4:AG$1116,'Val-Vol (2)'!$A$4:$A$1116,$D1036,'Val-Vol (2)'!$V$4:$V$1116,$V1036)/SUMIFS('Comp2016-2017 (3)'!$G$5:$G$289,'Comp2016-2017 (3)'!$A$5:$A$289,$D1036,'Comp2016-2017 (3)'!$R$5:$R$289,$V1036)*$AB1036))</f>
        <v/>
      </c>
      <c r="AH1036" s="2" t="str">
        <f>IF($W1036=AH$3,$AB1036,IF(NOT($W1036=0),"",SUMIFS('Val-Vol (2)'!AH$4:AH$1116,'Val-Vol (2)'!$A$4:$A$1116,$D1036,'Val-Vol (2)'!$V$4:$V$1116,$V1036)/SUMIFS('Comp2016-2017 (3)'!$G$5:$G$289,'Comp2016-2017 (3)'!$A$5:$A$289,$D1036,'Comp2016-2017 (3)'!$R$5:$R$289,$V1036)*$AB1036))</f>
        <v/>
      </c>
      <c r="AI1036" s="2" t="str">
        <f>IF($W1036=AI$3,$AB1036,IF(NOT($W1036=0),"",SUMIFS('Val-Vol (2)'!AI$4:AI$1116,'Val-Vol (2)'!$A$4:$A$1116,$D1036,'Val-Vol (2)'!$V$4:$V$1116,$V1036)/SUMIFS('Comp2016-2017 (3)'!$G$5:$G$289,'Comp2016-2017 (3)'!$A$5:$A$289,$D1036,'Comp2016-2017 (3)'!$R$5:$R$289,$V1036)*$AB1036))</f>
        <v/>
      </c>
      <c r="AJ1036" s="2">
        <f>IF($W1036=AJ$3,$AB1036,IF(NOT($W1036=0),"",SUMIFS('Val-Vol (2)'!AJ$4:AJ$1116,'Val-Vol (2)'!$A$4:$A$1116,$D1036,'Val-Vol (2)'!$V$4:$V$1116,$V1036)/SUMIFS('Comp2016-2017 (3)'!$G$5:$G$289,'Comp2016-2017 (3)'!$A$5:$A$289,$D1036,'Comp2016-2017 (3)'!$R$5:$R$289,$V1036)*$AB1036))</f>
        <v>152212.96325243035</v>
      </c>
      <c r="AK1036" s="2">
        <f t="shared" si="130"/>
        <v>0</v>
      </c>
      <c r="AL1036" t="str">
        <f t="shared" si="127"/>
        <v/>
      </c>
      <c r="AM1036" t="str">
        <f>VLOOKUP(A1036,'Table corresp.'!$M$4:$U$63,8,FALSE)</f>
        <v xml:space="preserve">Mise en œuvre </v>
      </c>
      <c r="AN1036" t="str">
        <f>VLOOKUP(D1036,'Table corresp.'!$M$4:$U$63,9,FALSE)</f>
        <v>Consommation finale française</v>
      </c>
    </row>
    <row r="1037" spans="1:40" x14ac:dyDescent="0.25">
      <c r="A1037" t="s">
        <v>20</v>
      </c>
      <c r="B1037" t="str">
        <f>VLOOKUP(LEFT(A1037,3),'Table corresp.'!$A$4:$D$63,3,FALSE)</f>
        <v>Transformation</v>
      </c>
      <c r="C1037" t="str">
        <f>VLOOKUP(A1037,'Table corresp.'!$M$4:$P$63,4,FALSE)</f>
        <v>Mise en oeuvre de produits bois</v>
      </c>
      <c r="D1037" t="s">
        <v>54</v>
      </c>
      <c r="E1037" t="str">
        <f>VLOOKUP(LEFT(D1037,3),'Table corresp.'!$A$4:$D$63,4,FALSE)</f>
        <v>Consommation finale</v>
      </c>
      <c r="F1037" t="str">
        <f t="shared" si="122"/>
        <v>53  - Con</v>
      </c>
      <c r="G1037" s="164">
        <v>86712.381291858022</v>
      </c>
      <c r="H1037" s="164">
        <v>0</v>
      </c>
      <c r="I1037" s="164">
        <v>86712.381291858022</v>
      </c>
      <c r="J1037" s="164">
        <v>97.497384394202086</v>
      </c>
      <c r="K1037" s="164">
        <v>0</v>
      </c>
      <c r="L1037" s="164">
        <v>97.497384394202086</v>
      </c>
      <c r="M1037" s="164">
        <v>77.543562428491896</v>
      </c>
      <c r="N1037" s="164">
        <v>0</v>
      </c>
      <c r="O1037" s="164">
        <v>77.543562428491896</v>
      </c>
      <c r="P1037" s="164">
        <v>8.8275308030044375</v>
      </c>
      <c r="Q1037" s="164">
        <v>0</v>
      </c>
      <c r="R1037" s="164">
        <v>8.8275308030044375</v>
      </c>
      <c r="S1037" s="163" t="str">
        <f t="shared" si="123"/>
        <v>BI</v>
      </c>
      <c r="T1037" s="163">
        <f>VLOOKUP(A1037,'Groupe de branches'!$Z$27:$AM$86,14,FALSE)</f>
        <v>0</v>
      </c>
      <c r="U1037" s="163">
        <f>VLOOKUP(D1037,'Groupe de branches'!$Z$27:$AM$86,14,FALSE)</f>
        <v>0</v>
      </c>
      <c r="V1037" s="163">
        <v>2018</v>
      </c>
      <c r="W1037" t="str">
        <f>VLOOKUP(D1037,'Table corresp.'!$M$4:$S$63,7,FALSE)</f>
        <v>Consommation finale</v>
      </c>
      <c r="X1037" s="167">
        <f>IFERROR(G1037/SUMIFS('Comp2016-2017 (3)'!$I$5:$I$289,'Comp2016-2017 (3)'!$A$5:$A$289,A1037,'Comp2016-2017 (3)'!$R$5:$R$289,V1037),0)</f>
        <v>0.9999999995719755</v>
      </c>
      <c r="Y1037" s="178">
        <f>IFERROR(IF(RIGHT(F1037,3)="Exp",VLOOKUP(F1037,#REF!,2,FALSE),VLOOKUP(F1037,#REF!,9,FALSE)),1)</f>
        <v>1</v>
      </c>
      <c r="Z1037" s="167">
        <f t="shared" si="124"/>
        <v>1</v>
      </c>
      <c r="AA1037" s="189">
        <f t="shared" si="128"/>
        <v>0.9999999995719755</v>
      </c>
      <c r="AB1037" s="2">
        <f>IFERROR(SUMIFS('Comp2016-2017 (3)'!$G$5:$G$289,'Comp2016-2017 (3)'!$A$5:$A$289,A1037,'Comp2016-2017 (3)'!$R$5:$R$289,V1037)*AA1037/SUMIFS($AA$4:$AA$1116,$A$4:$A$1116,A1037,$V$4:$V$1116,V1037),0)</f>
        <v>31813.008592820632</v>
      </c>
      <c r="AC1037" s="2" t="str">
        <f>IF($W1037=AC$3,$AB1037,IF(NOT($W1037=0),"",SUMIFS('Val-Vol (2)'!AC$4:AC$1116,'Val-Vol (2)'!$A$4:$A$1116,$D1037,'Val-Vol (2)'!$V$4:$V$1116,$V1037)/SUMIFS('Comp2016-2017 (3)'!$G$5:$G$289,'Comp2016-2017 (3)'!$A$5:$A$289,$D1037,'Comp2016-2017 (3)'!$R$5:$R$289,$V1037)*$AB1037))</f>
        <v/>
      </c>
      <c r="AD1037" s="2" t="str">
        <f>IF($W1037=AD$3,$AB1037,IF(NOT($W1037=0),"",SUMIFS('Val-Vol (2)'!AD$4:AD$1116,'Val-Vol (2)'!$A$4:$A$1116,$D1037,'Val-Vol (2)'!$V$4:$V$1116,$V1037)/SUMIFS('Comp2016-2017 (3)'!$G$5:$G$289,'Comp2016-2017 (3)'!$A$5:$A$289,$D1037,'Comp2016-2017 (3)'!$R$5:$R$289,$V1037)*$AB1037))</f>
        <v/>
      </c>
      <c r="AE1037" s="2" t="str">
        <f>IF($W1037=AE$3,$AB1037,IF(NOT($W1037=0),"",SUMIFS('Val-Vol (2)'!AE$4:AE$1116,'Val-Vol (2)'!$A$4:$A$1116,$D1037,'Val-Vol (2)'!$V$4:$V$1116,$V1037)/SUMIFS('Comp2016-2017 (3)'!$G$5:$G$289,'Comp2016-2017 (3)'!$A$5:$A$289,$D1037,'Comp2016-2017 (3)'!$R$5:$R$289,$V1037)*$AB1037))</f>
        <v/>
      </c>
      <c r="AF1037" s="2" t="str">
        <f>IF($W1037=AF$3,$AB1037,IF(NOT($W1037=0),"",SUMIFS('Val-Vol (2)'!AF$4:AF$1116,'Val-Vol (2)'!$A$4:$A$1116,$D1037,'Val-Vol (2)'!$V$4:$V$1116,$V1037)/SUMIFS('Comp2016-2017 (3)'!$G$5:$G$289,'Comp2016-2017 (3)'!$A$5:$A$289,$D1037,'Comp2016-2017 (3)'!$R$5:$R$289,$V1037)*$AB1037))</f>
        <v/>
      </c>
      <c r="AG1037" s="2" t="str">
        <f>IF($W1037=AG$3,$AB1037,IF(NOT($W1037=0),"",SUMIFS('Val-Vol (2)'!AG$4:AG$1116,'Val-Vol (2)'!$A$4:$A$1116,$D1037,'Val-Vol (2)'!$V$4:$V$1116,$V1037)/SUMIFS('Comp2016-2017 (3)'!$G$5:$G$289,'Comp2016-2017 (3)'!$A$5:$A$289,$D1037,'Comp2016-2017 (3)'!$R$5:$R$289,$V1037)*$AB1037))</f>
        <v/>
      </c>
      <c r="AH1037" s="2" t="str">
        <f>IF($W1037=AH$3,$AB1037,IF(NOT($W1037=0),"",SUMIFS('Val-Vol (2)'!AH$4:AH$1116,'Val-Vol (2)'!$A$4:$A$1116,$D1037,'Val-Vol (2)'!$V$4:$V$1116,$V1037)/SUMIFS('Comp2016-2017 (3)'!$G$5:$G$289,'Comp2016-2017 (3)'!$A$5:$A$289,$D1037,'Comp2016-2017 (3)'!$R$5:$R$289,$V1037)*$AB1037))</f>
        <v/>
      </c>
      <c r="AI1037" s="2" t="str">
        <f>IF($W1037=AI$3,$AB1037,IF(NOT($W1037=0),"",SUMIFS('Val-Vol (2)'!AI$4:AI$1116,'Val-Vol (2)'!$A$4:$A$1116,$D1037,'Val-Vol (2)'!$V$4:$V$1116,$V1037)/SUMIFS('Comp2016-2017 (3)'!$G$5:$G$289,'Comp2016-2017 (3)'!$A$5:$A$289,$D1037,'Comp2016-2017 (3)'!$R$5:$R$289,$V1037)*$AB1037))</f>
        <v/>
      </c>
      <c r="AJ1037" s="2">
        <f>IF($W1037=AJ$3,$AB1037,IF(NOT($W1037=0),"",SUMIFS('Val-Vol (2)'!AJ$4:AJ$1116,'Val-Vol (2)'!$A$4:$A$1116,$D1037,'Val-Vol (2)'!$V$4:$V$1116,$V1037)/SUMIFS('Comp2016-2017 (3)'!$G$5:$G$289,'Comp2016-2017 (3)'!$A$5:$A$289,$D1037,'Comp2016-2017 (3)'!$R$5:$R$289,$V1037)*$AB1037))</f>
        <v>31813.008592820632</v>
      </c>
      <c r="AK1037" s="2">
        <f t="shared" si="130"/>
        <v>0</v>
      </c>
      <c r="AL1037" t="str">
        <f t="shared" si="127"/>
        <v/>
      </c>
      <c r="AM1037" t="str">
        <f>VLOOKUP(A1037,'Table corresp.'!$M$4:$U$63,8,FALSE)</f>
        <v xml:space="preserve">Mise en œuvre </v>
      </c>
      <c r="AN1037" t="str">
        <f>VLOOKUP(D1037,'Table corresp.'!$M$4:$U$63,9,FALSE)</f>
        <v>Consommation finale française</v>
      </c>
    </row>
    <row r="1038" spans="1:40" x14ac:dyDescent="0.25">
      <c r="A1038" t="s">
        <v>21</v>
      </c>
      <c r="B1038" t="str">
        <f>VLOOKUP(LEFT(A1038,3),'Table corresp.'!$A$4:$D$63,3,FALSE)</f>
        <v>Transformation</v>
      </c>
      <c r="C1038" t="str">
        <f>VLOOKUP(A1038,'Table corresp.'!$M$4:$P$63,4,FALSE)</f>
        <v>Mise en oeuvre de produits bois</v>
      </c>
      <c r="D1038" t="s">
        <v>54</v>
      </c>
      <c r="E1038" t="str">
        <f>VLOOKUP(LEFT(D1038,3),'Table corresp.'!$A$4:$D$63,4,FALSE)</f>
        <v>Consommation finale</v>
      </c>
      <c r="F1038" t="str">
        <f t="shared" si="122"/>
        <v>54  - Con</v>
      </c>
      <c r="G1038" s="164">
        <v>14407952.486768885</v>
      </c>
      <c r="H1038" s="164">
        <v>0</v>
      </c>
      <c r="I1038" s="164">
        <v>14407952.486768885</v>
      </c>
      <c r="J1038" s="164">
        <v>2477.2465726974965</v>
      </c>
      <c r="K1038" s="164">
        <v>0</v>
      </c>
      <c r="L1038" s="164">
        <v>2477.2465726974965</v>
      </c>
      <c r="M1038" s="164">
        <v>979.15137843509774</v>
      </c>
      <c r="N1038" s="164">
        <v>0</v>
      </c>
      <c r="O1038" s="164">
        <v>979.15137843509774</v>
      </c>
      <c r="P1038" s="164">
        <v>335.81165115719199</v>
      </c>
      <c r="Q1038" s="164">
        <v>0</v>
      </c>
      <c r="R1038" s="164">
        <v>335.81165115719199</v>
      </c>
      <c r="S1038" s="163" t="str">
        <f t="shared" si="123"/>
        <v>BI</v>
      </c>
      <c r="T1038" s="163">
        <f>VLOOKUP(A1038,'Groupe de branches'!$Z$27:$AM$86,14,FALSE)</f>
        <v>0</v>
      </c>
      <c r="U1038" s="163">
        <f>VLOOKUP(D1038,'Groupe de branches'!$Z$27:$AM$86,14,FALSE)</f>
        <v>0</v>
      </c>
      <c r="V1038" s="163">
        <v>2018</v>
      </c>
      <c r="W1038" t="str">
        <f>VLOOKUP(D1038,'Table corresp.'!$M$4:$S$63,7,FALSE)</f>
        <v>Consommation finale</v>
      </c>
      <c r="X1038" s="167">
        <f>IFERROR(G1038/SUMIFS('Comp2016-2017 (3)'!$I$5:$I$289,'Comp2016-2017 (3)'!$A$5:$A$289,A1038,'Comp2016-2017 (3)'!$R$5:$R$289,V1038),0)</f>
        <v>1.0000000020486173</v>
      </c>
      <c r="Y1038" s="178">
        <f>IFERROR(IF(RIGHT(F1038,3)="Exp",VLOOKUP(F1038,#REF!,2,FALSE),VLOOKUP(F1038,#REF!,9,FALSE)),1)</f>
        <v>1</v>
      </c>
      <c r="Z1038" s="167">
        <f t="shared" si="124"/>
        <v>1</v>
      </c>
      <c r="AA1038" s="189">
        <f t="shared" si="128"/>
        <v>1.0000000020486173</v>
      </c>
      <c r="AB1038" s="2">
        <f>IFERROR(SUMIFS('Comp2016-2017 (3)'!$G$5:$G$289,'Comp2016-2017 (3)'!$A$5:$A$289,A1038,'Comp2016-2017 (3)'!$R$5:$R$289,V1038)*AA1038/SUMIFS($AA$4:$AA$1116,$A$4:$A$1116,A1038,$V$4:$V$1116,V1038),0)</f>
        <v>5280416.3989444589</v>
      </c>
      <c r="AC1038" s="2" t="str">
        <f>IF($W1038=AC$3,$AB1038,IF(NOT($W1038=0),"",SUMIFS('Val-Vol (2)'!AC$4:AC$1116,'Val-Vol (2)'!$A$4:$A$1116,$D1038,'Val-Vol (2)'!$V$4:$V$1116,$V1038)/SUMIFS('Comp2016-2017 (3)'!$G$5:$G$289,'Comp2016-2017 (3)'!$A$5:$A$289,$D1038,'Comp2016-2017 (3)'!$R$5:$R$289,$V1038)*$AB1038))</f>
        <v/>
      </c>
      <c r="AD1038" s="2" t="str">
        <f>IF($W1038=AD$3,$AB1038,IF(NOT($W1038=0),"",SUMIFS('Val-Vol (2)'!AD$4:AD$1116,'Val-Vol (2)'!$A$4:$A$1116,$D1038,'Val-Vol (2)'!$V$4:$V$1116,$V1038)/SUMIFS('Comp2016-2017 (3)'!$G$5:$G$289,'Comp2016-2017 (3)'!$A$5:$A$289,$D1038,'Comp2016-2017 (3)'!$R$5:$R$289,$V1038)*$AB1038))</f>
        <v/>
      </c>
      <c r="AE1038" s="2" t="str">
        <f>IF($W1038=AE$3,$AB1038,IF(NOT($W1038=0),"",SUMIFS('Val-Vol (2)'!AE$4:AE$1116,'Val-Vol (2)'!$A$4:$A$1116,$D1038,'Val-Vol (2)'!$V$4:$V$1116,$V1038)/SUMIFS('Comp2016-2017 (3)'!$G$5:$G$289,'Comp2016-2017 (3)'!$A$5:$A$289,$D1038,'Comp2016-2017 (3)'!$R$5:$R$289,$V1038)*$AB1038))</f>
        <v/>
      </c>
      <c r="AF1038" s="2" t="str">
        <f>IF($W1038=AF$3,$AB1038,IF(NOT($W1038=0),"",SUMIFS('Val-Vol (2)'!AF$4:AF$1116,'Val-Vol (2)'!$A$4:$A$1116,$D1038,'Val-Vol (2)'!$V$4:$V$1116,$V1038)/SUMIFS('Comp2016-2017 (3)'!$G$5:$G$289,'Comp2016-2017 (3)'!$A$5:$A$289,$D1038,'Comp2016-2017 (3)'!$R$5:$R$289,$V1038)*$AB1038))</f>
        <v/>
      </c>
      <c r="AG1038" s="2" t="str">
        <f>IF($W1038=AG$3,$AB1038,IF(NOT($W1038=0),"",SUMIFS('Val-Vol (2)'!AG$4:AG$1116,'Val-Vol (2)'!$A$4:$A$1116,$D1038,'Val-Vol (2)'!$V$4:$V$1116,$V1038)/SUMIFS('Comp2016-2017 (3)'!$G$5:$G$289,'Comp2016-2017 (3)'!$A$5:$A$289,$D1038,'Comp2016-2017 (3)'!$R$5:$R$289,$V1038)*$AB1038))</f>
        <v/>
      </c>
      <c r="AH1038" s="2" t="str">
        <f>IF($W1038=AH$3,$AB1038,IF(NOT($W1038=0),"",SUMIFS('Val-Vol (2)'!AH$4:AH$1116,'Val-Vol (2)'!$A$4:$A$1116,$D1038,'Val-Vol (2)'!$V$4:$V$1116,$V1038)/SUMIFS('Comp2016-2017 (3)'!$G$5:$G$289,'Comp2016-2017 (3)'!$A$5:$A$289,$D1038,'Comp2016-2017 (3)'!$R$5:$R$289,$V1038)*$AB1038))</f>
        <v/>
      </c>
      <c r="AI1038" s="2" t="str">
        <f>IF($W1038=AI$3,$AB1038,IF(NOT($W1038=0),"",SUMIFS('Val-Vol (2)'!AI$4:AI$1116,'Val-Vol (2)'!$A$4:$A$1116,$D1038,'Val-Vol (2)'!$V$4:$V$1116,$V1038)/SUMIFS('Comp2016-2017 (3)'!$G$5:$G$289,'Comp2016-2017 (3)'!$A$5:$A$289,$D1038,'Comp2016-2017 (3)'!$R$5:$R$289,$V1038)*$AB1038))</f>
        <v/>
      </c>
      <c r="AJ1038" s="2">
        <f>IF($W1038=AJ$3,$AB1038,IF(NOT($W1038=0),"",SUMIFS('Val-Vol (2)'!AJ$4:AJ$1116,'Val-Vol (2)'!$A$4:$A$1116,$D1038,'Val-Vol (2)'!$V$4:$V$1116,$V1038)/SUMIFS('Comp2016-2017 (3)'!$G$5:$G$289,'Comp2016-2017 (3)'!$A$5:$A$289,$D1038,'Comp2016-2017 (3)'!$R$5:$R$289,$V1038)*$AB1038))</f>
        <v>5280416.3989444589</v>
      </c>
      <c r="AK1038" s="2">
        <f t="shared" si="130"/>
        <v>0</v>
      </c>
      <c r="AL1038" t="str">
        <f t="shared" si="127"/>
        <v/>
      </c>
      <c r="AM1038" t="str">
        <f>VLOOKUP(A1038,'Table corresp.'!$M$4:$U$63,8,FALSE)</f>
        <v xml:space="preserve">Mise en œuvre </v>
      </c>
      <c r="AN1038" t="str">
        <f>VLOOKUP(D1038,'Table corresp.'!$M$4:$U$63,9,FALSE)</f>
        <v>Consommation finale française</v>
      </c>
    </row>
    <row r="1039" spans="1:40" x14ac:dyDescent="0.25">
      <c r="A1039" t="s">
        <v>22</v>
      </c>
      <c r="B1039" t="str">
        <f>VLOOKUP(LEFT(A1039,3),'Table corresp.'!$A$4:$D$63,3,FALSE)</f>
        <v>Transformation</v>
      </c>
      <c r="C1039" t="str">
        <f>VLOOKUP(A1039,'Table corresp.'!$M$4:$P$63,4,FALSE)</f>
        <v>Mise en oeuvre de produits bois</v>
      </c>
      <c r="D1039" t="s">
        <v>54</v>
      </c>
      <c r="E1039" t="str">
        <f>VLOOKUP(LEFT(D1039,3),'Table corresp.'!$A$4:$D$63,4,FALSE)</f>
        <v>Consommation finale</v>
      </c>
      <c r="F1039" t="str">
        <f t="shared" si="122"/>
        <v>55  - Con</v>
      </c>
      <c r="G1039" s="164">
        <v>2172085.0739857988</v>
      </c>
      <c r="H1039" s="164">
        <v>0</v>
      </c>
      <c r="I1039" s="164">
        <v>2172085.0739857988</v>
      </c>
      <c r="J1039" s="164">
        <v>337.84050435610141</v>
      </c>
      <c r="K1039" s="164">
        <v>0</v>
      </c>
      <c r="L1039" s="164">
        <v>337.84050435610141</v>
      </c>
      <c r="M1039" s="164">
        <v>227.26299352178586</v>
      </c>
      <c r="N1039" s="164">
        <v>0</v>
      </c>
      <c r="O1039" s="164">
        <v>227.26299352178586</v>
      </c>
      <c r="P1039" s="164">
        <v>79.660570969286809</v>
      </c>
      <c r="Q1039" s="164">
        <v>0</v>
      </c>
      <c r="R1039" s="164">
        <v>79.660570969286809</v>
      </c>
      <c r="S1039" s="163" t="str">
        <f t="shared" si="123"/>
        <v>BI</v>
      </c>
      <c r="T1039" s="163">
        <f>VLOOKUP(A1039,'Groupe de branches'!$Z$27:$AM$86,14,FALSE)</f>
        <v>0</v>
      </c>
      <c r="U1039" s="163">
        <f>VLOOKUP(D1039,'Groupe de branches'!$Z$27:$AM$86,14,FALSE)</f>
        <v>0</v>
      </c>
      <c r="V1039" s="163">
        <v>2018</v>
      </c>
      <c r="W1039" t="str">
        <f>VLOOKUP(D1039,'Table corresp.'!$M$4:$S$63,7,FALSE)</f>
        <v>Consommation finale</v>
      </c>
      <c r="X1039" s="167">
        <f>IFERROR(G1039/SUMIFS('Comp2016-2017 (3)'!$I$5:$I$289,'Comp2016-2017 (3)'!$A$5:$A$289,A1039,'Comp2016-2017 (3)'!$R$5:$R$289,V1039),0)</f>
        <v>1.000000000197165</v>
      </c>
      <c r="Y1039" s="178">
        <f>IFERROR(IF(RIGHT(F1039,3)="Exp",VLOOKUP(F1039,#REF!,2,FALSE),VLOOKUP(F1039,#REF!,9,FALSE)),1)</f>
        <v>1</v>
      </c>
      <c r="Z1039" s="167">
        <f t="shared" si="124"/>
        <v>1</v>
      </c>
      <c r="AA1039" s="189">
        <f t="shared" si="128"/>
        <v>1.000000000197165</v>
      </c>
      <c r="AB1039" s="2">
        <f>IFERROR(SUMIFS('Comp2016-2017 (3)'!$G$5:$G$289,'Comp2016-2017 (3)'!$A$5:$A$289,A1039,'Comp2016-2017 (3)'!$R$5:$R$289,V1039)*AA1039/SUMIFS($AA$4:$AA$1116,$A$4:$A$1116,A1039,$V$4:$V$1116,V1039),0)</f>
        <v>545642.20254702552</v>
      </c>
      <c r="AC1039" s="2" t="str">
        <f>IF($W1039=AC$3,$AB1039,IF(NOT($W1039=0),"",SUMIFS('Val-Vol (2)'!AC$4:AC$1116,'Val-Vol (2)'!$A$4:$A$1116,$D1039,'Val-Vol (2)'!$V$4:$V$1116,$V1039)/SUMIFS('Comp2016-2017 (3)'!$G$5:$G$289,'Comp2016-2017 (3)'!$A$5:$A$289,$D1039,'Comp2016-2017 (3)'!$R$5:$R$289,$V1039)*$AB1039))</f>
        <v/>
      </c>
      <c r="AD1039" s="2" t="str">
        <f>IF($W1039=AD$3,$AB1039,IF(NOT($W1039=0),"",SUMIFS('Val-Vol (2)'!AD$4:AD$1116,'Val-Vol (2)'!$A$4:$A$1116,$D1039,'Val-Vol (2)'!$V$4:$V$1116,$V1039)/SUMIFS('Comp2016-2017 (3)'!$G$5:$G$289,'Comp2016-2017 (3)'!$A$5:$A$289,$D1039,'Comp2016-2017 (3)'!$R$5:$R$289,$V1039)*$AB1039))</f>
        <v/>
      </c>
      <c r="AE1039" s="2" t="str">
        <f>IF($W1039=AE$3,$AB1039,IF(NOT($W1039=0),"",SUMIFS('Val-Vol (2)'!AE$4:AE$1116,'Val-Vol (2)'!$A$4:$A$1116,$D1039,'Val-Vol (2)'!$V$4:$V$1116,$V1039)/SUMIFS('Comp2016-2017 (3)'!$G$5:$G$289,'Comp2016-2017 (3)'!$A$5:$A$289,$D1039,'Comp2016-2017 (3)'!$R$5:$R$289,$V1039)*$AB1039))</f>
        <v/>
      </c>
      <c r="AF1039" s="2" t="str">
        <f>IF($W1039=AF$3,$AB1039,IF(NOT($W1039=0),"",SUMIFS('Val-Vol (2)'!AF$4:AF$1116,'Val-Vol (2)'!$A$4:$A$1116,$D1039,'Val-Vol (2)'!$V$4:$V$1116,$V1039)/SUMIFS('Comp2016-2017 (3)'!$G$5:$G$289,'Comp2016-2017 (3)'!$A$5:$A$289,$D1039,'Comp2016-2017 (3)'!$R$5:$R$289,$V1039)*$AB1039))</f>
        <v/>
      </c>
      <c r="AG1039" s="2" t="str">
        <f>IF($W1039=AG$3,$AB1039,IF(NOT($W1039=0),"",SUMIFS('Val-Vol (2)'!AG$4:AG$1116,'Val-Vol (2)'!$A$4:$A$1116,$D1039,'Val-Vol (2)'!$V$4:$V$1116,$V1039)/SUMIFS('Comp2016-2017 (3)'!$G$5:$G$289,'Comp2016-2017 (3)'!$A$5:$A$289,$D1039,'Comp2016-2017 (3)'!$R$5:$R$289,$V1039)*$AB1039))</f>
        <v/>
      </c>
      <c r="AH1039" s="2" t="str">
        <f>IF($W1039=AH$3,$AB1039,IF(NOT($W1039=0),"",SUMIFS('Val-Vol (2)'!AH$4:AH$1116,'Val-Vol (2)'!$A$4:$A$1116,$D1039,'Val-Vol (2)'!$V$4:$V$1116,$V1039)/SUMIFS('Comp2016-2017 (3)'!$G$5:$G$289,'Comp2016-2017 (3)'!$A$5:$A$289,$D1039,'Comp2016-2017 (3)'!$R$5:$R$289,$V1039)*$AB1039))</f>
        <v/>
      </c>
      <c r="AI1039" s="2" t="str">
        <f>IF($W1039=AI$3,$AB1039,IF(NOT($W1039=0),"",SUMIFS('Val-Vol (2)'!AI$4:AI$1116,'Val-Vol (2)'!$A$4:$A$1116,$D1039,'Val-Vol (2)'!$V$4:$V$1116,$V1039)/SUMIFS('Comp2016-2017 (3)'!$G$5:$G$289,'Comp2016-2017 (3)'!$A$5:$A$289,$D1039,'Comp2016-2017 (3)'!$R$5:$R$289,$V1039)*$AB1039))</f>
        <v/>
      </c>
      <c r="AJ1039" s="2">
        <f>IF($W1039=AJ$3,$AB1039,IF(NOT($W1039=0),"",SUMIFS('Val-Vol (2)'!AJ$4:AJ$1116,'Val-Vol (2)'!$A$4:$A$1116,$D1039,'Val-Vol (2)'!$V$4:$V$1116,$V1039)/SUMIFS('Comp2016-2017 (3)'!$G$5:$G$289,'Comp2016-2017 (3)'!$A$5:$A$289,$D1039,'Comp2016-2017 (3)'!$R$5:$R$289,$V1039)*$AB1039))</f>
        <v>545642.20254702552</v>
      </c>
      <c r="AK1039" s="2">
        <f t="shared" si="130"/>
        <v>0</v>
      </c>
      <c r="AL1039" t="str">
        <f t="shared" si="127"/>
        <v/>
      </c>
      <c r="AM1039" t="str">
        <f>VLOOKUP(A1039,'Table corresp.'!$M$4:$U$63,8,FALSE)</f>
        <v xml:space="preserve">Mise en œuvre </v>
      </c>
      <c r="AN1039" t="str">
        <f>VLOOKUP(D1039,'Table corresp.'!$M$4:$U$63,9,FALSE)</f>
        <v>Consommation finale française</v>
      </c>
    </row>
    <row r="1040" spans="1:40" x14ac:dyDescent="0.25">
      <c r="A1040" t="s">
        <v>23</v>
      </c>
      <c r="B1040" t="str">
        <f>VLOOKUP(LEFT(A1040,3),'Table corresp.'!$A$4:$D$63,3,FALSE)</f>
        <v>Transformation</v>
      </c>
      <c r="C1040" t="str">
        <f>VLOOKUP(A1040,'Table corresp.'!$M$4:$P$63,4,FALSE)</f>
        <v>Mise en oeuvre de produits bois</v>
      </c>
      <c r="D1040" t="s">
        <v>54</v>
      </c>
      <c r="E1040" t="str">
        <f>VLOOKUP(LEFT(D1040,3),'Table corresp.'!$A$4:$D$63,4,FALSE)</f>
        <v>Consommation finale</v>
      </c>
      <c r="F1040" t="str">
        <f t="shared" si="122"/>
        <v>56  - Con</v>
      </c>
      <c r="G1040" s="164">
        <v>338688.64408257377</v>
      </c>
      <c r="H1040" s="164">
        <v>0</v>
      </c>
      <c r="I1040" s="164">
        <v>338688.64408257377</v>
      </c>
      <c r="J1040" s="164">
        <v>407.9020885646525</v>
      </c>
      <c r="K1040" s="164">
        <v>0</v>
      </c>
      <c r="L1040" s="164">
        <v>407.9020885646525</v>
      </c>
      <c r="M1040" s="164">
        <v>8.2604940139383327</v>
      </c>
      <c r="N1040" s="164">
        <v>0</v>
      </c>
      <c r="O1040" s="164">
        <v>8.2604940139383327</v>
      </c>
      <c r="P1040" s="164">
        <v>2.5767939887393356</v>
      </c>
      <c r="Q1040" s="164">
        <v>0</v>
      </c>
      <c r="R1040" s="164">
        <v>2.5767939887393356</v>
      </c>
      <c r="S1040" s="163" t="str">
        <f t="shared" si="123"/>
        <v>BI</v>
      </c>
      <c r="T1040" s="163">
        <f>VLOOKUP(A1040,'Groupe de branches'!$Z$27:$AM$86,14,FALSE)</f>
        <v>0</v>
      </c>
      <c r="U1040" s="163">
        <f>VLOOKUP(D1040,'Groupe de branches'!$Z$27:$AM$86,14,FALSE)</f>
        <v>0</v>
      </c>
      <c r="V1040" s="163">
        <v>2018</v>
      </c>
      <c r="W1040" t="str">
        <f>VLOOKUP(D1040,'Table corresp.'!$M$4:$S$63,7,FALSE)</f>
        <v>Consommation finale</v>
      </c>
      <c r="X1040" s="167">
        <f>IFERROR(G1040/SUMIFS('Comp2016-2017 (3)'!$I$5:$I$289,'Comp2016-2017 (3)'!$A$5:$A$289,A1040,'Comp2016-2017 (3)'!$R$5:$R$289,V1040),0)</f>
        <v>0.9999999972228617</v>
      </c>
      <c r="Y1040" s="178">
        <f>IFERROR(IF(RIGHT(F1040,3)="Exp",VLOOKUP(F1040,#REF!,2,FALSE),VLOOKUP(F1040,#REF!,9,FALSE)),1)</f>
        <v>1</v>
      </c>
      <c r="Z1040" s="167">
        <f t="shared" si="124"/>
        <v>1</v>
      </c>
      <c r="AA1040" s="189">
        <f t="shared" si="128"/>
        <v>0.9999999972228617</v>
      </c>
      <c r="AB1040" s="2">
        <f>IFERROR(SUMIFS('Comp2016-2017 (3)'!$G$5:$G$289,'Comp2016-2017 (3)'!$A$5:$A$289,A1040,'Comp2016-2017 (3)'!$R$5:$R$289,V1040)*AA1040/SUMIFS($AA$4:$AA$1116,$A$4:$A$1116,A1040,$V$4:$V$1116,V1040),0)</f>
        <v>124546.95671697096</v>
      </c>
      <c r="AC1040" s="2" t="str">
        <f>IF($W1040=AC$3,$AB1040,IF(NOT($W1040=0),"",SUMIFS('Val-Vol (2)'!AC$4:AC$1116,'Val-Vol (2)'!$A$4:$A$1116,$D1040,'Val-Vol (2)'!$V$4:$V$1116,$V1040)/SUMIFS('Comp2016-2017 (3)'!$G$5:$G$289,'Comp2016-2017 (3)'!$A$5:$A$289,$D1040,'Comp2016-2017 (3)'!$R$5:$R$289,$V1040)*$AB1040))</f>
        <v/>
      </c>
      <c r="AD1040" s="2" t="str">
        <f>IF($W1040=AD$3,$AB1040,IF(NOT($W1040=0),"",SUMIFS('Val-Vol (2)'!AD$4:AD$1116,'Val-Vol (2)'!$A$4:$A$1116,$D1040,'Val-Vol (2)'!$V$4:$V$1116,$V1040)/SUMIFS('Comp2016-2017 (3)'!$G$5:$G$289,'Comp2016-2017 (3)'!$A$5:$A$289,$D1040,'Comp2016-2017 (3)'!$R$5:$R$289,$V1040)*$AB1040))</f>
        <v/>
      </c>
      <c r="AE1040" s="2" t="str">
        <f>IF($W1040=AE$3,$AB1040,IF(NOT($W1040=0),"",SUMIFS('Val-Vol (2)'!AE$4:AE$1116,'Val-Vol (2)'!$A$4:$A$1116,$D1040,'Val-Vol (2)'!$V$4:$V$1116,$V1040)/SUMIFS('Comp2016-2017 (3)'!$G$5:$G$289,'Comp2016-2017 (3)'!$A$5:$A$289,$D1040,'Comp2016-2017 (3)'!$R$5:$R$289,$V1040)*$AB1040))</f>
        <v/>
      </c>
      <c r="AF1040" s="2" t="str">
        <f>IF($W1040=AF$3,$AB1040,IF(NOT($W1040=0),"",SUMIFS('Val-Vol (2)'!AF$4:AF$1116,'Val-Vol (2)'!$A$4:$A$1116,$D1040,'Val-Vol (2)'!$V$4:$V$1116,$V1040)/SUMIFS('Comp2016-2017 (3)'!$G$5:$G$289,'Comp2016-2017 (3)'!$A$5:$A$289,$D1040,'Comp2016-2017 (3)'!$R$5:$R$289,$V1040)*$AB1040))</f>
        <v/>
      </c>
      <c r="AG1040" s="2" t="str">
        <f>IF($W1040=AG$3,$AB1040,IF(NOT($W1040=0),"",SUMIFS('Val-Vol (2)'!AG$4:AG$1116,'Val-Vol (2)'!$A$4:$A$1116,$D1040,'Val-Vol (2)'!$V$4:$V$1116,$V1040)/SUMIFS('Comp2016-2017 (3)'!$G$5:$G$289,'Comp2016-2017 (3)'!$A$5:$A$289,$D1040,'Comp2016-2017 (3)'!$R$5:$R$289,$V1040)*$AB1040))</f>
        <v/>
      </c>
      <c r="AH1040" s="2" t="str">
        <f>IF($W1040=AH$3,$AB1040,IF(NOT($W1040=0),"",SUMIFS('Val-Vol (2)'!AH$4:AH$1116,'Val-Vol (2)'!$A$4:$A$1116,$D1040,'Val-Vol (2)'!$V$4:$V$1116,$V1040)/SUMIFS('Comp2016-2017 (3)'!$G$5:$G$289,'Comp2016-2017 (3)'!$A$5:$A$289,$D1040,'Comp2016-2017 (3)'!$R$5:$R$289,$V1040)*$AB1040))</f>
        <v/>
      </c>
      <c r="AI1040" s="2" t="str">
        <f>IF($W1040=AI$3,$AB1040,IF(NOT($W1040=0),"",SUMIFS('Val-Vol (2)'!AI$4:AI$1116,'Val-Vol (2)'!$A$4:$A$1116,$D1040,'Val-Vol (2)'!$V$4:$V$1116,$V1040)/SUMIFS('Comp2016-2017 (3)'!$G$5:$G$289,'Comp2016-2017 (3)'!$A$5:$A$289,$D1040,'Comp2016-2017 (3)'!$R$5:$R$289,$V1040)*$AB1040))</f>
        <v/>
      </c>
      <c r="AJ1040" s="2">
        <f>IF($W1040=AJ$3,$AB1040,IF(NOT($W1040=0),"",SUMIFS('Val-Vol (2)'!AJ$4:AJ$1116,'Val-Vol (2)'!$A$4:$A$1116,$D1040,'Val-Vol (2)'!$V$4:$V$1116,$V1040)/SUMIFS('Comp2016-2017 (3)'!$G$5:$G$289,'Comp2016-2017 (3)'!$A$5:$A$289,$D1040,'Comp2016-2017 (3)'!$R$5:$R$289,$V1040)*$AB1040))</f>
        <v>124546.95671697096</v>
      </c>
      <c r="AK1040" s="2">
        <f t="shared" si="130"/>
        <v>0</v>
      </c>
      <c r="AL1040" t="str">
        <f t="shared" si="127"/>
        <v/>
      </c>
      <c r="AM1040" t="str">
        <f>VLOOKUP(A1040,'Table corresp.'!$M$4:$U$63,8,FALSE)</f>
        <v xml:space="preserve">Mise en œuvre </v>
      </c>
      <c r="AN1040" t="str">
        <f>VLOOKUP(D1040,'Table corresp.'!$M$4:$U$63,9,FALSE)</f>
        <v>Consommation finale française</v>
      </c>
    </row>
    <row r="1041" spans="1:40" x14ac:dyDescent="0.25">
      <c r="A1041" t="s">
        <v>24</v>
      </c>
      <c r="B1041" t="str">
        <f>VLOOKUP(LEFT(A1041,3),'Table corresp.'!$A$4:$D$63,3,FALSE)</f>
        <v>Transformation</v>
      </c>
      <c r="C1041" t="str">
        <f>VLOOKUP(A1041,'Table corresp.'!$M$4:$P$63,4,FALSE)</f>
        <v>Mise en oeuvre de produits bois</v>
      </c>
      <c r="D1041" t="s">
        <v>54</v>
      </c>
      <c r="E1041" t="str">
        <f>VLOOKUP(LEFT(D1041,3),'Table corresp.'!$A$4:$D$63,4,FALSE)</f>
        <v>Consommation finale</v>
      </c>
      <c r="F1041" t="str">
        <f t="shared" si="122"/>
        <v>57  - Con</v>
      </c>
      <c r="G1041" s="164">
        <v>6031960.2982942313</v>
      </c>
      <c r="H1041" s="164">
        <v>0</v>
      </c>
      <c r="I1041" s="164">
        <v>6031960.2982942313</v>
      </c>
      <c r="J1041" s="164">
        <v>5604.8993792278443</v>
      </c>
      <c r="K1041" s="164">
        <v>0</v>
      </c>
      <c r="L1041" s="164">
        <v>5604.8993792278443</v>
      </c>
      <c r="M1041" s="164">
        <v>186.2934753440407</v>
      </c>
      <c r="N1041" s="164">
        <v>0</v>
      </c>
      <c r="O1041" s="164">
        <v>186.2934753440407</v>
      </c>
      <c r="P1041" s="164">
        <v>40.330331782457691</v>
      </c>
      <c r="Q1041" s="164">
        <v>0</v>
      </c>
      <c r="R1041" s="164">
        <v>40.330331782457691</v>
      </c>
      <c r="S1041" s="163" t="str">
        <f t="shared" si="123"/>
        <v>BI</v>
      </c>
      <c r="T1041" s="163">
        <f>VLOOKUP(A1041,'Groupe de branches'!$Z$27:$AM$86,14,FALSE)</f>
        <v>0</v>
      </c>
      <c r="U1041" s="163">
        <f>VLOOKUP(D1041,'Groupe de branches'!$Z$27:$AM$86,14,FALSE)</f>
        <v>0</v>
      </c>
      <c r="V1041" s="163">
        <v>2018</v>
      </c>
      <c r="W1041" t="str">
        <f>VLOOKUP(D1041,'Table corresp.'!$M$4:$S$63,7,FALSE)</f>
        <v>Consommation finale</v>
      </c>
      <c r="X1041" s="167">
        <f>IFERROR(G1041/SUMIFS('Comp2016-2017 (3)'!$I$5:$I$289,'Comp2016-2017 (3)'!$A$5:$A$289,A1041,'Comp2016-2017 (3)'!$R$5:$R$289,V1041),0)</f>
        <v>0.99999999999661904</v>
      </c>
      <c r="Y1041" s="178">
        <f>IFERROR(IF(RIGHT(F1041,3)="Exp",VLOOKUP(F1041,#REF!,2,FALSE),VLOOKUP(F1041,#REF!,9,FALSE)),1)</f>
        <v>1</v>
      </c>
      <c r="Z1041" s="167">
        <f t="shared" si="124"/>
        <v>1</v>
      </c>
      <c r="AA1041" s="189">
        <f t="shared" si="128"/>
        <v>0.99999999999661904</v>
      </c>
      <c r="AB1041" s="2">
        <f>IFERROR(SUMIFS('Comp2016-2017 (3)'!$G$5:$G$289,'Comp2016-2017 (3)'!$A$5:$A$289,A1041,'Comp2016-2017 (3)'!$R$5:$R$289,V1041)*AA1041/SUMIFS($AA$4:$AA$1116,$A$4:$A$1116,A1041,$V$4:$V$1116,V1041),0)</f>
        <v>2351542.6219613785</v>
      </c>
      <c r="AC1041" s="2" t="str">
        <f>IF($W1041=AC$3,$AB1041,IF(NOT($W1041=0),"",SUMIFS('Val-Vol (2)'!AC$4:AC$1116,'Val-Vol (2)'!$A$4:$A$1116,$D1041,'Val-Vol (2)'!$V$4:$V$1116,$V1041)/SUMIFS('Comp2016-2017 (3)'!$G$5:$G$289,'Comp2016-2017 (3)'!$A$5:$A$289,$D1041,'Comp2016-2017 (3)'!$R$5:$R$289,$V1041)*$AB1041))</f>
        <v/>
      </c>
      <c r="AD1041" s="2" t="str">
        <f>IF($W1041=AD$3,$AB1041,IF(NOT($W1041=0),"",SUMIFS('Val-Vol (2)'!AD$4:AD$1116,'Val-Vol (2)'!$A$4:$A$1116,$D1041,'Val-Vol (2)'!$V$4:$V$1116,$V1041)/SUMIFS('Comp2016-2017 (3)'!$G$5:$G$289,'Comp2016-2017 (3)'!$A$5:$A$289,$D1041,'Comp2016-2017 (3)'!$R$5:$R$289,$V1041)*$AB1041))</f>
        <v/>
      </c>
      <c r="AE1041" s="2" t="str">
        <f>IF($W1041=AE$3,$AB1041,IF(NOT($W1041=0),"",SUMIFS('Val-Vol (2)'!AE$4:AE$1116,'Val-Vol (2)'!$A$4:$A$1116,$D1041,'Val-Vol (2)'!$V$4:$V$1116,$V1041)/SUMIFS('Comp2016-2017 (3)'!$G$5:$G$289,'Comp2016-2017 (3)'!$A$5:$A$289,$D1041,'Comp2016-2017 (3)'!$R$5:$R$289,$V1041)*$AB1041))</f>
        <v/>
      </c>
      <c r="AF1041" s="2" t="str">
        <f>IF($W1041=AF$3,$AB1041,IF(NOT($W1041=0),"",SUMIFS('Val-Vol (2)'!AF$4:AF$1116,'Val-Vol (2)'!$A$4:$A$1116,$D1041,'Val-Vol (2)'!$V$4:$V$1116,$V1041)/SUMIFS('Comp2016-2017 (3)'!$G$5:$G$289,'Comp2016-2017 (3)'!$A$5:$A$289,$D1041,'Comp2016-2017 (3)'!$R$5:$R$289,$V1041)*$AB1041))</f>
        <v/>
      </c>
      <c r="AG1041" s="2" t="str">
        <f>IF($W1041=AG$3,$AB1041,IF(NOT($W1041=0),"",SUMIFS('Val-Vol (2)'!AG$4:AG$1116,'Val-Vol (2)'!$A$4:$A$1116,$D1041,'Val-Vol (2)'!$V$4:$V$1116,$V1041)/SUMIFS('Comp2016-2017 (3)'!$G$5:$G$289,'Comp2016-2017 (3)'!$A$5:$A$289,$D1041,'Comp2016-2017 (3)'!$R$5:$R$289,$V1041)*$AB1041))</f>
        <v/>
      </c>
      <c r="AH1041" s="2" t="str">
        <f>IF($W1041=AH$3,$AB1041,IF(NOT($W1041=0),"",SUMIFS('Val-Vol (2)'!AH$4:AH$1116,'Val-Vol (2)'!$A$4:$A$1116,$D1041,'Val-Vol (2)'!$V$4:$V$1116,$V1041)/SUMIFS('Comp2016-2017 (3)'!$G$5:$G$289,'Comp2016-2017 (3)'!$A$5:$A$289,$D1041,'Comp2016-2017 (3)'!$R$5:$R$289,$V1041)*$AB1041))</f>
        <v/>
      </c>
      <c r="AI1041" s="2" t="str">
        <f>IF($W1041=AI$3,$AB1041,IF(NOT($W1041=0),"",SUMIFS('Val-Vol (2)'!AI$4:AI$1116,'Val-Vol (2)'!$A$4:$A$1116,$D1041,'Val-Vol (2)'!$V$4:$V$1116,$V1041)/SUMIFS('Comp2016-2017 (3)'!$G$5:$G$289,'Comp2016-2017 (3)'!$A$5:$A$289,$D1041,'Comp2016-2017 (3)'!$R$5:$R$289,$V1041)*$AB1041))</f>
        <v/>
      </c>
      <c r="AJ1041" s="2">
        <f>IF($W1041=AJ$3,$AB1041,IF(NOT($W1041=0),"",SUMIFS('Val-Vol (2)'!AJ$4:AJ$1116,'Val-Vol (2)'!$A$4:$A$1116,$D1041,'Val-Vol (2)'!$V$4:$V$1116,$V1041)/SUMIFS('Comp2016-2017 (3)'!$G$5:$G$289,'Comp2016-2017 (3)'!$A$5:$A$289,$D1041,'Comp2016-2017 (3)'!$R$5:$R$289,$V1041)*$AB1041))</f>
        <v>2351542.6219613785</v>
      </c>
      <c r="AK1041" s="2">
        <f t="shared" si="130"/>
        <v>0</v>
      </c>
      <c r="AL1041" t="str">
        <f t="shared" si="127"/>
        <v/>
      </c>
      <c r="AM1041" t="str">
        <f>VLOOKUP(A1041,'Table corresp.'!$M$4:$U$63,8,FALSE)</f>
        <v xml:space="preserve">Mise en œuvre </v>
      </c>
      <c r="AN1041" t="str">
        <f>VLOOKUP(D1041,'Table corresp.'!$M$4:$U$63,9,FALSE)</f>
        <v>Consommation finale française</v>
      </c>
    </row>
    <row r="1042" spans="1:40" x14ac:dyDescent="0.25">
      <c r="A1042" t="s">
        <v>25</v>
      </c>
      <c r="B1042" t="str">
        <f>VLOOKUP(LEFT(A1042,3),'Table corresp.'!$A$4:$D$63,3,FALSE)</f>
        <v>Transformation</v>
      </c>
      <c r="C1042" t="str">
        <f>VLOOKUP(A1042,'Table corresp.'!$M$4:$P$63,4,FALSE)</f>
        <v>Mise en oeuvre de produits bois</v>
      </c>
      <c r="D1042" t="s">
        <v>54</v>
      </c>
      <c r="E1042" t="str">
        <f>VLOOKUP(LEFT(D1042,3),'Table corresp.'!$A$4:$D$63,4,FALSE)</f>
        <v>Consommation finale</v>
      </c>
      <c r="F1042" t="str">
        <f t="shared" si="122"/>
        <v>58  - Con</v>
      </c>
      <c r="G1042" s="164">
        <v>945861.9467580826</v>
      </c>
      <c r="H1042" s="164">
        <v>0</v>
      </c>
      <c r="I1042" s="164">
        <v>945861.9467580826</v>
      </c>
      <c r="J1042" s="164">
        <v>910.10042584692985</v>
      </c>
      <c r="K1042" s="164">
        <v>0</v>
      </c>
      <c r="L1042" s="164">
        <v>910.10042584692985</v>
      </c>
      <c r="M1042" s="164">
        <v>15.025382902500169</v>
      </c>
      <c r="N1042" s="164">
        <v>0</v>
      </c>
      <c r="O1042" s="164">
        <v>15.025382902500169</v>
      </c>
      <c r="P1042" s="164">
        <v>3.3446084268888412</v>
      </c>
      <c r="Q1042" s="164">
        <v>0</v>
      </c>
      <c r="R1042" s="164">
        <v>3.3446084268888412</v>
      </c>
      <c r="S1042" s="163" t="str">
        <f t="shared" si="123"/>
        <v>BI</v>
      </c>
      <c r="T1042" s="163">
        <f>VLOOKUP(A1042,'Groupe de branches'!$Z$27:$AM$86,14,FALSE)</f>
        <v>0</v>
      </c>
      <c r="U1042" s="163">
        <f>VLOOKUP(D1042,'Groupe de branches'!$Z$27:$AM$86,14,FALSE)</f>
        <v>0</v>
      </c>
      <c r="V1042" s="163">
        <v>2018</v>
      </c>
      <c r="W1042" t="str">
        <f>VLOOKUP(D1042,'Table corresp.'!$M$4:$S$63,7,FALSE)</f>
        <v>Consommation finale</v>
      </c>
      <c r="X1042" s="167">
        <f>IFERROR(G1042/SUMIFS('Comp2016-2017 (3)'!$I$5:$I$289,'Comp2016-2017 (3)'!$A$5:$A$289,A1042,'Comp2016-2017 (3)'!$R$5:$R$289,V1042),0)</f>
        <v>0.99999999993735356</v>
      </c>
      <c r="Y1042" s="178">
        <f>IFERROR(IF(RIGHT(F1042,3)="Exp",VLOOKUP(F1042,#REF!,2,FALSE),VLOOKUP(F1042,#REF!,9,FALSE)),1)</f>
        <v>1</v>
      </c>
      <c r="Z1042" s="167">
        <f t="shared" si="124"/>
        <v>1</v>
      </c>
      <c r="AA1042" s="189">
        <f t="shared" si="128"/>
        <v>0.99999999993735356</v>
      </c>
      <c r="AB1042" s="2">
        <f>IFERROR(SUMIFS('Comp2016-2017 (3)'!$G$5:$G$289,'Comp2016-2017 (3)'!$A$5:$A$289,A1042,'Comp2016-2017 (3)'!$R$5:$R$289,V1042)*AA1042/SUMIFS($AA$4:$AA$1116,$A$4:$A$1116,A1042,$V$4:$V$1116,V1042),0)</f>
        <v>387402.5990862794</v>
      </c>
      <c r="AC1042" s="2" t="str">
        <f>IF($W1042=AC$3,$AB1042,IF(NOT($W1042=0),"",SUMIFS('Val-Vol (2)'!AC$4:AC$1116,'Val-Vol (2)'!$A$4:$A$1116,$D1042,'Val-Vol (2)'!$V$4:$V$1116,$V1042)/SUMIFS('Comp2016-2017 (3)'!$G$5:$G$289,'Comp2016-2017 (3)'!$A$5:$A$289,$D1042,'Comp2016-2017 (3)'!$R$5:$R$289,$V1042)*$AB1042))</f>
        <v/>
      </c>
      <c r="AD1042" s="2" t="str">
        <f>IF($W1042=AD$3,$AB1042,IF(NOT($W1042=0),"",SUMIFS('Val-Vol (2)'!AD$4:AD$1116,'Val-Vol (2)'!$A$4:$A$1116,$D1042,'Val-Vol (2)'!$V$4:$V$1116,$V1042)/SUMIFS('Comp2016-2017 (3)'!$G$5:$G$289,'Comp2016-2017 (3)'!$A$5:$A$289,$D1042,'Comp2016-2017 (3)'!$R$5:$R$289,$V1042)*$AB1042))</f>
        <v/>
      </c>
      <c r="AE1042" s="2" t="str">
        <f>IF($W1042=AE$3,$AB1042,IF(NOT($W1042=0),"",SUMIFS('Val-Vol (2)'!AE$4:AE$1116,'Val-Vol (2)'!$A$4:$A$1116,$D1042,'Val-Vol (2)'!$V$4:$V$1116,$V1042)/SUMIFS('Comp2016-2017 (3)'!$G$5:$G$289,'Comp2016-2017 (3)'!$A$5:$A$289,$D1042,'Comp2016-2017 (3)'!$R$5:$R$289,$V1042)*$AB1042))</f>
        <v/>
      </c>
      <c r="AF1042" s="2" t="str">
        <f>IF($W1042=AF$3,$AB1042,IF(NOT($W1042=0),"",SUMIFS('Val-Vol (2)'!AF$4:AF$1116,'Val-Vol (2)'!$A$4:$A$1116,$D1042,'Val-Vol (2)'!$V$4:$V$1116,$V1042)/SUMIFS('Comp2016-2017 (3)'!$G$5:$G$289,'Comp2016-2017 (3)'!$A$5:$A$289,$D1042,'Comp2016-2017 (3)'!$R$5:$R$289,$V1042)*$AB1042))</f>
        <v/>
      </c>
      <c r="AG1042" s="2" t="str">
        <f>IF($W1042=AG$3,$AB1042,IF(NOT($W1042=0),"",SUMIFS('Val-Vol (2)'!AG$4:AG$1116,'Val-Vol (2)'!$A$4:$A$1116,$D1042,'Val-Vol (2)'!$V$4:$V$1116,$V1042)/SUMIFS('Comp2016-2017 (3)'!$G$5:$G$289,'Comp2016-2017 (3)'!$A$5:$A$289,$D1042,'Comp2016-2017 (3)'!$R$5:$R$289,$V1042)*$AB1042))</f>
        <v/>
      </c>
      <c r="AH1042" s="2" t="str">
        <f>IF($W1042=AH$3,$AB1042,IF(NOT($W1042=0),"",SUMIFS('Val-Vol (2)'!AH$4:AH$1116,'Val-Vol (2)'!$A$4:$A$1116,$D1042,'Val-Vol (2)'!$V$4:$V$1116,$V1042)/SUMIFS('Comp2016-2017 (3)'!$G$5:$G$289,'Comp2016-2017 (3)'!$A$5:$A$289,$D1042,'Comp2016-2017 (3)'!$R$5:$R$289,$V1042)*$AB1042))</f>
        <v/>
      </c>
      <c r="AI1042" s="2" t="str">
        <f>IF($W1042=AI$3,$AB1042,IF(NOT($W1042=0),"",SUMIFS('Val-Vol (2)'!AI$4:AI$1116,'Val-Vol (2)'!$A$4:$A$1116,$D1042,'Val-Vol (2)'!$V$4:$V$1116,$V1042)/SUMIFS('Comp2016-2017 (3)'!$G$5:$G$289,'Comp2016-2017 (3)'!$A$5:$A$289,$D1042,'Comp2016-2017 (3)'!$R$5:$R$289,$V1042)*$AB1042))</f>
        <v/>
      </c>
      <c r="AJ1042" s="2">
        <f>IF($W1042=AJ$3,$AB1042,IF(NOT($W1042=0),"",SUMIFS('Val-Vol (2)'!AJ$4:AJ$1116,'Val-Vol (2)'!$A$4:$A$1116,$D1042,'Val-Vol (2)'!$V$4:$V$1116,$V1042)/SUMIFS('Comp2016-2017 (3)'!$G$5:$G$289,'Comp2016-2017 (3)'!$A$5:$A$289,$D1042,'Comp2016-2017 (3)'!$R$5:$R$289,$V1042)*$AB1042))</f>
        <v>387402.5990862794</v>
      </c>
      <c r="AK1042" s="2">
        <f t="shared" si="130"/>
        <v>0</v>
      </c>
      <c r="AL1042" t="str">
        <f t="shared" si="127"/>
        <v/>
      </c>
      <c r="AM1042" t="str">
        <f>VLOOKUP(A1042,'Table corresp.'!$M$4:$U$63,8,FALSE)</f>
        <v xml:space="preserve">Mise en œuvre </v>
      </c>
      <c r="AN1042" t="str">
        <f>VLOOKUP(D1042,'Table corresp.'!$M$4:$U$63,9,FALSE)</f>
        <v>Consommation finale française</v>
      </c>
    </row>
    <row r="1043" spans="1:40" x14ac:dyDescent="0.25">
      <c r="A1043" t="s">
        <v>26</v>
      </c>
      <c r="B1043" t="str">
        <f>VLOOKUP(LEFT(A1043,3),'Table corresp.'!$A$4:$D$63,3,FALSE)</f>
        <v>Transformation</v>
      </c>
      <c r="C1043" t="str">
        <f>VLOOKUP(A1043,'Table corresp.'!$M$4:$P$63,4,FALSE)</f>
        <v>Mise en oeuvre de produits bois</v>
      </c>
      <c r="D1043" t="s">
        <v>54</v>
      </c>
      <c r="E1043" t="str">
        <f>VLOOKUP(LEFT(D1043,3),'Table corresp.'!$A$4:$D$63,4,FALSE)</f>
        <v>Consommation finale</v>
      </c>
      <c r="F1043" t="str">
        <f t="shared" si="122"/>
        <v>59  - Con</v>
      </c>
      <c r="G1043" s="164">
        <v>308231.1185303636</v>
      </c>
      <c r="H1043" s="164">
        <v>0</v>
      </c>
      <c r="I1043" s="164">
        <v>308231.1185303636</v>
      </c>
      <c r="J1043" s="164">
        <v>224.07532425763077</v>
      </c>
      <c r="K1043" s="164">
        <v>0</v>
      </c>
      <c r="L1043" s="164">
        <v>224.07532425763077</v>
      </c>
      <c r="M1043" s="164">
        <v>8.4722029036070605</v>
      </c>
      <c r="N1043" s="164">
        <v>0</v>
      </c>
      <c r="O1043" s="164">
        <v>8.4722029036070605</v>
      </c>
      <c r="P1043" s="164">
        <v>4.0409274506644692</v>
      </c>
      <c r="Q1043" s="164">
        <v>0</v>
      </c>
      <c r="R1043" s="164">
        <v>4.0409274506644692</v>
      </c>
      <c r="S1043" s="163" t="str">
        <f t="shared" si="123"/>
        <v>BI</v>
      </c>
      <c r="T1043" s="163">
        <f>VLOOKUP(A1043,'Groupe de branches'!$Z$27:$AM$86,14,FALSE)</f>
        <v>0</v>
      </c>
      <c r="U1043" s="163">
        <f>VLOOKUP(D1043,'Groupe de branches'!$Z$27:$AM$86,14,FALSE)</f>
        <v>0</v>
      </c>
      <c r="V1043" s="163">
        <v>2018</v>
      </c>
      <c r="W1043" t="str">
        <f>VLOOKUP(D1043,'Table corresp.'!$M$4:$S$63,7,FALSE)</f>
        <v>Consommation finale</v>
      </c>
      <c r="X1043" s="167">
        <f>IFERROR(G1043/SUMIFS('Comp2016-2017 (3)'!$I$5:$I$289,'Comp2016-2017 (3)'!$A$5:$A$289,A1043,'Comp2016-2017 (3)'!$R$5:$R$289,V1043),0)</f>
        <v>0.99999999838765152</v>
      </c>
      <c r="Y1043" s="178">
        <f>IFERROR(IF(RIGHT(F1043,3)="Exp",VLOOKUP(F1043,#REF!,2,FALSE),VLOOKUP(F1043,#REF!,9,FALSE)),1)</f>
        <v>1</v>
      </c>
      <c r="Z1043" s="167">
        <f t="shared" si="124"/>
        <v>1</v>
      </c>
      <c r="AA1043" s="189">
        <f t="shared" si="128"/>
        <v>0.99999999838765152</v>
      </c>
      <c r="AB1043" s="2">
        <f>IFERROR(SUMIFS('Comp2016-2017 (3)'!$G$5:$G$289,'Comp2016-2017 (3)'!$A$5:$A$289,A1043,'Comp2016-2017 (3)'!$R$5:$R$289,V1043)*AA1043/SUMIFS($AA$4:$AA$1116,$A$4:$A$1116,A1043,$V$4:$V$1116,V1043),0)</f>
        <v>105650.45650959374</v>
      </c>
      <c r="AC1043" s="2" t="str">
        <f>IF($W1043=AC$3,$AB1043,IF(NOT($W1043=0),"",SUMIFS('Val-Vol (2)'!AC$4:AC$1116,'Val-Vol (2)'!$A$4:$A$1116,$D1043,'Val-Vol (2)'!$V$4:$V$1116,$V1043)/SUMIFS('Comp2016-2017 (3)'!$G$5:$G$289,'Comp2016-2017 (3)'!$A$5:$A$289,$D1043,'Comp2016-2017 (3)'!$R$5:$R$289,$V1043)*$AB1043))</f>
        <v/>
      </c>
      <c r="AD1043" s="2" t="str">
        <f>IF($W1043=AD$3,$AB1043,IF(NOT($W1043=0),"",SUMIFS('Val-Vol (2)'!AD$4:AD$1116,'Val-Vol (2)'!$A$4:$A$1116,$D1043,'Val-Vol (2)'!$V$4:$V$1116,$V1043)/SUMIFS('Comp2016-2017 (3)'!$G$5:$G$289,'Comp2016-2017 (3)'!$A$5:$A$289,$D1043,'Comp2016-2017 (3)'!$R$5:$R$289,$V1043)*$AB1043))</f>
        <v/>
      </c>
      <c r="AE1043" s="2" t="str">
        <f>IF($W1043=AE$3,$AB1043,IF(NOT($W1043=0),"",SUMIFS('Val-Vol (2)'!AE$4:AE$1116,'Val-Vol (2)'!$A$4:$A$1116,$D1043,'Val-Vol (2)'!$V$4:$V$1116,$V1043)/SUMIFS('Comp2016-2017 (3)'!$G$5:$G$289,'Comp2016-2017 (3)'!$A$5:$A$289,$D1043,'Comp2016-2017 (3)'!$R$5:$R$289,$V1043)*$AB1043))</f>
        <v/>
      </c>
      <c r="AF1043" s="2" t="str">
        <f>IF($W1043=AF$3,$AB1043,IF(NOT($W1043=0),"",SUMIFS('Val-Vol (2)'!AF$4:AF$1116,'Val-Vol (2)'!$A$4:$A$1116,$D1043,'Val-Vol (2)'!$V$4:$V$1116,$V1043)/SUMIFS('Comp2016-2017 (3)'!$G$5:$G$289,'Comp2016-2017 (3)'!$A$5:$A$289,$D1043,'Comp2016-2017 (3)'!$R$5:$R$289,$V1043)*$AB1043))</f>
        <v/>
      </c>
      <c r="AG1043" s="2" t="str">
        <f>IF($W1043=AG$3,$AB1043,IF(NOT($W1043=0),"",SUMIFS('Val-Vol (2)'!AG$4:AG$1116,'Val-Vol (2)'!$A$4:$A$1116,$D1043,'Val-Vol (2)'!$V$4:$V$1116,$V1043)/SUMIFS('Comp2016-2017 (3)'!$G$5:$G$289,'Comp2016-2017 (3)'!$A$5:$A$289,$D1043,'Comp2016-2017 (3)'!$R$5:$R$289,$V1043)*$AB1043))</f>
        <v/>
      </c>
      <c r="AH1043" s="2" t="str">
        <f>IF($W1043=AH$3,$AB1043,IF(NOT($W1043=0),"",SUMIFS('Val-Vol (2)'!AH$4:AH$1116,'Val-Vol (2)'!$A$4:$A$1116,$D1043,'Val-Vol (2)'!$V$4:$V$1116,$V1043)/SUMIFS('Comp2016-2017 (3)'!$G$5:$G$289,'Comp2016-2017 (3)'!$A$5:$A$289,$D1043,'Comp2016-2017 (3)'!$R$5:$R$289,$V1043)*$AB1043))</f>
        <v/>
      </c>
      <c r="AI1043" s="2" t="str">
        <f>IF($W1043=AI$3,$AB1043,IF(NOT($W1043=0),"",SUMIFS('Val-Vol (2)'!AI$4:AI$1116,'Val-Vol (2)'!$A$4:$A$1116,$D1043,'Val-Vol (2)'!$V$4:$V$1116,$V1043)/SUMIFS('Comp2016-2017 (3)'!$G$5:$G$289,'Comp2016-2017 (3)'!$A$5:$A$289,$D1043,'Comp2016-2017 (3)'!$R$5:$R$289,$V1043)*$AB1043))</f>
        <v/>
      </c>
      <c r="AJ1043" s="2">
        <f>IF($W1043=AJ$3,$AB1043,IF(NOT($W1043=0),"",SUMIFS('Val-Vol (2)'!AJ$4:AJ$1116,'Val-Vol (2)'!$A$4:$A$1116,$D1043,'Val-Vol (2)'!$V$4:$V$1116,$V1043)/SUMIFS('Comp2016-2017 (3)'!$G$5:$G$289,'Comp2016-2017 (3)'!$A$5:$A$289,$D1043,'Comp2016-2017 (3)'!$R$5:$R$289,$V1043)*$AB1043))</f>
        <v>105650.45650959374</v>
      </c>
      <c r="AK1043" s="2">
        <f t="shared" si="130"/>
        <v>0</v>
      </c>
      <c r="AL1043" t="str">
        <f t="shared" si="127"/>
        <v/>
      </c>
      <c r="AM1043" t="str">
        <f>VLOOKUP(A1043,'Table corresp.'!$M$4:$U$63,8,FALSE)</f>
        <v xml:space="preserve">Mise en œuvre </v>
      </c>
      <c r="AN1043" t="str">
        <f>VLOOKUP(D1043,'Table corresp.'!$M$4:$U$63,9,FALSE)</f>
        <v>Consommation finale française</v>
      </c>
    </row>
    <row r="1044" spans="1:40" x14ac:dyDescent="0.25">
      <c r="A1044" t="s">
        <v>27</v>
      </c>
      <c r="B1044" t="str">
        <f>VLOOKUP(LEFT(A1044,3),'Table corresp.'!$A$4:$D$63,3,FALSE)</f>
        <v>Transformation</v>
      </c>
      <c r="C1044" t="str">
        <f>VLOOKUP(A1044,'Table corresp.'!$M$4:$P$63,4,FALSE)</f>
        <v>Mise en oeuvre de produits bois</v>
      </c>
      <c r="D1044" t="s">
        <v>54</v>
      </c>
      <c r="E1044" t="str">
        <f>VLOOKUP(LEFT(D1044,3),'Table corresp.'!$A$4:$D$63,4,FALSE)</f>
        <v>Consommation finale</v>
      </c>
      <c r="F1044" t="str">
        <f t="shared" si="122"/>
        <v>60  - Con</v>
      </c>
      <c r="G1044" s="164">
        <v>1892570.1644444442</v>
      </c>
      <c r="H1044" s="164">
        <v>0</v>
      </c>
      <c r="I1044" s="164">
        <v>1892570.1644444442</v>
      </c>
      <c r="J1044" s="164">
        <v>0</v>
      </c>
      <c r="K1044" s="164">
        <v>0</v>
      </c>
      <c r="L1044" s="164">
        <v>0</v>
      </c>
      <c r="M1044" s="164">
        <v>0</v>
      </c>
      <c r="N1044" s="164">
        <v>0</v>
      </c>
      <c r="O1044" s="164">
        <v>0</v>
      </c>
      <c r="P1044" s="164">
        <v>0</v>
      </c>
      <c r="Q1044" s="164">
        <v>0</v>
      </c>
      <c r="R1044" s="164">
        <v>0</v>
      </c>
      <c r="S1044" s="163" t="str">
        <f t="shared" si="123"/>
        <v/>
      </c>
      <c r="T1044" s="163">
        <f>VLOOKUP(A1044,'Groupe de branches'!$Z$27:$AM$86,14,FALSE)</f>
        <v>1</v>
      </c>
      <c r="U1044" s="163">
        <f>VLOOKUP(D1044,'Groupe de branches'!$Z$27:$AM$86,14,FALSE)</f>
        <v>0</v>
      </c>
      <c r="V1044" s="163">
        <v>2018</v>
      </c>
      <c r="W1044" t="str">
        <f>VLOOKUP(D1044,'Table corresp.'!$M$4:$S$63,7,FALSE)</f>
        <v>Consommation finale</v>
      </c>
      <c r="X1044" s="167">
        <f>IFERROR(G1044/SUMIFS('Comp2016-2017 (3)'!$I$5:$I$289,'Comp2016-2017 (3)'!$A$5:$A$289,A1044,'Comp2016-2017 (3)'!$R$5:$R$289,V1044),0)</f>
        <v>1</v>
      </c>
      <c r="Y1044" s="178">
        <f>IFERROR(IF(RIGHT(F1044,3)="Exp",VLOOKUP(F1044,#REF!,2,FALSE),VLOOKUP(F1044,#REF!,9,FALSE)),1)</f>
        <v>1</v>
      </c>
      <c r="Z1044" s="167">
        <f t="shared" si="124"/>
        <v>1</v>
      </c>
      <c r="AA1044" s="189">
        <f t="shared" si="128"/>
        <v>1</v>
      </c>
      <c r="AB1044" s="2">
        <f>IFERROR(SUMIFS('Comp2016-2017 (3)'!$G$5:$G$289,'Comp2016-2017 (3)'!$A$5:$A$289,A1044,'Comp2016-2017 (3)'!$R$5:$R$289,V1044)*AA1044/SUMIFS($AA$4:$AA$1116,$A$4:$A$1116,A1044,$V$4:$V$1116,V1044),0)</f>
        <v>745768.4771797728</v>
      </c>
      <c r="AC1044" s="2" t="str">
        <f>IF($W1044=AC$3,$AB1044,IF(NOT($W1044=0),"",SUMIFS('Val-Vol (2)'!AC$4:AC$1116,'Val-Vol (2)'!$A$4:$A$1116,$D1044,'Val-Vol (2)'!$V$4:$V$1116,$V1044)/SUMIFS('Comp2016-2017 (3)'!$G$5:$G$289,'Comp2016-2017 (3)'!$A$5:$A$289,$D1044,'Comp2016-2017 (3)'!$R$5:$R$289,$V1044)*$AB1044))</f>
        <v/>
      </c>
      <c r="AD1044" s="2" t="str">
        <f>IF($W1044=AD$3,$AB1044,IF(NOT($W1044=0),"",SUMIFS('Val-Vol (2)'!AD$4:AD$1116,'Val-Vol (2)'!$A$4:$A$1116,$D1044,'Val-Vol (2)'!$V$4:$V$1116,$V1044)/SUMIFS('Comp2016-2017 (3)'!$G$5:$G$289,'Comp2016-2017 (3)'!$A$5:$A$289,$D1044,'Comp2016-2017 (3)'!$R$5:$R$289,$V1044)*$AB1044))</f>
        <v/>
      </c>
      <c r="AE1044" s="2" t="str">
        <f>IF($W1044=AE$3,$AB1044,IF(NOT($W1044=0),"",SUMIFS('Val-Vol (2)'!AE$4:AE$1116,'Val-Vol (2)'!$A$4:$A$1116,$D1044,'Val-Vol (2)'!$V$4:$V$1116,$V1044)/SUMIFS('Comp2016-2017 (3)'!$G$5:$G$289,'Comp2016-2017 (3)'!$A$5:$A$289,$D1044,'Comp2016-2017 (3)'!$R$5:$R$289,$V1044)*$AB1044))</f>
        <v/>
      </c>
      <c r="AF1044" s="2" t="str">
        <f>IF($W1044=AF$3,$AB1044,IF(NOT($W1044=0),"",SUMIFS('Val-Vol (2)'!AF$4:AF$1116,'Val-Vol (2)'!$A$4:$A$1116,$D1044,'Val-Vol (2)'!$V$4:$V$1116,$V1044)/SUMIFS('Comp2016-2017 (3)'!$G$5:$G$289,'Comp2016-2017 (3)'!$A$5:$A$289,$D1044,'Comp2016-2017 (3)'!$R$5:$R$289,$V1044)*$AB1044))</f>
        <v/>
      </c>
      <c r="AG1044" s="2" t="str">
        <f>IF($W1044=AG$3,$AB1044,IF(NOT($W1044=0),"",SUMIFS('Val-Vol (2)'!AG$4:AG$1116,'Val-Vol (2)'!$A$4:$A$1116,$D1044,'Val-Vol (2)'!$V$4:$V$1116,$V1044)/SUMIFS('Comp2016-2017 (3)'!$G$5:$G$289,'Comp2016-2017 (3)'!$A$5:$A$289,$D1044,'Comp2016-2017 (3)'!$R$5:$R$289,$V1044)*$AB1044))</f>
        <v/>
      </c>
      <c r="AH1044" s="2" t="str">
        <f>IF($W1044=AH$3,$AB1044,IF(NOT($W1044=0),"",SUMIFS('Val-Vol (2)'!AH$4:AH$1116,'Val-Vol (2)'!$A$4:$A$1116,$D1044,'Val-Vol (2)'!$V$4:$V$1116,$V1044)/SUMIFS('Comp2016-2017 (3)'!$G$5:$G$289,'Comp2016-2017 (3)'!$A$5:$A$289,$D1044,'Comp2016-2017 (3)'!$R$5:$R$289,$V1044)*$AB1044))</f>
        <v/>
      </c>
      <c r="AI1044" s="2" t="str">
        <f>IF($W1044=AI$3,$AB1044,IF(NOT($W1044=0),"",SUMIFS('Val-Vol (2)'!AI$4:AI$1116,'Val-Vol (2)'!$A$4:$A$1116,$D1044,'Val-Vol (2)'!$V$4:$V$1116,$V1044)/SUMIFS('Comp2016-2017 (3)'!$G$5:$G$289,'Comp2016-2017 (3)'!$A$5:$A$289,$D1044,'Comp2016-2017 (3)'!$R$5:$R$289,$V1044)*$AB1044))</f>
        <v/>
      </c>
      <c r="AJ1044" s="2">
        <f>IF($W1044=AJ$3,$AB1044,IF(NOT($W1044=0),"",SUMIFS('Val-Vol (2)'!AJ$4:AJ$1116,'Val-Vol (2)'!$A$4:$A$1116,$D1044,'Val-Vol (2)'!$V$4:$V$1116,$V1044)/SUMIFS('Comp2016-2017 (3)'!$G$5:$G$289,'Comp2016-2017 (3)'!$A$5:$A$289,$D1044,'Comp2016-2017 (3)'!$R$5:$R$289,$V1044)*$AB1044))</f>
        <v>745768.4771797728</v>
      </c>
      <c r="AK1044" s="2">
        <f t="shared" si="130"/>
        <v>0</v>
      </c>
      <c r="AL1044" t="str">
        <f t="shared" si="127"/>
        <v/>
      </c>
      <c r="AM1044" t="str">
        <f>VLOOKUP(A1044,'Table corresp.'!$M$4:$U$63,8,FALSE)</f>
        <v xml:space="preserve">Mise en œuvre </v>
      </c>
      <c r="AN1044" t="str">
        <f>VLOOKUP(D1044,'Table corresp.'!$M$4:$U$63,9,FALSE)</f>
        <v>Consommation finale française</v>
      </c>
    </row>
    <row r="1045" spans="1:40" x14ac:dyDescent="0.25">
      <c r="A1045" t="s">
        <v>104</v>
      </c>
      <c r="B1045" t="str">
        <f>VLOOKUP(LEFT(A1045,3),'Table corresp.'!$A$4:$D$63,3,FALSE)</f>
        <v>Transformation</v>
      </c>
      <c r="C1045" t="str">
        <f>VLOOKUP(A1045,'Table corresp.'!$M$4:$P$63,4,FALSE)</f>
        <v>Commerces et services</v>
      </c>
      <c r="D1045" t="s">
        <v>19</v>
      </c>
      <c r="E1045" t="str">
        <f>VLOOKUP(LEFT(D1045,3),'Table corresp.'!$A$4:$D$63,4,FALSE)</f>
        <v>Transformation</v>
      </c>
      <c r="F1045" t="str">
        <f t="shared" si="122"/>
        <v xml:space="preserve">61  - 52 </v>
      </c>
      <c r="G1045" s="164">
        <v>48752.981077760502</v>
      </c>
      <c r="H1045" s="164">
        <v>0</v>
      </c>
      <c r="I1045" s="164">
        <v>48752.981077760502</v>
      </c>
      <c r="J1045" s="164">
        <v>0</v>
      </c>
      <c r="K1045" s="164">
        <v>0</v>
      </c>
      <c r="L1045" s="164">
        <v>0</v>
      </c>
      <c r="M1045" s="164">
        <v>0</v>
      </c>
      <c r="N1045" s="164">
        <v>0</v>
      </c>
      <c r="O1045" s="164">
        <v>0</v>
      </c>
      <c r="P1045" s="164">
        <v>0</v>
      </c>
      <c r="Q1045" s="164">
        <v>0</v>
      </c>
      <c r="R1045" s="164">
        <v>0</v>
      </c>
      <c r="S1045" s="163" t="str">
        <f t="shared" si="123"/>
        <v/>
      </c>
      <c r="T1045" s="163">
        <f>VLOOKUP(A1045,'Groupe de branches'!$Z$27:$AM$86,14,FALSE)</f>
        <v>0</v>
      </c>
      <c r="U1045" s="163">
        <f>VLOOKUP(D1045,'Groupe de branches'!$Z$27:$AM$86,14,FALSE)</f>
        <v>0</v>
      </c>
      <c r="V1045" s="163">
        <v>2018</v>
      </c>
      <c r="W1045" t="str">
        <f>VLOOKUP(D1045,'Table corresp.'!$M$4:$S$63,7,FALSE)</f>
        <v>Construction</v>
      </c>
      <c r="X1045" s="167">
        <f>IFERROR(G1045/SUMIFS('Comp2016-2017 (3)'!$I$5:$I$289,'Comp2016-2017 (3)'!$A$5:$A$289,A1045,'Comp2016-2017 (3)'!$R$5:$R$289,V1045),0)</f>
        <v>3.0677017735492751E-2</v>
      </c>
      <c r="Y1045" s="178">
        <f>IFERROR(IF(RIGHT(F1045,3)="Exp",VLOOKUP(F1045,#REF!,2,FALSE),VLOOKUP(F1045,#REF!,9,FALSE)),1)</f>
        <v>1</v>
      </c>
      <c r="Z1045" s="167">
        <f t="shared" si="124"/>
        <v>0.1111111111111111</v>
      </c>
      <c r="AA1045" s="189">
        <f t="shared" si="128"/>
        <v>3.4085575261658609E-3</v>
      </c>
      <c r="AB1045" s="2">
        <f>IFERROR(SUMIFS('Comp2016-2017 (3)'!$G$5:$G$289,'Comp2016-2017 (3)'!$A$5:$A$289,A1045,'Comp2016-2017 (3)'!$R$5:$R$289,V1045)*AA1045/SUMIFS($AA$4:$AA$1116,$A$4:$A$1116,A1045,$V$4:$V$1116,V1045),0)</f>
        <v>48752.980939344176</v>
      </c>
      <c r="AC1045" s="2" t="str">
        <f>IF($W1045=AC$3,$AB1045,IF(NOT($W1045=0),"",SUMIFS('Val-Vol (2)'!AC$4:AC$1116,'Val-Vol (2)'!$A$4:$A$1116,$D1045,'Val-Vol (2)'!$V$4:$V$1116,$V1045)/SUMIFS('Comp2016-2017 (3)'!$G$5:$G$289,'Comp2016-2017 (3)'!$A$5:$A$289,$D1045,'Comp2016-2017 (3)'!$R$5:$R$289,$V1045)*$AB1045))</f>
        <v/>
      </c>
      <c r="AD1045" s="2">
        <f>IF($W1045=AD$3,$AB1045,IF(NOT($W1045=0),"",SUMIFS('Val-Vol (2)'!AD$4:AD$1116,'Val-Vol (2)'!$A$4:$A$1116,$D1045,'Val-Vol (2)'!$V$4:$V$1116,$V1045)/SUMIFS('Comp2016-2017 (3)'!$G$5:$G$289,'Comp2016-2017 (3)'!$A$5:$A$289,$D1045,'Comp2016-2017 (3)'!$R$5:$R$289,$V1045)*$AB1045))</f>
        <v>48752.980939344176</v>
      </c>
      <c r="AE1045" s="2" t="str">
        <f>IF($W1045=AE$3,$AB1045,IF(NOT($W1045=0),"",SUMIFS('Val-Vol (2)'!AE$4:AE$1116,'Val-Vol (2)'!$A$4:$A$1116,$D1045,'Val-Vol (2)'!$V$4:$V$1116,$V1045)/SUMIFS('Comp2016-2017 (3)'!$G$5:$G$289,'Comp2016-2017 (3)'!$A$5:$A$289,$D1045,'Comp2016-2017 (3)'!$R$5:$R$289,$V1045)*$AB1045))</f>
        <v/>
      </c>
      <c r="AF1045" s="2" t="str">
        <f>IF($W1045=AF$3,$AB1045,IF(NOT($W1045=0),"",SUMIFS('Val-Vol (2)'!AF$4:AF$1116,'Val-Vol (2)'!$A$4:$A$1116,$D1045,'Val-Vol (2)'!$V$4:$V$1116,$V1045)/SUMIFS('Comp2016-2017 (3)'!$G$5:$G$289,'Comp2016-2017 (3)'!$A$5:$A$289,$D1045,'Comp2016-2017 (3)'!$R$5:$R$289,$V1045)*$AB1045))</f>
        <v/>
      </c>
      <c r="AG1045" s="2" t="str">
        <f>IF($W1045=AG$3,$AB1045,IF(NOT($W1045=0),"",SUMIFS('Val-Vol (2)'!AG$4:AG$1116,'Val-Vol (2)'!$A$4:$A$1116,$D1045,'Val-Vol (2)'!$V$4:$V$1116,$V1045)/SUMIFS('Comp2016-2017 (3)'!$G$5:$G$289,'Comp2016-2017 (3)'!$A$5:$A$289,$D1045,'Comp2016-2017 (3)'!$R$5:$R$289,$V1045)*$AB1045))</f>
        <v/>
      </c>
      <c r="AH1045" s="2" t="str">
        <f>IF($W1045=AH$3,$AB1045,IF(NOT($W1045=0),"",SUMIFS('Val-Vol (2)'!AH$4:AH$1116,'Val-Vol (2)'!$A$4:$A$1116,$D1045,'Val-Vol (2)'!$V$4:$V$1116,$V1045)/SUMIFS('Comp2016-2017 (3)'!$G$5:$G$289,'Comp2016-2017 (3)'!$A$5:$A$289,$D1045,'Comp2016-2017 (3)'!$R$5:$R$289,$V1045)*$AB1045))</f>
        <v/>
      </c>
      <c r="AI1045" s="2" t="str">
        <f>IF($W1045=AI$3,$AB1045,IF(NOT($W1045=0),"",SUMIFS('Val-Vol (2)'!AI$4:AI$1116,'Val-Vol (2)'!$A$4:$A$1116,$D1045,'Val-Vol (2)'!$V$4:$V$1116,$V1045)/SUMIFS('Comp2016-2017 (3)'!$G$5:$G$289,'Comp2016-2017 (3)'!$A$5:$A$289,$D1045,'Comp2016-2017 (3)'!$R$5:$R$289,$V1045)*$AB1045))</f>
        <v/>
      </c>
      <c r="AJ1045" s="2" t="str">
        <f>IF($W1045=AJ$3,$AB1045,IF(NOT($W1045=0),"",SUMIFS('Val-Vol (2)'!AJ$4:AJ$1116,'Val-Vol (2)'!$A$4:$A$1116,$D1045,'Val-Vol (2)'!$V$4:$V$1116,$V1045)/SUMIFS('Comp2016-2017 (3)'!$G$5:$G$289,'Comp2016-2017 (3)'!$A$5:$A$289,$D1045,'Comp2016-2017 (3)'!$R$5:$R$289,$V1045)*$AB1045))</f>
        <v/>
      </c>
      <c r="AK1045" s="2">
        <f t="shared" si="130"/>
        <v>0</v>
      </c>
      <c r="AL1045" t="str">
        <f t="shared" si="127"/>
        <v/>
      </c>
      <c r="AM1045" t="str">
        <f>VLOOKUP(A1045,'Table corresp.'!$M$4:$U$63,8,FALSE)</f>
        <v xml:space="preserve">Mise en œuvre </v>
      </c>
      <c r="AN1045" t="str">
        <f>VLOOKUP(D1045,'Table corresp.'!$M$4:$U$63,9,FALSE)</f>
        <v xml:space="preserve">Mise en œuvre </v>
      </c>
    </row>
    <row r="1046" spans="1:40" x14ac:dyDescent="0.25">
      <c r="A1046" t="s">
        <v>104</v>
      </c>
      <c r="B1046" t="str">
        <f>VLOOKUP(LEFT(A1046,3),'Table corresp.'!$A$4:$D$63,3,FALSE)</f>
        <v>Transformation</v>
      </c>
      <c r="C1046" t="str">
        <f>VLOOKUP(A1046,'Table corresp.'!$M$4:$P$63,4,FALSE)</f>
        <v>Commerces et services</v>
      </c>
      <c r="D1046" t="s">
        <v>20</v>
      </c>
      <c r="E1046" t="str">
        <f>VLOOKUP(LEFT(D1046,3),'Table corresp.'!$A$4:$D$63,4,FALSE)</f>
        <v>Transformation</v>
      </c>
      <c r="F1046" t="str">
        <f t="shared" si="122"/>
        <v xml:space="preserve">61  - 53 </v>
      </c>
      <c r="G1046" s="164">
        <v>8800.6184247746387</v>
      </c>
      <c r="H1046" s="164">
        <v>0</v>
      </c>
      <c r="I1046" s="164">
        <v>8800.6184247746387</v>
      </c>
      <c r="J1046" s="164">
        <v>0</v>
      </c>
      <c r="K1046" s="164">
        <v>0</v>
      </c>
      <c r="L1046" s="164">
        <v>0</v>
      </c>
      <c r="M1046" s="164">
        <v>0</v>
      </c>
      <c r="N1046" s="164">
        <v>0</v>
      </c>
      <c r="O1046" s="164">
        <v>0</v>
      </c>
      <c r="P1046" s="164">
        <v>0</v>
      </c>
      <c r="Q1046" s="164">
        <v>0</v>
      </c>
      <c r="R1046" s="164">
        <v>0</v>
      </c>
      <c r="S1046" s="163" t="str">
        <f t="shared" si="123"/>
        <v/>
      </c>
      <c r="T1046" s="163">
        <f>VLOOKUP(A1046,'Groupe de branches'!$Z$27:$AM$86,14,FALSE)</f>
        <v>0</v>
      </c>
      <c r="U1046" s="163">
        <f>VLOOKUP(D1046,'Groupe de branches'!$Z$27:$AM$86,14,FALSE)</f>
        <v>0</v>
      </c>
      <c r="V1046" s="163">
        <v>2018</v>
      </c>
      <c r="W1046" t="str">
        <f>VLOOKUP(D1046,'Table corresp.'!$M$4:$S$63,7,FALSE)</f>
        <v>Construction</v>
      </c>
      <c r="X1046" s="167">
        <f>IFERROR(G1046/SUMIFS('Comp2016-2017 (3)'!$I$5:$I$289,'Comp2016-2017 (3)'!$A$5:$A$289,A1046,'Comp2016-2017 (3)'!$R$5:$R$289,V1046),0)</f>
        <v>5.5376455250911892E-3</v>
      </c>
      <c r="Y1046" s="178">
        <f>IFERROR(IF(RIGHT(F1046,3)="Exp",VLOOKUP(F1046,#REF!,2,FALSE),VLOOKUP(F1046,#REF!,9,FALSE)),1)</f>
        <v>1</v>
      </c>
      <c r="Z1046" s="167">
        <f t="shared" ref="Z1046:Z1077" si="131">Y1046/SUMIFS($Y$4:$Y$1116,$V$4:$V$1116,V1046,$A$4:$A$1116,A1046)</f>
        <v>0.1111111111111111</v>
      </c>
      <c r="AA1046" s="189">
        <f t="shared" si="128"/>
        <v>6.1529394723235434E-4</v>
      </c>
      <c r="AB1046" s="2">
        <f>IFERROR(SUMIFS('Comp2016-2017 (3)'!$G$5:$G$289,'Comp2016-2017 (3)'!$A$5:$A$289,A1046,'Comp2016-2017 (3)'!$R$5:$R$289,V1046)*AA1046/SUMIFS($AA$4:$AA$1116,$A$4:$A$1116,A1046,$V$4:$V$1116,V1046),0)</f>
        <v>8800.6183997884891</v>
      </c>
      <c r="AC1046" s="2" t="str">
        <f>IF($W1046=AC$3,$AB1046,IF(NOT($W1046=0),"",SUMIFS('Val-Vol (2)'!AC$4:AC$1116,'Val-Vol (2)'!$A$4:$A$1116,$D1046,'Val-Vol (2)'!$V$4:$V$1116,$V1046)/SUMIFS('Comp2016-2017 (3)'!$G$5:$G$289,'Comp2016-2017 (3)'!$A$5:$A$289,$D1046,'Comp2016-2017 (3)'!$R$5:$R$289,$V1046)*$AB1046))</f>
        <v/>
      </c>
      <c r="AD1046" s="2">
        <f>IF($W1046=AD$3,$AB1046,IF(NOT($W1046=0),"",SUMIFS('Val-Vol (2)'!AD$4:AD$1116,'Val-Vol (2)'!$A$4:$A$1116,$D1046,'Val-Vol (2)'!$V$4:$V$1116,$V1046)/SUMIFS('Comp2016-2017 (3)'!$G$5:$G$289,'Comp2016-2017 (3)'!$A$5:$A$289,$D1046,'Comp2016-2017 (3)'!$R$5:$R$289,$V1046)*$AB1046))</f>
        <v>8800.6183997884891</v>
      </c>
      <c r="AE1046" s="2" t="str">
        <f>IF($W1046=AE$3,$AB1046,IF(NOT($W1046=0),"",SUMIFS('Val-Vol (2)'!AE$4:AE$1116,'Val-Vol (2)'!$A$4:$A$1116,$D1046,'Val-Vol (2)'!$V$4:$V$1116,$V1046)/SUMIFS('Comp2016-2017 (3)'!$G$5:$G$289,'Comp2016-2017 (3)'!$A$5:$A$289,$D1046,'Comp2016-2017 (3)'!$R$5:$R$289,$V1046)*$AB1046))</f>
        <v/>
      </c>
      <c r="AF1046" s="2" t="str">
        <f>IF($W1046=AF$3,$AB1046,IF(NOT($W1046=0),"",SUMIFS('Val-Vol (2)'!AF$4:AF$1116,'Val-Vol (2)'!$A$4:$A$1116,$D1046,'Val-Vol (2)'!$V$4:$V$1116,$V1046)/SUMIFS('Comp2016-2017 (3)'!$G$5:$G$289,'Comp2016-2017 (3)'!$A$5:$A$289,$D1046,'Comp2016-2017 (3)'!$R$5:$R$289,$V1046)*$AB1046))</f>
        <v/>
      </c>
      <c r="AG1046" s="2" t="str">
        <f>IF($W1046=AG$3,$AB1046,IF(NOT($W1046=0),"",SUMIFS('Val-Vol (2)'!AG$4:AG$1116,'Val-Vol (2)'!$A$4:$A$1116,$D1046,'Val-Vol (2)'!$V$4:$V$1116,$V1046)/SUMIFS('Comp2016-2017 (3)'!$G$5:$G$289,'Comp2016-2017 (3)'!$A$5:$A$289,$D1046,'Comp2016-2017 (3)'!$R$5:$R$289,$V1046)*$AB1046))</f>
        <v/>
      </c>
      <c r="AH1046" s="2" t="str">
        <f>IF($W1046=AH$3,$AB1046,IF(NOT($W1046=0),"",SUMIFS('Val-Vol (2)'!AH$4:AH$1116,'Val-Vol (2)'!$A$4:$A$1116,$D1046,'Val-Vol (2)'!$V$4:$V$1116,$V1046)/SUMIFS('Comp2016-2017 (3)'!$G$5:$G$289,'Comp2016-2017 (3)'!$A$5:$A$289,$D1046,'Comp2016-2017 (3)'!$R$5:$R$289,$V1046)*$AB1046))</f>
        <v/>
      </c>
      <c r="AI1046" s="2" t="str">
        <f>IF($W1046=AI$3,$AB1046,IF(NOT($W1046=0),"",SUMIFS('Val-Vol (2)'!AI$4:AI$1116,'Val-Vol (2)'!$A$4:$A$1116,$D1046,'Val-Vol (2)'!$V$4:$V$1116,$V1046)/SUMIFS('Comp2016-2017 (3)'!$G$5:$G$289,'Comp2016-2017 (3)'!$A$5:$A$289,$D1046,'Comp2016-2017 (3)'!$R$5:$R$289,$V1046)*$AB1046))</f>
        <v/>
      </c>
      <c r="AJ1046" s="2" t="str">
        <f>IF($W1046=AJ$3,$AB1046,IF(NOT($W1046=0),"",SUMIFS('Val-Vol (2)'!AJ$4:AJ$1116,'Val-Vol (2)'!$A$4:$A$1116,$D1046,'Val-Vol (2)'!$V$4:$V$1116,$V1046)/SUMIFS('Comp2016-2017 (3)'!$G$5:$G$289,'Comp2016-2017 (3)'!$A$5:$A$289,$D1046,'Comp2016-2017 (3)'!$R$5:$R$289,$V1046)*$AB1046))</f>
        <v/>
      </c>
      <c r="AK1046" s="2">
        <f t="shared" si="130"/>
        <v>0</v>
      </c>
      <c r="AL1046" t="str">
        <f t="shared" si="127"/>
        <v/>
      </c>
      <c r="AM1046" t="str">
        <f>VLOOKUP(A1046,'Table corresp.'!$M$4:$U$63,8,FALSE)</f>
        <v xml:space="preserve">Mise en œuvre </v>
      </c>
      <c r="AN1046" t="str">
        <f>VLOOKUP(D1046,'Table corresp.'!$M$4:$U$63,9,FALSE)</f>
        <v xml:space="preserve">Mise en œuvre </v>
      </c>
    </row>
    <row r="1047" spans="1:40" x14ac:dyDescent="0.25">
      <c r="A1047" t="s">
        <v>104</v>
      </c>
      <c r="B1047" t="str">
        <f>VLOOKUP(LEFT(A1047,3),'Table corresp.'!$A$4:$D$63,3,FALSE)</f>
        <v>Transformation</v>
      </c>
      <c r="C1047" t="str">
        <f>VLOOKUP(A1047,'Table corresp.'!$M$4:$P$63,4,FALSE)</f>
        <v>Commerces et services</v>
      </c>
      <c r="D1047" t="s">
        <v>21</v>
      </c>
      <c r="E1047" t="str">
        <f>VLOOKUP(LEFT(D1047,3),'Table corresp.'!$A$4:$D$63,4,FALSE)</f>
        <v>Transformation</v>
      </c>
      <c r="F1047" t="str">
        <f t="shared" si="122"/>
        <v xml:space="preserve">61  - 54 </v>
      </c>
      <c r="G1047" s="164">
        <v>617043.56123676628</v>
      </c>
      <c r="H1047" s="164">
        <v>0</v>
      </c>
      <c r="I1047" s="164">
        <v>617043.56123676628</v>
      </c>
      <c r="J1047" s="164">
        <v>0</v>
      </c>
      <c r="K1047" s="164">
        <v>0</v>
      </c>
      <c r="L1047" s="164">
        <v>0</v>
      </c>
      <c r="M1047" s="164">
        <v>0</v>
      </c>
      <c r="N1047" s="164">
        <v>0</v>
      </c>
      <c r="O1047" s="164">
        <v>0</v>
      </c>
      <c r="P1047" s="164">
        <v>0</v>
      </c>
      <c r="Q1047" s="164">
        <v>0</v>
      </c>
      <c r="R1047" s="164">
        <v>0</v>
      </c>
      <c r="S1047" s="163" t="str">
        <f t="shared" si="123"/>
        <v/>
      </c>
      <c r="T1047" s="163">
        <f>VLOOKUP(A1047,'Groupe de branches'!$Z$27:$AM$86,14,FALSE)</f>
        <v>0</v>
      </c>
      <c r="U1047" s="163">
        <f>VLOOKUP(D1047,'Groupe de branches'!$Z$27:$AM$86,14,FALSE)</f>
        <v>0</v>
      </c>
      <c r="V1047" s="163">
        <v>2018</v>
      </c>
      <c r="W1047" t="str">
        <f>VLOOKUP(D1047,'Table corresp.'!$M$4:$S$63,7,FALSE)</f>
        <v>Construction</v>
      </c>
      <c r="X1047" s="167">
        <f>IFERROR(G1047/SUMIFS('Comp2016-2017 (3)'!$I$5:$I$289,'Comp2016-2017 (3)'!$A$5:$A$289,A1047,'Comp2016-2017 (3)'!$R$5:$R$289,V1047),0)</f>
        <v>0.38826459127576707</v>
      </c>
      <c r="Y1047" s="178">
        <f>IFERROR(IF(RIGHT(F1047,3)="Exp",VLOOKUP(F1047,#REF!,2,FALSE),VLOOKUP(F1047,#REF!,9,FALSE)),1)</f>
        <v>1</v>
      </c>
      <c r="Z1047" s="167">
        <f t="shared" si="131"/>
        <v>0.1111111111111111</v>
      </c>
      <c r="AA1047" s="189">
        <f t="shared" si="128"/>
        <v>4.3140510141751895E-2</v>
      </c>
      <c r="AB1047" s="2">
        <f>IFERROR(SUMIFS('Comp2016-2017 (3)'!$G$5:$G$289,'Comp2016-2017 (3)'!$A$5:$A$289,A1047,'Comp2016-2017 (3)'!$R$5:$R$289,V1047)*AA1047/SUMIFS($AA$4:$AA$1116,$A$4:$A$1116,A1047,$V$4:$V$1116,V1047),0)</f>
        <v>617043.5594848959</v>
      </c>
      <c r="AC1047" s="2" t="str">
        <f>IF($W1047=AC$3,$AB1047,IF(NOT($W1047=0),"",SUMIFS('Val-Vol (2)'!AC$4:AC$1116,'Val-Vol (2)'!$A$4:$A$1116,$D1047,'Val-Vol (2)'!$V$4:$V$1116,$V1047)/SUMIFS('Comp2016-2017 (3)'!$G$5:$G$289,'Comp2016-2017 (3)'!$A$5:$A$289,$D1047,'Comp2016-2017 (3)'!$R$5:$R$289,$V1047)*$AB1047))</f>
        <v/>
      </c>
      <c r="AD1047" s="2">
        <f>IF($W1047=AD$3,$AB1047,IF(NOT($W1047=0),"",SUMIFS('Val-Vol (2)'!AD$4:AD$1116,'Val-Vol (2)'!$A$4:$A$1116,$D1047,'Val-Vol (2)'!$V$4:$V$1116,$V1047)/SUMIFS('Comp2016-2017 (3)'!$G$5:$G$289,'Comp2016-2017 (3)'!$A$5:$A$289,$D1047,'Comp2016-2017 (3)'!$R$5:$R$289,$V1047)*$AB1047))</f>
        <v>617043.5594848959</v>
      </c>
      <c r="AE1047" s="2" t="str">
        <f>IF($W1047=AE$3,$AB1047,IF(NOT($W1047=0),"",SUMIFS('Val-Vol (2)'!AE$4:AE$1116,'Val-Vol (2)'!$A$4:$A$1116,$D1047,'Val-Vol (2)'!$V$4:$V$1116,$V1047)/SUMIFS('Comp2016-2017 (3)'!$G$5:$G$289,'Comp2016-2017 (3)'!$A$5:$A$289,$D1047,'Comp2016-2017 (3)'!$R$5:$R$289,$V1047)*$AB1047))</f>
        <v/>
      </c>
      <c r="AF1047" s="2" t="str">
        <f>IF($W1047=AF$3,$AB1047,IF(NOT($W1047=0),"",SUMIFS('Val-Vol (2)'!AF$4:AF$1116,'Val-Vol (2)'!$A$4:$A$1116,$D1047,'Val-Vol (2)'!$V$4:$V$1116,$V1047)/SUMIFS('Comp2016-2017 (3)'!$G$5:$G$289,'Comp2016-2017 (3)'!$A$5:$A$289,$D1047,'Comp2016-2017 (3)'!$R$5:$R$289,$V1047)*$AB1047))</f>
        <v/>
      </c>
      <c r="AG1047" s="2" t="str">
        <f>IF($W1047=AG$3,$AB1047,IF(NOT($W1047=0),"",SUMIFS('Val-Vol (2)'!AG$4:AG$1116,'Val-Vol (2)'!$A$4:$A$1116,$D1047,'Val-Vol (2)'!$V$4:$V$1116,$V1047)/SUMIFS('Comp2016-2017 (3)'!$G$5:$G$289,'Comp2016-2017 (3)'!$A$5:$A$289,$D1047,'Comp2016-2017 (3)'!$R$5:$R$289,$V1047)*$AB1047))</f>
        <v/>
      </c>
      <c r="AH1047" s="2" t="str">
        <f>IF($W1047=AH$3,$AB1047,IF(NOT($W1047=0),"",SUMIFS('Val-Vol (2)'!AH$4:AH$1116,'Val-Vol (2)'!$A$4:$A$1116,$D1047,'Val-Vol (2)'!$V$4:$V$1116,$V1047)/SUMIFS('Comp2016-2017 (3)'!$G$5:$G$289,'Comp2016-2017 (3)'!$A$5:$A$289,$D1047,'Comp2016-2017 (3)'!$R$5:$R$289,$V1047)*$AB1047))</f>
        <v/>
      </c>
      <c r="AI1047" s="2" t="str">
        <f>IF($W1047=AI$3,$AB1047,IF(NOT($W1047=0),"",SUMIFS('Val-Vol (2)'!AI$4:AI$1116,'Val-Vol (2)'!$A$4:$A$1116,$D1047,'Val-Vol (2)'!$V$4:$V$1116,$V1047)/SUMIFS('Comp2016-2017 (3)'!$G$5:$G$289,'Comp2016-2017 (3)'!$A$5:$A$289,$D1047,'Comp2016-2017 (3)'!$R$5:$R$289,$V1047)*$AB1047))</f>
        <v/>
      </c>
      <c r="AJ1047" s="2" t="str">
        <f>IF($W1047=AJ$3,$AB1047,IF(NOT($W1047=0),"",SUMIFS('Val-Vol (2)'!AJ$4:AJ$1116,'Val-Vol (2)'!$A$4:$A$1116,$D1047,'Val-Vol (2)'!$V$4:$V$1116,$V1047)/SUMIFS('Comp2016-2017 (3)'!$G$5:$G$289,'Comp2016-2017 (3)'!$A$5:$A$289,$D1047,'Comp2016-2017 (3)'!$R$5:$R$289,$V1047)*$AB1047))</f>
        <v/>
      </c>
      <c r="AK1047" s="2">
        <f t="shared" si="130"/>
        <v>0</v>
      </c>
      <c r="AL1047" t="str">
        <f t="shared" si="127"/>
        <v/>
      </c>
      <c r="AM1047" t="str">
        <f>VLOOKUP(A1047,'Table corresp.'!$M$4:$U$63,8,FALSE)</f>
        <v xml:space="preserve">Mise en œuvre </v>
      </c>
      <c r="AN1047" t="str">
        <f>VLOOKUP(D1047,'Table corresp.'!$M$4:$U$63,9,FALSE)</f>
        <v xml:space="preserve">Mise en œuvre </v>
      </c>
    </row>
    <row r="1048" spans="1:40" x14ac:dyDescent="0.25">
      <c r="A1048" t="s">
        <v>104</v>
      </c>
      <c r="B1048" t="str">
        <f>VLOOKUP(LEFT(A1048,3),'Table corresp.'!$A$4:$D$63,3,FALSE)</f>
        <v>Transformation</v>
      </c>
      <c r="C1048" t="str">
        <f>VLOOKUP(A1048,'Table corresp.'!$M$4:$P$63,4,FALSE)</f>
        <v>Commerces et services</v>
      </c>
      <c r="D1048" t="s">
        <v>22</v>
      </c>
      <c r="E1048" t="str">
        <f>VLOOKUP(LEFT(D1048,3),'Table corresp.'!$A$4:$D$63,4,FALSE)</f>
        <v>Transformation</v>
      </c>
      <c r="F1048" t="str">
        <f t="shared" si="122"/>
        <v xml:space="preserve">61  - 55 </v>
      </c>
      <c r="G1048" s="164">
        <v>137422.57829690012</v>
      </c>
      <c r="H1048" s="164">
        <v>0</v>
      </c>
      <c r="I1048" s="164">
        <v>137422.57829690012</v>
      </c>
      <c r="J1048" s="164">
        <v>0</v>
      </c>
      <c r="K1048" s="164">
        <v>0</v>
      </c>
      <c r="L1048" s="164">
        <v>0</v>
      </c>
      <c r="M1048" s="164">
        <v>0</v>
      </c>
      <c r="N1048" s="164">
        <v>0</v>
      </c>
      <c r="O1048" s="164">
        <v>0</v>
      </c>
      <c r="P1048" s="164">
        <v>0</v>
      </c>
      <c r="Q1048" s="164">
        <v>0</v>
      </c>
      <c r="R1048" s="164">
        <v>0</v>
      </c>
      <c r="S1048" s="163" t="str">
        <f t="shared" si="123"/>
        <v/>
      </c>
      <c r="T1048" s="163">
        <f>VLOOKUP(A1048,'Groupe de branches'!$Z$27:$AM$86,14,FALSE)</f>
        <v>0</v>
      </c>
      <c r="U1048" s="163">
        <f>VLOOKUP(D1048,'Groupe de branches'!$Z$27:$AM$86,14,FALSE)</f>
        <v>0</v>
      </c>
      <c r="V1048" s="163">
        <v>2018</v>
      </c>
      <c r="W1048" t="str">
        <f>VLOOKUP(D1048,'Table corresp.'!$M$4:$S$63,7,FALSE)</f>
        <v>Construction</v>
      </c>
      <c r="X1048" s="167">
        <f>IFERROR(G1048/SUMIFS('Comp2016-2017 (3)'!$I$5:$I$289,'Comp2016-2017 (3)'!$A$5:$A$289,A1048,'Comp2016-2017 (3)'!$R$5:$R$289,V1048),0)</f>
        <v>8.6470914772311558E-2</v>
      </c>
      <c r="Y1048" s="178">
        <f>IFERROR(IF(RIGHT(F1048,3)="Exp",VLOOKUP(F1048,#REF!,2,FALSE),VLOOKUP(F1048,#REF!,9,FALSE)),1)</f>
        <v>1</v>
      </c>
      <c r="Z1048" s="167">
        <f t="shared" si="131"/>
        <v>0.1111111111111111</v>
      </c>
      <c r="AA1048" s="189">
        <f t="shared" si="128"/>
        <v>9.6078794191457283E-3</v>
      </c>
      <c r="AB1048" s="2">
        <f>IFERROR(SUMIFS('Comp2016-2017 (3)'!$G$5:$G$289,'Comp2016-2017 (3)'!$A$5:$A$289,A1048,'Comp2016-2017 (3)'!$R$5:$R$289,V1048)*AA1048/SUMIFS($AA$4:$AA$1116,$A$4:$A$1116,A1048,$V$4:$V$1116,V1048),0)</f>
        <v>137422.57790673879</v>
      </c>
      <c r="AC1048" s="2" t="str">
        <f>IF($W1048=AC$3,$AB1048,IF(NOT($W1048=0),"",SUMIFS('Val-Vol (2)'!AC$4:AC$1116,'Val-Vol (2)'!$A$4:$A$1116,$D1048,'Val-Vol (2)'!$V$4:$V$1116,$V1048)/SUMIFS('Comp2016-2017 (3)'!$G$5:$G$289,'Comp2016-2017 (3)'!$A$5:$A$289,$D1048,'Comp2016-2017 (3)'!$R$5:$R$289,$V1048)*$AB1048))</f>
        <v/>
      </c>
      <c r="AD1048" s="2">
        <f>IF($W1048=AD$3,$AB1048,IF(NOT($W1048=0),"",SUMIFS('Val-Vol (2)'!AD$4:AD$1116,'Val-Vol (2)'!$A$4:$A$1116,$D1048,'Val-Vol (2)'!$V$4:$V$1116,$V1048)/SUMIFS('Comp2016-2017 (3)'!$G$5:$G$289,'Comp2016-2017 (3)'!$A$5:$A$289,$D1048,'Comp2016-2017 (3)'!$R$5:$R$289,$V1048)*$AB1048))</f>
        <v>137422.57790673879</v>
      </c>
      <c r="AE1048" s="2" t="str">
        <f>IF($W1048=AE$3,$AB1048,IF(NOT($W1048=0),"",SUMIFS('Val-Vol (2)'!AE$4:AE$1116,'Val-Vol (2)'!$A$4:$A$1116,$D1048,'Val-Vol (2)'!$V$4:$V$1116,$V1048)/SUMIFS('Comp2016-2017 (3)'!$G$5:$G$289,'Comp2016-2017 (3)'!$A$5:$A$289,$D1048,'Comp2016-2017 (3)'!$R$5:$R$289,$V1048)*$AB1048))</f>
        <v/>
      </c>
      <c r="AF1048" s="2" t="str">
        <f>IF($W1048=AF$3,$AB1048,IF(NOT($W1048=0),"",SUMIFS('Val-Vol (2)'!AF$4:AF$1116,'Val-Vol (2)'!$A$4:$A$1116,$D1048,'Val-Vol (2)'!$V$4:$V$1116,$V1048)/SUMIFS('Comp2016-2017 (3)'!$G$5:$G$289,'Comp2016-2017 (3)'!$A$5:$A$289,$D1048,'Comp2016-2017 (3)'!$R$5:$R$289,$V1048)*$AB1048))</f>
        <v/>
      </c>
      <c r="AG1048" s="2" t="str">
        <f>IF($W1048=AG$3,$AB1048,IF(NOT($W1048=0),"",SUMIFS('Val-Vol (2)'!AG$4:AG$1116,'Val-Vol (2)'!$A$4:$A$1116,$D1048,'Val-Vol (2)'!$V$4:$V$1116,$V1048)/SUMIFS('Comp2016-2017 (3)'!$G$5:$G$289,'Comp2016-2017 (3)'!$A$5:$A$289,$D1048,'Comp2016-2017 (3)'!$R$5:$R$289,$V1048)*$AB1048))</f>
        <v/>
      </c>
      <c r="AH1048" s="2" t="str">
        <f>IF($W1048=AH$3,$AB1048,IF(NOT($W1048=0),"",SUMIFS('Val-Vol (2)'!AH$4:AH$1116,'Val-Vol (2)'!$A$4:$A$1116,$D1048,'Val-Vol (2)'!$V$4:$V$1116,$V1048)/SUMIFS('Comp2016-2017 (3)'!$G$5:$G$289,'Comp2016-2017 (3)'!$A$5:$A$289,$D1048,'Comp2016-2017 (3)'!$R$5:$R$289,$V1048)*$AB1048))</f>
        <v/>
      </c>
      <c r="AI1048" s="2" t="str">
        <f>IF($W1048=AI$3,$AB1048,IF(NOT($W1048=0),"",SUMIFS('Val-Vol (2)'!AI$4:AI$1116,'Val-Vol (2)'!$A$4:$A$1116,$D1048,'Val-Vol (2)'!$V$4:$V$1116,$V1048)/SUMIFS('Comp2016-2017 (3)'!$G$5:$G$289,'Comp2016-2017 (3)'!$A$5:$A$289,$D1048,'Comp2016-2017 (3)'!$R$5:$R$289,$V1048)*$AB1048))</f>
        <v/>
      </c>
      <c r="AJ1048" s="2" t="str">
        <f>IF($W1048=AJ$3,$AB1048,IF(NOT($W1048=0),"",SUMIFS('Val-Vol (2)'!AJ$4:AJ$1116,'Val-Vol (2)'!$A$4:$A$1116,$D1048,'Val-Vol (2)'!$V$4:$V$1116,$V1048)/SUMIFS('Comp2016-2017 (3)'!$G$5:$G$289,'Comp2016-2017 (3)'!$A$5:$A$289,$D1048,'Comp2016-2017 (3)'!$R$5:$R$289,$V1048)*$AB1048))</f>
        <v/>
      </c>
      <c r="AK1048" s="2">
        <f t="shared" si="130"/>
        <v>0</v>
      </c>
      <c r="AL1048" t="str">
        <f t="shared" si="127"/>
        <v/>
      </c>
      <c r="AM1048" t="str">
        <f>VLOOKUP(A1048,'Table corresp.'!$M$4:$U$63,8,FALSE)</f>
        <v xml:space="preserve">Mise en œuvre </v>
      </c>
      <c r="AN1048" t="str">
        <f>VLOOKUP(D1048,'Table corresp.'!$M$4:$U$63,9,FALSE)</f>
        <v xml:space="preserve">Mise en œuvre </v>
      </c>
    </row>
    <row r="1049" spans="1:40" x14ac:dyDescent="0.25">
      <c r="A1049" t="s">
        <v>104</v>
      </c>
      <c r="B1049" t="str">
        <f>VLOOKUP(LEFT(A1049,3),'Table corresp.'!$A$4:$D$63,3,FALSE)</f>
        <v>Transformation</v>
      </c>
      <c r="C1049" t="str">
        <f>VLOOKUP(A1049,'Table corresp.'!$M$4:$P$63,4,FALSE)</f>
        <v>Commerces et services</v>
      </c>
      <c r="D1049" t="s">
        <v>23</v>
      </c>
      <c r="E1049" t="str">
        <f>VLOOKUP(LEFT(D1049,3),'Table corresp.'!$A$4:$D$63,4,FALSE)</f>
        <v>Transformation</v>
      </c>
      <c r="F1049" t="str">
        <f t="shared" si="122"/>
        <v xml:space="preserve">61  - 56 </v>
      </c>
      <c r="G1049" s="164">
        <v>10516.661152520959</v>
      </c>
      <c r="H1049" s="164">
        <v>0</v>
      </c>
      <c r="I1049" s="164">
        <v>10516.661152520959</v>
      </c>
      <c r="J1049" s="164">
        <v>0</v>
      </c>
      <c r="K1049" s="164">
        <v>0</v>
      </c>
      <c r="L1049" s="164">
        <v>0</v>
      </c>
      <c r="M1049" s="164">
        <v>0</v>
      </c>
      <c r="N1049" s="164">
        <v>0</v>
      </c>
      <c r="O1049" s="164">
        <v>0</v>
      </c>
      <c r="P1049" s="164">
        <v>0</v>
      </c>
      <c r="Q1049" s="164">
        <v>0</v>
      </c>
      <c r="R1049" s="164">
        <v>0</v>
      </c>
      <c r="S1049" s="163" t="str">
        <f t="shared" si="123"/>
        <v/>
      </c>
      <c r="T1049" s="163">
        <f>VLOOKUP(A1049,'Groupe de branches'!$Z$27:$AM$86,14,FALSE)</f>
        <v>0</v>
      </c>
      <c r="U1049" s="163">
        <f>VLOOKUP(D1049,'Groupe de branches'!$Z$27:$AM$86,14,FALSE)</f>
        <v>0</v>
      </c>
      <c r="V1049" s="163">
        <v>2018</v>
      </c>
      <c r="W1049" t="str">
        <f>VLOOKUP(D1049,'Table corresp.'!$M$4:$S$63,7,FALSE)</f>
        <v>Construction</v>
      </c>
      <c r="X1049" s="167">
        <f>IFERROR(G1049/SUMIFS('Comp2016-2017 (3)'!$I$5:$I$289,'Comp2016-2017 (3)'!$A$5:$A$289,A1049,'Comp2016-2017 (3)'!$R$5:$R$289,V1049),0)</f>
        <v>6.6174374071500952E-3</v>
      </c>
      <c r="Y1049" s="178">
        <f>IFERROR(IF(RIGHT(F1049,3)="Exp",VLOOKUP(F1049,#REF!,2,FALSE),VLOOKUP(F1049,#REF!,9,FALSE)),1)</f>
        <v>1</v>
      </c>
      <c r="Z1049" s="167">
        <f t="shared" si="131"/>
        <v>0.1111111111111111</v>
      </c>
      <c r="AA1049" s="189">
        <f t="shared" si="128"/>
        <v>7.3527082301667716E-4</v>
      </c>
      <c r="AB1049" s="2">
        <f>IFERROR(SUMIFS('Comp2016-2017 (3)'!$G$5:$G$289,'Comp2016-2017 (3)'!$A$5:$A$289,A1049,'Comp2016-2017 (3)'!$R$5:$R$289,V1049)*AA1049/SUMIFS($AA$4:$AA$1116,$A$4:$A$1116,A1049,$V$4:$V$1116,V1049),0)</f>
        <v>10516.661122662732</v>
      </c>
      <c r="AC1049" s="2" t="str">
        <f>IF($W1049=AC$3,$AB1049,IF(NOT($W1049=0),"",SUMIFS('Val-Vol (2)'!AC$4:AC$1116,'Val-Vol (2)'!$A$4:$A$1116,$D1049,'Val-Vol (2)'!$V$4:$V$1116,$V1049)/SUMIFS('Comp2016-2017 (3)'!$G$5:$G$289,'Comp2016-2017 (3)'!$A$5:$A$289,$D1049,'Comp2016-2017 (3)'!$R$5:$R$289,$V1049)*$AB1049))</f>
        <v/>
      </c>
      <c r="AD1049" s="2">
        <f>IF($W1049=AD$3,$AB1049,IF(NOT($W1049=0),"",SUMIFS('Val-Vol (2)'!AD$4:AD$1116,'Val-Vol (2)'!$A$4:$A$1116,$D1049,'Val-Vol (2)'!$V$4:$V$1116,$V1049)/SUMIFS('Comp2016-2017 (3)'!$G$5:$G$289,'Comp2016-2017 (3)'!$A$5:$A$289,$D1049,'Comp2016-2017 (3)'!$R$5:$R$289,$V1049)*$AB1049))</f>
        <v>10516.661122662732</v>
      </c>
      <c r="AE1049" s="2" t="str">
        <f>IF($W1049=AE$3,$AB1049,IF(NOT($W1049=0),"",SUMIFS('Val-Vol (2)'!AE$4:AE$1116,'Val-Vol (2)'!$A$4:$A$1116,$D1049,'Val-Vol (2)'!$V$4:$V$1116,$V1049)/SUMIFS('Comp2016-2017 (3)'!$G$5:$G$289,'Comp2016-2017 (3)'!$A$5:$A$289,$D1049,'Comp2016-2017 (3)'!$R$5:$R$289,$V1049)*$AB1049))</f>
        <v/>
      </c>
      <c r="AF1049" s="2" t="str">
        <f>IF($W1049=AF$3,$AB1049,IF(NOT($W1049=0),"",SUMIFS('Val-Vol (2)'!AF$4:AF$1116,'Val-Vol (2)'!$A$4:$A$1116,$D1049,'Val-Vol (2)'!$V$4:$V$1116,$V1049)/SUMIFS('Comp2016-2017 (3)'!$G$5:$G$289,'Comp2016-2017 (3)'!$A$5:$A$289,$D1049,'Comp2016-2017 (3)'!$R$5:$R$289,$V1049)*$AB1049))</f>
        <v/>
      </c>
      <c r="AG1049" s="2" t="str">
        <f>IF($W1049=AG$3,$AB1049,IF(NOT($W1049=0),"",SUMIFS('Val-Vol (2)'!AG$4:AG$1116,'Val-Vol (2)'!$A$4:$A$1116,$D1049,'Val-Vol (2)'!$V$4:$V$1116,$V1049)/SUMIFS('Comp2016-2017 (3)'!$G$5:$G$289,'Comp2016-2017 (3)'!$A$5:$A$289,$D1049,'Comp2016-2017 (3)'!$R$5:$R$289,$V1049)*$AB1049))</f>
        <v/>
      </c>
      <c r="AH1049" s="2" t="str">
        <f>IF($W1049=AH$3,$AB1049,IF(NOT($W1049=0),"",SUMIFS('Val-Vol (2)'!AH$4:AH$1116,'Val-Vol (2)'!$A$4:$A$1116,$D1049,'Val-Vol (2)'!$V$4:$V$1116,$V1049)/SUMIFS('Comp2016-2017 (3)'!$G$5:$G$289,'Comp2016-2017 (3)'!$A$5:$A$289,$D1049,'Comp2016-2017 (3)'!$R$5:$R$289,$V1049)*$AB1049))</f>
        <v/>
      </c>
      <c r="AI1049" s="2" t="str">
        <f>IF($W1049=AI$3,$AB1049,IF(NOT($W1049=0),"",SUMIFS('Val-Vol (2)'!AI$4:AI$1116,'Val-Vol (2)'!$A$4:$A$1116,$D1049,'Val-Vol (2)'!$V$4:$V$1116,$V1049)/SUMIFS('Comp2016-2017 (3)'!$G$5:$G$289,'Comp2016-2017 (3)'!$A$5:$A$289,$D1049,'Comp2016-2017 (3)'!$R$5:$R$289,$V1049)*$AB1049))</f>
        <v/>
      </c>
      <c r="AJ1049" s="2" t="str">
        <f>IF($W1049=AJ$3,$AB1049,IF(NOT($W1049=0),"",SUMIFS('Val-Vol (2)'!AJ$4:AJ$1116,'Val-Vol (2)'!$A$4:$A$1116,$D1049,'Val-Vol (2)'!$V$4:$V$1116,$V1049)/SUMIFS('Comp2016-2017 (3)'!$G$5:$G$289,'Comp2016-2017 (3)'!$A$5:$A$289,$D1049,'Comp2016-2017 (3)'!$R$5:$R$289,$V1049)*$AB1049))</f>
        <v/>
      </c>
      <c r="AK1049" s="2">
        <f t="shared" si="130"/>
        <v>0</v>
      </c>
      <c r="AL1049" t="str">
        <f t="shared" si="127"/>
        <v/>
      </c>
      <c r="AM1049" t="str">
        <f>VLOOKUP(A1049,'Table corresp.'!$M$4:$U$63,8,FALSE)</f>
        <v xml:space="preserve">Mise en œuvre </v>
      </c>
      <c r="AN1049" t="str">
        <f>VLOOKUP(D1049,'Table corresp.'!$M$4:$U$63,9,FALSE)</f>
        <v xml:space="preserve">Mise en œuvre </v>
      </c>
    </row>
    <row r="1050" spans="1:40" x14ac:dyDescent="0.25">
      <c r="A1050" t="s">
        <v>104</v>
      </c>
      <c r="B1050" t="str">
        <f>VLOOKUP(LEFT(A1050,3),'Table corresp.'!$A$4:$D$63,3,FALSE)</f>
        <v>Transformation</v>
      </c>
      <c r="C1050" t="str">
        <f>VLOOKUP(A1050,'Table corresp.'!$M$4:$P$63,4,FALSE)</f>
        <v>Commerces et services</v>
      </c>
      <c r="D1050" t="s">
        <v>24</v>
      </c>
      <c r="E1050" t="str">
        <f>VLOOKUP(LEFT(D1050,3),'Table corresp.'!$A$4:$D$63,4,FALSE)</f>
        <v>Transformation</v>
      </c>
      <c r="F1050" t="str">
        <f t="shared" si="122"/>
        <v xml:space="preserve">61  - 57 </v>
      </c>
      <c r="G1050" s="164">
        <v>451493.33574927022</v>
      </c>
      <c r="H1050" s="164">
        <v>0</v>
      </c>
      <c r="I1050" s="164">
        <v>451493.33574927028</v>
      </c>
      <c r="J1050" s="164">
        <v>0</v>
      </c>
      <c r="K1050" s="164">
        <v>0</v>
      </c>
      <c r="L1050" s="164">
        <v>0</v>
      </c>
      <c r="M1050" s="164">
        <v>0</v>
      </c>
      <c r="N1050" s="164">
        <v>0</v>
      </c>
      <c r="O1050" s="164">
        <v>0</v>
      </c>
      <c r="P1050" s="164">
        <v>0</v>
      </c>
      <c r="Q1050" s="164">
        <v>0</v>
      </c>
      <c r="R1050" s="164">
        <v>0</v>
      </c>
      <c r="S1050" s="163" t="str">
        <f t="shared" si="123"/>
        <v/>
      </c>
      <c r="T1050" s="163">
        <f>VLOOKUP(A1050,'Groupe de branches'!$Z$27:$AM$86,14,FALSE)</f>
        <v>0</v>
      </c>
      <c r="U1050" s="163">
        <f>VLOOKUP(D1050,'Groupe de branches'!$Z$27:$AM$86,14,FALSE)</f>
        <v>0</v>
      </c>
      <c r="V1050" s="163">
        <v>2018</v>
      </c>
      <c r="W1050" t="str">
        <f>VLOOKUP(D1050,'Table corresp.'!$M$4:$S$63,7,FALSE)</f>
        <v>Construction</v>
      </c>
      <c r="X1050" s="167">
        <f>IFERROR(G1050/SUMIFS('Comp2016-2017 (3)'!$I$5:$I$289,'Comp2016-2017 (3)'!$A$5:$A$289,A1050,'Comp2016-2017 (3)'!$R$5:$R$289,V1050),0)</f>
        <v>0.28409481352834182</v>
      </c>
      <c r="Y1050" s="178">
        <f>IFERROR(IF(RIGHT(F1050,3)="Exp",VLOOKUP(F1050,#REF!,2,FALSE),VLOOKUP(F1050,#REF!,9,FALSE)),1)</f>
        <v>1</v>
      </c>
      <c r="Z1050" s="167">
        <f t="shared" si="131"/>
        <v>0.1111111111111111</v>
      </c>
      <c r="AA1050" s="189">
        <f t="shared" si="128"/>
        <v>3.1566090392037977E-2</v>
      </c>
      <c r="AB1050" s="2">
        <f>IFERROR(SUMIFS('Comp2016-2017 (3)'!$G$5:$G$289,'Comp2016-2017 (3)'!$A$5:$A$289,A1050,'Comp2016-2017 (3)'!$R$5:$R$289,V1050)*AA1050/SUMIFS($AA$4:$AA$1116,$A$4:$A$1116,A1050,$V$4:$V$1116,V1050),0)</f>
        <v>451493.33446741936</v>
      </c>
      <c r="AC1050" s="2" t="str">
        <f>IF($W1050=AC$3,$AB1050,IF(NOT($W1050=0),"",SUMIFS('Val-Vol (2)'!AC$4:AC$1116,'Val-Vol (2)'!$A$4:$A$1116,$D1050,'Val-Vol (2)'!$V$4:$V$1116,$V1050)/SUMIFS('Comp2016-2017 (3)'!$G$5:$G$289,'Comp2016-2017 (3)'!$A$5:$A$289,$D1050,'Comp2016-2017 (3)'!$R$5:$R$289,$V1050)*$AB1050))</f>
        <v/>
      </c>
      <c r="AD1050" s="2">
        <f>IF($W1050=AD$3,$AB1050,IF(NOT($W1050=0),"",SUMIFS('Val-Vol (2)'!AD$4:AD$1116,'Val-Vol (2)'!$A$4:$A$1116,$D1050,'Val-Vol (2)'!$V$4:$V$1116,$V1050)/SUMIFS('Comp2016-2017 (3)'!$G$5:$G$289,'Comp2016-2017 (3)'!$A$5:$A$289,$D1050,'Comp2016-2017 (3)'!$R$5:$R$289,$V1050)*$AB1050))</f>
        <v>451493.33446741936</v>
      </c>
      <c r="AE1050" s="2" t="str">
        <f>IF($W1050=AE$3,$AB1050,IF(NOT($W1050=0),"",SUMIFS('Val-Vol (2)'!AE$4:AE$1116,'Val-Vol (2)'!$A$4:$A$1116,$D1050,'Val-Vol (2)'!$V$4:$V$1116,$V1050)/SUMIFS('Comp2016-2017 (3)'!$G$5:$G$289,'Comp2016-2017 (3)'!$A$5:$A$289,$D1050,'Comp2016-2017 (3)'!$R$5:$R$289,$V1050)*$AB1050))</f>
        <v/>
      </c>
      <c r="AF1050" s="2" t="str">
        <f>IF($W1050=AF$3,$AB1050,IF(NOT($W1050=0),"",SUMIFS('Val-Vol (2)'!AF$4:AF$1116,'Val-Vol (2)'!$A$4:$A$1116,$D1050,'Val-Vol (2)'!$V$4:$V$1116,$V1050)/SUMIFS('Comp2016-2017 (3)'!$G$5:$G$289,'Comp2016-2017 (3)'!$A$5:$A$289,$D1050,'Comp2016-2017 (3)'!$R$5:$R$289,$V1050)*$AB1050))</f>
        <v/>
      </c>
      <c r="AG1050" s="2" t="str">
        <f>IF($W1050=AG$3,$AB1050,IF(NOT($W1050=0),"",SUMIFS('Val-Vol (2)'!AG$4:AG$1116,'Val-Vol (2)'!$A$4:$A$1116,$D1050,'Val-Vol (2)'!$V$4:$V$1116,$V1050)/SUMIFS('Comp2016-2017 (3)'!$G$5:$G$289,'Comp2016-2017 (3)'!$A$5:$A$289,$D1050,'Comp2016-2017 (3)'!$R$5:$R$289,$V1050)*$AB1050))</f>
        <v/>
      </c>
      <c r="AH1050" s="2" t="str">
        <f>IF($W1050=AH$3,$AB1050,IF(NOT($W1050=0),"",SUMIFS('Val-Vol (2)'!AH$4:AH$1116,'Val-Vol (2)'!$A$4:$A$1116,$D1050,'Val-Vol (2)'!$V$4:$V$1116,$V1050)/SUMIFS('Comp2016-2017 (3)'!$G$5:$G$289,'Comp2016-2017 (3)'!$A$5:$A$289,$D1050,'Comp2016-2017 (3)'!$R$5:$R$289,$V1050)*$AB1050))</f>
        <v/>
      </c>
      <c r="AI1050" s="2" t="str">
        <f>IF($W1050=AI$3,$AB1050,IF(NOT($W1050=0),"",SUMIFS('Val-Vol (2)'!AI$4:AI$1116,'Val-Vol (2)'!$A$4:$A$1116,$D1050,'Val-Vol (2)'!$V$4:$V$1116,$V1050)/SUMIFS('Comp2016-2017 (3)'!$G$5:$G$289,'Comp2016-2017 (3)'!$A$5:$A$289,$D1050,'Comp2016-2017 (3)'!$R$5:$R$289,$V1050)*$AB1050))</f>
        <v/>
      </c>
      <c r="AJ1050" s="2" t="str">
        <f>IF($W1050=AJ$3,$AB1050,IF(NOT($W1050=0),"",SUMIFS('Val-Vol (2)'!AJ$4:AJ$1116,'Val-Vol (2)'!$A$4:$A$1116,$D1050,'Val-Vol (2)'!$V$4:$V$1116,$V1050)/SUMIFS('Comp2016-2017 (3)'!$G$5:$G$289,'Comp2016-2017 (3)'!$A$5:$A$289,$D1050,'Comp2016-2017 (3)'!$R$5:$R$289,$V1050)*$AB1050))</f>
        <v/>
      </c>
      <c r="AK1050" s="2">
        <f t="shared" si="130"/>
        <v>0</v>
      </c>
      <c r="AL1050" t="str">
        <f t="shared" si="127"/>
        <v/>
      </c>
      <c r="AM1050" t="str">
        <f>VLOOKUP(A1050,'Table corresp.'!$M$4:$U$63,8,FALSE)</f>
        <v xml:space="preserve">Mise en œuvre </v>
      </c>
      <c r="AN1050" t="str">
        <f>VLOOKUP(D1050,'Table corresp.'!$M$4:$U$63,9,FALSE)</f>
        <v xml:space="preserve">Mise en œuvre </v>
      </c>
    </row>
    <row r="1051" spans="1:40" x14ac:dyDescent="0.25">
      <c r="A1051" t="s">
        <v>104</v>
      </c>
      <c r="B1051" t="str">
        <f>VLOOKUP(LEFT(A1051,3),'Table corresp.'!$A$4:$D$63,3,FALSE)</f>
        <v>Transformation</v>
      </c>
      <c r="C1051" t="str">
        <f>VLOOKUP(A1051,'Table corresp.'!$M$4:$P$63,4,FALSE)</f>
        <v>Commerces et services</v>
      </c>
      <c r="D1051" t="s">
        <v>25</v>
      </c>
      <c r="E1051" t="str">
        <f>VLOOKUP(LEFT(D1051,3),'Table corresp.'!$A$4:$D$63,4,FALSE)</f>
        <v>Transformation</v>
      </c>
      <c r="F1051" t="str">
        <f t="shared" si="122"/>
        <v xml:space="preserve">61  - 58 </v>
      </c>
      <c r="G1051" s="164">
        <v>39502.640648097651</v>
      </c>
      <c r="H1051" s="164">
        <v>0</v>
      </c>
      <c r="I1051" s="164">
        <v>39502.640648097651</v>
      </c>
      <c r="J1051" s="164">
        <v>0</v>
      </c>
      <c r="K1051" s="164">
        <v>0</v>
      </c>
      <c r="L1051" s="164">
        <v>0</v>
      </c>
      <c r="M1051" s="164">
        <v>0</v>
      </c>
      <c r="N1051" s="164">
        <v>0</v>
      </c>
      <c r="O1051" s="164">
        <v>0</v>
      </c>
      <c r="P1051" s="164">
        <v>0</v>
      </c>
      <c r="Q1051" s="164">
        <v>0</v>
      </c>
      <c r="R1051" s="164">
        <v>0</v>
      </c>
      <c r="S1051" s="163" t="str">
        <f t="shared" si="123"/>
        <v/>
      </c>
      <c r="T1051" s="163">
        <f>VLOOKUP(A1051,'Groupe de branches'!$Z$27:$AM$86,14,FALSE)</f>
        <v>0</v>
      </c>
      <c r="U1051" s="163">
        <f>VLOOKUP(D1051,'Groupe de branches'!$Z$27:$AM$86,14,FALSE)</f>
        <v>0</v>
      </c>
      <c r="V1051" s="163">
        <v>2018</v>
      </c>
      <c r="W1051" t="str">
        <f>VLOOKUP(D1051,'Table corresp.'!$M$4:$S$63,7,FALSE)</f>
        <v>Construction</v>
      </c>
      <c r="X1051" s="167">
        <f>IFERROR(G1051/SUMIFS('Comp2016-2017 (3)'!$I$5:$I$289,'Comp2016-2017 (3)'!$A$5:$A$289,A1051,'Comp2016-2017 (3)'!$R$5:$R$289,V1051),0)</f>
        <v>2.485639197791091E-2</v>
      </c>
      <c r="Y1051" s="178">
        <f>IFERROR(IF(RIGHT(F1051,3)="Exp",VLOOKUP(F1051,#REF!,2,FALSE),VLOOKUP(F1051,#REF!,9,FALSE)),1)</f>
        <v>1</v>
      </c>
      <c r="Z1051" s="167">
        <f t="shared" si="131"/>
        <v>0.1111111111111111</v>
      </c>
      <c r="AA1051" s="189">
        <f t="shared" si="128"/>
        <v>2.7618213308789898E-3</v>
      </c>
      <c r="AB1051" s="2">
        <f>IFERROR(SUMIFS('Comp2016-2017 (3)'!$G$5:$G$289,'Comp2016-2017 (3)'!$A$5:$A$289,A1051,'Comp2016-2017 (3)'!$R$5:$R$289,V1051)*AA1051/SUMIFS($AA$4:$AA$1116,$A$4:$A$1116,A1051,$V$4:$V$1116,V1051),0)</f>
        <v>39502.640535944294</v>
      </c>
      <c r="AC1051" s="2" t="str">
        <f>IF($W1051=AC$3,$AB1051,IF(NOT($W1051=0),"",SUMIFS('Val-Vol (2)'!AC$4:AC$1116,'Val-Vol (2)'!$A$4:$A$1116,$D1051,'Val-Vol (2)'!$V$4:$V$1116,$V1051)/SUMIFS('Comp2016-2017 (3)'!$G$5:$G$289,'Comp2016-2017 (3)'!$A$5:$A$289,$D1051,'Comp2016-2017 (3)'!$R$5:$R$289,$V1051)*$AB1051))</f>
        <v/>
      </c>
      <c r="AD1051" s="2">
        <f>IF($W1051=AD$3,$AB1051,IF(NOT($W1051=0),"",SUMIFS('Val-Vol (2)'!AD$4:AD$1116,'Val-Vol (2)'!$A$4:$A$1116,$D1051,'Val-Vol (2)'!$V$4:$V$1116,$V1051)/SUMIFS('Comp2016-2017 (3)'!$G$5:$G$289,'Comp2016-2017 (3)'!$A$5:$A$289,$D1051,'Comp2016-2017 (3)'!$R$5:$R$289,$V1051)*$AB1051))</f>
        <v>39502.640535944294</v>
      </c>
      <c r="AE1051" s="2" t="str">
        <f>IF($W1051=AE$3,$AB1051,IF(NOT($W1051=0),"",SUMIFS('Val-Vol (2)'!AE$4:AE$1116,'Val-Vol (2)'!$A$4:$A$1116,$D1051,'Val-Vol (2)'!$V$4:$V$1116,$V1051)/SUMIFS('Comp2016-2017 (3)'!$G$5:$G$289,'Comp2016-2017 (3)'!$A$5:$A$289,$D1051,'Comp2016-2017 (3)'!$R$5:$R$289,$V1051)*$AB1051))</f>
        <v/>
      </c>
      <c r="AF1051" s="2" t="str">
        <f>IF($W1051=AF$3,$AB1051,IF(NOT($W1051=0),"",SUMIFS('Val-Vol (2)'!AF$4:AF$1116,'Val-Vol (2)'!$A$4:$A$1116,$D1051,'Val-Vol (2)'!$V$4:$V$1116,$V1051)/SUMIFS('Comp2016-2017 (3)'!$G$5:$G$289,'Comp2016-2017 (3)'!$A$5:$A$289,$D1051,'Comp2016-2017 (3)'!$R$5:$R$289,$V1051)*$AB1051))</f>
        <v/>
      </c>
      <c r="AG1051" s="2" t="str">
        <f>IF($W1051=AG$3,$AB1051,IF(NOT($W1051=0),"",SUMIFS('Val-Vol (2)'!AG$4:AG$1116,'Val-Vol (2)'!$A$4:$A$1116,$D1051,'Val-Vol (2)'!$V$4:$V$1116,$V1051)/SUMIFS('Comp2016-2017 (3)'!$G$5:$G$289,'Comp2016-2017 (3)'!$A$5:$A$289,$D1051,'Comp2016-2017 (3)'!$R$5:$R$289,$V1051)*$AB1051))</f>
        <v/>
      </c>
      <c r="AH1051" s="2" t="str">
        <f>IF($W1051=AH$3,$AB1051,IF(NOT($W1051=0),"",SUMIFS('Val-Vol (2)'!AH$4:AH$1116,'Val-Vol (2)'!$A$4:$A$1116,$D1051,'Val-Vol (2)'!$V$4:$V$1116,$V1051)/SUMIFS('Comp2016-2017 (3)'!$G$5:$G$289,'Comp2016-2017 (3)'!$A$5:$A$289,$D1051,'Comp2016-2017 (3)'!$R$5:$R$289,$V1051)*$AB1051))</f>
        <v/>
      </c>
      <c r="AI1051" s="2" t="str">
        <f>IF($W1051=AI$3,$AB1051,IF(NOT($W1051=0),"",SUMIFS('Val-Vol (2)'!AI$4:AI$1116,'Val-Vol (2)'!$A$4:$A$1116,$D1051,'Val-Vol (2)'!$V$4:$V$1116,$V1051)/SUMIFS('Comp2016-2017 (3)'!$G$5:$G$289,'Comp2016-2017 (3)'!$A$5:$A$289,$D1051,'Comp2016-2017 (3)'!$R$5:$R$289,$V1051)*$AB1051))</f>
        <v/>
      </c>
      <c r="AJ1051" s="2" t="str">
        <f>IF($W1051=AJ$3,$AB1051,IF(NOT($W1051=0),"",SUMIFS('Val-Vol (2)'!AJ$4:AJ$1116,'Val-Vol (2)'!$A$4:$A$1116,$D1051,'Val-Vol (2)'!$V$4:$V$1116,$V1051)/SUMIFS('Comp2016-2017 (3)'!$G$5:$G$289,'Comp2016-2017 (3)'!$A$5:$A$289,$D1051,'Comp2016-2017 (3)'!$R$5:$R$289,$V1051)*$AB1051))</f>
        <v/>
      </c>
      <c r="AK1051" s="2">
        <f t="shared" si="130"/>
        <v>0</v>
      </c>
      <c r="AL1051" t="str">
        <f t="shared" si="127"/>
        <v/>
      </c>
      <c r="AM1051" t="str">
        <f>VLOOKUP(A1051,'Table corresp.'!$M$4:$U$63,8,FALSE)</f>
        <v xml:space="preserve">Mise en œuvre </v>
      </c>
      <c r="AN1051" t="str">
        <f>VLOOKUP(D1051,'Table corresp.'!$M$4:$U$63,9,FALSE)</f>
        <v xml:space="preserve">Mise en œuvre </v>
      </c>
    </row>
    <row r="1052" spans="1:40" x14ac:dyDescent="0.25">
      <c r="A1052" t="s">
        <v>104</v>
      </c>
      <c r="B1052" t="str">
        <f>VLOOKUP(LEFT(A1052,3),'Table corresp.'!$A$4:$D$63,3,FALSE)</f>
        <v>Transformation</v>
      </c>
      <c r="C1052" t="str">
        <f>VLOOKUP(A1052,'Table corresp.'!$M$4:$P$63,4,FALSE)</f>
        <v>Commerces et services</v>
      </c>
      <c r="D1052" t="s">
        <v>26</v>
      </c>
      <c r="E1052" t="str">
        <f>VLOOKUP(LEFT(D1052,3),'Table corresp.'!$A$4:$D$63,4,FALSE)</f>
        <v>Transformation</v>
      </c>
      <c r="F1052" t="str">
        <f t="shared" si="122"/>
        <v xml:space="preserve">61  - 59 </v>
      </c>
      <c r="G1052" s="164">
        <v>8366.4324114731298</v>
      </c>
      <c r="H1052" s="164">
        <v>0</v>
      </c>
      <c r="I1052" s="164">
        <v>8366.4324114731298</v>
      </c>
      <c r="J1052" s="164">
        <v>0</v>
      </c>
      <c r="K1052" s="164">
        <v>0</v>
      </c>
      <c r="L1052" s="164">
        <v>0</v>
      </c>
      <c r="M1052" s="164">
        <v>0</v>
      </c>
      <c r="N1052" s="164">
        <v>0</v>
      </c>
      <c r="O1052" s="164">
        <v>0</v>
      </c>
      <c r="P1052" s="164">
        <v>0</v>
      </c>
      <c r="Q1052" s="164">
        <v>0</v>
      </c>
      <c r="R1052" s="164">
        <v>0</v>
      </c>
      <c r="S1052" s="163" t="str">
        <f t="shared" si="123"/>
        <v/>
      </c>
      <c r="T1052" s="163">
        <f>VLOOKUP(A1052,'Groupe de branches'!$Z$27:$AM$86,14,FALSE)</f>
        <v>0</v>
      </c>
      <c r="U1052" s="163">
        <f>VLOOKUP(D1052,'Groupe de branches'!$Z$27:$AM$86,14,FALSE)</f>
        <v>0</v>
      </c>
      <c r="V1052" s="163">
        <v>2018</v>
      </c>
      <c r="W1052" t="str">
        <f>VLOOKUP(D1052,'Table corresp.'!$M$4:$S$63,7,FALSE)</f>
        <v>Construction</v>
      </c>
      <c r="X1052" s="167">
        <f>IFERROR(G1052/SUMIFS('Comp2016-2017 (3)'!$I$5:$I$289,'Comp2016-2017 (3)'!$A$5:$A$289,A1052,'Comp2016-2017 (3)'!$R$5:$R$289,V1052),0)</f>
        <v>5.2644410617721411E-3</v>
      </c>
      <c r="Y1052" s="178">
        <f>IFERROR(IF(RIGHT(F1052,3)="Exp",VLOOKUP(F1052,#REF!,2,FALSE),VLOOKUP(F1052,#REF!,9,FALSE)),1)</f>
        <v>1</v>
      </c>
      <c r="Z1052" s="167">
        <f t="shared" si="131"/>
        <v>0.1111111111111111</v>
      </c>
      <c r="AA1052" s="189">
        <f t="shared" si="128"/>
        <v>5.8493789575246005E-4</v>
      </c>
      <c r="AB1052" s="2">
        <f>IFERROR(SUMIFS('Comp2016-2017 (3)'!$G$5:$G$289,'Comp2016-2017 (3)'!$A$5:$A$289,A1052,'Comp2016-2017 (3)'!$R$5:$R$289,V1052)*AA1052/SUMIFS($AA$4:$AA$1116,$A$4:$A$1116,A1052,$V$4:$V$1116,V1052),0)</f>
        <v>8366.432387719693</v>
      </c>
      <c r="AC1052" s="2" t="str">
        <f>IF($W1052=AC$3,$AB1052,IF(NOT($W1052=0),"",SUMIFS('Val-Vol (2)'!AC$4:AC$1116,'Val-Vol (2)'!$A$4:$A$1116,$D1052,'Val-Vol (2)'!$V$4:$V$1116,$V1052)/SUMIFS('Comp2016-2017 (3)'!$G$5:$G$289,'Comp2016-2017 (3)'!$A$5:$A$289,$D1052,'Comp2016-2017 (3)'!$R$5:$R$289,$V1052)*$AB1052))</f>
        <v/>
      </c>
      <c r="AD1052" s="2">
        <f>IF($W1052=AD$3,$AB1052,IF(NOT($W1052=0),"",SUMIFS('Val-Vol (2)'!AD$4:AD$1116,'Val-Vol (2)'!$A$4:$A$1116,$D1052,'Val-Vol (2)'!$V$4:$V$1116,$V1052)/SUMIFS('Comp2016-2017 (3)'!$G$5:$G$289,'Comp2016-2017 (3)'!$A$5:$A$289,$D1052,'Comp2016-2017 (3)'!$R$5:$R$289,$V1052)*$AB1052))</f>
        <v>8366.432387719693</v>
      </c>
      <c r="AE1052" s="2" t="str">
        <f>IF($W1052=AE$3,$AB1052,IF(NOT($W1052=0),"",SUMIFS('Val-Vol (2)'!AE$4:AE$1116,'Val-Vol (2)'!$A$4:$A$1116,$D1052,'Val-Vol (2)'!$V$4:$V$1116,$V1052)/SUMIFS('Comp2016-2017 (3)'!$G$5:$G$289,'Comp2016-2017 (3)'!$A$5:$A$289,$D1052,'Comp2016-2017 (3)'!$R$5:$R$289,$V1052)*$AB1052))</f>
        <v/>
      </c>
      <c r="AF1052" s="2" t="str">
        <f>IF($W1052=AF$3,$AB1052,IF(NOT($W1052=0),"",SUMIFS('Val-Vol (2)'!AF$4:AF$1116,'Val-Vol (2)'!$A$4:$A$1116,$D1052,'Val-Vol (2)'!$V$4:$V$1116,$V1052)/SUMIFS('Comp2016-2017 (3)'!$G$5:$G$289,'Comp2016-2017 (3)'!$A$5:$A$289,$D1052,'Comp2016-2017 (3)'!$R$5:$R$289,$V1052)*$AB1052))</f>
        <v/>
      </c>
      <c r="AG1052" s="2" t="str">
        <f>IF($W1052=AG$3,$AB1052,IF(NOT($W1052=0),"",SUMIFS('Val-Vol (2)'!AG$4:AG$1116,'Val-Vol (2)'!$A$4:$A$1116,$D1052,'Val-Vol (2)'!$V$4:$V$1116,$V1052)/SUMIFS('Comp2016-2017 (3)'!$G$5:$G$289,'Comp2016-2017 (3)'!$A$5:$A$289,$D1052,'Comp2016-2017 (3)'!$R$5:$R$289,$V1052)*$AB1052))</f>
        <v/>
      </c>
      <c r="AH1052" s="2" t="str">
        <f>IF($W1052=AH$3,$AB1052,IF(NOT($W1052=0),"",SUMIFS('Val-Vol (2)'!AH$4:AH$1116,'Val-Vol (2)'!$A$4:$A$1116,$D1052,'Val-Vol (2)'!$V$4:$V$1116,$V1052)/SUMIFS('Comp2016-2017 (3)'!$G$5:$G$289,'Comp2016-2017 (3)'!$A$5:$A$289,$D1052,'Comp2016-2017 (3)'!$R$5:$R$289,$V1052)*$AB1052))</f>
        <v/>
      </c>
      <c r="AI1052" s="2" t="str">
        <f>IF($W1052=AI$3,$AB1052,IF(NOT($W1052=0),"",SUMIFS('Val-Vol (2)'!AI$4:AI$1116,'Val-Vol (2)'!$A$4:$A$1116,$D1052,'Val-Vol (2)'!$V$4:$V$1116,$V1052)/SUMIFS('Comp2016-2017 (3)'!$G$5:$G$289,'Comp2016-2017 (3)'!$A$5:$A$289,$D1052,'Comp2016-2017 (3)'!$R$5:$R$289,$V1052)*$AB1052))</f>
        <v/>
      </c>
      <c r="AJ1052" s="2" t="str">
        <f>IF($W1052=AJ$3,$AB1052,IF(NOT($W1052=0),"",SUMIFS('Val-Vol (2)'!AJ$4:AJ$1116,'Val-Vol (2)'!$A$4:$A$1116,$D1052,'Val-Vol (2)'!$V$4:$V$1116,$V1052)/SUMIFS('Comp2016-2017 (3)'!$G$5:$G$289,'Comp2016-2017 (3)'!$A$5:$A$289,$D1052,'Comp2016-2017 (3)'!$R$5:$R$289,$V1052)*$AB1052))</f>
        <v/>
      </c>
      <c r="AK1052" s="2">
        <f t="shared" si="130"/>
        <v>0</v>
      </c>
      <c r="AL1052" t="str">
        <f t="shared" si="127"/>
        <v/>
      </c>
      <c r="AM1052" t="str">
        <f>VLOOKUP(A1052,'Table corresp.'!$M$4:$U$63,8,FALSE)</f>
        <v xml:space="preserve">Mise en œuvre </v>
      </c>
      <c r="AN1052" t="str">
        <f>VLOOKUP(D1052,'Table corresp.'!$M$4:$U$63,9,FALSE)</f>
        <v xml:space="preserve">Mise en œuvre </v>
      </c>
    </row>
    <row r="1053" spans="1:40" x14ac:dyDescent="0.25">
      <c r="A1053" t="s">
        <v>104</v>
      </c>
      <c r="B1053" t="str">
        <f>VLOOKUP(LEFT(A1053,3),'Table corresp.'!$A$4:$D$63,3,FALSE)</f>
        <v>Transformation</v>
      </c>
      <c r="C1053" t="str">
        <f>VLOOKUP(A1053,'Table corresp.'!$M$4:$P$63,4,FALSE)</f>
        <v>Commerces et services</v>
      </c>
      <c r="D1053" t="s">
        <v>54</v>
      </c>
      <c r="E1053" t="str">
        <f>VLOOKUP(LEFT(D1053,3),'Table corresp.'!$A$4:$D$63,4,FALSE)</f>
        <v>Consommation finale</v>
      </c>
      <c r="F1053" t="str">
        <f t="shared" si="122"/>
        <v>61  - Con</v>
      </c>
      <c r="G1053" s="164">
        <v>267335.89551448933</v>
      </c>
      <c r="H1053" s="164">
        <v>0</v>
      </c>
      <c r="I1053" s="164">
        <v>267335.89551448933</v>
      </c>
      <c r="J1053" s="164">
        <v>0</v>
      </c>
      <c r="K1053" s="164">
        <v>0</v>
      </c>
      <c r="L1053" s="164">
        <v>0</v>
      </c>
      <c r="M1053" s="164">
        <v>0</v>
      </c>
      <c r="N1053" s="164">
        <v>0</v>
      </c>
      <c r="O1053" s="164">
        <v>0</v>
      </c>
      <c r="P1053" s="164">
        <v>0</v>
      </c>
      <c r="Q1053" s="164">
        <v>0</v>
      </c>
      <c r="R1053" s="164">
        <v>0</v>
      </c>
      <c r="S1053" s="163" t="str">
        <f t="shared" si="123"/>
        <v/>
      </c>
      <c r="T1053" s="163">
        <f>VLOOKUP(A1053,'Groupe de branches'!$Z$27:$AM$86,14,FALSE)</f>
        <v>0</v>
      </c>
      <c r="U1053" s="163">
        <f>VLOOKUP(D1053,'Groupe de branches'!$Z$27:$AM$86,14,FALSE)</f>
        <v>0</v>
      </c>
      <c r="V1053" s="163">
        <v>2018</v>
      </c>
      <c r="W1053" t="str">
        <f>VLOOKUP(D1053,'Table corresp.'!$M$4:$S$63,7,FALSE)</f>
        <v>Consommation finale</v>
      </c>
      <c r="X1053" s="167">
        <f>IFERROR(G1053/SUMIFS('Comp2016-2017 (3)'!$I$5:$I$289,'Comp2016-2017 (3)'!$A$5:$A$289,A1053,'Comp2016-2017 (3)'!$R$5:$R$289,V1053),0)</f>
        <v>0.16821674955529811</v>
      </c>
      <c r="Y1053" s="178">
        <f>IFERROR(IF(RIGHT(F1053,3)="Exp",VLOOKUP(F1053,#REF!,2,FALSE),VLOOKUP(F1053,#REF!,9,FALSE)),1)</f>
        <v>1</v>
      </c>
      <c r="Z1053" s="167">
        <f t="shared" si="131"/>
        <v>0.1111111111111111</v>
      </c>
      <c r="AA1053" s="189">
        <f t="shared" si="128"/>
        <v>1.8690749950588677E-2</v>
      </c>
      <c r="AB1053" s="2">
        <f>IFERROR(SUMIFS('Comp2016-2017 (3)'!$G$5:$G$289,'Comp2016-2017 (3)'!$A$5:$A$289,A1053,'Comp2016-2017 (3)'!$R$5:$R$289,V1053)*AA1053/SUMIFS($AA$4:$AA$1116,$A$4:$A$1116,A1053,$V$4:$V$1116,V1053),0)</f>
        <v>267335.8947554864</v>
      </c>
      <c r="AC1053" s="2" t="str">
        <f>IF($W1053=AC$3,$AB1053,IF(NOT($W1053=0),"",SUMIFS('Val-Vol (2)'!AC$4:AC$1116,'Val-Vol (2)'!$A$4:$A$1116,$D1053,'Val-Vol (2)'!$V$4:$V$1116,$V1053)/SUMIFS('Comp2016-2017 (3)'!$G$5:$G$289,'Comp2016-2017 (3)'!$A$5:$A$289,$D1053,'Comp2016-2017 (3)'!$R$5:$R$289,$V1053)*$AB1053))</f>
        <v/>
      </c>
      <c r="AD1053" s="2" t="str">
        <f>IF($W1053=AD$3,$AB1053,IF(NOT($W1053=0),"",SUMIFS('Val-Vol (2)'!AD$4:AD$1116,'Val-Vol (2)'!$A$4:$A$1116,$D1053,'Val-Vol (2)'!$V$4:$V$1116,$V1053)/SUMIFS('Comp2016-2017 (3)'!$G$5:$G$289,'Comp2016-2017 (3)'!$A$5:$A$289,$D1053,'Comp2016-2017 (3)'!$R$5:$R$289,$V1053)*$AB1053))</f>
        <v/>
      </c>
      <c r="AE1053" s="2" t="str">
        <f>IF($W1053=AE$3,$AB1053,IF(NOT($W1053=0),"",SUMIFS('Val-Vol (2)'!AE$4:AE$1116,'Val-Vol (2)'!$A$4:$A$1116,$D1053,'Val-Vol (2)'!$V$4:$V$1116,$V1053)/SUMIFS('Comp2016-2017 (3)'!$G$5:$G$289,'Comp2016-2017 (3)'!$A$5:$A$289,$D1053,'Comp2016-2017 (3)'!$R$5:$R$289,$V1053)*$AB1053))</f>
        <v/>
      </c>
      <c r="AF1053" s="2" t="str">
        <f>IF($W1053=AF$3,$AB1053,IF(NOT($W1053=0),"",SUMIFS('Val-Vol (2)'!AF$4:AF$1116,'Val-Vol (2)'!$A$4:$A$1116,$D1053,'Val-Vol (2)'!$V$4:$V$1116,$V1053)/SUMIFS('Comp2016-2017 (3)'!$G$5:$G$289,'Comp2016-2017 (3)'!$A$5:$A$289,$D1053,'Comp2016-2017 (3)'!$R$5:$R$289,$V1053)*$AB1053))</f>
        <v/>
      </c>
      <c r="AG1053" s="2" t="str">
        <f>IF($W1053=AG$3,$AB1053,IF(NOT($W1053=0),"",SUMIFS('Val-Vol (2)'!AG$4:AG$1116,'Val-Vol (2)'!$A$4:$A$1116,$D1053,'Val-Vol (2)'!$V$4:$V$1116,$V1053)/SUMIFS('Comp2016-2017 (3)'!$G$5:$G$289,'Comp2016-2017 (3)'!$A$5:$A$289,$D1053,'Comp2016-2017 (3)'!$R$5:$R$289,$V1053)*$AB1053))</f>
        <v/>
      </c>
      <c r="AH1053" s="2" t="str">
        <f>IF($W1053=AH$3,$AB1053,IF(NOT($W1053=0),"",SUMIFS('Val-Vol (2)'!AH$4:AH$1116,'Val-Vol (2)'!$A$4:$A$1116,$D1053,'Val-Vol (2)'!$V$4:$V$1116,$V1053)/SUMIFS('Comp2016-2017 (3)'!$G$5:$G$289,'Comp2016-2017 (3)'!$A$5:$A$289,$D1053,'Comp2016-2017 (3)'!$R$5:$R$289,$V1053)*$AB1053))</f>
        <v/>
      </c>
      <c r="AI1053" s="2" t="str">
        <f>IF($W1053=AI$3,$AB1053,IF(NOT($W1053=0),"",SUMIFS('Val-Vol (2)'!AI$4:AI$1116,'Val-Vol (2)'!$A$4:$A$1116,$D1053,'Val-Vol (2)'!$V$4:$V$1116,$V1053)/SUMIFS('Comp2016-2017 (3)'!$G$5:$G$289,'Comp2016-2017 (3)'!$A$5:$A$289,$D1053,'Comp2016-2017 (3)'!$R$5:$R$289,$V1053)*$AB1053))</f>
        <v/>
      </c>
      <c r="AJ1053" s="2">
        <f>IF($W1053=AJ$3,$AB1053,IF(NOT($W1053=0),"",SUMIFS('Val-Vol (2)'!AJ$4:AJ$1116,'Val-Vol (2)'!$A$4:$A$1116,$D1053,'Val-Vol (2)'!$V$4:$V$1116,$V1053)/SUMIFS('Comp2016-2017 (3)'!$G$5:$G$289,'Comp2016-2017 (3)'!$A$5:$A$289,$D1053,'Comp2016-2017 (3)'!$R$5:$R$289,$V1053)*$AB1053))</f>
        <v>267335.8947554864</v>
      </c>
      <c r="AK1053" s="2">
        <f t="shared" si="130"/>
        <v>0</v>
      </c>
      <c r="AL1053" t="str">
        <f t="shared" si="127"/>
        <v/>
      </c>
      <c r="AM1053" t="str">
        <f>VLOOKUP(A1053,'Table corresp.'!$M$4:$U$63,8,FALSE)</f>
        <v xml:space="preserve">Mise en œuvre </v>
      </c>
      <c r="AN1053" t="str">
        <f>VLOOKUP(D1053,'Table corresp.'!$M$4:$U$63,9,FALSE)</f>
        <v>Consommation finale française</v>
      </c>
    </row>
    <row r="1054" spans="1:40" x14ac:dyDescent="0.25">
      <c r="A1054" t="s">
        <v>105</v>
      </c>
      <c r="B1054" t="str">
        <f>VLOOKUP(LEFT(A1054,3),'Table corresp.'!$A$4:$D$63,3,FALSE)</f>
        <v>Transformation</v>
      </c>
      <c r="C1054" t="str">
        <f>VLOOKUP(A1054,'Table corresp.'!$M$4:$P$63,4,FALSE)</f>
        <v>Commerces et services</v>
      </c>
      <c r="D1054" t="s">
        <v>19</v>
      </c>
      <c r="E1054" t="str">
        <f>VLOOKUP(LEFT(D1054,3),'Table corresp.'!$A$4:$D$63,4,FALSE)</f>
        <v>Transformation</v>
      </c>
      <c r="F1054" t="str">
        <f t="shared" si="122"/>
        <v xml:space="preserve">62  - 52 </v>
      </c>
      <c r="G1054" s="164">
        <v>8365.0415245081913</v>
      </c>
      <c r="H1054" s="164">
        <v>0</v>
      </c>
      <c r="I1054" s="164">
        <v>8365.0415245081913</v>
      </c>
      <c r="J1054" s="164">
        <v>0</v>
      </c>
      <c r="K1054" s="164">
        <v>0</v>
      </c>
      <c r="L1054" s="164">
        <v>0</v>
      </c>
      <c r="M1054" s="164">
        <v>0</v>
      </c>
      <c r="N1054" s="164">
        <v>0</v>
      </c>
      <c r="O1054" s="164">
        <v>0</v>
      </c>
      <c r="P1054" s="164">
        <v>0</v>
      </c>
      <c r="Q1054" s="164">
        <v>0</v>
      </c>
      <c r="R1054" s="164">
        <v>0</v>
      </c>
      <c r="S1054" s="163" t="str">
        <f t="shared" si="123"/>
        <v/>
      </c>
      <c r="T1054" s="163">
        <f>VLOOKUP(A1054,'Groupe de branches'!$Z$27:$AM$86,14,FALSE)</f>
        <v>0</v>
      </c>
      <c r="U1054" s="163">
        <f>VLOOKUP(D1054,'Groupe de branches'!$Z$27:$AM$86,14,FALSE)</f>
        <v>0</v>
      </c>
      <c r="V1054" s="163">
        <v>2018</v>
      </c>
      <c r="W1054" t="str">
        <f>VLOOKUP(D1054,'Table corresp.'!$M$4:$S$63,7,FALSE)</f>
        <v>Construction</v>
      </c>
      <c r="X1054" s="167">
        <f>IFERROR(G1054/SUMIFS('Comp2016-2017 (3)'!$I$5:$I$289,'Comp2016-2017 (3)'!$A$5:$A$289,A1054,'Comp2016-2017 (3)'!$R$5:$R$289,V1054),0)</f>
        <v>4.1640324581399546E-3</v>
      </c>
      <c r="Y1054" s="178">
        <f>IFERROR(IF(RIGHT(F1054,3)="Exp",VLOOKUP(F1054,#REF!,2,FALSE),VLOOKUP(F1054,#REF!,9,FALSE)),1)</f>
        <v>1</v>
      </c>
      <c r="Z1054" s="167">
        <f t="shared" si="131"/>
        <v>0.1111111111111111</v>
      </c>
      <c r="AA1054" s="189">
        <f t="shared" si="128"/>
        <v>4.6267027312666157E-4</v>
      </c>
      <c r="AB1054" s="2">
        <f>IFERROR(SUMIFS('Comp2016-2017 (3)'!$G$5:$G$289,'Comp2016-2017 (3)'!$A$5:$A$289,A1054,'Comp2016-2017 (3)'!$R$5:$R$289,V1054)*AA1054/SUMIFS($AA$4:$AA$1116,$A$4:$A$1116,A1054,$V$4:$V$1116,V1054),0)</f>
        <v>8365.0415236373501</v>
      </c>
      <c r="AC1054" s="2" t="str">
        <f>IF($W1054=AC$3,$AB1054,IF(NOT($W1054=0),"",SUMIFS('Val-Vol (2)'!AC$4:AC$1116,'Val-Vol (2)'!$A$4:$A$1116,$D1054,'Val-Vol (2)'!$V$4:$V$1116,$V1054)/SUMIFS('Comp2016-2017 (3)'!$G$5:$G$289,'Comp2016-2017 (3)'!$A$5:$A$289,$D1054,'Comp2016-2017 (3)'!$R$5:$R$289,$V1054)*$AB1054))</f>
        <v/>
      </c>
      <c r="AD1054" s="2">
        <f>IF($W1054=AD$3,$AB1054,IF(NOT($W1054=0),"",SUMIFS('Val-Vol (2)'!AD$4:AD$1116,'Val-Vol (2)'!$A$4:$A$1116,$D1054,'Val-Vol (2)'!$V$4:$V$1116,$V1054)/SUMIFS('Comp2016-2017 (3)'!$G$5:$G$289,'Comp2016-2017 (3)'!$A$5:$A$289,$D1054,'Comp2016-2017 (3)'!$R$5:$R$289,$V1054)*$AB1054))</f>
        <v>8365.0415236373501</v>
      </c>
      <c r="AE1054" s="2" t="str">
        <f>IF($W1054=AE$3,$AB1054,IF(NOT($W1054=0),"",SUMIFS('Val-Vol (2)'!AE$4:AE$1116,'Val-Vol (2)'!$A$4:$A$1116,$D1054,'Val-Vol (2)'!$V$4:$V$1116,$V1054)/SUMIFS('Comp2016-2017 (3)'!$G$5:$G$289,'Comp2016-2017 (3)'!$A$5:$A$289,$D1054,'Comp2016-2017 (3)'!$R$5:$R$289,$V1054)*$AB1054))</f>
        <v/>
      </c>
      <c r="AF1054" s="2" t="str">
        <f>IF($W1054=AF$3,$AB1054,IF(NOT($W1054=0),"",SUMIFS('Val-Vol (2)'!AF$4:AF$1116,'Val-Vol (2)'!$A$4:$A$1116,$D1054,'Val-Vol (2)'!$V$4:$V$1116,$V1054)/SUMIFS('Comp2016-2017 (3)'!$G$5:$G$289,'Comp2016-2017 (3)'!$A$5:$A$289,$D1054,'Comp2016-2017 (3)'!$R$5:$R$289,$V1054)*$AB1054))</f>
        <v/>
      </c>
      <c r="AG1054" s="2" t="str">
        <f>IF($W1054=AG$3,$AB1054,IF(NOT($W1054=0),"",SUMIFS('Val-Vol (2)'!AG$4:AG$1116,'Val-Vol (2)'!$A$4:$A$1116,$D1054,'Val-Vol (2)'!$V$4:$V$1116,$V1054)/SUMIFS('Comp2016-2017 (3)'!$G$5:$G$289,'Comp2016-2017 (3)'!$A$5:$A$289,$D1054,'Comp2016-2017 (3)'!$R$5:$R$289,$V1054)*$AB1054))</f>
        <v/>
      </c>
      <c r="AH1054" s="2" t="str">
        <f>IF($W1054=AH$3,$AB1054,IF(NOT($W1054=0),"",SUMIFS('Val-Vol (2)'!AH$4:AH$1116,'Val-Vol (2)'!$A$4:$A$1116,$D1054,'Val-Vol (2)'!$V$4:$V$1116,$V1054)/SUMIFS('Comp2016-2017 (3)'!$G$5:$G$289,'Comp2016-2017 (3)'!$A$5:$A$289,$D1054,'Comp2016-2017 (3)'!$R$5:$R$289,$V1054)*$AB1054))</f>
        <v/>
      </c>
      <c r="AI1054" s="2" t="str">
        <f>IF($W1054=AI$3,$AB1054,IF(NOT($W1054=0),"",SUMIFS('Val-Vol (2)'!AI$4:AI$1116,'Val-Vol (2)'!$A$4:$A$1116,$D1054,'Val-Vol (2)'!$V$4:$V$1116,$V1054)/SUMIFS('Comp2016-2017 (3)'!$G$5:$G$289,'Comp2016-2017 (3)'!$A$5:$A$289,$D1054,'Comp2016-2017 (3)'!$R$5:$R$289,$V1054)*$AB1054))</f>
        <v/>
      </c>
      <c r="AJ1054" s="2" t="str">
        <f>IF($W1054=AJ$3,$AB1054,IF(NOT($W1054=0),"",SUMIFS('Val-Vol (2)'!AJ$4:AJ$1116,'Val-Vol (2)'!$A$4:$A$1116,$D1054,'Val-Vol (2)'!$V$4:$V$1116,$V1054)/SUMIFS('Comp2016-2017 (3)'!$G$5:$G$289,'Comp2016-2017 (3)'!$A$5:$A$289,$D1054,'Comp2016-2017 (3)'!$R$5:$R$289,$V1054)*$AB1054))</f>
        <v/>
      </c>
      <c r="AK1054" s="2">
        <f t="shared" si="130"/>
        <v>0</v>
      </c>
      <c r="AL1054" t="str">
        <f t="shared" si="127"/>
        <v/>
      </c>
      <c r="AM1054" t="str">
        <f>VLOOKUP(A1054,'Table corresp.'!$M$4:$U$63,8,FALSE)</f>
        <v>Consommation finale française</v>
      </c>
      <c r="AN1054" t="str">
        <f>VLOOKUP(D1054,'Table corresp.'!$M$4:$U$63,9,FALSE)</f>
        <v xml:space="preserve">Mise en œuvre </v>
      </c>
    </row>
    <row r="1055" spans="1:40" x14ac:dyDescent="0.25">
      <c r="A1055" t="s">
        <v>105</v>
      </c>
      <c r="B1055" t="str">
        <f>VLOOKUP(LEFT(A1055,3),'Table corresp.'!$A$4:$D$63,3,FALSE)</f>
        <v>Transformation</v>
      </c>
      <c r="C1055" t="str">
        <f>VLOOKUP(A1055,'Table corresp.'!$M$4:$P$63,4,FALSE)</f>
        <v>Commerces et services</v>
      </c>
      <c r="D1055" t="s">
        <v>20</v>
      </c>
      <c r="E1055" t="str">
        <f>VLOOKUP(LEFT(D1055,3),'Table corresp.'!$A$4:$D$63,4,FALSE)</f>
        <v>Transformation</v>
      </c>
      <c r="F1055" t="str">
        <f t="shared" si="122"/>
        <v xml:space="preserve">62  - 53 </v>
      </c>
      <c r="G1055" s="164">
        <v>1560.4585232556844</v>
      </c>
      <c r="H1055" s="164">
        <v>0</v>
      </c>
      <c r="I1055" s="164">
        <v>1560.4585232556847</v>
      </c>
      <c r="J1055" s="164">
        <v>0</v>
      </c>
      <c r="K1055" s="164">
        <v>0</v>
      </c>
      <c r="L1055" s="164">
        <v>0</v>
      </c>
      <c r="M1055" s="164">
        <v>0</v>
      </c>
      <c r="N1055" s="164">
        <v>0</v>
      </c>
      <c r="O1055" s="164">
        <v>0</v>
      </c>
      <c r="P1055" s="164">
        <v>0</v>
      </c>
      <c r="Q1055" s="164">
        <v>0</v>
      </c>
      <c r="R1055" s="164">
        <v>0</v>
      </c>
      <c r="S1055" s="163" t="str">
        <f t="shared" si="123"/>
        <v/>
      </c>
      <c r="T1055" s="163">
        <f>VLOOKUP(A1055,'Groupe de branches'!$Z$27:$AM$86,14,FALSE)</f>
        <v>0</v>
      </c>
      <c r="U1055" s="163">
        <f>VLOOKUP(D1055,'Groupe de branches'!$Z$27:$AM$86,14,FALSE)</f>
        <v>0</v>
      </c>
      <c r="V1055" s="163">
        <v>2018</v>
      </c>
      <c r="W1055" t="str">
        <f>VLOOKUP(D1055,'Table corresp.'!$M$4:$S$63,7,FALSE)</f>
        <v>Construction</v>
      </c>
      <c r="X1055" s="167">
        <f>IFERROR(G1055/SUMIFS('Comp2016-2017 (3)'!$I$5:$I$289,'Comp2016-2017 (3)'!$A$5:$A$289,A1055,'Comp2016-2017 (3)'!$R$5:$R$289,V1055),0)</f>
        <v>7.7678035684345726E-4</v>
      </c>
      <c r="Y1055" s="178">
        <f>IFERROR(IF(RIGHT(F1055,3)="Exp",VLOOKUP(F1055,#REF!,2,FALSE),VLOOKUP(F1055,#REF!,9,FALSE)),1)</f>
        <v>1</v>
      </c>
      <c r="Z1055" s="167">
        <f t="shared" si="131"/>
        <v>0.1111111111111111</v>
      </c>
      <c r="AA1055" s="189">
        <f t="shared" si="128"/>
        <v>8.6308928538161915E-5</v>
      </c>
      <c r="AB1055" s="2">
        <f>IFERROR(SUMIFS('Comp2016-2017 (3)'!$G$5:$G$289,'Comp2016-2017 (3)'!$A$5:$A$289,A1055,'Comp2016-2017 (3)'!$R$5:$R$289,V1055)*AA1055/SUMIFS($AA$4:$AA$1116,$A$4:$A$1116,A1055,$V$4:$V$1116,V1055),0)</f>
        <v>1560.458523093233</v>
      </c>
      <c r="AC1055" s="2" t="str">
        <f>IF($W1055=AC$3,$AB1055,IF(NOT($W1055=0),"",SUMIFS('Val-Vol (2)'!AC$4:AC$1116,'Val-Vol (2)'!$A$4:$A$1116,$D1055,'Val-Vol (2)'!$V$4:$V$1116,$V1055)/SUMIFS('Comp2016-2017 (3)'!$G$5:$G$289,'Comp2016-2017 (3)'!$A$5:$A$289,$D1055,'Comp2016-2017 (3)'!$R$5:$R$289,$V1055)*$AB1055))</f>
        <v/>
      </c>
      <c r="AD1055" s="2">
        <f>IF($W1055=AD$3,$AB1055,IF(NOT($W1055=0),"",SUMIFS('Val-Vol (2)'!AD$4:AD$1116,'Val-Vol (2)'!$A$4:$A$1116,$D1055,'Val-Vol (2)'!$V$4:$V$1116,$V1055)/SUMIFS('Comp2016-2017 (3)'!$G$5:$G$289,'Comp2016-2017 (3)'!$A$5:$A$289,$D1055,'Comp2016-2017 (3)'!$R$5:$R$289,$V1055)*$AB1055))</f>
        <v>1560.458523093233</v>
      </c>
      <c r="AE1055" s="2" t="str">
        <f>IF($W1055=AE$3,$AB1055,IF(NOT($W1055=0),"",SUMIFS('Val-Vol (2)'!AE$4:AE$1116,'Val-Vol (2)'!$A$4:$A$1116,$D1055,'Val-Vol (2)'!$V$4:$V$1116,$V1055)/SUMIFS('Comp2016-2017 (3)'!$G$5:$G$289,'Comp2016-2017 (3)'!$A$5:$A$289,$D1055,'Comp2016-2017 (3)'!$R$5:$R$289,$V1055)*$AB1055))</f>
        <v/>
      </c>
      <c r="AF1055" s="2" t="str">
        <f>IF($W1055=AF$3,$AB1055,IF(NOT($W1055=0),"",SUMIFS('Val-Vol (2)'!AF$4:AF$1116,'Val-Vol (2)'!$A$4:$A$1116,$D1055,'Val-Vol (2)'!$V$4:$V$1116,$V1055)/SUMIFS('Comp2016-2017 (3)'!$G$5:$G$289,'Comp2016-2017 (3)'!$A$5:$A$289,$D1055,'Comp2016-2017 (3)'!$R$5:$R$289,$V1055)*$AB1055))</f>
        <v/>
      </c>
      <c r="AG1055" s="2" t="str">
        <f>IF($W1055=AG$3,$AB1055,IF(NOT($W1055=0),"",SUMIFS('Val-Vol (2)'!AG$4:AG$1116,'Val-Vol (2)'!$A$4:$A$1116,$D1055,'Val-Vol (2)'!$V$4:$V$1116,$V1055)/SUMIFS('Comp2016-2017 (3)'!$G$5:$G$289,'Comp2016-2017 (3)'!$A$5:$A$289,$D1055,'Comp2016-2017 (3)'!$R$5:$R$289,$V1055)*$AB1055))</f>
        <v/>
      </c>
      <c r="AH1055" s="2" t="str">
        <f>IF($W1055=AH$3,$AB1055,IF(NOT($W1055=0),"",SUMIFS('Val-Vol (2)'!AH$4:AH$1116,'Val-Vol (2)'!$A$4:$A$1116,$D1055,'Val-Vol (2)'!$V$4:$V$1116,$V1055)/SUMIFS('Comp2016-2017 (3)'!$G$5:$G$289,'Comp2016-2017 (3)'!$A$5:$A$289,$D1055,'Comp2016-2017 (3)'!$R$5:$R$289,$V1055)*$AB1055))</f>
        <v/>
      </c>
      <c r="AI1055" s="2" t="str">
        <f>IF($W1055=AI$3,$AB1055,IF(NOT($W1055=0),"",SUMIFS('Val-Vol (2)'!AI$4:AI$1116,'Val-Vol (2)'!$A$4:$A$1116,$D1055,'Val-Vol (2)'!$V$4:$V$1116,$V1055)/SUMIFS('Comp2016-2017 (3)'!$G$5:$G$289,'Comp2016-2017 (3)'!$A$5:$A$289,$D1055,'Comp2016-2017 (3)'!$R$5:$R$289,$V1055)*$AB1055))</f>
        <v/>
      </c>
      <c r="AJ1055" s="2" t="str">
        <f>IF($W1055=AJ$3,$AB1055,IF(NOT($W1055=0),"",SUMIFS('Val-Vol (2)'!AJ$4:AJ$1116,'Val-Vol (2)'!$A$4:$A$1116,$D1055,'Val-Vol (2)'!$V$4:$V$1116,$V1055)/SUMIFS('Comp2016-2017 (3)'!$G$5:$G$289,'Comp2016-2017 (3)'!$A$5:$A$289,$D1055,'Comp2016-2017 (3)'!$R$5:$R$289,$V1055)*$AB1055))</f>
        <v/>
      </c>
      <c r="AK1055" s="2">
        <f t="shared" si="130"/>
        <v>0</v>
      </c>
      <c r="AL1055" t="str">
        <f t="shared" si="127"/>
        <v/>
      </c>
      <c r="AM1055" t="str">
        <f>VLOOKUP(A1055,'Table corresp.'!$M$4:$U$63,8,FALSE)</f>
        <v>Consommation finale française</v>
      </c>
      <c r="AN1055" t="str">
        <f>VLOOKUP(D1055,'Table corresp.'!$M$4:$U$63,9,FALSE)</f>
        <v xml:space="preserve">Mise en œuvre </v>
      </c>
    </row>
    <row r="1056" spans="1:40" x14ac:dyDescent="0.25">
      <c r="A1056" t="s">
        <v>105</v>
      </c>
      <c r="B1056" t="str">
        <f>VLOOKUP(LEFT(A1056,3),'Table corresp.'!$A$4:$D$63,3,FALSE)</f>
        <v>Transformation</v>
      </c>
      <c r="C1056" t="str">
        <f>VLOOKUP(A1056,'Table corresp.'!$M$4:$P$63,4,FALSE)</f>
        <v>Commerces et services</v>
      </c>
      <c r="D1056" t="s">
        <v>21</v>
      </c>
      <c r="E1056" t="str">
        <f>VLOOKUP(LEFT(D1056,3),'Table corresp.'!$A$4:$D$63,4,FALSE)</f>
        <v>Transformation</v>
      </c>
      <c r="F1056" t="str">
        <f t="shared" si="122"/>
        <v xml:space="preserve">62  - 54 </v>
      </c>
      <c r="G1056" s="164">
        <v>95090.900307732925</v>
      </c>
      <c r="H1056" s="164">
        <v>0</v>
      </c>
      <c r="I1056" s="164">
        <v>95090.900307732925</v>
      </c>
      <c r="J1056" s="164">
        <v>0</v>
      </c>
      <c r="K1056" s="164">
        <v>0</v>
      </c>
      <c r="L1056" s="164">
        <v>0</v>
      </c>
      <c r="M1056" s="164">
        <v>0</v>
      </c>
      <c r="N1056" s="164">
        <v>0</v>
      </c>
      <c r="O1056" s="164">
        <v>0</v>
      </c>
      <c r="P1056" s="164">
        <v>0</v>
      </c>
      <c r="Q1056" s="164">
        <v>0</v>
      </c>
      <c r="R1056" s="164">
        <v>0</v>
      </c>
      <c r="S1056" s="163" t="str">
        <f t="shared" si="123"/>
        <v/>
      </c>
      <c r="T1056" s="163">
        <f>VLOOKUP(A1056,'Groupe de branches'!$Z$27:$AM$86,14,FALSE)</f>
        <v>0</v>
      </c>
      <c r="U1056" s="163">
        <f>VLOOKUP(D1056,'Groupe de branches'!$Z$27:$AM$86,14,FALSE)</f>
        <v>0</v>
      </c>
      <c r="V1056" s="163">
        <v>2018</v>
      </c>
      <c r="W1056" t="str">
        <f>VLOOKUP(D1056,'Table corresp.'!$M$4:$S$63,7,FALSE)</f>
        <v>Construction</v>
      </c>
      <c r="X1056" s="167">
        <f>IFERROR(G1056/SUMIFS('Comp2016-2017 (3)'!$I$5:$I$289,'Comp2016-2017 (3)'!$A$5:$A$289,A1056,'Comp2016-2017 (3)'!$R$5:$R$289,V1056),0)</f>
        <v>4.7335281503988753E-2</v>
      </c>
      <c r="Y1056" s="178">
        <f>IFERROR(IF(RIGHT(F1056,3)="Exp",VLOOKUP(F1056,#REF!,2,FALSE),VLOOKUP(F1056,#REF!,9,FALSE)),1)</f>
        <v>1</v>
      </c>
      <c r="Z1056" s="167">
        <f t="shared" si="131"/>
        <v>0.1111111111111111</v>
      </c>
      <c r="AA1056" s="189">
        <f t="shared" si="128"/>
        <v>5.2594757226654167E-3</v>
      </c>
      <c r="AB1056" s="2">
        <f>IFERROR(SUMIFS('Comp2016-2017 (3)'!$G$5:$G$289,'Comp2016-2017 (3)'!$A$5:$A$289,A1056,'Comp2016-2017 (3)'!$R$5:$R$289,V1056)*AA1056/SUMIFS($AA$4:$AA$1116,$A$4:$A$1116,A1056,$V$4:$V$1116,V1056),0)</f>
        <v>95090.900297833505</v>
      </c>
      <c r="AC1056" s="2" t="str">
        <f>IF($W1056=AC$3,$AB1056,IF(NOT($W1056=0),"",SUMIFS('Val-Vol (2)'!AC$4:AC$1116,'Val-Vol (2)'!$A$4:$A$1116,$D1056,'Val-Vol (2)'!$V$4:$V$1116,$V1056)/SUMIFS('Comp2016-2017 (3)'!$G$5:$G$289,'Comp2016-2017 (3)'!$A$5:$A$289,$D1056,'Comp2016-2017 (3)'!$R$5:$R$289,$V1056)*$AB1056))</f>
        <v/>
      </c>
      <c r="AD1056" s="2">
        <f>IF($W1056=AD$3,$AB1056,IF(NOT($W1056=0),"",SUMIFS('Val-Vol (2)'!AD$4:AD$1116,'Val-Vol (2)'!$A$4:$A$1116,$D1056,'Val-Vol (2)'!$V$4:$V$1116,$V1056)/SUMIFS('Comp2016-2017 (3)'!$G$5:$G$289,'Comp2016-2017 (3)'!$A$5:$A$289,$D1056,'Comp2016-2017 (3)'!$R$5:$R$289,$V1056)*$AB1056))</f>
        <v>95090.900297833505</v>
      </c>
      <c r="AE1056" s="2" t="str">
        <f>IF($W1056=AE$3,$AB1056,IF(NOT($W1056=0),"",SUMIFS('Val-Vol (2)'!AE$4:AE$1116,'Val-Vol (2)'!$A$4:$A$1116,$D1056,'Val-Vol (2)'!$V$4:$V$1116,$V1056)/SUMIFS('Comp2016-2017 (3)'!$G$5:$G$289,'Comp2016-2017 (3)'!$A$5:$A$289,$D1056,'Comp2016-2017 (3)'!$R$5:$R$289,$V1056)*$AB1056))</f>
        <v/>
      </c>
      <c r="AF1056" s="2" t="str">
        <f>IF($W1056=AF$3,$AB1056,IF(NOT($W1056=0),"",SUMIFS('Val-Vol (2)'!AF$4:AF$1116,'Val-Vol (2)'!$A$4:$A$1116,$D1056,'Val-Vol (2)'!$V$4:$V$1116,$V1056)/SUMIFS('Comp2016-2017 (3)'!$G$5:$G$289,'Comp2016-2017 (3)'!$A$5:$A$289,$D1056,'Comp2016-2017 (3)'!$R$5:$R$289,$V1056)*$AB1056))</f>
        <v/>
      </c>
      <c r="AG1056" s="2" t="str">
        <f>IF($W1056=AG$3,$AB1056,IF(NOT($W1056=0),"",SUMIFS('Val-Vol (2)'!AG$4:AG$1116,'Val-Vol (2)'!$A$4:$A$1116,$D1056,'Val-Vol (2)'!$V$4:$V$1116,$V1056)/SUMIFS('Comp2016-2017 (3)'!$G$5:$G$289,'Comp2016-2017 (3)'!$A$5:$A$289,$D1056,'Comp2016-2017 (3)'!$R$5:$R$289,$V1056)*$AB1056))</f>
        <v/>
      </c>
      <c r="AH1056" s="2" t="str">
        <f>IF($W1056=AH$3,$AB1056,IF(NOT($W1056=0),"",SUMIFS('Val-Vol (2)'!AH$4:AH$1116,'Val-Vol (2)'!$A$4:$A$1116,$D1056,'Val-Vol (2)'!$V$4:$V$1116,$V1056)/SUMIFS('Comp2016-2017 (3)'!$G$5:$G$289,'Comp2016-2017 (3)'!$A$5:$A$289,$D1056,'Comp2016-2017 (3)'!$R$5:$R$289,$V1056)*$AB1056))</f>
        <v/>
      </c>
      <c r="AI1056" s="2" t="str">
        <f>IF($W1056=AI$3,$AB1056,IF(NOT($W1056=0),"",SUMIFS('Val-Vol (2)'!AI$4:AI$1116,'Val-Vol (2)'!$A$4:$A$1116,$D1056,'Val-Vol (2)'!$V$4:$V$1116,$V1056)/SUMIFS('Comp2016-2017 (3)'!$G$5:$G$289,'Comp2016-2017 (3)'!$A$5:$A$289,$D1056,'Comp2016-2017 (3)'!$R$5:$R$289,$V1056)*$AB1056))</f>
        <v/>
      </c>
      <c r="AJ1056" s="2" t="str">
        <f>IF($W1056=AJ$3,$AB1056,IF(NOT($W1056=0),"",SUMIFS('Val-Vol (2)'!AJ$4:AJ$1116,'Val-Vol (2)'!$A$4:$A$1116,$D1056,'Val-Vol (2)'!$V$4:$V$1116,$V1056)/SUMIFS('Comp2016-2017 (3)'!$G$5:$G$289,'Comp2016-2017 (3)'!$A$5:$A$289,$D1056,'Comp2016-2017 (3)'!$R$5:$R$289,$V1056)*$AB1056))</f>
        <v/>
      </c>
      <c r="AK1056" s="2">
        <f t="shared" si="130"/>
        <v>0</v>
      </c>
      <c r="AL1056" t="str">
        <f t="shared" si="127"/>
        <v/>
      </c>
      <c r="AM1056" t="str">
        <f>VLOOKUP(A1056,'Table corresp.'!$M$4:$U$63,8,FALSE)</f>
        <v>Consommation finale française</v>
      </c>
      <c r="AN1056" t="str">
        <f>VLOOKUP(D1056,'Table corresp.'!$M$4:$U$63,9,FALSE)</f>
        <v xml:space="preserve">Mise en œuvre </v>
      </c>
    </row>
    <row r="1057" spans="1:40" x14ac:dyDescent="0.25">
      <c r="A1057" t="s">
        <v>105</v>
      </c>
      <c r="B1057" t="str">
        <f>VLOOKUP(LEFT(A1057,3),'Table corresp.'!$A$4:$D$63,3,FALSE)</f>
        <v>Transformation</v>
      </c>
      <c r="C1057" t="str">
        <f>VLOOKUP(A1057,'Table corresp.'!$M$4:$P$63,4,FALSE)</f>
        <v>Commerces et services</v>
      </c>
      <c r="D1057" t="s">
        <v>22</v>
      </c>
      <c r="E1057" t="str">
        <f>VLOOKUP(LEFT(D1057,3),'Table corresp.'!$A$4:$D$63,4,FALSE)</f>
        <v>Transformation</v>
      </c>
      <c r="F1057" t="str">
        <f t="shared" si="122"/>
        <v xml:space="preserve">62  - 55 </v>
      </c>
      <c r="G1057" s="164">
        <v>22308.862320490545</v>
      </c>
      <c r="H1057" s="164">
        <v>0</v>
      </c>
      <c r="I1057" s="164">
        <v>22308.862320490545</v>
      </c>
      <c r="J1057" s="164">
        <v>0</v>
      </c>
      <c r="K1057" s="164">
        <v>0</v>
      </c>
      <c r="L1057" s="164">
        <v>0</v>
      </c>
      <c r="M1057" s="164">
        <v>0</v>
      </c>
      <c r="N1057" s="164">
        <v>0</v>
      </c>
      <c r="O1057" s="164">
        <v>0</v>
      </c>
      <c r="P1057" s="164">
        <v>0</v>
      </c>
      <c r="Q1057" s="164">
        <v>0</v>
      </c>
      <c r="R1057" s="164">
        <v>0</v>
      </c>
      <c r="S1057" s="163" t="str">
        <f t="shared" si="123"/>
        <v/>
      </c>
      <c r="T1057" s="163">
        <f>VLOOKUP(A1057,'Groupe de branches'!$Z$27:$AM$86,14,FALSE)</f>
        <v>0</v>
      </c>
      <c r="U1057" s="163">
        <f>VLOOKUP(D1057,'Groupe de branches'!$Z$27:$AM$86,14,FALSE)</f>
        <v>0</v>
      </c>
      <c r="V1057" s="163">
        <v>2018</v>
      </c>
      <c r="W1057" t="str">
        <f>VLOOKUP(D1057,'Table corresp.'!$M$4:$S$63,7,FALSE)</f>
        <v>Construction</v>
      </c>
      <c r="X1057" s="167">
        <f>IFERROR(G1057/SUMIFS('Comp2016-2017 (3)'!$I$5:$I$289,'Comp2016-2017 (3)'!$A$5:$A$289,A1057,'Comp2016-2017 (3)'!$R$5:$R$289,V1057),0)</f>
        <v>1.110512440787431E-2</v>
      </c>
      <c r="Y1057" s="178">
        <f>IFERROR(IF(RIGHT(F1057,3)="Exp",VLOOKUP(F1057,#REF!,2,FALSE),VLOOKUP(F1057,#REF!,9,FALSE)),1)</f>
        <v>1</v>
      </c>
      <c r="Z1057" s="167">
        <f t="shared" si="131"/>
        <v>0.1111111111111111</v>
      </c>
      <c r="AA1057" s="189">
        <f t="shared" si="128"/>
        <v>1.2339027119860344E-3</v>
      </c>
      <c r="AB1057" s="2">
        <f>IFERROR(SUMIFS('Comp2016-2017 (3)'!$G$5:$G$289,'Comp2016-2017 (3)'!$A$5:$A$289,A1057,'Comp2016-2017 (3)'!$R$5:$R$289,V1057)*AA1057/SUMIFS($AA$4:$AA$1116,$A$4:$A$1116,A1057,$V$4:$V$1116,V1057),0)</f>
        <v>22308.862318168085</v>
      </c>
      <c r="AC1057" s="2" t="str">
        <f>IF($W1057=AC$3,$AB1057,IF(NOT($W1057=0),"",SUMIFS('Val-Vol (2)'!AC$4:AC$1116,'Val-Vol (2)'!$A$4:$A$1116,$D1057,'Val-Vol (2)'!$V$4:$V$1116,$V1057)/SUMIFS('Comp2016-2017 (3)'!$G$5:$G$289,'Comp2016-2017 (3)'!$A$5:$A$289,$D1057,'Comp2016-2017 (3)'!$R$5:$R$289,$V1057)*$AB1057))</f>
        <v/>
      </c>
      <c r="AD1057" s="2">
        <f>IF($W1057=AD$3,$AB1057,IF(NOT($W1057=0),"",SUMIFS('Val-Vol (2)'!AD$4:AD$1116,'Val-Vol (2)'!$A$4:$A$1116,$D1057,'Val-Vol (2)'!$V$4:$V$1116,$V1057)/SUMIFS('Comp2016-2017 (3)'!$G$5:$G$289,'Comp2016-2017 (3)'!$A$5:$A$289,$D1057,'Comp2016-2017 (3)'!$R$5:$R$289,$V1057)*$AB1057))</f>
        <v>22308.862318168085</v>
      </c>
      <c r="AE1057" s="2" t="str">
        <f>IF($W1057=AE$3,$AB1057,IF(NOT($W1057=0),"",SUMIFS('Val-Vol (2)'!AE$4:AE$1116,'Val-Vol (2)'!$A$4:$A$1116,$D1057,'Val-Vol (2)'!$V$4:$V$1116,$V1057)/SUMIFS('Comp2016-2017 (3)'!$G$5:$G$289,'Comp2016-2017 (3)'!$A$5:$A$289,$D1057,'Comp2016-2017 (3)'!$R$5:$R$289,$V1057)*$AB1057))</f>
        <v/>
      </c>
      <c r="AF1057" s="2" t="str">
        <f>IF($W1057=AF$3,$AB1057,IF(NOT($W1057=0),"",SUMIFS('Val-Vol (2)'!AF$4:AF$1116,'Val-Vol (2)'!$A$4:$A$1116,$D1057,'Val-Vol (2)'!$V$4:$V$1116,$V1057)/SUMIFS('Comp2016-2017 (3)'!$G$5:$G$289,'Comp2016-2017 (3)'!$A$5:$A$289,$D1057,'Comp2016-2017 (3)'!$R$5:$R$289,$V1057)*$AB1057))</f>
        <v/>
      </c>
      <c r="AG1057" s="2" t="str">
        <f>IF($W1057=AG$3,$AB1057,IF(NOT($W1057=0),"",SUMIFS('Val-Vol (2)'!AG$4:AG$1116,'Val-Vol (2)'!$A$4:$A$1116,$D1057,'Val-Vol (2)'!$V$4:$V$1116,$V1057)/SUMIFS('Comp2016-2017 (3)'!$G$5:$G$289,'Comp2016-2017 (3)'!$A$5:$A$289,$D1057,'Comp2016-2017 (3)'!$R$5:$R$289,$V1057)*$AB1057))</f>
        <v/>
      </c>
      <c r="AH1057" s="2" t="str">
        <f>IF($W1057=AH$3,$AB1057,IF(NOT($W1057=0),"",SUMIFS('Val-Vol (2)'!AH$4:AH$1116,'Val-Vol (2)'!$A$4:$A$1116,$D1057,'Val-Vol (2)'!$V$4:$V$1116,$V1057)/SUMIFS('Comp2016-2017 (3)'!$G$5:$G$289,'Comp2016-2017 (3)'!$A$5:$A$289,$D1057,'Comp2016-2017 (3)'!$R$5:$R$289,$V1057)*$AB1057))</f>
        <v/>
      </c>
      <c r="AI1057" s="2" t="str">
        <f>IF($W1057=AI$3,$AB1057,IF(NOT($W1057=0),"",SUMIFS('Val-Vol (2)'!AI$4:AI$1116,'Val-Vol (2)'!$A$4:$A$1116,$D1057,'Val-Vol (2)'!$V$4:$V$1116,$V1057)/SUMIFS('Comp2016-2017 (3)'!$G$5:$G$289,'Comp2016-2017 (3)'!$A$5:$A$289,$D1057,'Comp2016-2017 (3)'!$R$5:$R$289,$V1057)*$AB1057))</f>
        <v/>
      </c>
      <c r="AJ1057" s="2" t="str">
        <f>IF($W1057=AJ$3,$AB1057,IF(NOT($W1057=0),"",SUMIFS('Val-Vol (2)'!AJ$4:AJ$1116,'Val-Vol (2)'!$A$4:$A$1116,$D1057,'Val-Vol (2)'!$V$4:$V$1116,$V1057)/SUMIFS('Comp2016-2017 (3)'!$G$5:$G$289,'Comp2016-2017 (3)'!$A$5:$A$289,$D1057,'Comp2016-2017 (3)'!$R$5:$R$289,$V1057)*$AB1057))</f>
        <v/>
      </c>
      <c r="AK1057" s="2">
        <f t="shared" si="130"/>
        <v>0</v>
      </c>
      <c r="AL1057" t="str">
        <f t="shared" si="127"/>
        <v/>
      </c>
      <c r="AM1057" t="str">
        <f>VLOOKUP(A1057,'Table corresp.'!$M$4:$U$63,8,FALSE)</f>
        <v>Consommation finale française</v>
      </c>
      <c r="AN1057" t="str">
        <f>VLOOKUP(D1057,'Table corresp.'!$M$4:$U$63,9,FALSE)</f>
        <v xml:space="preserve">Mise en œuvre </v>
      </c>
    </row>
    <row r="1058" spans="1:40" x14ac:dyDescent="0.25">
      <c r="A1058" t="s">
        <v>105</v>
      </c>
      <c r="B1058" t="str">
        <f>VLOOKUP(LEFT(A1058,3),'Table corresp.'!$A$4:$D$63,3,FALSE)</f>
        <v>Transformation</v>
      </c>
      <c r="C1058" t="str">
        <f>VLOOKUP(A1058,'Table corresp.'!$M$4:$P$63,4,FALSE)</f>
        <v>Commerces et services</v>
      </c>
      <c r="D1058" t="s">
        <v>23</v>
      </c>
      <c r="E1058" t="str">
        <f>VLOOKUP(LEFT(D1058,3),'Table corresp.'!$A$4:$D$63,4,FALSE)</f>
        <v>Transformation</v>
      </c>
      <c r="F1058" t="str">
        <f t="shared" si="122"/>
        <v xml:space="preserve">62  - 56 </v>
      </c>
      <c r="G1058" s="164">
        <v>1825.5983764014281</v>
      </c>
      <c r="H1058" s="164">
        <v>0</v>
      </c>
      <c r="I1058" s="164">
        <v>1825.5983764014279</v>
      </c>
      <c r="J1058" s="164">
        <v>0</v>
      </c>
      <c r="K1058" s="164">
        <v>0</v>
      </c>
      <c r="L1058" s="164">
        <v>0</v>
      </c>
      <c r="M1058" s="164">
        <v>0</v>
      </c>
      <c r="N1058" s="164">
        <v>0</v>
      </c>
      <c r="O1058" s="164">
        <v>0</v>
      </c>
      <c r="P1058" s="164">
        <v>0</v>
      </c>
      <c r="Q1058" s="164">
        <v>0</v>
      </c>
      <c r="R1058" s="164">
        <v>0</v>
      </c>
      <c r="S1058" s="163" t="str">
        <f t="shared" si="123"/>
        <v/>
      </c>
      <c r="T1058" s="163">
        <f>VLOOKUP(A1058,'Groupe de branches'!$Z$27:$AM$86,14,FALSE)</f>
        <v>0</v>
      </c>
      <c r="U1058" s="163">
        <f>VLOOKUP(D1058,'Groupe de branches'!$Z$27:$AM$86,14,FALSE)</f>
        <v>0</v>
      </c>
      <c r="V1058" s="163">
        <v>2018</v>
      </c>
      <c r="W1058" t="str">
        <f>VLOOKUP(D1058,'Table corresp.'!$M$4:$S$63,7,FALSE)</f>
        <v>Construction</v>
      </c>
      <c r="X1058" s="167">
        <f>IFERROR(G1058/SUMIFS('Comp2016-2017 (3)'!$I$5:$I$289,'Comp2016-2017 (3)'!$A$5:$A$289,A1058,'Comp2016-2017 (3)'!$R$5:$R$289,V1058),0)</f>
        <v>9.0876427482051102E-4</v>
      </c>
      <c r="Y1058" s="178">
        <f>IFERROR(IF(RIGHT(F1058,3)="Exp",VLOOKUP(F1058,#REF!,2,FALSE),VLOOKUP(F1058,#REF!,9,FALSE)),1)</f>
        <v>1</v>
      </c>
      <c r="Z1058" s="167">
        <f t="shared" si="131"/>
        <v>0.1111111111111111</v>
      </c>
      <c r="AA1058" s="189">
        <f t="shared" si="128"/>
        <v>1.0097380831339011E-4</v>
      </c>
      <c r="AB1058" s="2">
        <f>IFERROR(SUMIFS('Comp2016-2017 (3)'!$G$5:$G$289,'Comp2016-2017 (3)'!$A$5:$A$289,A1058,'Comp2016-2017 (3)'!$R$5:$R$289,V1058)*AA1058/SUMIFS($AA$4:$AA$1116,$A$4:$A$1116,A1058,$V$4:$V$1116,V1058),0)</f>
        <v>1825.5983762113747</v>
      </c>
      <c r="AC1058" s="2" t="str">
        <f>IF($W1058=AC$3,$AB1058,IF(NOT($W1058=0),"",SUMIFS('Val-Vol (2)'!AC$4:AC$1116,'Val-Vol (2)'!$A$4:$A$1116,$D1058,'Val-Vol (2)'!$V$4:$V$1116,$V1058)/SUMIFS('Comp2016-2017 (3)'!$G$5:$G$289,'Comp2016-2017 (3)'!$A$5:$A$289,$D1058,'Comp2016-2017 (3)'!$R$5:$R$289,$V1058)*$AB1058))</f>
        <v/>
      </c>
      <c r="AD1058" s="2">
        <f>IF($W1058=AD$3,$AB1058,IF(NOT($W1058=0),"",SUMIFS('Val-Vol (2)'!AD$4:AD$1116,'Val-Vol (2)'!$A$4:$A$1116,$D1058,'Val-Vol (2)'!$V$4:$V$1116,$V1058)/SUMIFS('Comp2016-2017 (3)'!$G$5:$G$289,'Comp2016-2017 (3)'!$A$5:$A$289,$D1058,'Comp2016-2017 (3)'!$R$5:$R$289,$V1058)*$AB1058))</f>
        <v>1825.5983762113747</v>
      </c>
      <c r="AE1058" s="2" t="str">
        <f>IF($W1058=AE$3,$AB1058,IF(NOT($W1058=0),"",SUMIFS('Val-Vol (2)'!AE$4:AE$1116,'Val-Vol (2)'!$A$4:$A$1116,$D1058,'Val-Vol (2)'!$V$4:$V$1116,$V1058)/SUMIFS('Comp2016-2017 (3)'!$G$5:$G$289,'Comp2016-2017 (3)'!$A$5:$A$289,$D1058,'Comp2016-2017 (3)'!$R$5:$R$289,$V1058)*$AB1058))</f>
        <v/>
      </c>
      <c r="AF1058" s="2" t="str">
        <f>IF($W1058=AF$3,$AB1058,IF(NOT($W1058=0),"",SUMIFS('Val-Vol (2)'!AF$4:AF$1116,'Val-Vol (2)'!$A$4:$A$1116,$D1058,'Val-Vol (2)'!$V$4:$V$1116,$V1058)/SUMIFS('Comp2016-2017 (3)'!$G$5:$G$289,'Comp2016-2017 (3)'!$A$5:$A$289,$D1058,'Comp2016-2017 (3)'!$R$5:$R$289,$V1058)*$AB1058))</f>
        <v/>
      </c>
      <c r="AG1058" s="2" t="str">
        <f>IF($W1058=AG$3,$AB1058,IF(NOT($W1058=0),"",SUMIFS('Val-Vol (2)'!AG$4:AG$1116,'Val-Vol (2)'!$A$4:$A$1116,$D1058,'Val-Vol (2)'!$V$4:$V$1116,$V1058)/SUMIFS('Comp2016-2017 (3)'!$G$5:$G$289,'Comp2016-2017 (3)'!$A$5:$A$289,$D1058,'Comp2016-2017 (3)'!$R$5:$R$289,$V1058)*$AB1058))</f>
        <v/>
      </c>
      <c r="AH1058" s="2" t="str">
        <f>IF($W1058=AH$3,$AB1058,IF(NOT($W1058=0),"",SUMIFS('Val-Vol (2)'!AH$4:AH$1116,'Val-Vol (2)'!$A$4:$A$1116,$D1058,'Val-Vol (2)'!$V$4:$V$1116,$V1058)/SUMIFS('Comp2016-2017 (3)'!$G$5:$G$289,'Comp2016-2017 (3)'!$A$5:$A$289,$D1058,'Comp2016-2017 (3)'!$R$5:$R$289,$V1058)*$AB1058))</f>
        <v/>
      </c>
      <c r="AI1058" s="2" t="str">
        <f>IF($W1058=AI$3,$AB1058,IF(NOT($W1058=0),"",SUMIFS('Val-Vol (2)'!AI$4:AI$1116,'Val-Vol (2)'!$A$4:$A$1116,$D1058,'Val-Vol (2)'!$V$4:$V$1116,$V1058)/SUMIFS('Comp2016-2017 (3)'!$G$5:$G$289,'Comp2016-2017 (3)'!$A$5:$A$289,$D1058,'Comp2016-2017 (3)'!$R$5:$R$289,$V1058)*$AB1058))</f>
        <v/>
      </c>
      <c r="AJ1058" s="2" t="str">
        <f>IF($W1058=AJ$3,$AB1058,IF(NOT($W1058=0),"",SUMIFS('Val-Vol (2)'!AJ$4:AJ$1116,'Val-Vol (2)'!$A$4:$A$1116,$D1058,'Val-Vol (2)'!$V$4:$V$1116,$V1058)/SUMIFS('Comp2016-2017 (3)'!$G$5:$G$289,'Comp2016-2017 (3)'!$A$5:$A$289,$D1058,'Comp2016-2017 (3)'!$R$5:$R$289,$V1058)*$AB1058))</f>
        <v/>
      </c>
      <c r="AK1058" s="2">
        <f t="shared" si="130"/>
        <v>0</v>
      </c>
      <c r="AL1058" t="str">
        <f t="shared" si="127"/>
        <v/>
      </c>
      <c r="AM1058" t="str">
        <f>VLOOKUP(A1058,'Table corresp.'!$M$4:$U$63,8,FALSE)</f>
        <v>Consommation finale française</v>
      </c>
      <c r="AN1058" t="str">
        <f>VLOOKUP(D1058,'Table corresp.'!$M$4:$U$63,9,FALSE)</f>
        <v xml:space="preserve">Mise en œuvre </v>
      </c>
    </row>
    <row r="1059" spans="1:40" x14ac:dyDescent="0.25">
      <c r="A1059" t="s">
        <v>105</v>
      </c>
      <c r="B1059" t="str">
        <f>VLOOKUP(LEFT(A1059,3),'Table corresp.'!$A$4:$D$63,3,FALSE)</f>
        <v>Transformation</v>
      </c>
      <c r="C1059" t="str">
        <f>VLOOKUP(A1059,'Table corresp.'!$M$4:$P$63,4,FALSE)</f>
        <v>Commerces et services</v>
      </c>
      <c r="D1059" t="s">
        <v>24</v>
      </c>
      <c r="E1059" t="str">
        <f>VLOOKUP(LEFT(D1059,3),'Table corresp.'!$A$4:$D$63,4,FALSE)</f>
        <v>Transformation</v>
      </c>
      <c r="F1059" t="str">
        <f t="shared" si="122"/>
        <v xml:space="preserve">62  - 57 </v>
      </c>
      <c r="G1059" s="164">
        <v>70812.514905268312</v>
      </c>
      <c r="H1059" s="164">
        <v>0</v>
      </c>
      <c r="I1059" s="164">
        <v>70812.514905268312</v>
      </c>
      <c r="J1059" s="164">
        <v>0</v>
      </c>
      <c r="K1059" s="164">
        <v>0</v>
      </c>
      <c r="L1059" s="164">
        <v>0</v>
      </c>
      <c r="M1059" s="164">
        <v>0</v>
      </c>
      <c r="N1059" s="164">
        <v>0</v>
      </c>
      <c r="O1059" s="164">
        <v>0</v>
      </c>
      <c r="P1059" s="164">
        <v>0</v>
      </c>
      <c r="Q1059" s="164">
        <v>0</v>
      </c>
      <c r="R1059" s="164">
        <v>0</v>
      </c>
      <c r="S1059" s="163" t="str">
        <f t="shared" si="123"/>
        <v/>
      </c>
      <c r="T1059" s="163">
        <f>VLOOKUP(A1059,'Groupe de branches'!$Z$27:$AM$86,14,FALSE)</f>
        <v>0</v>
      </c>
      <c r="U1059" s="163">
        <f>VLOOKUP(D1059,'Groupe de branches'!$Z$27:$AM$86,14,FALSE)</f>
        <v>0</v>
      </c>
      <c r="V1059" s="163">
        <v>2018</v>
      </c>
      <c r="W1059" t="str">
        <f>VLOOKUP(D1059,'Table corresp.'!$M$4:$S$63,7,FALSE)</f>
        <v>Construction</v>
      </c>
      <c r="X1059" s="167">
        <f>IFERROR(G1059/SUMIFS('Comp2016-2017 (3)'!$I$5:$I$289,'Comp2016-2017 (3)'!$A$5:$A$289,A1059,'Comp2016-2017 (3)'!$R$5:$R$289,V1059),0)</f>
        <v>3.5249748568987847E-2</v>
      </c>
      <c r="Y1059" s="178">
        <f>IFERROR(IF(RIGHT(F1059,3)="Exp",VLOOKUP(F1059,#REF!,2,FALSE),VLOOKUP(F1059,#REF!,9,FALSE)),1)</f>
        <v>1</v>
      </c>
      <c r="Z1059" s="167">
        <f t="shared" si="131"/>
        <v>0.1111111111111111</v>
      </c>
      <c r="AA1059" s="189">
        <f t="shared" si="128"/>
        <v>3.9166387298875385E-3</v>
      </c>
      <c r="AB1059" s="2">
        <f>IFERROR(SUMIFS('Comp2016-2017 (3)'!$G$5:$G$289,'Comp2016-2017 (3)'!$A$5:$A$289,A1059,'Comp2016-2017 (3)'!$R$5:$R$289,V1059)*AA1059/SUMIFS($AA$4:$AA$1116,$A$4:$A$1116,A1059,$V$4:$V$1116,V1059),0)</f>
        <v>70812.514897896384</v>
      </c>
      <c r="AC1059" s="2" t="str">
        <f>IF($W1059=AC$3,$AB1059,IF(NOT($W1059=0),"",SUMIFS('Val-Vol (2)'!AC$4:AC$1116,'Val-Vol (2)'!$A$4:$A$1116,$D1059,'Val-Vol (2)'!$V$4:$V$1116,$V1059)/SUMIFS('Comp2016-2017 (3)'!$G$5:$G$289,'Comp2016-2017 (3)'!$A$5:$A$289,$D1059,'Comp2016-2017 (3)'!$R$5:$R$289,$V1059)*$AB1059))</f>
        <v/>
      </c>
      <c r="AD1059" s="2">
        <f>IF($W1059=AD$3,$AB1059,IF(NOT($W1059=0),"",SUMIFS('Val-Vol (2)'!AD$4:AD$1116,'Val-Vol (2)'!$A$4:$A$1116,$D1059,'Val-Vol (2)'!$V$4:$V$1116,$V1059)/SUMIFS('Comp2016-2017 (3)'!$G$5:$G$289,'Comp2016-2017 (3)'!$A$5:$A$289,$D1059,'Comp2016-2017 (3)'!$R$5:$R$289,$V1059)*$AB1059))</f>
        <v>70812.514897896384</v>
      </c>
      <c r="AE1059" s="2" t="str">
        <f>IF($W1059=AE$3,$AB1059,IF(NOT($W1059=0),"",SUMIFS('Val-Vol (2)'!AE$4:AE$1116,'Val-Vol (2)'!$A$4:$A$1116,$D1059,'Val-Vol (2)'!$V$4:$V$1116,$V1059)/SUMIFS('Comp2016-2017 (3)'!$G$5:$G$289,'Comp2016-2017 (3)'!$A$5:$A$289,$D1059,'Comp2016-2017 (3)'!$R$5:$R$289,$V1059)*$AB1059))</f>
        <v/>
      </c>
      <c r="AF1059" s="2" t="str">
        <f>IF($W1059=AF$3,$AB1059,IF(NOT($W1059=0),"",SUMIFS('Val-Vol (2)'!AF$4:AF$1116,'Val-Vol (2)'!$A$4:$A$1116,$D1059,'Val-Vol (2)'!$V$4:$V$1116,$V1059)/SUMIFS('Comp2016-2017 (3)'!$G$5:$G$289,'Comp2016-2017 (3)'!$A$5:$A$289,$D1059,'Comp2016-2017 (3)'!$R$5:$R$289,$V1059)*$AB1059))</f>
        <v/>
      </c>
      <c r="AG1059" s="2" t="str">
        <f>IF($W1059=AG$3,$AB1059,IF(NOT($W1059=0),"",SUMIFS('Val-Vol (2)'!AG$4:AG$1116,'Val-Vol (2)'!$A$4:$A$1116,$D1059,'Val-Vol (2)'!$V$4:$V$1116,$V1059)/SUMIFS('Comp2016-2017 (3)'!$G$5:$G$289,'Comp2016-2017 (3)'!$A$5:$A$289,$D1059,'Comp2016-2017 (3)'!$R$5:$R$289,$V1059)*$AB1059))</f>
        <v/>
      </c>
      <c r="AH1059" s="2" t="str">
        <f>IF($W1059=AH$3,$AB1059,IF(NOT($W1059=0),"",SUMIFS('Val-Vol (2)'!AH$4:AH$1116,'Val-Vol (2)'!$A$4:$A$1116,$D1059,'Val-Vol (2)'!$V$4:$V$1116,$V1059)/SUMIFS('Comp2016-2017 (3)'!$G$5:$G$289,'Comp2016-2017 (3)'!$A$5:$A$289,$D1059,'Comp2016-2017 (3)'!$R$5:$R$289,$V1059)*$AB1059))</f>
        <v/>
      </c>
      <c r="AI1059" s="2" t="str">
        <f>IF($W1059=AI$3,$AB1059,IF(NOT($W1059=0),"",SUMIFS('Val-Vol (2)'!AI$4:AI$1116,'Val-Vol (2)'!$A$4:$A$1116,$D1059,'Val-Vol (2)'!$V$4:$V$1116,$V1059)/SUMIFS('Comp2016-2017 (3)'!$G$5:$G$289,'Comp2016-2017 (3)'!$A$5:$A$289,$D1059,'Comp2016-2017 (3)'!$R$5:$R$289,$V1059)*$AB1059))</f>
        <v/>
      </c>
      <c r="AJ1059" s="2" t="str">
        <f>IF($W1059=AJ$3,$AB1059,IF(NOT($W1059=0),"",SUMIFS('Val-Vol (2)'!AJ$4:AJ$1116,'Val-Vol (2)'!$A$4:$A$1116,$D1059,'Val-Vol (2)'!$V$4:$V$1116,$V1059)/SUMIFS('Comp2016-2017 (3)'!$G$5:$G$289,'Comp2016-2017 (3)'!$A$5:$A$289,$D1059,'Comp2016-2017 (3)'!$R$5:$R$289,$V1059)*$AB1059))</f>
        <v/>
      </c>
      <c r="AK1059" s="2">
        <f t="shared" si="130"/>
        <v>0</v>
      </c>
      <c r="AL1059" t="str">
        <f t="shared" si="127"/>
        <v/>
      </c>
      <c r="AM1059" t="str">
        <f>VLOOKUP(A1059,'Table corresp.'!$M$4:$U$63,8,FALSE)</f>
        <v>Consommation finale française</v>
      </c>
      <c r="AN1059" t="str">
        <f>VLOOKUP(D1059,'Table corresp.'!$M$4:$U$63,9,FALSE)</f>
        <v xml:space="preserve">Mise en œuvre </v>
      </c>
    </row>
    <row r="1060" spans="1:40" x14ac:dyDescent="0.25">
      <c r="A1060" t="s">
        <v>105</v>
      </c>
      <c r="B1060" t="str">
        <f>VLOOKUP(LEFT(A1060,3),'Table corresp.'!$A$4:$D$63,3,FALSE)</f>
        <v>Transformation</v>
      </c>
      <c r="C1060" t="str">
        <f>VLOOKUP(A1060,'Table corresp.'!$M$4:$P$63,4,FALSE)</f>
        <v>Commerces et services</v>
      </c>
      <c r="D1060" t="s">
        <v>25</v>
      </c>
      <c r="E1060" t="str">
        <f>VLOOKUP(LEFT(D1060,3),'Table corresp.'!$A$4:$D$63,4,FALSE)</f>
        <v>Transformation</v>
      </c>
      <c r="F1060" t="str">
        <f t="shared" si="122"/>
        <v xml:space="preserve">62  - 58 </v>
      </c>
      <c r="G1060" s="164">
        <v>6636.2856120331653</v>
      </c>
      <c r="H1060" s="164">
        <v>0</v>
      </c>
      <c r="I1060" s="164">
        <v>6636.2856120331653</v>
      </c>
      <c r="J1060" s="164">
        <v>0</v>
      </c>
      <c r="K1060" s="164">
        <v>0</v>
      </c>
      <c r="L1060" s="164">
        <v>0</v>
      </c>
      <c r="M1060" s="164">
        <v>0</v>
      </c>
      <c r="N1060" s="164">
        <v>0</v>
      </c>
      <c r="O1060" s="164">
        <v>0</v>
      </c>
      <c r="P1060" s="164">
        <v>0</v>
      </c>
      <c r="Q1060" s="164">
        <v>0</v>
      </c>
      <c r="R1060" s="164">
        <v>0</v>
      </c>
      <c r="S1060" s="163" t="str">
        <f t="shared" si="123"/>
        <v/>
      </c>
      <c r="T1060" s="163">
        <f>VLOOKUP(A1060,'Groupe de branches'!$Z$27:$AM$86,14,FALSE)</f>
        <v>0</v>
      </c>
      <c r="U1060" s="163">
        <f>VLOOKUP(D1060,'Groupe de branches'!$Z$27:$AM$86,14,FALSE)</f>
        <v>0</v>
      </c>
      <c r="V1060" s="163">
        <v>2018</v>
      </c>
      <c r="W1060" t="str">
        <f>VLOOKUP(D1060,'Table corresp.'!$M$4:$S$63,7,FALSE)</f>
        <v>Construction</v>
      </c>
      <c r="X1060" s="167">
        <f>IFERROR(G1060/SUMIFS('Comp2016-2017 (3)'!$I$5:$I$289,'Comp2016-2017 (3)'!$A$5:$A$289,A1060,'Comp2016-2017 (3)'!$R$5:$R$289,V1060),0)</f>
        <v>3.3034753753500286E-3</v>
      </c>
      <c r="Y1060" s="178">
        <f>IFERROR(IF(RIGHT(F1060,3)="Exp",VLOOKUP(F1060,#REF!,2,FALSE),VLOOKUP(F1060,#REF!,9,FALSE)),1)</f>
        <v>1</v>
      </c>
      <c r="Z1060" s="167">
        <f t="shared" si="131"/>
        <v>0.1111111111111111</v>
      </c>
      <c r="AA1060" s="189">
        <f t="shared" si="128"/>
        <v>3.6705281948333648E-4</v>
      </c>
      <c r="AB1060" s="2">
        <f>IFERROR(SUMIFS('Comp2016-2017 (3)'!$G$5:$G$289,'Comp2016-2017 (3)'!$A$5:$A$289,A1060,'Comp2016-2017 (3)'!$R$5:$R$289,V1060)*AA1060/SUMIFS($AA$4:$AA$1116,$A$4:$A$1116,A1060,$V$4:$V$1116,V1060),0)</f>
        <v>6636.2856113422959</v>
      </c>
      <c r="AC1060" s="2" t="str">
        <f>IF($W1060=AC$3,$AB1060,IF(NOT($W1060=0),"",SUMIFS('Val-Vol (2)'!AC$4:AC$1116,'Val-Vol (2)'!$A$4:$A$1116,$D1060,'Val-Vol (2)'!$V$4:$V$1116,$V1060)/SUMIFS('Comp2016-2017 (3)'!$G$5:$G$289,'Comp2016-2017 (3)'!$A$5:$A$289,$D1060,'Comp2016-2017 (3)'!$R$5:$R$289,$V1060)*$AB1060))</f>
        <v/>
      </c>
      <c r="AD1060" s="2">
        <f>IF($W1060=AD$3,$AB1060,IF(NOT($W1060=0),"",SUMIFS('Val-Vol (2)'!AD$4:AD$1116,'Val-Vol (2)'!$A$4:$A$1116,$D1060,'Val-Vol (2)'!$V$4:$V$1116,$V1060)/SUMIFS('Comp2016-2017 (3)'!$G$5:$G$289,'Comp2016-2017 (3)'!$A$5:$A$289,$D1060,'Comp2016-2017 (3)'!$R$5:$R$289,$V1060)*$AB1060))</f>
        <v>6636.2856113422959</v>
      </c>
      <c r="AE1060" s="2" t="str">
        <f>IF($W1060=AE$3,$AB1060,IF(NOT($W1060=0),"",SUMIFS('Val-Vol (2)'!AE$4:AE$1116,'Val-Vol (2)'!$A$4:$A$1116,$D1060,'Val-Vol (2)'!$V$4:$V$1116,$V1060)/SUMIFS('Comp2016-2017 (3)'!$G$5:$G$289,'Comp2016-2017 (3)'!$A$5:$A$289,$D1060,'Comp2016-2017 (3)'!$R$5:$R$289,$V1060)*$AB1060))</f>
        <v/>
      </c>
      <c r="AF1060" s="2" t="str">
        <f>IF($W1060=AF$3,$AB1060,IF(NOT($W1060=0),"",SUMIFS('Val-Vol (2)'!AF$4:AF$1116,'Val-Vol (2)'!$A$4:$A$1116,$D1060,'Val-Vol (2)'!$V$4:$V$1116,$V1060)/SUMIFS('Comp2016-2017 (3)'!$G$5:$G$289,'Comp2016-2017 (3)'!$A$5:$A$289,$D1060,'Comp2016-2017 (3)'!$R$5:$R$289,$V1060)*$AB1060))</f>
        <v/>
      </c>
      <c r="AG1060" s="2" t="str">
        <f>IF($W1060=AG$3,$AB1060,IF(NOT($W1060=0),"",SUMIFS('Val-Vol (2)'!AG$4:AG$1116,'Val-Vol (2)'!$A$4:$A$1116,$D1060,'Val-Vol (2)'!$V$4:$V$1116,$V1060)/SUMIFS('Comp2016-2017 (3)'!$G$5:$G$289,'Comp2016-2017 (3)'!$A$5:$A$289,$D1060,'Comp2016-2017 (3)'!$R$5:$R$289,$V1060)*$AB1060))</f>
        <v/>
      </c>
      <c r="AH1060" s="2" t="str">
        <f>IF($W1060=AH$3,$AB1060,IF(NOT($W1060=0),"",SUMIFS('Val-Vol (2)'!AH$4:AH$1116,'Val-Vol (2)'!$A$4:$A$1116,$D1060,'Val-Vol (2)'!$V$4:$V$1116,$V1060)/SUMIFS('Comp2016-2017 (3)'!$G$5:$G$289,'Comp2016-2017 (3)'!$A$5:$A$289,$D1060,'Comp2016-2017 (3)'!$R$5:$R$289,$V1060)*$AB1060))</f>
        <v/>
      </c>
      <c r="AI1060" s="2" t="str">
        <f>IF($W1060=AI$3,$AB1060,IF(NOT($W1060=0),"",SUMIFS('Val-Vol (2)'!AI$4:AI$1116,'Val-Vol (2)'!$A$4:$A$1116,$D1060,'Val-Vol (2)'!$V$4:$V$1116,$V1060)/SUMIFS('Comp2016-2017 (3)'!$G$5:$G$289,'Comp2016-2017 (3)'!$A$5:$A$289,$D1060,'Comp2016-2017 (3)'!$R$5:$R$289,$V1060)*$AB1060))</f>
        <v/>
      </c>
      <c r="AJ1060" s="2" t="str">
        <f>IF($W1060=AJ$3,$AB1060,IF(NOT($W1060=0),"",SUMIFS('Val-Vol (2)'!AJ$4:AJ$1116,'Val-Vol (2)'!$A$4:$A$1116,$D1060,'Val-Vol (2)'!$V$4:$V$1116,$V1060)/SUMIFS('Comp2016-2017 (3)'!$G$5:$G$289,'Comp2016-2017 (3)'!$A$5:$A$289,$D1060,'Comp2016-2017 (3)'!$R$5:$R$289,$V1060)*$AB1060))</f>
        <v/>
      </c>
      <c r="AK1060" s="2">
        <f t="shared" si="130"/>
        <v>0</v>
      </c>
      <c r="AL1060" t="str">
        <f t="shared" si="127"/>
        <v/>
      </c>
      <c r="AM1060" t="str">
        <f>VLOOKUP(A1060,'Table corresp.'!$M$4:$U$63,8,FALSE)</f>
        <v>Consommation finale française</v>
      </c>
      <c r="AN1060" t="str">
        <f>VLOOKUP(D1060,'Table corresp.'!$M$4:$U$63,9,FALSE)</f>
        <v xml:space="preserve">Mise en œuvre </v>
      </c>
    </row>
    <row r="1061" spans="1:40" x14ac:dyDescent="0.25">
      <c r="A1061" t="s">
        <v>105</v>
      </c>
      <c r="B1061" t="str">
        <f>VLOOKUP(LEFT(A1061,3),'Table corresp.'!$A$4:$D$63,3,FALSE)</f>
        <v>Transformation</v>
      </c>
      <c r="C1061" t="str">
        <f>VLOOKUP(A1061,'Table corresp.'!$M$4:$P$63,4,FALSE)</f>
        <v>Commerces et services</v>
      </c>
      <c r="D1061" t="s">
        <v>26</v>
      </c>
      <c r="E1061" t="str">
        <f>VLOOKUP(LEFT(D1061,3),'Table corresp.'!$A$4:$D$63,4,FALSE)</f>
        <v>Transformation</v>
      </c>
      <c r="F1061" t="str">
        <f t="shared" si="122"/>
        <v xml:space="preserve">62  - 59 </v>
      </c>
      <c r="G1061" s="164">
        <v>1456.0301538085125</v>
      </c>
      <c r="H1061" s="164">
        <v>0</v>
      </c>
      <c r="I1061" s="164">
        <v>1456.0301538085128</v>
      </c>
      <c r="J1061" s="164">
        <v>0</v>
      </c>
      <c r="K1061" s="164">
        <v>0</v>
      </c>
      <c r="L1061" s="164">
        <v>0</v>
      </c>
      <c r="M1061" s="164">
        <v>0</v>
      </c>
      <c r="N1061" s="164">
        <v>0</v>
      </c>
      <c r="O1061" s="164">
        <v>0</v>
      </c>
      <c r="P1061" s="164">
        <v>0</v>
      </c>
      <c r="Q1061" s="164">
        <v>0</v>
      </c>
      <c r="R1061" s="164">
        <v>0</v>
      </c>
      <c r="S1061" s="163" t="str">
        <f t="shared" si="123"/>
        <v/>
      </c>
      <c r="T1061" s="163">
        <f>VLOOKUP(A1061,'Groupe de branches'!$Z$27:$AM$86,14,FALSE)</f>
        <v>0</v>
      </c>
      <c r="U1061" s="163">
        <f>VLOOKUP(D1061,'Groupe de branches'!$Z$27:$AM$86,14,FALSE)</f>
        <v>0</v>
      </c>
      <c r="V1061" s="163">
        <v>2018</v>
      </c>
      <c r="W1061" t="str">
        <f>VLOOKUP(D1061,'Table corresp.'!$M$4:$S$63,7,FALSE)</f>
        <v>Construction</v>
      </c>
      <c r="X1061" s="167">
        <f>IFERROR(G1061/SUMIFS('Comp2016-2017 (3)'!$I$5:$I$289,'Comp2016-2017 (3)'!$A$5:$A$289,A1061,'Comp2016-2017 (3)'!$R$5:$R$289,V1061),0)</f>
        <v>7.2479697832051313E-4</v>
      </c>
      <c r="Y1061" s="178">
        <f>IFERROR(IF(RIGHT(F1061,3)="Exp",VLOOKUP(F1061,#REF!,2,FALSE),VLOOKUP(F1061,#REF!,9,FALSE)),1)</f>
        <v>1</v>
      </c>
      <c r="Z1061" s="167">
        <f t="shared" si="131"/>
        <v>0.1111111111111111</v>
      </c>
      <c r="AA1061" s="189">
        <f t="shared" si="128"/>
        <v>8.0532997591168127E-5</v>
      </c>
      <c r="AB1061" s="2">
        <f>IFERROR(SUMIFS('Comp2016-2017 (3)'!$G$5:$G$289,'Comp2016-2017 (3)'!$A$5:$A$289,A1061,'Comp2016-2017 (3)'!$R$5:$R$289,V1061)*AA1061/SUMIFS($AA$4:$AA$1116,$A$4:$A$1116,A1061,$V$4:$V$1116,V1061),0)</f>
        <v>1456.0301536569327</v>
      </c>
      <c r="AC1061" s="2" t="str">
        <f>IF($W1061=AC$3,$AB1061,IF(NOT($W1061=0),"",SUMIFS('Val-Vol (2)'!AC$4:AC$1116,'Val-Vol (2)'!$A$4:$A$1116,$D1061,'Val-Vol (2)'!$V$4:$V$1116,$V1061)/SUMIFS('Comp2016-2017 (3)'!$G$5:$G$289,'Comp2016-2017 (3)'!$A$5:$A$289,$D1061,'Comp2016-2017 (3)'!$R$5:$R$289,$V1061)*$AB1061))</f>
        <v/>
      </c>
      <c r="AD1061" s="2">
        <f>IF($W1061=AD$3,$AB1061,IF(NOT($W1061=0),"",SUMIFS('Val-Vol (2)'!AD$4:AD$1116,'Val-Vol (2)'!$A$4:$A$1116,$D1061,'Val-Vol (2)'!$V$4:$V$1116,$V1061)/SUMIFS('Comp2016-2017 (3)'!$G$5:$G$289,'Comp2016-2017 (3)'!$A$5:$A$289,$D1061,'Comp2016-2017 (3)'!$R$5:$R$289,$V1061)*$AB1061))</f>
        <v>1456.0301536569327</v>
      </c>
      <c r="AE1061" s="2" t="str">
        <f>IF($W1061=AE$3,$AB1061,IF(NOT($W1061=0),"",SUMIFS('Val-Vol (2)'!AE$4:AE$1116,'Val-Vol (2)'!$A$4:$A$1116,$D1061,'Val-Vol (2)'!$V$4:$V$1116,$V1061)/SUMIFS('Comp2016-2017 (3)'!$G$5:$G$289,'Comp2016-2017 (3)'!$A$5:$A$289,$D1061,'Comp2016-2017 (3)'!$R$5:$R$289,$V1061)*$AB1061))</f>
        <v/>
      </c>
      <c r="AF1061" s="2" t="str">
        <f>IF($W1061=AF$3,$AB1061,IF(NOT($W1061=0),"",SUMIFS('Val-Vol (2)'!AF$4:AF$1116,'Val-Vol (2)'!$A$4:$A$1116,$D1061,'Val-Vol (2)'!$V$4:$V$1116,$V1061)/SUMIFS('Comp2016-2017 (3)'!$G$5:$G$289,'Comp2016-2017 (3)'!$A$5:$A$289,$D1061,'Comp2016-2017 (3)'!$R$5:$R$289,$V1061)*$AB1061))</f>
        <v/>
      </c>
      <c r="AG1061" s="2" t="str">
        <f>IF($W1061=AG$3,$AB1061,IF(NOT($W1061=0),"",SUMIFS('Val-Vol (2)'!AG$4:AG$1116,'Val-Vol (2)'!$A$4:$A$1116,$D1061,'Val-Vol (2)'!$V$4:$V$1116,$V1061)/SUMIFS('Comp2016-2017 (3)'!$G$5:$G$289,'Comp2016-2017 (3)'!$A$5:$A$289,$D1061,'Comp2016-2017 (3)'!$R$5:$R$289,$V1061)*$AB1061))</f>
        <v/>
      </c>
      <c r="AH1061" s="2" t="str">
        <f>IF($W1061=AH$3,$AB1061,IF(NOT($W1061=0),"",SUMIFS('Val-Vol (2)'!AH$4:AH$1116,'Val-Vol (2)'!$A$4:$A$1116,$D1061,'Val-Vol (2)'!$V$4:$V$1116,$V1061)/SUMIFS('Comp2016-2017 (3)'!$G$5:$G$289,'Comp2016-2017 (3)'!$A$5:$A$289,$D1061,'Comp2016-2017 (3)'!$R$5:$R$289,$V1061)*$AB1061))</f>
        <v/>
      </c>
      <c r="AI1061" s="2" t="str">
        <f>IF($W1061=AI$3,$AB1061,IF(NOT($W1061=0),"",SUMIFS('Val-Vol (2)'!AI$4:AI$1116,'Val-Vol (2)'!$A$4:$A$1116,$D1061,'Val-Vol (2)'!$V$4:$V$1116,$V1061)/SUMIFS('Comp2016-2017 (3)'!$G$5:$G$289,'Comp2016-2017 (3)'!$A$5:$A$289,$D1061,'Comp2016-2017 (3)'!$R$5:$R$289,$V1061)*$AB1061))</f>
        <v/>
      </c>
      <c r="AJ1061" s="2" t="str">
        <f>IF($W1061=AJ$3,$AB1061,IF(NOT($W1061=0),"",SUMIFS('Val-Vol (2)'!AJ$4:AJ$1116,'Val-Vol (2)'!$A$4:$A$1116,$D1061,'Val-Vol (2)'!$V$4:$V$1116,$V1061)/SUMIFS('Comp2016-2017 (3)'!$G$5:$G$289,'Comp2016-2017 (3)'!$A$5:$A$289,$D1061,'Comp2016-2017 (3)'!$R$5:$R$289,$V1061)*$AB1061))</f>
        <v/>
      </c>
      <c r="AK1061" s="2">
        <f t="shared" si="130"/>
        <v>0</v>
      </c>
      <c r="AL1061" t="str">
        <f t="shared" si="127"/>
        <v/>
      </c>
      <c r="AM1061" t="str">
        <f>VLOOKUP(A1061,'Table corresp.'!$M$4:$U$63,8,FALSE)</f>
        <v>Consommation finale française</v>
      </c>
      <c r="AN1061" t="str">
        <f>VLOOKUP(D1061,'Table corresp.'!$M$4:$U$63,9,FALSE)</f>
        <v xml:space="preserve">Mise en œuvre </v>
      </c>
    </row>
    <row r="1062" spans="1:40" x14ac:dyDescent="0.25">
      <c r="A1062" t="s">
        <v>105</v>
      </c>
      <c r="B1062" t="str">
        <f>VLOOKUP(LEFT(A1062,3),'Table corresp.'!$A$4:$D$63,3,FALSE)</f>
        <v>Transformation</v>
      </c>
      <c r="C1062" t="str">
        <f>VLOOKUP(A1062,'Table corresp.'!$M$4:$P$63,4,FALSE)</f>
        <v>Commerces et services</v>
      </c>
      <c r="D1062" t="s">
        <v>54</v>
      </c>
      <c r="E1062" t="str">
        <f>VLOOKUP(LEFT(D1062,3),'Table corresp.'!$A$4:$D$63,4,FALSE)</f>
        <v>Consommation finale</v>
      </c>
      <c r="F1062" t="str">
        <f t="shared" si="122"/>
        <v>62  - Con</v>
      </c>
      <c r="G1062" s="164">
        <v>1800824.3084856353</v>
      </c>
      <c r="H1062" s="164">
        <v>0</v>
      </c>
      <c r="I1062" s="164">
        <v>1800824.3084856353</v>
      </c>
      <c r="J1062" s="164">
        <v>0</v>
      </c>
      <c r="K1062" s="164">
        <v>0</v>
      </c>
      <c r="L1062" s="164">
        <v>0</v>
      </c>
      <c r="M1062" s="164">
        <v>0</v>
      </c>
      <c r="N1062" s="164">
        <v>0</v>
      </c>
      <c r="O1062" s="164">
        <v>0</v>
      </c>
      <c r="P1062" s="164">
        <v>0</v>
      </c>
      <c r="Q1062" s="164">
        <v>0</v>
      </c>
      <c r="R1062" s="164">
        <v>0</v>
      </c>
      <c r="S1062" s="163" t="str">
        <f t="shared" si="123"/>
        <v/>
      </c>
      <c r="T1062" s="163">
        <f>VLOOKUP(A1062,'Groupe de branches'!$Z$27:$AM$86,14,FALSE)</f>
        <v>0</v>
      </c>
      <c r="U1062" s="163">
        <f>VLOOKUP(D1062,'Groupe de branches'!$Z$27:$AM$86,14,FALSE)</f>
        <v>0</v>
      </c>
      <c r="V1062" s="163">
        <v>2018</v>
      </c>
      <c r="W1062" t="str">
        <f>VLOOKUP(D1062,'Table corresp.'!$M$4:$S$63,7,FALSE)</f>
        <v>Consommation finale</v>
      </c>
      <c r="X1062" s="167">
        <f>IFERROR(G1062/SUMIFS('Comp2016-2017 (3)'!$I$5:$I$289,'Comp2016-2017 (3)'!$A$5:$A$289,A1062,'Comp2016-2017 (3)'!$R$5:$R$289,V1062),0)</f>
        <v>0.89643199617977942</v>
      </c>
      <c r="Y1062" s="178">
        <f>IFERROR(IF(RIGHT(F1062,3)="Exp",VLOOKUP(F1062,#REF!,2,FALSE),VLOOKUP(F1062,#REF!,9,FALSE)),1)</f>
        <v>1</v>
      </c>
      <c r="Z1062" s="167">
        <f t="shared" si="131"/>
        <v>0.1111111111111111</v>
      </c>
      <c r="AA1062" s="189">
        <f t="shared" si="128"/>
        <v>9.9603555131086596E-2</v>
      </c>
      <c r="AB1062" s="2">
        <f>IFERROR(SUMIFS('Comp2016-2017 (3)'!$G$5:$G$289,'Comp2016-2017 (3)'!$A$5:$A$289,A1062,'Comp2016-2017 (3)'!$R$5:$R$289,V1062)*AA1062/SUMIFS($AA$4:$AA$1116,$A$4:$A$1116,A1062,$V$4:$V$1116,V1062),0)</f>
        <v>1800824.3082981608</v>
      </c>
      <c r="AC1062" s="2" t="str">
        <f>IF($W1062=AC$3,$AB1062,IF(NOT($W1062=0),"",SUMIFS('Val-Vol (2)'!AC$4:AC$1116,'Val-Vol (2)'!$A$4:$A$1116,$D1062,'Val-Vol (2)'!$V$4:$V$1116,$V1062)/SUMIFS('Comp2016-2017 (3)'!$G$5:$G$289,'Comp2016-2017 (3)'!$A$5:$A$289,$D1062,'Comp2016-2017 (3)'!$R$5:$R$289,$V1062)*$AB1062))</f>
        <v/>
      </c>
      <c r="AD1062" s="2" t="str">
        <f>IF($W1062=AD$3,$AB1062,IF(NOT($W1062=0),"",SUMIFS('Val-Vol (2)'!AD$4:AD$1116,'Val-Vol (2)'!$A$4:$A$1116,$D1062,'Val-Vol (2)'!$V$4:$V$1116,$V1062)/SUMIFS('Comp2016-2017 (3)'!$G$5:$G$289,'Comp2016-2017 (3)'!$A$5:$A$289,$D1062,'Comp2016-2017 (3)'!$R$5:$R$289,$V1062)*$AB1062))</f>
        <v/>
      </c>
      <c r="AE1062" s="2" t="str">
        <f>IF($W1062=AE$3,$AB1062,IF(NOT($W1062=0),"",SUMIFS('Val-Vol (2)'!AE$4:AE$1116,'Val-Vol (2)'!$A$4:$A$1116,$D1062,'Val-Vol (2)'!$V$4:$V$1116,$V1062)/SUMIFS('Comp2016-2017 (3)'!$G$5:$G$289,'Comp2016-2017 (3)'!$A$5:$A$289,$D1062,'Comp2016-2017 (3)'!$R$5:$R$289,$V1062)*$AB1062))</f>
        <v/>
      </c>
      <c r="AF1062" s="2" t="str">
        <f>IF($W1062=AF$3,$AB1062,IF(NOT($W1062=0),"",SUMIFS('Val-Vol (2)'!AF$4:AF$1116,'Val-Vol (2)'!$A$4:$A$1116,$D1062,'Val-Vol (2)'!$V$4:$V$1116,$V1062)/SUMIFS('Comp2016-2017 (3)'!$G$5:$G$289,'Comp2016-2017 (3)'!$A$5:$A$289,$D1062,'Comp2016-2017 (3)'!$R$5:$R$289,$V1062)*$AB1062))</f>
        <v/>
      </c>
      <c r="AG1062" s="2" t="str">
        <f>IF($W1062=AG$3,$AB1062,IF(NOT($W1062=0),"",SUMIFS('Val-Vol (2)'!AG$4:AG$1116,'Val-Vol (2)'!$A$4:$A$1116,$D1062,'Val-Vol (2)'!$V$4:$V$1116,$V1062)/SUMIFS('Comp2016-2017 (3)'!$G$5:$G$289,'Comp2016-2017 (3)'!$A$5:$A$289,$D1062,'Comp2016-2017 (3)'!$R$5:$R$289,$V1062)*$AB1062))</f>
        <v/>
      </c>
      <c r="AH1062" s="2" t="str">
        <f>IF($W1062=AH$3,$AB1062,IF(NOT($W1062=0),"",SUMIFS('Val-Vol (2)'!AH$4:AH$1116,'Val-Vol (2)'!$A$4:$A$1116,$D1062,'Val-Vol (2)'!$V$4:$V$1116,$V1062)/SUMIFS('Comp2016-2017 (3)'!$G$5:$G$289,'Comp2016-2017 (3)'!$A$5:$A$289,$D1062,'Comp2016-2017 (3)'!$R$5:$R$289,$V1062)*$AB1062))</f>
        <v/>
      </c>
      <c r="AI1062" s="2" t="str">
        <f>IF($W1062=AI$3,$AB1062,IF(NOT($W1062=0),"",SUMIFS('Val-Vol (2)'!AI$4:AI$1116,'Val-Vol (2)'!$A$4:$A$1116,$D1062,'Val-Vol (2)'!$V$4:$V$1116,$V1062)/SUMIFS('Comp2016-2017 (3)'!$G$5:$G$289,'Comp2016-2017 (3)'!$A$5:$A$289,$D1062,'Comp2016-2017 (3)'!$R$5:$R$289,$V1062)*$AB1062))</f>
        <v/>
      </c>
      <c r="AJ1062" s="2">
        <f>IF($W1062=AJ$3,$AB1062,IF(NOT($W1062=0),"",SUMIFS('Val-Vol (2)'!AJ$4:AJ$1116,'Val-Vol (2)'!$A$4:$A$1116,$D1062,'Val-Vol (2)'!$V$4:$V$1116,$V1062)/SUMIFS('Comp2016-2017 (3)'!$G$5:$G$289,'Comp2016-2017 (3)'!$A$5:$A$289,$D1062,'Comp2016-2017 (3)'!$R$5:$R$289,$V1062)*$AB1062))</f>
        <v>1800824.3082981608</v>
      </c>
      <c r="AK1062" s="2">
        <f t="shared" si="130"/>
        <v>0</v>
      </c>
      <c r="AL1062" t="str">
        <f t="shared" si="127"/>
        <v/>
      </c>
      <c r="AM1062" t="str">
        <f>VLOOKUP(A1062,'Table corresp.'!$M$4:$U$63,8,FALSE)</f>
        <v>Consommation finale française</v>
      </c>
      <c r="AN1062" t="str">
        <f>VLOOKUP(D1062,'Table corresp.'!$M$4:$U$63,9,FALSE)</f>
        <v>Consommation finale française</v>
      </c>
    </row>
    <row r="1063" spans="1:40" x14ac:dyDescent="0.25">
      <c r="A1063" t="s">
        <v>106</v>
      </c>
      <c r="B1063" t="str">
        <f>VLOOKUP(LEFT(A1063,3),'Table corresp.'!$A$4:$D$63,3,FALSE)</f>
        <v>Transformation</v>
      </c>
      <c r="C1063" t="str">
        <f>VLOOKUP(A1063,'Table corresp.'!$M$4:$P$63,4,FALSE)</f>
        <v>Production et transformation de produits bois</v>
      </c>
      <c r="D1063" t="s">
        <v>2</v>
      </c>
      <c r="E1063" t="str">
        <f>VLOOKUP(LEFT(D1063,3),'Table corresp.'!$A$4:$D$63,4,FALSE)</f>
        <v>Transformation</v>
      </c>
      <c r="F1063" t="str">
        <f t="shared" si="122"/>
        <v xml:space="preserve">63  - 04 </v>
      </c>
      <c r="G1063" s="164">
        <v>42818.348164884919</v>
      </c>
      <c r="H1063" s="164">
        <v>0</v>
      </c>
      <c r="I1063" s="164">
        <v>42818.348164884919</v>
      </c>
      <c r="J1063" s="164">
        <v>0</v>
      </c>
      <c r="K1063" s="164">
        <v>0</v>
      </c>
      <c r="L1063" s="164">
        <v>0</v>
      </c>
      <c r="M1063" s="164">
        <v>0</v>
      </c>
      <c r="N1063" s="164">
        <v>0</v>
      </c>
      <c r="O1063" s="164">
        <v>0</v>
      </c>
      <c r="P1063" s="164">
        <v>0</v>
      </c>
      <c r="Q1063" s="164">
        <v>0</v>
      </c>
      <c r="R1063" s="164">
        <v>0</v>
      </c>
      <c r="S1063" s="163" t="str">
        <f t="shared" si="123"/>
        <v/>
      </c>
      <c r="T1063" s="163">
        <f>VLOOKUP(A1063,'Groupe de branches'!$Z$27:$AM$86,14,FALSE)</f>
        <v>0</v>
      </c>
      <c r="U1063" s="163">
        <f>VLOOKUP(D1063,'Groupe de branches'!$Z$27:$AM$86,14,FALSE)</f>
        <v>0</v>
      </c>
      <c r="V1063" s="163">
        <v>2018</v>
      </c>
      <c r="W1063" t="str">
        <f>VLOOKUP(D1063,'Table corresp.'!$M$4:$S$63,7,FALSE)</f>
        <v>Energie</v>
      </c>
      <c r="X1063" s="167">
        <f>IFERROR(G1063/SUMIFS('Comp2016-2017 (3)'!$I$5:$I$289,'Comp2016-2017 (3)'!$A$5:$A$289,A1063,'Comp2016-2017 (3)'!$R$5:$R$289,V1063),0)</f>
        <v>9.0993400848833797E-2</v>
      </c>
      <c r="Y1063" s="178">
        <f>IFERROR(IF(RIGHT(F1063,3)="Exp",VLOOKUP(F1063,#REF!,2,FALSE),VLOOKUP(F1063,#REF!,9,FALSE)),1)</f>
        <v>1</v>
      </c>
      <c r="Z1063" s="167">
        <f t="shared" si="131"/>
        <v>5.8823529411764705E-2</v>
      </c>
      <c r="AA1063" s="189">
        <f t="shared" si="128"/>
        <v>5.3525529911078703E-3</v>
      </c>
      <c r="AB1063" s="2">
        <f>IFERROR(SUMIFS('Comp2016-2017 (3)'!$G$5:$G$289,'Comp2016-2017 (3)'!$A$5:$A$289,A1063,'Comp2016-2017 (3)'!$R$5:$R$289,V1063)*AA1063/SUMIFS($AA$4:$AA$1116,$A$4:$A$1116,A1063,$V$4:$V$1116,V1063),0)</f>
        <v>21880.176066912616</v>
      </c>
      <c r="AC1063" s="2" t="str">
        <f>IF($W1063=AC$3,$AB1063,IF(NOT($W1063=0),"",SUMIFS('Val-Vol (2)'!AC$4:AC$1116,'Val-Vol (2)'!$A$4:$A$1116,$D1063,'Val-Vol (2)'!$V$4:$V$1116,$V1063)/SUMIFS('Comp2016-2017 (3)'!$G$5:$G$289,'Comp2016-2017 (3)'!$A$5:$A$289,$D1063,'Comp2016-2017 (3)'!$R$5:$R$289,$V1063)*$AB1063))</f>
        <v/>
      </c>
      <c r="AD1063" s="2" t="str">
        <f>IF($W1063=AD$3,$AB1063,IF(NOT($W1063=0),"",SUMIFS('Val-Vol (2)'!AD$4:AD$1116,'Val-Vol (2)'!$A$4:$A$1116,$D1063,'Val-Vol (2)'!$V$4:$V$1116,$V1063)/SUMIFS('Comp2016-2017 (3)'!$G$5:$G$289,'Comp2016-2017 (3)'!$A$5:$A$289,$D1063,'Comp2016-2017 (3)'!$R$5:$R$289,$V1063)*$AB1063))</f>
        <v/>
      </c>
      <c r="AE1063" s="2" t="str">
        <f>IF($W1063=AE$3,$AB1063,IF(NOT($W1063=0),"",SUMIFS('Val-Vol (2)'!AE$4:AE$1116,'Val-Vol (2)'!$A$4:$A$1116,$D1063,'Val-Vol (2)'!$V$4:$V$1116,$V1063)/SUMIFS('Comp2016-2017 (3)'!$G$5:$G$289,'Comp2016-2017 (3)'!$A$5:$A$289,$D1063,'Comp2016-2017 (3)'!$R$5:$R$289,$V1063)*$AB1063))</f>
        <v/>
      </c>
      <c r="AF1063" s="2" t="str">
        <f>IF($W1063=AF$3,$AB1063,IF(NOT($W1063=0),"",SUMIFS('Val-Vol (2)'!AF$4:AF$1116,'Val-Vol (2)'!$A$4:$A$1116,$D1063,'Val-Vol (2)'!$V$4:$V$1116,$V1063)/SUMIFS('Comp2016-2017 (3)'!$G$5:$G$289,'Comp2016-2017 (3)'!$A$5:$A$289,$D1063,'Comp2016-2017 (3)'!$R$5:$R$289,$V1063)*$AB1063))</f>
        <v/>
      </c>
      <c r="AG1063" s="2" t="str">
        <f>IF($W1063=AG$3,$AB1063,IF(NOT($W1063=0),"",SUMIFS('Val-Vol (2)'!AG$4:AG$1116,'Val-Vol (2)'!$A$4:$A$1116,$D1063,'Val-Vol (2)'!$V$4:$V$1116,$V1063)/SUMIFS('Comp2016-2017 (3)'!$G$5:$G$289,'Comp2016-2017 (3)'!$A$5:$A$289,$D1063,'Comp2016-2017 (3)'!$R$5:$R$289,$V1063)*$AB1063))</f>
        <v/>
      </c>
      <c r="AH1063" s="2">
        <f>IF($W1063=AH$3,$AB1063,IF(NOT($W1063=0),"",SUMIFS('Val-Vol (2)'!AH$4:AH$1116,'Val-Vol (2)'!$A$4:$A$1116,$D1063,'Val-Vol (2)'!$V$4:$V$1116,$V1063)/SUMIFS('Comp2016-2017 (3)'!$G$5:$G$289,'Comp2016-2017 (3)'!$A$5:$A$289,$D1063,'Comp2016-2017 (3)'!$R$5:$R$289,$V1063)*$AB1063))</f>
        <v>21880.176066912616</v>
      </c>
      <c r="AI1063" s="2" t="str">
        <f>IF($W1063=AI$3,$AB1063,IF(NOT($W1063=0),"",SUMIFS('Val-Vol (2)'!AI$4:AI$1116,'Val-Vol (2)'!$A$4:$A$1116,$D1063,'Val-Vol (2)'!$V$4:$V$1116,$V1063)/SUMIFS('Comp2016-2017 (3)'!$G$5:$G$289,'Comp2016-2017 (3)'!$A$5:$A$289,$D1063,'Comp2016-2017 (3)'!$R$5:$R$289,$V1063)*$AB1063))</f>
        <v/>
      </c>
      <c r="AJ1063" s="2" t="str">
        <f>IF($W1063=AJ$3,$AB1063,IF(NOT($W1063=0),"",SUMIFS('Val-Vol (2)'!AJ$4:AJ$1116,'Val-Vol (2)'!$A$4:$A$1116,$D1063,'Val-Vol (2)'!$V$4:$V$1116,$V1063)/SUMIFS('Comp2016-2017 (3)'!$G$5:$G$289,'Comp2016-2017 (3)'!$A$5:$A$289,$D1063,'Comp2016-2017 (3)'!$R$5:$R$289,$V1063)*$AB1063))</f>
        <v/>
      </c>
      <c r="AK1063" s="2">
        <f t="shared" si="130"/>
        <v>0</v>
      </c>
      <c r="AL1063" t="str">
        <f t="shared" si="127"/>
        <v/>
      </c>
      <c r="AM1063" t="str">
        <f>VLOOKUP(A1063,'Table corresp.'!$M$4:$U$63,8,FALSE)</f>
        <v>Production intermédiaire</v>
      </c>
      <c r="AN1063" t="str">
        <f>VLOOKUP(D1063,'Table corresp.'!$M$4:$U$63,9,FALSE)</f>
        <v>Production intermédiaire</v>
      </c>
    </row>
    <row r="1064" spans="1:40" x14ac:dyDescent="0.25">
      <c r="A1064" t="s">
        <v>106</v>
      </c>
      <c r="B1064" t="str">
        <f>VLOOKUP(LEFT(A1064,3),'Table corresp.'!$A$4:$D$63,3,FALSE)</f>
        <v>Transformation</v>
      </c>
      <c r="C1064" t="str">
        <f>VLOOKUP(A1064,'Table corresp.'!$M$4:$P$63,4,FALSE)</f>
        <v>Production et transformation de produits bois</v>
      </c>
      <c r="D1064" t="s">
        <v>3</v>
      </c>
      <c r="E1064" t="str">
        <f>VLOOKUP(LEFT(D1064,3),'Table corresp.'!$A$4:$D$63,4,FALSE)</f>
        <v>Transformation</v>
      </c>
      <c r="F1064" t="str">
        <f t="shared" si="122"/>
        <v xml:space="preserve">63  - 06 </v>
      </c>
      <c r="G1064" s="164">
        <v>65533.649507081245</v>
      </c>
      <c r="H1064" s="164">
        <v>0</v>
      </c>
      <c r="I1064" s="164">
        <v>65533.649507081245</v>
      </c>
      <c r="J1064" s="164">
        <v>0</v>
      </c>
      <c r="K1064" s="164">
        <v>0</v>
      </c>
      <c r="L1064" s="164">
        <v>0</v>
      </c>
      <c r="M1064" s="164">
        <v>0</v>
      </c>
      <c r="N1064" s="164">
        <v>0</v>
      </c>
      <c r="O1064" s="164">
        <v>0</v>
      </c>
      <c r="P1064" s="164">
        <v>0</v>
      </c>
      <c r="Q1064" s="164">
        <v>0</v>
      </c>
      <c r="R1064" s="164">
        <v>0</v>
      </c>
      <c r="S1064" s="163" t="str">
        <f t="shared" si="123"/>
        <v/>
      </c>
      <c r="T1064" s="163">
        <f>VLOOKUP(A1064,'Groupe de branches'!$Z$27:$AM$86,14,FALSE)</f>
        <v>0</v>
      </c>
      <c r="U1064" s="163">
        <f>VLOOKUP(D1064,'Groupe de branches'!$Z$27:$AM$86,14,FALSE)</f>
        <v>0</v>
      </c>
      <c r="V1064" s="163">
        <v>2018</v>
      </c>
      <c r="W1064">
        <f>VLOOKUP(D1064,'Table corresp.'!$M$4:$S$63,7,FALSE)</f>
        <v>0</v>
      </c>
      <c r="X1064" s="167">
        <f>IFERROR(G1064/SUMIFS('Comp2016-2017 (3)'!$I$5:$I$289,'Comp2016-2017 (3)'!$A$5:$A$289,A1064,'Comp2016-2017 (3)'!$R$5:$R$289,V1064),0)</f>
        <v>0.13926575625295026</v>
      </c>
      <c r="Y1064" s="178">
        <f>IFERROR(IF(RIGHT(F1064,3)="Exp",VLOOKUP(F1064,#REF!,2,FALSE),VLOOKUP(F1064,#REF!,9,FALSE)),1)</f>
        <v>1</v>
      </c>
      <c r="Z1064" s="167">
        <f t="shared" si="131"/>
        <v>5.8823529411764705E-2</v>
      </c>
      <c r="AA1064" s="189">
        <f t="shared" si="128"/>
        <v>8.1921033089970736E-3</v>
      </c>
      <c r="AB1064" s="2">
        <f>IFERROR(SUMIFS('Comp2016-2017 (3)'!$G$5:$G$289,'Comp2016-2017 (3)'!$A$5:$A$289,A1064,'Comp2016-2017 (3)'!$R$5:$R$289,V1064)*AA1064/SUMIFS($AA$4:$AA$1116,$A$4:$A$1116,A1064,$V$4:$V$1116,V1064),0)</f>
        <v>33487.695134820773</v>
      </c>
      <c r="AC1064" s="2">
        <f>IF($W1064=AC$3,$AB1064,IF(NOT($W1064=0),"",SUMIFS('Val-Vol (2)'!AC$4:AC$1116,'Val-Vol (2)'!$A$4:$A$1116,$D1064,'Val-Vol (2)'!$V$4:$V$1116,$V1064)/SUMIFS('Comp2016-2017 (3)'!$G$5:$G$289,'Comp2016-2017 (3)'!$A$5:$A$289,$D1064,'Comp2016-2017 (3)'!$R$5:$R$289,$V1064)*$AB1064))</f>
        <v>8245.7245960673354</v>
      </c>
      <c r="AD1064" s="2">
        <f>IF($W1064=AD$3,$AB1064,IF(NOT($W1064=0),"",SUMIFS('Val-Vol (2)'!AD$4:AD$1116,'Val-Vol (2)'!$A$4:$A$1116,$D1064,'Val-Vol (2)'!$V$4:$V$1116,$V1064)/SUMIFS('Comp2016-2017 (3)'!$G$5:$G$289,'Comp2016-2017 (3)'!$A$5:$A$289,$D1064,'Comp2016-2017 (3)'!$R$5:$R$289,$V1064)*$AB1064))</f>
        <v>9064.1250352382376</v>
      </c>
      <c r="AE1064" s="2">
        <f>IF($W1064=AE$3,$AB1064,IF(NOT($W1064=0),"",SUMIFS('Val-Vol (2)'!AE$4:AE$1116,'Val-Vol (2)'!$A$4:$A$1116,$D1064,'Val-Vol (2)'!$V$4:$V$1116,$V1064)/SUMIFS('Comp2016-2017 (3)'!$G$5:$G$289,'Comp2016-2017 (3)'!$A$5:$A$289,$D1064,'Comp2016-2017 (3)'!$R$5:$R$289,$V1064)*$AB1064))</f>
        <v>972.01819192070093</v>
      </c>
      <c r="AF1064" s="2">
        <f>IF($W1064=AF$3,$AB1064,IF(NOT($W1064=0),"",SUMIFS('Val-Vol (2)'!AF$4:AF$1116,'Val-Vol (2)'!$A$4:$A$1116,$D1064,'Val-Vol (2)'!$V$4:$V$1116,$V1064)/SUMIFS('Comp2016-2017 (3)'!$G$5:$G$289,'Comp2016-2017 (3)'!$A$5:$A$289,$D1064,'Comp2016-2017 (3)'!$R$5:$R$289,$V1064)*$AB1064))</f>
        <v>430.70743765455171</v>
      </c>
      <c r="AG1064" s="2">
        <f>IF($W1064=AG$3,$AB1064,IF(NOT($W1064=0),"",SUMIFS('Val-Vol (2)'!AG$4:AG$1116,'Val-Vol (2)'!$A$4:$A$1116,$D1064,'Val-Vol (2)'!$V$4:$V$1116,$V1064)/SUMIFS('Comp2016-2017 (3)'!$G$5:$G$289,'Comp2016-2017 (3)'!$A$5:$A$289,$D1064,'Comp2016-2017 (3)'!$R$5:$R$289,$V1064)*$AB1064))</f>
        <v>7217.6482484081598</v>
      </c>
      <c r="AH1064" s="2">
        <f>IF($W1064=AH$3,$AB1064,IF(NOT($W1064=0),"",SUMIFS('Val-Vol (2)'!AH$4:AH$1116,'Val-Vol (2)'!$A$4:$A$1116,$D1064,'Val-Vol (2)'!$V$4:$V$1116,$V1064)/SUMIFS('Comp2016-2017 (3)'!$G$5:$G$289,'Comp2016-2017 (3)'!$A$5:$A$289,$D1064,'Comp2016-2017 (3)'!$R$5:$R$289,$V1064)*$AB1064))</f>
        <v>1194.41858947182</v>
      </c>
      <c r="AI1064" s="2">
        <f>IF($W1064=AI$3,$AB1064,IF(NOT($W1064=0),"",SUMIFS('Val-Vol (2)'!AI$4:AI$1116,'Val-Vol (2)'!$A$4:$A$1116,$D1064,'Val-Vol (2)'!$V$4:$V$1116,$V1064)/SUMIFS('Comp2016-2017 (3)'!$G$5:$G$289,'Comp2016-2017 (3)'!$A$5:$A$289,$D1064,'Comp2016-2017 (3)'!$R$5:$R$289,$V1064)*$AB1064))</f>
        <v>1860.0016952683191</v>
      </c>
      <c r="AJ1064" s="2">
        <f>IF($W1064=AJ$3,$AB1064,IF(NOT($W1064=0),"",SUMIFS('Val-Vol (2)'!AJ$4:AJ$1116,'Val-Vol (2)'!$A$4:$A$1116,$D1064,'Val-Vol (2)'!$V$4:$V$1116,$V1064)/SUMIFS('Comp2016-2017 (3)'!$G$5:$G$289,'Comp2016-2017 (3)'!$A$5:$A$289,$D1064,'Comp2016-2017 (3)'!$R$5:$R$289,$V1064)*$AB1064))</f>
        <v>4503.0513407916469</v>
      </c>
      <c r="AK1064" s="2">
        <f t="shared" si="130"/>
        <v>0</v>
      </c>
      <c r="AL1064" t="str">
        <f t="shared" si="127"/>
        <v/>
      </c>
      <c r="AM1064" t="str">
        <f>VLOOKUP(A1064,'Table corresp.'!$M$4:$U$63,8,FALSE)</f>
        <v>Production intermédiaire</v>
      </c>
      <c r="AN1064" t="str">
        <f>VLOOKUP(D1064,'Table corresp.'!$M$4:$U$63,9,FALSE)</f>
        <v>Production intermédiaire</v>
      </c>
    </row>
    <row r="1065" spans="1:40" x14ac:dyDescent="0.25">
      <c r="A1065" t="s">
        <v>106</v>
      </c>
      <c r="B1065" t="str">
        <f>VLOOKUP(LEFT(A1065,3),'Table corresp.'!$A$4:$D$63,3,FALSE)</f>
        <v>Transformation</v>
      </c>
      <c r="C1065" t="str">
        <f>VLOOKUP(A1065,'Table corresp.'!$M$4:$P$63,4,FALSE)</f>
        <v>Production et transformation de produits bois</v>
      </c>
      <c r="D1065" t="s">
        <v>4</v>
      </c>
      <c r="E1065" t="str">
        <f>VLOOKUP(LEFT(D1065,3),'Table corresp.'!$A$4:$D$63,4,FALSE)</f>
        <v>Transformation</v>
      </c>
      <c r="F1065" t="str">
        <f t="shared" si="122"/>
        <v xml:space="preserve">63  - 08 </v>
      </c>
      <c r="G1065" s="164">
        <v>18611.936345179827</v>
      </c>
      <c r="H1065" s="164">
        <v>0</v>
      </c>
      <c r="I1065" s="164">
        <v>18611.936345179827</v>
      </c>
      <c r="J1065" s="164">
        <v>0</v>
      </c>
      <c r="K1065" s="164">
        <v>0</v>
      </c>
      <c r="L1065" s="164">
        <v>0</v>
      </c>
      <c r="M1065" s="164">
        <v>0</v>
      </c>
      <c r="N1065" s="164">
        <v>0</v>
      </c>
      <c r="O1065" s="164">
        <v>0</v>
      </c>
      <c r="P1065" s="164">
        <v>0</v>
      </c>
      <c r="Q1065" s="164">
        <v>0</v>
      </c>
      <c r="R1065" s="164">
        <v>0</v>
      </c>
      <c r="S1065" s="163" t="str">
        <f t="shared" si="123"/>
        <v/>
      </c>
      <c r="T1065" s="163">
        <f>VLOOKUP(A1065,'Groupe de branches'!$Z$27:$AM$86,14,FALSE)</f>
        <v>0</v>
      </c>
      <c r="U1065" s="163">
        <f>VLOOKUP(D1065,'Groupe de branches'!$Z$27:$AM$86,14,FALSE)</f>
        <v>0</v>
      </c>
      <c r="V1065" s="163">
        <v>2018</v>
      </c>
      <c r="W1065">
        <f>VLOOKUP(D1065,'Table corresp.'!$M$4:$S$63,7,FALSE)</f>
        <v>0</v>
      </c>
      <c r="X1065" s="167">
        <f>IFERROR(G1065/SUMIFS('Comp2016-2017 (3)'!$I$5:$I$289,'Comp2016-2017 (3)'!$A$5:$A$289,A1065,'Comp2016-2017 (3)'!$R$5:$R$289,V1065),0)</f>
        <v>3.955228207095593E-2</v>
      </c>
      <c r="Y1065" s="178">
        <f>IFERROR(IF(RIGHT(F1065,3)="Exp",VLOOKUP(F1065,#REF!,2,FALSE),VLOOKUP(F1065,#REF!,9,FALSE)),1)</f>
        <v>1</v>
      </c>
      <c r="Z1065" s="167">
        <f t="shared" si="131"/>
        <v>5.8823529411764705E-2</v>
      </c>
      <c r="AA1065" s="189">
        <f t="shared" si="128"/>
        <v>2.3266048277032899E-3</v>
      </c>
      <c r="AB1065" s="2">
        <f>IFERROR(SUMIFS('Comp2016-2017 (3)'!$G$5:$G$289,'Comp2016-2017 (3)'!$A$5:$A$289,A1065,'Comp2016-2017 (3)'!$R$5:$R$289,V1065)*AA1065/SUMIFS($AA$4:$AA$1116,$A$4:$A$1116,A1065,$V$4:$V$1116,V1065),0)</f>
        <v>9510.6995396117036</v>
      </c>
      <c r="AC1065" s="2">
        <f>IF($W1065=AC$3,$AB1065,IF(NOT($W1065=0),"",SUMIFS('Val-Vol (2)'!AC$4:AC$1116,'Val-Vol (2)'!$A$4:$A$1116,$D1065,'Val-Vol (2)'!$V$4:$V$1116,$V1065)/SUMIFS('Comp2016-2017 (3)'!$G$5:$G$289,'Comp2016-2017 (3)'!$A$5:$A$289,$D1065,'Comp2016-2017 (3)'!$R$5:$R$289,$V1065)*$AB1065))</f>
        <v>2331.6750567751606</v>
      </c>
      <c r="AD1065" s="2">
        <f>IF($W1065=AD$3,$AB1065,IF(NOT($W1065=0),"",SUMIFS('Val-Vol (2)'!AD$4:AD$1116,'Val-Vol (2)'!$A$4:$A$1116,$D1065,'Val-Vol (2)'!$V$4:$V$1116,$V1065)/SUMIFS('Comp2016-2017 (3)'!$G$5:$G$289,'Comp2016-2017 (3)'!$A$5:$A$289,$D1065,'Comp2016-2017 (3)'!$R$5:$R$289,$V1065)*$AB1065))</f>
        <v>2620.2950016534955</v>
      </c>
      <c r="AE1065" s="2">
        <f>IF($W1065=AE$3,$AB1065,IF(NOT($W1065=0),"",SUMIFS('Val-Vol (2)'!AE$4:AE$1116,'Val-Vol (2)'!$A$4:$A$1116,$D1065,'Val-Vol (2)'!$V$4:$V$1116,$V1065)/SUMIFS('Comp2016-2017 (3)'!$G$5:$G$289,'Comp2016-2017 (3)'!$A$5:$A$289,$D1065,'Comp2016-2017 (3)'!$R$5:$R$289,$V1065)*$AB1065))</f>
        <v>1107.7140361919548</v>
      </c>
      <c r="AF1065" s="2">
        <f>IF($W1065=AF$3,$AB1065,IF(NOT($W1065=0),"",SUMIFS('Val-Vol (2)'!AF$4:AF$1116,'Val-Vol (2)'!$A$4:$A$1116,$D1065,'Val-Vol (2)'!$V$4:$V$1116,$V1065)/SUMIFS('Comp2016-2017 (3)'!$G$5:$G$289,'Comp2016-2017 (3)'!$A$5:$A$289,$D1065,'Comp2016-2017 (3)'!$R$5:$R$289,$V1065)*$AB1065))</f>
        <v>0</v>
      </c>
      <c r="AG1065" s="2">
        <f>IF($W1065=AG$3,$AB1065,IF(NOT($W1065=0),"",SUMIFS('Val-Vol (2)'!AG$4:AG$1116,'Val-Vol (2)'!$A$4:$A$1116,$D1065,'Val-Vol (2)'!$V$4:$V$1116,$V1065)/SUMIFS('Comp2016-2017 (3)'!$G$5:$G$289,'Comp2016-2017 (3)'!$A$5:$A$289,$D1065,'Comp2016-2017 (3)'!$R$5:$R$289,$V1065)*$AB1065))</f>
        <v>0</v>
      </c>
      <c r="AH1065" s="2">
        <f>IF($W1065=AH$3,$AB1065,IF(NOT($W1065=0),"",SUMIFS('Val-Vol (2)'!AH$4:AH$1116,'Val-Vol (2)'!$A$4:$A$1116,$D1065,'Val-Vol (2)'!$V$4:$V$1116,$V1065)/SUMIFS('Comp2016-2017 (3)'!$G$5:$G$289,'Comp2016-2017 (3)'!$A$5:$A$289,$D1065,'Comp2016-2017 (3)'!$R$5:$R$289,$V1065)*$AB1065))</f>
        <v>0</v>
      </c>
      <c r="AI1065" s="2">
        <f>IF($W1065=AI$3,$AB1065,IF(NOT($W1065=0),"",SUMIFS('Val-Vol (2)'!AI$4:AI$1116,'Val-Vol (2)'!$A$4:$A$1116,$D1065,'Val-Vol (2)'!$V$4:$V$1116,$V1065)/SUMIFS('Comp2016-2017 (3)'!$G$5:$G$289,'Comp2016-2017 (3)'!$A$5:$A$289,$D1065,'Comp2016-2017 (3)'!$R$5:$R$289,$V1065)*$AB1065))</f>
        <v>1057.645122091526</v>
      </c>
      <c r="AJ1065" s="2">
        <f>IF($W1065=AJ$3,$AB1065,IF(NOT($W1065=0),"",SUMIFS('Val-Vol (2)'!AJ$4:AJ$1116,'Val-Vol (2)'!$A$4:$A$1116,$D1065,'Val-Vol (2)'!$V$4:$V$1116,$V1065)/SUMIFS('Comp2016-2017 (3)'!$G$5:$G$289,'Comp2016-2017 (3)'!$A$5:$A$289,$D1065,'Comp2016-2017 (3)'!$R$5:$R$289,$V1065)*$AB1065))</f>
        <v>2393.3703228995664</v>
      </c>
      <c r="AK1065" s="2">
        <f t="shared" si="130"/>
        <v>0</v>
      </c>
      <c r="AL1065" t="str">
        <f t="shared" si="127"/>
        <v/>
      </c>
      <c r="AM1065" t="str">
        <f>VLOOKUP(A1065,'Table corresp.'!$M$4:$U$63,8,FALSE)</f>
        <v>Production intermédiaire</v>
      </c>
      <c r="AN1065" t="str">
        <f>VLOOKUP(D1065,'Table corresp.'!$M$4:$U$63,9,FALSE)</f>
        <v>Production intermédiaire</v>
      </c>
    </row>
    <row r="1066" spans="1:40" x14ac:dyDescent="0.25">
      <c r="A1066" t="s">
        <v>106</v>
      </c>
      <c r="B1066" t="str">
        <f>VLOOKUP(LEFT(A1066,3),'Table corresp.'!$A$4:$D$63,3,FALSE)</f>
        <v>Transformation</v>
      </c>
      <c r="C1066" t="str">
        <f>VLOOKUP(A1066,'Table corresp.'!$M$4:$P$63,4,FALSE)</f>
        <v>Production et transformation de produits bois</v>
      </c>
      <c r="D1066" t="s">
        <v>5</v>
      </c>
      <c r="E1066" t="str">
        <f>VLOOKUP(LEFT(D1066,3),'Table corresp.'!$A$4:$D$63,4,FALSE)</f>
        <v>Transformation</v>
      </c>
      <c r="F1066" t="str">
        <f t="shared" ref="F1066:F1129" si="132">LEFT(A1066,3)&amp;" - "&amp;LEFT(D1066,3)</f>
        <v xml:space="preserve">63  - 09 </v>
      </c>
      <c r="G1066" s="164">
        <v>8517.998562385008</v>
      </c>
      <c r="H1066" s="164">
        <v>0</v>
      </c>
      <c r="I1066" s="164">
        <v>8517.998562385008</v>
      </c>
      <c r="J1066" s="164">
        <v>0</v>
      </c>
      <c r="K1066" s="164">
        <v>0</v>
      </c>
      <c r="L1066" s="164">
        <v>0</v>
      </c>
      <c r="M1066" s="164">
        <v>0</v>
      </c>
      <c r="N1066" s="164">
        <v>0</v>
      </c>
      <c r="O1066" s="164">
        <v>0</v>
      </c>
      <c r="P1066" s="164">
        <v>0</v>
      </c>
      <c r="Q1066" s="164">
        <v>0</v>
      </c>
      <c r="R1066" s="164">
        <v>0</v>
      </c>
      <c r="S1066" s="163" t="str">
        <f t="shared" si="123"/>
        <v/>
      </c>
      <c r="T1066" s="163">
        <f>VLOOKUP(A1066,'Groupe de branches'!$Z$27:$AM$86,14,FALSE)</f>
        <v>0</v>
      </c>
      <c r="U1066" s="163">
        <f>VLOOKUP(D1066,'Groupe de branches'!$Z$27:$AM$86,14,FALSE)</f>
        <v>0</v>
      </c>
      <c r="V1066" s="163">
        <v>2018</v>
      </c>
      <c r="W1066">
        <f>VLOOKUP(D1066,'Table corresp.'!$M$4:$S$63,7,FALSE)</f>
        <v>0</v>
      </c>
      <c r="X1066" s="167">
        <f>IFERROR(G1066/SUMIFS('Comp2016-2017 (3)'!$I$5:$I$289,'Comp2016-2017 (3)'!$A$5:$A$289,A1066,'Comp2016-2017 (3)'!$R$5:$R$289,V1066),0)</f>
        <v>1.8101624439882738E-2</v>
      </c>
      <c r="Y1066" s="178">
        <f>IFERROR(IF(RIGHT(F1066,3)="Exp",VLOOKUP(F1066,#REF!,2,FALSE),VLOOKUP(F1066,#REF!,9,FALSE)),1)</f>
        <v>1</v>
      </c>
      <c r="Z1066" s="167">
        <f t="shared" si="131"/>
        <v>5.8823529411764705E-2</v>
      </c>
      <c r="AA1066" s="189">
        <f t="shared" si="128"/>
        <v>1.0648014376401611E-3</v>
      </c>
      <c r="AB1066" s="2">
        <f>IFERROR(SUMIFS('Comp2016-2017 (3)'!$G$5:$G$289,'Comp2016-2017 (3)'!$A$5:$A$289,A1066,'Comp2016-2017 (3)'!$R$5:$R$289,V1066)*AA1066/SUMIFS($AA$4:$AA$1116,$A$4:$A$1116,A1066,$V$4:$V$1116,V1066),0)</f>
        <v>4352.6972961450638</v>
      </c>
      <c r="AC1066" s="2">
        <f>IF($W1066=AC$3,$AB1066,IF(NOT($W1066=0),"",SUMIFS('Val-Vol (2)'!AC$4:AC$1116,'Val-Vol (2)'!$A$4:$A$1116,$D1066,'Val-Vol (2)'!$V$4:$V$1116,$V1066)/SUMIFS('Comp2016-2017 (3)'!$G$5:$G$289,'Comp2016-2017 (3)'!$A$5:$A$289,$D1066,'Comp2016-2017 (3)'!$R$5:$R$289,$V1066)*$AB1066))</f>
        <v>1431.3458233405127</v>
      </c>
      <c r="AD1066" s="2">
        <f>IF($W1066=AD$3,$AB1066,IF(NOT($W1066=0),"",SUMIFS('Val-Vol (2)'!AD$4:AD$1116,'Val-Vol (2)'!$A$4:$A$1116,$D1066,'Val-Vol (2)'!$V$4:$V$1116,$V1066)/SUMIFS('Comp2016-2017 (3)'!$G$5:$G$289,'Comp2016-2017 (3)'!$A$5:$A$289,$D1066,'Comp2016-2017 (3)'!$R$5:$R$289,$V1066)*$AB1066))</f>
        <v>1375.8004309235621</v>
      </c>
      <c r="AE1066" s="2">
        <f>IF($W1066=AE$3,$AB1066,IF(NOT($W1066=0),"",SUMIFS('Val-Vol (2)'!AE$4:AE$1116,'Val-Vol (2)'!$A$4:$A$1116,$D1066,'Val-Vol (2)'!$V$4:$V$1116,$V1066)/SUMIFS('Comp2016-2017 (3)'!$G$5:$G$289,'Comp2016-2017 (3)'!$A$5:$A$289,$D1066,'Comp2016-2017 (3)'!$R$5:$R$289,$V1066)*$AB1066))</f>
        <v>55.889500003233316</v>
      </c>
      <c r="AF1066" s="2">
        <f>IF($W1066=AF$3,$AB1066,IF(NOT($W1066=0),"",SUMIFS('Val-Vol (2)'!AF$4:AF$1116,'Val-Vol (2)'!$A$4:$A$1116,$D1066,'Val-Vol (2)'!$V$4:$V$1116,$V1066)/SUMIFS('Comp2016-2017 (3)'!$G$5:$G$289,'Comp2016-2017 (3)'!$A$5:$A$289,$D1066,'Comp2016-2017 (3)'!$R$5:$R$289,$V1066)*$AB1066))</f>
        <v>0</v>
      </c>
      <c r="AG1066" s="2">
        <f>IF($W1066=AG$3,$AB1066,IF(NOT($W1066=0),"",SUMIFS('Val-Vol (2)'!AG$4:AG$1116,'Val-Vol (2)'!$A$4:$A$1116,$D1066,'Val-Vol (2)'!$V$4:$V$1116,$V1066)/SUMIFS('Comp2016-2017 (3)'!$G$5:$G$289,'Comp2016-2017 (3)'!$A$5:$A$289,$D1066,'Comp2016-2017 (3)'!$R$5:$R$289,$V1066)*$AB1066))</f>
        <v>583.31604747958465</v>
      </c>
      <c r="AH1066" s="2">
        <f>IF($W1066=AH$3,$AB1066,IF(NOT($W1066=0),"",SUMIFS('Val-Vol (2)'!AH$4:AH$1116,'Val-Vol (2)'!$A$4:$A$1116,$D1066,'Val-Vol (2)'!$V$4:$V$1116,$V1066)/SUMIFS('Comp2016-2017 (3)'!$G$5:$G$289,'Comp2016-2017 (3)'!$A$5:$A$289,$D1066,'Comp2016-2017 (3)'!$R$5:$R$289,$V1066)*$AB1066))</f>
        <v>0</v>
      </c>
      <c r="AI1066" s="2">
        <f>IF($W1066=AI$3,$AB1066,IF(NOT($W1066=0),"",SUMIFS('Val-Vol (2)'!AI$4:AI$1116,'Val-Vol (2)'!$A$4:$A$1116,$D1066,'Val-Vol (2)'!$V$4:$V$1116,$V1066)/SUMIFS('Comp2016-2017 (3)'!$G$5:$G$289,'Comp2016-2017 (3)'!$A$5:$A$289,$D1066,'Comp2016-2017 (3)'!$R$5:$R$289,$V1066)*$AB1066))</f>
        <v>850.87651011937703</v>
      </c>
      <c r="AJ1066" s="2">
        <f>IF($W1066=AJ$3,$AB1066,IF(NOT($W1066=0),"",SUMIFS('Val-Vol (2)'!AJ$4:AJ$1116,'Val-Vol (2)'!$A$4:$A$1116,$D1066,'Val-Vol (2)'!$V$4:$V$1116,$V1066)/SUMIFS('Comp2016-2017 (3)'!$G$5:$G$289,'Comp2016-2017 (3)'!$A$5:$A$289,$D1066,'Comp2016-2017 (3)'!$R$5:$R$289,$V1066)*$AB1066))</f>
        <v>55.468984278793478</v>
      </c>
      <c r="AK1066" s="2">
        <f t="shared" si="130"/>
        <v>0</v>
      </c>
      <c r="AL1066" t="str">
        <f t="shared" si="127"/>
        <v/>
      </c>
      <c r="AM1066" t="str">
        <f>VLOOKUP(A1066,'Table corresp.'!$M$4:$U$63,8,FALSE)</f>
        <v>Production intermédiaire</v>
      </c>
      <c r="AN1066" t="str">
        <f>VLOOKUP(D1066,'Table corresp.'!$M$4:$U$63,9,FALSE)</f>
        <v>Production intermédiaire</v>
      </c>
    </row>
    <row r="1067" spans="1:40" x14ac:dyDescent="0.25">
      <c r="A1067" t="s">
        <v>106</v>
      </c>
      <c r="B1067" t="str">
        <f>VLOOKUP(LEFT(A1067,3),'Table corresp.'!$A$4:$D$63,3,FALSE)</f>
        <v>Transformation</v>
      </c>
      <c r="C1067" t="str">
        <f>VLOOKUP(A1067,'Table corresp.'!$M$4:$P$63,4,FALSE)</f>
        <v>Production et transformation de produits bois</v>
      </c>
      <c r="D1067" t="s">
        <v>82</v>
      </c>
      <c r="E1067" t="str">
        <f>VLOOKUP(LEFT(D1067,3),'Table corresp.'!$A$4:$D$63,4,FALSE)</f>
        <v>Transformation</v>
      </c>
      <c r="F1067" t="str">
        <f t="shared" si="132"/>
        <v xml:space="preserve">63  - 10 </v>
      </c>
      <c r="G1067" s="164">
        <v>7963.3150129385704</v>
      </c>
      <c r="H1067" s="164">
        <v>0</v>
      </c>
      <c r="I1067" s="164">
        <v>7963.3150129385695</v>
      </c>
      <c r="J1067" s="164">
        <v>0</v>
      </c>
      <c r="K1067" s="164">
        <v>0</v>
      </c>
      <c r="L1067" s="164">
        <v>0</v>
      </c>
      <c r="M1067" s="164">
        <v>0</v>
      </c>
      <c r="N1067" s="164">
        <v>0</v>
      </c>
      <c r="O1067" s="164">
        <v>0</v>
      </c>
      <c r="P1067" s="164">
        <v>0</v>
      </c>
      <c r="Q1067" s="164">
        <v>0</v>
      </c>
      <c r="R1067" s="164">
        <v>0</v>
      </c>
      <c r="S1067" s="163" t="str">
        <f t="shared" ref="S1067:S1116" si="133">IF(VLOOKUP(F1067,$F$4:$S$374,14,FALSE)=0,"",VLOOKUP(F1067,$F$4:$S$374,14,FALSE))</f>
        <v/>
      </c>
      <c r="T1067" s="163">
        <f>VLOOKUP(A1067,'Groupe de branches'!$Z$27:$AM$86,14,FALSE)</f>
        <v>0</v>
      </c>
      <c r="U1067" s="163">
        <f>VLOOKUP(D1067,'Groupe de branches'!$Z$27:$AM$86,14,FALSE)</f>
        <v>0</v>
      </c>
      <c r="V1067" s="163">
        <v>2018</v>
      </c>
      <c r="W1067">
        <f>VLOOKUP(D1067,'Table corresp.'!$M$4:$S$63,7,FALSE)</f>
        <v>0</v>
      </c>
      <c r="X1067" s="167">
        <f>IFERROR(G1067/SUMIFS('Comp2016-2017 (3)'!$I$5:$I$289,'Comp2016-2017 (3)'!$A$5:$A$289,A1067,'Comp2016-2017 (3)'!$R$5:$R$289,V1067),0)</f>
        <v>1.6922864755724118E-2</v>
      </c>
      <c r="Y1067" s="178">
        <f>IFERROR(IF(RIGHT(F1067,3)="Exp",VLOOKUP(F1067,#REF!,2,FALSE),VLOOKUP(F1067,#REF!,9,FALSE)),1)</f>
        <v>1</v>
      </c>
      <c r="Z1067" s="167">
        <f t="shared" si="131"/>
        <v>5.8823529411764705E-2</v>
      </c>
      <c r="AA1067" s="189">
        <f t="shared" si="128"/>
        <v>9.9546263268965405E-4</v>
      </c>
      <c r="AB1067" s="2">
        <f>IFERROR(SUMIFS('Comp2016-2017 (3)'!$G$5:$G$289,'Comp2016-2017 (3)'!$A$5:$A$289,A1067,'Comp2016-2017 (3)'!$R$5:$R$289,V1067)*AA1067/SUMIFS($AA$4:$AA$1116,$A$4:$A$1116,A1067,$V$4:$V$1116,V1067),0)</f>
        <v>4069.2540003744621</v>
      </c>
      <c r="AC1067" s="2">
        <f>IF($W1067=AC$3,$AB1067,IF(NOT($W1067=0),"",SUMIFS('Val-Vol (2)'!AC$4:AC$1116,'Val-Vol (2)'!$A$4:$A$1116,$D1067,'Val-Vol (2)'!$V$4:$V$1116,$V1067)/SUMIFS('Comp2016-2017 (3)'!$G$5:$G$289,'Comp2016-2017 (3)'!$A$5:$A$289,$D1067,'Comp2016-2017 (3)'!$R$5:$R$289,$V1067)*$AB1067))</f>
        <v>692.43589925664674</v>
      </c>
      <c r="AD1067" s="2">
        <f>IF($W1067=AD$3,$AB1067,IF(NOT($W1067=0),"",SUMIFS('Val-Vol (2)'!AD$4:AD$1116,'Val-Vol (2)'!$A$4:$A$1116,$D1067,'Val-Vol (2)'!$V$4:$V$1116,$V1067)/SUMIFS('Comp2016-2017 (3)'!$G$5:$G$289,'Comp2016-2017 (3)'!$A$5:$A$289,$D1067,'Comp2016-2017 (3)'!$R$5:$R$289,$V1067)*$AB1067))</f>
        <v>1172.498607547479</v>
      </c>
      <c r="AE1067" s="2">
        <f>IF($W1067=AE$3,$AB1067,IF(NOT($W1067=0),"",SUMIFS('Val-Vol (2)'!AE$4:AE$1116,'Val-Vol (2)'!$A$4:$A$1116,$D1067,'Val-Vol (2)'!$V$4:$V$1116,$V1067)/SUMIFS('Comp2016-2017 (3)'!$G$5:$G$289,'Comp2016-2017 (3)'!$A$5:$A$289,$D1067,'Comp2016-2017 (3)'!$R$5:$R$289,$V1067)*$AB1067))</f>
        <v>296.59140225179266</v>
      </c>
      <c r="AF1067" s="2">
        <f>IF($W1067=AF$3,$AB1067,IF(NOT($W1067=0),"",SUMIFS('Val-Vol (2)'!AF$4:AF$1116,'Val-Vol (2)'!$A$4:$A$1116,$D1067,'Val-Vol (2)'!$V$4:$V$1116,$V1067)/SUMIFS('Comp2016-2017 (3)'!$G$5:$G$289,'Comp2016-2017 (3)'!$A$5:$A$289,$D1067,'Comp2016-2017 (3)'!$R$5:$R$289,$V1067)*$AB1067))</f>
        <v>0</v>
      </c>
      <c r="AG1067" s="2">
        <f>IF($W1067=AG$3,$AB1067,IF(NOT($W1067=0),"",SUMIFS('Val-Vol (2)'!AG$4:AG$1116,'Val-Vol (2)'!$A$4:$A$1116,$D1067,'Val-Vol (2)'!$V$4:$V$1116,$V1067)/SUMIFS('Comp2016-2017 (3)'!$G$5:$G$289,'Comp2016-2017 (3)'!$A$5:$A$289,$D1067,'Comp2016-2017 (3)'!$R$5:$R$289,$V1067)*$AB1067))</f>
        <v>797.01090620237039</v>
      </c>
      <c r="AH1067" s="2">
        <f>IF($W1067=AH$3,$AB1067,IF(NOT($W1067=0),"",SUMIFS('Val-Vol (2)'!AH$4:AH$1116,'Val-Vol (2)'!$A$4:$A$1116,$D1067,'Val-Vol (2)'!$V$4:$V$1116,$V1067)/SUMIFS('Comp2016-2017 (3)'!$G$5:$G$289,'Comp2016-2017 (3)'!$A$5:$A$289,$D1067,'Comp2016-2017 (3)'!$R$5:$R$289,$V1067)*$AB1067))</f>
        <v>0</v>
      </c>
      <c r="AI1067" s="2">
        <f>IF($W1067=AI$3,$AB1067,IF(NOT($W1067=0),"",SUMIFS('Val-Vol (2)'!AI$4:AI$1116,'Val-Vol (2)'!$A$4:$A$1116,$D1067,'Val-Vol (2)'!$V$4:$V$1116,$V1067)/SUMIFS('Comp2016-2017 (3)'!$G$5:$G$289,'Comp2016-2017 (3)'!$A$5:$A$289,$D1067,'Comp2016-2017 (3)'!$R$5:$R$289,$V1067)*$AB1067))</f>
        <v>924.13365014566864</v>
      </c>
      <c r="AJ1067" s="2">
        <f>IF($W1067=AJ$3,$AB1067,IF(NOT($W1067=0),"",SUMIFS('Val-Vol (2)'!AJ$4:AJ$1116,'Val-Vol (2)'!$A$4:$A$1116,$D1067,'Val-Vol (2)'!$V$4:$V$1116,$V1067)/SUMIFS('Comp2016-2017 (3)'!$G$5:$G$289,'Comp2016-2017 (3)'!$A$5:$A$289,$D1067,'Comp2016-2017 (3)'!$R$5:$R$289,$V1067)*$AB1067))</f>
        <v>186.58353497050575</v>
      </c>
      <c r="AK1067" s="2">
        <f t="shared" si="130"/>
        <v>0</v>
      </c>
      <c r="AL1067" t="str">
        <f t="shared" si="127"/>
        <v/>
      </c>
      <c r="AM1067" t="str">
        <f>VLOOKUP(A1067,'Table corresp.'!$M$4:$U$63,8,FALSE)</f>
        <v>Production intermédiaire</v>
      </c>
      <c r="AN1067" t="str">
        <f>VLOOKUP(D1067,'Table corresp.'!$M$4:$U$63,9,FALSE)</f>
        <v>Production intermédiaire</v>
      </c>
    </row>
    <row r="1068" spans="1:40" x14ac:dyDescent="0.25">
      <c r="A1068" t="s">
        <v>106</v>
      </c>
      <c r="B1068" t="str">
        <f>VLOOKUP(LEFT(A1068,3),'Table corresp.'!$A$4:$D$63,3,FALSE)</f>
        <v>Transformation</v>
      </c>
      <c r="C1068" t="str">
        <f>VLOOKUP(A1068,'Table corresp.'!$M$4:$P$63,4,FALSE)</f>
        <v>Production et transformation de produits bois</v>
      </c>
      <c r="D1068" t="s">
        <v>7</v>
      </c>
      <c r="E1068" t="str">
        <f>VLOOKUP(LEFT(D1068,3),'Table corresp.'!$A$4:$D$63,4,FALSE)</f>
        <v>Transformation</v>
      </c>
      <c r="F1068" t="str">
        <f t="shared" si="132"/>
        <v xml:space="preserve">63  - 12 </v>
      </c>
      <c r="G1068" s="164">
        <v>75104.232137210784</v>
      </c>
      <c r="H1068" s="164">
        <v>0</v>
      </c>
      <c r="I1068" s="164">
        <v>75104.232137210784</v>
      </c>
      <c r="J1068" s="164">
        <v>0</v>
      </c>
      <c r="K1068" s="164">
        <v>0</v>
      </c>
      <c r="L1068" s="164">
        <v>0</v>
      </c>
      <c r="M1068" s="164">
        <v>0</v>
      </c>
      <c r="N1068" s="164">
        <v>0</v>
      </c>
      <c r="O1068" s="164">
        <v>0</v>
      </c>
      <c r="P1068" s="164">
        <v>0</v>
      </c>
      <c r="Q1068" s="164">
        <v>0</v>
      </c>
      <c r="R1068" s="164">
        <v>0</v>
      </c>
      <c r="S1068" s="163" t="str">
        <f t="shared" si="133"/>
        <v/>
      </c>
      <c r="T1068" s="163">
        <f>VLOOKUP(A1068,'Groupe de branches'!$Z$27:$AM$86,14,FALSE)</f>
        <v>0</v>
      </c>
      <c r="U1068" s="163">
        <f>VLOOKUP(D1068,'Groupe de branches'!$Z$27:$AM$86,14,FALSE)</f>
        <v>0</v>
      </c>
      <c r="V1068" s="163">
        <v>2018</v>
      </c>
      <c r="W1068">
        <f>VLOOKUP(D1068,'Table corresp.'!$M$4:$S$63,7,FALSE)</f>
        <v>0</v>
      </c>
      <c r="X1068" s="167">
        <f>IFERROR(G1068/SUMIFS('Comp2016-2017 (3)'!$I$5:$I$289,'Comp2016-2017 (3)'!$A$5:$A$289,A1068,'Comp2016-2017 (3)'!$R$5:$R$289,V1068),0)</f>
        <v>0.1596042302703681</v>
      </c>
      <c r="Y1068" s="178">
        <f>IFERROR(IF(RIGHT(F1068,3)="Exp",VLOOKUP(F1068,#REF!,2,FALSE),VLOOKUP(F1068,#REF!,9,FALSE)),1)</f>
        <v>1</v>
      </c>
      <c r="Z1068" s="167">
        <f t="shared" si="131"/>
        <v>5.8823529411764705E-2</v>
      </c>
      <c r="AA1068" s="189">
        <f t="shared" si="128"/>
        <v>9.3884841335510651E-3</v>
      </c>
      <c r="AB1068" s="2">
        <f>IFERROR(SUMIFS('Comp2016-2017 (3)'!$G$5:$G$289,'Comp2016-2017 (3)'!$A$5:$A$289,A1068,'Comp2016-2017 (3)'!$R$5:$R$289,V1068)*AA1068/SUMIFS($AA$4:$AA$1116,$A$4:$A$1116,A1068,$V$4:$V$1116,V1068),0)</f>
        <v>38378.262893385145</v>
      </c>
      <c r="AC1068" s="2">
        <f>IF($W1068=AC$3,$AB1068,IF(NOT($W1068=0),"",SUMIFS('Val-Vol (2)'!AC$4:AC$1116,'Val-Vol (2)'!$A$4:$A$1116,$D1068,'Val-Vol (2)'!$V$4:$V$1116,$V1068)/SUMIFS('Comp2016-2017 (3)'!$G$5:$G$289,'Comp2016-2017 (3)'!$A$5:$A$289,$D1068,'Comp2016-2017 (3)'!$R$5:$R$289,$V1068)*$AB1068))</f>
        <v>2762.7651222253571</v>
      </c>
      <c r="AD1068" s="2">
        <f>IF($W1068=AD$3,$AB1068,IF(NOT($W1068=0),"",SUMIFS('Val-Vol (2)'!AD$4:AD$1116,'Val-Vol (2)'!$A$4:$A$1116,$D1068,'Val-Vol (2)'!$V$4:$V$1116,$V1068)/SUMIFS('Comp2016-2017 (3)'!$G$5:$G$289,'Comp2016-2017 (3)'!$A$5:$A$289,$D1068,'Comp2016-2017 (3)'!$R$5:$R$289,$V1068)*$AB1068))</f>
        <v>24385.15572719081</v>
      </c>
      <c r="AE1068" s="2">
        <f>IF($W1068=AE$3,$AB1068,IF(NOT($W1068=0),"",SUMIFS('Val-Vol (2)'!AE$4:AE$1116,'Val-Vol (2)'!$A$4:$A$1116,$D1068,'Val-Vol (2)'!$V$4:$V$1116,$V1068)/SUMIFS('Comp2016-2017 (3)'!$G$5:$G$289,'Comp2016-2017 (3)'!$A$5:$A$289,$D1068,'Comp2016-2017 (3)'!$R$5:$R$289,$V1068)*$AB1068))</f>
        <v>568.90516490489426</v>
      </c>
      <c r="AF1068" s="2">
        <f>IF($W1068=AF$3,$AB1068,IF(NOT($W1068=0),"",SUMIFS('Val-Vol (2)'!AF$4:AF$1116,'Val-Vol (2)'!$A$4:$A$1116,$D1068,'Val-Vol (2)'!$V$4:$V$1116,$V1068)/SUMIFS('Comp2016-2017 (3)'!$G$5:$G$289,'Comp2016-2017 (3)'!$A$5:$A$289,$D1068,'Comp2016-2017 (3)'!$R$5:$R$289,$V1068)*$AB1068))</f>
        <v>0</v>
      </c>
      <c r="AG1068" s="2">
        <f>IF($W1068=AG$3,$AB1068,IF(NOT($W1068=0),"",SUMIFS('Val-Vol (2)'!AG$4:AG$1116,'Val-Vol (2)'!$A$4:$A$1116,$D1068,'Val-Vol (2)'!$V$4:$V$1116,$V1068)/SUMIFS('Comp2016-2017 (3)'!$G$5:$G$289,'Comp2016-2017 (3)'!$A$5:$A$289,$D1068,'Comp2016-2017 (3)'!$R$5:$R$289,$V1068)*$AB1068))</f>
        <v>4187.7322244477937</v>
      </c>
      <c r="AH1068" s="2">
        <f>IF($W1068=AH$3,$AB1068,IF(NOT($W1068=0),"",SUMIFS('Val-Vol (2)'!AH$4:AH$1116,'Val-Vol (2)'!$A$4:$A$1116,$D1068,'Val-Vol (2)'!$V$4:$V$1116,$V1068)/SUMIFS('Comp2016-2017 (3)'!$G$5:$G$289,'Comp2016-2017 (3)'!$A$5:$A$289,$D1068,'Comp2016-2017 (3)'!$R$5:$R$289,$V1068)*$AB1068))</f>
        <v>0</v>
      </c>
      <c r="AI1068" s="2">
        <f>IF($W1068=AI$3,$AB1068,IF(NOT($W1068=0),"",SUMIFS('Val-Vol (2)'!AI$4:AI$1116,'Val-Vol (2)'!$A$4:$A$1116,$D1068,'Val-Vol (2)'!$V$4:$V$1116,$V1068)/SUMIFS('Comp2016-2017 (3)'!$G$5:$G$289,'Comp2016-2017 (3)'!$A$5:$A$289,$D1068,'Comp2016-2017 (3)'!$R$5:$R$289,$V1068)*$AB1068))</f>
        <v>1109.3222484753326</v>
      </c>
      <c r="AJ1068" s="2">
        <f>IF($W1068=AJ$3,$AB1068,IF(NOT($W1068=0),"",SUMIFS('Val-Vol (2)'!AJ$4:AJ$1116,'Val-Vol (2)'!$A$4:$A$1116,$D1068,'Val-Vol (2)'!$V$4:$V$1116,$V1068)/SUMIFS('Comp2016-2017 (3)'!$G$5:$G$289,'Comp2016-2017 (3)'!$A$5:$A$289,$D1068,'Comp2016-2017 (3)'!$R$5:$R$289,$V1068)*$AB1068))</f>
        <v>5364.382406140955</v>
      </c>
      <c r="AK1068" s="2">
        <f t="shared" si="130"/>
        <v>0</v>
      </c>
      <c r="AL1068" t="str">
        <f t="shared" si="127"/>
        <v/>
      </c>
      <c r="AM1068" t="str">
        <f>VLOOKUP(A1068,'Table corresp.'!$M$4:$U$63,8,FALSE)</f>
        <v>Production intermédiaire</v>
      </c>
      <c r="AN1068" t="str">
        <f>VLOOKUP(D1068,'Table corresp.'!$M$4:$U$63,9,FALSE)</f>
        <v>Production intermédiaire</v>
      </c>
    </row>
    <row r="1069" spans="1:40" x14ac:dyDescent="0.25">
      <c r="A1069" t="s">
        <v>106</v>
      </c>
      <c r="B1069" t="str">
        <f>VLOOKUP(LEFT(A1069,3),'Table corresp.'!$A$4:$D$63,3,FALSE)</f>
        <v>Transformation</v>
      </c>
      <c r="C1069" t="str">
        <f>VLOOKUP(A1069,'Table corresp.'!$M$4:$P$63,4,FALSE)</f>
        <v>Production et transformation de produits bois</v>
      </c>
      <c r="D1069" t="s">
        <v>8</v>
      </c>
      <c r="E1069" t="str">
        <f>VLOOKUP(LEFT(D1069,3),'Table corresp.'!$A$4:$D$63,4,FALSE)</f>
        <v>Transformation</v>
      </c>
      <c r="F1069" t="str">
        <f t="shared" si="132"/>
        <v xml:space="preserve">63  - 13 </v>
      </c>
      <c r="G1069" s="164">
        <v>23463.065414369834</v>
      </c>
      <c r="H1069" s="164">
        <v>0</v>
      </c>
      <c r="I1069" s="164">
        <v>23463.065414369834</v>
      </c>
      <c r="J1069" s="164">
        <v>0</v>
      </c>
      <c r="K1069" s="164">
        <v>0</v>
      </c>
      <c r="L1069" s="164">
        <v>0</v>
      </c>
      <c r="M1069" s="164">
        <v>0</v>
      </c>
      <c r="N1069" s="164">
        <v>0</v>
      </c>
      <c r="O1069" s="164">
        <v>0</v>
      </c>
      <c r="P1069" s="164">
        <v>0</v>
      </c>
      <c r="Q1069" s="164">
        <v>0</v>
      </c>
      <c r="R1069" s="164">
        <v>0</v>
      </c>
      <c r="S1069" s="163" t="str">
        <f t="shared" si="133"/>
        <v/>
      </c>
      <c r="T1069" s="163">
        <f>VLOOKUP(A1069,'Groupe de branches'!$Z$27:$AM$86,14,FALSE)</f>
        <v>0</v>
      </c>
      <c r="U1069" s="163">
        <f>VLOOKUP(D1069,'Groupe de branches'!$Z$27:$AM$86,14,FALSE)</f>
        <v>0</v>
      </c>
      <c r="V1069" s="163">
        <v>2018</v>
      </c>
      <c r="W1069">
        <f>VLOOKUP(D1069,'Table corresp.'!$M$4:$S$63,7,FALSE)</f>
        <v>0</v>
      </c>
      <c r="X1069" s="167">
        <f>IFERROR(G1069/SUMIFS('Comp2016-2017 (3)'!$I$5:$I$289,'Comp2016-2017 (3)'!$A$5:$A$289,A1069,'Comp2016-2017 (3)'!$R$5:$R$289,V1069),0)</f>
        <v>4.9861431089559198E-2</v>
      </c>
      <c r="Y1069" s="178">
        <f>IFERROR(IF(RIGHT(F1069,3)="Exp",VLOOKUP(F1069,#REF!,2,FALSE),VLOOKUP(F1069,#REF!,9,FALSE)),1)</f>
        <v>1</v>
      </c>
      <c r="Z1069" s="167">
        <f t="shared" si="131"/>
        <v>5.8823529411764705E-2</v>
      </c>
      <c r="AA1069" s="189">
        <f t="shared" si="128"/>
        <v>2.9330253582093646E-3</v>
      </c>
      <c r="AB1069" s="2">
        <f>IFERROR(SUMIFS('Comp2016-2017 (3)'!$G$5:$G$289,'Comp2016-2017 (3)'!$A$5:$A$289,A1069,'Comp2016-2017 (3)'!$R$5:$R$289,V1069)*AA1069/SUMIFS($AA$4:$AA$1116,$A$4:$A$1116,A1069,$V$4:$V$1116,V1069),0)</f>
        <v>11989.626511489687</v>
      </c>
      <c r="AC1069" s="2">
        <f>IF($W1069=AC$3,$AB1069,IF(NOT($W1069=0),"",SUMIFS('Val-Vol (2)'!AC$4:AC$1116,'Val-Vol (2)'!$A$4:$A$1116,$D1069,'Val-Vol (2)'!$V$4:$V$1116,$V1069)/SUMIFS('Comp2016-2017 (3)'!$G$5:$G$289,'Comp2016-2017 (3)'!$A$5:$A$289,$D1069,'Comp2016-2017 (3)'!$R$5:$R$289,$V1069)*$AB1069))</f>
        <v>1614.9594658653118</v>
      </c>
      <c r="AD1069" s="2">
        <f>IF($W1069=AD$3,$AB1069,IF(NOT($W1069=0),"",SUMIFS('Val-Vol (2)'!AD$4:AD$1116,'Val-Vol (2)'!$A$4:$A$1116,$D1069,'Val-Vol (2)'!$V$4:$V$1116,$V1069)/SUMIFS('Comp2016-2017 (3)'!$G$5:$G$289,'Comp2016-2017 (3)'!$A$5:$A$289,$D1069,'Comp2016-2017 (3)'!$R$5:$R$289,$V1069)*$AB1069))</f>
        <v>3256.0953540188043</v>
      </c>
      <c r="AE1069" s="2">
        <f>IF($W1069=AE$3,$AB1069,IF(NOT($W1069=0),"",SUMIFS('Val-Vol (2)'!AE$4:AE$1116,'Val-Vol (2)'!$A$4:$A$1116,$D1069,'Val-Vol (2)'!$V$4:$V$1116,$V1069)/SUMIFS('Comp2016-2017 (3)'!$G$5:$G$289,'Comp2016-2017 (3)'!$A$5:$A$289,$D1069,'Comp2016-2017 (3)'!$R$5:$R$289,$V1069)*$AB1069))</f>
        <v>1.8134631859535639</v>
      </c>
      <c r="AF1069" s="2">
        <f>IF($W1069=AF$3,$AB1069,IF(NOT($W1069=0),"",SUMIFS('Val-Vol (2)'!AF$4:AF$1116,'Val-Vol (2)'!$A$4:$A$1116,$D1069,'Val-Vol (2)'!$V$4:$V$1116,$V1069)/SUMIFS('Comp2016-2017 (3)'!$G$5:$G$289,'Comp2016-2017 (3)'!$A$5:$A$289,$D1069,'Comp2016-2017 (3)'!$R$5:$R$289,$V1069)*$AB1069))</f>
        <v>0</v>
      </c>
      <c r="AG1069" s="2">
        <f>IF($W1069=AG$3,$AB1069,IF(NOT($W1069=0),"",SUMIFS('Val-Vol (2)'!AG$4:AG$1116,'Val-Vol (2)'!$A$4:$A$1116,$D1069,'Val-Vol (2)'!$V$4:$V$1116,$V1069)/SUMIFS('Comp2016-2017 (3)'!$G$5:$G$289,'Comp2016-2017 (3)'!$A$5:$A$289,$D1069,'Comp2016-2017 (3)'!$R$5:$R$289,$V1069)*$AB1069))</f>
        <v>2477.7155828079785</v>
      </c>
      <c r="AH1069" s="2">
        <f>IF($W1069=AH$3,$AB1069,IF(NOT($W1069=0),"",SUMIFS('Val-Vol (2)'!AH$4:AH$1116,'Val-Vol (2)'!$A$4:$A$1116,$D1069,'Val-Vol (2)'!$V$4:$V$1116,$V1069)/SUMIFS('Comp2016-2017 (3)'!$G$5:$G$289,'Comp2016-2017 (3)'!$A$5:$A$289,$D1069,'Comp2016-2017 (3)'!$R$5:$R$289,$V1069)*$AB1069))</f>
        <v>0</v>
      </c>
      <c r="AI1069" s="2">
        <f>IF($W1069=AI$3,$AB1069,IF(NOT($W1069=0),"",SUMIFS('Val-Vol (2)'!AI$4:AI$1116,'Val-Vol (2)'!$A$4:$A$1116,$D1069,'Val-Vol (2)'!$V$4:$V$1116,$V1069)/SUMIFS('Comp2016-2017 (3)'!$G$5:$G$289,'Comp2016-2017 (3)'!$A$5:$A$289,$D1069,'Comp2016-2017 (3)'!$R$5:$R$289,$V1069)*$AB1069))</f>
        <v>0</v>
      </c>
      <c r="AJ1069" s="2">
        <f>IF($W1069=AJ$3,$AB1069,IF(NOT($W1069=0),"",SUMIFS('Val-Vol (2)'!AJ$4:AJ$1116,'Val-Vol (2)'!$A$4:$A$1116,$D1069,'Val-Vol (2)'!$V$4:$V$1116,$V1069)/SUMIFS('Comp2016-2017 (3)'!$G$5:$G$289,'Comp2016-2017 (3)'!$A$5:$A$289,$D1069,'Comp2016-2017 (3)'!$R$5:$R$289,$V1069)*$AB1069))</f>
        <v>4639.0426456116375</v>
      </c>
      <c r="AK1069" s="2">
        <f t="shared" si="130"/>
        <v>0</v>
      </c>
      <c r="AL1069" t="str">
        <f t="shared" si="127"/>
        <v/>
      </c>
      <c r="AM1069" t="str">
        <f>VLOOKUP(A1069,'Table corresp.'!$M$4:$U$63,8,FALSE)</f>
        <v>Production intermédiaire</v>
      </c>
      <c r="AN1069" t="str">
        <f>VLOOKUP(D1069,'Table corresp.'!$M$4:$U$63,9,FALSE)</f>
        <v>Production intermédiaire</v>
      </c>
    </row>
    <row r="1070" spans="1:40" x14ac:dyDescent="0.25">
      <c r="A1070" t="s">
        <v>106</v>
      </c>
      <c r="B1070" t="str">
        <f>VLOOKUP(LEFT(A1070,3),'Table corresp.'!$A$4:$D$63,3,FALSE)</f>
        <v>Transformation</v>
      </c>
      <c r="C1070" t="str">
        <f>VLOOKUP(A1070,'Table corresp.'!$M$4:$P$63,4,FALSE)</f>
        <v>Production et transformation de produits bois</v>
      </c>
      <c r="D1070" t="s">
        <v>83</v>
      </c>
      <c r="E1070" t="str">
        <f>VLOOKUP(LEFT(D1070,3),'Table corresp.'!$A$4:$D$63,4,FALSE)</f>
        <v>Transformation</v>
      </c>
      <c r="F1070" t="str">
        <f t="shared" si="132"/>
        <v xml:space="preserve">63  - 14 </v>
      </c>
      <c r="G1070" s="164">
        <v>12863.934243588163</v>
      </c>
      <c r="H1070" s="164">
        <v>0</v>
      </c>
      <c r="I1070" s="164">
        <v>12863.934243588161</v>
      </c>
      <c r="J1070" s="164">
        <v>0</v>
      </c>
      <c r="K1070" s="164">
        <v>0</v>
      </c>
      <c r="L1070" s="164">
        <v>0</v>
      </c>
      <c r="M1070" s="164">
        <v>0</v>
      </c>
      <c r="N1070" s="164">
        <v>0</v>
      </c>
      <c r="O1070" s="164">
        <v>0</v>
      </c>
      <c r="P1070" s="164">
        <v>0</v>
      </c>
      <c r="Q1070" s="164">
        <v>0</v>
      </c>
      <c r="R1070" s="164">
        <v>0</v>
      </c>
      <c r="S1070" s="163" t="str">
        <f t="shared" si="133"/>
        <v/>
      </c>
      <c r="T1070" s="163">
        <f>VLOOKUP(A1070,'Groupe de branches'!$Z$27:$AM$86,14,FALSE)</f>
        <v>0</v>
      </c>
      <c r="U1070" s="163">
        <f>VLOOKUP(D1070,'Groupe de branches'!$Z$27:$AM$86,14,FALSE)</f>
        <v>0</v>
      </c>
      <c r="V1070" s="163">
        <v>2018</v>
      </c>
      <c r="W1070">
        <f>VLOOKUP(D1070,'Table corresp.'!$M$4:$S$63,7,FALSE)</f>
        <v>0</v>
      </c>
      <c r="X1070" s="167">
        <f>IFERROR(G1070/SUMIFS('Comp2016-2017 (3)'!$I$5:$I$289,'Comp2016-2017 (3)'!$A$5:$A$289,A1070,'Comp2016-2017 (3)'!$R$5:$R$289,V1070),0)</f>
        <v>2.7337185465734635E-2</v>
      </c>
      <c r="Y1070" s="178">
        <f>IFERROR(IF(RIGHT(F1070,3)="Exp",VLOOKUP(F1070,#REF!,2,FALSE),VLOOKUP(F1070,#REF!,9,FALSE)),1)</f>
        <v>1</v>
      </c>
      <c r="Z1070" s="167">
        <f t="shared" si="131"/>
        <v>5.8823529411764705E-2</v>
      </c>
      <c r="AA1070" s="189">
        <f t="shared" si="128"/>
        <v>1.608069733278508E-3</v>
      </c>
      <c r="AB1070" s="2">
        <f>IFERROR(SUMIFS('Comp2016-2017 (3)'!$G$5:$G$289,'Comp2016-2017 (3)'!$A$5:$A$289,A1070,'Comp2016-2017 (3)'!$R$5:$R$289,V1070)*AA1070/SUMIFS($AA$4:$AA$1116,$A$4:$A$1116,A1070,$V$4:$V$1116,V1070),0)</f>
        <v>6573.4704449370447</v>
      </c>
      <c r="AC1070" s="2">
        <f>IF($W1070=AC$3,$AB1070,IF(NOT($W1070=0),"",SUMIFS('Val-Vol (2)'!AC$4:AC$1116,'Val-Vol (2)'!$A$4:$A$1116,$D1070,'Val-Vol (2)'!$V$4:$V$1116,$V1070)/SUMIFS('Comp2016-2017 (3)'!$G$5:$G$289,'Comp2016-2017 (3)'!$A$5:$A$289,$D1070,'Comp2016-2017 (3)'!$R$5:$R$289,$V1070)*$AB1070))</f>
        <v>3840.1004822389505</v>
      </c>
      <c r="AD1070" s="2">
        <f>IF($W1070=AD$3,$AB1070,IF(NOT($W1070=0),"",SUMIFS('Val-Vol (2)'!AD$4:AD$1116,'Val-Vol (2)'!$A$4:$A$1116,$D1070,'Val-Vol (2)'!$V$4:$V$1116,$V1070)/SUMIFS('Comp2016-2017 (3)'!$G$5:$G$289,'Comp2016-2017 (3)'!$A$5:$A$289,$D1070,'Comp2016-2017 (3)'!$R$5:$R$289,$V1070)*$AB1070))</f>
        <v>1567.9222883133045</v>
      </c>
      <c r="AE1070" s="2">
        <f>IF($W1070=AE$3,$AB1070,IF(NOT($W1070=0),"",SUMIFS('Val-Vol (2)'!AE$4:AE$1116,'Val-Vol (2)'!$A$4:$A$1116,$D1070,'Val-Vol (2)'!$V$4:$V$1116,$V1070)/SUMIFS('Comp2016-2017 (3)'!$G$5:$G$289,'Comp2016-2017 (3)'!$A$5:$A$289,$D1070,'Comp2016-2017 (3)'!$R$5:$R$289,$V1070)*$AB1070))</f>
        <v>24.184480760472916</v>
      </c>
      <c r="AF1070" s="2">
        <f>IF($W1070=AF$3,$AB1070,IF(NOT($W1070=0),"",SUMIFS('Val-Vol (2)'!AF$4:AF$1116,'Val-Vol (2)'!$A$4:$A$1116,$D1070,'Val-Vol (2)'!$V$4:$V$1116,$V1070)/SUMIFS('Comp2016-2017 (3)'!$G$5:$G$289,'Comp2016-2017 (3)'!$A$5:$A$289,$D1070,'Comp2016-2017 (3)'!$R$5:$R$289,$V1070)*$AB1070))</f>
        <v>0</v>
      </c>
      <c r="AG1070" s="2">
        <f>IF($W1070=AG$3,$AB1070,IF(NOT($W1070=0),"",SUMIFS('Val-Vol (2)'!AG$4:AG$1116,'Val-Vol (2)'!$A$4:$A$1116,$D1070,'Val-Vol (2)'!$V$4:$V$1116,$V1070)/SUMIFS('Comp2016-2017 (3)'!$G$5:$G$289,'Comp2016-2017 (3)'!$A$5:$A$289,$D1070,'Comp2016-2017 (3)'!$R$5:$R$289,$V1070)*$AB1070))</f>
        <v>905.76623718207338</v>
      </c>
      <c r="AH1070" s="2">
        <f>IF($W1070=AH$3,$AB1070,IF(NOT($W1070=0),"",SUMIFS('Val-Vol (2)'!AH$4:AH$1116,'Val-Vol (2)'!$A$4:$A$1116,$D1070,'Val-Vol (2)'!$V$4:$V$1116,$V1070)/SUMIFS('Comp2016-2017 (3)'!$G$5:$G$289,'Comp2016-2017 (3)'!$A$5:$A$289,$D1070,'Comp2016-2017 (3)'!$R$5:$R$289,$V1070)*$AB1070))</f>
        <v>0</v>
      </c>
      <c r="AI1070" s="2">
        <f>IF($W1070=AI$3,$AB1070,IF(NOT($W1070=0),"",SUMIFS('Val-Vol (2)'!AI$4:AI$1116,'Val-Vol (2)'!$A$4:$A$1116,$D1070,'Val-Vol (2)'!$V$4:$V$1116,$V1070)/SUMIFS('Comp2016-2017 (3)'!$G$5:$G$289,'Comp2016-2017 (3)'!$A$5:$A$289,$D1070,'Comp2016-2017 (3)'!$R$5:$R$289,$V1070)*$AB1070))</f>
        <v>0</v>
      </c>
      <c r="AJ1070" s="2">
        <f>IF($W1070=AJ$3,$AB1070,IF(NOT($W1070=0),"",SUMIFS('Val-Vol (2)'!AJ$4:AJ$1116,'Val-Vol (2)'!$A$4:$A$1116,$D1070,'Val-Vol (2)'!$V$4:$V$1116,$V1070)/SUMIFS('Comp2016-2017 (3)'!$G$5:$G$289,'Comp2016-2017 (3)'!$A$5:$A$289,$D1070,'Comp2016-2017 (3)'!$R$5:$R$289,$V1070)*$AB1070))</f>
        <v>235.49695644224332</v>
      </c>
      <c r="AK1070" s="2">
        <f t="shared" si="130"/>
        <v>0</v>
      </c>
      <c r="AL1070" t="str">
        <f t="shared" si="127"/>
        <v/>
      </c>
      <c r="AM1070" t="str">
        <f>VLOOKUP(A1070,'Table corresp.'!$M$4:$U$63,8,FALSE)</f>
        <v>Production intermédiaire</v>
      </c>
      <c r="AN1070" t="str">
        <f>VLOOKUP(D1070,'Table corresp.'!$M$4:$U$63,9,FALSE)</f>
        <v>Production intermédiaire</v>
      </c>
    </row>
    <row r="1071" spans="1:40" x14ac:dyDescent="0.25">
      <c r="A1071" t="s">
        <v>106</v>
      </c>
      <c r="B1071" t="str">
        <f>VLOOKUP(LEFT(A1071,3),'Table corresp.'!$A$4:$D$63,3,FALSE)</f>
        <v>Transformation</v>
      </c>
      <c r="C1071" t="str">
        <f>VLOOKUP(A1071,'Table corresp.'!$M$4:$P$63,4,FALSE)</f>
        <v>Production et transformation de produits bois</v>
      </c>
      <c r="D1071" t="s">
        <v>9</v>
      </c>
      <c r="E1071" t="str">
        <f>VLOOKUP(LEFT(D1071,3),'Table corresp.'!$A$4:$D$63,4,FALSE)</f>
        <v>Transformation</v>
      </c>
      <c r="F1071" t="str">
        <f t="shared" si="132"/>
        <v xml:space="preserve">63  - 15 </v>
      </c>
      <c r="G1071" s="164">
        <v>31210.043284895826</v>
      </c>
      <c r="H1071" s="164">
        <v>0</v>
      </c>
      <c r="I1071" s="164">
        <v>31210.043284895826</v>
      </c>
      <c r="J1071" s="164">
        <v>0</v>
      </c>
      <c r="K1071" s="164">
        <v>0</v>
      </c>
      <c r="L1071" s="164">
        <v>0</v>
      </c>
      <c r="M1071" s="164">
        <v>0</v>
      </c>
      <c r="N1071" s="164">
        <v>0</v>
      </c>
      <c r="O1071" s="164">
        <v>0</v>
      </c>
      <c r="P1071" s="164">
        <v>0</v>
      </c>
      <c r="Q1071" s="164">
        <v>0</v>
      </c>
      <c r="R1071" s="164">
        <v>0</v>
      </c>
      <c r="S1071" s="163" t="str">
        <f t="shared" si="133"/>
        <v/>
      </c>
      <c r="T1071" s="163">
        <f>VLOOKUP(A1071,'Groupe de branches'!$Z$27:$AM$86,14,FALSE)</f>
        <v>0</v>
      </c>
      <c r="U1071" s="163">
        <f>VLOOKUP(D1071,'Groupe de branches'!$Z$27:$AM$86,14,FALSE)</f>
        <v>0</v>
      </c>
      <c r="V1071" s="163">
        <v>2018</v>
      </c>
      <c r="W1071">
        <f>VLOOKUP(D1071,'Table corresp.'!$M$4:$S$63,7,FALSE)</f>
        <v>0</v>
      </c>
      <c r="X1071" s="167">
        <f>IFERROR(G1071/SUMIFS('Comp2016-2017 (3)'!$I$5:$I$289,'Comp2016-2017 (3)'!$A$5:$A$289,A1071,'Comp2016-2017 (3)'!$R$5:$R$289,V1071),0)</f>
        <v>6.6324557131350798E-2</v>
      </c>
      <c r="Y1071" s="178">
        <f>IFERROR(IF(RIGHT(F1071,3)="Exp",VLOOKUP(F1071,#REF!,2,FALSE),VLOOKUP(F1071,#REF!,9,FALSE)),1)</f>
        <v>1</v>
      </c>
      <c r="Z1071" s="167">
        <f t="shared" si="131"/>
        <v>5.8823529411764705E-2</v>
      </c>
      <c r="AA1071" s="189">
        <f t="shared" si="128"/>
        <v>3.9014445371382822E-3</v>
      </c>
      <c r="AB1071" s="2">
        <f>IFERROR(SUMIFS('Comp2016-2017 (3)'!$G$5:$G$289,'Comp2016-2017 (3)'!$A$5:$A$289,A1071,'Comp2016-2017 (3)'!$R$5:$R$289,V1071)*AA1071/SUMIFS($AA$4:$AA$1116,$A$4:$A$1116,A1071,$V$4:$V$1116,V1071),0)</f>
        <v>15948.332231309927</v>
      </c>
      <c r="AC1071" s="2">
        <f>IF($W1071=AC$3,$AB1071,IF(NOT($W1071=0),"",SUMIFS('Val-Vol (2)'!AC$4:AC$1116,'Val-Vol (2)'!$A$4:$A$1116,$D1071,'Val-Vol (2)'!$V$4:$V$1116,$V1071)/SUMIFS('Comp2016-2017 (3)'!$G$5:$G$289,'Comp2016-2017 (3)'!$A$5:$A$289,$D1071,'Comp2016-2017 (3)'!$R$5:$R$289,$V1071)*$AB1071))</f>
        <v>475.60672793810488</v>
      </c>
      <c r="AD1071" s="2">
        <f>IF($W1071=AD$3,$AB1071,IF(NOT($W1071=0),"",SUMIFS('Val-Vol (2)'!AD$4:AD$1116,'Val-Vol (2)'!$A$4:$A$1116,$D1071,'Val-Vol (2)'!$V$4:$V$1116,$V1071)/SUMIFS('Comp2016-2017 (3)'!$G$5:$G$289,'Comp2016-2017 (3)'!$A$5:$A$289,$D1071,'Comp2016-2017 (3)'!$R$5:$R$289,$V1071)*$AB1071))</f>
        <v>2985.1352965963524</v>
      </c>
      <c r="AE1071" s="2">
        <f>IF($W1071=AE$3,$AB1071,IF(NOT($W1071=0),"",SUMIFS('Val-Vol (2)'!AE$4:AE$1116,'Val-Vol (2)'!$A$4:$A$1116,$D1071,'Val-Vol (2)'!$V$4:$V$1116,$V1071)/SUMIFS('Comp2016-2017 (3)'!$G$5:$G$289,'Comp2016-2017 (3)'!$A$5:$A$289,$D1071,'Comp2016-2017 (3)'!$R$5:$R$289,$V1071)*$AB1071))</f>
        <v>1.0093152936361107</v>
      </c>
      <c r="AF1071" s="2">
        <f>IF($W1071=AF$3,$AB1071,IF(NOT($W1071=0),"",SUMIFS('Val-Vol (2)'!AF$4:AF$1116,'Val-Vol (2)'!$A$4:$A$1116,$D1071,'Val-Vol (2)'!$V$4:$V$1116,$V1071)/SUMIFS('Comp2016-2017 (3)'!$G$5:$G$289,'Comp2016-2017 (3)'!$A$5:$A$289,$D1071,'Comp2016-2017 (3)'!$R$5:$R$289,$V1071)*$AB1071))</f>
        <v>0</v>
      </c>
      <c r="AG1071" s="2">
        <f>IF($W1071=AG$3,$AB1071,IF(NOT($W1071=0),"",SUMIFS('Val-Vol (2)'!AG$4:AG$1116,'Val-Vol (2)'!$A$4:$A$1116,$D1071,'Val-Vol (2)'!$V$4:$V$1116,$V1071)/SUMIFS('Comp2016-2017 (3)'!$G$5:$G$289,'Comp2016-2017 (3)'!$A$5:$A$289,$D1071,'Comp2016-2017 (3)'!$R$5:$R$289,$V1071)*$AB1071))</f>
        <v>7626.8928937618084</v>
      </c>
      <c r="AH1071" s="2">
        <f>IF($W1071=AH$3,$AB1071,IF(NOT($W1071=0),"",SUMIFS('Val-Vol (2)'!AH$4:AH$1116,'Val-Vol (2)'!$A$4:$A$1116,$D1071,'Val-Vol (2)'!$V$4:$V$1116,$V1071)/SUMIFS('Comp2016-2017 (3)'!$G$5:$G$289,'Comp2016-2017 (3)'!$A$5:$A$289,$D1071,'Comp2016-2017 (3)'!$R$5:$R$289,$V1071)*$AB1071))</f>
        <v>0</v>
      </c>
      <c r="AI1071" s="2">
        <f>IF($W1071=AI$3,$AB1071,IF(NOT($W1071=0),"",SUMIFS('Val-Vol (2)'!AI$4:AI$1116,'Val-Vol (2)'!$A$4:$A$1116,$D1071,'Val-Vol (2)'!$V$4:$V$1116,$V1071)/SUMIFS('Comp2016-2017 (3)'!$G$5:$G$289,'Comp2016-2017 (3)'!$A$5:$A$289,$D1071,'Comp2016-2017 (3)'!$R$5:$R$289,$V1071)*$AB1071))</f>
        <v>0</v>
      </c>
      <c r="AJ1071" s="2">
        <f>IF($W1071=AJ$3,$AB1071,IF(NOT($W1071=0),"",SUMIFS('Val-Vol (2)'!AJ$4:AJ$1116,'Val-Vol (2)'!$A$4:$A$1116,$D1071,'Val-Vol (2)'!$V$4:$V$1116,$V1071)/SUMIFS('Comp2016-2017 (3)'!$G$5:$G$289,'Comp2016-2017 (3)'!$A$5:$A$289,$D1071,'Comp2016-2017 (3)'!$R$5:$R$289,$V1071)*$AB1071))</f>
        <v>4859.6879977200251</v>
      </c>
      <c r="AK1071" s="2">
        <f t="shared" si="130"/>
        <v>0</v>
      </c>
      <c r="AL1071" t="str">
        <f t="shared" si="127"/>
        <v/>
      </c>
      <c r="AM1071" t="str">
        <f>VLOOKUP(A1071,'Table corresp.'!$M$4:$U$63,8,FALSE)</f>
        <v>Production intermédiaire</v>
      </c>
      <c r="AN1071" t="str">
        <f>VLOOKUP(D1071,'Table corresp.'!$M$4:$U$63,9,FALSE)</f>
        <v>Production intermédiaire</v>
      </c>
    </row>
    <row r="1072" spans="1:40" x14ac:dyDescent="0.25">
      <c r="A1072" t="s">
        <v>106</v>
      </c>
      <c r="B1072" t="str">
        <f>VLOOKUP(LEFT(A1072,3),'Table corresp.'!$A$4:$D$63,3,FALSE)</f>
        <v>Transformation</v>
      </c>
      <c r="C1072" t="str">
        <f>VLOOKUP(A1072,'Table corresp.'!$M$4:$P$63,4,FALSE)</f>
        <v>Production et transformation de produits bois</v>
      </c>
      <c r="D1072" t="s">
        <v>10</v>
      </c>
      <c r="E1072" t="str">
        <f>VLOOKUP(LEFT(D1072,3),'Table corresp.'!$A$4:$D$63,4,FALSE)</f>
        <v>Transformation</v>
      </c>
      <c r="F1072" t="str">
        <f t="shared" si="132"/>
        <v xml:space="preserve">63  - 16 </v>
      </c>
      <c r="G1072" s="164">
        <v>3133.4637382735591</v>
      </c>
      <c r="H1072" s="164">
        <v>0</v>
      </c>
      <c r="I1072" s="164">
        <v>3133.4637382735591</v>
      </c>
      <c r="J1072" s="164">
        <v>0</v>
      </c>
      <c r="K1072" s="164">
        <v>0</v>
      </c>
      <c r="L1072" s="164">
        <v>0</v>
      </c>
      <c r="M1072" s="164">
        <v>0</v>
      </c>
      <c r="N1072" s="164">
        <v>0</v>
      </c>
      <c r="O1072" s="164">
        <v>0</v>
      </c>
      <c r="P1072" s="164">
        <v>0</v>
      </c>
      <c r="Q1072" s="164">
        <v>0</v>
      </c>
      <c r="R1072" s="164">
        <v>0</v>
      </c>
      <c r="S1072" s="163" t="str">
        <f t="shared" si="133"/>
        <v/>
      </c>
      <c r="T1072" s="163">
        <f>VLOOKUP(A1072,'Groupe de branches'!$Z$27:$AM$86,14,FALSE)</f>
        <v>0</v>
      </c>
      <c r="U1072" s="163">
        <f>VLOOKUP(D1072,'Groupe de branches'!$Z$27:$AM$86,14,FALSE)</f>
        <v>0</v>
      </c>
      <c r="V1072" s="163">
        <v>2018</v>
      </c>
      <c r="W1072" t="str">
        <f>VLOOKUP(D1072,'Table corresp.'!$M$4:$S$63,7,FALSE)</f>
        <v>Emballage bois et carton</v>
      </c>
      <c r="X1072" s="167">
        <f>IFERROR(G1072/SUMIFS('Comp2016-2017 (3)'!$I$5:$I$289,'Comp2016-2017 (3)'!$A$5:$A$289,A1072,'Comp2016-2017 (3)'!$R$5:$R$289,V1072),0)</f>
        <v>6.6589332424514258E-3</v>
      </c>
      <c r="Y1072" s="178">
        <f>IFERROR(IF(RIGHT(F1072,3)="Exp",VLOOKUP(F1072,#REF!,2,FALSE),VLOOKUP(F1072,#REF!,9,FALSE)),1)</f>
        <v>1</v>
      </c>
      <c r="Z1072" s="167">
        <f t="shared" si="131"/>
        <v>5.8823529411764705E-2</v>
      </c>
      <c r="AA1072" s="189">
        <f t="shared" si="128"/>
        <v>3.9170195543831917E-4</v>
      </c>
      <c r="AB1072" s="2">
        <f>IFERROR(SUMIFS('Comp2016-2017 (3)'!$G$5:$G$289,'Comp2016-2017 (3)'!$A$5:$A$289,A1072,'Comp2016-2017 (3)'!$R$5:$R$289,V1072)*AA1072/SUMIFS($AA$4:$AA$1116,$A$4:$A$1116,A1072,$V$4:$V$1116,V1072),0)</f>
        <v>1601.1999815756074</v>
      </c>
      <c r="AC1072" s="2" t="str">
        <f>IF($W1072=AC$3,$AB1072,IF(NOT($W1072=0),"",SUMIFS('Val-Vol (2)'!AC$4:AC$1116,'Val-Vol (2)'!$A$4:$A$1116,$D1072,'Val-Vol (2)'!$V$4:$V$1116,$V1072)/SUMIFS('Comp2016-2017 (3)'!$G$5:$G$289,'Comp2016-2017 (3)'!$A$5:$A$289,$D1072,'Comp2016-2017 (3)'!$R$5:$R$289,$V1072)*$AB1072))</f>
        <v/>
      </c>
      <c r="AD1072" s="2" t="str">
        <f>IF($W1072=AD$3,$AB1072,IF(NOT($W1072=0),"",SUMIFS('Val-Vol (2)'!AD$4:AD$1116,'Val-Vol (2)'!$A$4:$A$1116,$D1072,'Val-Vol (2)'!$V$4:$V$1116,$V1072)/SUMIFS('Comp2016-2017 (3)'!$G$5:$G$289,'Comp2016-2017 (3)'!$A$5:$A$289,$D1072,'Comp2016-2017 (3)'!$R$5:$R$289,$V1072)*$AB1072))</f>
        <v/>
      </c>
      <c r="AE1072" s="2" t="str">
        <f>IF($W1072=AE$3,$AB1072,IF(NOT($W1072=0),"",SUMIFS('Val-Vol (2)'!AE$4:AE$1116,'Val-Vol (2)'!$A$4:$A$1116,$D1072,'Val-Vol (2)'!$V$4:$V$1116,$V1072)/SUMIFS('Comp2016-2017 (3)'!$G$5:$G$289,'Comp2016-2017 (3)'!$A$5:$A$289,$D1072,'Comp2016-2017 (3)'!$R$5:$R$289,$V1072)*$AB1072))</f>
        <v/>
      </c>
      <c r="AF1072" s="2" t="str">
        <f>IF($W1072=AF$3,$AB1072,IF(NOT($W1072=0),"",SUMIFS('Val-Vol (2)'!AF$4:AF$1116,'Val-Vol (2)'!$A$4:$A$1116,$D1072,'Val-Vol (2)'!$V$4:$V$1116,$V1072)/SUMIFS('Comp2016-2017 (3)'!$G$5:$G$289,'Comp2016-2017 (3)'!$A$5:$A$289,$D1072,'Comp2016-2017 (3)'!$R$5:$R$289,$V1072)*$AB1072))</f>
        <v/>
      </c>
      <c r="AG1072" s="2">
        <f>IF($W1072=AG$3,$AB1072,IF(NOT($W1072=0),"",SUMIFS('Val-Vol (2)'!AG$4:AG$1116,'Val-Vol (2)'!$A$4:$A$1116,$D1072,'Val-Vol (2)'!$V$4:$V$1116,$V1072)/SUMIFS('Comp2016-2017 (3)'!$G$5:$G$289,'Comp2016-2017 (3)'!$A$5:$A$289,$D1072,'Comp2016-2017 (3)'!$R$5:$R$289,$V1072)*$AB1072))</f>
        <v>1601.1999815756074</v>
      </c>
      <c r="AH1072" s="2" t="str">
        <f>IF($W1072=AH$3,$AB1072,IF(NOT($W1072=0),"",SUMIFS('Val-Vol (2)'!AH$4:AH$1116,'Val-Vol (2)'!$A$4:$A$1116,$D1072,'Val-Vol (2)'!$V$4:$V$1116,$V1072)/SUMIFS('Comp2016-2017 (3)'!$G$5:$G$289,'Comp2016-2017 (3)'!$A$5:$A$289,$D1072,'Comp2016-2017 (3)'!$R$5:$R$289,$V1072)*$AB1072))</f>
        <v/>
      </c>
      <c r="AI1072" s="2" t="str">
        <f>IF($W1072=AI$3,$AB1072,IF(NOT($W1072=0),"",SUMIFS('Val-Vol (2)'!AI$4:AI$1116,'Val-Vol (2)'!$A$4:$A$1116,$D1072,'Val-Vol (2)'!$V$4:$V$1116,$V1072)/SUMIFS('Comp2016-2017 (3)'!$G$5:$G$289,'Comp2016-2017 (3)'!$A$5:$A$289,$D1072,'Comp2016-2017 (3)'!$R$5:$R$289,$V1072)*$AB1072))</f>
        <v/>
      </c>
      <c r="AJ1072" s="2" t="str">
        <f>IF($W1072=AJ$3,$AB1072,IF(NOT($W1072=0),"",SUMIFS('Val-Vol (2)'!AJ$4:AJ$1116,'Val-Vol (2)'!$A$4:$A$1116,$D1072,'Val-Vol (2)'!$V$4:$V$1116,$V1072)/SUMIFS('Comp2016-2017 (3)'!$G$5:$G$289,'Comp2016-2017 (3)'!$A$5:$A$289,$D1072,'Comp2016-2017 (3)'!$R$5:$R$289,$V1072)*$AB1072))</f>
        <v/>
      </c>
      <c r="AK1072" s="2">
        <f t="shared" si="130"/>
        <v>0</v>
      </c>
      <c r="AL1072" t="str">
        <f t="shared" si="127"/>
        <v/>
      </c>
      <c r="AM1072" t="str">
        <f>VLOOKUP(A1072,'Table corresp.'!$M$4:$U$63,8,FALSE)</f>
        <v>Production intermédiaire</v>
      </c>
      <c r="AN1072" t="str">
        <f>VLOOKUP(D1072,'Table corresp.'!$M$4:$U$63,9,FALSE)</f>
        <v>Production intermédiaire</v>
      </c>
    </row>
    <row r="1073" spans="1:40" x14ac:dyDescent="0.25">
      <c r="A1073" t="s">
        <v>106</v>
      </c>
      <c r="B1073" t="str">
        <f>VLOOKUP(LEFT(A1073,3),'Table corresp.'!$A$4:$D$63,3,FALSE)</f>
        <v>Transformation</v>
      </c>
      <c r="C1073" t="str">
        <f>VLOOKUP(A1073,'Table corresp.'!$M$4:$P$63,4,FALSE)</f>
        <v>Production et transformation de produits bois</v>
      </c>
      <c r="D1073" t="s">
        <v>84</v>
      </c>
      <c r="E1073" t="str">
        <f>VLOOKUP(LEFT(D1073,3),'Table corresp.'!$A$4:$D$63,4,FALSE)</f>
        <v>Transformation</v>
      </c>
      <c r="F1073" t="str">
        <f t="shared" si="132"/>
        <v xml:space="preserve">63  - 17 </v>
      </c>
      <c r="G1073" s="164">
        <v>3408.4037873085081</v>
      </c>
      <c r="H1073" s="164">
        <v>0</v>
      </c>
      <c r="I1073" s="164">
        <v>3408.4037873085076</v>
      </c>
      <c r="J1073" s="164">
        <v>0</v>
      </c>
      <c r="K1073" s="164">
        <v>0</v>
      </c>
      <c r="L1073" s="164">
        <v>0</v>
      </c>
      <c r="M1073" s="164">
        <v>0</v>
      </c>
      <c r="N1073" s="164">
        <v>0</v>
      </c>
      <c r="O1073" s="164">
        <v>0</v>
      </c>
      <c r="P1073" s="164">
        <v>0</v>
      </c>
      <c r="Q1073" s="164">
        <v>0</v>
      </c>
      <c r="R1073" s="164">
        <v>0</v>
      </c>
      <c r="S1073" s="163" t="str">
        <f t="shared" si="133"/>
        <v/>
      </c>
      <c r="T1073" s="163">
        <f>VLOOKUP(A1073,'Groupe de branches'!$Z$27:$AM$86,14,FALSE)</f>
        <v>0</v>
      </c>
      <c r="U1073" s="163">
        <f>VLOOKUP(D1073,'Groupe de branches'!$Z$27:$AM$86,14,FALSE)</f>
        <v>0</v>
      </c>
      <c r="V1073" s="163">
        <v>2018</v>
      </c>
      <c r="W1073" t="str">
        <f>VLOOKUP(D1073,'Table corresp.'!$M$4:$S$63,7,FALSE)</f>
        <v>Construction</v>
      </c>
      <c r="X1073" s="167">
        <f>IFERROR(G1073/SUMIFS('Comp2016-2017 (3)'!$I$5:$I$289,'Comp2016-2017 (3)'!$A$5:$A$289,A1073,'Comp2016-2017 (3)'!$R$5:$R$289,V1073),0)</f>
        <v>7.2432091700256711E-3</v>
      </c>
      <c r="Y1073" s="178">
        <f>IFERROR(IF(RIGHT(F1073,3)="Exp",VLOOKUP(F1073,#REF!,2,FALSE),VLOOKUP(F1073,#REF!,9,FALSE)),1)</f>
        <v>1</v>
      </c>
      <c r="Z1073" s="167">
        <f t="shared" si="131"/>
        <v>5.8823529411764705E-2</v>
      </c>
      <c r="AA1073" s="189">
        <f t="shared" si="128"/>
        <v>4.2607112764856889E-4</v>
      </c>
      <c r="AB1073" s="2">
        <f>IFERROR(SUMIFS('Comp2016-2017 (3)'!$G$5:$G$289,'Comp2016-2017 (3)'!$A$5:$A$289,A1073,'Comp2016-2017 (3)'!$R$5:$R$289,V1073)*AA1073/SUMIFS($AA$4:$AA$1116,$A$4:$A$1116,A1073,$V$4:$V$1116,V1073),0)</f>
        <v>1741.6943476255271</v>
      </c>
      <c r="AC1073" s="2" t="str">
        <f>IF($W1073=AC$3,$AB1073,IF(NOT($W1073=0),"",SUMIFS('Val-Vol (2)'!AC$4:AC$1116,'Val-Vol (2)'!$A$4:$A$1116,$D1073,'Val-Vol (2)'!$V$4:$V$1116,$V1073)/SUMIFS('Comp2016-2017 (3)'!$G$5:$G$289,'Comp2016-2017 (3)'!$A$5:$A$289,$D1073,'Comp2016-2017 (3)'!$R$5:$R$289,$V1073)*$AB1073))</f>
        <v/>
      </c>
      <c r="AD1073" s="2">
        <f>IF($W1073=AD$3,$AB1073,IF(NOT($W1073=0),"",SUMIFS('Val-Vol (2)'!AD$4:AD$1116,'Val-Vol (2)'!$A$4:$A$1116,$D1073,'Val-Vol (2)'!$V$4:$V$1116,$V1073)/SUMIFS('Comp2016-2017 (3)'!$G$5:$G$289,'Comp2016-2017 (3)'!$A$5:$A$289,$D1073,'Comp2016-2017 (3)'!$R$5:$R$289,$V1073)*$AB1073))</f>
        <v>1741.6943476255271</v>
      </c>
      <c r="AE1073" s="2" t="str">
        <f>IF($W1073=AE$3,$AB1073,IF(NOT($W1073=0),"",SUMIFS('Val-Vol (2)'!AE$4:AE$1116,'Val-Vol (2)'!$A$4:$A$1116,$D1073,'Val-Vol (2)'!$V$4:$V$1116,$V1073)/SUMIFS('Comp2016-2017 (3)'!$G$5:$G$289,'Comp2016-2017 (3)'!$A$5:$A$289,$D1073,'Comp2016-2017 (3)'!$R$5:$R$289,$V1073)*$AB1073))</f>
        <v/>
      </c>
      <c r="AF1073" s="2" t="str">
        <f>IF($W1073=AF$3,$AB1073,IF(NOT($W1073=0),"",SUMIFS('Val-Vol (2)'!AF$4:AF$1116,'Val-Vol (2)'!$A$4:$A$1116,$D1073,'Val-Vol (2)'!$V$4:$V$1116,$V1073)/SUMIFS('Comp2016-2017 (3)'!$G$5:$G$289,'Comp2016-2017 (3)'!$A$5:$A$289,$D1073,'Comp2016-2017 (3)'!$R$5:$R$289,$V1073)*$AB1073))</f>
        <v/>
      </c>
      <c r="AG1073" s="2" t="str">
        <f>IF($W1073=AG$3,$AB1073,IF(NOT($W1073=0),"",SUMIFS('Val-Vol (2)'!AG$4:AG$1116,'Val-Vol (2)'!$A$4:$A$1116,$D1073,'Val-Vol (2)'!$V$4:$V$1116,$V1073)/SUMIFS('Comp2016-2017 (3)'!$G$5:$G$289,'Comp2016-2017 (3)'!$A$5:$A$289,$D1073,'Comp2016-2017 (3)'!$R$5:$R$289,$V1073)*$AB1073))</f>
        <v/>
      </c>
      <c r="AH1073" s="2" t="str">
        <f>IF($W1073=AH$3,$AB1073,IF(NOT($W1073=0),"",SUMIFS('Val-Vol (2)'!AH$4:AH$1116,'Val-Vol (2)'!$A$4:$A$1116,$D1073,'Val-Vol (2)'!$V$4:$V$1116,$V1073)/SUMIFS('Comp2016-2017 (3)'!$G$5:$G$289,'Comp2016-2017 (3)'!$A$5:$A$289,$D1073,'Comp2016-2017 (3)'!$R$5:$R$289,$V1073)*$AB1073))</f>
        <v/>
      </c>
      <c r="AI1073" s="2" t="str">
        <f>IF($W1073=AI$3,$AB1073,IF(NOT($W1073=0),"",SUMIFS('Val-Vol (2)'!AI$4:AI$1116,'Val-Vol (2)'!$A$4:$A$1116,$D1073,'Val-Vol (2)'!$V$4:$V$1116,$V1073)/SUMIFS('Comp2016-2017 (3)'!$G$5:$G$289,'Comp2016-2017 (3)'!$A$5:$A$289,$D1073,'Comp2016-2017 (3)'!$R$5:$R$289,$V1073)*$AB1073))</f>
        <v/>
      </c>
      <c r="AJ1073" s="2" t="str">
        <f>IF($W1073=AJ$3,$AB1073,IF(NOT($W1073=0),"",SUMIFS('Val-Vol (2)'!AJ$4:AJ$1116,'Val-Vol (2)'!$A$4:$A$1116,$D1073,'Val-Vol (2)'!$V$4:$V$1116,$V1073)/SUMIFS('Comp2016-2017 (3)'!$G$5:$G$289,'Comp2016-2017 (3)'!$A$5:$A$289,$D1073,'Comp2016-2017 (3)'!$R$5:$R$289,$V1073)*$AB1073))</f>
        <v/>
      </c>
      <c r="AK1073" s="2">
        <f t="shared" si="130"/>
        <v>0</v>
      </c>
      <c r="AL1073" t="str">
        <f t="shared" si="127"/>
        <v/>
      </c>
      <c r="AM1073" t="str">
        <f>VLOOKUP(A1073,'Table corresp.'!$M$4:$U$63,8,FALSE)</f>
        <v>Production intermédiaire</v>
      </c>
      <c r="AN1073" t="str">
        <f>VLOOKUP(D1073,'Table corresp.'!$M$4:$U$63,9,FALSE)</f>
        <v>Production intermédiaire</v>
      </c>
    </row>
    <row r="1074" spans="1:40" x14ac:dyDescent="0.25">
      <c r="A1074" t="s">
        <v>106</v>
      </c>
      <c r="B1074" t="str">
        <f>VLOOKUP(LEFT(A1074,3),'Table corresp.'!$A$4:$D$63,3,FALSE)</f>
        <v>Transformation</v>
      </c>
      <c r="C1074" t="str">
        <f>VLOOKUP(A1074,'Table corresp.'!$M$4:$P$63,4,FALSE)</f>
        <v>Production et transformation de produits bois</v>
      </c>
      <c r="D1074" t="s">
        <v>86</v>
      </c>
      <c r="E1074" t="str">
        <f>VLOOKUP(LEFT(D1074,3),'Table corresp.'!$A$4:$D$63,4,FALSE)</f>
        <v>Transformation</v>
      </c>
      <c r="F1074" t="str">
        <f t="shared" si="132"/>
        <v xml:space="preserve">63  - 30 </v>
      </c>
      <c r="G1074" s="164">
        <v>28072.203579823032</v>
      </c>
      <c r="H1074" s="164">
        <v>0</v>
      </c>
      <c r="I1074" s="164">
        <v>28072.203579823032</v>
      </c>
      <c r="J1074" s="164">
        <v>0</v>
      </c>
      <c r="K1074" s="164">
        <v>0</v>
      </c>
      <c r="L1074" s="164">
        <v>0</v>
      </c>
      <c r="M1074" s="164">
        <v>0</v>
      </c>
      <c r="N1074" s="164">
        <v>0</v>
      </c>
      <c r="O1074" s="164">
        <v>0</v>
      </c>
      <c r="P1074" s="164">
        <v>0</v>
      </c>
      <c r="Q1074" s="164">
        <v>0</v>
      </c>
      <c r="R1074" s="164">
        <v>0</v>
      </c>
      <c r="S1074" s="163" t="str">
        <f t="shared" si="133"/>
        <v/>
      </c>
      <c r="T1074" s="163">
        <f>VLOOKUP(A1074,'Groupe de branches'!$Z$27:$AM$86,14,FALSE)</f>
        <v>0</v>
      </c>
      <c r="U1074" s="163">
        <f>VLOOKUP(D1074,'Groupe de branches'!$Z$27:$AM$86,14,FALSE)</f>
        <v>1</v>
      </c>
      <c r="V1074" s="163">
        <v>2018</v>
      </c>
      <c r="W1074" t="str">
        <f>VLOOKUP(D1074,'Table corresp.'!$M$4:$S$63,7,FALSE)</f>
        <v>Energie</v>
      </c>
      <c r="X1074" s="167">
        <f>IFERROR(G1074/SUMIFS('Comp2016-2017 (3)'!$I$5:$I$289,'Comp2016-2017 (3)'!$A$5:$A$289,A1074,'Comp2016-2017 (3)'!$R$5:$R$289,V1074),0)</f>
        <v>5.9656324508653998E-2</v>
      </c>
      <c r="Y1074" s="178">
        <f>IFERROR(IF(RIGHT(F1074,3)="Exp",VLOOKUP(F1074,#REF!,2,FALSE),VLOOKUP(F1074,#REF!,9,FALSE)),1)</f>
        <v>1</v>
      </c>
      <c r="Z1074" s="167">
        <f t="shared" si="131"/>
        <v>5.8823529411764705E-2</v>
      </c>
      <c r="AA1074" s="189">
        <f t="shared" si="128"/>
        <v>3.5091955593325882E-3</v>
      </c>
      <c r="AB1074" s="2">
        <f>IFERROR(SUMIFS('Comp2016-2017 (3)'!$G$5:$G$289,'Comp2016-2017 (3)'!$A$5:$A$289,A1074,'Comp2016-2017 (3)'!$R$5:$R$289,V1074)*AA1074/SUMIFS($AA$4:$AA$1116,$A$4:$A$1116,A1074,$V$4:$V$1116,V1074),0)</f>
        <v>14344.896130684107</v>
      </c>
      <c r="AC1074" s="2" t="str">
        <f>IF($W1074=AC$3,$AB1074,IF(NOT($W1074=0),"",SUMIFS('Val-Vol (2)'!AC$4:AC$1116,'Val-Vol (2)'!$A$4:$A$1116,$D1074,'Val-Vol (2)'!$V$4:$V$1116,$V1074)/SUMIFS('Comp2016-2017 (3)'!$G$5:$G$289,'Comp2016-2017 (3)'!$A$5:$A$289,$D1074,'Comp2016-2017 (3)'!$R$5:$R$289,$V1074)*$AB1074))</f>
        <v/>
      </c>
      <c r="AD1074" s="2" t="str">
        <f>IF($W1074=AD$3,$AB1074,IF(NOT($W1074=0),"",SUMIFS('Val-Vol (2)'!AD$4:AD$1116,'Val-Vol (2)'!$A$4:$A$1116,$D1074,'Val-Vol (2)'!$V$4:$V$1116,$V1074)/SUMIFS('Comp2016-2017 (3)'!$G$5:$G$289,'Comp2016-2017 (3)'!$A$5:$A$289,$D1074,'Comp2016-2017 (3)'!$R$5:$R$289,$V1074)*$AB1074))</f>
        <v/>
      </c>
      <c r="AE1074" s="2" t="str">
        <f>IF($W1074=AE$3,$AB1074,IF(NOT($W1074=0),"",SUMIFS('Val-Vol (2)'!AE$4:AE$1116,'Val-Vol (2)'!$A$4:$A$1116,$D1074,'Val-Vol (2)'!$V$4:$V$1116,$V1074)/SUMIFS('Comp2016-2017 (3)'!$G$5:$G$289,'Comp2016-2017 (3)'!$A$5:$A$289,$D1074,'Comp2016-2017 (3)'!$R$5:$R$289,$V1074)*$AB1074))</f>
        <v/>
      </c>
      <c r="AF1074" s="2" t="str">
        <f>IF($W1074=AF$3,$AB1074,IF(NOT($W1074=0),"",SUMIFS('Val-Vol (2)'!AF$4:AF$1116,'Val-Vol (2)'!$A$4:$A$1116,$D1074,'Val-Vol (2)'!$V$4:$V$1116,$V1074)/SUMIFS('Comp2016-2017 (3)'!$G$5:$G$289,'Comp2016-2017 (3)'!$A$5:$A$289,$D1074,'Comp2016-2017 (3)'!$R$5:$R$289,$V1074)*$AB1074))</f>
        <v/>
      </c>
      <c r="AG1074" s="2" t="str">
        <f>IF($W1074=AG$3,$AB1074,IF(NOT($W1074=0),"",SUMIFS('Val-Vol (2)'!AG$4:AG$1116,'Val-Vol (2)'!$A$4:$A$1116,$D1074,'Val-Vol (2)'!$V$4:$V$1116,$V1074)/SUMIFS('Comp2016-2017 (3)'!$G$5:$G$289,'Comp2016-2017 (3)'!$A$5:$A$289,$D1074,'Comp2016-2017 (3)'!$R$5:$R$289,$V1074)*$AB1074))</f>
        <v/>
      </c>
      <c r="AH1074" s="2">
        <f>IF($W1074=AH$3,$AB1074,IF(NOT($W1074=0),"",SUMIFS('Val-Vol (2)'!AH$4:AH$1116,'Val-Vol (2)'!$A$4:$A$1116,$D1074,'Val-Vol (2)'!$V$4:$V$1116,$V1074)/SUMIFS('Comp2016-2017 (3)'!$G$5:$G$289,'Comp2016-2017 (3)'!$A$5:$A$289,$D1074,'Comp2016-2017 (3)'!$R$5:$R$289,$V1074)*$AB1074))</f>
        <v>14344.896130684107</v>
      </c>
      <c r="AI1074" s="2" t="str">
        <f>IF($W1074=AI$3,$AB1074,IF(NOT($W1074=0),"",SUMIFS('Val-Vol (2)'!AI$4:AI$1116,'Val-Vol (2)'!$A$4:$A$1116,$D1074,'Val-Vol (2)'!$V$4:$V$1116,$V1074)/SUMIFS('Comp2016-2017 (3)'!$G$5:$G$289,'Comp2016-2017 (3)'!$A$5:$A$289,$D1074,'Comp2016-2017 (3)'!$R$5:$R$289,$V1074)*$AB1074))</f>
        <v/>
      </c>
      <c r="AJ1074" s="2" t="str">
        <f>IF($W1074=AJ$3,$AB1074,IF(NOT($W1074=0),"",SUMIFS('Val-Vol (2)'!AJ$4:AJ$1116,'Val-Vol (2)'!$A$4:$A$1116,$D1074,'Val-Vol (2)'!$V$4:$V$1116,$V1074)/SUMIFS('Comp2016-2017 (3)'!$G$5:$G$289,'Comp2016-2017 (3)'!$A$5:$A$289,$D1074,'Comp2016-2017 (3)'!$R$5:$R$289,$V1074)*$AB1074))</f>
        <v/>
      </c>
      <c r="AK1074" s="2">
        <f t="shared" si="130"/>
        <v>0</v>
      </c>
      <c r="AL1074" t="str">
        <f t="shared" si="127"/>
        <v/>
      </c>
      <c r="AM1074" t="str">
        <f>VLOOKUP(A1074,'Table corresp.'!$M$4:$U$63,8,FALSE)</f>
        <v>Production intermédiaire</v>
      </c>
      <c r="AN1074" t="str">
        <f>VLOOKUP(D1074,'Table corresp.'!$M$4:$U$63,9,FALSE)</f>
        <v>Production intermédiaire</v>
      </c>
    </row>
    <row r="1075" spans="1:40" x14ac:dyDescent="0.25">
      <c r="A1075" t="s">
        <v>106</v>
      </c>
      <c r="B1075" t="str">
        <f>VLOOKUP(LEFT(A1075,3),'Table corresp.'!$A$4:$D$63,3,FALSE)</f>
        <v>Transformation</v>
      </c>
      <c r="C1075" t="str">
        <f>VLOOKUP(A1075,'Table corresp.'!$M$4:$P$63,4,FALSE)</f>
        <v>Production et transformation de produits bois</v>
      </c>
      <c r="D1075" t="s">
        <v>87</v>
      </c>
      <c r="E1075" t="str">
        <f>VLOOKUP(LEFT(D1075,3),'Table corresp.'!$A$4:$D$63,4,FALSE)</f>
        <v>Transformation</v>
      </c>
      <c r="F1075" t="str">
        <f t="shared" si="132"/>
        <v xml:space="preserve">63  - 31 </v>
      </c>
      <c r="G1075" s="164">
        <v>39855.604985458864</v>
      </c>
      <c r="H1075" s="164">
        <v>0</v>
      </c>
      <c r="I1075" s="164">
        <v>39855.604985458871</v>
      </c>
      <c r="J1075" s="164">
        <v>0</v>
      </c>
      <c r="K1075" s="164">
        <v>0</v>
      </c>
      <c r="L1075" s="164">
        <v>0</v>
      </c>
      <c r="M1075" s="164">
        <v>0</v>
      </c>
      <c r="N1075" s="164">
        <v>0</v>
      </c>
      <c r="O1075" s="164">
        <v>0</v>
      </c>
      <c r="P1075" s="164">
        <v>0</v>
      </c>
      <c r="Q1075" s="164">
        <v>0</v>
      </c>
      <c r="R1075" s="164">
        <v>0</v>
      </c>
      <c r="S1075" s="163" t="str">
        <f t="shared" si="133"/>
        <v/>
      </c>
      <c r="T1075" s="163">
        <f>VLOOKUP(A1075,'Groupe de branches'!$Z$27:$AM$86,14,FALSE)</f>
        <v>0</v>
      </c>
      <c r="U1075" s="163">
        <f>VLOOKUP(D1075,'Groupe de branches'!$Z$27:$AM$86,14,FALSE)</f>
        <v>0</v>
      </c>
      <c r="V1075" s="163">
        <v>2018</v>
      </c>
      <c r="W1075">
        <f>VLOOKUP(D1075,'Table corresp.'!$M$4:$S$63,7,FALSE)</f>
        <v>0</v>
      </c>
      <c r="X1075" s="167">
        <f>IFERROR(G1075/SUMIFS('Comp2016-2017 (3)'!$I$5:$I$289,'Comp2016-2017 (3)'!$A$5:$A$289,A1075,'Comp2016-2017 (3)'!$R$5:$R$289,V1075),0)</f>
        <v>8.4697266380976091E-2</v>
      </c>
      <c r="Y1075" s="178">
        <f>IFERROR(IF(RIGHT(F1075,3)="Exp",VLOOKUP(F1075,#REF!,2,FALSE),VLOOKUP(F1075,#REF!,9,FALSE)),1)</f>
        <v>1</v>
      </c>
      <c r="Z1075" s="167">
        <f t="shared" si="131"/>
        <v>5.8823529411764705E-2</v>
      </c>
      <c r="AA1075" s="189">
        <f t="shared" si="128"/>
        <v>4.9821921400574169E-3</v>
      </c>
      <c r="AB1075" s="2">
        <f>IFERROR(SUMIFS('Comp2016-2017 (3)'!$G$5:$G$289,'Comp2016-2017 (3)'!$A$5:$A$289,A1075,'Comp2016-2017 (3)'!$R$5:$R$289,V1075)*AA1075/SUMIFS($AA$4:$AA$1116,$A$4:$A$1116,A1075,$V$4:$V$1116,V1075),0)</f>
        <v>20366.214291524706</v>
      </c>
      <c r="AC1075" s="2">
        <f>IF($W1075=AC$3,$AB1075,IF(NOT($W1075=0),"",SUMIFS('Val-Vol (2)'!AC$4:AC$1116,'Val-Vol (2)'!$A$4:$A$1116,$D1075,'Val-Vol (2)'!$V$4:$V$1116,$V1075)/SUMIFS('Comp2016-2017 (3)'!$G$5:$G$289,'Comp2016-2017 (3)'!$A$5:$A$289,$D1075,'Comp2016-2017 (3)'!$R$5:$R$289,$V1075)*$AB1075))</f>
        <v>11443.846572122528</v>
      </c>
      <c r="AD1075" s="2">
        <f>IF($W1075=AD$3,$AB1075,IF(NOT($W1075=0),"",SUMIFS('Val-Vol (2)'!AD$4:AD$1116,'Val-Vol (2)'!$A$4:$A$1116,$D1075,'Val-Vol (2)'!$V$4:$V$1116,$V1075)/SUMIFS('Comp2016-2017 (3)'!$G$5:$G$289,'Comp2016-2017 (3)'!$A$5:$A$289,$D1075,'Comp2016-2017 (3)'!$R$5:$R$289,$V1075)*$AB1075))</f>
        <v>3623.0939886180404</v>
      </c>
      <c r="AE1075" s="2">
        <f>IF($W1075=AE$3,$AB1075,IF(NOT($W1075=0),"",SUMIFS('Val-Vol (2)'!AE$4:AE$1116,'Val-Vol (2)'!$A$4:$A$1116,$D1075,'Val-Vol (2)'!$V$4:$V$1116,$V1075)/SUMIFS('Comp2016-2017 (3)'!$G$5:$G$289,'Comp2016-2017 (3)'!$A$5:$A$289,$D1075,'Comp2016-2017 (3)'!$R$5:$R$289,$V1075)*$AB1075))</f>
        <v>2922.5970666611729</v>
      </c>
      <c r="AF1075" s="2">
        <f>IF($W1075=AF$3,$AB1075,IF(NOT($W1075=0),"",SUMIFS('Val-Vol (2)'!AF$4:AF$1116,'Val-Vol (2)'!$A$4:$A$1116,$D1075,'Val-Vol (2)'!$V$4:$V$1116,$V1075)/SUMIFS('Comp2016-2017 (3)'!$G$5:$G$289,'Comp2016-2017 (3)'!$A$5:$A$289,$D1075,'Comp2016-2017 (3)'!$R$5:$R$289,$V1075)*$AB1075))</f>
        <v>0</v>
      </c>
      <c r="AG1075" s="2">
        <f>IF($W1075=AG$3,$AB1075,IF(NOT($W1075=0),"",SUMIFS('Val-Vol (2)'!AG$4:AG$1116,'Val-Vol (2)'!$A$4:$A$1116,$D1075,'Val-Vol (2)'!$V$4:$V$1116,$V1075)/SUMIFS('Comp2016-2017 (3)'!$G$5:$G$289,'Comp2016-2017 (3)'!$A$5:$A$289,$D1075,'Comp2016-2017 (3)'!$R$5:$R$289,$V1075)*$AB1075))</f>
        <v>1520.5600084179412</v>
      </c>
      <c r="AH1075" s="2">
        <f>IF($W1075=AH$3,$AB1075,IF(NOT($W1075=0),"",SUMIFS('Val-Vol (2)'!AH$4:AH$1116,'Val-Vol (2)'!$A$4:$A$1116,$D1075,'Val-Vol (2)'!$V$4:$V$1116,$V1075)/SUMIFS('Comp2016-2017 (3)'!$G$5:$G$289,'Comp2016-2017 (3)'!$A$5:$A$289,$D1075,'Comp2016-2017 (3)'!$R$5:$R$289,$V1075)*$AB1075))</f>
        <v>0</v>
      </c>
      <c r="AI1075" s="2">
        <f>IF($W1075=AI$3,$AB1075,IF(NOT($W1075=0),"",SUMIFS('Val-Vol (2)'!AI$4:AI$1116,'Val-Vol (2)'!$A$4:$A$1116,$D1075,'Val-Vol (2)'!$V$4:$V$1116,$V1075)/SUMIFS('Comp2016-2017 (3)'!$G$5:$G$289,'Comp2016-2017 (3)'!$A$5:$A$289,$D1075,'Comp2016-2017 (3)'!$R$5:$R$289,$V1075)*$AB1075))</f>
        <v>0</v>
      </c>
      <c r="AJ1075" s="2">
        <f>IF($W1075=AJ$3,$AB1075,IF(NOT($W1075=0),"",SUMIFS('Val-Vol (2)'!AJ$4:AJ$1116,'Val-Vol (2)'!$A$4:$A$1116,$D1075,'Val-Vol (2)'!$V$4:$V$1116,$V1075)/SUMIFS('Comp2016-2017 (3)'!$G$5:$G$289,'Comp2016-2017 (3)'!$A$5:$A$289,$D1075,'Comp2016-2017 (3)'!$R$5:$R$289,$V1075)*$AB1075))</f>
        <v>856.11665570502737</v>
      </c>
      <c r="AK1075" s="2">
        <f t="shared" si="130"/>
        <v>0</v>
      </c>
      <c r="AL1075" t="str">
        <f t="shared" si="127"/>
        <v/>
      </c>
      <c r="AM1075" t="str">
        <f>VLOOKUP(A1075,'Table corresp.'!$M$4:$U$63,8,FALSE)</f>
        <v>Production intermédiaire</v>
      </c>
      <c r="AN1075" t="str">
        <f>VLOOKUP(D1075,'Table corresp.'!$M$4:$U$63,9,FALSE)</f>
        <v>Production intermédiaire</v>
      </c>
    </row>
    <row r="1076" spans="1:40" x14ac:dyDescent="0.25">
      <c r="A1076" t="s">
        <v>106</v>
      </c>
      <c r="B1076" t="str">
        <f>VLOOKUP(LEFT(A1076,3),'Table corresp.'!$A$4:$D$63,3,FALSE)</f>
        <v>Transformation</v>
      </c>
      <c r="C1076" t="str">
        <f>VLOOKUP(A1076,'Table corresp.'!$M$4:$P$63,4,FALSE)</f>
        <v>Production et transformation de produits bois</v>
      </c>
      <c r="D1076" t="s">
        <v>91</v>
      </c>
      <c r="E1076" t="str">
        <f>VLOOKUP(LEFT(D1076,3),'Table corresp.'!$A$4:$D$63,4,FALSE)</f>
        <v>Transformation</v>
      </c>
      <c r="F1076" t="str">
        <f t="shared" si="132"/>
        <v xml:space="preserve">63  - 37 </v>
      </c>
      <c r="G1076" s="164">
        <v>12830.402966452481</v>
      </c>
      <c r="H1076" s="164">
        <v>0</v>
      </c>
      <c r="I1076" s="164">
        <v>12830.402966452479</v>
      </c>
      <c r="J1076" s="164">
        <v>0</v>
      </c>
      <c r="K1076" s="164">
        <v>0</v>
      </c>
      <c r="L1076" s="164">
        <v>0</v>
      </c>
      <c r="M1076" s="164">
        <v>0</v>
      </c>
      <c r="N1076" s="164">
        <v>0</v>
      </c>
      <c r="O1076" s="164">
        <v>0</v>
      </c>
      <c r="P1076" s="164">
        <v>0</v>
      </c>
      <c r="Q1076" s="164">
        <v>0</v>
      </c>
      <c r="R1076" s="164">
        <v>0</v>
      </c>
      <c r="S1076" s="163" t="str">
        <f t="shared" si="133"/>
        <v/>
      </c>
      <c r="T1076" s="163">
        <f>VLOOKUP(A1076,'Groupe de branches'!$Z$27:$AM$86,14,FALSE)</f>
        <v>0</v>
      </c>
      <c r="U1076" s="163">
        <f>VLOOKUP(D1076,'Groupe de branches'!$Z$27:$AM$86,14,FALSE)</f>
        <v>0</v>
      </c>
      <c r="V1076" s="163">
        <v>2018</v>
      </c>
      <c r="W1076" t="str">
        <f>VLOOKUP(D1076,'Table corresp.'!$M$4:$S$63,7,FALSE)</f>
        <v>Emballage bois et carton</v>
      </c>
      <c r="X1076" s="167">
        <f>IFERROR(G1076/SUMIFS('Comp2016-2017 (3)'!$I$5:$I$289,'Comp2016-2017 (3)'!$A$5:$A$289,A1076,'Comp2016-2017 (3)'!$R$5:$R$289,V1076),0)</f>
        <v>2.7265928047544862E-2</v>
      </c>
      <c r="Y1076" s="178">
        <f>IFERROR(IF(RIGHT(F1076,3)="Exp",VLOOKUP(F1076,#REF!,2,FALSE),VLOOKUP(F1076,#REF!,9,FALSE)),1)</f>
        <v>1</v>
      </c>
      <c r="Z1076" s="167">
        <f t="shared" si="131"/>
        <v>5.8823529411764705E-2</v>
      </c>
      <c r="AA1076" s="189">
        <f t="shared" si="128"/>
        <v>1.6038781204438155E-3</v>
      </c>
      <c r="AB1076" s="2">
        <f>IFERROR(SUMIFS('Comp2016-2017 (3)'!$G$5:$G$289,'Comp2016-2017 (3)'!$A$5:$A$289,A1076,'Comp2016-2017 (3)'!$R$5:$R$289,V1076)*AA1076/SUMIFS($AA$4:$AA$1116,$A$4:$A$1116,A1076,$V$4:$V$1116,V1076),0)</f>
        <v>6556.3359621995996</v>
      </c>
      <c r="AC1076" s="2" t="str">
        <f>IF($W1076=AC$3,$AB1076,IF(NOT($W1076=0),"",SUMIFS('Val-Vol (2)'!AC$4:AC$1116,'Val-Vol (2)'!$A$4:$A$1116,$D1076,'Val-Vol (2)'!$V$4:$V$1116,$V1076)/SUMIFS('Comp2016-2017 (3)'!$G$5:$G$289,'Comp2016-2017 (3)'!$A$5:$A$289,$D1076,'Comp2016-2017 (3)'!$R$5:$R$289,$V1076)*$AB1076))</f>
        <v/>
      </c>
      <c r="AD1076" s="2" t="str">
        <f>IF($W1076=AD$3,$AB1076,IF(NOT($W1076=0),"",SUMIFS('Val-Vol (2)'!AD$4:AD$1116,'Val-Vol (2)'!$A$4:$A$1116,$D1076,'Val-Vol (2)'!$V$4:$V$1116,$V1076)/SUMIFS('Comp2016-2017 (3)'!$G$5:$G$289,'Comp2016-2017 (3)'!$A$5:$A$289,$D1076,'Comp2016-2017 (3)'!$R$5:$R$289,$V1076)*$AB1076))</f>
        <v/>
      </c>
      <c r="AE1076" s="2" t="str">
        <f>IF($W1076=AE$3,$AB1076,IF(NOT($W1076=0),"",SUMIFS('Val-Vol (2)'!AE$4:AE$1116,'Val-Vol (2)'!$A$4:$A$1116,$D1076,'Val-Vol (2)'!$V$4:$V$1116,$V1076)/SUMIFS('Comp2016-2017 (3)'!$G$5:$G$289,'Comp2016-2017 (3)'!$A$5:$A$289,$D1076,'Comp2016-2017 (3)'!$R$5:$R$289,$V1076)*$AB1076))</f>
        <v/>
      </c>
      <c r="AF1076" s="2" t="str">
        <f>IF($W1076=AF$3,$AB1076,IF(NOT($W1076=0),"",SUMIFS('Val-Vol (2)'!AF$4:AF$1116,'Val-Vol (2)'!$A$4:$A$1116,$D1076,'Val-Vol (2)'!$V$4:$V$1116,$V1076)/SUMIFS('Comp2016-2017 (3)'!$G$5:$G$289,'Comp2016-2017 (3)'!$A$5:$A$289,$D1076,'Comp2016-2017 (3)'!$R$5:$R$289,$V1076)*$AB1076))</f>
        <v/>
      </c>
      <c r="AG1076" s="2">
        <f>IF($W1076=AG$3,$AB1076,IF(NOT($W1076=0),"",SUMIFS('Val-Vol (2)'!AG$4:AG$1116,'Val-Vol (2)'!$A$4:$A$1116,$D1076,'Val-Vol (2)'!$V$4:$V$1116,$V1076)/SUMIFS('Comp2016-2017 (3)'!$G$5:$G$289,'Comp2016-2017 (3)'!$A$5:$A$289,$D1076,'Comp2016-2017 (3)'!$R$5:$R$289,$V1076)*$AB1076))</f>
        <v>6556.3359621995996</v>
      </c>
      <c r="AH1076" s="2" t="str">
        <f>IF($W1076=AH$3,$AB1076,IF(NOT($W1076=0),"",SUMIFS('Val-Vol (2)'!AH$4:AH$1116,'Val-Vol (2)'!$A$4:$A$1116,$D1076,'Val-Vol (2)'!$V$4:$V$1116,$V1076)/SUMIFS('Comp2016-2017 (3)'!$G$5:$G$289,'Comp2016-2017 (3)'!$A$5:$A$289,$D1076,'Comp2016-2017 (3)'!$R$5:$R$289,$V1076)*$AB1076))</f>
        <v/>
      </c>
      <c r="AI1076" s="2" t="str">
        <f>IF($W1076=AI$3,$AB1076,IF(NOT($W1076=0),"",SUMIFS('Val-Vol (2)'!AI$4:AI$1116,'Val-Vol (2)'!$A$4:$A$1116,$D1076,'Val-Vol (2)'!$V$4:$V$1116,$V1076)/SUMIFS('Comp2016-2017 (3)'!$G$5:$G$289,'Comp2016-2017 (3)'!$A$5:$A$289,$D1076,'Comp2016-2017 (3)'!$R$5:$R$289,$V1076)*$AB1076))</f>
        <v/>
      </c>
      <c r="AJ1076" s="2" t="str">
        <f>IF($W1076=AJ$3,$AB1076,IF(NOT($W1076=0),"",SUMIFS('Val-Vol (2)'!AJ$4:AJ$1116,'Val-Vol (2)'!$A$4:$A$1116,$D1076,'Val-Vol (2)'!$V$4:$V$1116,$V1076)/SUMIFS('Comp2016-2017 (3)'!$G$5:$G$289,'Comp2016-2017 (3)'!$A$5:$A$289,$D1076,'Comp2016-2017 (3)'!$R$5:$R$289,$V1076)*$AB1076))</f>
        <v/>
      </c>
      <c r="AK1076" s="2">
        <f t="shared" si="130"/>
        <v>0</v>
      </c>
      <c r="AL1076" t="str">
        <f t="shared" si="127"/>
        <v/>
      </c>
      <c r="AM1076" t="str">
        <f>VLOOKUP(A1076,'Table corresp.'!$M$4:$U$63,8,FALSE)</f>
        <v>Production intermédiaire</v>
      </c>
      <c r="AN1076" t="str">
        <f>VLOOKUP(D1076,'Table corresp.'!$M$4:$U$63,9,FALSE)</f>
        <v>Production finale</v>
      </c>
    </row>
    <row r="1077" spans="1:40" x14ac:dyDescent="0.25">
      <c r="A1077" t="s">
        <v>106</v>
      </c>
      <c r="B1077" t="str">
        <f>VLOOKUP(LEFT(A1077,3),'Table corresp.'!$A$4:$D$63,3,FALSE)</f>
        <v>Transformation</v>
      </c>
      <c r="C1077" t="str">
        <f>VLOOKUP(A1077,'Table corresp.'!$M$4:$P$63,4,FALSE)</f>
        <v>Production et transformation de produits bois</v>
      </c>
      <c r="D1077" t="s">
        <v>95</v>
      </c>
      <c r="E1077" t="str">
        <f>VLOOKUP(LEFT(D1077,3),'Table corresp.'!$A$4:$D$63,4,FALSE)</f>
        <v>Transformation</v>
      </c>
      <c r="F1077" t="str">
        <f t="shared" si="132"/>
        <v xml:space="preserve">63  - 43 </v>
      </c>
      <c r="G1077" s="164">
        <v>43396.387303814619</v>
      </c>
      <c r="H1077" s="164">
        <v>0</v>
      </c>
      <c r="I1077" s="164">
        <v>43396.387303814619</v>
      </c>
      <c r="J1077" s="164">
        <v>0</v>
      </c>
      <c r="K1077" s="164">
        <v>0</v>
      </c>
      <c r="L1077" s="164">
        <v>0</v>
      </c>
      <c r="M1077" s="164">
        <v>0</v>
      </c>
      <c r="N1077" s="164">
        <v>0</v>
      </c>
      <c r="O1077" s="164">
        <v>0</v>
      </c>
      <c r="P1077" s="164">
        <v>0</v>
      </c>
      <c r="Q1077" s="164">
        <v>0</v>
      </c>
      <c r="R1077" s="164">
        <v>0</v>
      </c>
      <c r="S1077" s="163" t="str">
        <f t="shared" si="133"/>
        <v/>
      </c>
      <c r="T1077" s="163">
        <f>VLOOKUP(A1077,'Groupe de branches'!$Z$27:$AM$86,14,FALSE)</f>
        <v>0</v>
      </c>
      <c r="U1077" s="163">
        <f>VLOOKUP(D1077,'Groupe de branches'!$Z$27:$AM$86,14,FALSE)</f>
        <v>0</v>
      </c>
      <c r="V1077" s="163">
        <v>2018</v>
      </c>
      <c r="W1077" t="str">
        <f>VLOOKUP(D1077,'Table corresp.'!$M$4:$S$63,7,FALSE)</f>
        <v>Pate &amp; papier &amp; carton</v>
      </c>
      <c r="X1077" s="167">
        <f>IFERROR(G1077/SUMIFS('Comp2016-2017 (3)'!$I$5:$I$289,'Comp2016-2017 (3)'!$A$5:$A$289,A1077,'Comp2016-2017 (3)'!$R$5:$R$289,V1077),0)</f>
        <v>9.2221793566656565E-2</v>
      </c>
      <c r="Y1077" s="178">
        <f>IFERROR(IF(RIGHT(F1077,3)="Exp",VLOOKUP(F1077,#REF!,2,FALSE),VLOOKUP(F1077,#REF!,9,FALSE)),1)</f>
        <v>1</v>
      </c>
      <c r="Z1077" s="167">
        <f t="shared" si="131"/>
        <v>5.8823529411764705E-2</v>
      </c>
      <c r="AA1077" s="189">
        <f t="shared" si="128"/>
        <v>5.4248113862739155E-3</v>
      </c>
      <c r="AB1077" s="2">
        <f>IFERROR(SUMIFS('Comp2016-2017 (3)'!$G$5:$G$289,'Comp2016-2017 (3)'!$A$5:$A$289,A1077,'Comp2016-2017 (3)'!$R$5:$R$289,V1077)*AA1077/SUMIFS($AA$4:$AA$1116,$A$4:$A$1116,A1077,$V$4:$V$1116,V1077),0)</f>
        <v>22175.554068993522</v>
      </c>
      <c r="AC1077" s="2" t="str">
        <f>IF($W1077=AC$3,$AB1077,IF(NOT($W1077=0),"",SUMIFS('Val-Vol (2)'!AC$4:AC$1116,'Val-Vol (2)'!$A$4:$A$1116,$D1077,'Val-Vol (2)'!$V$4:$V$1116,$V1077)/SUMIFS('Comp2016-2017 (3)'!$G$5:$G$289,'Comp2016-2017 (3)'!$A$5:$A$289,$D1077,'Comp2016-2017 (3)'!$R$5:$R$289,$V1077)*$AB1077))</f>
        <v/>
      </c>
      <c r="AD1077" s="2" t="str">
        <f>IF($W1077=AD$3,$AB1077,IF(NOT($W1077=0),"",SUMIFS('Val-Vol (2)'!AD$4:AD$1116,'Val-Vol (2)'!$A$4:$A$1116,$D1077,'Val-Vol (2)'!$V$4:$V$1116,$V1077)/SUMIFS('Comp2016-2017 (3)'!$G$5:$G$289,'Comp2016-2017 (3)'!$A$5:$A$289,$D1077,'Comp2016-2017 (3)'!$R$5:$R$289,$V1077)*$AB1077))</f>
        <v/>
      </c>
      <c r="AE1077" s="2" t="str">
        <f>IF($W1077=AE$3,$AB1077,IF(NOT($W1077=0),"",SUMIFS('Val-Vol (2)'!AE$4:AE$1116,'Val-Vol (2)'!$A$4:$A$1116,$D1077,'Val-Vol (2)'!$V$4:$V$1116,$V1077)/SUMIFS('Comp2016-2017 (3)'!$G$5:$G$289,'Comp2016-2017 (3)'!$A$5:$A$289,$D1077,'Comp2016-2017 (3)'!$R$5:$R$289,$V1077)*$AB1077))</f>
        <v/>
      </c>
      <c r="AF1077" s="2">
        <f>IF($W1077=AF$3,$AB1077,IF(NOT($W1077=0),"",SUMIFS('Val-Vol (2)'!AF$4:AF$1116,'Val-Vol (2)'!$A$4:$A$1116,$D1077,'Val-Vol (2)'!$V$4:$V$1116,$V1077)/SUMIFS('Comp2016-2017 (3)'!$G$5:$G$289,'Comp2016-2017 (3)'!$A$5:$A$289,$D1077,'Comp2016-2017 (3)'!$R$5:$R$289,$V1077)*$AB1077))</f>
        <v>22175.554068993522</v>
      </c>
      <c r="AG1077" s="2" t="str">
        <f>IF($W1077=AG$3,$AB1077,IF(NOT($W1077=0),"",SUMIFS('Val-Vol (2)'!AG$4:AG$1116,'Val-Vol (2)'!$A$4:$A$1116,$D1077,'Val-Vol (2)'!$V$4:$V$1116,$V1077)/SUMIFS('Comp2016-2017 (3)'!$G$5:$G$289,'Comp2016-2017 (3)'!$A$5:$A$289,$D1077,'Comp2016-2017 (3)'!$R$5:$R$289,$V1077)*$AB1077))</f>
        <v/>
      </c>
      <c r="AH1077" s="2" t="str">
        <f>IF($W1077=AH$3,$AB1077,IF(NOT($W1077=0),"",SUMIFS('Val-Vol (2)'!AH$4:AH$1116,'Val-Vol (2)'!$A$4:$A$1116,$D1077,'Val-Vol (2)'!$V$4:$V$1116,$V1077)/SUMIFS('Comp2016-2017 (3)'!$G$5:$G$289,'Comp2016-2017 (3)'!$A$5:$A$289,$D1077,'Comp2016-2017 (3)'!$R$5:$R$289,$V1077)*$AB1077))</f>
        <v/>
      </c>
      <c r="AI1077" s="2" t="str">
        <f>IF($W1077=AI$3,$AB1077,IF(NOT($W1077=0),"",SUMIFS('Val-Vol (2)'!AI$4:AI$1116,'Val-Vol (2)'!$A$4:$A$1116,$D1077,'Val-Vol (2)'!$V$4:$V$1116,$V1077)/SUMIFS('Comp2016-2017 (3)'!$G$5:$G$289,'Comp2016-2017 (3)'!$A$5:$A$289,$D1077,'Comp2016-2017 (3)'!$R$5:$R$289,$V1077)*$AB1077))</f>
        <v/>
      </c>
      <c r="AJ1077" s="2" t="str">
        <f>IF($W1077=AJ$3,$AB1077,IF(NOT($W1077=0),"",SUMIFS('Val-Vol (2)'!AJ$4:AJ$1116,'Val-Vol (2)'!$A$4:$A$1116,$D1077,'Val-Vol (2)'!$V$4:$V$1116,$V1077)/SUMIFS('Comp2016-2017 (3)'!$G$5:$G$289,'Comp2016-2017 (3)'!$A$5:$A$289,$D1077,'Comp2016-2017 (3)'!$R$5:$R$289,$V1077)*$AB1077))</f>
        <v/>
      </c>
      <c r="AK1077" s="2">
        <f t="shared" si="130"/>
        <v>0</v>
      </c>
      <c r="AL1077" t="str">
        <f t="shared" si="127"/>
        <v/>
      </c>
      <c r="AM1077" t="str">
        <f>VLOOKUP(A1077,'Table corresp.'!$M$4:$U$63,8,FALSE)</f>
        <v>Production intermédiaire</v>
      </c>
      <c r="AN1077" t="str">
        <f>VLOOKUP(D1077,'Table corresp.'!$M$4:$U$63,9,FALSE)</f>
        <v>Production intermédiaire</v>
      </c>
    </row>
    <row r="1078" spans="1:40" x14ac:dyDescent="0.25">
      <c r="A1078" t="s">
        <v>106</v>
      </c>
      <c r="B1078" t="str">
        <f>VLOOKUP(LEFT(A1078,3),'Table corresp.'!$A$4:$D$63,3,FALSE)</f>
        <v>Transformation</v>
      </c>
      <c r="C1078" t="str">
        <f>VLOOKUP(A1078,'Table corresp.'!$M$4:$P$63,4,FALSE)</f>
        <v>Production et transformation de produits bois</v>
      </c>
      <c r="D1078" t="s">
        <v>98</v>
      </c>
      <c r="E1078" t="str">
        <f>VLOOKUP(LEFT(D1078,3),'Table corresp.'!$A$4:$D$63,4,FALSE)</f>
        <v>Transformation</v>
      </c>
      <c r="F1078" t="str">
        <f t="shared" si="132"/>
        <v xml:space="preserve">63  - 46 </v>
      </c>
      <c r="G1078" s="164">
        <v>9342.8492207010913</v>
      </c>
      <c r="H1078" s="164">
        <v>0</v>
      </c>
      <c r="I1078" s="164">
        <v>9342.8492207010913</v>
      </c>
      <c r="J1078" s="164">
        <v>0</v>
      </c>
      <c r="K1078" s="164">
        <v>0</v>
      </c>
      <c r="L1078" s="164">
        <v>0</v>
      </c>
      <c r="M1078" s="164">
        <v>0</v>
      </c>
      <c r="N1078" s="164">
        <v>0</v>
      </c>
      <c r="O1078" s="164">
        <v>0</v>
      </c>
      <c r="P1078" s="164">
        <v>0</v>
      </c>
      <c r="Q1078" s="164">
        <v>0</v>
      </c>
      <c r="R1078" s="164">
        <v>0</v>
      </c>
      <c r="S1078" s="163" t="str">
        <f t="shared" si="133"/>
        <v/>
      </c>
      <c r="T1078" s="163">
        <f>VLOOKUP(A1078,'Groupe de branches'!$Z$27:$AM$86,14,FALSE)</f>
        <v>0</v>
      </c>
      <c r="U1078" s="163">
        <f>VLOOKUP(D1078,'Groupe de branches'!$Z$27:$AM$86,14,FALSE)</f>
        <v>0</v>
      </c>
      <c r="V1078" s="163">
        <v>2018</v>
      </c>
      <c r="W1078" t="str">
        <f>VLOOKUP(D1078,'Table corresp.'!$M$4:$S$63,7,FALSE)</f>
        <v>Produits de consommation courante</v>
      </c>
      <c r="X1078" s="167">
        <f>IFERROR(G1078/SUMIFS('Comp2016-2017 (3)'!$I$5:$I$289,'Comp2016-2017 (3)'!$A$5:$A$289,A1078,'Comp2016-2017 (3)'!$R$5:$R$289,V1078),0)</f>
        <v>1.9854517062072512E-2</v>
      </c>
      <c r="Y1078" s="178">
        <f>IFERROR(IF(RIGHT(F1078,3)="Exp",VLOOKUP(F1078,#REF!,2,FALSE),VLOOKUP(F1078,#REF!,9,FALSE)),1)</f>
        <v>1</v>
      </c>
      <c r="Z1078" s="167">
        <f t="shared" ref="Z1078:Z1081" si="134">Y1078/SUMIFS($Y$4:$Y$1116,$V$4:$V$1116,V1078,$A$4:$A$1116,A1078)</f>
        <v>5.8823529411764705E-2</v>
      </c>
      <c r="AA1078" s="189">
        <f t="shared" si="128"/>
        <v>1.1679127683572065E-3</v>
      </c>
      <c r="AB1078" s="2">
        <f>IFERROR(SUMIFS('Comp2016-2017 (3)'!$G$5:$G$289,'Comp2016-2017 (3)'!$A$5:$A$289,A1078,'Comp2016-2017 (3)'!$R$5:$R$289,V1078)*AA1078/SUMIFS($AA$4:$AA$1116,$A$4:$A$1116,A1078,$V$4:$V$1116,V1078),0)</f>
        <v>4774.1959855238756</v>
      </c>
      <c r="AC1078" s="2" t="str">
        <f>IF($W1078=AC$3,$AB1078,IF(NOT($W1078=0),"",SUMIFS('Val-Vol (2)'!AC$4:AC$1116,'Val-Vol (2)'!$A$4:$A$1116,$D1078,'Val-Vol (2)'!$V$4:$V$1116,$V1078)/SUMIFS('Comp2016-2017 (3)'!$G$5:$G$289,'Comp2016-2017 (3)'!$A$5:$A$289,$D1078,'Comp2016-2017 (3)'!$R$5:$R$289,$V1078)*$AB1078))</f>
        <v/>
      </c>
      <c r="AD1078" s="2" t="str">
        <f>IF($W1078=AD$3,$AB1078,IF(NOT($W1078=0),"",SUMIFS('Val-Vol (2)'!AD$4:AD$1116,'Val-Vol (2)'!$A$4:$A$1116,$D1078,'Val-Vol (2)'!$V$4:$V$1116,$V1078)/SUMIFS('Comp2016-2017 (3)'!$G$5:$G$289,'Comp2016-2017 (3)'!$A$5:$A$289,$D1078,'Comp2016-2017 (3)'!$R$5:$R$289,$V1078)*$AB1078))</f>
        <v/>
      </c>
      <c r="AE1078" s="2" t="str">
        <f>IF($W1078=AE$3,$AB1078,IF(NOT($W1078=0),"",SUMIFS('Val-Vol (2)'!AE$4:AE$1116,'Val-Vol (2)'!$A$4:$A$1116,$D1078,'Val-Vol (2)'!$V$4:$V$1116,$V1078)/SUMIFS('Comp2016-2017 (3)'!$G$5:$G$289,'Comp2016-2017 (3)'!$A$5:$A$289,$D1078,'Comp2016-2017 (3)'!$R$5:$R$289,$V1078)*$AB1078))</f>
        <v/>
      </c>
      <c r="AF1078" s="2" t="str">
        <f>IF($W1078=AF$3,$AB1078,IF(NOT($W1078=0),"",SUMIFS('Val-Vol (2)'!AF$4:AF$1116,'Val-Vol (2)'!$A$4:$A$1116,$D1078,'Val-Vol (2)'!$V$4:$V$1116,$V1078)/SUMIFS('Comp2016-2017 (3)'!$G$5:$G$289,'Comp2016-2017 (3)'!$A$5:$A$289,$D1078,'Comp2016-2017 (3)'!$R$5:$R$289,$V1078)*$AB1078))</f>
        <v/>
      </c>
      <c r="AG1078" s="2" t="str">
        <f>IF($W1078=AG$3,$AB1078,IF(NOT($W1078=0),"",SUMIFS('Val-Vol (2)'!AG$4:AG$1116,'Val-Vol (2)'!$A$4:$A$1116,$D1078,'Val-Vol (2)'!$V$4:$V$1116,$V1078)/SUMIFS('Comp2016-2017 (3)'!$G$5:$G$289,'Comp2016-2017 (3)'!$A$5:$A$289,$D1078,'Comp2016-2017 (3)'!$R$5:$R$289,$V1078)*$AB1078))</f>
        <v/>
      </c>
      <c r="AH1078" s="2" t="str">
        <f>IF($W1078=AH$3,$AB1078,IF(NOT($W1078=0),"",SUMIFS('Val-Vol (2)'!AH$4:AH$1116,'Val-Vol (2)'!$A$4:$A$1116,$D1078,'Val-Vol (2)'!$V$4:$V$1116,$V1078)/SUMIFS('Comp2016-2017 (3)'!$G$5:$G$289,'Comp2016-2017 (3)'!$A$5:$A$289,$D1078,'Comp2016-2017 (3)'!$R$5:$R$289,$V1078)*$AB1078))</f>
        <v/>
      </c>
      <c r="AI1078" s="2">
        <f>IF($W1078=AI$3,$AB1078,IF(NOT($W1078=0),"",SUMIFS('Val-Vol (2)'!AI$4:AI$1116,'Val-Vol (2)'!$A$4:$A$1116,$D1078,'Val-Vol (2)'!$V$4:$V$1116,$V1078)/SUMIFS('Comp2016-2017 (3)'!$G$5:$G$289,'Comp2016-2017 (3)'!$A$5:$A$289,$D1078,'Comp2016-2017 (3)'!$R$5:$R$289,$V1078)*$AB1078))</f>
        <v>4774.1959855238756</v>
      </c>
      <c r="AJ1078" s="2" t="str">
        <f>IF($W1078=AJ$3,$AB1078,IF(NOT($W1078=0),"",SUMIFS('Val-Vol (2)'!AJ$4:AJ$1116,'Val-Vol (2)'!$A$4:$A$1116,$D1078,'Val-Vol (2)'!$V$4:$V$1116,$V1078)/SUMIFS('Comp2016-2017 (3)'!$G$5:$G$289,'Comp2016-2017 (3)'!$A$5:$A$289,$D1078,'Comp2016-2017 (3)'!$R$5:$R$289,$V1078)*$AB1078))</f>
        <v/>
      </c>
      <c r="AK1078" s="2">
        <f t="shared" si="130"/>
        <v>0</v>
      </c>
      <c r="AL1078" t="str">
        <f t="shared" si="127"/>
        <v/>
      </c>
      <c r="AM1078" t="str">
        <f>VLOOKUP(A1078,'Table corresp.'!$M$4:$U$63,8,FALSE)</f>
        <v>Production intermédiaire</v>
      </c>
      <c r="AN1078" t="str">
        <f>VLOOKUP(D1078,'Table corresp.'!$M$4:$U$63,9,FALSE)</f>
        <v>Production intermédiaire</v>
      </c>
    </row>
    <row r="1079" spans="1:40" x14ac:dyDescent="0.25">
      <c r="A1079" t="s">
        <v>106</v>
      </c>
      <c r="B1079" t="str">
        <f>VLOOKUP(LEFT(A1079,3),'Table corresp.'!$A$4:$D$63,3,FALSE)</f>
        <v>Transformation</v>
      </c>
      <c r="C1079" t="str">
        <f>VLOOKUP(A1079,'Table corresp.'!$M$4:$P$63,4,FALSE)</f>
        <v>Production et transformation de produits bois</v>
      </c>
      <c r="D1079" t="s">
        <v>53</v>
      </c>
      <c r="E1079" t="str">
        <f>VLOOKUP(LEFT(D1079,3),'Table corresp.'!$A$4:$D$63,4,FALSE)</f>
        <v>Exportation</v>
      </c>
      <c r="F1079" t="str">
        <f t="shared" si="132"/>
        <v>63  - Exp</v>
      </c>
      <c r="G1079" s="164">
        <v>44439.581466169868</v>
      </c>
      <c r="H1079" s="164">
        <v>0</v>
      </c>
      <c r="I1079" s="164">
        <v>44439.581466169868</v>
      </c>
      <c r="J1079" s="164">
        <v>0</v>
      </c>
      <c r="K1079" s="164">
        <v>0</v>
      </c>
      <c r="L1079" s="164">
        <v>0</v>
      </c>
      <c r="M1079" s="164">
        <v>0</v>
      </c>
      <c r="N1079" s="164">
        <v>0</v>
      </c>
      <c r="O1079" s="164">
        <v>0</v>
      </c>
      <c r="P1079" s="164">
        <v>0</v>
      </c>
      <c r="Q1079" s="164">
        <v>0</v>
      </c>
      <c r="R1079" s="164">
        <v>0</v>
      </c>
      <c r="S1079" s="163" t="str">
        <f t="shared" si="133"/>
        <v/>
      </c>
      <c r="T1079" s="163">
        <f>VLOOKUP(A1079,'Groupe de branches'!$Z$27:$AM$86,14,FALSE)</f>
        <v>0</v>
      </c>
      <c r="U1079" s="163">
        <f>VLOOKUP(D1079,'Groupe de branches'!$Z$27:$AM$86,14,FALSE)</f>
        <v>0</v>
      </c>
      <c r="V1079" s="163">
        <v>2018</v>
      </c>
      <c r="W1079" t="str">
        <f>VLOOKUP(D1079,'Table corresp.'!$M$4:$S$63,7,FALSE)</f>
        <v>Exportation</v>
      </c>
      <c r="X1079" s="167">
        <f>IFERROR(G1079/SUMIFS('Comp2016-2017 (3)'!$I$5:$I$289,'Comp2016-2017 (3)'!$A$5:$A$289,A1079,'Comp2016-2017 (3)'!$R$5:$R$289,V1079),0)</f>
        <v>9.4438688627923817E-2</v>
      </c>
      <c r="Y1079" s="178">
        <f>IFERROR(IF(RIGHT(F1079,3)="Exp",VLOOKUP(F1079,#REF!,2,FALSE),VLOOKUP(F1079,#REF!,9,FALSE)),1)</f>
        <v>1</v>
      </c>
      <c r="Z1079" s="167">
        <f t="shared" si="134"/>
        <v>5.8823529411764705E-2</v>
      </c>
      <c r="AA1079" s="189">
        <f t="shared" si="128"/>
        <v>5.555216978113166E-3</v>
      </c>
      <c r="AB1079" s="2">
        <f>IFERROR(SUMIFS('Comp2016-2017 (3)'!$G$5:$G$289,'Comp2016-2017 (3)'!$A$5:$A$289,A1079,'Comp2016-2017 (3)'!$R$5:$R$289,V1079)*AA1079/SUMIFS($AA$4:$AA$1116,$A$4:$A$1116,A1079,$V$4:$V$1116,V1079),0)</f>
        <v>22708.626289724991</v>
      </c>
      <c r="AC1079" s="2">
        <f>IF($W1079=AC$3,$AB1079,IF(NOT($W1079=0),"",SUMIFS('Val-Vol (2)'!AC$4:AC$1116,'Val-Vol (2)'!$A$4:$A$1116,$D1079,'Val-Vol (2)'!$V$4:$V$1116,$V1079)/SUMIFS('Comp2016-2017 (3)'!$G$5:$G$289,'Comp2016-2017 (3)'!$A$5:$A$289,$D1079,'Comp2016-2017 (3)'!$R$5:$R$289,$V1079)*$AB1079))</f>
        <v>22708.626289724991</v>
      </c>
      <c r="AD1079" s="2" t="str">
        <f>IF($W1079=AD$3,$AB1079,IF(NOT($W1079=0),"",SUMIFS('Val-Vol (2)'!AD$4:AD$1116,'Val-Vol (2)'!$A$4:$A$1116,$D1079,'Val-Vol (2)'!$V$4:$V$1116,$V1079)/SUMIFS('Comp2016-2017 (3)'!$G$5:$G$289,'Comp2016-2017 (3)'!$A$5:$A$289,$D1079,'Comp2016-2017 (3)'!$R$5:$R$289,$V1079)*$AB1079))</f>
        <v/>
      </c>
      <c r="AE1079" s="2" t="str">
        <f>IF($W1079=AE$3,$AB1079,IF(NOT($W1079=0),"",SUMIFS('Val-Vol (2)'!AE$4:AE$1116,'Val-Vol (2)'!$A$4:$A$1116,$D1079,'Val-Vol (2)'!$V$4:$V$1116,$V1079)/SUMIFS('Comp2016-2017 (3)'!$G$5:$G$289,'Comp2016-2017 (3)'!$A$5:$A$289,$D1079,'Comp2016-2017 (3)'!$R$5:$R$289,$V1079)*$AB1079))</f>
        <v/>
      </c>
      <c r="AF1079" s="2" t="str">
        <f>IF($W1079=AF$3,$AB1079,IF(NOT($W1079=0),"",SUMIFS('Val-Vol (2)'!AF$4:AF$1116,'Val-Vol (2)'!$A$4:$A$1116,$D1079,'Val-Vol (2)'!$V$4:$V$1116,$V1079)/SUMIFS('Comp2016-2017 (3)'!$G$5:$G$289,'Comp2016-2017 (3)'!$A$5:$A$289,$D1079,'Comp2016-2017 (3)'!$R$5:$R$289,$V1079)*$AB1079))</f>
        <v/>
      </c>
      <c r="AG1079" s="2" t="str">
        <f>IF($W1079=AG$3,$AB1079,IF(NOT($W1079=0),"",SUMIFS('Val-Vol (2)'!AG$4:AG$1116,'Val-Vol (2)'!$A$4:$A$1116,$D1079,'Val-Vol (2)'!$V$4:$V$1116,$V1079)/SUMIFS('Comp2016-2017 (3)'!$G$5:$G$289,'Comp2016-2017 (3)'!$A$5:$A$289,$D1079,'Comp2016-2017 (3)'!$R$5:$R$289,$V1079)*$AB1079))</f>
        <v/>
      </c>
      <c r="AH1079" s="2" t="str">
        <f>IF($W1079=AH$3,$AB1079,IF(NOT($W1079=0),"",SUMIFS('Val-Vol (2)'!AH$4:AH$1116,'Val-Vol (2)'!$A$4:$A$1116,$D1079,'Val-Vol (2)'!$V$4:$V$1116,$V1079)/SUMIFS('Comp2016-2017 (3)'!$G$5:$G$289,'Comp2016-2017 (3)'!$A$5:$A$289,$D1079,'Comp2016-2017 (3)'!$R$5:$R$289,$V1079)*$AB1079))</f>
        <v/>
      </c>
      <c r="AI1079" s="2" t="str">
        <f>IF($W1079=AI$3,$AB1079,IF(NOT($W1079=0),"",SUMIFS('Val-Vol (2)'!AI$4:AI$1116,'Val-Vol (2)'!$A$4:$A$1116,$D1079,'Val-Vol (2)'!$V$4:$V$1116,$V1079)/SUMIFS('Comp2016-2017 (3)'!$G$5:$G$289,'Comp2016-2017 (3)'!$A$5:$A$289,$D1079,'Comp2016-2017 (3)'!$R$5:$R$289,$V1079)*$AB1079))</f>
        <v/>
      </c>
      <c r="AJ1079" s="2" t="str">
        <f>IF($W1079=AJ$3,$AB1079,IF(NOT($W1079=0),"",SUMIFS('Val-Vol (2)'!AJ$4:AJ$1116,'Val-Vol (2)'!$A$4:$A$1116,$D1079,'Val-Vol (2)'!$V$4:$V$1116,$V1079)/SUMIFS('Comp2016-2017 (3)'!$G$5:$G$289,'Comp2016-2017 (3)'!$A$5:$A$289,$D1079,'Comp2016-2017 (3)'!$R$5:$R$289,$V1079)*$AB1079))</f>
        <v/>
      </c>
      <c r="AK1079" s="2">
        <f t="shared" si="130"/>
        <v>0</v>
      </c>
      <c r="AL1079" t="str">
        <f t="shared" si="127"/>
        <v/>
      </c>
      <c r="AM1079" t="str">
        <f>VLOOKUP(A1079,'Table corresp.'!$M$4:$U$63,8,FALSE)</f>
        <v>Production intermédiaire</v>
      </c>
      <c r="AN1079" t="str">
        <f>VLOOKUP(D1079,'Table corresp.'!$M$4:$U$63,9,FALSE)</f>
        <v>Exportation</v>
      </c>
    </row>
    <row r="1080" spans="1:40" x14ac:dyDescent="0.25">
      <c r="A1080" t="s">
        <v>107</v>
      </c>
      <c r="B1080" t="str">
        <f>VLOOKUP(LEFT(A1080,3),'Table corresp.'!$A$4:$D$63,3,FALSE)</f>
        <v>Transformation</v>
      </c>
      <c r="C1080" t="str">
        <f>VLOOKUP(A1080,'Table corresp.'!$M$4:$P$63,4,FALSE)</f>
        <v>Commerces et services</v>
      </c>
      <c r="D1080" t="s">
        <v>59</v>
      </c>
      <c r="E1080" t="str">
        <f>VLOOKUP(LEFT(D1080,3),'Table corresp.'!$A$4:$D$63,4,FALSE)</f>
        <v>Transformation</v>
      </c>
      <c r="F1080" t="str">
        <f t="shared" si="132"/>
        <v xml:space="preserve">64  - 07 </v>
      </c>
      <c r="G1080" s="164">
        <v>0.99999663214050905</v>
      </c>
      <c r="H1080" s="164">
        <v>0</v>
      </c>
      <c r="I1080" s="164">
        <v>0.99999663214050893</v>
      </c>
      <c r="J1080" s="164">
        <v>0</v>
      </c>
      <c r="K1080" s="164">
        <v>0</v>
      </c>
      <c r="L1080" s="164">
        <v>0</v>
      </c>
      <c r="M1080" s="164">
        <v>0</v>
      </c>
      <c r="N1080" s="164">
        <v>0</v>
      </c>
      <c r="O1080" s="164">
        <v>0</v>
      </c>
      <c r="P1080" s="164">
        <v>0</v>
      </c>
      <c r="Q1080" s="164">
        <v>0</v>
      </c>
      <c r="R1080" s="164">
        <v>0</v>
      </c>
      <c r="S1080" s="163" t="str">
        <f t="shared" si="133"/>
        <v/>
      </c>
      <c r="T1080" s="163">
        <f>VLOOKUP(A1080,'Groupe de branches'!$Z$27:$AM$86,14,FALSE)</f>
        <v>0</v>
      </c>
      <c r="U1080" s="163">
        <f>VLOOKUP(D1080,'Groupe de branches'!$Z$27:$AM$86,14,FALSE)</f>
        <v>0</v>
      </c>
      <c r="V1080" s="163">
        <v>2018</v>
      </c>
      <c r="W1080" t="str">
        <f>VLOOKUP(D1080,'Table corresp.'!$M$4:$S$63,7,FALSE)</f>
        <v>Produits de consommation courante</v>
      </c>
      <c r="X1080" s="167">
        <f>IFERROR(G1080/SUMIFS('Comp2016-2017 (3)'!$I$5:$I$289,'Comp2016-2017 (3)'!$A$5:$A$289,A1080,'Comp2016-2017 (3)'!$R$5:$R$289,V1080),0)</f>
        <v>1.5467931054301371E-6</v>
      </c>
      <c r="Y1080" s="178">
        <f>IFERROR(IF(RIGHT(F1080,3)="Exp",VLOOKUP(F1080,#REF!,2,FALSE),VLOOKUP(F1080,#REF!,9,FALSE)),1)</f>
        <v>1</v>
      </c>
      <c r="Z1080" s="167">
        <f t="shared" si="134"/>
        <v>0.5</v>
      </c>
      <c r="AA1080" s="189">
        <f t="shared" si="128"/>
        <v>7.7339655271506857E-7</v>
      </c>
      <c r="AB1080" s="2">
        <f>IFERROR(SUMIFS('Comp2016-2017 (3)'!$G$5:$G$289,'Comp2016-2017 (3)'!$A$5:$A$289,A1080,'Comp2016-2017 (3)'!$R$5:$R$289,V1080)*AA1080/SUMIFS($AA$4:$AA$1116,$A$4:$A$1116,A1080,$V$4:$V$1116,V1080),0)</f>
        <v>0.99999663214050905</v>
      </c>
      <c r="AC1080" s="2" t="str">
        <f>IF($W1080=AC$3,$AB1080,IF(NOT($W1080=0),"",SUMIFS('Val-Vol (2)'!AC$4:AC$1116,'Val-Vol (2)'!$A$4:$A$1116,$D1080,'Val-Vol (2)'!$V$4:$V$1116,$V1080)/SUMIFS('Comp2016-2017 (3)'!$G$5:$G$289,'Comp2016-2017 (3)'!$A$5:$A$289,$D1080,'Comp2016-2017 (3)'!$R$5:$R$289,$V1080)*$AB1080))</f>
        <v/>
      </c>
      <c r="AD1080" s="2" t="str">
        <f>IF($W1080=AD$3,$AB1080,IF(NOT($W1080=0),"",SUMIFS('Val-Vol (2)'!AD$4:AD$1116,'Val-Vol (2)'!$A$4:$A$1116,$D1080,'Val-Vol (2)'!$V$4:$V$1116,$V1080)/SUMIFS('Comp2016-2017 (3)'!$G$5:$G$289,'Comp2016-2017 (3)'!$A$5:$A$289,$D1080,'Comp2016-2017 (3)'!$R$5:$R$289,$V1080)*$AB1080))</f>
        <v/>
      </c>
      <c r="AE1080" s="2" t="str">
        <f>IF($W1080=AE$3,$AB1080,IF(NOT($W1080=0),"",SUMIFS('Val-Vol (2)'!AE$4:AE$1116,'Val-Vol (2)'!$A$4:$A$1116,$D1080,'Val-Vol (2)'!$V$4:$V$1116,$V1080)/SUMIFS('Comp2016-2017 (3)'!$G$5:$G$289,'Comp2016-2017 (3)'!$A$5:$A$289,$D1080,'Comp2016-2017 (3)'!$R$5:$R$289,$V1080)*$AB1080))</f>
        <v/>
      </c>
      <c r="AF1080" s="2" t="str">
        <f>IF($W1080=AF$3,$AB1080,IF(NOT($W1080=0),"",SUMIFS('Val-Vol (2)'!AF$4:AF$1116,'Val-Vol (2)'!$A$4:$A$1116,$D1080,'Val-Vol (2)'!$V$4:$V$1116,$V1080)/SUMIFS('Comp2016-2017 (3)'!$G$5:$G$289,'Comp2016-2017 (3)'!$A$5:$A$289,$D1080,'Comp2016-2017 (3)'!$R$5:$R$289,$V1080)*$AB1080))</f>
        <v/>
      </c>
      <c r="AG1080" s="2" t="str">
        <f>IF($W1080=AG$3,$AB1080,IF(NOT($W1080=0),"",SUMIFS('Val-Vol (2)'!AG$4:AG$1116,'Val-Vol (2)'!$A$4:$A$1116,$D1080,'Val-Vol (2)'!$V$4:$V$1116,$V1080)/SUMIFS('Comp2016-2017 (3)'!$G$5:$G$289,'Comp2016-2017 (3)'!$A$5:$A$289,$D1080,'Comp2016-2017 (3)'!$R$5:$R$289,$V1080)*$AB1080))</f>
        <v/>
      </c>
      <c r="AH1080" s="2" t="str">
        <f>IF($W1080=AH$3,$AB1080,IF(NOT($W1080=0),"",SUMIFS('Val-Vol (2)'!AH$4:AH$1116,'Val-Vol (2)'!$A$4:$A$1116,$D1080,'Val-Vol (2)'!$V$4:$V$1116,$V1080)/SUMIFS('Comp2016-2017 (3)'!$G$5:$G$289,'Comp2016-2017 (3)'!$A$5:$A$289,$D1080,'Comp2016-2017 (3)'!$R$5:$R$289,$V1080)*$AB1080))</f>
        <v/>
      </c>
      <c r="AI1080" s="2">
        <f>IF($W1080=AI$3,$AB1080,IF(NOT($W1080=0),"",SUMIFS('Val-Vol (2)'!AI$4:AI$1116,'Val-Vol (2)'!$A$4:$A$1116,$D1080,'Val-Vol (2)'!$V$4:$V$1116,$V1080)/SUMIFS('Comp2016-2017 (3)'!$G$5:$G$289,'Comp2016-2017 (3)'!$A$5:$A$289,$D1080,'Comp2016-2017 (3)'!$R$5:$R$289,$V1080)*$AB1080))</f>
        <v>0.99999663214050905</v>
      </c>
      <c r="AJ1080" s="2" t="str">
        <f>IF($W1080=AJ$3,$AB1080,IF(NOT($W1080=0),"",SUMIFS('Val-Vol (2)'!AJ$4:AJ$1116,'Val-Vol (2)'!$A$4:$A$1116,$D1080,'Val-Vol (2)'!$V$4:$V$1116,$V1080)/SUMIFS('Comp2016-2017 (3)'!$G$5:$G$289,'Comp2016-2017 (3)'!$A$5:$A$289,$D1080,'Comp2016-2017 (3)'!$R$5:$R$289,$V1080)*$AB1080))</f>
        <v/>
      </c>
      <c r="AK1080" s="2">
        <f t="shared" si="130"/>
        <v>0</v>
      </c>
      <c r="AL1080" t="str">
        <f t="shared" si="127"/>
        <v/>
      </c>
      <c r="AM1080" t="str">
        <f>VLOOKUP(A1080,'Table corresp.'!$M$4:$U$63,8,FALSE)</f>
        <v>Production finale</v>
      </c>
      <c r="AN1080" t="str">
        <f>VLOOKUP(D1080,'Table corresp.'!$M$4:$U$63,9,FALSE)</f>
        <v>Production intermédiaire</v>
      </c>
    </row>
    <row r="1081" spans="1:40" x14ac:dyDescent="0.25">
      <c r="A1081" t="s">
        <v>107</v>
      </c>
      <c r="B1081" t="str">
        <f>VLOOKUP(LEFT(A1081,3),'Table corresp.'!$A$4:$D$63,3,FALSE)</f>
        <v>Transformation</v>
      </c>
      <c r="C1081" t="str">
        <f>VLOOKUP(A1081,'Table corresp.'!$M$4:$P$63,4,FALSE)</f>
        <v>Commerces et services</v>
      </c>
      <c r="D1081" t="s">
        <v>54</v>
      </c>
      <c r="E1081" t="str">
        <f>VLOOKUP(LEFT(D1081,3),'Table corresp.'!$A$4:$D$63,4,FALSE)</f>
        <v>Consommation finale</v>
      </c>
      <c r="F1081" t="str">
        <f t="shared" si="132"/>
        <v>64  - Con</v>
      </c>
      <c r="G1081" s="164">
        <v>646495.69605789729</v>
      </c>
      <c r="H1081" s="164">
        <v>0</v>
      </c>
      <c r="I1081" s="164">
        <v>646495.69605789729</v>
      </c>
      <c r="J1081" s="164">
        <v>0</v>
      </c>
      <c r="K1081" s="164">
        <v>0</v>
      </c>
      <c r="L1081" s="164">
        <v>0</v>
      </c>
      <c r="M1081" s="164">
        <v>0</v>
      </c>
      <c r="N1081" s="164">
        <v>0</v>
      </c>
      <c r="O1081" s="164">
        <v>0</v>
      </c>
      <c r="P1081" s="164">
        <v>0</v>
      </c>
      <c r="Q1081" s="164">
        <v>0</v>
      </c>
      <c r="R1081" s="164">
        <v>0</v>
      </c>
      <c r="S1081" s="163" t="str">
        <f t="shared" si="133"/>
        <v/>
      </c>
      <c r="T1081" s="163">
        <f>VLOOKUP(A1081,'Groupe de branches'!$Z$27:$AM$86,14,FALSE)</f>
        <v>0</v>
      </c>
      <c r="U1081" s="163">
        <f>VLOOKUP(D1081,'Groupe de branches'!$Z$27:$AM$86,14,FALSE)</f>
        <v>0</v>
      </c>
      <c r="V1081" s="163">
        <v>2018</v>
      </c>
      <c r="W1081" t="str">
        <f>VLOOKUP(D1081,'Table corresp.'!$M$4:$S$63,7,FALSE)</f>
        <v>Consommation finale</v>
      </c>
      <c r="X1081" s="167">
        <f>IFERROR(G1081/SUMIFS('Comp2016-2017 (3)'!$I$5:$I$289,'Comp2016-2017 (3)'!$A$5:$A$289,A1081,'Comp2016-2017 (3)'!$R$5:$R$289,V1081),0)</f>
        <v>0.99999845320689462</v>
      </c>
      <c r="Y1081" s="178">
        <f>IFERROR(IF(RIGHT(F1081,3)="Exp",VLOOKUP(F1081,#REF!,2,FALSE),VLOOKUP(F1081,#REF!,9,FALSE)),1)</f>
        <v>1</v>
      </c>
      <c r="Z1081" s="167">
        <f t="shared" si="134"/>
        <v>0.5</v>
      </c>
      <c r="AA1081" s="189">
        <f t="shared" si="128"/>
        <v>0.49999922660344731</v>
      </c>
      <c r="AB1081" s="2">
        <f>IFERROR(SUMIFS('Comp2016-2017 (3)'!$G$5:$G$289,'Comp2016-2017 (3)'!$A$5:$A$289,A1081,'Comp2016-2017 (3)'!$R$5:$R$289,V1081)*AA1081/SUMIFS($AA$4:$AA$1116,$A$4:$A$1116,A1081,$V$4:$V$1116,V1081),0)</f>
        <v>646495.69605789729</v>
      </c>
      <c r="AC1081" s="2" t="str">
        <f>IF($W1081=AC$3,$AB1081,IF(NOT($W1081=0),"",SUMIFS('Val-Vol (2)'!AC$4:AC$1116,'Val-Vol (2)'!$A$4:$A$1116,$D1081,'Val-Vol (2)'!$V$4:$V$1116,$V1081)/SUMIFS('Comp2016-2017 (3)'!$G$5:$G$289,'Comp2016-2017 (3)'!$A$5:$A$289,$D1081,'Comp2016-2017 (3)'!$R$5:$R$289,$V1081)*$AB1081))</f>
        <v/>
      </c>
      <c r="AD1081" s="2" t="str">
        <f>IF($W1081=AD$3,$AB1081,IF(NOT($W1081=0),"",SUMIFS('Val-Vol (2)'!AD$4:AD$1116,'Val-Vol (2)'!$A$4:$A$1116,$D1081,'Val-Vol (2)'!$V$4:$V$1116,$V1081)/SUMIFS('Comp2016-2017 (3)'!$G$5:$G$289,'Comp2016-2017 (3)'!$A$5:$A$289,$D1081,'Comp2016-2017 (3)'!$R$5:$R$289,$V1081)*$AB1081))</f>
        <v/>
      </c>
      <c r="AE1081" s="2" t="str">
        <f>IF($W1081=AE$3,$AB1081,IF(NOT($W1081=0),"",SUMIFS('Val-Vol (2)'!AE$4:AE$1116,'Val-Vol (2)'!$A$4:$A$1116,$D1081,'Val-Vol (2)'!$V$4:$V$1116,$V1081)/SUMIFS('Comp2016-2017 (3)'!$G$5:$G$289,'Comp2016-2017 (3)'!$A$5:$A$289,$D1081,'Comp2016-2017 (3)'!$R$5:$R$289,$V1081)*$AB1081))</f>
        <v/>
      </c>
      <c r="AF1081" s="2" t="str">
        <f>IF($W1081=AF$3,$AB1081,IF(NOT($W1081=0),"",SUMIFS('Val-Vol (2)'!AF$4:AF$1116,'Val-Vol (2)'!$A$4:$A$1116,$D1081,'Val-Vol (2)'!$V$4:$V$1116,$V1081)/SUMIFS('Comp2016-2017 (3)'!$G$5:$G$289,'Comp2016-2017 (3)'!$A$5:$A$289,$D1081,'Comp2016-2017 (3)'!$R$5:$R$289,$V1081)*$AB1081))</f>
        <v/>
      </c>
      <c r="AG1081" s="2" t="str">
        <f>IF($W1081=AG$3,$AB1081,IF(NOT($W1081=0),"",SUMIFS('Val-Vol (2)'!AG$4:AG$1116,'Val-Vol (2)'!$A$4:$A$1116,$D1081,'Val-Vol (2)'!$V$4:$V$1116,$V1081)/SUMIFS('Comp2016-2017 (3)'!$G$5:$G$289,'Comp2016-2017 (3)'!$A$5:$A$289,$D1081,'Comp2016-2017 (3)'!$R$5:$R$289,$V1081)*$AB1081))</f>
        <v/>
      </c>
      <c r="AH1081" s="2" t="str">
        <f>IF($W1081=AH$3,$AB1081,IF(NOT($W1081=0),"",SUMIFS('Val-Vol (2)'!AH$4:AH$1116,'Val-Vol (2)'!$A$4:$A$1116,$D1081,'Val-Vol (2)'!$V$4:$V$1116,$V1081)/SUMIFS('Comp2016-2017 (3)'!$G$5:$G$289,'Comp2016-2017 (3)'!$A$5:$A$289,$D1081,'Comp2016-2017 (3)'!$R$5:$R$289,$V1081)*$AB1081))</f>
        <v/>
      </c>
      <c r="AI1081" s="2" t="str">
        <f>IF($W1081=AI$3,$AB1081,IF(NOT($W1081=0),"",SUMIFS('Val-Vol (2)'!AI$4:AI$1116,'Val-Vol (2)'!$A$4:$A$1116,$D1081,'Val-Vol (2)'!$V$4:$V$1116,$V1081)/SUMIFS('Comp2016-2017 (3)'!$G$5:$G$289,'Comp2016-2017 (3)'!$A$5:$A$289,$D1081,'Comp2016-2017 (3)'!$R$5:$R$289,$V1081)*$AB1081))</f>
        <v/>
      </c>
      <c r="AJ1081" s="2">
        <f>IF($W1081=AJ$3,$AB1081,IF(NOT($W1081=0),"",SUMIFS('Val-Vol (2)'!AJ$4:AJ$1116,'Val-Vol (2)'!$A$4:$A$1116,$D1081,'Val-Vol (2)'!$V$4:$V$1116,$V1081)/SUMIFS('Comp2016-2017 (3)'!$G$5:$G$289,'Comp2016-2017 (3)'!$A$5:$A$289,$D1081,'Comp2016-2017 (3)'!$R$5:$R$289,$V1081)*$AB1081))</f>
        <v>646495.69605789729</v>
      </c>
      <c r="AK1081" s="2">
        <f t="shared" si="130"/>
        <v>0</v>
      </c>
      <c r="AL1081" t="str">
        <f t="shared" si="127"/>
        <v/>
      </c>
      <c r="AM1081" t="str">
        <f>VLOOKUP(A1081,'Table corresp.'!$M$4:$U$63,8,FALSE)</f>
        <v>Production finale</v>
      </c>
      <c r="AN1081" t="str">
        <f>VLOOKUP(D1081,'Table corresp.'!$M$4:$U$63,9,FALSE)</f>
        <v>Consommation finale française</v>
      </c>
    </row>
    <row r="1082" spans="1:40" x14ac:dyDescent="0.25">
      <c r="A1082" t="s">
        <v>52</v>
      </c>
      <c r="B1082" t="str">
        <f>VLOOKUP(LEFT(A1082,3),'Table corresp.'!$A$4:$D$63,3,FALSE)</f>
        <v>Importation</v>
      </c>
      <c r="C1082" t="str">
        <f>VLOOKUP(A1082,'Table corresp.'!$M$4:$P$63,4,FALSE)</f>
        <v>Importation</v>
      </c>
      <c r="D1082" t="s">
        <v>80</v>
      </c>
      <c r="E1082" t="str">
        <f>VLOOKUP(LEFT(D1082,3),'Table corresp.'!$A$4:$D$63,4,FALSE)</f>
        <v>Transformation</v>
      </c>
      <c r="F1082" t="str">
        <f t="shared" si="132"/>
        <v xml:space="preserve">Imp - 01 </v>
      </c>
      <c r="G1082" s="164">
        <v>0</v>
      </c>
      <c r="H1082" s="164">
        <v>9553.659999999998</v>
      </c>
      <c r="I1082" s="164">
        <v>9553.659999999998</v>
      </c>
      <c r="J1082" s="164">
        <v>0</v>
      </c>
      <c r="K1082" s="164">
        <v>0</v>
      </c>
      <c r="L1082" s="164">
        <v>0</v>
      </c>
      <c r="M1082" s="164">
        <v>0</v>
      </c>
      <c r="N1082" s="164">
        <v>0</v>
      </c>
      <c r="O1082" s="164">
        <v>0</v>
      </c>
      <c r="P1082" s="164">
        <v>0</v>
      </c>
      <c r="Q1082" s="164">
        <v>0</v>
      </c>
      <c r="R1082" s="164">
        <v>0</v>
      </c>
      <c r="S1082" s="163" t="str">
        <f t="shared" si="133"/>
        <v/>
      </c>
      <c r="T1082" s="163">
        <f>VLOOKUP(A1082,'Groupe de branches'!$Z$27:$AM$86,14,FALSE)</f>
        <v>0</v>
      </c>
      <c r="U1082" s="163">
        <f>VLOOKUP(D1082,'Groupe de branches'!$Z$27:$AM$86,14,FALSE)</f>
        <v>0</v>
      </c>
      <c r="V1082" s="163">
        <v>2018</v>
      </c>
      <c r="W1082">
        <f>VLOOKUP(D1082,'Table corresp.'!$M$4:$S$63,7,FALSE)</f>
        <v>0</v>
      </c>
      <c r="X1082" s="167">
        <f>IFERROR(G1082/SUMIFS('Comp2016-2017 (3)'!$I$5:$I$289,'Comp2016-2017 (3)'!$A$5:$A$289,A1082,'Comp2016-2017 (3)'!$R$5:$R$289,V1082),0)</f>
        <v>0</v>
      </c>
      <c r="Y1082" s="178">
        <f>IFERROR(IF(RIGHT(F1082,3)="Exp",VLOOKUP(F1082,#REF!,2,FALSE),VLOOKUP(F1082,#REF!,9,FALSE)),0)</f>
        <v>0</v>
      </c>
      <c r="Z1082" s="167">
        <f t="shared" ref="Z1082" si="135">IFERROR(Y1082/SUMIFS($Y$4:$Y$1858,$V$4:$V$1858,V1082,$A$4:$A$1858,A1082),0)</f>
        <v>0</v>
      </c>
      <c r="AA1082" s="189">
        <f t="shared" si="128"/>
        <v>0</v>
      </c>
      <c r="AB1082" s="2">
        <f>IFERROR(SUMIFS('Comp2016-2017 (3)'!$G$5:$G$289,'Comp2016-2017 (3)'!$A$5:$A$289,A1082,'Comp2016-2017 (3)'!$R$5:$R$289,V1082)*AA1082/SUMIFS($AA$4:$AA$1116,$A$4:$A$1116,A1082,$V$4:$V$1116,V1082),0)</f>
        <v>0</v>
      </c>
      <c r="AC1082" s="2">
        <f>IF($W1082=AC$3,$AB1082,IF(NOT($W1082=0),"",SUMIFS('Val-Vol (2)'!AC$4:AC$1116,'Val-Vol (2)'!$A$4:$A$1116,$D1082,'Val-Vol (2)'!$V$4:$V$1116,$V1082)/SUMIFS('Comp2016-2017 (3)'!$G$5:$G$289,'Comp2016-2017 (3)'!$A$5:$A$289,$D1082,'Comp2016-2017 (3)'!$R$5:$R$289,$V1082)*$AB1082))</f>
        <v>0</v>
      </c>
      <c r="AD1082" s="2">
        <f>IF($W1082=AD$3,$AB1082,IF(NOT($W1082=0),"",SUMIFS('Val-Vol (2)'!AD$4:AD$1116,'Val-Vol (2)'!$A$4:$A$1116,$D1082,'Val-Vol (2)'!$V$4:$V$1116,$V1082)/SUMIFS('Comp2016-2017 (3)'!$G$5:$G$289,'Comp2016-2017 (3)'!$A$5:$A$289,$D1082,'Comp2016-2017 (3)'!$R$5:$R$289,$V1082)*$AB1082))</f>
        <v>0</v>
      </c>
      <c r="AE1082" s="2">
        <f>IF($W1082=AE$3,$AB1082,IF(NOT($W1082=0),"",SUMIFS('Val-Vol (2)'!AE$4:AE$1116,'Val-Vol (2)'!$A$4:$A$1116,$D1082,'Val-Vol (2)'!$V$4:$V$1116,$V1082)/SUMIFS('Comp2016-2017 (3)'!$G$5:$G$289,'Comp2016-2017 (3)'!$A$5:$A$289,$D1082,'Comp2016-2017 (3)'!$R$5:$R$289,$V1082)*$AB1082))</f>
        <v>0</v>
      </c>
      <c r="AF1082" s="2">
        <f>IF($W1082=AF$3,$AB1082,IF(NOT($W1082=0),"",SUMIFS('Val-Vol (2)'!AF$4:AF$1116,'Val-Vol (2)'!$A$4:$A$1116,$D1082,'Val-Vol (2)'!$V$4:$V$1116,$V1082)/SUMIFS('Comp2016-2017 (3)'!$G$5:$G$289,'Comp2016-2017 (3)'!$A$5:$A$289,$D1082,'Comp2016-2017 (3)'!$R$5:$R$289,$V1082)*$AB1082))</f>
        <v>0</v>
      </c>
      <c r="AG1082" s="2">
        <f>IF($W1082=AG$3,$AB1082,IF(NOT($W1082=0),"",SUMIFS('Val-Vol (2)'!AG$4:AG$1116,'Val-Vol (2)'!$A$4:$A$1116,$D1082,'Val-Vol (2)'!$V$4:$V$1116,$V1082)/SUMIFS('Comp2016-2017 (3)'!$G$5:$G$289,'Comp2016-2017 (3)'!$A$5:$A$289,$D1082,'Comp2016-2017 (3)'!$R$5:$R$289,$V1082)*$AB1082))</f>
        <v>0</v>
      </c>
      <c r="AH1082" s="2">
        <f>IF($W1082=AH$3,$AB1082,IF(NOT($W1082=0),"",SUMIFS('Val-Vol (2)'!AH$4:AH$1116,'Val-Vol (2)'!$A$4:$A$1116,$D1082,'Val-Vol (2)'!$V$4:$V$1116,$V1082)/SUMIFS('Comp2016-2017 (3)'!$G$5:$G$289,'Comp2016-2017 (3)'!$A$5:$A$289,$D1082,'Comp2016-2017 (3)'!$R$5:$R$289,$V1082)*$AB1082))</f>
        <v>0</v>
      </c>
      <c r="AI1082" s="2">
        <f>IF($W1082=AI$3,$AB1082,IF(NOT($W1082=0),"",SUMIFS('Val-Vol (2)'!AI$4:AI$1116,'Val-Vol (2)'!$A$4:$A$1116,$D1082,'Val-Vol (2)'!$V$4:$V$1116,$V1082)/SUMIFS('Comp2016-2017 (3)'!$G$5:$G$289,'Comp2016-2017 (3)'!$A$5:$A$289,$D1082,'Comp2016-2017 (3)'!$R$5:$R$289,$V1082)*$AB1082))</f>
        <v>0</v>
      </c>
      <c r="AJ1082" s="2">
        <f>IF($W1082=AJ$3,$AB1082,IF(NOT($W1082=0),"",SUMIFS('Val-Vol (2)'!AJ$4:AJ$1116,'Val-Vol (2)'!$A$4:$A$1116,$D1082,'Val-Vol (2)'!$V$4:$V$1116,$V1082)/SUMIFS('Comp2016-2017 (3)'!$G$5:$G$289,'Comp2016-2017 (3)'!$A$5:$A$289,$D1082,'Comp2016-2017 (3)'!$R$5:$R$289,$V1082)*$AB1082))</f>
        <v>0</v>
      </c>
      <c r="AK1082" s="2">
        <f t="shared" si="130"/>
        <v>0</v>
      </c>
      <c r="AL1082" t="str">
        <f t="shared" si="127"/>
        <v/>
      </c>
      <c r="AM1082" t="str">
        <f>VLOOKUP(A1082,'Table corresp.'!$M$4:$U$63,8,FALSE)</f>
        <v>Importation</v>
      </c>
      <c r="AN1082" t="str">
        <f>VLOOKUP(D1082,'Table corresp.'!$M$4:$U$63,9,FALSE)</f>
        <v>Production intermédiaire</v>
      </c>
    </row>
    <row r="1083" spans="1:40" x14ac:dyDescent="0.25">
      <c r="A1083" t="s">
        <v>52</v>
      </c>
      <c r="B1083" t="str">
        <f>VLOOKUP(LEFT(A1083,3),'Table corresp.'!$A$4:$D$63,3,FALSE)</f>
        <v>Importation</v>
      </c>
      <c r="C1083" t="str">
        <f>VLOOKUP(A1083,'Table corresp.'!$M$4:$P$63,4,FALSE)</f>
        <v>Importation</v>
      </c>
      <c r="D1083" t="s">
        <v>0</v>
      </c>
      <c r="E1083" t="str">
        <f>VLOOKUP(LEFT(D1083,3),'Table corresp.'!$A$4:$D$63,4,FALSE)</f>
        <v>Transformation</v>
      </c>
      <c r="F1083" t="str">
        <f t="shared" si="132"/>
        <v xml:space="preserve">Imp - 02 </v>
      </c>
      <c r="G1083" s="164">
        <v>0</v>
      </c>
      <c r="H1083" s="164">
        <v>56171.988999999994</v>
      </c>
      <c r="I1083" s="164">
        <v>56171.988999999994</v>
      </c>
      <c r="J1083" s="164">
        <v>0</v>
      </c>
      <c r="K1083" s="164">
        <v>312.56293879169334</v>
      </c>
      <c r="L1083" s="164">
        <v>312.56293879169334</v>
      </c>
      <c r="M1083" s="164">
        <v>0</v>
      </c>
      <c r="N1083" s="164">
        <v>0</v>
      </c>
      <c r="O1083" s="164">
        <v>0</v>
      </c>
      <c r="P1083" s="164">
        <v>0</v>
      </c>
      <c r="Q1083" s="164">
        <v>0</v>
      </c>
      <c r="R1083" s="164">
        <v>0</v>
      </c>
      <c r="S1083" s="163" t="str">
        <f t="shared" si="133"/>
        <v/>
      </c>
      <c r="T1083" s="163">
        <f>VLOOKUP(A1083,'Groupe de branches'!$Z$27:$AM$86,14,FALSE)</f>
        <v>0</v>
      </c>
      <c r="U1083" s="163">
        <f>VLOOKUP(D1083,'Groupe de branches'!$Z$27:$AM$86,14,FALSE)</f>
        <v>0</v>
      </c>
      <c r="V1083" s="163">
        <v>2018</v>
      </c>
      <c r="W1083">
        <f>VLOOKUP(D1083,'Table corresp.'!$M$4:$S$63,7,FALSE)</f>
        <v>0</v>
      </c>
      <c r="X1083" s="167">
        <f>IFERROR(G1083/SUMIFS('Comp2016-2017 (3)'!$I$5:$I$289,'Comp2016-2017 (3)'!$A$5:$A$289,A1083,'Comp2016-2017 (3)'!$R$5:$R$289,V1083),0)</f>
        <v>0</v>
      </c>
      <c r="Y1083" s="178">
        <f>IFERROR(IF(RIGHT(F1083,3)="Exp",VLOOKUP(F1083,#REF!,2,FALSE),VLOOKUP(F1083,#REF!,9,FALSE)),0)</f>
        <v>0</v>
      </c>
      <c r="Z1083" s="167">
        <f t="shared" ref="Z1083:Z1116" si="136">IFERROR(Y1083/SUMIFS($Y$4:$Y$1858,$V$4:$V$1858,V1083,$A$4:$A$1858,A1083),0)</f>
        <v>0</v>
      </c>
      <c r="AA1083" s="189">
        <f t="shared" si="128"/>
        <v>0</v>
      </c>
      <c r="AB1083" s="2">
        <f>IFERROR(SUMIFS('Comp2016-2017 (3)'!$G$5:$G$289,'Comp2016-2017 (3)'!$A$5:$A$289,A1083,'Comp2016-2017 (3)'!$R$5:$R$289,V1083)*AA1083/SUMIFS($AA$4:$AA$1116,$A$4:$A$1116,A1083,$V$4:$V$1116,V1083),0)</f>
        <v>0</v>
      </c>
      <c r="AC1083" s="2">
        <f>IF($W1083=AC$3,$AB1083,IF(NOT($W1083=0),"",SUMIFS('Val-Vol (2)'!AC$4:AC$1116,'Val-Vol (2)'!$A$4:$A$1116,$D1083,'Val-Vol (2)'!$V$4:$V$1116,$V1083)/SUMIFS('Comp2016-2017 (3)'!$G$5:$G$289,'Comp2016-2017 (3)'!$A$5:$A$289,$D1083,'Comp2016-2017 (3)'!$R$5:$R$289,$V1083)*$AB1083))</f>
        <v>0</v>
      </c>
      <c r="AD1083" s="2">
        <f>IF($W1083=AD$3,$AB1083,IF(NOT($W1083=0),"",SUMIFS('Val-Vol (2)'!AD$4:AD$1116,'Val-Vol (2)'!$A$4:$A$1116,$D1083,'Val-Vol (2)'!$V$4:$V$1116,$V1083)/SUMIFS('Comp2016-2017 (3)'!$G$5:$G$289,'Comp2016-2017 (3)'!$A$5:$A$289,$D1083,'Comp2016-2017 (3)'!$R$5:$R$289,$V1083)*$AB1083))</f>
        <v>0</v>
      </c>
      <c r="AE1083" s="2">
        <f>IF($W1083=AE$3,$AB1083,IF(NOT($W1083=0),"",SUMIFS('Val-Vol (2)'!AE$4:AE$1116,'Val-Vol (2)'!$A$4:$A$1116,$D1083,'Val-Vol (2)'!$V$4:$V$1116,$V1083)/SUMIFS('Comp2016-2017 (3)'!$G$5:$G$289,'Comp2016-2017 (3)'!$A$5:$A$289,$D1083,'Comp2016-2017 (3)'!$R$5:$R$289,$V1083)*$AB1083))</f>
        <v>0</v>
      </c>
      <c r="AF1083" s="2">
        <f>IF($W1083=AF$3,$AB1083,IF(NOT($W1083=0),"",SUMIFS('Val-Vol (2)'!AF$4:AF$1116,'Val-Vol (2)'!$A$4:$A$1116,$D1083,'Val-Vol (2)'!$V$4:$V$1116,$V1083)/SUMIFS('Comp2016-2017 (3)'!$G$5:$G$289,'Comp2016-2017 (3)'!$A$5:$A$289,$D1083,'Comp2016-2017 (3)'!$R$5:$R$289,$V1083)*$AB1083))</f>
        <v>0</v>
      </c>
      <c r="AG1083" s="2">
        <f>IF($W1083=AG$3,$AB1083,IF(NOT($W1083=0),"",SUMIFS('Val-Vol (2)'!AG$4:AG$1116,'Val-Vol (2)'!$A$4:$A$1116,$D1083,'Val-Vol (2)'!$V$4:$V$1116,$V1083)/SUMIFS('Comp2016-2017 (3)'!$G$5:$G$289,'Comp2016-2017 (3)'!$A$5:$A$289,$D1083,'Comp2016-2017 (3)'!$R$5:$R$289,$V1083)*$AB1083))</f>
        <v>0</v>
      </c>
      <c r="AH1083" s="2">
        <f>IF($W1083=AH$3,$AB1083,IF(NOT($W1083=0),"",SUMIFS('Val-Vol (2)'!AH$4:AH$1116,'Val-Vol (2)'!$A$4:$A$1116,$D1083,'Val-Vol (2)'!$V$4:$V$1116,$V1083)/SUMIFS('Comp2016-2017 (3)'!$G$5:$G$289,'Comp2016-2017 (3)'!$A$5:$A$289,$D1083,'Comp2016-2017 (3)'!$R$5:$R$289,$V1083)*$AB1083))</f>
        <v>0</v>
      </c>
      <c r="AI1083" s="2">
        <f>IF($W1083=AI$3,$AB1083,IF(NOT($W1083=0),"",SUMIFS('Val-Vol (2)'!AI$4:AI$1116,'Val-Vol (2)'!$A$4:$A$1116,$D1083,'Val-Vol (2)'!$V$4:$V$1116,$V1083)/SUMIFS('Comp2016-2017 (3)'!$G$5:$G$289,'Comp2016-2017 (3)'!$A$5:$A$289,$D1083,'Comp2016-2017 (3)'!$R$5:$R$289,$V1083)*$AB1083))</f>
        <v>0</v>
      </c>
      <c r="AJ1083" s="2">
        <f>IF($W1083=AJ$3,$AB1083,IF(NOT($W1083=0),"",SUMIFS('Val-Vol (2)'!AJ$4:AJ$1116,'Val-Vol (2)'!$A$4:$A$1116,$D1083,'Val-Vol (2)'!$V$4:$V$1116,$V1083)/SUMIFS('Comp2016-2017 (3)'!$G$5:$G$289,'Comp2016-2017 (3)'!$A$5:$A$289,$D1083,'Comp2016-2017 (3)'!$R$5:$R$289,$V1083)*$AB1083))</f>
        <v>0</v>
      </c>
      <c r="AK1083" s="2">
        <f t="shared" si="130"/>
        <v>0</v>
      </c>
      <c r="AL1083" t="str">
        <f t="shared" si="127"/>
        <v/>
      </c>
      <c r="AM1083" t="str">
        <f>VLOOKUP(A1083,'Table corresp.'!$M$4:$U$63,8,FALSE)</f>
        <v>Importation</v>
      </c>
      <c r="AN1083" t="str">
        <f>VLOOKUP(D1083,'Table corresp.'!$M$4:$U$63,9,FALSE)</f>
        <v>Production intermédiaire</v>
      </c>
    </row>
    <row r="1084" spans="1:40" x14ac:dyDescent="0.25">
      <c r="A1084" t="s">
        <v>52</v>
      </c>
      <c r="B1084" t="str">
        <f>VLOOKUP(LEFT(A1084,3),'Table corresp.'!$A$4:$D$63,3,FALSE)</f>
        <v>Importation</v>
      </c>
      <c r="C1084" t="str">
        <f>VLOOKUP(A1084,'Table corresp.'!$M$4:$P$63,4,FALSE)</f>
        <v>Importation</v>
      </c>
      <c r="D1084" t="s">
        <v>1</v>
      </c>
      <c r="E1084" t="str">
        <f>VLOOKUP(LEFT(D1084,3),'Table corresp.'!$A$4:$D$63,4,FALSE)</f>
        <v>Transformation</v>
      </c>
      <c r="F1084" t="str">
        <f t="shared" si="132"/>
        <v xml:space="preserve">Imp - 03 </v>
      </c>
      <c r="G1084" s="164">
        <v>0</v>
      </c>
      <c r="H1084" s="164">
        <v>61086.568999999996</v>
      </c>
      <c r="I1084" s="164">
        <v>61086.568999999996</v>
      </c>
      <c r="J1084" s="164">
        <v>0</v>
      </c>
      <c r="K1084" s="164">
        <v>0</v>
      </c>
      <c r="L1084" s="164">
        <v>0</v>
      </c>
      <c r="M1084" s="164">
        <v>0</v>
      </c>
      <c r="N1084" s="164">
        <v>439.91737500000005</v>
      </c>
      <c r="O1084" s="164">
        <v>439.91737500000005</v>
      </c>
      <c r="P1084" s="164">
        <v>0</v>
      </c>
      <c r="Q1084" s="164">
        <v>0</v>
      </c>
      <c r="R1084" s="164">
        <v>0</v>
      </c>
      <c r="S1084" s="163" t="str">
        <f t="shared" si="133"/>
        <v/>
      </c>
      <c r="T1084" s="163">
        <f>VLOOKUP(A1084,'Groupe de branches'!$Z$27:$AM$86,14,FALSE)</f>
        <v>0</v>
      </c>
      <c r="U1084" s="163">
        <f>VLOOKUP(D1084,'Groupe de branches'!$Z$27:$AM$86,14,FALSE)</f>
        <v>0</v>
      </c>
      <c r="V1084" s="163">
        <v>2018</v>
      </c>
      <c r="W1084">
        <f>VLOOKUP(D1084,'Table corresp.'!$M$4:$S$63,7,FALSE)</f>
        <v>0</v>
      </c>
      <c r="X1084" s="167">
        <f>IFERROR(G1084/SUMIFS('Comp2016-2017 (3)'!$I$5:$I$289,'Comp2016-2017 (3)'!$A$5:$A$289,A1084,'Comp2016-2017 (3)'!$R$5:$R$289,V1084),0)</f>
        <v>0</v>
      </c>
      <c r="Y1084" s="178">
        <f>IFERROR(IF(RIGHT(F1084,3)="Exp",VLOOKUP(F1084,#REF!,2,FALSE),VLOOKUP(F1084,#REF!,9,FALSE)),0)</f>
        <v>0</v>
      </c>
      <c r="Z1084" s="167">
        <f t="shared" si="136"/>
        <v>0</v>
      </c>
      <c r="AA1084" s="189">
        <f t="shared" si="128"/>
        <v>0</v>
      </c>
      <c r="AB1084" s="2">
        <f>IFERROR(SUMIFS('Comp2016-2017 (3)'!$G$5:$G$289,'Comp2016-2017 (3)'!$A$5:$A$289,A1084,'Comp2016-2017 (3)'!$R$5:$R$289,V1084)*AA1084/SUMIFS($AA$4:$AA$1116,$A$4:$A$1116,A1084,$V$4:$V$1116,V1084),0)</f>
        <v>0</v>
      </c>
      <c r="AC1084" s="2">
        <f>IF($W1084=AC$3,$AB1084,IF(NOT($W1084=0),"",SUMIFS('Val-Vol (2)'!AC$4:AC$1116,'Val-Vol (2)'!$A$4:$A$1116,$D1084,'Val-Vol (2)'!$V$4:$V$1116,$V1084)/SUMIFS('Comp2016-2017 (3)'!$G$5:$G$289,'Comp2016-2017 (3)'!$A$5:$A$289,$D1084,'Comp2016-2017 (3)'!$R$5:$R$289,$V1084)*$AB1084))</f>
        <v>0</v>
      </c>
      <c r="AD1084" s="2">
        <f>IF($W1084=AD$3,$AB1084,IF(NOT($W1084=0),"",SUMIFS('Val-Vol (2)'!AD$4:AD$1116,'Val-Vol (2)'!$A$4:$A$1116,$D1084,'Val-Vol (2)'!$V$4:$V$1116,$V1084)/SUMIFS('Comp2016-2017 (3)'!$G$5:$G$289,'Comp2016-2017 (3)'!$A$5:$A$289,$D1084,'Comp2016-2017 (3)'!$R$5:$R$289,$V1084)*$AB1084))</f>
        <v>0</v>
      </c>
      <c r="AE1084" s="2">
        <f>IF($W1084=AE$3,$AB1084,IF(NOT($W1084=0),"",SUMIFS('Val-Vol (2)'!AE$4:AE$1116,'Val-Vol (2)'!$A$4:$A$1116,$D1084,'Val-Vol (2)'!$V$4:$V$1116,$V1084)/SUMIFS('Comp2016-2017 (3)'!$G$5:$G$289,'Comp2016-2017 (3)'!$A$5:$A$289,$D1084,'Comp2016-2017 (3)'!$R$5:$R$289,$V1084)*$AB1084))</f>
        <v>0</v>
      </c>
      <c r="AF1084" s="2">
        <f>IF($W1084=AF$3,$AB1084,IF(NOT($W1084=0),"",SUMIFS('Val-Vol (2)'!AF$4:AF$1116,'Val-Vol (2)'!$A$4:$A$1116,$D1084,'Val-Vol (2)'!$V$4:$V$1116,$V1084)/SUMIFS('Comp2016-2017 (3)'!$G$5:$G$289,'Comp2016-2017 (3)'!$A$5:$A$289,$D1084,'Comp2016-2017 (3)'!$R$5:$R$289,$V1084)*$AB1084))</f>
        <v>0</v>
      </c>
      <c r="AG1084" s="2">
        <f>IF($W1084=AG$3,$AB1084,IF(NOT($W1084=0),"",SUMIFS('Val-Vol (2)'!AG$4:AG$1116,'Val-Vol (2)'!$A$4:$A$1116,$D1084,'Val-Vol (2)'!$V$4:$V$1116,$V1084)/SUMIFS('Comp2016-2017 (3)'!$G$5:$G$289,'Comp2016-2017 (3)'!$A$5:$A$289,$D1084,'Comp2016-2017 (3)'!$R$5:$R$289,$V1084)*$AB1084))</f>
        <v>0</v>
      </c>
      <c r="AH1084" s="2">
        <f>IF($W1084=AH$3,$AB1084,IF(NOT($W1084=0),"",SUMIFS('Val-Vol (2)'!AH$4:AH$1116,'Val-Vol (2)'!$A$4:$A$1116,$D1084,'Val-Vol (2)'!$V$4:$V$1116,$V1084)/SUMIFS('Comp2016-2017 (3)'!$G$5:$G$289,'Comp2016-2017 (3)'!$A$5:$A$289,$D1084,'Comp2016-2017 (3)'!$R$5:$R$289,$V1084)*$AB1084))</f>
        <v>0</v>
      </c>
      <c r="AI1084" s="2">
        <f>IF($W1084=AI$3,$AB1084,IF(NOT($W1084=0),"",SUMIFS('Val-Vol (2)'!AI$4:AI$1116,'Val-Vol (2)'!$A$4:$A$1116,$D1084,'Val-Vol (2)'!$V$4:$V$1116,$V1084)/SUMIFS('Comp2016-2017 (3)'!$G$5:$G$289,'Comp2016-2017 (3)'!$A$5:$A$289,$D1084,'Comp2016-2017 (3)'!$R$5:$R$289,$V1084)*$AB1084))</f>
        <v>0</v>
      </c>
      <c r="AJ1084" s="2">
        <f>IF($W1084=AJ$3,$AB1084,IF(NOT($W1084=0),"",SUMIFS('Val-Vol (2)'!AJ$4:AJ$1116,'Val-Vol (2)'!$A$4:$A$1116,$D1084,'Val-Vol (2)'!$V$4:$V$1116,$V1084)/SUMIFS('Comp2016-2017 (3)'!$G$5:$G$289,'Comp2016-2017 (3)'!$A$5:$A$289,$D1084,'Comp2016-2017 (3)'!$R$5:$R$289,$V1084)*$AB1084))</f>
        <v>0</v>
      </c>
      <c r="AK1084" s="2">
        <f t="shared" si="130"/>
        <v>0</v>
      </c>
      <c r="AL1084" t="str">
        <f t="shared" si="127"/>
        <v/>
      </c>
      <c r="AM1084" t="str">
        <f>VLOOKUP(A1084,'Table corresp.'!$M$4:$U$63,8,FALSE)</f>
        <v>Importation</v>
      </c>
      <c r="AN1084" t="str">
        <f>VLOOKUP(D1084,'Table corresp.'!$M$4:$U$63,9,FALSE)</f>
        <v>Production intermédiaire</v>
      </c>
    </row>
    <row r="1085" spans="1:40" x14ac:dyDescent="0.25">
      <c r="A1085" t="s">
        <v>52</v>
      </c>
      <c r="B1085" t="str">
        <f>VLOOKUP(LEFT(A1085,3),'Table corresp.'!$A$4:$D$63,3,FALSE)</f>
        <v>Importation</v>
      </c>
      <c r="C1085" t="str">
        <f>VLOOKUP(A1085,'Table corresp.'!$M$4:$P$63,4,FALSE)</f>
        <v>Importation</v>
      </c>
      <c r="D1085" t="s">
        <v>2</v>
      </c>
      <c r="E1085" t="str">
        <f>VLOOKUP(LEFT(D1085,3),'Table corresp.'!$A$4:$D$63,4,FALSE)</f>
        <v>Transformation</v>
      </c>
      <c r="F1085" t="str">
        <f t="shared" si="132"/>
        <v xml:space="preserve">Imp - 04 </v>
      </c>
      <c r="G1085" s="164">
        <v>0</v>
      </c>
      <c r="H1085" s="164">
        <v>13074.516999999996</v>
      </c>
      <c r="I1085" s="164">
        <v>13074.516999999996</v>
      </c>
      <c r="J1085" s="164">
        <v>0</v>
      </c>
      <c r="K1085" s="164">
        <v>0</v>
      </c>
      <c r="L1085" s="164">
        <v>0</v>
      </c>
      <c r="M1085" s="164">
        <v>0</v>
      </c>
      <c r="N1085" s="164">
        <v>0</v>
      </c>
      <c r="O1085" s="164">
        <v>0</v>
      </c>
      <c r="P1085" s="164">
        <v>0</v>
      </c>
      <c r="Q1085" s="164">
        <v>143.12268999999995</v>
      </c>
      <c r="R1085" s="164">
        <v>143.12268999999995</v>
      </c>
      <c r="S1085" s="163" t="str">
        <f t="shared" si="133"/>
        <v>BE</v>
      </c>
      <c r="T1085" s="163">
        <f>VLOOKUP(A1085,'Groupe de branches'!$Z$27:$AM$86,14,FALSE)</f>
        <v>0</v>
      </c>
      <c r="U1085" s="163">
        <f>VLOOKUP(D1085,'Groupe de branches'!$Z$27:$AM$86,14,FALSE)</f>
        <v>0</v>
      </c>
      <c r="V1085" s="163">
        <v>2018</v>
      </c>
      <c r="W1085" t="str">
        <f>VLOOKUP(D1085,'Table corresp.'!$M$4:$S$63,7,FALSE)</f>
        <v>Energie</v>
      </c>
      <c r="X1085" s="167">
        <f>IFERROR(G1085/SUMIFS('Comp2016-2017 (3)'!$I$5:$I$289,'Comp2016-2017 (3)'!$A$5:$A$289,A1085,'Comp2016-2017 (3)'!$R$5:$R$289,V1085),0)</f>
        <v>0</v>
      </c>
      <c r="Y1085" s="178">
        <f>IFERROR(IF(RIGHT(F1085,3)="Exp",VLOOKUP(F1085,#REF!,2,FALSE),VLOOKUP(F1085,#REF!,9,FALSE)),0)</f>
        <v>0</v>
      </c>
      <c r="Z1085" s="167">
        <f t="shared" si="136"/>
        <v>0</v>
      </c>
      <c r="AA1085" s="189">
        <f t="shared" si="128"/>
        <v>0</v>
      </c>
      <c r="AB1085" s="2">
        <f>IFERROR(SUMIFS('Comp2016-2017 (3)'!$G$5:$G$289,'Comp2016-2017 (3)'!$A$5:$A$289,A1085,'Comp2016-2017 (3)'!$R$5:$R$289,V1085)*AA1085/SUMIFS($AA$4:$AA$1116,$A$4:$A$1116,A1085,$V$4:$V$1116,V1085),0)</f>
        <v>0</v>
      </c>
      <c r="AC1085" s="2" t="str">
        <f>IF($W1085=AC$3,$AB1085,IF(NOT($W1085=0),"",SUMIFS('Val-Vol (2)'!AC$4:AC$1116,'Val-Vol (2)'!$A$4:$A$1116,$D1085,'Val-Vol (2)'!$V$4:$V$1116,$V1085)/SUMIFS('Comp2016-2017 (3)'!$G$5:$G$289,'Comp2016-2017 (3)'!$A$5:$A$289,$D1085,'Comp2016-2017 (3)'!$R$5:$R$289,$V1085)*$AB1085))</f>
        <v/>
      </c>
      <c r="AD1085" s="2" t="str">
        <f>IF($W1085=AD$3,$AB1085,IF(NOT($W1085=0),"",SUMIFS('Val-Vol (2)'!AD$4:AD$1116,'Val-Vol (2)'!$A$4:$A$1116,$D1085,'Val-Vol (2)'!$V$4:$V$1116,$V1085)/SUMIFS('Comp2016-2017 (3)'!$G$5:$G$289,'Comp2016-2017 (3)'!$A$5:$A$289,$D1085,'Comp2016-2017 (3)'!$R$5:$R$289,$V1085)*$AB1085))</f>
        <v/>
      </c>
      <c r="AE1085" s="2" t="str">
        <f>IF($W1085=AE$3,$AB1085,IF(NOT($W1085=0),"",SUMIFS('Val-Vol (2)'!AE$4:AE$1116,'Val-Vol (2)'!$A$4:$A$1116,$D1085,'Val-Vol (2)'!$V$4:$V$1116,$V1085)/SUMIFS('Comp2016-2017 (3)'!$G$5:$G$289,'Comp2016-2017 (3)'!$A$5:$A$289,$D1085,'Comp2016-2017 (3)'!$R$5:$R$289,$V1085)*$AB1085))</f>
        <v/>
      </c>
      <c r="AF1085" s="2" t="str">
        <f>IF($W1085=AF$3,$AB1085,IF(NOT($W1085=0),"",SUMIFS('Val-Vol (2)'!AF$4:AF$1116,'Val-Vol (2)'!$A$4:$A$1116,$D1085,'Val-Vol (2)'!$V$4:$V$1116,$V1085)/SUMIFS('Comp2016-2017 (3)'!$G$5:$G$289,'Comp2016-2017 (3)'!$A$5:$A$289,$D1085,'Comp2016-2017 (3)'!$R$5:$R$289,$V1085)*$AB1085))</f>
        <v/>
      </c>
      <c r="AG1085" s="2" t="str">
        <f>IF($W1085=AG$3,$AB1085,IF(NOT($W1085=0),"",SUMIFS('Val-Vol (2)'!AG$4:AG$1116,'Val-Vol (2)'!$A$4:$A$1116,$D1085,'Val-Vol (2)'!$V$4:$V$1116,$V1085)/SUMIFS('Comp2016-2017 (3)'!$G$5:$G$289,'Comp2016-2017 (3)'!$A$5:$A$289,$D1085,'Comp2016-2017 (3)'!$R$5:$R$289,$V1085)*$AB1085))</f>
        <v/>
      </c>
      <c r="AH1085" s="2">
        <f>IF($W1085=AH$3,$AB1085,IF(NOT($W1085=0),"",SUMIFS('Val-Vol (2)'!AH$4:AH$1116,'Val-Vol (2)'!$A$4:$A$1116,$D1085,'Val-Vol (2)'!$V$4:$V$1116,$V1085)/SUMIFS('Comp2016-2017 (3)'!$G$5:$G$289,'Comp2016-2017 (3)'!$A$5:$A$289,$D1085,'Comp2016-2017 (3)'!$R$5:$R$289,$V1085)*$AB1085))</f>
        <v>0</v>
      </c>
      <c r="AI1085" s="2" t="str">
        <f>IF($W1085=AI$3,$AB1085,IF(NOT($W1085=0),"",SUMIFS('Val-Vol (2)'!AI$4:AI$1116,'Val-Vol (2)'!$A$4:$A$1116,$D1085,'Val-Vol (2)'!$V$4:$V$1116,$V1085)/SUMIFS('Comp2016-2017 (3)'!$G$5:$G$289,'Comp2016-2017 (3)'!$A$5:$A$289,$D1085,'Comp2016-2017 (3)'!$R$5:$R$289,$V1085)*$AB1085))</f>
        <v/>
      </c>
      <c r="AJ1085" s="2" t="str">
        <f>IF($W1085=AJ$3,$AB1085,IF(NOT($W1085=0),"",SUMIFS('Val-Vol (2)'!AJ$4:AJ$1116,'Val-Vol (2)'!$A$4:$A$1116,$D1085,'Val-Vol (2)'!$V$4:$V$1116,$V1085)/SUMIFS('Comp2016-2017 (3)'!$G$5:$G$289,'Comp2016-2017 (3)'!$A$5:$A$289,$D1085,'Comp2016-2017 (3)'!$R$5:$R$289,$V1085)*$AB1085))</f>
        <v/>
      </c>
      <c r="AK1085" s="2">
        <f t="shared" si="130"/>
        <v>0</v>
      </c>
      <c r="AL1085" t="str">
        <f t="shared" si="127"/>
        <v/>
      </c>
      <c r="AM1085" t="str">
        <f>VLOOKUP(A1085,'Table corresp.'!$M$4:$U$63,8,FALSE)</f>
        <v>Importation</v>
      </c>
      <c r="AN1085" t="str">
        <f>VLOOKUP(D1085,'Table corresp.'!$M$4:$U$63,9,FALSE)</f>
        <v>Production intermédiaire</v>
      </c>
    </row>
    <row r="1086" spans="1:40" x14ac:dyDescent="0.25">
      <c r="A1086" t="s">
        <v>52</v>
      </c>
      <c r="B1086" t="str">
        <f>VLOOKUP(LEFT(A1086,3),'Table corresp.'!$A$4:$D$63,3,FALSE)</f>
        <v>Importation</v>
      </c>
      <c r="C1086" t="str">
        <f>VLOOKUP(A1086,'Table corresp.'!$M$4:$P$63,4,FALSE)</f>
        <v>Importation</v>
      </c>
      <c r="D1086" t="s">
        <v>59</v>
      </c>
      <c r="E1086" t="str">
        <f>VLOOKUP(LEFT(D1086,3),'Table corresp.'!$A$4:$D$63,4,FALSE)</f>
        <v>Transformation</v>
      </c>
      <c r="F1086" t="str">
        <f t="shared" si="132"/>
        <v xml:space="preserve">Imp - 07 </v>
      </c>
      <c r="G1086" s="164">
        <v>0</v>
      </c>
      <c r="H1086" s="164">
        <v>52349.78499999996</v>
      </c>
      <c r="I1086" s="164">
        <v>52349.78499999996</v>
      </c>
      <c r="J1086" s="164">
        <v>0</v>
      </c>
      <c r="K1086" s="164">
        <v>0</v>
      </c>
      <c r="L1086" s="164">
        <v>0</v>
      </c>
      <c r="M1086" s="164">
        <v>0</v>
      </c>
      <c r="N1086" s="164">
        <v>0</v>
      </c>
      <c r="O1086" s="164">
        <v>0</v>
      </c>
      <c r="P1086" s="164">
        <v>0</v>
      </c>
      <c r="Q1086" s="164">
        <v>0</v>
      </c>
      <c r="R1086" s="164">
        <v>0</v>
      </c>
      <c r="S1086" s="163" t="str">
        <f t="shared" si="133"/>
        <v/>
      </c>
      <c r="T1086" s="163">
        <f>VLOOKUP(A1086,'Groupe de branches'!$Z$27:$AM$86,14,FALSE)</f>
        <v>0</v>
      </c>
      <c r="U1086" s="163">
        <f>VLOOKUP(D1086,'Groupe de branches'!$Z$27:$AM$86,14,FALSE)</f>
        <v>0</v>
      </c>
      <c r="V1086" s="163">
        <v>2018</v>
      </c>
      <c r="W1086" t="str">
        <f>VLOOKUP(D1086,'Table corresp.'!$M$4:$S$63,7,FALSE)</f>
        <v>Produits de consommation courante</v>
      </c>
      <c r="X1086" s="167">
        <f>IFERROR(G1086/SUMIFS('Comp2016-2017 (3)'!$I$5:$I$289,'Comp2016-2017 (3)'!$A$5:$A$289,A1086,'Comp2016-2017 (3)'!$R$5:$R$289,V1086),0)</f>
        <v>0</v>
      </c>
      <c r="Y1086" s="178">
        <f>IFERROR(IF(RIGHT(F1086,3)="Exp",VLOOKUP(F1086,#REF!,2,FALSE),VLOOKUP(F1086,#REF!,9,FALSE)),0)</f>
        <v>0</v>
      </c>
      <c r="Z1086" s="167">
        <f t="shared" si="136"/>
        <v>0</v>
      </c>
      <c r="AA1086" s="189">
        <f t="shared" si="128"/>
        <v>0</v>
      </c>
      <c r="AB1086" s="2">
        <f>IFERROR(SUMIFS('Comp2016-2017 (3)'!$G$5:$G$289,'Comp2016-2017 (3)'!$A$5:$A$289,A1086,'Comp2016-2017 (3)'!$R$5:$R$289,V1086)*AA1086/SUMIFS($AA$4:$AA$1116,$A$4:$A$1116,A1086,$V$4:$V$1116,V1086),0)</f>
        <v>0</v>
      </c>
      <c r="AC1086" s="2" t="str">
        <f>IF($W1086=AC$3,$AB1086,IF(NOT($W1086=0),"",SUMIFS('Val-Vol (2)'!AC$4:AC$1116,'Val-Vol (2)'!$A$4:$A$1116,$D1086,'Val-Vol (2)'!$V$4:$V$1116,$V1086)/SUMIFS('Comp2016-2017 (3)'!$G$5:$G$289,'Comp2016-2017 (3)'!$A$5:$A$289,$D1086,'Comp2016-2017 (3)'!$R$5:$R$289,$V1086)*$AB1086))</f>
        <v/>
      </c>
      <c r="AD1086" s="2" t="str">
        <f>IF($W1086=AD$3,$AB1086,IF(NOT($W1086=0),"",SUMIFS('Val-Vol (2)'!AD$4:AD$1116,'Val-Vol (2)'!$A$4:$A$1116,$D1086,'Val-Vol (2)'!$V$4:$V$1116,$V1086)/SUMIFS('Comp2016-2017 (3)'!$G$5:$G$289,'Comp2016-2017 (3)'!$A$5:$A$289,$D1086,'Comp2016-2017 (3)'!$R$5:$R$289,$V1086)*$AB1086))</f>
        <v/>
      </c>
      <c r="AE1086" s="2" t="str">
        <f>IF($W1086=AE$3,$AB1086,IF(NOT($W1086=0),"",SUMIFS('Val-Vol (2)'!AE$4:AE$1116,'Val-Vol (2)'!$A$4:$A$1116,$D1086,'Val-Vol (2)'!$V$4:$V$1116,$V1086)/SUMIFS('Comp2016-2017 (3)'!$G$5:$G$289,'Comp2016-2017 (3)'!$A$5:$A$289,$D1086,'Comp2016-2017 (3)'!$R$5:$R$289,$V1086)*$AB1086))</f>
        <v/>
      </c>
      <c r="AF1086" s="2" t="str">
        <f>IF($W1086=AF$3,$AB1086,IF(NOT($W1086=0),"",SUMIFS('Val-Vol (2)'!AF$4:AF$1116,'Val-Vol (2)'!$A$4:$A$1116,$D1086,'Val-Vol (2)'!$V$4:$V$1116,$V1086)/SUMIFS('Comp2016-2017 (3)'!$G$5:$G$289,'Comp2016-2017 (3)'!$A$5:$A$289,$D1086,'Comp2016-2017 (3)'!$R$5:$R$289,$V1086)*$AB1086))</f>
        <v/>
      </c>
      <c r="AG1086" s="2" t="str">
        <f>IF($W1086=AG$3,$AB1086,IF(NOT($W1086=0),"",SUMIFS('Val-Vol (2)'!AG$4:AG$1116,'Val-Vol (2)'!$A$4:$A$1116,$D1086,'Val-Vol (2)'!$V$4:$V$1116,$V1086)/SUMIFS('Comp2016-2017 (3)'!$G$5:$G$289,'Comp2016-2017 (3)'!$A$5:$A$289,$D1086,'Comp2016-2017 (3)'!$R$5:$R$289,$V1086)*$AB1086))</f>
        <v/>
      </c>
      <c r="AH1086" s="2" t="str">
        <f>IF($W1086=AH$3,$AB1086,IF(NOT($W1086=0),"",SUMIFS('Val-Vol (2)'!AH$4:AH$1116,'Val-Vol (2)'!$A$4:$A$1116,$D1086,'Val-Vol (2)'!$V$4:$V$1116,$V1086)/SUMIFS('Comp2016-2017 (3)'!$G$5:$G$289,'Comp2016-2017 (3)'!$A$5:$A$289,$D1086,'Comp2016-2017 (3)'!$R$5:$R$289,$V1086)*$AB1086))</f>
        <v/>
      </c>
      <c r="AI1086" s="2">
        <f>IF($W1086=AI$3,$AB1086,IF(NOT($W1086=0),"",SUMIFS('Val-Vol (2)'!AI$4:AI$1116,'Val-Vol (2)'!$A$4:$A$1116,$D1086,'Val-Vol (2)'!$V$4:$V$1116,$V1086)/SUMIFS('Comp2016-2017 (3)'!$G$5:$G$289,'Comp2016-2017 (3)'!$A$5:$A$289,$D1086,'Comp2016-2017 (3)'!$R$5:$R$289,$V1086)*$AB1086))</f>
        <v>0</v>
      </c>
      <c r="AJ1086" s="2" t="str">
        <f>IF($W1086=AJ$3,$AB1086,IF(NOT($W1086=0),"",SUMIFS('Val-Vol (2)'!AJ$4:AJ$1116,'Val-Vol (2)'!$A$4:$A$1116,$D1086,'Val-Vol (2)'!$V$4:$V$1116,$V1086)/SUMIFS('Comp2016-2017 (3)'!$G$5:$G$289,'Comp2016-2017 (3)'!$A$5:$A$289,$D1086,'Comp2016-2017 (3)'!$R$5:$R$289,$V1086)*$AB1086))</f>
        <v/>
      </c>
      <c r="AK1086" s="2">
        <f t="shared" si="130"/>
        <v>0</v>
      </c>
      <c r="AL1086" t="str">
        <f t="shared" si="127"/>
        <v/>
      </c>
      <c r="AM1086" t="str">
        <f>VLOOKUP(A1086,'Table corresp.'!$M$4:$U$63,8,FALSE)</f>
        <v>Importation</v>
      </c>
      <c r="AN1086" t="str">
        <f>VLOOKUP(D1086,'Table corresp.'!$M$4:$U$63,9,FALSE)</f>
        <v>Production intermédiaire</v>
      </c>
    </row>
    <row r="1087" spans="1:40" x14ac:dyDescent="0.25">
      <c r="A1087" t="s">
        <v>52</v>
      </c>
      <c r="B1087" t="str">
        <f>VLOOKUP(LEFT(A1087,3),'Table corresp.'!$A$4:$D$63,3,FALSE)</f>
        <v>Importation</v>
      </c>
      <c r="C1087" t="str">
        <f>VLOOKUP(A1087,'Table corresp.'!$M$4:$P$63,4,FALSE)</f>
        <v>Importation</v>
      </c>
      <c r="D1087" t="s">
        <v>4</v>
      </c>
      <c r="E1087" t="str">
        <f>VLOOKUP(LEFT(D1087,3),'Table corresp.'!$A$4:$D$63,4,FALSE)</f>
        <v>Transformation</v>
      </c>
      <c r="F1087" t="str">
        <f t="shared" si="132"/>
        <v xml:space="preserve">Imp - 08 </v>
      </c>
      <c r="G1087" s="164">
        <v>0</v>
      </c>
      <c r="H1087" s="164">
        <v>32895.419000000002</v>
      </c>
      <c r="I1087" s="164">
        <v>32895.419000000002</v>
      </c>
      <c r="J1087" s="164">
        <v>0</v>
      </c>
      <c r="K1087" s="164">
        <v>72.223933472439938</v>
      </c>
      <c r="L1087" s="164">
        <v>72.223933472439938</v>
      </c>
      <c r="M1087" s="164">
        <v>0</v>
      </c>
      <c r="N1087" s="164">
        <v>0</v>
      </c>
      <c r="O1087" s="164">
        <v>0</v>
      </c>
      <c r="P1087" s="164">
        <v>0</v>
      </c>
      <c r="Q1087" s="164">
        <v>0</v>
      </c>
      <c r="R1087" s="164">
        <v>0</v>
      </c>
      <c r="S1087" s="163" t="str">
        <f t="shared" si="133"/>
        <v/>
      </c>
      <c r="T1087" s="163">
        <f>VLOOKUP(A1087,'Groupe de branches'!$Z$27:$AM$86,14,FALSE)</f>
        <v>0</v>
      </c>
      <c r="U1087" s="163">
        <f>VLOOKUP(D1087,'Groupe de branches'!$Z$27:$AM$86,14,FALSE)</f>
        <v>0</v>
      </c>
      <c r="V1087" s="163">
        <v>2018</v>
      </c>
      <c r="W1087">
        <f>VLOOKUP(D1087,'Table corresp.'!$M$4:$S$63,7,FALSE)</f>
        <v>0</v>
      </c>
      <c r="X1087" s="167">
        <f>IFERROR(G1087/SUMIFS('Comp2016-2017 (3)'!$I$5:$I$289,'Comp2016-2017 (3)'!$A$5:$A$289,A1087,'Comp2016-2017 (3)'!$R$5:$R$289,V1087),0)</f>
        <v>0</v>
      </c>
      <c r="Y1087" s="178">
        <f>IFERROR(IF(RIGHT(F1087,3)="Exp",VLOOKUP(F1087,#REF!,2,FALSE),VLOOKUP(F1087,#REF!,9,FALSE)),0)</f>
        <v>0</v>
      </c>
      <c r="Z1087" s="167">
        <f t="shared" si="136"/>
        <v>0</v>
      </c>
      <c r="AA1087" s="189">
        <f t="shared" si="128"/>
        <v>0</v>
      </c>
      <c r="AB1087" s="2">
        <f>IFERROR(SUMIFS('Comp2016-2017 (3)'!$G$5:$G$289,'Comp2016-2017 (3)'!$A$5:$A$289,A1087,'Comp2016-2017 (3)'!$R$5:$R$289,V1087)*AA1087/SUMIFS($AA$4:$AA$1116,$A$4:$A$1116,A1087,$V$4:$V$1116,V1087),0)</f>
        <v>0</v>
      </c>
      <c r="AC1087" s="2">
        <f>IF($W1087=AC$3,$AB1087,IF(NOT($W1087=0),"",SUMIFS('Val-Vol (2)'!AC$4:AC$1116,'Val-Vol (2)'!$A$4:$A$1116,$D1087,'Val-Vol (2)'!$V$4:$V$1116,$V1087)/SUMIFS('Comp2016-2017 (3)'!$G$5:$G$289,'Comp2016-2017 (3)'!$A$5:$A$289,$D1087,'Comp2016-2017 (3)'!$R$5:$R$289,$V1087)*$AB1087))</f>
        <v>0</v>
      </c>
      <c r="AD1087" s="2">
        <f>IF($W1087=AD$3,$AB1087,IF(NOT($W1087=0),"",SUMIFS('Val-Vol (2)'!AD$4:AD$1116,'Val-Vol (2)'!$A$4:$A$1116,$D1087,'Val-Vol (2)'!$V$4:$V$1116,$V1087)/SUMIFS('Comp2016-2017 (3)'!$G$5:$G$289,'Comp2016-2017 (3)'!$A$5:$A$289,$D1087,'Comp2016-2017 (3)'!$R$5:$R$289,$V1087)*$AB1087))</f>
        <v>0</v>
      </c>
      <c r="AE1087" s="2">
        <f>IF($W1087=AE$3,$AB1087,IF(NOT($W1087=0),"",SUMIFS('Val-Vol (2)'!AE$4:AE$1116,'Val-Vol (2)'!$A$4:$A$1116,$D1087,'Val-Vol (2)'!$V$4:$V$1116,$V1087)/SUMIFS('Comp2016-2017 (3)'!$G$5:$G$289,'Comp2016-2017 (3)'!$A$5:$A$289,$D1087,'Comp2016-2017 (3)'!$R$5:$R$289,$V1087)*$AB1087))</f>
        <v>0</v>
      </c>
      <c r="AF1087" s="2">
        <f>IF($W1087=AF$3,$AB1087,IF(NOT($W1087=0),"",SUMIFS('Val-Vol (2)'!AF$4:AF$1116,'Val-Vol (2)'!$A$4:$A$1116,$D1087,'Val-Vol (2)'!$V$4:$V$1116,$V1087)/SUMIFS('Comp2016-2017 (3)'!$G$5:$G$289,'Comp2016-2017 (3)'!$A$5:$A$289,$D1087,'Comp2016-2017 (3)'!$R$5:$R$289,$V1087)*$AB1087))</f>
        <v>0</v>
      </c>
      <c r="AG1087" s="2">
        <f>IF($W1087=AG$3,$AB1087,IF(NOT($W1087=0),"",SUMIFS('Val-Vol (2)'!AG$4:AG$1116,'Val-Vol (2)'!$A$4:$A$1116,$D1087,'Val-Vol (2)'!$V$4:$V$1116,$V1087)/SUMIFS('Comp2016-2017 (3)'!$G$5:$G$289,'Comp2016-2017 (3)'!$A$5:$A$289,$D1087,'Comp2016-2017 (3)'!$R$5:$R$289,$V1087)*$AB1087))</f>
        <v>0</v>
      </c>
      <c r="AH1087" s="2">
        <f>IF($W1087=AH$3,$AB1087,IF(NOT($W1087=0),"",SUMIFS('Val-Vol (2)'!AH$4:AH$1116,'Val-Vol (2)'!$A$4:$A$1116,$D1087,'Val-Vol (2)'!$V$4:$V$1116,$V1087)/SUMIFS('Comp2016-2017 (3)'!$G$5:$G$289,'Comp2016-2017 (3)'!$A$5:$A$289,$D1087,'Comp2016-2017 (3)'!$R$5:$R$289,$V1087)*$AB1087))</f>
        <v>0</v>
      </c>
      <c r="AI1087" s="2">
        <f>IF($W1087=AI$3,$AB1087,IF(NOT($W1087=0),"",SUMIFS('Val-Vol (2)'!AI$4:AI$1116,'Val-Vol (2)'!$A$4:$A$1116,$D1087,'Val-Vol (2)'!$V$4:$V$1116,$V1087)/SUMIFS('Comp2016-2017 (3)'!$G$5:$G$289,'Comp2016-2017 (3)'!$A$5:$A$289,$D1087,'Comp2016-2017 (3)'!$R$5:$R$289,$V1087)*$AB1087))</f>
        <v>0</v>
      </c>
      <c r="AJ1087" s="2">
        <f>IF($W1087=AJ$3,$AB1087,IF(NOT($W1087=0),"",SUMIFS('Val-Vol (2)'!AJ$4:AJ$1116,'Val-Vol (2)'!$A$4:$A$1116,$D1087,'Val-Vol (2)'!$V$4:$V$1116,$V1087)/SUMIFS('Comp2016-2017 (3)'!$G$5:$G$289,'Comp2016-2017 (3)'!$A$5:$A$289,$D1087,'Comp2016-2017 (3)'!$R$5:$R$289,$V1087)*$AB1087))</f>
        <v>0</v>
      </c>
      <c r="AK1087" s="2">
        <f t="shared" si="130"/>
        <v>0</v>
      </c>
      <c r="AL1087" t="str">
        <f t="shared" si="127"/>
        <v/>
      </c>
      <c r="AM1087" t="str">
        <f>VLOOKUP(A1087,'Table corresp.'!$M$4:$U$63,8,FALSE)</f>
        <v>Importation</v>
      </c>
      <c r="AN1087" t="str">
        <f>VLOOKUP(D1087,'Table corresp.'!$M$4:$U$63,9,FALSE)</f>
        <v>Production intermédiaire</v>
      </c>
    </row>
    <row r="1088" spans="1:40" x14ac:dyDescent="0.25">
      <c r="A1088" t="s">
        <v>52</v>
      </c>
      <c r="B1088" t="str">
        <f>VLOOKUP(LEFT(A1088,3),'Table corresp.'!$A$4:$D$63,3,FALSE)</f>
        <v>Importation</v>
      </c>
      <c r="C1088" t="str">
        <f>VLOOKUP(A1088,'Table corresp.'!$M$4:$P$63,4,FALSE)</f>
        <v>Importation</v>
      </c>
      <c r="D1088" t="s">
        <v>5</v>
      </c>
      <c r="E1088" t="str">
        <f>VLOOKUP(LEFT(D1088,3),'Table corresp.'!$A$4:$D$63,4,FALSE)</f>
        <v>Transformation</v>
      </c>
      <c r="F1088" t="str">
        <f t="shared" si="132"/>
        <v xml:space="preserve">Imp - 09 </v>
      </c>
      <c r="G1088" s="164">
        <v>0</v>
      </c>
      <c r="H1088" s="164">
        <v>24029.571999999996</v>
      </c>
      <c r="I1088" s="164">
        <v>24029.571999999996</v>
      </c>
      <c r="J1088" s="164">
        <v>0</v>
      </c>
      <c r="K1088" s="164">
        <v>84.580940804733459</v>
      </c>
      <c r="L1088" s="164">
        <v>84.580940804733459</v>
      </c>
      <c r="M1088" s="164">
        <v>0</v>
      </c>
      <c r="N1088" s="164">
        <v>0</v>
      </c>
      <c r="O1088" s="164">
        <v>0</v>
      </c>
      <c r="P1088" s="164">
        <v>0</v>
      </c>
      <c r="Q1088" s="164">
        <v>0</v>
      </c>
      <c r="R1088" s="164">
        <v>0</v>
      </c>
      <c r="S1088" s="163" t="str">
        <f t="shared" si="133"/>
        <v/>
      </c>
      <c r="T1088" s="163">
        <f>VLOOKUP(A1088,'Groupe de branches'!$Z$27:$AM$86,14,FALSE)</f>
        <v>0</v>
      </c>
      <c r="U1088" s="163">
        <f>VLOOKUP(D1088,'Groupe de branches'!$Z$27:$AM$86,14,FALSE)</f>
        <v>0</v>
      </c>
      <c r="V1088" s="163">
        <v>2018</v>
      </c>
      <c r="W1088">
        <f>VLOOKUP(D1088,'Table corresp.'!$M$4:$S$63,7,FALSE)</f>
        <v>0</v>
      </c>
      <c r="X1088" s="167">
        <f>IFERROR(G1088/SUMIFS('Comp2016-2017 (3)'!$I$5:$I$289,'Comp2016-2017 (3)'!$A$5:$A$289,A1088,'Comp2016-2017 (3)'!$R$5:$R$289,V1088),0)</f>
        <v>0</v>
      </c>
      <c r="Y1088" s="178">
        <f>IFERROR(IF(RIGHT(F1088,3)="Exp",VLOOKUP(F1088,#REF!,2,FALSE),VLOOKUP(F1088,#REF!,9,FALSE)),0)</f>
        <v>0</v>
      </c>
      <c r="Z1088" s="167">
        <f t="shared" si="136"/>
        <v>0</v>
      </c>
      <c r="AA1088" s="189">
        <f t="shared" si="128"/>
        <v>0</v>
      </c>
      <c r="AB1088" s="2">
        <f>IFERROR(SUMIFS('Comp2016-2017 (3)'!$G$5:$G$289,'Comp2016-2017 (3)'!$A$5:$A$289,A1088,'Comp2016-2017 (3)'!$R$5:$R$289,V1088)*AA1088/SUMIFS($AA$4:$AA$1116,$A$4:$A$1116,A1088,$V$4:$V$1116,V1088),0)</f>
        <v>0</v>
      </c>
      <c r="AC1088" s="2">
        <f>IF($W1088=AC$3,$AB1088,IF(NOT($W1088=0),"",SUMIFS('Val-Vol (2)'!AC$4:AC$1116,'Val-Vol (2)'!$A$4:$A$1116,$D1088,'Val-Vol (2)'!$V$4:$V$1116,$V1088)/SUMIFS('Comp2016-2017 (3)'!$G$5:$G$289,'Comp2016-2017 (3)'!$A$5:$A$289,$D1088,'Comp2016-2017 (3)'!$R$5:$R$289,$V1088)*$AB1088))</f>
        <v>0</v>
      </c>
      <c r="AD1088" s="2">
        <f>IF($W1088=AD$3,$AB1088,IF(NOT($W1088=0),"",SUMIFS('Val-Vol (2)'!AD$4:AD$1116,'Val-Vol (2)'!$A$4:$A$1116,$D1088,'Val-Vol (2)'!$V$4:$V$1116,$V1088)/SUMIFS('Comp2016-2017 (3)'!$G$5:$G$289,'Comp2016-2017 (3)'!$A$5:$A$289,$D1088,'Comp2016-2017 (3)'!$R$5:$R$289,$V1088)*$AB1088))</f>
        <v>0</v>
      </c>
      <c r="AE1088" s="2">
        <f>IF($W1088=AE$3,$AB1088,IF(NOT($W1088=0),"",SUMIFS('Val-Vol (2)'!AE$4:AE$1116,'Val-Vol (2)'!$A$4:$A$1116,$D1088,'Val-Vol (2)'!$V$4:$V$1116,$V1088)/SUMIFS('Comp2016-2017 (3)'!$G$5:$G$289,'Comp2016-2017 (3)'!$A$5:$A$289,$D1088,'Comp2016-2017 (3)'!$R$5:$R$289,$V1088)*$AB1088))</f>
        <v>0</v>
      </c>
      <c r="AF1088" s="2">
        <f>IF($W1088=AF$3,$AB1088,IF(NOT($W1088=0),"",SUMIFS('Val-Vol (2)'!AF$4:AF$1116,'Val-Vol (2)'!$A$4:$A$1116,$D1088,'Val-Vol (2)'!$V$4:$V$1116,$V1088)/SUMIFS('Comp2016-2017 (3)'!$G$5:$G$289,'Comp2016-2017 (3)'!$A$5:$A$289,$D1088,'Comp2016-2017 (3)'!$R$5:$R$289,$V1088)*$AB1088))</f>
        <v>0</v>
      </c>
      <c r="AG1088" s="2">
        <f>IF($W1088=AG$3,$AB1088,IF(NOT($W1088=0),"",SUMIFS('Val-Vol (2)'!AG$4:AG$1116,'Val-Vol (2)'!$A$4:$A$1116,$D1088,'Val-Vol (2)'!$V$4:$V$1116,$V1088)/SUMIFS('Comp2016-2017 (3)'!$G$5:$G$289,'Comp2016-2017 (3)'!$A$5:$A$289,$D1088,'Comp2016-2017 (3)'!$R$5:$R$289,$V1088)*$AB1088))</f>
        <v>0</v>
      </c>
      <c r="AH1088" s="2">
        <f>IF($W1088=AH$3,$AB1088,IF(NOT($W1088=0),"",SUMIFS('Val-Vol (2)'!AH$4:AH$1116,'Val-Vol (2)'!$A$4:$A$1116,$D1088,'Val-Vol (2)'!$V$4:$V$1116,$V1088)/SUMIFS('Comp2016-2017 (3)'!$G$5:$G$289,'Comp2016-2017 (3)'!$A$5:$A$289,$D1088,'Comp2016-2017 (3)'!$R$5:$R$289,$V1088)*$AB1088))</f>
        <v>0</v>
      </c>
      <c r="AI1088" s="2">
        <f>IF($W1088=AI$3,$AB1088,IF(NOT($W1088=0),"",SUMIFS('Val-Vol (2)'!AI$4:AI$1116,'Val-Vol (2)'!$A$4:$A$1116,$D1088,'Val-Vol (2)'!$V$4:$V$1116,$V1088)/SUMIFS('Comp2016-2017 (3)'!$G$5:$G$289,'Comp2016-2017 (3)'!$A$5:$A$289,$D1088,'Comp2016-2017 (3)'!$R$5:$R$289,$V1088)*$AB1088))</f>
        <v>0</v>
      </c>
      <c r="AJ1088" s="2">
        <f>IF($W1088=AJ$3,$AB1088,IF(NOT($W1088=0),"",SUMIFS('Val-Vol (2)'!AJ$4:AJ$1116,'Val-Vol (2)'!$A$4:$A$1116,$D1088,'Val-Vol (2)'!$V$4:$V$1116,$V1088)/SUMIFS('Comp2016-2017 (3)'!$G$5:$G$289,'Comp2016-2017 (3)'!$A$5:$A$289,$D1088,'Comp2016-2017 (3)'!$R$5:$R$289,$V1088)*$AB1088))</f>
        <v>0</v>
      </c>
      <c r="AK1088" s="2">
        <f t="shared" si="130"/>
        <v>0</v>
      </c>
      <c r="AL1088" t="str">
        <f t="shared" si="127"/>
        <v/>
      </c>
      <c r="AM1088" t="str">
        <f>VLOOKUP(A1088,'Table corresp.'!$M$4:$U$63,8,FALSE)</f>
        <v>Importation</v>
      </c>
      <c r="AN1088" t="str">
        <f>VLOOKUP(D1088,'Table corresp.'!$M$4:$U$63,9,FALSE)</f>
        <v>Production intermédiaire</v>
      </c>
    </row>
    <row r="1089" spans="1:40" x14ac:dyDescent="0.25">
      <c r="A1089" t="s">
        <v>52</v>
      </c>
      <c r="B1089" t="str">
        <f>VLOOKUP(LEFT(A1089,3),'Table corresp.'!$A$4:$D$63,3,FALSE)</f>
        <v>Importation</v>
      </c>
      <c r="C1089" t="str">
        <f>VLOOKUP(A1089,'Table corresp.'!$M$4:$P$63,4,FALSE)</f>
        <v>Importation</v>
      </c>
      <c r="D1089" t="s">
        <v>82</v>
      </c>
      <c r="E1089" t="str">
        <f>VLOOKUP(LEFT(D1089,3),'Table corresp.'!$A$4:$D$63,4,FALSE)</f>
        <v>Transformation</v>
      </c>
      <c r="F1089" t="str">
        <f t="shared" si="132"/>
        <v xml:space="preserve">Imp - 10 </v>
      </c>
      <c r="G1089" s="164">
        <v>0</v>
      </c>
      <c r="H1089" s="164">
        <v>12677.561999999998</v>
      </c>
      <c r="I1089" s="164">
        <v>12677.561999999998</v>
      </c>
      <c r="J1089" s="164">
        <v>0</v>
      </c>
      <c r="K1089" s="164">
        <v>45.422004735721018</v>
      </c>
      <c r="L1089" s="164">
        <v>45.422004735721018</v>
      </c>
      <c r="M1089" s="164">
        <v>0</v>
      </c>
      <c r="N1089" s="164">
        <v>0</v>
      </c>
      <c r="O1089" s="164">
        <v>0</v>
      </c>
      <c r="P1089" s="164">
        <v>0</v>
      </c>
      <c r="Q1089" s="164">
        <v>0</v>
      </c>
      <c r="R1089" s="164">
        <v>0</v>
      </c>
      <c r="S1089" s="163" t="str">
        <f t="shared" si="133"/>
        <v/>
      </c>
      <c r="T1089" s="163">
        <f>VLOOKUP(A1089,'Groupe de branches'!$Z$27:$AM$86,14,FALSE)</f>
        <v>0</v>
      </c>
      <c r="U1089" s="163">
        <f>VLOOKUP(D1089,'Groupe de branches'!$Z$27:$AM$86,14,FALSE)</f>
        <v>0</v>
      </c>
      <c r="V1089" s="163">
        <v>2018</v>
      </c>
      <c r="W1089">
        <f>VLOOKUP(D1089,'Table corresp.'!$M$4:$S$63,7,FALSE)</f>
        <v>0</v>
      </c>
      <c r="X1089" s="167">
        <f>IFERROR(G1089/SUMIFS('Comp2016-2017 (3)'!$I$5:$I$289,'Comp2016-2017 (3)'!$A$5:$A$289,A1089,'Comp2016-2017 (3)'!$R$5:$R$289,V1089),0)</f>
        <v>0</v>
      </c>
      <c r="Y1089" s="178">
        <f>IFERROR(IF(RIGHT(F1089,3)="Exp",VLOOKUP(F1089,#REF!,2,FALSE),VLOOKUP(F1089,#REF!,9,FALSE)),0)</f>
        <v>0</v>
      </c>
      <c r="Z1089" s="167">
        <f t="shared" si="136"/>
        <v>0</v>
      </c>
      <c r="AA1089" s="189">
        <f t="shared" si="128"/>
        <v>0</v>
      </c>
      <c r="AB1089" s="2">
        <f>IFERROR(SUMIFS('Comp2016-2017 (3)'!$G$5:$G$289,'Comp2016-2017 (3)'!$A$5:$A$289,A1089,'Comp2016-2017 (3)'!$R$5:$R$289,V1089)*AA1089/SUMIFS($AA$4:$AA$1116,$A$4:$A$1116,A1089,$V$4:$V$1116,V1089),0)</f>
        <v>0</v>
      </c>
      <c r="AC1089" s="2">
        <f>IF($W1089=AC$3,$AB1089,IF(NOT($W1089=0),"",SUMIFS('Val-Vol (2)'!AC$4:AC$1116,'Val-Vol (2)'!$A$4:$A$1116,$D1089,'Val-Vol (2)'!$V$4:$V$1116,$V1089)/SUMIFS('Comp2016-2017 (3)'!$G$5:$G$289,'Comp2016-2017 (3)'!$A$5:$A$289,$D1089,'Comp2016-2017 (3)'!$R$5:$R$289,$V1089)*$AB1089))</f>
        <v>0</v>
      </c>
      <c r="AD1089" s="2">
        <f>IF($W1089=AD$3,$AB1089,IF(NOT($W1089=0),"",SUMIFS('Val-Vol (2)'!AD$4:AD$1116,'Val-Vol (2)'!$A$4:$A$1116,$D1089,'Val-Vol (2)'!$V$4:$V$1116,$V1089)/SUMIFS('Comp2016-2017 (3)'!$G$5:$G$289,'Comp2016-2017 (3)'!$A$5:$A$289,$D1089,'Comp2016-2017 (3)'!$R$5:$R$289,$V1089)*$AB1089))</f>
        <v>0</v>
      </c>
      <c r="AE1089" s="2">
        <f>IF($W1089=AE$3,$AB1089,IF(NOT($W1089=0),"",SUMIFS('Val-Vol (2)'!AE$4:AE$1116,'Val-Vol (2)'!$A$4:$A$1116,$D1089,'Val-Vol (2)'!$V$4:$V$1116,$V1089)/SUMIFS('Comp2016-2017 (3)'!$G$5:$G$289,'Comp2016-2017 (3)'!$A$5:$A$289,$D1089,'Comp2016-2017 (3)'!$R$5:$R$289,$V1089)*$AB1089))</f>
        <v>0</v>
      </c>
      <c r="AF1089" s="2">
        <f>IF($W1089=AF$3,$AB1089,IF(NOT($W1089=0),"",SUMIFS('Val-Vol (2)'!AF$4:AF$1116,'Val-Vol (2)'!$A$4:$A$1116,$D1089,'Val-Vol (2)'!$V$4:$V$1116,$V1089)/SUMIFS('Comp2016-2017 (3)'!$G$5:$G$289,'Comp2016-2017 (3)'!$A$5:$A$289,$D1089,'Comp2016-2017 (3)'!$R$5:$R$289,$V1089)*$AB1089))</f>
        <v>0</v>
      </c>
      <c r="AG1089" s="2">
        <f>IF($W1089=AG$3,$AB1089,IF(NOT($W1089=0),"",SUMIFS('Val-Vol (2)'!AG$4:AG$1116,'Val-Vol (2)'!$A$4:$A$1116,$D1089,'Val-Vol (2)'!$V$4:$V$1116,$V1089)/SUMIFS('Comp2016-2017 (3)'!$G$5:$G$289,'Comp2016-2017 (3)'!$A$5:$A$289,$D1089,'Comp2016-2017 (3)'!$R$5:$R$289,$V1089)*$AB1089))</f>
        <v>0</v>
      </c>
      <c r="AH1089" s="2">
        <f>IF($W1089=AH$3,$AB1089,IF(NOT($W1089=0),"",SUMIFS('Val-Vol (2)'!AH$4:AH$1116,'Val-Vol (2)'!$A$4:$A$1116,$D1089,'Val-Vol (2)'!$V$4:$V$1116,$V1089)/SUMIFS('Comp2016-2017 (3)'!$G$5:$G$289,'Comp2016-2017 (3)'!$A$5:$A$289,$D1089,'Comp2016-2017 (3)'!$R$5:$R$289,$V1089)*$AB1089))</f>
        <v>0</v>
      </c>
      <c r="AI1089" s="2">
        <f>IF($W1089=AI$3,$AB1089,IF(NOT($W1089=0),"",SUMIFS('Val-Vol (2)'!AI$4:AI$1116,'Val-Vol (2)'!$A$4:$A$1116,$D1089,'Val-Vol (2)'!$V$4:$V$1116,$V1089)/SUMIFS('Comp2016-2017 (3)'!$G$5:$G$289,'Comp2016-2017 (3)'!$A$5:$A$289,$D1089,'Comp2016-2017 (3)'!$R$5:$R$289,$V1089)*$AB1089))</f>
        <v>0</v>
      </c>
      <c r="AJ1089" s="2">
        <f>IF($W1089=AJ$3,$AB1089,IF(NOT($W1089=0),"",SUMIFS('Val-Vol (2)'!AJ$4:AJ$1116,'Val-Vol (2)'!$A$4:$A$1116,$D1089,'Val-Vol (2)'!$V$4:$V$1116,$V1089)/SUMIFS('Comp2016-2017 (3)'!$G$5:$G$289,'Comp2016-2017 (3)'!$A$5:$A$289,$D1089,'Comp2016-2017 (3)'!$R$5:$R$289,$V1089)*$AB1089))</f>
        <v>0</v>
      </c>
      <c r="AK1089" s="2">
        <f t="shared" si="130"/>
        <v>0</v>
      </c>
      <c r="AL1089" t="str">
        <f t="shared" si="127"/>
        <v/>
      </c>
      <c r="AM1089" t="str">
        <f>VLOOKUP(A1089,'Table corresp.'!$M$4:$U$63,8,FALSE)</f>
        <v>Importation</v>
      </c>
      <c r="AN1089" t="str">
        <f>VLOOKUP(D1089,'Table corresp.'!$M$4:$U$63,9,FALSE)</f>
        <v>Production intermédiaire</v>
      </c>
    </row>
    <row r="1090" spans="1:40" x14ac:dyDescent="0.25">
      <c r="A1090" t="s">
        <v>52</v>
      </c>
      <c r="B1090" t="str">
        <f>VLOOKUP(LEFT(A1090,3),'Table corresp.'!$A$4:$D$63,3,FALSE)</f>
        <v>Importation</v>
      </c>
      <c r="C1090" t="str">
        <f>VLOOKUP(A1090,'Table corresp.'!$M$4:$P$63,4,FALSE)</f>
        <v>Importation</v>
      </c>
      <c r="D1090" t="s">
        <v>6</v>
      </c>
      <c r="E1090" t="str">
        <f>VLOOKUP(LEFT(D1090,3),'Table corresp.'!$A$4:$D$63,4,FALSE)</f>
        <v>Transformation</v>
      </c>
      <c r="F1090" t="str">
        <f t="shared" si="132"/>
        <v xml:space="preserve">Imp - 11 </v>
      </c>
      <c r="G1090" s="164">
        <v>0</v>
      </c>
      <c r="H1090" s="164">
        <v>64700.718000000015</v>
      </c>
      <c r="I1090" s="164">
        <v>64700.718000000015</v>
      </c>
      <c r="J1090" s="164">
        <v>0</v>
      </c>
      <c r="K1090" s="164">
        <v>241.21628340990819</v>
      </c>
      <c r="L1090" s="164">
        <v>241.21628340990819</v>
      </c>
      <c r="M1090" s="164">
        <v>0</v>
      </c>
      <c r="N1090" s="164">
        <v>0</v>
      </c>
      <c r="O1090" s="164">
        <v>0</v>
      </c>
      <c r="P1090" s="164">
        <v>0</v>
      </c>
      <c r="Q1090" s="164">
        <v>0</v>
      </c>
      <c r="R1090" s="164">
        <v>0</v>
      </c>
      <c r="S1090" s="163" t="str">
        <f t="shared" si="133"/>
        <v/>
      </c>
      <c r="T1090" s="163">
        <f>VLOOKUP(A1090,'Groupe de branches'!$Z$27:$AM$86,14,FALSE)</f>
        <v>0</v>
      </c>
      <c r="U1090" s="163">
        <f>VLOOKUP(D1090,'Groupe de branches'!$Z$27:$AM$86,14,FALSE)</f>
        <v>0</v>
      </c>
      <c r="V1090" s="163">
        <v>2018</v>
      </c>
      <c r="W1090">
        <f>VLOOKUP(D1090,'Table corresp.'!$M$4:$S$63,7,FALSE)</f>
        <v>0</v>
      </c>
      <c r="X1090" s="167">
        <f>IFERROR(G1090/SUMIFS('Comp2016-2017 (3)'!$I$5:$I$289,'Comp2016-2017 (3)'!$A$5:$A$289,A1090,'Comp2016-2017 (3)'!$R$5:$R$289,V1090),0)</f>
        <v>0</v>
      </c>
      <c r="Y1090" s="178">
        <f>IFERROR(IF(RIGHT(F1090,3)="Exp",VLOOKUP(F1090,#REF!,2,FALSE),VLOOKUP(F1090,#REF!,9,FALSE)),0)</f>
        <v>0</v>
      </c>
      <c r="Z1090" s="167">
        <f t="shared" si="136"/>
        <v>0</v>
      </c>
      <c r="AA1090" s="189">
        <f t="shared" si="128"/>
        <v>0</v>
      </c>
      <c r="AB1090" s="2">
        <f>IFERROR(SUMIFS('Comp2016-2017 (3)'!$G$5:$G$289,'Comp2016-2017 (3)'!$A$5:$A$289,A1090,'Comp2016-2017 (3)'!$R$5:$R$289,V1090)*AA1090/SUMIFS($AA$4:$AA$1116,$A$4:$A$1116,A1090,$V$4:$V$1116,V1090),0)</f>
        <v>0</v>
      </c>
      <c r="AC1090" s="2">
        <f>IF($W1090=AC$3,$AB1090,IF(NOT($W1090=0),"",SUMIFS('Val-Vol (2)'!AC$4:AC$1116,'Val-Vol (2)'!$A$4:$A$1116,$D1090,'Val-Vol (2)'!$V$4:$V$1116,$V1090)/SUMIFS('Comp2016-2017 (3)'!$G$5:$G$289,'Comp2016-2017 (3)'!$A$5:$A$289,$D1090,'Comp2016-2017 (3)'!$R$5:$R$289,$V1090)*$AB1090))</f>
        <v>0</v>
      </c>
      <c r="AD1090" s="2">
        <f>IF($W1090=AD$3,$AB1090,IF(NOT($W1090=0),"",SUMIFS('Val-Vol (2)'!AD$4:AD$1116,'Val-Vol (2)'!$A$4:$A$1116,$D1090,'Val-Vol (2)'!$V$4:$V$1116,$V1090)/SUMIFS('Comp2016-2017 (3)'!$G$5:$G$289,'Comp2016-2017 (3)'!$A$5:$A$289,$D1090,'Comp2016-2017 (3)'!$R$5:$R$289,$V1090)*$AB1090))</f>
        <v>0</v>
      </c>
      <c r="AE1090" s="2">
        <f>IF($W1090=AE$3,$AB1090,IF(NOT($W1090=0),"",SUMIFS('Val-Vol (2)'!AE$4:AE$1116,'Val-Vol (2)'!$A$4:$A$1116,$D1090,'Val-Vol (2)'!$V$4:$V$1116,$V1090)/SUMIFS('Comp2016-2017 (3)'!$G$5:$G$289,'Comp2016-2017 (3)'!$A$5:$A$289,$D1090,'Comp2016-2017 (3)'!$R$5:$R$289,$V1090)*$AB1090))</f>
        <v>0</v>
      </c>
      <c r="AF1090" s="2">
        <f>IF($W1090=AF$3,$AB1090,IF(NOT($W1090=0),"",SUMIFS('Val-Vol (2)'!AF$4:AF$1116,'Val-Vol (2)'!$A$4:$A$1116,$D1090,'Val-Vol (2)'!$V$4:$V$1116,$V1090)/SUMIFS('Comp2016-2017 (3)'!$G$5:$G$289,'Comp2016-2017 (3)'!$A$5:$A$289,$D1090,'Comp2016-2017 (3)'!$R$5:$R$289,$V1090)*$AB1090))</f>
        <v>0</v>
      </c>
      <c r="AG1090" s="2">
        <f>IF($W1090=AG$3,$AB1090,IF(NOT($W1090=0),"",SUMIFS('Val-Vol (2)'!AG$4:AG$1116,'Val-Vol (2)'!$A$4:$A$1116,$D1090,'Val-Vol (2)'!$V$4:$V$1116,$V1090)/SUMIFS('Comp2016-2017 (3)'!$G$5:$G$289,'Comp2016-2017 (3)'!$A$5:$A$289,$D1090,'Comp2016-2017 (3)'!$R$5:$R$289,$V1090)*$AB1090))</f>
        <v>0</v>
      </c>
      <c r="AH1090" s="2">
        <f>IF($W1090=AH$3,$AB1090,IF(NOT($W1090=0),"",SUMIFS('Val-Vol (2)'!AH$4:AH$1116,'Val-Vol (2)'!$A$4:$A$1116,$D1090,'Val-Vol (2)'!$V$4:$V$1116,$V1090)/SUMIFS('Comp2016-2017 (3)'!$G$5:$G$289,'Comp2016-2017 (3)'!$A$5:$A$289,$D1090,'Comp2016-2017 (3)'!$R$5:$R$289,$V1090)*$AB1090))</f>
        <v>0</v>
      </c>
      <c r="AI1090" s="2">
        <f>IF($W1090=AI$3,$AB1090,IF(NOT($W1090=0),"",SUMIFS('Val-Vol (2)'!AI$4:AI$1116,'Val-Vol (2)'!$A$4:$A$1116,$D1090,'Val-Vol (2)'!$V$4:$V$1116,$V1090)/SUMIFS('Comp2016-2017 (3)'!$G$5:$G$289,'Comp2016-2017 (3)'!$A$5:$A$289,$D1090,'Comp2016-2017 (3)'!$R$5:$R$289,$V1090)*$AB1090))</f>
        <v>0</v>
      </c>
      <c r="AJ1090" s="2">
        <f>IF($W1090=AJ$3,$AB1090,IF(NOT($W1090=0),"",SUMIFS('Val-Vol (2)'!AJ$4:AJ$1116,'Val-Vol (2)'!$A$4:$A$1116,$D1090,'Val-Vol (2)'!$V$4:$V$1116,$V1090)/SUMIFS('Comp2016-2017 (3)'!$G$5:$G$289,'Comp2016-2017 (3)'!$A$5:$A$289,$D1090,'Comp2016-2017 (3)'!$R$5:$R$289,$V1090)*$AB1090))</f>
        <v>0</v>
      </c>
      <c r="AK1090" s="2">
        <f t="shared" si="130"/>
        <v>0</v>
      </c>
      <c r="AL1090" t="str">
        <f t="shared" si="127"/>
        <v/>
      </c>
      <c r="AM1090" t="str">
        <f>VLOOKUP(A1090,'Table corresp.'!$M$4:$U$63,8,FALSE)</f>
        <v>Importation</v>
      </c>
      <c r="AN1090" t="str">
        <f>VLOOKUP(D1090,'Table corresp.'!$M$4:$U$63,9,FALSE)</f>
        <v>Production intermédiaire</v>
      </c>
    </row>
    <row r="1091" spans="1:40" x14ac:dyDescent="0.25">
      <c r="A1091" t="s">
        <v>52</v>
      </c>
      <c r="B1091" t="str">
        <f>VLOOKUP(LEFT(A1091,3),'Table corresp.'!$A$4:$D$63,3,FALSE)</f>
        <v>Importation</v>
      </c>
      <c r="C1091" t="str">
        <f>VLOOKUP(A1091,'Table corresp.'!$M$4:$P$63,4,FALSE)</f>
        <v>Importation</v>
      </c>
      <c r="D1091" t="s">
        <v>7</v>
      </c>
      <c r="E1091" t="str">
        <f>VLOOKUP(LEFT(D1091,3),'Table corresp.'!$A$4:$D$63,4,FALSE)</f>
        <v>Transformation</v>
      </c>
      <c r="F1091" t="str">
        <f t="shared" si="132"/>
        <v xml:space="preserve">Imp - 12 </v>
      </c>
      <c r="G1091" s="164">
        <v>0</v>
      </c>
      <c r="H1091" s="164">
        <v>319208.83300000004</v>
      </c>
      <c r="I1091" s="164">
        <v>319208.83300000004</v>
      </c>
      <c r="J1091" s="164">
        <v>0</v>
      </c>
      <c r="K1091" s="164">
        <v>2766.715387251008</v>
      </c>
      <c r="L1091" s="164">
        <v>2766.715387251008</v>
      </c>
      <c r="M1091" s="164">
        <v>0</v>
      </c>
      <c r="N1091" s="164">
        <v>0</v>
      </c>
      <c r="O1091" s="164">
        <v>0</v>
      </c>
      <c r="P1091" s="164">
        <v>0</v>
      </c>
      <c r="Q1091" s="164">
        <v>0</v>
      </c>
      <c r="R1091" s="164">
        <v>0</v>
      </c>
      <c r="S1091" s="163" t="str">
        <f t="shared" si="133"/>
        <v/>
      </c>
      <c r="T1091" s="163">
        <f>VLOOKUP(A1091,'Groupe de branches'!$Z$27:$AM$86,14,FALSE)</f>
        <v>0</v>
      </c>
      <c r="U1091" s="163">
        <f>VLOOKUP(D1091,'Groupe de branches'!$Z$27:$AM$86,14,FALSE)</f>
        <v>0</v>
      </c>
      <c r="V1091" s="163">
        <v>2018</v>
      </c>
      <c r="W1091">
        <f>VLOOKUP(D1091,'Table corresp.'!$M$4:$S$63,7,FALSE)</f>
        <v>0</v>
      </c>
      <c r="X1091" s="167">
        <f>IFERROR(G1091/SUMIFS('Comp2016-2017 (3)'!$I$5:$I$289,'Comp2016-2017 (3)'!$A$5:$A$289,A1091,'Comp2016-2017 (3)'!$R$5:$R$289,V1091),0)</f>
        <v>0</v>
      </c>
      <c r="Y1091" s="178">
        <f>IFERROR(IF(RIGHT(F1091,3)="Exp",VLOOKUP(F1091,#REF!,2,FALSE),VLOOKUP(F1091,#REF!,9,FALSE)),0)</f>
        <v>0</v>
      </c>
      <c r="Z1091" s="167">
        <f t="shared" si="136"/>
        <v>0</v>
      </c>
      <c r="AA1091" s="189">
        <f t="shared" si="128"/>
        <v>0</v>
      </c>
      <c r="AB1091" s="2">
        <f>IFERROR(SUMIFS('Comp2016-2017 (3)'!$G$5:$G$289,'Comp2016-2017 (3)'!$A$5:$A$289,A1091,'Comp2016-2017 (3)'!$R$5:$R$289,V1091)*AA1091/SUMIFS($AA$4:$AA$1116,$A$4:$A$1116,A1091,$V$4:$V$1116,V1091),0)</f>
        <v>0</v>
      </c>
      <c r="AC1091" s="2">
        <f>IF($W1091=AC$3,$AB1091,IF(NOT($W1091=0),"",SUMIFS('Val-Vol (2)'!AC$4:AC$1116,'Val-Vol (2)'!$A$4:$A$1116,$D1091,'Val-Vol (2)'!$V$4:$V$1116,$V1091)/SUMIFS('Comp2016-2017 (3)'!$G$5:$G$289,'Comp2016-2017 (3)'!$A$5:$A$289,$D1091,'Comp2016-2017 (3)'!$R$5:$R$289,$V1091)*$AB1091))</f>
        <v>0</v>
      </c>
      <c r="AD1091" s="2">
        <f>IF($W1091=AD$3,$AB1091,IF(NOT($W1091=0),"",SUMIFS('Val-Vol (2)'!AD$4:AD$1116,'Val-Vol (2)'!$A$4:$A$1116,$D1091,'Val-Vol (2)'!$V$4:$V$1116,$V1091)/SUMIFS('Comp2016-2017 (3)'!$G$5:$G$289,'Comp2016-2017 (3)'!$A$5:$A$289,$D1091,'Comp2016-2017 (3)'!$R$5:$R$289,$V1091)*$AB1091))</f>
        <v>0</v>
      </c>
      <c r="AE1091" s="2">
        <f>IF($W1091=AE$3,$AB1091,IF(NOT($W1091=0),"",SUMIFS('Val-Vol (2)'!AE$4:AE$1116,'Val-Vol (2)'!$A$4:$A$1116,$D1091,'Val-Vol (2)'!$V$4:$V$1116,$V1091)/SUMIFS('Comp2016-2017 (3)'!$G$5:$G$289,'Comp2016-2017 (3)'!$A$5:$A$289,$D1091,'Comp2016-2017 (3)'!$R$5:$R$289,$V1091)*$AB1091))</f>
        <v>0</v>
      </c>
      <c r="AF1091" s="2">
        <f>IF($W1091=AF$3,$AB1091,IF(NOT($W1091=0),"",SUMIFS('Val-Vol (2)'!AF$4:AF$1116,'Val-Vol (2)'!$A$4:$A$1116,$D1091,'Val-Vol (2)'!$V$4:$V$1116,$V1091)/SUMIFS('Comp2016-2017 (3)'!$G$5:$G$289,'Comp2016-2017 (3)'!$A$5:$A$289,$D1091,'Comp2016-2017 (3)'!$R$5:$R$289,$V1091)*$AB1091))</f>
        <v>0</v>
      </c>
      <c r="AG1091" s="2">
        <f>IF($W1091=AG$3,$AB1091,IF(NOT($W1091=0),"",SUMIFS('Val-Vol (2)'!AG$4:AG$1116,'Val-Vol (2)'!$A$4:$A$1116,$D1091,'Val-Vol (2)'!$V$4:$V$1116,$V1091)/SUMIFS('Comp2016-2017 (3)'!$G$5:$G$289,'Comp2016-2017 (3)'!$A$5:$A$289,$D1091,'Comp2016-2017 (3)'!$R$5:$R$289,$V1091)*$AB1091))</f>
        <v>0</v>
      </c>
      <c r="AH1091" s="2">
        <f>IF($W1091=AH$3,$AB1091,IF(NOT($W1091=0),"",SUMIFS('Val-Vol (2)'!AH$4:AH$1116,'Val-Vol (2)'!$A$4:$A$1116,$D1091,'Val-Vol (2)'!$V$4:$V$1116,$V1091)/SUMIFS('Comp2016-2017 (3)'!$G$5:$G$289,'Comp2016-2017 (3)'!$A$5:$A$289,$D1091,'Comp2016-2017 (3)'!$R$5:$R$289,$V1091)*$AB1091))</f>
        <v>0</v>
      </c>
      <c r="AI1091" s="2">
        <f>IF($W1091=AI$3,$AB1091,IF(NOT($W1091=0),"",SUMIFS('Val-Vol (2)'!AI$4:AI$1116,'Val-Vol (2)'!$A$4:$A$1116,$D1091,'Val-Vol (2)'!$V$4:$V$1116,$V1091)/SUMIFS('Comp2016-2017 (3)'!$G$5:$G$289,'Comp2016-2017 (3)'!$A$5:$A$289,$D1091,'Comp2016-2017 (3)'!$R$5:$R$289,$V1091)*$AB1091))</f>
        <v>0</v>
      </c>
      <c r="AJ1091" s="2">
        <f>IF($W1091=AJ$3,$AB1091,IF(NOT($W1091=0),"",SUMIFS('Val-Vol (2)'!AJ$4:AJ$1116,'Val-Vol (2)'!$A$4:$A$1116,$D1091,'Val-Vol (2)'!$V$4:$V$1116,$V1091)/SUMIFS('Comp2016-2017 (3)'!$G$5:$G$289,'Comp2016-2017 (3)'!$A$5:$A$289,$D1091,'Comp2016-2017 (3)'!$R$5:$R$289,$V1091)*$AB1091))</f>
        <v>0</v>
      </c>
      <c r="AK1091" s="2">
        <f t="shared" si="130"/>
        <v>0</v>
      </c>
      <c r="AL1091" t="str">
        <f t="shared" si="127"/>
        <v/>
      </c>
      <c r="AM1091" t="str">
        <f>VLOOKUP(A1091,'Table corresp.'!$M$4:$U$63,8,FALSE)</f>
        <v>Importation</v>
      </c>
      <c r="AN1091" t="str">
        <f>VLOOKUP(D1091,'Table corresp.'!$M$4:$U$63,9,FALSE)</f>
        <v>Production intermédiaire</v>
      </c>
    </row>
    <row r="1092" spans="1:40" x14ac:dyDescent="0.25">
      <c r="A1092" t="s">
        <v>52</v>
      </c>
      <c r="B1092" t="str">
        <f>VLOOKUP(LEFT(A1092,3),'Table corresp.'!$A$4:$D$63,3,FALSE)</f>
        <v>Importation</v>
      </c>
      <c r="C1092" t="str">
        <f>VLOOKUP(A1092,'Table corresp.'!$M$4:$P$63,4,FALSE)</f>
        <v>Importation</v>
      </c>
      <c r="D1092" t="s">
        <v>83</v>
      </c>
      <c r="E1092" t="str">
        <f>VLOOKUP(LEFT(D1092,3),'Table corresp.'!$A$4:$D$63,4,FALSE)</f>
        <v>Transformation</v>
      </c>
      <c r="F1092" t="str">
        <f t="shared" si="132"/>
        <v xml:space="preserve">Imp - 14 </v>
      </c>
      <c r="G1092" s="164">
        <v>0</v>
      </c>
      <c r="H1092" s="164">
        <v>148167.30900000004</v>
      </c>
      <c r="I1092" s="164">
        <v>148167.30900000004</v>
      </c>
      <c r="J1092" s="164">
        <v>0</v>
      </c>
      <c r="K1092" s="164">
        <v>650.81249209314035</v>
      </c>
      <c r="L1092" s="164">
        <v>650.81249209314035</v>
      </c>
      <c r="M1092" s="164">
        <v>0</v>
      </c>
      <c r="N1092" s="164">
        <v>0</v>
      </c>
      <c r="O1092" s="164">
        <v>0</v>
      </c>
      <c r="P1092" s="164">
        <v>0</v>
      </c>
      <c r="Q1092" s="164">
        <v>0</v>
      </c>
      <c r="R1092" s="164">
        <v>0</v>
      </c>
      <c r="S1092" s="163" t="str">
        <f t="shared" si="133"/>
        <v/>
      </c>
      <c r="T1092" s="163">
        <f>VLOOKUP(A1092,'Groupe de branches'!$Z$27:$AM$86,14,FALSE)</f>
        <v>0</v>
      </c>
      <c r="U1092" s="163">
        <f>VLOOKUP(D1092,'Groupe de branches'!$Z$27:$AM$86,14,FALSE)</f>
        <v>0</v>
      </c>
      <c r="V1092" s="163">
        <v>2018</v>
      </c>
      <c r="W1092">
        <f>VLOOKUP(D1092,'Table corresp.'!$M$4:$S$63,7,FALSE)</f>
        <v>0</v>
      </c>
      <c r="X1092" s="167">
        <f>IFERROR(G1092/SUMIFS('Comp2016-2017 (3)'!$I$5:$I$289,'Comp2016-2017 (3)'!$A$5:$A$289,A1092,'Comp2016-2017 (3)'!$R$5:$R$289,V1092),0)</f>
        <v>0</v>
      </c>
      <c r="Y1092" s="178">
        <f>IFERROR(IF(RIGHT(F1092,3)="Exp",VLOOKUP(F1092,#REF!,2,FALSE),VLOOKUP(F1092,#REF!,9,FALSE)),0)</f>
        <v>0</v>
      </c>
      <c r="Z1092" s="167">
        <f t="shared" si="136"/>
        <v>0</v>
      </c>
      <c r="AA1092" s="189">
        <f t="shared" si="128"/>
        <v>0</v>
      </c>
      <c r="AB1092" s="2">
        <f>IFERROR(SUMIFS('Comp2016-2017 (3)'!$G$5:$G$289,'Comp2016-2017 (3)'!$A$5:$A$289,A1092,'Comp2016-2017 (3)'!$R$5:$R$289,V1092)*AA1092/SUMIFS($AA$4:$AA$1116,$A$4:$A$1116,A1092,$V$4:$V$1116,V1092),0)</f>
        <v>0</v>
      </c>
      <c r="AC1092" s="2">
        <f>IF($W1092=AC$3,$AB1092,IF(NOT($W1092=0),"",SUMIFS('Val-Vol (2)'!AC$4:AC$1116,'Val-Vol (2)'!$A$4:$A$1116,$D1092,'Val-Vol (2)'!$V$4:$V$1116,$V1092)/SUMIFS('Comp2016-2017 (3)'!$G$5:$G$289,'Comp2016-2017 (3)'!$A$5:$A$289,$D1092,'Comp2016-2017 (3)'!$R$5:$R$289,$V1092)*$AB1092))</f>
        <v>0</v>
      </c>
      <c r="AD1092" s="2">
        <f>IF($W1092=AD$3,$AB1092,IF(NOT($W1092=0),"",SUMIFS('Val-Vol (2)'!AD$4:AD$1116,'Val-Vol (2)'!$A$4:$A$1116,$D1092,'Val-Vol (2)'!$V$4:$V$1116,$V1092)/SUMIFS('Comp2016-2017 (3)'!$G$5:$G$289,'Comp2016-2017 (3)'!$A$5:$A$289,$D1092,'Comp2016-2017 (3)'!$R$5:$R$289,$V1092)*$AB1092))</f>
        <v>0</v>
      </c>
      <c r="AE1092" s="2">
        <f>IF($W1092=AE$3,$AB1092,IF(NOT($W1092=0),"",SUMIFS('Val-Vol (2)'!AE$4:AE$1116,'Val-Vol (2)'!$A$4:$A$1116,$D1092,'Val-Vol (2)'!$V$4:$V$1116,$V1092)/SUMIFS('Comp2016-2017 (3)'!$G$5:$G$289,'Comp2016-2017 (3)'!$A$5:$A$289,$D1092,'Comp2016-2017 (3)'!$R$5:$R$289,$V1092)*$AB1092))</f>
        <v>0</v>
      </c>
      <c r="AF1092" s="2">
        <f>IF($W1092=AF$3,$AB1092,IF(NOT($W1092=0),"",SUMIFS('Val-Vol (2)'!AF$4:AF$1116,'Val-Vol (2)'!$A$4:$A$1116,$D1092,'Val-Vol (2)'!$V$4:$V$1116,$V1092)/SUMIFS('Comp2016-2017 (3)'!$G$5:$G$289,'Comp2016-2017 (3)'!$A$5:$A$289,$D1092,'Comp2016-2017 (3)'!$R$5:$R$289,$V1092)*$AB1092))</f>
        <v>0</v>
      </c>
      <c r="AG1092" s="2">
        <f>IF($W1092=AG$3,$AB1092,IF(NOT($W1092=0),"",SUMIFS('Val-Vol (2)'!AG$4:AG$1116,'Val-Vol (2)'!$A$4:$A$1116,$D1092,'Val-Vol (2)'!$V$4:$V$1116,$V1092)/SUMIFS('Comp2016-2017 (3)'!$G$5:$G$289,'Comp2016-2017 (3)'!$A$5:$A$289,$D1092,'Comp2016-2017 (3)'!$R$5:$R$289,$V1092)*$AB1092))</f>
        <v>0</v>
      </c>
      <c r="AH1092" s="2">
        <f>IF($W1092=AH$3,$AB1092,IF(NOT($W1092=0),"",SUMIFS('Val-Vol (2)'!AH$4:AH$1116,'Val-Vol (2)'!$A$4:$A$1116,$D1092,'Val-Vol (2)'!$V$4:$V$1116,$V1092)/SUMIFS('Comp2016-2017 (3)'!$G$5:$G$289,'Comp2016-2017 (3)'!$A$5:$A$289,$D1092,'Comp2016-2017 (3)'!$R$5:$R$289,$V1092)*$AB1092))</f>
        <v>0</v>
      </c>
      <c r="AI1092" s="2">
        <f>IF($W1092=AI$3,$AB1092,IF(NOT($W1092=0),"",SUMIFS('Val-Vol (2)'!AI$4:AI$1116,'Val-Vol (2)'!$A$4:$A$1116,$D1092,'Val-Vol (2)'!$V$4:$V$1116,$V1092)/SUMIFS('Comp2016-2017 (3)'!$G$5:$G$289,'Comp2016-2017 (3)'!$A$5:$A$289,$D1092,'Comp2016-2017 (3)'!$R$5:$R$289,$V1092)*$AB1092))</f>
        <v>0</v>
      </c>
      <c r="AJ1092" s="2">
        <f>IF($W1092=AJ$3,$AB1092,IF(NOT($W1092=0),"",SUMIFS('Val-Vol (2)'!AJ$4:AJ$1116,'Val-Vol (2)'!$A$4:$A$1116,$D1092,'Val-Vol (2)'!$V$4:$V$1116,$V1092)/SUMIFS('Comp2016-2017 (3)'!$G$5:$G$289,'Comp2016-2017 (3)'!$A$5:$A$289,$D1092,'Comp2016-2017 (3)'!$R$5:$R$289,$V1092)*$AB1092))</f>
        <v>0</v>
      </c>
      <c r="AK1092" s="2">
        <f t="shared" si="130"/>
        <v>0</v>
      </c>
      <c r="AL1092" t="str">
        <f t="shared" ref="AL1092:AL1116" si="137">IF(A1092=D1092,"remplir à la main","")</f>
        <v/>
      </c>
      <c r="AM1092" t="str">
        <f>VLOOKUP(A1092,'Table corresp.'!$M$4:$U$63,8,FALSE)</f>
        <v>Importation</v>
      </c>
      <c r="AN1092" t="str">
        <f>VLOOKUP(D1092,'Table corresp.'!$M$4:$U$63,9,FALSE)</f>
        <v>Production intermédiaire</v>
      </c>
    </row>
    <row r="1093" spans="1:40" x14ac:dyDescent="0.25">
      <c r="A1093" t="s">
        <v>52</v>
      </c>
      <c r="B1093" t="str">
        <f>VLOOKUP(LEFT(A1093,3),'Table corresp.'!$A$4:$D$63,3,FALSE)</f>
        <v>Importation</v>
      </c>
      <c r="C1093" t="str">
        <f>VLOOKUP(A1093,'Table corresp.'!$M$4:$P$63,4,FALSE)</f>
        <v>Importation</v>
      </c>
      <c r="D1093" t="s">
        <v>84</v>
      </c>
      <c r="E1093" t="str">
        <f>VLOOKUP(LEFT(D1093,3),'Table corresp.'!$A$4:$D$63,4,FALSE)</f>
        <v>Transformation</v>
      </c>
      <c r="F1093" t="str">
        <f t="shared" si="132"/>
        <v xml:space="preserve">Imp - 17 </v>
      </c>
      <c r="G1093" s="164">
        <v>0</v>
      </c>
      <c r="H1093" s="164">
        <v>11725.615000000002</v>
      </c>
      <c r="I1093" s="164">
        <v>11725.615000000002</v>
      </c>
      <c r="J1093" s="164">
        <v>0</v>
      </c>
      <c r="K1093" s="164">
        <v>53.727804085945429</v>
      </c>
      <c r="L1093" s="164">
        <v>53.727804085945429</v>
      </c>
      <c r="M1093" s="164">
        <v>0</v>
      </c>
      <c r="N1093" s="164">
        <v>0</v>
      </c>
      <c r="O1093" s="164">
        <v>0</v>
      </c>
      <c r="P1093" s="164">
        <v>0</v>
      </c>
      <c r="Q1093" s="164">
        <v>0</v>
      </c>
      <c r="R1093" s="164">
        <v>0</v>
      </c>
      <c r="S1093" s="163" t="str">
        <f t="shared" si="133"/>
        <v/>
      </c>
      <c r="T1093" s="163">
        <f>VLOOKUP(A1093,'Groupe de branches'!$Z$27:$AM$86,14,FALSE)</f>
        <v>0</v>
      </c>
      <c r="U1093" s="163">
        <f>VLOOKUP(D1093,'Groupe de branches'!$Z$27:$AM$86,14,FALSE)</f>
        <v>0</v>
      </c>
      <c r="V1093" s="163">
        <v>2018</v>
      </c>
      <c r="W1093" t="str">
        <f>VLOOKUP(D1093,'Table corresp.'!$M$4:$S$63,7,FALSE)</f>
        <v>Construction</v>
      </c>
      <c r="X1093" s="167">
        <f>IFERROR(G1093/SUMIFS('Comp2016-2017 (3)'!$I$5:$I$289,'Comp2016-2017 (3)'!$A$5:$A$289,A1093,'Comp2016-2017 (3)'!$R$5:$R$289,V1093),0)</f>
        <v>0</v>
      </c>
      <c r="Y1093" s="178">
        <f>IFERROR(IF(RIGHT(F1093,3)="Exp",VLOOKUP(F1093,#REF!,2,FALSE),VLOOKUP(F1093,#REF!,9,FALSE)),0)</f>
        <v>0</v>
      </c>
      <c r="Z1093" s="167">
        <f t="shared" si="136"/>
        <v>0</v>
      </c>
      <c r="AA1093" s="189">
        <f t="shared" ref="AA1093:AA1116" si="138">X1093*Z1093</f>
        <v>0</v>
      </c>
      <c r="AB1093" s="2">
        <f>IFERROR(SUMIFS('Comp2016-2017 (3)'!$G$5:$G$289,'Comp2016-2017 (3)'!$A$5:$A$289,A1093,'Comp2016-2017 (3)'!$R$5:$R$289,V1093)*AA1093/SUMIFS($AA$4:$AA$1116,$A$4:$A$1116,A1093,$V$4:$V$1116,V1093),0)</f>
        <v>0</v>
      </c>
      <c r="AC1093" s="2" t="str">
        <f>IF($W1093=AC$3,$AB1093,IF(NOT($W1093=0),"",SUMIFS('Val-Vol (2)'!AC$4:AC$1116,'Val-Vol (2)'!$A$4:$A$1116,$D1093,'Val-Vol (2)'!$V$4:$V$1116,$V1093)/SUMIFS('Comp2016-2017 (3)'!$G$5:$G$289,'Comp2016-2017 (3)'!$A$5:$A$289,$D1093,'Comp2016-2017 (3)'!$R$5:$R$289,$V1093)*$AB1093))</f>
        <v/>
      </c>
      <c r="AD1093" s="2">
        <f>IF($W1093=AD$3,$AB1093,IF(NOT($W1093=0),"",SUMIFS('Val-Vol (2)'!AD$4:AD$1116,'Val-Vol (2)'!$A$4:$A$1116,$D1093,'Val-Vol (2)'!$V$4:$V$1116,$V1093)/SUMIFS('Comp2016-2017 (3)'!$G$5:$G$289,'Comp2016-2017 (3)'!$A$5:$A$289,$D1093,'Comp2016-2017 (3)'!$R$5:$R$289,$V1093)*$AB1093))</f>
        <v>0</v>
      </c>
      <c r="AE1093" s="2" t="str">
        <f>IF($W1093=AE$3,$AB1093,IF(NOT($W1093=0),"",SUMIFS('Val-Vol (2)'!AE$4:AE$1116,'Val-Vol (2)'!$A$4:$A$1116,$D1093,'Val-Vol (2)'!$V$4:$V$1116,$V1093)/SUMIFS('Comp2016-2017 (3)'!$G$5:$G$289,'Comp2016-2017 (3)'!$A$5:$A$289,$D1093,'Comp2016-2017 (3)'!$R$5:$R$289,$V1093)*$AB1093))</f>
        <v/>
      </c>
      <c r="AF1093" s="2" t="str">
        <f>IF($W1093=AF$3,$AB1093,IF(NOT($W1093=0),"",SUMIFS('Val-Vol (2)'!AF$4:AF$1116,'Val-Vol (2)'!$A$4:$A$1116,$D1093,'Val-Vol (2)'!$V$4:$V$1116,$V1093)/SUMIFS('Comp2016-2017 (3)'!$G$5:$G$289,'Comp2016-2017 (3)'!$A$5:$A$289,$D1093,'Comp2016-2017 (3)'!$R$5:$R$289,$V1093)*$AB1093))</f>
        <v/>
      </c>
      <c r="AG1093" s="2" t="str">
        <f>IF($W1093=AG$3,$AB1093,IF(NOT($W1093=0),"",SUMIFS('Val-Vol (2)'!AG$4:AG$1116,'Val-Vol (2)'!$A$4:$A$1116,$D1093,'Val-Vol (2)'!$V$4:$V$1116,$V1093)/SUMIFS('Comp2016-2017 (3)'!$G$5:$G$289,'Comp2016-2017 (3)'!$A$5:$A$289,$D1093,'Comp2016-2017 (3)'!$R$5:$R$289,$V1093)*$AB1093))</f>
        <v/>
      </c>
      <c r="AH1093" s="2" t="str">
        <f>IF($W1093=AH$3,$AB1093,IF(NOT($W1093=0),"",SUMIFS('Val-Vol (2)'!AH$4:AH$1116,'Val-Vol (2)'!$A$4:$A$1116,$D1093,'Val-Vol (2)'!$V$4:$V$1116,$V1093)/SUMIFS('Comp2016-2017 (3)'!$G$5:$G$289,'Comp2016-2017 (3)'!$A$5:$A$289,$D1093,'Comp2016-2017 (3)'!$R$5:$R$289,$V1093)*$AB1093))</f>
        <v/>
      </c>
      <c r="AI1093" s="2" t="str">
        <f>IF($W1093=AI$3,$AB1093,IF(NOT($W1093=0),"",SUMIFS('Val-Vol (2)'!AI$4:AI$1116,'Val-Vol (2)'!$A$4:$A$1116,$D1093,'Val-Vol (2)'!$V$4:$V$1116,$V1093)/SUMIFS('Comp2016-2017 (3)'!$G$5:$G$289,'Comp2016-2017 (3)'!$A$5:$A$289,$D1093,'Comp2016-2017 (3)'!$R$5:$R$289,$V1093)*$AB1093))</f>
        <v/>
      </c>
      <c r="AJ1093" s="2" t="str">
        <f>IF($W1093=AJ$3,$AB1093,IF(NOT($W1093=0),"",SUMIFS('Val-Vol (2)'!AJ$4:AJ$1116,'Val-Vol (2)'!$A$4:$A$1116,$D1093,'Val-Vol (2)'!$V$4:$V$1116,$V1093)/SUMIFS('Comp2016-2017 (3)'!$G$5:$G$289,'Comp2016-2017 (3)'!$A$5:$A$289,$D1093,'Comp2016-2017 (3)'!$R$5:$R$289,$V1093)*$AB1093))</f>
        <v/>
      </c>
      <c r="AK1093" s="2">
        <f t="shared" si="130"/>
        <v>0</v>
      </c>
      <c r="AL1093" t="str">
        <f t="shared" si="137"/>
        <v/>
      </c>
      <c r="AM1093" t="str">
        <f>VLOOKUP(A1093,'Table corresp.'!$M$4:$U$63,8,FALSE)</f>
        <v>Importation</v>
      </c>
      <c r="AN1093" t="str">
        <f>VLOOKUP(D1093,'Table corresp.'!$M$4:$U$63,9,FALSE)</f>
        <v>Production intermédiaire</v>
      </c>
    </row>
    <row r="1094" spans="1:40" x14ac:dyDescent="0.25">
      <c r="A1094" t="s">
        <v>52</v>
      </c>
      <c r="B1094" t="str">
        <f>VLOOKUP(LEFT(A1094,3),'Table corresp.'!$A$4:$D$63,3,FALSE)</f>
        <v>Importation</v>
      </c>
      <c r="C1094" t="str">
        <f>VLOOKUP(A1094,'Table corresp.'!$M$4:$P$63,4,FALSE)</f>
        <v>Importation</v>
      </c>
      <c r="D1094" t="s">
        <v>11</v>
      </c>
      <c r="E1094" t="str">
        <f>VLOOKUP(LEFT(D1094,3),'Table corresp.'!$A$4:$D$63,4,FALSE)</f>
        <v>Transformation</v>
      </c>
      <c r="F1094" t="str">
        <f t="shared" si="132"/>
        <v xml:space="preserve">Imp - 18 </v>
      </c>
      <c r="G1094" s="164">
        <v>0</v>
      </c>
      <c r="H1094" s="164">
        <v>26406.402000000002</v>
      </c>
      <c r="I1094" s="164">
        <v>26406.402000000002</v>
      </c>
      <c r="J1094" s="164">
        <v>0</v>
      </c>
      <c r="K1094" s="164">
        <v>0</v>
      </c>
      <c r="L1094" s="164">
        <v>0</v>
      </c>
      <c r="M1094" s="164">
        <v>0</v>
      </c>
      <c r="N1094" s="164">
        <v>515.15128500000003</v>
      </c>
      <c r="O1094" s="164">
        <v>515.15128500000003</v>
      </c>
      <c r="P1094" s="164">
        <v>0</v>
      </c>
      <c r="Q1094" s="164">
        <v>0</v>
      </c>
      <c r="R1094" s="164">
        <v>0</v>
      </c>
      <c r="S1094" s="163" t="str">
        <f t="shared" si="133"/>
        <v/>
      </c>
      <c r="T1094" s="163">
        <f>VLOOKUP(A1094,'Groupe de branches'!$Z$27:$AM$86,14,FALSE)</f>
        <v>0</v>
      </c>
      <c r="U1094" s="163">
        <f>VLOOKUP(D1094,'Groupe de branches'!$Z$27:$AM$86,14,FALSE)</f>
        <v>0</v>
      </c>
      <c r="V1094" s="163">
        <v>2018</v>
      </c>
      <c r="W1094">
        <f>VLOOKUP(D1094,'Table corresp.'!$M$4:$S$63,7,FALSE)</f>
        <v>0</v>
      </c>
      <c r="X1094" s="167">
        <f>IFERROR(G1094/SUMIFS('Comp2016-2017 (3)'!$I$5:$I$289,'Comp2016-2017 (3)'!$A$5:$A$289,A1094,'Comp2016-2017 (3)'!$R$5:$R$289,V1094),0)</f>
        <v>0</v>
      </c>
      <c r="Y1094" s="178">
        <f>IFERROR(IF(RIGHT(F1094,3)="Exp",VLOOKUP(F1094,#REF!,2,FALSE),VLOOKUP(F1094,#REF!,9,FALSE)),0)</f>
        <v>0</v>
      </c>
      <c r="Z1094" s="167">
        <f t="shared" si="136"/>
        <v>0</v>
      </c>
      <c r="AA1094" s="189">
        <f t="shared" si="138"/>
        <v>0</v>
      </c>
      <c r="AB1094" s="2">
        <f>IFERROR(SUMIFS('Comp2016-2017 (3)'!$G$5:$G$289,'Comp2016-2017 (3)'!$A$5:$A$289,A1094,'Comp2016-2017 (3)'!$R$5:$R$289,V1094)*AA1094/SUMIFS($AA$4:$AA$1116,$A$4:$A$1116,A1094,$V$4:$V$1116,V1094),0)</f>
        <v>0</v>
      </c>
      <c r="AC1094" s="2">
        <f>IF($W1094=AC$3,$AB1094,IF(NOT($W1094=0),"",SUMIFS('Val-Vol (2)'!AC$4:AC$1116,'Val-Vol (2)'!$A$4:$A$1116,$D1094,'Val-Vol (2)'!$V$4:$V$1116,$V1094)/SUMIFS('Comp2016-2017 (3)'!$G$5:$G$289,'Comp2016-2017 (3)'!$A$5:$A$289,$D1094,'Comp2016-2017 (3)'!$R$5:$R$289,$V1094)*$AB1094))</f>
        <v>0</v>
      </c>
      <c r="AD1094" s="2">
        <f>IF($W1094=AD$3,$AB1094,IF(NOT($W1094=0),"",SUMIFS('Val-Vol (2)'!AD$4:AD$1116,'Val-Vol (2)'!$A$4:$A$1116,$D1094,'Val-Vol (2)'!$V$4:$V$1116,$V1094)/SUMIFS('Comp2016-2017 (3)'!$G$5:$G$289,'Comp2016-2017 (3)'!$A$5:$A$289,$D1094,'Comp2016-2017 (3)'!$R$5:$R$289,$V1094)*$AB1094))</f>
        <v>0</v>
      </c>
      <c r="AE1094" s="2">
        <f>IF($W1094=AE$3,$AB1094,IF(NOT($W1094=0),"",SUMIFS('Val-Vol (2)'!AE$4:AE$1116,'Val-Vol (2)'!$A$4:$A$1116,$D1094,'Val-Vol (2)'!$V$4:$V$1116,$V1094)/SUMIFS('Comp2016-2017 (3)'!$G$5:$G$289,'Comp2016-2017 (3)'!$A$5:$A$289,$D1094,'Comp2016-2017 (3)'!$R$5:$R$289,$V1094)*$AB1094))</f>
        <v>0</v>
      </c>
      <c r="AF1094" s="2">
        <f>IF($W1094=AF$3,$AB1094,IF(NOT($W1094=0),"",SUMIFS('Val-Vol (2)'!AF$4:AF$1116,'Val-Vol (2)'!$A$4:$A$1116,$D1094,'Val-Vol (2)'!$V$4:$V$1116,$V1094)/SUMIFS('Comp2016-2017 (3)'!$G$5:$G$289,'Comp2016-2017 (3)'!$A$5:$A$289,$D1094,'Comp2016-2017 (3)'!$R$5:$R$289,$V1094)*$AB1094))</f>
        <v>0</v>
      </c>
      <c r="AG1094" s="2">
        <f>IF($W1094=AG$3,$AB1094,IF(NOT($W1094=0),"",SUMIFS('Val-Vol (2)'!AG$4:AG$1116,'Val-Vol (2)'!$A$4:$A$1116,$D1094,'Val-Vol (2)'!$V$4:$V$1116,$V1094)/SUMIFS('Comp2016-2017 (3)'!$G$5:$G$289,'Comp2016-2017 (3)'!$A$5:$A$289,$D1094,'Comp2016-2017 (3)'!$R$5:$R$289,$V1094)*$AB1094))</f>
        <v>0</v>
      </c>
      <c r="AH1094" s="2">
        <f>IF($W1094=AH$3,$AB1094,IF(NOT($W1094=0),"",SUMIFS('Val-Vol (2)'!AH$4:AH$1116,'Val-Vol (2)'!$A$4:$A$1116,$D1094,'Val-Vol (2)'!$V$4:$V$1116,$V1094)/SUMIFS('Comp2016-2017 (3)'!$G$5:$G$289,'Comp2016-2017 (3)'!$A$5:$A$289,$D1094,'Comp2016-2017 (3)'!$R$5:$R$289,$V1094)*$AB1094))</f>
        <v>0</v>
      </c>
      <c r="AI1094" s="2">
        <f>IF($W1094=AI$3,$AB1094,IF(NOT($W1094=0),"",SUMIFS('Val-Vol (2)'!AI$4:AI$1116,'Val-Vol (2)'!$A$4:$A$1116,$D1094,'Val-Vol (2)'!$V$4:$V$1116,$V1094)/SUMIFS('Comp2016-2017 (3)'!$G$5:$G$289,'Comp2016-2017 (3)'!$A$5:$A$289,$D1094,'Comp2016-2017 (3)'!$R$5:$R$289,$V1094)*$AB1094))</f>
        <v>0</v>
      </c>
      <c r="AJ1094" s="2">
        <f>IF($W1094=AJ$3,$AB1094,IF(NOT($W1094=0),"",SUMIFS('Val-Vol (2)'!AJ$4:AJ$1116,'Val-Vol (2)'!$A$4:$A$1116,$D1094,'Val-Vol (2)'!$V$4:$V$1116,$V1094)/SUMIFS('Comp2016-2017 (3)'!$G$5:$G$289,'Comp2016-2017 (3)'!$A$5:$A$289,$D1094,'Comp2016-2017 (3)'!$R$5:$R$289,$V1094)*$AB1094))</f>
        <v>0</v>
      </c>
      <c r="AK1094" s="2">
        <f t="shared" si="130"/>
        <v>0</v>
      </c>
      <c r="AL1094" t="str">
        <f t="shared" si="137"/>
        <v/>
      </c>
      <c r="AM1094" t="str">
        <f>VLOOKUP(A1094,'Table corresp.'!$M$4:$U$63,8,FALSE)</f>
        <v>Importation</v>
      </c>
      <c r="AN1094" t="str">
        <f>VLOOKUP(D1094,'Table corresp.'!$M$4:$U$63,9,FALSE)</f>
        <v>Production intermédiaire</v>
      </c>
    </row>
    <row r="1095" spans="1:40" x14ac:dyDescent="0.25">
      <c r="A1095" t="s">
        <v>52</v>
      </c>
      <c r="B1095" t="str">
        <f>VLOOKUP(LEFT(A1095,3),'Table corresp.'!$A$4:$D$63,3,FALSE)</f>
        <v>Importation</v>
      </c>
      <c r="C1095" t="str">
        <f>VLOOKUP(A1095,'Table corresp.'!$M$4:$P$63,4,FALSE)</f>
        <v>Importation</v>
      </c>
      <c r="D1095" t="s">
        <v>12</v>
      </c>
      <c r="E1095" t="str">
        <f>VLOOKUP(LEFT(D1095,3),'Table corresp.'!$A$4:$D$63,4,FALSE)</f>
        <v>Transformation</v>
      </c>
      <c r="F1095" t="str">
        <f t="shared" si="132"/>
        <v xml:space="preserve">Imp - 19 </v>
      </c>
      <c r="G1095" s="164">
        <v>0</v>
      </c>
      <c r="H1095" s="164">
        <v>70975.717000000004</v>
      </c>
      <c r="I1095" s="164">
        <v>70975.717000000004</v>
      </c>
      <c r="J1095" s="164">
        <v>0</v>
      </c>
      <c r="K1095" s="164">
        <v>0</v>
      </c>
      <c r="L1095" s="164">
        <v>0</v>
      </c>
      <c r="M1095" s="164">
        <v>0</v>
      </c>
      <c r="N1095" s="164">
        <v>0</v>
      </c>
      <c r="O1095" s="164">
        <v>0</v>
      </c>
      <c r="P1095" s="164">
        <v>0</v>
      </c>
      <c r="Q1095" s="164">
        <v>917.92841599999997</v>
      </c>
      <c r="R1095" s="164">
        <v>917.92841599999997</v>
      </c>
      <c r="S1095" s="163" t="str">
        <f t="shared" si="133"/>
        <v>BE</v>
      </c>
      <c r="T1095" s="163">
        <f>VLOOKUP(A1095,'Groupe de branches'!$Z$27:$AM$86,14,FALSE)</f>
        <v>0</v>
      </c>
      <c r="U1095" s="163">
        <f>VLOOKUP(D1095,'Groupe de branches'!$Z$27:$AM$86,14,FALSE)</f>
        <v>0</v>
      </c>
      <c r="V1095" s="163">
        <v>2018</v>
      </c>
      <c r="W1095" t="str">
        <f>VLOOKUP(D1095,'Table corresp.'!$M$4:$S$63,7,FALSE)</f>
        <v>Energie</v>
      </c>
      <c r="X1095" s="167">
        <f>IFERROR(G1095/SUMIFS('Comp2016-2017 (3)'!$I$5:$I$289,'Comp2016-2017 (3)'!$A$5:$A$289,A1095,'Comp2016-2017 (3)'!$R$5:$R$289,V1095),0)</f>
        <v>0</v>
      </c>
      <c r="Y1095" s="178">
        <f>IFERROR(IF(RIGHT(F1095,3)="Exp",VLOOKUP(F1095,#REF!,2,FALSE),VLOOKUP(F1095,#REF!,9,FALSE)),0)</f>
        <v>0</v>
      </c>
      <c r="Z1095" s="167">
        <f t="shared" si="136"/>
        <v>0</v>
      </c>
      <c r="AA1095" s="189">
        <f t="shared" si="138"/>
        <v>0</v>
      </c>
      <c r="AB1095" s="2">
        <f>IFERROR(SUMIFS('Comp2016-2017 (3)'!$G$5:$G$289,'Comp2016-2017 (3)'!$A$5:$A$289,A1095,'Comp2016-2017 (3)'!$R$5:$R$289,V1095)*AA1095/SUMIFS($AA$4:$AA$1116,$A$4:$A$1116,A1095,$V$4:$V$1116,V1095),0)</f>
        <v>0</v>
      </c>
      <c r="AC1095" s="2" t="str">
        <f>IF($W1095=AC$3,$AB1095,IF(NOT($W1095=0),"",SUMIFS('Val-Vol (2)'!AC$4:AC$1116,'Val-Vol (2)'!$A$4:$A$1116,$D1095,'Val-Vol (2)'!$V$4:$V$1116,$V1095)/SUMIFS('Comp2016-2017 (3)'!$G$5:$G$289,'Comp2016-2017 (3)'!$A$5:$A$289,$D1095,'Comp2016-2017 (3)'!$R$5:$R$289,$V1095)*$AB1095))</f>
        <v/>
      </c>
      <c r="AD1095" s="2" t="str">
        <f>IF($W1095=AD$3,$AB1095,IF(NOT($W1095=0),"",SUMIFS('Val-Vol (2)'!AD$4:AD$1116,'Val-Vol (2)'!$A$4:$A$1116,$D1095,'Val-Vol (2)'!$V$4:$V$1116,$V1095)/SUMIFS('Comp2016-2017 (3)'!$G$5:$G$289,'Comp2016-2017 (3)'!$A$5:$A$289,$D1095,'Comp2016-2017 (3)'!$R$5:$R$289,$V1095)*$AB1095))</f>
        <v/>
      </c>
      <c r="AE1095" s="2" t="str">
        <f>IF($W1095=AE$3,$AB1095,IF(NOT($W1095=0),"",SUMIFS('Val-Vol (2)'!AE$4:AE$1116,'Val-Vol (2)'!$A$4:$A$1116,$D1095,'Val-Vol (2)'!$V$4:$V$1116,$V1095)/SUMIFS('Comp2016-2017 (3)'!$G$5:$G$289,'Comp2016-2017 (3)'!$A$5:$A$289,$D1095,'Comp2016-2017 (3)'!$R$5:$R$289,$V1095)*$AB1095))</f>
        <v/>
      </c>
      <c r="AF1095" s="2" t="str">
        <f>IF($W1095=AF$3,$AB1095,IF(NOT($W1095=0),"",SUMIFS('Val-Vol (2)'!AF$4:AF$1116,'Val-Vol (2)'!$A$4:$A$1116,$D1095,'Val-Vol (2)'!$V$4:$V$1116,$V1095)/SUMIFS('Comp2016-2017 (3)'!$G$5:$G$289,'Comp2016-2017 (3)'!$A$5:$A$289,$D1095,'Comp2016-2017 (3)'!$R$5:$R$289,$V1095)*$AB1095))</f>
        <v/>
      </c>
      <c r="AG1095" s="2" t="str">
        <f>IF($W1095=AG$3,$AB1095,IF(NOT($W1095=0),"",SUMIFS('Val-Vol (2)'!AG$4:AG$1116,'Val-Vol (2)'!$A$4:$A$1116,$D1095,'Val-Vol (2)'!$V$4:$V$1116,$V1095)/SUMIFS('Comp2016-2017 (3)'!$G$5:$G$289,'Comp2016-2017 (3)'!$A$5:$A$289,$D1095,'Comp2016-2017 (3)'!$R$5:$R$289,$V1095)*$AB1095))</f>
        <v/>
      </c>
      <c r="AH1095" s="2">
        <f>IF($W1095=AH$3,$AB1095,IF(NOT($W1095=0),"",SUMIFS('Val-Vol (2)'!AH$4:AH$1116,'Val-Vol (2)'!$A$4:$A$1116,$D1095,'Val-Vol (2)'!$V$4:$V$1116,$V1095)/SUMIFS('Comp2016-2017 (3)'!$G$5:$G$289,'Comp2016-2017 (3)'!$A$5:$A$289,$D1095,'Comp2016-2017 (3)'!$R$5:$R$289,$V1095)*$AB1095))</f>
        <v>0</v>
      </c>
      <c r="AI1095" s="2" t="str">
        <f>IF($W1095=AI$3,$AB1095,IF(NOT($W1095=0),"",SUMIFS('Val-Vol (2)'!AI$4:AI$1116,'Val-Vol (2)'!$A$4:$A$1116,$D1095,'Val-Vol (2)'!$V$4:$V$1116,$V1095)/SUMIFS('Comp2016-2017 (3)'!$G$5:$G$289,'Comp2016-2017 (3)'!$A$5:$A$289,$D1095,'Comp2016-2017 (3)'!$R$5:$R$289,$V1095)*$AB1095))</f>
        <v/>
      </c>
      <c r="AJ1095" s="2" t="str">
        <f>IF($W1095=AJ$3,$AB1095,IF(NOT($W1095=0),"",SUMIFS('Val-Vol (2)'!AJ$4:AJ$1116,'Val-Vol (2)'!$A$4:$A$1116,$D1095,'Val-Vol (2)'!$V$4:$V$1116,$V1095)/SUMIFS('Comp2016-2017 (3)'!$G$5:$G$289,'Comp2016-2017 (3)'!$A$5:$A$289,$D1095,'Comp2016-2017 (3)'!$R$5:$R$289,$V1095)*$AB1095))</f>
        <v/>
      </c>
      <c r="AK1095" s="2">
        <f t="shared" si="130"/>
        <v>0</v>
      </c>
      <c r="AL1095" t="str">
        <f t="shared" si="137"/>
        <v/>
      </c>
      <c r="AM1095" t="str">
        <f>VLOOKUP(A1095,'Table corresp.'!$M$4:$U$63,8,FALSE)</f>
        <v>Importation</v>
      </c>
      <c r="AN1095" t="str">
        <f>VLOOKUP(D1095,'Table corresp.'!$M$4:$U$63,9,FALSE)</f>
        <v>Production intermédiaire</v>
      </c>
    </row>
    <row r="1096" spans="1:40" x14ac:dyDescent="0.25">
      <c r="A1096" t="s">
        <v>52</v>
      </c>
      <c r="B1096" t="str">
        <f>VLOOKUP(LEFT(A1096,3),'Table corresp.'!$A$4:$D$63,3,FALSE)</f>
        <v>Importation</v>
      </c>
      <c r="C1096" t="str">
        <f>VLOOKUP(A1096,'Table corresp.'!$M$4:$P$63,4,FALSE)</f>
        <v>Importation</v>
      </c>
      <c r="D1096" t="s">
        <v>13</v>
      </c>
      <c r="E1096" t="str">
        <f>VLOOKUP(LEFT(D1096,3),'Table corresp.'!$A$4:$D$63,4,FALSE)</f>
        <v>Transformation</v>
      </c>
      <c r="F1096" t="str">
        <f t="shared" si="132"/>
        <v xml:space="preserve">Imp - 20 </v>
      </c>
      <c r="G1096" s="164">
        <v>0</v>
      </c>
      <c r="H1096" s="164">
        <v>278678.2969999999</v>
      </c>
      <c r="I1096" s="164">
        <v>278678.2969999999</v>
      </c>
      <c r="J1096" s="164">
        <v>0</v>
      </c>
      <c r="K1096" s="164">
        <v>802.00024707789669</v>
      </c>
      <c r="L1096" s="164">
        <v>802.00024707789669</v>
      </c>
      <c r="M1096" s="164">
        <v>0</v>
      </c>
      <c r="N1096" s="164">
        <v>0</v>
      </c>
      <c r="O1096" s="164">
        <v>0</v>
      </c>
      <c r="P1096" s="164">
        <v>0</v>
      </c>
      <c r="Q1096" s="164">
        <v>0</v>
      </c>
      <c r="R1096" s="164">
        <v>0</v>
      </c>
      <c r="S1096" s="163" t="str">
        <f t="shared" si="133"/>
        <v/>
      </c>
      <c r="T1096" s="163">
        <f>VLOOKUP(A1096,'Groupe de branches'!$Z$27:$AM$86,14,FALSE)</f>
        <v>0</v>
      </c>
      <c r="U1096" s="163">
        <f>VLOOKUP(D1096,'Groupe de branches'!$Z$27:$AM$86,14,FALSE)</f>
        <v>0</v>
      </c>
      <c r="V1096" s="163">
        <v>2018</v>
      </c>
      <c r="W1096">
        <f>VLOOKUP(D1096,'Table corresp.'!$M$4:$S$63,7,FALSE)</f>
        <v>0</v>
      </c>
      <c r="X1096" s="167">
        <f>IFERROR(G1096/SUMIFS('Comp2016-2017 (3)'!$I$5:$I$289,'Comp2016-2017 (3)'!$A$5:$A$289,A1096,'Comp2016-2017 (3)'!$R$5:$R$289,V1096),0)</f>
        <v>0</v>
      </c>
      <c r="Y1096" s="178">
        <f>IFERROR(IF(RIGHT(F1096,3)="Exp",VLOOKUP(F1096,#REF!,2,FALSE),VLOOKUP(F1096,#REF!,9,FALSE)),0)</f>
        <v>0</v>
      </c>
      <c r="Z1096" s="167">
        <f t="shared" si="136"/>
        <v>0</v>
      </c>
      <c r="AA1096" s="189">
        <f t="shared" si="138"/>
        <v>0</v>
      </c>
      <c r="AB1096" s="2">
        <f>IFERROR(SUMIFS('Comp2016-2017 (3)'!$G$5:$G$289,'Comp2016-2017 (3)'!$A$5:$A$289,A1096,'Comp2016-2017 (3)'!$R$5:$R$289,V1096)*AA1096/SUMIFS($AA$4:$AA$1116,$A$4:$A$1116,A1096,$V$4:$V$1116,V1096),0)</f>
        <v>0</v>
      </c>
      <c r="AC1096" s="2">
        <f>IF($W1096=AC$3,$AB1096,IF(NOT($W1096=0),"",SUMIFS('Val-Vol (2)'!AC$4:AC$1116,'Val-Vol (2)'!$A$4:$A$1116,$D1096,'Val-Vol (2)'!$V$4:$V$1116,$V1096)/SUMIFS('Comp2016-2017 (3)'!$G$5:$G$289,'Comp2016-2017 (3)'!$A$5:$A$289,$D1096,'Comp2016-2017 (3)'!$R$5:$R$289,$V1096)*$AB1096))</f>
        <v>0</v>
      </c>
      <c r="AD1096" s="2">
        <f>IF($W1096=AD$3,$AB1096,IF(NOT($W1096=0),"",SUMIFS('Val-Vol (2)'!AD$4:AD$1116,'Val-Vol (2)'!$A$4:$A$1116,$D1096,'Val-Vol (2)'!$V$4:$V$1116,$V1096)/SUMIFS('Comp2016-2017 (3)'!$G$5:$G$289,'Comp2016-2017 (3)'!$A$5:$A$289,$D1096,'Comp2016-2017 (3)'!$R$5:$R$289,$V1096)*$AB1096))</f>
        <v>0</v>
      </c>
      <c r="AE1096" s="2">
        <f>IF($W1096=AE$3,$AB1096,IF(NOT($W1096=0),"",SUMIFS('Val-Vol (2)'!AE$4:AE$1116,'Val-Vol (2)'!$A$4:$A$1116,$D1096,'Val-Vol (2)'!$V$4:$V$1116,$V1096)/SUMIFS('Comp2016-2017 (3)'!$G$5:$G$289,'Comp2016-2017 (3)'!$A$5:$A$289,$D1096,'Comp2016-2017 (3)'!$R$5:$R$289,$V1096)*$AB1096))</f>
        <v>0</v>
      </c>
      <c r="AF1096" s="2">
        <f>IF($W1096=AF$3,$AB1096,IF(NOT($W1096=0),"",SUMIFS('Val-Vol (2)'!AF$4:AF$1116,'Val-Vol (2)'!$A$4:$A$1116,$D1096,'Val-Vol (2)'!$V$4:$V$1116,$V1096)/SUMIFS('Comp2016-2017 (3)'!$G$5:$G$289,'Comp2016-2017 (3)'!$A$5:$A$289,$D1096,'Comp2016-2017 (3)'!$R$5:$R$289,$V1096)*$AB1096))</f>
        <v>0</v>
      </c>
      <c r="AG1096" s="2">
        <f>IF($W1096=AG$3,$AB1096,IF(NOT($W1096=0),"",SUMIFS('Val-Vol (2)'!AG$4:AG$1116,'Val-Vol (2)'!$A$4:$A$1116,$D1096,'Val-Vol (2)'!$V$4:$V$1116,$V1096)/SUMIFS('Comp2016-2017 (3)'!$G$5:$G$289,'Comp2016-2017 (3)'!$A$5:$A$289,$D1096,'Comp2016-2017 (3)'!$R$5:$R$289,$V1096)*$AB1096))</f>
        <v>0</v>
      </c>
      <c r="AH1096" s="2">
        <f>IF($W1096=AH$3,$AB1096,IF(NOT($W1096=0),"",SUMIFS('Val-Vol (2)'!AH$4:AH$1116,'Val-Vol (2)'!$A$4:$A$1116,$D1096,'Val-Vol (2)'!$V$4:$V$1116,$V1096)/SUMIFS('Comp2016-2017 (3)'!$G$5:$G$289,'Comp2016-2017 (3)'!$A$5:$A$289,$D1096,'Comp2016-2017 (3)'!$R$5:$R$289,$V1096)*$AB1096))</f>
        <v>0</v>
      </c>
      <c r="AI1096" s="2">
        <f>IF($W1096=AI$3,$AB1096,IF(NOT($W1096=0),"",SUMIFS('Val-Vol (2)'!AI$4:AI$1116,'Val-Vol (2)'!$A$4:$A$1116,$D1096,'Val-Vol (2)'!$V$4:$V$1116,$V1096)/SUMIFS('Comp2016-2017 (3)'!$G$5:$G$289,'Comp2016-2017 (3)'!$A$5:$A$289,$D1096,'Comp2016-2017 (3)'!$R$5:$R$289,$V1096)*$AB1096))</f>
        <v>0</v>
      </c>
      <c r="AJ1096" s="2">
        <f>IF($W1096=AJ$3,$AB1096,IF(NOT($W1096=0),"",SUMIFS('Val-Vol (2)'!AJ$4:AJ$1116,'Val-Vol (2)'!$A$4:$A$1116,$D1096,'Val-Vol (2)'!$V$4:$V$1116,$V1096)/SUMIFS('Comp2016-2017 (3)'!$G$5:$G$289,'Comp2016-2017 (3)'!$A$5:$A$289,$D1096,'Comp2016-2017 (3)'!$R$5:$R$289,$V1096)*$AB1096))</f>
        <v>0</v>
      </c>
      <c r="AK1096" s="2">
        <f t="shared" si="130"/>
        <v>0</v>
      </c>
      <c r="AL1096" t="str">
        <f t="shared" si="137"/>
        <v/>
      </c>
      <c r="AM1096" t="str">
        <f>VLOOKUP(A1096,'Table corresp.'!$M$4:$U$63,8,FALSE)</f>
        <v>Importation</v>
      </c>
      <c r="AN1096" t="str">
        <f>VLOOKUP(D1096,'Table corresp.'!$M$4:$U$63,9,FALSE)</f>
        <v>Production intermédiaire</v>
      </c>
    </row>
    <row r="1097" spans="1:40" x14ac:dyDescent="0.25">
      <c r="A1097" t="s">
        <v>52</v>
      </c>
      <c r="B1097" t="str">
        <f>VLOOKUP(LEFT(A1097,3),'Table corresp.'!$A$4:$D$63,3,FALSE)</f>
        <v>Importation</v>
      </c>
      <c r="C1097" t="str">
        <f>VLOOKUP(A1097,'Table corresp.'!$M$4:$P$63,4,FALSE)</f>
        <v>Importation</v>
      </c>
      <c r="D1097" t="s">
        <v>14</v>
      </c>
      <c r="E1097" t="str">
        <f>VLOOKUP(LEFT(D1097,3),'Table corresp.'!$A$4:$D$63,4,FALSE)</f>
        <v>Transformation</v>
      </c>
      <c r="F1097" t="str">
        <f t="shared" si="132"/>
        <v>Imp - 20b</v>
      </c>
      <c r="G1097" s="164">
        <v>0</v>
      </c>
      <c r="H1097" s="164">
        <v>407422.99757053488</v>
      </c>
      <c r="I1097" s="164">
        <v>407422.99757053488</v>
      </c>
      <c r="J1097" s="164">
        <v>0</v>
      </c>
      <c r="K1097" s="164">
        <v>1644.0930279734998</v>
      </c>
      <c r="L1097" s="164">
        <v>1644.0930279734998</v>
      </c>
      <c r="M1097" s="164">
        <v>0</v>
      </c>
      <c r="N1097" s="164">
        <v>0</v>
      </c>
      <c r="O1097" s="164">
        <v>0</v>
      </c>
      <c r="P1097" s="164">
        <v>0</v>
      </c>
      <c r="Q1097" s="164">
        <v>0</v>
      </c>
      <c r="R1097" s="164">
        <v>0</v>
      </c>
      <c r="S1097" s="163" t="str">
        <f t="shared" si="133"/>
        <v/>
      </c>
      <c r="T1097" s="163">
        <f>VLOOKUP(A1097,'Groupe de branches'!$Z$27:$AM$86,14,FALSE)</f>
        <v>0</v>
      </c>
      <c r="U1097" s="163">
        <f>VLOOKUP(D1097,'Groupe de branches'!$Z$27:$AM$86,14,FALSE)</f>
        <v>0</v>
      </c>
      <c r="V1097" s="163">
        <v>2018</v>
      </c>
      <c r="W1097">
        <f>VLOOKUP(D1097,'Table corresp.'!$M$4:$S$63,7,FALSE)</f>
        <v>0</v>
      </c>
      <c r="X1097" s="167">
        <f>IFERROR(G1097/SUMIFS('Comp2016-2017 (3)'!$I$5:$I$289,'Comp2016-2017 (3)'!$A$5:$A$289,A1097,'Comp2016-2017 (3)'!$R$5:$R$289,V1097),0)</f>
        <v>0</v>
      </c>
      <c r="Y1097" s="178">
        <f>IFERROR(IF(RIGHT(F1097,3)="Exp",VLOOKUP(F1097,#REF!,2,FALSE),VLOOKUP(F1097,#REF!,9,FALSE)),0)</f>
        <v>0</v>
      </c>
      <c r="Z1097" s="167">
        <f t="shared" si="136"/>
        <v>0</v>
      </c>
      <c r="AA1097" s="189">
        <f t="shared" si="138"/>
        <v>0</v>
      </c>
      <c r="AB1097" s="2">
        <f>IFERROR(SUMIFS('Comp2016-2017 (3)'!$G$5:$G$289,'Comp2016-2017 (3)'!$A$5:$A$289,A1097,'Comp2016-2017 (3)'!$R$5:$R$289,V1097)*AA1097/SUMIFS($AA$4:$AA$1116,$A$4:$A$1116,A1097,$V$4:$V$1116,V1097),0)</f>
        <v>0</v>
      </c>
      <c r="AC1097" s="2">
        <f>IF($W1097=AC$3,$AB1097,IF(NOT($W1097=0),"",SUMIFS('Val-Vol (2)'!AC$4:AC$1116,'Val-Vol (2)'!$A$4:$A$1116,$D1097,'Val-Vol (2)'!$V$4:$V$1116,$V1097)/SUMIFS('Comp2016-2017 (3)'!$G$5:$G$289,'Comp2016-2017 (3)'!$A$5:$A$289,$D1097,'Comp2016-2017 (3)'!$R$5:$R$289,$V1097)*$AB1097))</f>
        <v>0</v>
      </c>
      <c r="AD1097" s="2">
        <f>IF($W1097=AD$3,$AB1097,IF(NOT($W1097=0),"",SUMIFS('Val-Vol (2)'!AD$4:AD$1116,'Val-Vol (2)'!$A$4:$A$1116,$D1097,'Val-Vol (2)'!$V$4:$V$1116,$V1097)/SUMIFS('Comp2016-2017 (3)'!$G$5:$G$289,'Comp2016-2017 (3)'!$A$5:$A$289,$D1097,'Comp2016-2017 (3)'!$R$5:$R$289,$V1097)*$AB1097))</f>
        <v>0</v>
      </c>
      <c r="AE1097" s="2">
        <f>IF($W1097=AE$3,$AB1097,IF(NOT($W1097=0),"",SUMIFS('Val-Vol (2)'!AE$4:AE$1116,'Val-Vol (2)'!$A$4:$A$1116,$D1097,'Val-Vol (2)'!$V$4:$V$1116,$V1097)/SUMIFS('Comp2016-2017 (3)'!$G$5:$G$289,'Comp2016-2017 (3)'!$A$5:$A$289,$D1097,'Comp2016-2017 (3)'!$R$5:$R$289,$V1097)*$AB1097))</f>
        <v>0</v>
      </c>
      <c r="AF1097" s="2">
        <f>IF($W1097=AF$3,$AB1097,IF(NOT($W1097=0),"",SUMIFS('Val-Vol (2)'!AF$4:AF$1116,'Val-Vol (2)'!$A$4:$A$1116,$D1097,'Val-Vol (2)'!$V$4:$V$1116,$V1097)/SUMIFS('Comp2016-2017 (3)'!$G$5:$G$289,'Comp2016-2017 (3)'!$A$5:$A$289,$D1097,'Comp2016-2017 (3)'!$R$5:$R$289,$V1097)*$AB1097))</f>
        <v>0</v>
      </c>
      <c r="AG1097" s="2">
        <f>IF($W1097=AG$3,$AB1097,IF(NOT($W1097=0),"",SUMIFS('Val-Vol (2)'!AG$4:AG$1116,'Val-Vol (2)'!$A$4:$A$1116,$D1097,'Val-Vol (2)'!$V$4:$V$1116,$V1097)/SUMIFS('Comp2016-2017 (3)'!$G$5:$G$289,'Comp2016-2017 (3)'!$A$5:$A$289,$D1097,'Comp2016-2017 (3)'!$R$5:$R$289,$V1097)*$AB1097))</f>
        <v>0</v>
      </c>
      <c r="AH1097" s="2">
        <f>IF($W1097=AH$3,$AB1097,IF(NOT($W1097=0),"",SUMIFS('Val-Vol (2)'!AH$4:AH$1116,'Val-Vol (2)'!$A$4:$A$1116,$D1097,'Val-Vol (2)'!$V$4:$V$1116,$V1097)/SUMIFS('Comp2016-2017 (3)'!$G$5:$G$289,'Comp2016-2017 (3)'!$A$5:$A$289,$D1097,'Comp2016-2017 (3)'!$R$5:$R$289,$V1097)*$AB1097))</f>
        <v>0</v>
      </c>
      <c r="AI1097" s="2">
        <f>IF($W1097=AI$3,$AB1097,IF(NOT($W1097=0),"",SUMIFS('Val-Vol (2)'!AI$4:AI$1116,'Val-Vol (2)'!$A$4:$A$1116,$D1097,'Val-Vol (2)'!$V$4:$V$1116,$V1097)/SUMIFS('Comp2016-2017 (3)'!$G$5:$G$289,'Comp2016-2017 (3)'!$A$5:$A$289,$D1097,'Comp2016-2017 (3)'!$R$5:$R$289,$V1097)*$AB1097))</f>
        <v>0</v>
      </c>
      <c r="AJ1097" s="2">
        <f>IF($W1097=AJ$3,$AB1097,IF(NOT($W1097=0),"",SUMIFS('Val-Vol (2)'!AJ$4:AJ$1116,'Val-Vol (2)'!$A$4:$A$1116,$D1097,'Val-Vol (2)'!$V$4:$V$1116,$V1097)/SUMIFS('Comp2016-2017 (3)'!$G$5:$G$289,'Comp2016-2017 (3)'!$A$5:$A$289,$D1097,'Comp2016-2017 (3)'!$R$5:$R$289,$V1097)*$AB1097))</f>
        <v>0</v>
      </c>
      <c r="AK1097" s="2">
        <f t="shared" si="130"/>
        <v>0</v>
      </c>
      <c r="AL1097" t="str">
        <f t="shared" si="137"/>
        <v/>
      </c>
      <c r="AM1097" t="str">
        <f>VLOOKUP(A1097,'Table corresp.'!$M$4:$U$63,8,FALSE)</f>
        <v>Importation</v>
      </c>
      <c r="AN1097" t="str">
        <f>VLOOKUP(D1097,'Table corresp.'!$M$4:$U$63,9,FALSE)</f>
        <v>Production intermédiaire</v>
      </c>
    </row>
    <row r="1098" spans="1:40" x14ac:dyDescent="0.25">
      <c r="A1098" t="s">
        <v>52</v>
      </c>
      <c r="B1098" t="str">
        <f>VLOOKUP(LEFT(A1098,3),'Table corresp.'!$A$4:$D$63,3,FALSE)</f>
        <v>Importation</v>
      </c>
      <c r="C1098" t="str">
        <f>VLOOKUP(A1098,'Table corresp.'!$M$4:$P$63,4,FALSE)</f>
        <v>Importation</v>
      </c>
      <c r="D1098" t="s">
        <v>85</v>
      </c>
      <c r="E1098" t="str">
        <f>VLOOKUP(LEFT(D1098,3),'Table corresp.'!$A$4:$D$63,4,FALSE)</f>
        <v>Transformation</v>
      </c>
      <c r="F1098" t="str">
        <f t="shared" si="132"/>
        <v xml:space="preserve">Imp - 29 </v>
      </c>
      <c r="G1098" s="164">
        <v>0</v>
      </c>
      <c r="H1098" s="164">
        <v>194790</v>
      </c>
      <c r="I1098" s="164">
        <v>194790</v>
      </c>
      <c r="J1098" s="164">
        <v>0</v>
      </c>
      <c r="K1098" s="164">
        <v>839.5553868315518</v>
      </c>
      <c r="L1098" s="164">
        <v>839.5553868315518</v>
      </c>
      <c r="M1098" s="164">
        <v>0</v>
      </c>
      <c r="N1098" s="164">
        <v>0</v>
      </c>
      <c r="O1098" s="164">
        <v>0</v>
      </c>
      <c r="P1098" s="164">
        <v>0</v>
      </c>
      <c r="Q1098" s="164">
        <v>0</v>
      </c>
      <c r="R1098" s="164">
        <v>0</v>
      </c>
      <c r="S1098" s="163" t="str">
        <f t="shared" si="133"/>
        <v/>
      </c>
      <c r="T1098" s="163">
        <f>VLOOKUP(A1098,'Groupe de branches'!$Z$27:$AM$86,14,FALSE)</f>
        <v>0</v>
      </c>
      <c r="U1098" s="163">
        <f>VLOOKUP(D1098,'Groupe de branches'!$Z$27:$AM$86,14,FALSE)</f>
        <v>0</v>
      </c>
      <c r="V1098" s="163">
        <v>2018</v>
      </c>
      <c r="W1098" t="str">
        <f>VLOOKUP(D1098,'Table corresp.'!$M$4:$S$63,7,FALSE)</f>
        <v>Construction</v>
      </c>
      <c r="X1098" s="167">
        <f>IFERROR(G1098/SUMIFS('Comp2016-2017 (3)'!$I$5:$I$289,'Comp2016-2017 (3)'!$A$5:$A$289,A1098,'Comp2016-2017 (3)'!$R$5:$R$289,V1098),0)</f>
        <v>0</v>
      </c>
      <c r="Y1098" s="178">
        <f>IFERROR(IF(RIGHT(F1098,3)="Exp",VLOOKUP(F1098,#REF!,2,FALSE),VLOOKUP(F1098,#REF!,9,FALSE)),0)</f>
        <v>0</v>
      </c>
      <c r="Z1098" s="167">
        <f t="shared" si="136"/>
        <v>0</v>
      </c>
      <c r="AA1098" s="189">
        <f t="shared" si="138"/>
        <v>0</v>
      </c>
      <c r="AB1098" s="2">
        <f>IFERROR(SUMIFS('Comp2016-2017 (3)'!$G$5:$G$289,'Comp2016-2017 (3)'!$A$5:$A$289,A1098,'Comp2016-2017 (3)'!$R$5:$R$289,V1098)*AA1098/SUMIFS($AA$4:$AA$1116,$A$4:$A$1116,A1098,$V$4:$V$1116,V1098),0)</f>
        <v>0</v>
      </c>
      <c r="AC1098" s="2" t="str">
        <f>IF($W1098=AC$3,$AB1098,IF(NOT($W1098=0),"",SUMIFS('Val-Vol (2)'!AC$4:AC$1116,'Val-Vol (2)'!$A$4:$A$1116,$D1098,'Val-Vol (2)'!$V$4:$V$1116,$V1098)/SUMIFS('Comp2016-2017 (3)'!$G$5:$G$289,'Comp2016-2017 (3)'!$A$5:$A$289,$D1098,'Comp2016-2017 (3)'!$R$5:$R$289,$V1098)*$AB1098))</f>
        <v/>
      </c>
      <c r="AD1098" s="2">
        <f>IF($W1098=AD$3,$AB1098,IF(NOT($W1098=0),"",SUMIFS('Val-Vol (2)'!AD$4:AD$1116,'Val-Vol (2)'!$A$4:$A$1116,$D1098,'Val-Vol (2)'!$V$4:$V$1116,$V1098)/SUMIFS('Comp2016-2017 (3)'!$G$5:$G$289,'Comp2016-2017 (3)'!$A$5:$A$289,$D1098,'Comp2016-2017 (3)'!$R$5:$R$289,$V1098)*$AB1098))</f>
        <v>0</v>
      </c>
      <c r="AE1098" s="2" t="str">
        <f>IF($W1098=AE$3,$AB1098,IF(NOT($W1098=0),"",SUMIFS('Val-Vol (2)'!AE$4:AE$1116,'Val-Vol (2)'!$A$4:$A$1116,$D1098,'Val-Vol (2)'!$V$4:$V$1116,$V1098)/SUMIFS('Comp2016-2017 (3)'!$G$5:$G$289,'Comp2016-2017 (3)'!$A$5:$A$289,$D1098,'Comp2016-2017 (3)'!$R$5:$R$289,$V1098)*$AB1098))</f>
        <v/>
      </c>
      <c r="AF1098" s="2" t="str">
        <f>IF($W1098=AF$3,$AB1098,IF(NOT($W1098=0),"",SUMIFS('Val-Vol (2)'!AF$4:AF$1116,'Val-Vol (2)'!$A$4:$A$1116,$D1098,'Val-Vol (2)'!$V$4:$V$1116,$V1098)/SUMIFS('Comp2016-2017 (3)'!$G$5:$G$289,'Comp2016-2017 (3)'!$A$5:$A$289,$D1098,'Comp2016-2017 (3)'!$R$5:$R$289,$V1098)*$AB1098))</f>
        <v/>
      </c>
      <c r="AG1098" s="2" t="str">
        <f>IF($W1098=AG$3,$AB1098,IF(NOT($W1098=0),"",SUMIFS('Val-Vol (2)'!AG$4:AG$1116,'Val-Vol (2)'!$A$4:$A$1116,$D1098,'Val-Vol (2)'!$V$4:$V$1116,$V1098)/SUMIFS('Comp2016-2017 (3)'!$G$5:$G$289,'Comp2016-2017 (3)'!$A$5:$A$289,$D1098,'Comp2016-2017 (3)'!$R$5:$R$289,$V1098)*$AB1098))</f>
        <v/>
      </c>
      <c r="AH1098" s="2" t="str">
        <f>IF($W1098=AH$3,$AB1098,IF(NOT($W1098=0),"",SUMIFS('Val-Vol (2)'!AH$4:AH$1116,'Val-Vol (2)'!$A$4:$A$1116,$D1098,'Val-Vol (2)'!$V$4:$V$1116,$V1098)/SUMIFS('Comp2016-2017 (3)'!$G$5:$G$289,'Comp2016-2017 (3)'!$A$5:$A$289,$D1098,'Comp2016-2017 (3)'!$R$5:$R$289,$V1098)*$AB1098))</f>
        <v/>
      </c>
      <c r="AI1098" s="2" t="str">
        <f>IF($W1098=AI$3,$AB1098,IF(NOT($W1098=0),"",SUMIFS('Val-Vol (2)'!AI$4:AI$1116,'Val-Vol (2)'!$A$4:$A$1116,$D1098,'Val-Vol (2)'!$V$4:$V$1116,$V1098)/SUMIFS('Comp2016-2017 (3)'!$G$5:$G$289,'Comp2016-2017 (3)'!$A$5:$A$289,$D1098,'Comp2016-2017 (3)'!$R$5:$R$289,$V1098)*$AB1098))</f>
        <v/>
      </c>
      <c r="AJ1098" s="2" t="str">
        <f>IF($W1098=AJ$3,$AB1098,IF(NOT($W1098=0),"",SUMIFS('Val-Vol (2)'!AJ$4:AJ$1116,'Val-Vol (2)'!$A$4:$A$1116,$D1098,'Val-Vol (2)'!$V$4:$V$1116,$V1098)/SUMIFS('Comp2016-2017 (3)'!$G$5:$G$289,'Comp2016-2017 (3)'!$A$5:$A$289,$D1098,'Comp2016-2017 (3)'!$R$5:$R$289,$V1098)*$AB1098))</f>
        <v/>
      </c>
      <c r="AK1098" s="2">
        <f t="shared" ref="AK1098:AK1116" si="139">SUM(AC1098:AJ1098)-AB1098</f>
        <v>0</v>
      </c>
      <c r="AL1098" t="str">
        <f t="shared" si="137"/>
        <v/>
      </c>
      <c r="AM1098" t="str">
        <f>VLOOKUP(A1098,'Table corresp.'!$M$4:$U$63,8,FALSE)</f>
        <v>Importation</v>
      </c>
      <c r="AN1098" t="str">
        <f>VLOOKUP(D1098,'Table corresp.'!$M$4:$U$63,9,FALSE)</f>
        <v>Production intermédiaire</v>
      </c>
    </row>
    <row r="1099" spans="1:40" x14ac:dyDescent="0.25">
      <c r="A1099" t="s">
        <v>52</v>
      </c>
      <c r="B1099" t="str">
        <f>VLOOKUP(LEFT(A1099,3),'Table corresp.'!$A$4:$D$63,3,FALSE)</f>
        <v>Importation</v>
      </c>
      <c r="C1099" t="str">
        <f>VLOOKUP(A1099,'Table corresp.'!$M$4:$P$63,4,FALSE)</f>
        <v>Importation</v>
      </c>
      <c r="D1099" t="s">
        <v>86</v>
      </c>
      <c r="E1099" t="str">
        <f>VLOOKUP(LEFT(D1099,3),'Table corresp.'!$A$4:$D$63,4,FALSE)</f>
        <v>Transformation</v>
      </c>
      <c r="F1099" t="str">
        <f t="shared" si="132"/>
        <v xml:space="preserve">Imp - 30 </v>
      </c>
      <c r="G1099" s="164">
        <v>0</v>
      </c>
      <c r="H1099" s="164">
        <v>115488.07300000002</v>
      </c>
      <c r="I1099" s="164">
        <v>115488.07300000002</v>
      </c>
      <c r="J1099" s="164">
        <v>0</v>
      </c>
      <c r="K1099" s="164">
        <v>0</v>
      </c>
      <c r="L1099" s="164">
        <v>0</v>
      </c>
      <c r="M1099" s="164">
        <v>0</v>
      </c>
      <c r="N1099" s="164">
        <v>0</v>
      </c>
      <c r="O1099" s="164">
        <v>0</v>
      </c>
      <c r="P1099" s="164">
        <v>0</v>
      </c>
      <c r="Q1099" s="164">
        <v>1199.0777766868589</v>
      </c>
      <c r="R1099" s="164">
        <v>1199.0777766868589</v>
      </c>
      <c r="S1099" s="163" t="str">
        <f t="shared" si="133"/>
        <v>BE</v>
      </c>
      <c r="T1099" s="163">
        <f>VLOOKUP(A1099,'Groupe de branches'!$Z$27:$AM$86,14,FALSE)</f>
        <v>0</v>
      </c>
      <c r="U1099" s="163">
        <f>VLOOKUP(D1099,'Groupe de branches'!$Z$27:$AM$86,14,FALSE)</f>
        <v>1</v>
      </c>
      <c r="V1099" s="163">
        <v>2018</v>
      </c>
      <c r="W1099" t="str">
        <f>VLOOKUP(D1099,'Table corresp.'!$M$4:$S$63,7,FALSE)</f>
        <v>Energie</v>
      </c>
      <c r="X1099" s="167">
        <f>IFERROR(G1099/SUMIFS('Comp2016-2017 (3)'!$I$5:$I$289,'Comp2016-2017 (3)'!$A$5:$A$289,A1099,'Comp2016-2017 (3)'!$R$5:$R$289,V1099),0)</f>
        <v>0</v>
      </c>
      <c r="Y1099" s="178">
        <f>IFERROR(IF(RIGHT(F1099,3)="Exp",VLOOKUP(F1099,#REF!,2,FALSE),VLOOKUP(F1099,#REF!,9,FALSE)),0)</f>
        <v>0</v>
      </c>
      <c r="Z1099" s="167">
        <f t="shared" si="136"/>
        <v>0</v>
      </c>
      <c r="AA1099" s="189">
        <f t="shared" si="138"/>
        <v>0</v>
      </c>
      <c r="AB1099" s="2">
        <f>IFERROR(SUMIFS('Comp2016-2017 (3)'!$G$5:$G$289,'Comp2016-2017 (3)'!$A$5:$A$289,A1099,'Comp2016-2017 (3)'!$R$5:$R$289,V1099)*AA1099/SUMIFS($AA$4:$AA$1116,$A$4:$A$1116,A1099,$V$4:$V$1116,V1099),0)</f>
        <v>0</v>
      </c>
      <c r="AC1099" s="2" t="str">
        <f>IF($W1099=AC$3,$AB1099,IF(NOT($W1099=0),"",SUMIFS('Val-Vol (2)'!AC$4:AC$1116,'Val-Vol (2)'!$A$4:$A$1116,$D1099,'Val-Vol (2)'!$V$4:$V$1116,$V1099)/SUMIFS('Comp2016-2017 (3)'!$G$5:$G$289,'Comp2016-2017 (3)'!$A$5:$A$289,$D1099,'Comp2016-2017 (3)'!$R$5:$R$289,$V1099)*$AB1099))</f>
        <v/>
      </c>
      <c r="AD1099" s="2" t="str">
        <f>IF($W1099=AD$3,$AB1099,IF(NOT($W1099=0),"",SUMIFS('Val-Vol (2)'!AD$4:AD$1116,'Val-Vol (2)'!$A$4:$A$1116,$D1099,'Val-Vol (2)'!$V$4:$V$1116,$V1099)/SUMIFS('Comp2016-2017 (3)'!$G$5:$G$289,'Comp2016-2017 (3)'!$A$5:$A$289,$D1099,'Comp2016-2017 (3)'!$R$5:$R$289,$V1099)*$AB1099))</f>
        <v/>
      </c>
      <c r="AE1099" s="2" t="str">
        <f>IF($W1099=AE$3,$AB1099,IF(NOT($W1099=0),"",SUMIFS('Val-Vol (2)'!AE$4:AE$1116,'Val-Vol (2)'!$A$4:$A$1116,$D1099,'Val-Vol (2)'!$V$4:$V$1116,$V1099)/SUMIFS('Comp2016-2017 (3)'!$G$5:$G$289,'Comp2016-2017 (3)'!$A$5:$A$289,$D1099,'Comp2016-2017 (3)'!$R$5:$R$289,$V1099)*$AB1099))</f>
        <v/>
      </c>
      <c r="AF1099" s="2" t="str">
        <f>IF($W1099=AF$3,$AB1099,IF(NOT($W1099=0),"",SUMIFS('Val-Vol (2)'!AF$4:AF$1116,'Val-Vol (2)'!$A$4:$A$1116,$D1099,'Val-Vol (2)'!$V$4:$V$1116,$V1099)/SUMIFS('Comp2016-2017 (3)'!$G$5:$G$289,'Comp2016-2017 (3)'!$A$5:$A$289,$D1099,'Comp2016-2017 (3)'!$R$5:$R$289,$V1099)*$AB1099))</f>
        <v/>
      </c>
      <c r="AG1099" s="2" t="str">
        <f>IF($W1099=AG$3,$AB1099,IF(NOT($W1099=0),"",SUMIFS('Val-Vol (2)'!AG$4:AG$1116,'Val-Vol (2)'!$A$4:$A$1116,$D1099,'Val-Vol (2)'!$V$4:$V$1116,$V1099)/SUMIFS('Comp2016-2017 (3)'!$G$5:$G$289,'Comp2016-2017 (3)'!$A$5:$A$289,$D1099,'Comp2016-2017 (3)'!$R$5:$R$289,$V1099)*$AB1099))</f>
        <v/>
      </c>
      <c r="AH1099" s="2">
        <f>IF($W1099=AH$3,$AB1099,IF(NOT($W1099=0),"",SUMIFS('Val-Vol (2)'!AH$4:AH$1116,'Val-Vol (2)'!$A$4:$A$1116,$D1099,'Val-Vol (2)'!$V$4:$V$1116,$V1099)/SUMIFS('Comp2016-2017 (3)'!$G$5:$G$289,'Comp2016-2017 (3)'!$A$5:$A$289,$D1099,'Comp2016-2017 (3)'!$R$5:$R$289,$V1099)*$AB1099))</f>
        <v>0</v>
      </c>
      <c r="AI1099" s="2" t="str">
        <f>IF($W1099=AI$3,$AB1099,IF(NOT($W1099=0),"",SUMIFS('Val-Vol (2)'!AI$4:AI$1116,'Val-Vol (2)'!$A$4:$A$1116,$D1099,'Val-Vol (2)'!$V$4:$V$1116,$V1099)/SUMIFS('Comp2016-2017 (3)'!$G$5:$G$289,'Comp2016-2017 (3)'!$A$5:$A$289,$D1099,'Comp2016-2017 (3)'!$R$5:$R$289,$V1099)*$AB1099))</f>
        <v/>
      </c>
      <c r="AJ1099" s="2" t="str">
        <f>IF($W1099=AJ$3,$AB1099,IF(NOT($W1099=0),"",SUMIFS('Val-Vol (2)'!AJ$4:AJ$1116,'Val-Vol (2)'!$A$4:$A$1116,$D1099,'Val-Vol (2)'!$V$4:$V$1116,$V1099)/SUMIFS('Comp2016-2017 (3)'!$G$5:$G$289,'Comp2016-2017 (3)'!$A$5:$A$289,$D1099,'Comp2016-2017 (3)'!$R$5:$R$289,$V1099)*$AB1099))</f>
        <v/>
      </c>
      <c r="AK1099" s="2">
        <f t="shared" si="139"/>
        <v>0</v>
      </c>
      <c r="AL1099" t="str">
        <f t="shared" si="137"/>
        <v/>
      </c>
      <c r="AM1099" t="str">
        <f>VLOOKUP(A1099,'Table corresp.'!$M$4:$U$63,8,FALSE)</f>
        <v>Importation</v>
      </c>
      <c r="AN1099" t="str">
        <f>VLOOKUP(D1099,'Table corresp.'!$M$4:$U$63,9,FALSE)</f>
        <v>Production intermédiaire</v>
      </c>
    </row>
    <row r="1100" spans="1:40" x14ac:dyDescent="0.25">
      <c r="A1100" t="s">
        <v>52</v>
      </c>
      <c r="B1100" t="str">
        <f>VLOOKUP(LEFT(A1100,3),'Table corresp.'!$A$4:$D$63,3,FALSE)</f>
        <v>Importation</v>
      </c>
      <c r="C1100" t="str">
        <f>VLOOKUP(A1100,'Table corresp.'!$M$4:$P$63,4,FALSE)</f>
        <v>Importation</v>
      </c>
      <c r="D1100" t="s">
        <v>87</v>
      </c>
      <c r="E1100" t="str">
        <f>VLOOKUP(LEFT(D1100,3),'Table corresp.'!$A$4:$D$63,4,FALSE)</f>
        <v>Transformation</v>
      </c>
      <c r="F1100" t="str">
        <f t="shared" si="132"/>
        <v xml:space="preserve">Imp - 31 </v>
      </c>
      <c r="G1100" s="164">
        <v>0</v>
      </c>
      <c r="H1100" s="164">
        <v>1119196.7820000001</v>
      </c>
      <c r="I1100" s="164">
        <v>1119196.7820000001</v>
      </c>
      <c r="J1100" s="164">
        <v>0</v>
      </c>
      <c r="K1100" s="164">
        <v>182.28133094797673</v>
      </c>
      <c r="L1100" s="164">
        <v>182.28133094797673</v>
      </c>
      <c r="M1100" s="164">
        <v>0</v>
      </c>
      <c r="N1100" s="164">
        <v>1899.8238643283566</v>
      </c>
      <c r="O1100" s="164">
        <v>1899.8238643283566</v>
      </c>
      <c r="P1100" s="164">
        <v>0</v>
      </c>
      <c r="Q1100" s="164">
        <v>605.36023260204024</v>
      </c>
      <c r="R1100" s="164">
        <v>605.36023260204024</v>
      </c>
      <c r="S1100" s="163" t="str">
        <f t="shared" si="133"/>
        <v>BI</v>
      </c>
      <c r="T1100" s="163">
        <f>VLOOKUP(A1100,'Groupe de branches'!$Z$27:$AM$86,14,FALSE)</f>
        <v>0</v>
      </c>
      <c r="U1100" s="163">
        <f>VLOOKUP(D1100,'Groupe de branches'!$Z$27:$AM$86,14,FALSE)</f>
        <v>0</v>
      </c>
      <c r="V1100" s="163">
        <v>2018</v>
      </c>
      <c r="W1100">
        <f>VLOOKUP(D1100,'Table corresp.'!$M$4:$S$63,7,FALSE)</f>
        <v>0</v>
      </c>
      <c r="X1100" s="167">
        <f>IFERROR(G1100/SUMIFS('Comp2016-2017 (3)'!$I$5:$I$289,'Comp2016-2017 (3)'!$A$5:$A$289,A1100,'Comp2016-2017 (3)'!$R$5:$R$289,V1100),0)</f>
        <v>0</v>
      </c>
      <c r="Y1100" s="178">
        <f>IFERROR(IF(RIGHT(F1100,3)="Exp",VLOOKUP(F1100,#REF!,2,FALSE),VLOOKUP(F1100,#REF!,9,FALSE)),0)</f>
        <v>0</v>
      </c>
      <c r="Z1100" s="167">
        <f t="shared" si="136"/>
        <v>0</v>
      </c>
      <c r="AA1100" s="189">
        <f t="shared" si="138"/>
        <v>0</v>
      </c>
      <c r="AB1100" s="2">
        <f>IFERROR(SUMIFS('Comp2016-2017 (3)'!$G$5:$G$289,'Comp2016-2017 (3)'!$A$5:$A$289,A1100,'Comp2016-2017 (3)'!$R$5:$R$289,V1100)*AA1100/SUMIFS($AA$4:$AA$1116,$A$4:$A$1116,A1100,$V$4:$V$1116,V1100),0)</f>
        <v>0</v>
      </c>
      <c r="AC1100" s="2">
        <f>IF($W1100=AC$3,$AB1100,IF(NOT($W1100=0),"",SUMIFS('Val-Vol (2)'!AC$4:AC$1116,'Val-Vol (2)'!$A$4:$A$1116,$D1100,'Val-Vol (2)'!$V$4:$V$1116,$V1100)/SUMIFS('Comp2016-2017 (3)'!$G$5:$G$289,'Comp2016-2017 (3)'!$A$5:$A$289,$D1100,'Comp2016-2017 (3)'!$R$5:$R$289,$V1100)*$AB1100))</f>
        <v>0</v>
      </c>
      <c r="AD1100" s="2">
        <f>IF($W1100=AD$3,$AB1100,IF(NOT($W1100=0),"",SUMIFS('Val-Vol (2)'!AD$4:AD$1116,'Val-Vol (2)'!$A$4:$A$1116,$D1100,'Val-Vol (2)'!$V$4:$V$1116,$V1100)/SUMIFS('Comp2016-2017 (3)'!$G$5:$G$289,'Comp2016-2017 (3)'!$A$5:$A$289,$D1100,'Comp2016-2017 (3)'!$R$5:$R$289,$V1100)*$AB1100))</f>
        <v>0</v>
      </c>
      <c r="AE1100" s="2">
        <f>IF($W1100=AE$3,$AB1100,IF(NOT($W1100=0),"",SUMIFS('Val-Vol (2)'!AE$4:AE$1116,'Val-Vol (2)'!$A$4:$A$1116,$D1100,'Val-Vol (2)'!$V$4:$V$1116,$V1100)/SUMIFS('Comp2016-2017 (3)'!$G$5:$G$289,'Comp2016-2017 (3)'!$A$5:$A$289,$D1100,'Comp2016-2017 (3)'!$R$5:$R$289,$V1100)*$AB1100))</f>
        <v>0</v>
      </c>
      <c r="AF1100" s="2">
        <f>IF($W1100=AF$3,$AB1100,IF(NOT($W1100=0),"",SUMIFS('Val-Vol (2)'!AF$4:AF$1116,'Val-Vol (2)'!$A$4:$A$1116,$D1100,'Val-Vol (2)'!$V$4:$V$1116,$V1100)/SUMIFS('Comp2016-2017 (3)'!$G$5:$G$289,'Comp2016-2017 (3)'!$A$5:$A$289,$D1100,'Comp2016-2017 (3)'!$R$5:$R$289,$V1100)*$AB1100))</f>
        <v>0</v>
      </c>
      <c r="AG1100" s="2">
        <f>IF($W1100=AG$3,$AB1100,IF(NOT($W1100=0),"",SUMIFS('Val-Vol (2)'!AG$4:AG$1116,'Val-Vol (2)'!$A$4:$A$1116,$D1100,'Val-Vol (2)'!$V$4:$V$1116,$V1100)/SUMIFS('Comp2016-2017 (3)'!$G$5:$G$289,'Comp2016-2017 (3)'!$A$5:$A$289,$D1100,'Comp2016-2017 (3)'!$R$5:$R$289,$V1100)*$AB1100))</f>
        <v>0</v>
      </c>
      <c r="AH1100" s="2">
        <f>IF($W1100=AH$3,$AB1100,IF(NOT($W1100=0),"",SUMIFS('Val-Vol (2)'!AH$4:AH$1116,'Val-Vol (2)'!$A$4:$A$1116,$D1100,'Val-Vol (2)'!$V$4:$V$1116,$V1100)/SUMIFS('Comp2016-2017 (3)'!$G$5:$G$289,'Comp2016-2017 (3)'!$A$5:$A$289,$D1100,'Comp2016-2017 (3)'!$R$5:$R$289,$V1100)*$AB1100))</f>
        <v>0</v>
      </c>
      <c r="AI1100" s="2">
        <f>IF($W1100=AI$3,$AB1100,IF(NOT($W1100=0),"",SUMIFS('Val-Vol (2)'!AI$4:AI$1116,'Val-Vol (2)'!$A$4:$A$1116,$D1100,'Val-Vol (2)'!$V$4:$V$1116,$V1100)/SUMIFS('Comp2016-2017 (3)'!$G$5:$G$289,'Comp2016-2017 (3)'!$A$5:$A$289,$D1100,'Comp2016-2017 (3)'!$R$5:$R$289,$V1100)*$AB1100))</f>
        <v>0</v>
      </c>
      <c r="AJ1100" s="2">
        <f>IF($W1100=AJ$3,$AB1100,IF(NOT($W1100=0),"",SUMIFS('Val-Vol (2)'!AJ$4:AJ$1116,'Val-Vol (2)'!$A$4:$A$1116,$D1100,'Val-Vol (2)'!$V$4:$V$1116,$V1100)/SUMIFS('Comp2016-2017 (3)'!$G$5:$G$289,'Comp2016-2017 (3)'!$A$5:$A$289,$D1100,'Comp2016-2017 (3)'!$R$5:$R$289,$V1100)*$AB1100))</f>
        <v>0</v>
      </c>
      <c r="AK1100" s="2">
        <f t="shared" si="139"/>
        <v>0</v>
      </c>
      <c r="AL1100" t="str">
        <f t="shared" si="137"/>
        <v/>
      </c>
      <c r="AM1100" t="str">
        <f>VLOOKUP(A1100,'Table corresp.'!$M$4:$U$63,8,FALSE)</f>
        <v>Importation</v>
      </c>
      <c r="AN1100" t="str">
        <f>VLOOKUP(D1100,'Table corresp.'!$M$4:$U$63,9,FALSE)</f>
        <v>Production intermédiaire</v>
      </c>
    </row>
    <row r="1101" spans="1:40" x14ac:dyDescent="0.25">
      <c r="A1101" t="s">
        <v>52</v>
      </c>
      <c r="B1101" t="str">
        <f>VLOOKUP(LEFT(A1101,3),'Table corresp.'!$A$4:$D$63,3,FALSE)</f>
        <v>Importation</v>
      </c>
      <c r="C1101" t="str">
        <f>VLOOKUP(A1101,'Table corresp.'!$M$4:$P$63,4,FALSE)</f>
        <v>Importation</v>
      </c>
      <c r="D1101" t="s">
        <v>89</v>
      </c>
      <c r="E1101" t="str">
        <f>VLOOKUP(LEFT(D1101,3),'Table corresp.'!$A$4:$D$63,4,FALSE)</f>
        <v>Transformation</v>
      </c>
      <c r="F1101" t="str">
        <f t="shared" si="132"/>
        <v xml:space="preserve">Imp - 33 </v>
      </c>
      <c r="G1101" s="164">
        <v>0</v>
      </c>
      <c r="H1101" s="164">
        <v>116647.78000000003</v>
      </c>
      <c r="I1101" s="164">
        <v>116647.78000000003</v>
      </c>
      <c r="J1101" s="164">
        <v>0</v>
      </c>
      <c r="K1101" s="164">
        <v>42.35095622291751</v>
      </c>
      <c r="L1101" s="164">
        <v>42.35095622291751</v>
      </c>
      <c r="M1101" s="164">
        <v>0</v>
      </c>
      <c r="N1101" s="164">
        <v>28.839522105198501</v>
      </c>
      <c r="O1101" s="164">
        <v>28.839522105198501</v>
      </c>
      <c r="P1101" s="164">
        <v>0</v>
      </c>
      <c r="Q1101" s="164">
        <v>8.996254591238479</v>
      </c>
      <c r="R1101" s="164">
        <v>8.996254591238479</v>
      </c>
      <c r="S1101" s="163" t="str">
        <f t="shared" si="133"/>
        <v>BI</v>
      </c>
      <c r="T1101" s="163">
        <f>VLOOKUP(A1101,'Groupe de branches'!$Z$27:$AM$86,14,FALSE)</f>
        <v>0</v>
      </c>
      <c r="U1101" s="163">
        <f>VLOOKUP(D1101,'Groupe de branches'!$Z$27:$AM$86,14,FALSE)</f>
        <v>0</v>
      </c>
      <c r="V1101" s="163">
        <v>2018</v>
      </c>
      <c r="W1101" t="str">
        <f>VLOOKUP(D1101,'Table corresp.'!$M$4:$S$63,7,FALSE)</f>
        <v>Construction</v>
      </c>
      <c r="X1101" s="167">
        <f>IFERROR(G1101/SUMIFS('Comp2016-2017 (3)'!$I$5:$I$289,'Comp2016-2017 (3)'!$A$5:$A$289,A1101,'Comp2016-2017 (3)'!$R$5:$R$289,V1101),0)</f>
        <v>0</v>
      </c>
      <c r="Y1101" s="178">
        <f>IFERROR(IF(RIGHT(F1101,3)="Exp",VLOOKUP(F1101,#REF!,2,FALSE),VLOOKUP(F1101,#REF!,9,FALSE)),0)</f>
        <v>0</v>
      </c>
      <c r="Z1101" s="167">
        <f t="shared" si="136"/>
        <v>0</v>
      </c>
      <c r="AA1101" s="189">
        <f t="shared" si="138"/>
        <v>0</v>
      </c>
      <c r="AB1101" s="2">
        <f>IFERROR(SUMIFS('Comp2016-2017 (3)'!$G$5:$G$289,'Comp2016-2017 (3)'!$A$5:$A$289,A1101,'Comp2016-2017 (3)'!$R$5:$R$289,V1101)*AA1101/SUMIFS($AA$4:$AA$1116,$A$4:$A$1116,A1101,$V$4:$V$1116,V1101),0)</f>
        <v>0</v>
      </c>
      <c r="AC1101" s="2" t="str">
        <f>IF($W1101=AC$3,$AB1101,IF(NOT($W1101=0),"",SUMIFS('Val-Vol (2)'!AC$4:AC$1116,'Val-Vol (2)'!$A$4:$A$1116,$D1101,'Val-Vol (2)'!$V$4:$V$1116,$V1101)/SUMIFS('Comp2016-2017 (3)'!$G$5:$G$289,'Comp2016-2017 (3)'!$A$5:$A$289,$D1101,'Comp2016-2017 (3)'!$R$5:$R$289,$V1101)*$AB1101))</f>
        <v/>
      </c>
      <c r="AD1101" s="2">
        <f>IF($W1101=AD$3,$AB1101,IF(NOT($W1101=0),"",SUMIFS('Val-Vol (2)'!AD$4:AD$1116,'Val-Vol (2)'!$A$4:$A$1116,$D1101,'Val-Vol (2)'!$V$4:$V$1116,$V1101)/SUMIFS('Comp2016-2017 (3)'!$G$5:$G$289,'Comp2016-2017 (3)'!$A$5:$A$289,$D1101,'Comp2016-2017 (3)'!$R$5:$R$289,$V1101)*$AB1101))</f>
        <v>0</v>
      </c>
      <c r="AE1101" s="2" t="str">
        <f>IF($W1101=AE$3,$AB1101,IF(NOT($W1101=0),"",SUMIFS('Val-Vol (2)'!AE$4:AE$1116,'Val-Vol (2)'!$A$4:$A$1116,$D1101,'Val-Vol (2)'!$V$4:$V$1116,$V1101)/SUMIFS('Comp2016-2017 (3)'!$G$5:$G$289,'Comp2016-2017 (3)'!$A$5:$A$289,$D1101,'Comp2016-2017 (3)'!$R$5:$R$289,$V1101)*$AB1101))</f>
        <v/>
      </c>
      <c r="AF1101" s="2" t="str">
        <f>IF($W1101=AF$3,$AB1101,IF(NOT($W1101=0),"",SUMIFS('Val-Vol (2)'!AF$4:AF$1116,'Val-Vol (2)'!$A$4:$A$1116,$D1101,'Val-Vol (2)'!$V$4:$V$1116,$V1101)/SUMIFS('Comp2016-2017 (3)'!$G$5:$G$289,'Comp2016-2017 (3)'!$A$5:$A$289,$D1101,'Comp2016-2017 (3)'!$R$5:$R$289,$V1101)*$AB1101))</f>
        <v/>
      </c>
      <c r="AG1101" s="2" t="str">
        <f>IF($W1101=AG$3,$AB1101,IF(NOT($W1101=0),"",SUMIFS('Val-Vol (2)'!AG$4:AG$1116,'Val-Vol (2)'!$A$4:$A$1116,$D1101,'Val-Vol (2)'!$V$4:$V$1116,$V1101)/SUMIFS('Comp2016-2017 (3)'!$G$5:$G$289,'Comp2016-2017 (3)'!$A$5:$A$289,$D1101,'Comp2016-2017 (3)'!$R$5:$R$289,$V1101)*$AB1101))</f>
        <v/>
      </c>
      <c r="AH1101" s="2" t="str">
        <f>IF($W1101=AH$3,$AB1101,IF(NOT($W1101=0),"",SUMIFS('Val-Vol (2)'!AH$4:AH$1116,'Val-Vol (2)'!$A$4:$A$1116,$D1101,'Val-Vol (2)'!$V$4:$V$1116,$V1101)/SUMIFS('Comp2016-2017 (3)'!$G$5:$G$289,'Comp2016-2017 (3)'!$A$5:$A$289,$D1101,'Comp2016-2017 (3)'!$R$5:$R$289,$V1101)*$AB1101))</f>
        <v/>
      </c>
      <c r="AI1101" s="2" t="str">
        <f>IF($W1101=AI$3,$AB1101,IF(NOT($W1101=0),"",SUMIFS('Val-Vol (2)'!AI$4:AI$1116,'Val-Vol (2)'!$A$4:$A$1116,$D1101,'Val-Vol (2)'!$V$4:$V$1116,$V1101)/SUMIFS('Comp2016-2017 (3)'!$G$5:$G$289,'Comp2016-2017 (3)'!$A$5:$A$289,$D1101,'Comp2016-2017 (3)'!$R$5:$R$289,$V1101)*$AB1101))</f>
        <v/>
      </c>
      <c r="AJ1101" s="2" t="str">
        <f>IF($W1101=AJ$3,$AB1101,IF(NOT($W1101=0),"",SUMIFS('Val-Vol (2)'!AJ$4:AJ$1116,'Val-Vol (2)'!$A$4:$A$1116,$D1101,'Val-Vol (2)'!$V$4:$V$1116,$V1101)/SUMIFS('Comp2016-2017 (3)'!$G$5:$G$289,'Comp2016-2017 (3)'!$A$5:$A$289,$D1101,'Comp2016-2017 (3)'!$R$5:$R$289,$V1101)*$AB1101))</f>
        <v/>
      </c>
      <c r="AK1101" s="2">
        <f t="shared" si="139"/>
        <v>0</v>
      </c>
      <c r="AL1101" t="str">
        <f t="shared" si="137"/>
        <v/>
      </c>
      <c r="AM1101" t="str">
        <f>VLOOKUP(A1101,'Table corresp.'!$M$4:$U$63,8,FALSE)</f>
        <v>Importation</v>
      </c>
      <c r="AN1101" t="str">
        <f>VLOOKUP(D1101,'Table corresp.'!$M$4:$U$63,9,FALSE)</f>
        <v>Production finale</v>
      </c>
    </row>
    <row r="1102" spans="1:40" x14ac:dyDescent="0.25">
      <c r="A1102" t="s">
        <v>52</v>
      </c>
      <c r="B1102" t="str">
        <f>VLOOKUP(LEFT(A1102,3),'Table corresp.'!$A$4:$D$63,3,FALSE)</f>
        <v>Importation</v>
      </c>
      <c r="C1102" t="str">
        <f>VLOOKUP(A1102,'Table corresp.'!$M$4:$P$63,4,FALSE)</f>
        <v>Importation</v>
      </c>
      <c r="D1102" t="s">
        <v>90</v>
      </c>
      <c r="E1102" t="str">
        <f>VLOOKUP(LEFT(D1102,3),'Table corresp.'!$A$4:$D$63,4,FALSE)</f>
        <v>Transformation</v>
      </c>
      <c r="F1102" t="str">
        <f t="shared" si="132"/>
        <v xml:space="preserve">Imp - 34 </v>
      </c>
      <c r="G1102" s="164">
        <v>0</v>
      </c>
      <c r="H1102" s="164">
        <v>175157.06199999995</v>
      </c>
      <c r="I1102" s="164">
        <v>175157.06199999995</v>
      </c>
      <c r="J1102" s="164">
        <v>0</v>
      </c>
      <c r="K1102" s="164">
        <v>266.72842891409204</v>
      </c>
      <c r="L1102" s="164">
        <v>266.72842891409204</v>
      </c>
      <c r="M1102" s="164">
        <v>0</v>
      </c>
      <c r="N1102" s="164">
        <v>28.313874960380783</v>
      </c>
      <c r="O1102" s="164">
        <v>28.313874960380783</v>
      </c>
      <c r="P1102" s="164">
        <v>0</v>
      </c>
      <c r="Q1102" s="164">
        <v>5.9418858392864546</v>
      </c>
      <c r="R1102" s="164">
        <v>5.9418858392864546</v>
      </c>
      <c r="S1102" s="163" t="str">
        <f t="shared" si="133"/>
        <v>BI</v>
      </c>
      <c r="T1102" s="163">
        <f>VLOOKUP(A1102,'Groupe de branches'!$Z$27:$AM$86,14,FALSE)</f>
        <v>0</v>
      </c>
      <c r="U1102" s="163">
        <f>VLOOKUP(D1102,'Groupe de branches'!$Z$27:$AM$86,14,FALSE)</f>
        <v>0</v>
      </c>
      <c r="V1102" s="163">
        <v>2018</v>
      </c>
      <c r="W1102" t="str">
        <f>VLOOKUP(D1102,'Table corresp.'!$M$4:$S$63,7,FALSE)</f>
        <v>Construction</v>
      </c>
      <c r="X1102" s="167">
        <f>IFERROR(G1102/SUMIFS('Comp2016-2017 (3)'!$I$5:$I$289,'Comp2016-2017 (3)'!$A$5:$A$289,A1102,'Comp2016-2017 (3)'!$R$5:$R$289,V1102),0)</f>
        <v>0</v>
      </c>
      <c r="Y1102" s="178">
        <f>IFERROR(IF(RIGHT(F1102,3)="Exp",VLOOKUP(F1102,#REF!,2,FALSE),VLOOKUP(F1102,#REF!,9,FALSE)),0)</f>
        <v>0</v>
      </c>
      <c r="Z1102" s="167">
        <f t="shared" si="136"/>
        <v>0</v>
      </c>
      <c r="AA1102" s="189">
        <f t="shared" si="138"/>
        <v>0</v>
      </c>
      <c r="AB1102" s="2">
        <f>IFERROR(SUMIFS('Comp2016-2017 (3)'!$G$5:$G$289,'Comp2016-2017 (3)'!$A$5:$A$289,A1102,'Comp2016-2017 (3)'!$R$5:$R$289,V1102)*AA1102/SUMIFS($AA$4:$AA$1116,$A$4:$A$1116,A1102,$V$4:$V$1116,V1102),0)</f>
        <v>0</v>
      </c>
      <c r="AC1102" s="2" t="str">
        <f>IF($W1102=AC$3,$AB1102,IF(NOT($W1102=0),"",SUMIFS('Val-Vol (2)'!AC$4:AC$1116,'Val-Vol (2)'!$A$4:$A$1116,$D1102,'Val-Vol (2)'!$V$4:$V$1116,$V1102)/SUMIFS('Comp2016-2017 (3)'!$G$5:$G$289,'Comp2016-2017 (3)'!$A$5:$A$289,$D1102,'Comp2016-2017 (3)'!$R$5:$R$289,$V1102)*$AB1102))</f>
        <v/>
      </c>
      <c r="AD1102" s="2">
        <f>IF($W1102=AD$3,$AB1102,IF(NOT($W1102=0),"",SUMIFS('Val-Vol (2)'!AD$4:AD$1116,'Val-Vol (2)'!$A$4:$A$1116,$D1102,'Val-Vol (2)'!$V$4:$V$1116,$V1102)/SUMIFS('Comp2016-2017 (3)'!$G$5:$G$289,'Comp2016-2017 (3)'!$A$5:$A$289,$D1102,'Comp2016-2017 (3)'!$R$5:$R$289,$V1102)*$AB1102))</f>
        <v>0</v>
      </c>
      <c r="AE1102" s="2" t="str">
        <f>IF($W1102=AE$3,$AB1102,IF(NOT($W1102=0),"",SUMIFS('Val-Vol (2)'!AE$4:AE$1116,'Val-Vol (2)'!$A$4:$A$1116,$D1102,'Val-Vol (2)'!$V$4:$V$1116,$V1102)/SUMIFS('Comp2016-2017 (3)'!$G$5:$G$289,'Comp2016-2017 (3)'!$A$5:$A$289,$D1102,'Comp2016-2017 (3)'!$R$5:$R$289,$V1102)*$AB1102))</f>
        <v/>
      </c>
      <c r="AF1102" s="2" t="str">
        <f>IF($W1102=AF$3,$AB1102,IF(NOT($W1102=0),"",SUMIFS('Val-Vol (2)'!AF$4:AF$1116,'Val-Vol (2)'!$A$4:$A$1116,$D1102,'Val-Vol (2)'!$V$4:$V$1116,$V1102)/SUMIFS('Comp2016-2017 (3)'!$G$5:$G$289,'Comp2016-2017 (3)'!$A$5:$A$289,$D1102,'Comp2016-2017 (3)'!$R$5:$R$289,$V1102)*$AB1102))</f>
        <v/>
      </c>
      <c r="AG1102" s="2" t="str">
        <f>IF($W1102=AG$3,$AB1102,IF(NOT($W1102=0),"",SUMIFS('Val-Vol (2)'!AG$4:AG$1116,'Val-Vol (2)'!$A$4:$A$1116,$D1102,'Val-Vol (2)'!$V$4:$V$1116,$V1102)/SUMIFS('Comp2016-2017 (3)'!$G$5:$G$289,'Comp2016-2017 (3)'!$A$5:$A$289,$D1102,'Comp2016-2017 (3)'!$R$5:$R$289,$V1102)*$AB1102))</f>
        <v/>
      </c>
      <c r="AH1102" s="2" t="str">
        <f>IF($W1102=AH$3,$AB1102,IF(NOT($W1102=0),"",SUMIFS('Val-Vol (2)'!AH$4:AH$1116,'Val-Vol (2)'!$A$4:$A$1116,$D1102,'Val-Vol (2)'!$V$4:$V$1116,$V1102)/SUMIFS('Comp2016-2017 (3)'!$G$5:$G$289,'Comp2016-2017 (3)'!$A$5:$A$289,$D1102,'Comp2016-2017 (3)'!$R$5:$R$289,$V1102)*$AB1102))</f>
        <v/>
      </c>
      <c r="AI1102" s="2" t="str">
        <f>IF($W1102=AI$3,$AB1102,IF(NOT($W1102=0),"",SUMIFS('Val-Vol (2)'!AI$4:AI$1116,'Val-Vol (2)'!$A$4:$A$1116,$D1102,'Val-Vol (2)'!$V$4:$V$1116,$V1102)/SUMIFS('Comp2016-2017 (3)'!$G$5:$G$289,'Comp2016-2017 (3)'!$A$5:$A$289,$D1102,'Comp2016-2017 (3)'!$R$5:$R$289,$V1102)*$AB1102))</f>
        <v/>
      </c>
      <c r="AJ1102" s="2" t="str">
        <f>IF($W1102=AJ$3,$AB1102,IF(NOT($W1102=0),"",SUMIFS('Val-Vol (2)'!AJ$4:AJ$1116,'Val-Vol (2)'!$A$4:$A$1116,$D1102,'Val-Vol (2)'!$V$4:$V$1116,$V1102)/SUMIFS('Comp2016-2017 (3)'!$G$5:$G$289,'Comp2016-2017 (3)'!$A$5:$A$289,$D1102,'Comp2016-2017 (3)'!$R$5:$R$289,$V1102)*$AB1102))</f>
        <v/>
      </c>
      <c r="AK1102" s="2">
        <f t="shared" si="139"/>
        <v>0</v>
      </c>
      <c r="AL1102" t="str">
        <f t="shared" si="137"/>
        <v/>
      </c>
      <c r="AM1102" t="str">
        <f>VLOOKUP(A1102,'Table corresp.'!$M$4:$U$63,8,FALSE)</f>
        <v>Importation</v>
      </c>
      <c r="AN1102" t="str">
        <f>VLOOKUP(D1102,'Table corresp.'!$M$4:$U$63,9,FALSE)</f>
        <v>Production finale</v>
      </c>
    </row>
    <row r="1103" spans="1:40" x14ac:dyDescent="0.25">
      <c r="A1103" t="s">
        <v>52</v>
      </c>
      <c r="B1103" t="str">
        <f>VLOOKUP(LEFT(A1103,3),'Table corresp.'!$A$4:$D$63,3,FALSE)</f>
        <v>Importation</v>
      </c>
      <c r="C1103" t="str">
        <f>VLOOKUP(A1103,'Table corresp.'!$M$4:$P$63,4,FALSE)</f>
        <v>Importation</v>
      </c>
      <c r="D1103" t="s">
        <v>15</v>
      </c>
      <c r="E1103" t="str">
        <f>VLOOKUP(LEFT(D1103,3),'Table corresp.'!$A$4:$D$63,4,FALSE)</f>
        <v>Transformation</v>
      </c>
      <c r="F1103" t="str">
        <f t="shared" si="132"/>
        <v xml:space="preserve">Imp - 35 </v>
      </c>
      <c r="G1103" s="164">
        <v>0</v>
      </c>
      <c r="H1103" s="164">
        <v>71781.737999999998</v>
      </c>
      <c r="I1103" s="164">
        <v>71781.737999999998</v>
      </c>
      <c r="J1103" s="164">
        <v>0</v>
      </c>
      <c r="K1103" s="164">
        <v>102.81282959163664</v>
      </c>
      <c r="L1103" s="164">
        <v>102.81282959163664</v>
      </c>
      <c r="M1103" s="164">
        <v>0</v>
      </c>
      <c r="N1103" s="164">
        <v>3.8517757602640139</v>
      </c>
      <c r="O1103" s="164">
        <v>3.8517757602640139</v>
      </c>
      <c r="P1103" s="164">
        <v>0</v>
      </c>
      <c r="Q1103" s="164">
        <v>1.7521945311731706</v>
      </c>
      <c r="R1103" s="164">
        <v>1.7521945311731706</v>
      </c>
      <c r="S1103" s="163" t="str">
        <f t="shared" si="133"/>
        <v>BI</v>
      </c>
      <c r="T1103" s="163">
        <f>VLOOKUP(A1103,'Groupe de branches'!$Z$27:$AM$86,14,FALSE)</f>
        <v>0</v>
      </c>
      <c r="U1103" s="163">
        <f>VLOOKUP(D1103,'Groupe de branches'!$Z$27:$AM$86,14,FALSE)</f>
        <v>0</v>
      </c>
      <c r="V1103" s="163">
        <v>2018</v>
      </c>
      <c r="W1103" t="str">
        <f>VLOOKUP(D1103,'Table corresp.'!$M$4:$S$63,7,FALSE)</f>
        <v>Construction</v>
      </c>
      <c r="X1103" s="167">
        <f>IFERROR(G1103/SUMIFS('Comp2016-2017 (3)'!$I$5:$I$289,'Comp2016-2017 (3)'!$A$5:$A$289,A1103,'Comp2016-2017 (3)'!$R$5:$R$289,V1103),0)</f>
        <v>0</v>
      </c>
      <c r="Y1103" s="178">
        <f>IFERROR(IF(RIGHT(F1103,3)="Exp",VLOOKUP(F1103,#REF!,2,FALSE),VLOOKUP(F1103,#REF!,9,FALSE)),0)</f>
        <v>0</v>
      </c>
      <c r="Z1103" s="167">
        <f t="shared" si="136"/>
        <v>0</v>
      </c>
      <c r="AA1103" s="189">
        <f t="shared" si="138"/>
        <v>0</v>
      </c>
      <c r="AB1103" s="2">
        <f>IFERROR(SUMIFS('Comp2016-2017 (3)'!$G$5:$G$289,'Comp2016-2017 (3)'!$A$5:$A$289,A1103,'Comp2016-2017 (3)'!$R$5:$R$289,V1103)*AA1103/SUMIFS($AA$4:$AA$1116,$A$4:$A$1116,A1103,$V$4:$V$1116,V1103),0)</f>
        <v>0</v>
      </c>
      <c r="AC1103" s="2" t="str">
        <f>IF($W1103=AC$3,$AB1103,IF(NOT($W1103=0),"",SUMIFS('Val-Vol (2)'!AC$4:AC$1116,'Val-Vol (2)'!$A$4:$A$1116,$D1103,'Val-Vol (2)'!$V$4:$V$1116,$V1103)/SUMIFS('Comp2016-2017 (3)'!$G$5:$G$289,'Comp2016-2017 (3)'!$A$5:$A$289,$D1103,'Comp2016-2017 (3)'!$R$5:$R$289,$V1103)*$AB1103))</f>
        <v/>
      </c>
      <c r="AD1103" s="2">
        <f>IF($W1103=AD$3,$AB1103,IF(NOT($W1103=0),"",SUMIFS('Val-Vol (2)'!AD$4:AD$1116,'Val-Vol (2)'!$A$4:$A$1116,$D1103,'Val-Vol (2)'!$V$4:$V$1116,$V1103)/SUMIFS('Comp2016-2017 (3)'!$G$5:$G$289,'Comp2016-2017 (3)'!$A$5:$A$289,$D1103,'Comp2016-2017 (3)'!$R$5:$R$289,$V1103)*$AB1103))</f>
        <v>0</v>
      </c>
      <c r="AE1103" s="2" t="str">
        <f>IF($W1103=AE$3,$AB1103,IF(NOT($W1103=0),"",SUMIFS('Val-Vol (2)'!AE$4:AE$1116,'Val-Vol (2)'!$A$4:$A$1116,$D1103,'Val-Vol (2)'!$V$4:$V$1116,$V1103)/SUMIFS('Comp2016-2017 (3)'!$G$5:$G$289,'Comp2016-2017 (3)'!$A$5:$A$289,$D1103,'Comp2016-2017 (3)'!$R$5:$R$289,$V1103)*$AB1103))</f>
        <v/>
      </c>
      <c r="AF1103" s="2" t="str">
        <f>IF($W1103=AF$3,$AB1103,IF(NOT($W1103=0),"",SUMIFS('Val-Vol (2)'!AF$4:AF$1116,'Val-Vol (2)'!$A$4:$A$1116,$D1103,'Val-Vol (2)'!$V$4:$V$1116,$V1103)/SUMIFS('Comp2016-2017 (3)'!$G$5:$G$289,'Comp2016-2017 (3)'!$A$5:$A$289,$D1103,'Comp2016-2017 (3)'!$R$5:$R$289,$V1103)*$AB1103))</f>
        <v/>
      </c>
      <c r="AG1103" s="2" t="str">
        <f>IF($W1103=AG$3,$AB1103,IF(NOT($W1103=0),"",SUMIFS('Val-Vol (2)'!AG$4:AG$1116,'Val-Vol (2)'!$A$4:$A$1116,$D1103,'Val-Vol (2)'!$V$4:$V$1116,$V1103)/SUMIFS('Comp2016-2017 (3)'!$G$5:$G$289,'Comp2016-2017 (3)'!$A$5:$A$289,$D1103,'Comp2016-2017 (3)'!$R$5:$R$289,$V1103)*$AB1103))</f>
        <v/>
      </c>
      <c r="AH1103" s="2" t="str">
        <f>IF($W1103=AH$3,$AB1103,IF(NOT($W1103=0),"",SUMIFS('Val-Vol (2)'!AH$4:AH$1116,'Val-Vol (2)'!$A$4:$A$1116,$D1103,'Val-Vol (2)'!$V$4:$V$1116,$V1103)/SUMIFS('Comp2016-2017 (3)'!$G$5:$G$289,'Comp2016-2017 (3)'!$A$5:$A$289,$D1103,'Comp2016-2017 (3)'!$R$5:$R$289,$V1103)*$AB1103))</f>
        <v/>
      </c>
      <c r="AI1103" s="2" t="str">
        <f>IF($W1103=AI$3,$AB1103,IF(NOT($W1103=0),"",SUMIFS('Val-Vol (2)'!AI$4:AI$1116,'Val-Vol (2)'!$A$4:$A$1116,$D1103,'Val-Vol (2)'!$V$4:$V$1116,$V1103)/SUMIFS('Comp2016-2017 (3)'!$G$5:$G$289,'Comp2016-2017 (3)'!$A$5:$A$289,$D1103,'Comp2016-2017 (3)'!$R$5:$R$289,$V1103)*$AB1103))</f>
        <v/>
      </c>
      <c r="AJ1103" s="2" t="str">
        <f>IF($W1103=AJ$3,$AB1103,IF(NOT($W1103=0),"",SUMIFS('Val-Vol (2)'!AJ$4:AJ$1116,'Val-Vol (2)'!$A$4:$A$1116,$D1103,'Val-Vol (2)'!$V$4:$V$1116,$V1103)/SUMIFS('Comp2016-2017 (3)'!$G$5:$G$289,'Comp2016-2017 (3)'!$A$5:$A$289,$D1103,'Comp2016-2017 (3)'!$R$5:$R$289,$V1103)*$AB1103))</f>
        <v/>
      </c>
      <c r="AK1103" s="2">
        <f t="shared" si="139"/>
        <v>0</v>
      </c>
      <c r="AL1103" t="str">
        <f t="shared" si="137"/>
        <v/>
      </c>
      <c r="AM1103" t="str">
        <f>VLOOKUP(A1103,'Table corresp.'!$M$4:$U$63,8,FALSE)</f>
        <v>Importation</v>
      </c>
      <c r="AN1103" t="str">
        <f>VLOOKUP(D1103,'Table corresp.'!$M$4:$U$63,9,FALSE)</f>
        <v>Production finale</v>
      </c>
    </row>
    <row r="1104" spans="1:40" x14ac:dyDescent="0.25">
      <c r="A1104" t="s">
        <v>52</v>
      </c>
      <c r="B1104" t="str">
        <f>VLOOKUP(LEFT(A1104,3),'Table corresp.'!$A$4:$D$63,3,FALSE)</f>
        <v>Importation</v>
      </c>
      <c r="C1104" t="str">
        <f>VLOOKUP(A1104,'Table corresp.'!$M$4:$P$63,4,FALSE)</f>
        <v>Importation</v>
      </c>
      <c r="D1104" t="s">
        <v>16</v>
      </c>
      <c r="E1104" t="str">
        <f>VLOOKUP(LEFT(D1104,3),'Table corresp.'!$A$4:$D$63,4,FALSE)</f>
        <v>Transformation</v>
      </c>
      <c r="F1104" t="str">
        <f t="shared" si="132"/>
        <v xml:space="preserve">Imp - 36 </v>
      </c>
      <c r="G1104" s="164">
        <v>0</v>
      </c>
      <c r="H1104" s="164">
        <v>98513.316999999995</v>
      </c>
      <c r="I1104" s="164">
        <v>98513.316999999995</v>
      </c>
      <c r="J1104" s="164">
        <v>0</v>
      </c>
      <c r="K1104" s="164">
        <v>55.269647893470086</v>
      </c>
      <c r="L1104" s="164">
        <v>55.269647893470086</v>
      </c>
      <c r="M1104" s="164">
        <v>0</v>
      </c>
      <c r="N1104" s="164">
        <v>33.395871199058547</v>
      </c>
      <c r="O1104" s="164">
        <v>33.395871199058547</v>
      </c>
      <c r="P1104" s="164">
        <v>0</v>
      </c>
      <c r="Q1104" s="164">
        <v>14.125856529501409</v>
      </c>
      <c r="R1104" s="164">
        <v>14.125856529501409</v>
      </c>
      <c r="S1104" s="163" t="str">
        <f t="shared" si="133"/>
        <v>BI</v>
      </c>
      <c r="T1104" s="163">
        <f>VLOOKUP(A1104,'Groupe de branches'!$Z$27:$AM$86,14,FALSE)</f>
        <v>0</v>
      </c>
      <c r="U1104" s="163">
        <f>VLOOKUP(D1104,'Groupe de branches'!$Z$27:$AM$86,14,FALSE)</f>
        <v>0</v>
      </c>
      <c r="V1104" s="163">
        <v>2018</v>
      </c>
      <c r="W1104" t="str">
        <f>VLOOKUP(D1104,'Table corresp.'!$M$4:$S$63,7,FALSE)</f>
        <v>Construction</v>
      </c>
      <c r="X1104" s="167">
        <f>IFERROR(G1104/SUMIFS('Comp2016-2017 (3)'!$I$5:$I$289,'Comp2016-2017 (3)'!$A$5:$A$289,A1104,'Comp2016-2017 (3)'!$R$5:$R$289,V1104),0)</f>
        <v>0</v>
      </c>
      <c r="Y1104" s="178">
        <f>IFERROR(IF(RIGHT(F1104,3)="Exp",VLOOKUP(F1104,#REF!,2,FALSE),VLOOKUP(F1104,#REF!,9,FALSE)),0)</f>
        <v>0</v>
      </c>
      <c r="Z1104" s="167">
        <f t="shared" si="136"/>
        <v>0</v>
      </c>
      <c r="AA1104" s="189">
        <f t="shared" si="138"/>
        <v>0</v>
      </c>
      <c r="AB1104" s="2">
        <f>IFERROR(SUMIFS('Comp2016-2017 (3)'!$G$5:$G$289,'Comp2016-2017 (3)'!$A$5:$A$289,A1104,'Comp2016-2017 (3)'!$R$5:$R$289,V1104)*AA1104/SUMIFS($AA$4:$AA$1116,$A$4:$A$1116,A1104,$V$4:$V$1116,V1104),0)</f>
        <v>0</v>
      </c>
      <c r="AC1104" s="2" t="str">
        <f>IF($W1104=AC$3,$AB1104,IF(NOT($W1104=0),"",SUMIFS('Val-Vol (2)'!AC$4:AC$1116,'Val-Vol (2)'!$A$4:$A$1116,$D1104,'Val-Vol (2)'!$V$4:$V$1116,$V1104)/SUMIFS('Comp2016-2017 (3)'!$G$5:$G$289,'Comp2016-2017 (3)'!$A$5:$A$289,$D1104,'Comp2016-2017 (3)'!$R$5:$R$289,$V1104)*$AB1104))</f>
        <v/>
      </c>
      <c r="AD1104" s="2">
        <f>IF($W1104=AD$3,$AB1104,IF(NOT($W1104=0),"",SUMIFS('Val-Vol (2)'!AD$4:AD$1116,'Val-Vol (2)'!$A$4:$A$1116,$D1104,'Val-Vol (2)'!$V$4:$V$1116,$V1104)/SUMIFS('Comp2016-2017 (3)'!$G$5:$G$289,'Comp2016-2017 (3)'!$A$5:$A$289,$D1104,'Comp2016-2017 (3)'!$R$5:$R$289,$V1104)*$AB1104))</f>
        <v>0</v>
      </c>
      <c r="AE1104" s="2" t="str">
        <f>IF($W1104=AE$3,$AB1104,IF(NOT($W1104=0),"",SUMIFS('Val-Vol (2)'!AE$4:AE$1116,'Val-Vol (2)'!$A$4:$A$1116,$D1104,'Val-Vol (2)'!$V$4:$V$1116,$V1104)/SUMIFS('Comp2016-2017 (3)'!$G$5:$G$289,'Comp2016-2017 (3)'!$A$5:$A$289,$D1104,'Comp2016-2017 (3)'!$R$5:$R$289,$V1104)*$AB1104))</f>
        <v/>
      </c>
      <c r="AF1104" s="2" t="str">
        <f>IF($W1104=AF$3,$AB1104,IF(NOT($W1104=0),"",SUMIFS('Val-Vol (2)'!AF$4:AF$1116,'Val-Vol (2)'!$A$4:$A$1116,$D1104,'Val-Vol (2)'!$V$4:$V$1116,$V1104)/SUMIFS('Comp2016-2017 (3)'!$G$5:$G$289,'Comp2016-2017 (3)'!$A$5:$A$289,$D1104,'Comp2016-2017 (3)'!$R$5:$R$289,$V1104)*$AB1104))</f>
        <v/>
      </c>
      <c r="AG1104" s="2" t="str">
        <f>IF($W1104=AG$3,$AB1104,IF(NOT($W1104=0),"",SUMIFS('Val-Vol (2)'!AG$4:AG$1116,'Val-Vol (2)'!$A$4:$A$1116,$D1104,'Val-Vol (2)'!$V$4:$V$1116,$V1104)/SUMIFS('Comp2016-2017 (3)'!$G$5:$G$289,'Comp2016-2017 (3)'!$A$5:$A$289,$D1104,'Comp2016-2017 (3)'!$R$5:$R$289,$V1104)*$AB1104))</f>
        <v/>
      </c>
      <c r="AH1104" s="2" t="str">
        <f>IF($W1104=AH$3,$AB1104,IF(NOT($W1104=0),"",SUMIFS('Val-Vol (2)'!AH$4:AH$1116,'Val-Vol (2)'!$A$4:$A$1116,$D1104,'Val-Vol (2)'!$V$4:$V$1116,$V1104)/SUMIFS('Comp2016-2017 (3)'!$G$5:$G$289,'Comp2016-2017 (3)'!$A$5:$A$289,$D1104,'Comp2016-2017 (3)'!$R$5:$R$289,$V1104)*$AB1104))</f>
        <v/>
      </c>
      <c r="AI1104" s="2" t="str">
        <f>IF($W1104=AI$3,$AB1104,IF(NOT($W1104=0),"",SUMIFS('Val-Vol (2)'!AI$4:AI$1116,'Val-Vol (2)'!$A$4:$A$1116,$D1104,'Val-Vol (2)'!$V$4:$V$1116,$V1104)/SUMIFS('Comp2016-2017 (3)'!$G$5:$G$289,'Comp2016-2017 (3)'!$A$5:$A$289,$D1104,'Comp2016-2017 (3)'!$R$5:$R$289,$V1104)*$AB1104))</f>
        <v/>
      </c>
      <c r="AJ1104" s="2" t="str">
        <f>IF($W1104=AJ$3,$AB1104,IF(NOT($W1104=0),"",SUMIFS('Val-Vol (2)'!AJ$4:AJ$1116,'Val-Vol (2)'!$A$4:$A$1116,$D1104,'Val-Vol (2)'!$V$4:$V$1116,$V1104)/SUMIFS('Comp2016-2017 (3)'!$G$5:$G$289,'Comp2016-2017 (3)'!$A$5:$A$289,$D1104,'Comp2016-2017 (3)'!$R$5:$R$289,$V1104)*$AB1104))</f>
        <v/>
      </c>
      <c r="AK1104" s="2">
        <f t="shared" si="139"/>
        <v>0</v>
      </c>
      <c r="AL1104" t="str">
        <f t="shared" si="137"/>
        <v/>
      </c>
      <c r="AM1104" t="str">
        <f>VLOOKUP(A1104,'Table corresp.'!$M$4:$U$63,8,FALSE)</f>
        <v>Importation</v>
      </c>
      <c r="AN1104" t="str">
        <f>VLOOKUP(D1104,'Table corresp.'!$M$4:$U$63,9,FALSE)</f>
        <v>Production finale</v>
      </c>
    </row>
    <row r="1105" spans="1:40" x14ac:dyDescent="0.25">
      <c r="A1105" t="s">
        <v>52</v>
      </c>
      <c r="B1105" t="str">
        <f>VLOOKUP(LEFT(A1105,3),'Table corresp.'!$A$4:$D$63,3,FALSE)</f>
        <v>Importation</v>
      </c>
      <c r="C1105" t="str">
        <f>VLOOKUP(A1105,'Table corresp.'!$M$4:$P$63,4,FALSE)</f>
        <v>Importation</v>
      </c>
      <c r="D1105" t="s">
        <v>91</v>
      </c>
      <c r="E1105" t="str">
        <f>VLOOKUP(LEFT(D1105,3),'Table corresp.'!$A$4:$D$63,4,FALSE)</f>
        <v>Transformation</v>
      </c>
      <c r="F1105" t="str">
        <f t="shared" si="132"/>
        <v xml:space="preserve">Imp - 37 </v>
      </c>
      <c r="G1105" s="164">
        <v>0</v>
      </c>
      <c r="H1105" s="164">
        <v>250298.13299999994</v>
      </c>
      <c r="I1105" s="164">
        <v>250298.13299999994</v>
      </c>
      <c r="J1105" s="164">
        <v>0</v>
      </c>
      <c r="K1105" s="164">
        <v>1116.1975229306504</v>
      </c>
      <c r="L1105" s="164">
        <v>1116.1975229306504</v>
      </c>
      <c r="M1105" s="164">
        <v>0</v>
      </c>
      <c r="N1105" s="164">
        <v>100.12197739544523</v>
      </c>
      <c r="O1105" s="164">
        <v>100.12197739544523</v>
      </c>
      <c r="P1105" s="164">
        <v>0</v>
      </c>
      <c r="Q1105" s="164">
        <v>5.9607641822499149E-4</v>
      </c>
      <c r="R1105" s="164">
        <v>5.9607641822499149E-4</v>
      </c>
      <c r="S1105" s="163" t="str">
        <f t="shared" si="133"/>
        <v/>
      </c>
      <c r="T1105" s="163">
        <f>VLOOKUP(A1105,'Groupe de branches'!$Z$27:$AM$86,14,FALSE)</f>
        <v>0</v>
      </c>
      <c r="U1105" s="163">
        <f>VLOOKUP(D1105,'Groupe de branches'!$Z$27:$AM$86,14,FALSE)</f>
        <v>0</v>
      </c>
      <c r="V1105" s="163">
        <v>2018</v>
      </c>
      <c r="W1105" t="str">
        <f>VLOOKUP(D1105,'Table corresp.'!$M$4:$S$63,7,FALSE)</f>
        <v>Emballage bois et carton</v>
      </c>
      <c r="X1105" s="167">
        <f>IFERROR(G1105/SUMIFS('Comp2016-2017 (3)'!$I$5:$I$289,'Comp2016-2017 (3)'!$A$5:$A$289,A1105,'Comp2016-2017 (3)'!$R$5:$R$289,V1105),0)</f>
        <v>0</v>
      </c>
      <c r="Y1105" s="178">
        <f>IFERROR(IF(RIGHT(F1105,3)="Exp",VLOOKUP(F1105,#REF!,2,FALSE),VLOOKUP(F1105,#REF!,9,FALSE)),0)</f>
        <v>0</v>
      </c>
      <c r="Z1105" s="167">
        <f t="shared" si="136"/>
        <v>0</v>
      </c>
      <c r="AA1105" s="189">
        <f t="shared" si="138"/>
        <v>0</v>
      </c>
      <c r="AB1105" s="2">
        <f>IFERROR(SUMIFS('Comp2016-2017 (3)'!$G$5:$G$289,'Comp2016-2017 (3)'!$A$5:$A$289,A1105,'Comp2016-2017 (3)'!$R$5:$R$289,V1105)*AA1105/SUMIFS($AA$4:$AA$1116,$A$4:$A$1116,A1105,$V$4:$V$1116,V1105),0)</f>
        <v>0</v>
      </c>
      <c r="AC1105" s="2" t="str">
        <f>IF($W1105=AC$3,$AB1105,IF(NOT($W1105=0),"",SUMIFS('Val-Vol (2)'!AC$4:AC$1116,'Val-Vol (2)'!$A$4:$A$1116,$D1105,'Val-Vol (2)'!$V$4:$V$1116,$V1105)/SUMIFS('Comp2016-2017 (3)'!$G$5:$G$289,'Comp2016-2017 (3)'!$A$5:$A$289,$D1105,'Comp2016-2017 (3)'!$R$5:$R$289,$V1105)*$AB1105))</f>
        <v/>
      </c>
      <c r="AD1105" s="2" t="str">
        <f>IF($W1105=AD$3,$AB1105,IF(NOT($W1105=0),"",SUMIFS('Val-Vol (2)'!AD$4:AD$1116,'Val-Vol (2)'!$A$4:$A$1116,$D1105,'Val-Vol (2)'!$V$4:$V$1116,$V1105)/SUMIFS('Comp2016-2017 (3)'!$G$5:$G$289,'Comp2016-2017 (3)'!$A$5:$A$289,$D1105,'Comp2016-2017 (3)'!$R$5:$R$289,$V1105)*$AB1105))</f>
        <v/>
      </c>
      <c r="AE1105" s="2" t="str">
        <f>IF($W1105=AE$3,$AB1105,IF(NOT($W1105=0),"",SUMIFS('Val-Vol (2)'!AE$4:AE$1116,'Val-Vol (2)'!$A$4:$A$1116,$D1105,'Val-Vol (2)'!$V$4:$V$1116,$V1105)/SUMIFS('Comp2016-2017 (3)'!$G$5:$G$289,'Comp2016-2017 (3)'!$A$5:$A$289,$D1105,'Comp2016-2017 (3)'!$R$5:$R$289,$V1105)*$AB1105))</f>
        <v/>
      </c>
      <c r="AF1105" s="2" t="str">
        <f>IF($W1105=AF$3,$AB1105,IF(NOT($W1105=0),"",SUMIFS('Val-Vol (2)'!AF$4:AF$1116,'Val-Vol (2)'!$A$4:$A$1116,$D1105,'Val-Vol (2)'!$V$4:$V$1116,$V1105)/SUMIFS('Comp2016-2017 (3)'!$G$5:$G$289,'Comp2016-2017 (3)'!$A$5:$A$289,$D1105,'Comp2016-2017 (3)'!$R$5:$R$289,$V1105)*$AB1105))</f>
        <v/>
      </c>
      <c r="AG1105" s="2">
        <f>IF($W1105=AG$3,$AB1105,IF(NOT($W1105=0),"",SUMIFS('Val-Vol (2)'!AG$4:AG$1116,'Val-Vol (2)'!$A$4:$A$1116,$D1105,'Val-Vol (2)'!$V$4:$V$1116,$V1105)/SUMIFS('Comp2016-2017 (3)'!$G$5:$G$289,'Comp2016-2017 (3)'!$A$5:$A$289,$D1105,'Comp2016-2017 (3)'!$R$5:$R$289,$V1105)*$AB1105))</f>
        <v>0</v>
      </c>
      <c r="AH1105" s="2" t="str">
        <f>IF($W1105=AH$3,$AB1105,IF(NOT($W1105=0),"",SUMIFS('Val-Vol (2)'!AH$4:AH$1116,'Val-Vol (2)'!$A$4:$A$1116,$D1105,'Val-Vol (2)'!$V$4:$V$1116,$V1105)/SUMIFS('Comp2016-2017 (3)'!$G$5:$G$289,'Comp2016-2017 (3)'!$A$5:$A$289,$D1105,'Comp2016-2017 (3)'!$R$5:$R$289,$V1105)*$AB1105))</f>
        <v/>
      </c>
      <c r="AI1105" s="2" t="str">
        <f>IF($W1105=AI$3,$AB1105,IF(NOT($W1105=0),"",SUMIFS('Val-Vol (2)'!AI$4:AI$1116,'Val-Vol (2)'!$A$4:$A$1116,$D1105,'Val-Vol (2)'!$V$4:$V$1116,$V1105)/SUMIFS('Comp2016-2017 (3)'!$G$5:$G$289,'Comp2016-2017 (3)'!$A$5:$A$289,$D1105,'Comp2016-2017 (3)'!$R$5:$R$289,$V1105)*$AB1105))</f>
        <v/>
      </c>
      <c r="AJ1105" s="2" t="str">
        <f>IF($W1105=AJ$3,$AB1105,IF(NOT($W1105=0),"",SUMIFS('Val-Vol (2)'!AJ$4:AJ$1116,'Val-Vol (2)'!$A$4:$A$1116,$D1105,'Val-Vol (2)'!$V$4:$V$1116,$V1105)/SUMIFS('Comp2016-2017 (3)'!$G$5:$G$289,'Comp2016-2017 (3)'!$A$5:$A$289,$D1105,'Comp2016-2017 (3)'!$R$5:$R$289,$V1105)*$AB1105))</f>
        <v/>
      </c>
      <c r="AK1105" s="2">
        <f t="shared" si="139"/>
        <v>0</v>
      </c>
      <c r="AL1105" t="str">
        <f t="shared" si="137"/>
        <v/>
      </c>
      <c r="AM1105" t="str">
        <f>VLOOKUP(A1105,'Table corresp.'!$M$4:$U$63,8,FALSE)</f>
        <v>Importation</v>
      </c>
      <c r="AN1105" t="str">
        <f>VLOOKUP(D1105,'Table corresp.'!$M$4:$U$63,9,FALSE)</f>
        <v>Production finale</v>
      </c>
    </row>
    <row r="1106" spans="1:40" x14ac:dyDescent="0.25">
      <c r="A1106" t="s">
        <v>52</v>
      </c>
      <c r="B1106" t="str">
        <f>VLOOKUP(LEFT(A1106,3),'Table corresp.'!$A$4:$D$63,3,FALSE)</f>
        <v>Importation</v>
      </c>
      <c r="C1106" t="str">
        <f>VLOOKUP(A1106,'Table corresp.'!$M$4:$P$63,4,FALSE)</f>
        <v>Importation</v>
      </c>
      <c r="D1106" t="s">
        <v>17</v>
      </c>
      <c r="E1106" t="str">
        <f>VLOOKUP(LEFT(D1106,3),'Table corresp.'!$A$4:$D$63,4,FALSE)</f>
        <v>Transformation</v>
      </c>
      <c r="F1106" t="str">
        <f t="shared" si="132"/>
        <v xml:space="preserve">Imp - 38 </v>
      </c>
      <c r="G1106" s="164">
        <v>0</v>
      </c>
      <c r="H1106" s="164">
        <v>38422.601000000002</v>
      </c>
      <c r="I1106" s="164">
        <v>38422.601000000002</v>
      </c>
      <c r="J1106" s="164">
        <v>0</v>
      </c>
      <c r="K1106" s="164">
        <v>43.900572249886082</v>
      </c>
      <c r="L1106" s="164">
        <v>43.900572249886082</v>
      </c>
      <c r="M1106" s="164">
        <v>0</v>
      </c>
      <c r="N1106" s="164">
        <v>0</v>
      </c>
      <c r="O1106" s="164">
        <v>0</v>
      </c>
      <c r="P1106" s="164">
        <v>0</v>
      </c>
      <c r="Q1106" s="164">
        <v>0</v>
      </c>
      <c r="R1106" s="164">
        <v>0</v>
      </c>
      <c r="S1106" s="163" t="str">
        <f t="shared" si="133"/>
        <v/>
      </c>
      <c r="T1106" s="163">
        <f>VLOOKUP(A1106,'Groupe de branches'!$Z$27:$AM$86,14,FALSE)</f>
        <v>0</v>
      </c>
      <c r="U1106" s="163">
        <f>VLOOKUP(D1106,'Groupe de branches'!$Z$27:$AM$86,14,FALSE)</f>
        <v>0</v>
      </c>
      <c r="V1106" s="163">
        <v>2018</v>
      </c>
      <c r="W1106" t="str">
        <f>VLOOKUP(D1106,'Table corresp.'!$M$4:$S$63,7,FALSE)</f>
        <v>Emballage bois et carton</v>
      </c>
      <c r="X1106" s="167">
        <f>IFERROR(G1106/SUMIFS('Comp2016-2017 (3)'!$I$5:$I$289,'Comp2016-2017 (3)'!$A$5:$A$289,A1106,'Comp2016-2017 (3)'!$R$5:$R$289,V1106),0)</f>
        <v>0</v>
      </c>
      <c r="Y1106" s="178">
        <f>IFERROR(IF(RIGHT(F1106,3)="Exp",VLOOKUP(F1106,#REF!,2,FALSE),VLOOKUP(F1106,#REF!,9,FALSE)),0)</f>
        <v>0</v>
      </c>
      <c r="Z1106" s="167">
        <f t="shared" si="136"/>
        <v>0</v>
      </c>
      <c r="AA1106" s="189">
        <f t="shared" si="138"/>
        <v>0</v>
      </c>
      <c r="AB1106" s="2">
        <f>IFERROR(SUMIFS('Comp2016-2017 (3)'!$G$5:$G$289,'Comp2016-2017 (3)'!$A$5:$A$289,A1106,'Comp2016-2017 (3)'!$R$5:$R$289,V1106)*AA1106/SUMIFS($AA$4:$AA$1116,$A$4:$A$1116,A1106,$V$4:$V$1116,V1106),0)</f>
        <v>0</v>
      </c>
      <c r="AC1106" s="2" t="str">
        <f>IF($W1106=AC$3,$AB1106,IF(NOT($W1106=0),"",SUMIFS('Val-Vol (2)'!AC$4:AC$1116,'Val-Vol (2)'!$A$4:$A$1116,$D1106,'Val-Vol (2)'!$V$4:$V$1116,$V1106)/SUMIFS('Comp2016-2017 (3)'!$G$5:$G$289,'Comp2016-2017 (3)'!$A$5:$A$289,$D1106,'Comp2016-2017 (3)'!$R$5:$R$289,$V1106)*$AB1106))</f>
        <v/>
      </c>
      <c r="AD1106" s="2" t="str">
        <f>IF($W1106=AD$3,$AB1106,IF(NOT($W1106=0),"",SUMIFS('Val-Vol (2)'!AD$4:AD$1116,'Val-Vol (2)'!$A$4:$A$1116,$D1106,'Val-Vol (2)'!$V$4:$V$1116,$V1106)/SUMIFS('Comp2016-2017 (3)'!$G$5:$G$289,'Comp2016-2017 (3)'!$A$5:$A$289,$D1106,'Comp2016-2017 (3)'!$R$5:$R$289,$V1106)*$AB1106))</f>
        <v/>
      </c>
      <c r="AE1106" s="2" t="str">
        <f>IF($W1106=AE$3,$AB1106,IF(NOT($W1106=0),"",SUMIFS('Val-Vol (2)'!AE$4:AE$1116,'Val-Vol (2)'!$A$4:$A$1116,$D1106,'Val-Vol (2)'!$V$4:$V$1116,$V1106)/SUMIFS('Comp2016-2017 (3)'!$G$5:$G$289,'Comp2016-2017 (3)'!$A$5:$A$289,$D1106,'Comp2016-2017 (3)'!$R$5:$R$289,$V1106)*$AB1106))</f>
        <v/>
      </c>
      <c r="AF1106" s="2" t="str">
        <f>IF($W1106=AF$3,$AB1106,IF(NOT($W1106=0),"",SUMIFS('Val-Vol (2)'!AF$4:AF$1116,'Val-Vol (2)'!$A$4:$A$1116,$D1106,'Val-Vol (2)'!$V$4:$V$1116,$V1106)/SUMIFS('Comp2016-2017 (3)'!$G$5:$G$289,'Comp2016-2017 (3)'!$A$5:$A$289,$D1106,'Comp2016-2017 (3)'!$R$5:$R$289,$V1106)*$AB1106))</f>
        <v/>
      </c>
      <c r="AG1106" s="2">
        <f>IF($W1106=AG$3,$AB1106,IF(NOT($W1106=0),"",SUMIFS('Val-Vol (2)'!AG$4:AG$1116,'Val-Vol (2)'!$A$4:$A$1116,$D1106,'Val-Vol (2)'!$V$4:$V$1116,$V1106)/SUMIFS('Comp2016-2017 (3)'!$G$5:$G$289,'Comp2016-2017 (3)'!$A$5:$A$289,$D1106,'Comp2016-2017 (3)'!$R$5:$R$289,$V1106)*$AB1106))</f>
        <v>0</v>
      </c>
      <c r="AH1106" s="2" t="str">
        <f>IF($W1106=AH$3,$AB1106,IF(NOT($W1106=0),"",SUMIFS('Val-Vol (2)'!AH$4:AH$1116,'Val-Vol (2)'!$A$4:$A$1116,$D1106,'Val-Vol (2)'!$V$4:$V$1116,$V1106)/SUMIFS('Comp2016-2017 (3)'!$G$5:$G$289,'Comp2016-2017 (3)'!$A$5:$A$289,$D1106,'Comp2016-2017 (3)'!$R$5:$R$289,$V1106)*$AB1106))</f>
        <v/>
      </c>
      <c r="AI1106" s="2" t="str">
        <f>IF($W1106=AI$3,$AB1106,IF(NOT($W1106=0),"",SUMIFS('Val-Vol (2)'!AI$4:AI$1116,'Val-Vol (2)'!$A$4:$A$1116,$D1106,'Val-Vol (2)'!$V$4:$V$1116,$V1106)/SUMIFS('Comp2016-2017 (3)'!$G$5:$G$289,'Comp2016-2017 (3)'!$A$5:$A$289,$D1106,'Comp2016-2017 (3)'!$R$5:$R$289,$V1106)*$AB1106))</f>
        <v/>
      </c>
      <c r="AJ1106" s="2" t="str">
        <f>IF($W1106=AJ$3,$AB1106,IF(NOT($W1106=0),"",SUMIFS('Val-Vol (2)'!AJ$4:AJ$1116,'Val-Vol (2)'!$A$4:$A$1116,$D1106,'Val-Vol (2)'!$V$4:$V$1116,$V1106)/SUMIFS('Comp2016-2017 (3)'!$G$5:$G$289,'Comp2016-2017 (3)'!$A$5:$A$289,$D1106,'Comp2016-2017 (3)'!$R$5:$R$289,$V1106)*$AB1106))</f>
        <v/>
      </c>
      <c r="AK1106" s="2">
        <f t="shared" si="139"/>
        <v>0</v>
      </c>
      <c r="AL1106" t="str">
        <f t="shared" si="137"/>
        <v/>
      </c>
      <c r="AM1106" t="str">
        <f>VLOOKUP(A1106,'Table corresp.'!$M$4:$U$63,8,FALSE)</f>
        <v>Importation</v>
      </c>
      <c r="AN1106" t="str">
        <f>VLOOKUP(D1106,'Table corresp.'!$M$4:$U$63,9,FALSE)</f>
        <v>Production finale</v>
      </c>
    </row>
    <row r="1107" spans="1:40" x14ac:dyDescent="0.25">
      <c r="A1107" t="s">
        <v>52</v>
      </c>
      <c r="B1107" t="str">
        <f>VLOOKUP(LEFT(A1107,3),'Table corresp.'!$A$4:$D$63,3,FALSE)</f>
        <v>Importation</v>
      </c>
      <c r="C1107" t="str">
        <f>VLOOKUP(A1107,'Table corresp.'!$M$4:$P$63,4,FALSE)</f>
        <v>Importation</v>
      </c>
      <c r="D1107" t="s">
        <v>18</v>
      </c>
      <c r="E1107" t="str">
        <f>VLOOKUP(LEFT(D1107,3),'Table corresp.'!$A$4:$D$63,4,FALSE)</f>
        <v>Transformation</v>
      </c>
      <c r="F1107" t="str">
        <f t="shared" si="132"/>
        <v xml:space="preserve">Imp - 39 </v>
      </c>
      <c r="G1107" s="164">
        <v>0</v>
      </c>
      <c r="H1107" s="164">
        <v>14812.131999999996</v>
      </c>
      <c r="I1107" s="164">
        <v>14812.131999999996</v>
      </c>
      <c r="J1107" s="164">
        <v>0</v>
      </c>
      <c r="K1107" s="164">
        <v>21.870207096298824</v>
      </c>
      <c r="L1107" s="164">
        <v>21.870207096298824</v>
      </c>
      <c r="M1107" s="164">
        <v>0</v>
      </c>
      <c r="N1107" s="164">
        <v>5.6536862843276543</v>
      </c>
      <c r="O1107" s="164">
        <v>5.6536862843276543</v>
      </c>
      <c r="P1107" s="164">
        <v>0</v>
      </c>
      <c r="Q1107" s="164">
        <v>2.239930482172777</v>
      </c>
      <c r="R1107" s="164">
        <v>2.239930482172777</v>
      </c>
      <c r="S1107" s="163" t="str">
        <f t="shared" si="133"/>
        <v>BI</v>
      </c>
      <c r="T1107" s="163">
        <f>VLOOKUP(A1107,'Groupe de branches'!$Z$27:$AM$86,14,FALSE)</f>
        <v>0</v>
      </c>
      <c r="U1107" s="163">
        <f>VLOOKUP(D1107,'Groupe de branches'!$Z$27:$AM$86,14,FALSE)</f>
        <v>0</v>
      </c>
      <c r="V1107" s="163">
        <v>2018</v>
      </c>
      <c r="W1107" t="str">
        <f>VLOOKUP(D1107,'Table corresp.'!$M$4:$S$63,7,FALSE)</f>
        <v>Construction</v>
      </c>
      <c r="X1107" s="167">
        <f>IFERROR(G1107/SUMIFS('Comp2016-2017 (3)'!$I$5:$I$289,'Comp2016-2017 (3)'!$A$5:$A$289,A1107,'Comp2016-2017 (3)'!$R$5:$R$289,V1107),0)</f>
        <v>0</v>
      </c>
      <c r="Y1107" s="178">
        <f>IFERROR(IF(RIGHT(F1107,3)="Exp",VLOOKUP(F1107,#REF!,2,FALSE),VLOOKUP(F1107,#REF!,9,FALSE)),0)</f>
        <v>0</v>
      </c>
      <c r="Z1107" s="167">
        <f t="shared" si="136"/>
        <v>0</v>
      </c>
      <c r="AA1107" s="189">
        <f t="shared" si="138"/>
        <v>0</v>
      </c>
      <c r="AB1107" s="2">
        <f>IFERROR(SUMIFS('Comp2016-2017 (3)'!$G$5:$G$289,'Comp2016-2017 (3)'!$A$5:$A$289,A1107,'Comp2016-2017 (3)'!$R$5:$R$289,V1107)*AA1107/SUMIFS($AA$4:$AA$1116,$A$4:$A$1116,A1107,$V$4:$V$1116,V1107),0)</f>
        <v>0</v>
      </c>
      <c r="AC1107" s="2" t="str">
        <f>IF($W1107=AC$3,$AB1107,IF(NOT($W1107=0),"",SUMIFS('Val-Vol (2)'!AC$4:AC$1116,'Val-Vol (2)'!$A$4:$A$1116,$D1107,'Val-Vol (2)'!$V$4:$V$1116,$V1107)/SUMIFS('Comp2016-2017 (3)'!$G$5:$G$289,'Comp2016-2017 (3)'!$A$5:$A$289,$D1107,'Comp2016-2017 (3)'!$R$5:$R$289,$V1107)*$AB1107))</f>
        <v/>
      </c>
      <c r="AD1107" s="2">
        <f>IF($W1107=AD$3,$AB1107,IF(NOT($W1107=0),"",SUMIFS('Val-Vol (2)'!AD$4:AD$1116,'Val-Vol (2)'!$A$4:$A$1116,$D1107,'Val-Vol (2)'!$V$4:$V$1116,$V1107)/SUMIFS('Comp2016-2017 (3)'!$G$5:$G$289,'Comp2016-2017 (3)'!$A$5:$A$289,$D1107,'Comp2016-2017 (3)'!$R$5:$R$289,$V1107)*$AB1107))</f>
        <v>0</v>
      </c>
      <c r="AE1107" s="2" t="str">
        <f>IF($W1107=AE$3,$AB1107,IF(NOT($W1107=0),"",SUMIFS('Val-Vol (2)'!AE$4:AE$1116,'Val-Vol (2)'!$A$4:$A$1116,$D1107,'Val-Vol (2)'!$V$4:$V$1116,$V1107)/SUMIFS('Comp2016-2017 (3)'!$G$5:$G$289,'Comp2016-2017 (3)'!$A$5:$A$289,$D1107,'Comp2016-2017 (3)'!$R$5:$R$289,$V1107)*$AB1107))</f>
        <v/>
      </c>
      <c r="AF1107" s="2" t="str">
        <f>IF($W1107=AF$3,$AB1107,IF(NOT($W1107=0),"",SUMIFS('Val-Vol (2)'!AF$4:AF$1116,'Val-Vol (2)'!$A$4:$A$1116,$D1107,'Val-Vol (2)'!$V$4:$V$1116,$V1107)/SUMIFS('Comp2016-2017 (3)'!$G$5:$G$289,'Comp2016-2017 (3)'!$A$5:$A$289,$D1107,'Comp2016-2017 (3)'!$R$5:$R$289,$V1107)*$AB1107))</f>
        <v/>
      </c>
      <c r="AG1107" s="2" t="str">
        <f>IF($W1107=AG$3,$AB1107,IF(NOT($W1107=0),"",SUMIFS('Val-Vol (2)'!AG$4:AG$1116,'Val-Vol (2)'!$A$4:$A$1116,$D1107,'Val-Vol (2)'!$V$4:$V$1116,$V1107)/SUMIFS('Comp2016-2017 (3)'!$G$5:$G$289,'Comp2016-2017 (3)'!$A$5:$A$289,$D1107,'Comp2016-2017 (3)'!$R$5:$R$289,$V1107)*$AB1107))</f>
        <v/>
      </c>
      <c r="AH1107" s="2" t="str">
        <f>IF($W1107=AH$3,$AB1107,IF(NOT($W1107=0),"",SUMIFS('Val-Vol (2)'!AH$4:AH$1116,'Val-Vol (2)'!$A$4:$A$1116,$D1107,'Val-Vol (2)'!$V$4:$V$1116,$V1107)/SUMIFS('Comp2016-2017 (3)'!$G$5:$G$289,'Comp2016-2017 (3)'!$A$5:$A$289,$D1107,'Comp2016-2017 (3)'!$R$5:$R$289,$V1107)*$AB1107))</f>
        <v/>
      </c>
      <c r="AI1107" s="2" t="str">
        <f>IF($W1107=AI$3,$AB1107,IF(NOT($W1107=0),"",SUMIFS('Val-Vol (2)'!AI$4:AI$1116,'Val-Vol (2)'!$A$4:$A$1116,$D1107,'Val-Vol (2)'!$V$4:$V$1116,$V1107)/SUMIFS('Comp2016-2017 (3)'!$G$5:$G$289,'Comp2016-2017 (3)'!$A$5:$A$289,$D1107,'Comp2016-2017 (3)'!$R$5:$R$289,$V1107)*$AB1107))</f>
        <v/>
      </c>
      <c r="AJ1107" s="2" t="str">
        <f>IF($W1107=AJ$3,$AB1107,IF(NOT($W1107=0),"",SUMIFS('Val-Vol (2)'!AJ$4:AJ$1116,'Val-Vol (2)'!$A$4:$A$1116,$D1107,'Val-Vol (2)'!$V$4:$V$1116,$V1107)/SUMIFS('Comp2016-2017 (3)'!$G$5:$G$289,'Comp2016-2017 (3)'!$A$5:$A$289,$D1107,'Comp2016-2017 (3)'!$R$5:$R$289,$V1107)*$AB1107))</f>
        <v/>
      </c>
      <c r="AK1107" s="2">
        <f t="shared" si="139"/>
        <v>0</v>
      </c>
      <c r="AL1107" t="str">
        <f t="shared" si="137"/>
        <v/>
      </c>
      <c r="AM1107" t="str">
        <f>VLOOKUP(A1107,'Table corresp.'!$M$4:$U$63,8,FALSE)</f>
        <v>Importation</v>
      </c>
      <c r="AN1107" t="str">
        <f>VLOOKUP(D1107,'Table corresp.'!$M$4:$U$63,9,FALSE)</f>
        <v>Production finale</v>
      </c>
    </row>
    <row r="1108" spans="1:40" x14ac:dyDescent="0.25">
      <c r="A1108" t="s">
        <v>52</v>
      </c>
      <c r="B1108" t="str">
        <f>VLOOKUP(LEFT(A1108,3),'Table corresp.'!$A$4:$D$63,3,FALSE)</f>
        <v>Importation</v>
      </c>
      <c r="C1108" t="str">
        <f>VLOOKUP(A1108,'Table corresp.'!$M$4:$P$63,4,FALSE)</f>
        <v>Importation</v>
      </c>
      <c r="D1108" t="s">
        <v>92</v>
      </c>
      <c r="E1108" t="str">
        <f>VLOOKUP(LEFT(D1108,3),'Table corresp.'!$A$4:$D$63,4,FALSE)</f>
        <v>Transformation</v>
      </c>
      <c r="F1108" t="str">
        <f t="shared" si="132"/>
        <v xml:space="preserve">Imp - 40 </v>
      </c>
      <c r="G1108" s="164">
        <v>0</v>
      </c>
      <c r="H1108" s="164">
        <v>206862.76954545453</v>
      </c>
      <c r="I1108" s="164">
        <v>206862.76954545453</v>
      </c>
      <c r="J1108" s="164">
        <v>0</v>
      </c>
      <c r="K1108" s="164">
        <v>518.80416108381519</v>
      </c>
      <c r="L1108" s="164">
        <v>518.80416108381519</v>
      </c>
      <c r="M1108" s="164">
        <v>0</v>
      </c>
      <c r="N1108" s="164">
        <v>0</v>
      </c>
      <c r="O1108" s="164">
        <v>0</v>
      </c>
      <c r="P1108" s="164">
        <v>0</v>
      </c>
      <c r="Q1108" s="164">
        <v>0</v>
      </c>
      <c r="R1108" s="164">
        <v>0</v>
      </c>
      <c r="S1108" s="163" t="str">
        <f t="shared" si="133"/>
        <v/>
      </c>
      <c r="T1108" s="163">
        <f>VLOOKUP(A1108,'Groupe de branches'!$Z$27:$AM$86,14,FALSE)</f>
        <v>0</v>
      </c>
      <c r="U1108" s="163">
        <f>VLOOKUP(D1108,'Groupe de branches'!$Z$27:$AM$86,14,FALSE)</f>
        <v>0</v>
      </c>
      <c r="V1108" s="163">
        <v>2018</v>
      </c>
      <c r="W1108" t="str">
        <f>VLOOKUP(D1108,'Table corresp.'!$M$4:$S$63,7,FALSE)</f>
        <v>Construction</v>
      </c>
      <c r="X1108" s="167">
        <f>IFERROR(G1108/SUMIFS('Comp2016-2017 (3)'!$I$5:$I$289,'Comp2016-2017 (3)'!$A$5:$A$289,A1108,'Comp2016-2017 (3)'!$R$5:$R$289,V1108),0)</f>
        <v>0</v>
      </c>
      <c r="Y1108" s="178">
        <f>IFERROR(IF(RIGHT(F1108,3)="Exp",VLOOKUP(F1108,#REF!,2,FALSE),VLOOKUP(F1108,#REF!,9,FALSE)),0)</f>
        <v>0</v>
      </c>
      <c r="Z1108" s="167">
        <f t="shared" si="136"/>
        <v>0</v>
      </c>
      <c r="AA1108" s="189">
        <f t="shared" si="138"/>
        <v>0</v>
      </c>
      <c r="AB1108" s="2">
        <f>IFERROR(SUMIFS('Comp2016-2017 (3)'!$G$5:$G$289,'Comp2016-2017 (3)'!$A$5:$A$289,A1108,'Comp2016-2017 (3)'!$R$5:$R$289,V1108)*AA1108/SUMIFS($AA$4:$AA$1116,$A$4:$A$1116,A1108,$V$4:$V$1116,V1108),0)</f>
        <v>0</v>
      </c>
      <c r="AC1108" s="2" t="str">
        <f>IF($W1108=AC$3,$AB1108,IF(NOT($W1108=0),"",SUMIFS('Val-Vol (2)'!AC$4:AC$1116,'Val-Vol (2)'!$A$4:$A$1116,$D1108,'Val-Vol (2)'!$V$4:$V$1116,$V1108)/SUMIFS('Comp2016-2017 (3)'!$G$5:$G$289,'Comp2016-2017 (3)'!$A$5:$A$289,$D1108,'Comp2016-2017 (3)'!$R$5:$R$289,$V1108)*$AB1108))</f>
        <v/>
      </c>
      <c r="AD1108" s="2">
        <f>IF($W1108=AD$3,$AB1108,IF(NOT($W1108=0),"",SUMIFS('Val-Vol (2)'!AD$4:AD$1116,'Val-Vol (2)'!$A$4:$A$1116,$D1108,'Val-Vol (2)'!$V$4:$V$1116,$V1108)/SUMIFS('Comp2016-2017 (3)'!$G$5:$G$289,'Comp2016-2017 (3)'!$A$5:$A$289,$D1108,'Comp2016-2017 (3)'!$R$5:$R$289,$V1108)*$AB1108))</f>
        <v>0</v>
      </c>
      <c r="AE1108" s="2" t="str">
        <f>IF($W1108=AE$3,$AB1108,IF(NOT($W1108=0),"",SUMIFS('Val-Vol (2)'!AE$4:AE$1116,'Val-Vol (2)'!$A$4:$A$1116,$D1108,'Val-Vol (2)'!$V$4:$V$1116,$V1108)/SUMIFS('Comp2016-2017 (3)'!$G$5:$G$289,'Comp2016-2017 (3)'!$A$5:$A$289,$D1108,'Comp2016-2017 (3)'!$R$5:$R$289,$V1108)*$AB1108))</f>
        <v/>
      </c>
      <c r="AF1108" s="2" t="str">
        <f>IF($W1108=AF$3,$AB1108,IF(NOT($W1108=0),"",SUMIFS('Val-Vol (2)'!AF$4:AF$1116,'Val-Vol (2)'!$A$4:$A$1116,$D1108,'Val-Vol (2)'!$V$4:$V$1116,$V1108)/SUMIFS('Comp2016-2017 (3)'!$G$5:$G$289,'Comp2016-2017 (3)'!$A$5:$A$289,$D1108,'Comp2016-2017 (3)'!$R$5:$R$289,$V1108)*$AB1108))</f>
        <v/>
      </c>
      <c r="AG1108" s="2" t="str">
        <f>IF($W1108=AG$3,$AB1108,IF(NOT($W1108=0),"",SUMIFS('Val-Vol (2)'!AG$4:AG$1116,'Val-Vol (2)'!$A$4:$A$1116,$D1108,'Val-Vol (2)'!$V$4:$V$1116,$V1108)/SUMIFS('Comp2016-2017 (3)'!$G$5:$G$289,'Comp2016-2017 (3)'!$A$5:$A$289,$D1108,'Comp2016-2017 (3)'!$R$5:$R$289,$V1108)*$AB1108))</f>
        <v/>
      </c>
      <c r="AH1108" s="2" t="str">
        <f>IF($W1108=AH$3,$AB1108,IF(NOT($W1108=0),"",SUMIFS('Val-Vol (2)'!AH$4:AH$1116,'Val-Vol (2)'!$A$4:$A$1116,$D1108,'Val-Vol (2)'!$V$4:$V$1116,$V1108)/SUMIFS('Comp2016-2017 (3)'!$G$5:$G$289,'Comp2016-2017 (3)'!$A$5:$A$289,$D1108,'Comp2016-2017 (3)'!$R$5:$R$289,$V1108)*$AB1108))</f>
        <v/>
      </c>
      <c r="AI1108" s="2" t="str">
        <f>IF($W1108=AI$3,$AB1108,IF(NOT($W1108=0),"",SUMIFS('Val-Vol (2)'!AI$4:AI$1116,'Val-Vol (2)'!$A$4:$A$1116,$D1108,'Val-Vol (2)'!$V$4:$V$1116,$V1108)/SUMIFS('Comp2016-2017 (3)'!$G$5:$G$289,'Comp2016-2017 (3)'!$A$5:$A$289,$D1108,'Comp2016-2017 (3)'!$R$5:$R$289,$V1108)*$AB1108))</f>
        <v/>
      </c>
      <c r="AJ1108" s="2" t="str">
        <f>IF($W1108=AJ$3,$AB1108,IF(NOT($W1108=0),"",SUMIFS('Val-Vol (2)'!AJ$4:AJ$1116,'Val-Vol (2)'!$A$4:$A$1116,$D1108,'Val-Vol (2)'!$V$4:$V$1116,$V1108)/SUMIFS('Comp2016-2017 (3)'!$G$5:$G$289,'Comp2016-2017 (3)'!$A$5:$A$289,$D1108,'Comp2016-2017 (3)'!$R$5:$R$289,$V1108)*$AB1108))</f>
        <v/>
      </c>
      <c r="AK1108" s="2">
        <f t="shared" si="139"/>
        <v>0</v>
      </c>
      <c r="AL1108" t="str">
        <f t="shared" si="137"/>
        <v/>
      </c>
      <c r="AM1108" t="str">
        <f>VLOOKUP(A1108,'Table corresp.'!$M$4:$U$63,8,FALSE)</f>
        <v>Importation</v>
      </c>
      <c r="AN1108" t="str">
        <f>VLOOKUP(D1108,'Table corresp.'!$M$4:$U$63,9,FALSE)</f>
        <v>Production finale</v>
      </c>
    </row>
    <row r="1109" spans="1:40" x14ac:dyDescent="0.25">
      <c r="A1109" t="s">
        <v>52</v>
      </c>
      <c r="B1109" t="str">
        <f>VLOOKUP(LEFT(A1109,3),'Table corresp.'!$A$4:$D$63,3,FALSE)</f>
        <v>Importation</v>
      </c>
      <c r="C1109" t="str">
        <f>VLOOKUP(A1109,'Table corresp.'!$M$4:$P$63,4,FALSE)</f>
        <v>Importation</v>
      </c>
      <c r="D1109" t="s">
        <v>93</v>
      </c>
      <c r="E1109" t="str">
        <f>VLOOKUP(LEFT(D1109,3),'Table corresp.'!$A$4:$D$63,4,FALSE)</f>
        <v>Transformation</v>
      </c>
      <c r="F1109" t="str">
        <f t="shared" si="132"/>
        <v xml:space="preserve">Imp - 41 </v>
      </c>
      <c r="G1109" s="164">
        <v>0</v>
      </c>
      <c r="H1109" s="164">
        <v>202948.86200000002</v>
      </c>
      <c r="I1109" s="164">
        <v>202948.86200000002</v>
      </c>
      <c r="J1109" s="164">
        <v>0</v>
      </c>
      <c r="K1109" s="164">
        <v>689.20089469010043</v>
      </c>
      <c r="L1109" s="164">
        <v>689.20089469010043</v>
      </c>
      <c r="M1109" s="164">
        <v>0</v>
      </c>
      <c r="N1109" s="164">
        <v>0</v>
      </c>
      <c r="O1109" s="164">
        <v>0</v>
      </c>
      <c r="P1109" s="164">
        <v>0</v>
      </c>
      <c r="Q1109" s="164">
        <v>0</v>
      </c>
      <c r="R1109" s="164">
        <v>0</v>
      </c>
      <c r="S1109" s="163" t="str">
        <f t="shared" si="133"/>
        <v/>
      </c>
      <c r="T1109" s="163">
        <f>VLOOKUP(A1109,'Groupe de branches'!$Z$27:$AM$86,14,FALSE)</f>
        <v>0</v>
      </c>
      <c r="U1109" s="163">
        <f>VLOOKUP(D1109,'Groupe de branches'!$Z$27:$AM$86,14,FALSE)</f>
        <v>0</v>
      </c>
      <c r="V1109" s="163">
        <v>2018</v>
      </c>
      <c r="W1109" t="str">
        <f>VLOOKUP(D1109,'Table corresp.'!$M$4:$S$63,7,FALSE)</f>
        <v>Produits de consommation courante</v>
      </c>
      <c r="X1109" s="167">
        <f>IFERROR(G1109/SUMIFS('Comp2016-2017 (3)'!$I$5:$I$289,'Comp2016-2017 (3)'!$A$5:$A$289,A1109,'Comp2016-2017 (3)'!$R$5:$R$289,V1109),0)</f>
        <v>0</v>
      </c>
      <c r="Y1109" s="178">
        <f>IFERROR(IF(RIGHT(F1109,3)="Exp",VLOOKUP(F1109,#REF!,2,FALSE),VLOOKUP(F1109,#REF!,9,FALSE)),0)</f>
        <v>0</v>
      </c>
      <c r="Z1109" s="167">
        <f t="shared" si="136"/>
        <v>0</v>
      </c>
      <c r="AA1109" s="189">
        <f t="shared" si="138"/>
        <v>0</v>
      </c>
      <c r="AB1109" s="2">
        <f>IFERROR(SUMIFS('Comp2016-2017 (3)'!$G$5:$G$289,'Comp2016-2017 (3)'!$A$5:$A$289,A1109,'Comp2016-2017 (3)'!$R$5:$R$289,V1109)*AA1109/SUMIFS($AA$4:$AA$1116,$A$4:$A$1116,A1109,$V$4:$V$1116,V1109),0)</f>
        <v>0</v>
      </c>
      <c r="AC1109" s="2" t="str">
        <f>IF($W1109=AC$3,$AB1109,IF(NOT($W1109=0),"",SUMIFS('Val-Vol (2)'!AC$4:AC$1116,'Val-Vol (2)'!$A$4:$A$1116,$D1109,'Val-Vol (2)'!$V$4:$V$1116,$V1109)/SUMIFS('Comp2016-2017 (3)'!$G$5:$G$289,'Comp2016-2017 (3)'!$A$5:$A$289,$D1109,'Comp2016-2017 (3)'!$R$5:$R$289,$V1109)*$AB1109))</f>
        <v/>
      </c>
      <c r="AD1109" s="2" t="str">
        <f>IF($W1109=AD$3,$AB1109,IF(NOT($W1109=0),"",SUMIFS('Val-Vol (2)'!AD$4:AD$1116,'Val-Vol (2)'!$A$4:$A$1116,$D1109,'Val-Vol (2)'!$V$4:$V$1116,$V1109)/SUMIFS('Comp2016-2017 (3)'!$G$5:$G$289,'Comp2016-2017 (3)'!$A$5:$A$289,$D1109,'Comp2016-2017 (3)'!$R$5:$R$289,$V1109)*$AB1109))</f>
        <v/>
      </c>
      <c r="AE1109" s="2" t="str">
        <f>IF($W1109=AE$3,$AB1109,IF(NOT($W1109=0),"",SUMIFS('Val-Vol (2)'!AE$4:AE$1116,'Val-Vol (2)'!$A$4:$A$1116,$D1109,'Val-Vol (2)'!$V$4:$V$1116,$V1109)/SUMIFS('Comp2016-2017 (3)'!$G$5:$G$289,'Comp2016-2017 (3)'!$A$5:$A$289,$D1109,'Comp2016-2017 (3)'!$R$5:$R$289,$V1109)*$AB1109))</f>
        <v/>
      </c>
      <c r="AF1109" s="2" t="str">
        <f>IF($W1109=AF$3,$AB1109,IF(NOT($W1109=0),"",SUMIFS('Val-Vol (2)'!AF$4:AF$1116,'Val-Vol (2)'!$A$4:$A$1116,$D1109,'Val-Vol (2)'!$V$4:$V$1116,$V1109)/SUMIFS('Comp2016-2017 (3)'!$G$5:$G$289,'Comp2016-2017 (3)'!$A$5:$A$289,$D1109,'Comp2016-2017 (3)'!$R$5:$R$289,$V1109)*$AB1109))</f>
        <v/>
      </c>
      <c r="AG1109" s="2" t="str">
        <f>IF($W1109=AG$3,$AB1109,IF(NOT($W1109=0),"",SUMIFS('Val-Vol (2)'!AG$4:AG$1116,'Val-Vol (2)'!$A$4:$A$1116,$D1109,'Val-Vol (2)'!$V$4:$V$1116,$V1109)/SUMIFS('Comp2016-2017 (3)'!$G$5:$G$289,'Comp2016-2017 (3)'!$A$5:$A$289,$D1109,'Comp2016-2017 (3)'!$R$5:$R$289,$V1109)*$AB1109))</f>
        <v/>
      </c>
      <c r="AH1109" s="2" t="str">
        <f>IF($W1109=AH$3,$AB1109,IF(NOT($W1109=0),"",SUMIFS('Val-Vol (2)'!AH$4:AH$1116,'Val-Vol (2)'!$A$4:$A$1116,$D1109,'Val-Vol (2)'!$V$4:$V$1116,$V1109)/SUMIFS('Comp2016-2017 (3)'!$G$5:$G$289,'Comp2016-2017 (3)'!$A$5:$A$289,$D1109,'Comp2016-2017 (3)'!$R$5:$R$289,$V1109)*$AB1109))</f>
        <v/>
      </c>
      <c r="AI1109" s="2">
        <f>IF($W1109=AI$3,$AB1109,IF(NOT($W1109=0),"",SUMIFS('Val-Vol (2)'!AI$4:AI$1116,'Val-Vol (2)'!$A$4:$A$1116,$D1109,'Val-Vol (2)'!$V$4:$V$1116,$V1109)/SUMIFS('Comp2016-2017 (3)'!$G$5:$G$289,'Comp2016-2017 (3)'!$A$5:$A$289,$D1109,'Comp2016-2017 (3)'!$R$5:$R$289,$V1109)*$AB1109))</f>
        <v>0</v>
      </c>
      <c r="AJ1109" s="2" t="str">
        <f>IF($W1109=AJ$3,$AB1109,IF(NOT($W1109=0),"",SUMIFS('Val-Vol (2)'!AJ$4:AJ$1116,'Val-Vol (2)'!$A$4:$A$1116,$D1109,'Val-Vol (2)'!$V$4:$V$1116,$V1109)/SUMIFS('Comp2016-2017 (3)'!$G$5:$G$289,'Comp2016-2017 (3)'!$A$5:$A$289,$D1109,'Comp2016-2017 (3)'!$R$5:$R$289,$V1109)*$AB1109))</f>
        <v/>
      </c>
      <c r="AK1109" s="2">
        <f t="shared" si="139"/>
        <v>0</v>
      </c>
      <c r="AL1109" t="str">
        <f t="shared" si="137"/>
        <v/>
      </c>
      <c r="AM1109" t="str">
        <f>VLOOKUP(A1109,'Table corresp.'!$M$4:$U$63,8,FALSE)</f>
        <v>Importation</v>
      </c>
      <c r="AN1109" t="str">
        <f>VLOOKUP(D1109,'Table corresp.'!$M$4:$U$63,9,FALSE)</f>
        <v>Production finale</v>
      </c>
    </row>
    <row r="1110" spans="1:40" x14ac:dyDescent="0.25">
      <c r="A1110" t="s">
        <v>52</v>
      </c>
      <c r="B1110" t="str">
        <f>VLOOKUP(LEFT(A1110,3),'Table corresp.'!$A$4:$D$63,3,FALSE)</f>
        <v>Importation</v>
      </c>
      <c r="C1110" t="str">
        <f>VLOOKUP(A1110,'Table corresp.'!$M$4:$P$63,4,FALSE)</f>
        <v>Importation</v>
      </c>
      <c r="D1110" t="s">
        <v>94</v>
      </c>
      <c r="E1110" t="str">
        <f>VLOOKUP(LEFT(D1110,3),'Table corresp.'!$A$4:$D$63,4,FALSE)</f>
        <v>Transformation</v>
      </c>
      <c r="F1110" t="str">
        <f t="shared" si="132"/>
        <v xml:space="preserve">Imp - 42 </v>
      </c>
      <c r="G1110" s="164">
        <v>0</v>
      </c>
      <c r="H1110" s="164">
        <v>284835.60100000008</v>
      </c>
      <c r="I1110" s="164">
        <v>284835.60100000008</v>
      </c>
      <c r="J1110" s="164">
        <v>0</v>
      </c>
      <c r="K1110" s="164">
        <v>33.613712151919387</v>
      </c>
      <c r="L1110" s="164">
        <v>33.613712151919387</v>
      </c>
      <c r="M1110" s="164">
        <v>0</v>
      </c>
      <c r="N1110" s="164">
        <v>0</v>
      </c>
      <c r="O1110" s="164">
        <v>0</v>
      </c>
      <c r="P1110" s="164">
        <v>0</v>
      </c>
      <c r="Q1110" s="164">
        <v>0</v>
      </c>
      <c r="R1110" s="164">
        <v>0</v>
      </c>
      <c r="S1110" s="163" t="str">
        <f t="shared" si="133"/>
        <v/>
      </c>
      <c r="T1110" s="163">
        <f>VLOOKUP(A1110,'Groupe de branches'!$Z$27:$AM$86,14,FALSE)</f>
        <v>0</v>
      </c>
      <c r="U1110" s="163">
        <f>VLOOKUP(D1110,'Groupe de branches'!$Z$27:$AM$86,14,FALSE)</f>
        <v>0</v>
      </c>
      <c r="V1110" s="163">
        <v>2018</v>
      </c>
      <c r="W1110" t="str">
        <f>VLOOKUP(D1110,'Table corresp.'!$M$4:$S$63,7,FALSE)</f>
        <v>Produits de consommation courante</v>
      </c>
      <c r="X1110" s="167">
        <f>IFERROR(G1110/SUMIFS('Comp2016-2017 (3)'!$I$5:$I$289,'Comp2016-2017 (3)'!$A$5:$A$289,A1110,'Comp2016-2017 (3)'!$R$5:$R$289,V1110),0)</f>
        <v>0</v>
      </c>
      <c r="Y1110" s="178">
        <f>IFERROR(IF(RIGHT(F1110,3)="Exp",VLOOKUP(F1110,#REF!,2,FALSE),VLOOKUP(F1110,#REF!,9,FALSE)),0)</f>
        <v>0</v>
      </c>
      <c r="Z1110" s="167">
        <f t="shared" si="136"/>
        <v>0</v>
      </c>
      <c r="AA1110" s="189">
        <f t="shared" si="138"/>
        <v>0</v>
      </c>
      <c r="AB1110" s="2">
        <f>IFERROR(SUMIFS('Comp2016-2017 (3)'!$G$5:$G$289,'Comp2016-2017 (3)'!$A$5:$A$289,A1110,'Comp2016-2017 (3)'!$R$5:$R$289,V1110)*AA1110/SUMIFS($AA$4:$AA$1116,$A$4:$A$1116,A1110,$V$4:$V$1116,V1110),0)</f>
        <v>0</v>
      </c>
      <c r="AC1110" s="2" t="str">
        <f>IF($W1110=AC$3,$AB1110,IF(NOT($W1110=0),"",SUMIFS('Val-Vol (2)'!AC$4:AC$1116,'Val-Vol (2)'!$A$4:$A$1116,$D1110,'Val-Vol (2)'!$V$4:$V$1116,$V1110)/SUMIFS('Comp2016-2017 (3)'!$G$5:$G$289,'Comp2016-2017 (3)'!$A$5:$A$289,$D1110,'Comp2016-2017 (3)'!$R$5:$R$289,$V1110)*$AB1110))</f>
        <v/>
      </c>
      <c r="AD1110" s="2" t="str">
        <f>IF($W1110=AD$3,$AB1110,IF(NOT($W1110=0),"",SUMIFS('Val-Vol (2)'!AD$4:AD$1116,'Val-Vol (2)'!$A$4:$A$1116,$D1110,'Val-Vol (2)'!$V$4:$V$1116,$V1110)/SUMIFS('Comp2016-2017 (3)'!$G$5:$G$289,'Comp2016-2017 (3)'!$A$5:$A$289,$D1110,'Comp2016-2017 (3)'!$R$5:$R$289,$V1110)*$AB1110))</f>
        <v/>
      </c>
      <c r="AE1110" s="2" t="str">
        <f>IF($W1110=AE$3,$AB1110,IF(NOT($W1110=0),"",SUMIFS('Val-Vol (2)'!AE$4:AE$1116,'Val-Vol (2)'!$A$4:$A$1116,$D1110,'Val-Vol (2)'!$V$4:$V$1116,$V1110)/SUMIFS('Comp2016-2017 (3)'!$G$5:$G$289,'Comp2016-2017 (3)'!$A$5:$A$289,$D1110,'Comp2016-2017 (3)'!$R$5:$R$289,$V1110)*$AB1110))</f>
        <v/>
      </c>
      <c r="AF1110" s="2" t="str">
        <f>IF($W1110=AF$3,$AB1110,IF(NOT($W1110=0),"",SUMIFS('Val-Vol (2)'!AF$4:AF$1116,'Val-Vol (2)'!$A$4:$A$1116,$D1110,'Val-Vol (2)'!$V$4:$V$1116,$V1110)/SUMIFS('Comp2016-2017 (3)'!$G$5:$G$289,'Comp2016-2017 (3)'!$A$5:$A$289,$D1110,'Comp2016-2017 (3)'!$R$5:$R$289,$V1110)*$AB1110))</f>
        <v/>
      </c>
      <c r="AG1110" s="2" t="str">
        <f>IF($W1110=AG$3,$AB1110,IF(NOT($W1110=0),"",SUMIFS('Val-Vol (2)'!AG$4:AG$1116,'Val-Vol (2)'!$A$4:$A$1116,$D1110,'Val-Vol (2)'!$V$4:$V$1116,$V1110)/SUMIFS('Comp2016-2017 (3)'!$G$5:$G$289,'Comp2016-2017 (3)'!$A$5:$A$289,$D1110,'Comp2016-2017 (3)'!$R$5:$R$289,$V1110)*$AB1110))</f>
        <v/>
      </c>
      <c r="AH1110" s="2" t="str">
        <f>IF($W1110=AH$3,$AB1110,IF(NOT($W1110=0),"",SUMIFS('Val-Vol (2)'!AH$4:AH$1116,'Val-Vol (2)'!$A$4:$A$1116,$D1110,'Val-Vol (2)'!$V$4:$V$1116,$V1110)/SUMIFS('Comp2016-2017 (3)'!$G$5:$G$289,'Comp2016-2017 (3)'!$A$5:$A$289,$D1110,'Comp2016-2017 (3)'!$R$5:$R$289,$V1110)*$AB1110))</f>
        <v/>
      </c>
      <c r="AI1110" s="2">
        <f>IF($W1110=AI$3,$AB1110,IF(NOT($W1110=0),"",SUMIFS('Val-Vol (2)'!AI$4:AI$1116,'Val-Vol (2)'!$A$4:$A$1116,$D1110,'Val-Vol (2)'!$V$4:$V$1116,$V1110)/SUMIFS('Comp2016-2017 (3)'!$G$5:$G$289,'Comp2016-2017 (3)'!$A$5:$A$289,$D1110,'Comp2016-2017 (3)'!$R$5:$R$289,$V1110)*$AB1110))</f>
        <v>0</v>
      </c>
      <c r="AJ1110" s="2" t="str">
        <f>IF($W1110=AJ$3,$AB1110,IF(NOT($W1110=0),"",SUMIFS('Val-Vol (2)'!AJ$4:AJ$1116,'Val-Vol (2)'!$A$4:$A$1116,$D1110,'Val-Vol (2)'!$V$4:$V$1116,$V1110)/SUMIFS('Comp2016-2017 (3)'!$G$5:$G$289,'Comp2016-2017 (3)'!$A$5:$A$289,$D1110,'Comp2016-2017 (3)'!$R$5:$R$289,$V1110)*$AB1110))</f>
        <v/>
      </c>
      <c r="AK1110" s="2">
        <f t="shared" si="139"/>
        <v>0</v>
      </c>
      <c r="AL1110" t="str">
        <f t="shared" si="137"/>
        <v/>
      </c>
      <c r="AM1110" t="str">
        <f>VLOOKUP(A1110,'Table corresp.'!$M$4:$U$63,8,FALSE)</f>
        <v>Importation</v>
      </c>
      <c r="AN1110" t="str">
        <f>VLOOKUP(D1110,'Table corresp.'!$M$4:$U$63,9,FALSE)</f>
        <v>Production finale</v>
      </c>
    </row>
    <row r="1111" spans="1:40" x14ac:dyDescent="0.25">
      <c r="A1111" t="s">
        <v>52</v>
      </c>
      <c r="B1111" t="str">
        <f>VLOOKUP(LEFT(A1111,3),'Table corresp.'!$A$4:$D$63,3,FALSE)</f>
        <v>Importation</v>
      </c>
      <c r="C1111" t="str">
        <f>VLOOKUP(A1111,'Table corresp.'!$M$4:$P$63,4,FALSE)</f>
        <v>Importation</v>
      </c>
      <c r="D1111" t="s">
        <v>95</v>
      </c>
      <c r="E1111" t="str">
        <f>VLOOKUP(LEFT(D1111,3),'Table corresp.'!$A$4:$D$63,4,FALSE)</f>
        <v>Transformation</v>
      </c>
      <c r="F1111" t="str">
        <f t="shared" si="132"/>
        <v xml:space="preserve">Imp - 43 </v>
      </c>
      <c r="G1111" s="164">
        <v>0</v>
      </c>
      <c r="H1111" s="164">
        <v>1326076.2210000001</v>
      </c>
      <c r="I1111" s="164">
        <v>1326076.2210000001</v>
      </c>
      <c r="J1111" s="164">
        <v>0</v>
      </c>
      <c r="K1111" s="164">
        <v>0</v>
      </c>
      <c r="L1111" s="164">
        <v>0</v>
      </c>
      <c r="M1111" s="164">
        <v>0</v>
      </c>
      <c r="N1111" s="164">
        <v>6701.5129303007907</v>
      </c>
      <c r="O1111" s="164">
        <v>6701.5129303007907</v>
      </c>
      <c r="P1111" s="164">
        <v>0</v>
      </c>
      <c r="Q1111" s="164">
        <v>0</v>
      </c>
      <c r="R1111" s="164">
        <v>0</v>
      </c>
      <c r="S1111" s="163" t="str">
        <f t="shared" si="133"/>
        <v/>
      </c>
      <c r="T1111" s="163">
        <f>VLOOKUP(A1111,'Groupe de branches'!$Z$27:$AM$86,14,FALSE)</f>
        <v>0</v>
      </c>
      <c r="U1111" s="163">
        <f>VLOOKUP(D1111,'Groupe de branches'!$Z$27:$AM$86,14,FALSE)</f>
        <v>0</v>
      </c>
      <c r="V1111" s="163">
        <v>2018</v>
      </c>
      <c r="W1111" t="str">
        <f>VLOOKUP(D1111,'Table corresp.'!$M$4:$S$63,7,FALSE)</f>
        <v>Pate &amp; papier &amp; carton</v>
      </c>
      <c r="X1111" s="167">
        <f>IFERROR(G1111/SUMIFS('Comp2016-2017 (3)'!$I$5:$I$289,'Comp2016-2017 (3)'!$A$5:$A$289,A1111,'Comp2016-2017 (3)'!$R$5:$R$289,V1111),0)</f>
        <v>0</v>
      </c>
      <c r="Y1111" s="178">
        <f>IFERROR(IF(RIGHT(F1111,3)="Exp",VLOOKUP(F1111,#REF!,2,FALSE),VLOOKUP(F1111,#REF!,9,FALSE)),0)</f>
        <v>0</v>
      </c>
      <c r="Z1111" s="167">
        <f t="shared" si="136"/>
        <v>0</v>
      </c>
      <c r="AA1111" s="189">
        <f t="shared" si="138"/>
        <v>0</v>
      </c>
      <c r="AB1111" s="2">
        <f>IFERROR(SUMIFS('Comp2016-2017 (3)'!$G$5:$G$289,'Comp2016-2017 (3)'!$A$5:$A$289,A1111,'Comp2016-2017 (3)'!$R$5:$R$289,V1111)*AA1111/SUMIFS($AA$4:$AA$1116,$A$4:$A$1116,A1111,$V$4:$V$1116,V1111),0)</f>
        <v>0</v>
      </c>
      <c r="AC1111" s="2" t="str">
        <f>IF($W1111=AC$3,$AB1111,IF(NOT($W1111=0),"",SUMIFS('Val-Vol (2)'!AC$4:AC$1116,'Val-Vol (2)'!$A$4:$A$1116,$D1111,'Val-Vol (2)'!$V$4:$V$1116,$V1111)/SUMIFS('Comp2016-2017 (3)'!$G$5:$G$289,'Comp2016-2017 (3)'!$A$5:$A$289,$D1111,'Comp2016-2017 (3)'!$R$5:$R$289,$V1111)*$AB1111))</f>
        <v/>
      </c>
      <c r="AD1111" s="2" t="str">
        <f>IF($W1111=AD$3,$AB1111,IF(NOT($W1111=0),"",SUMIFS('Val-Vol (2)'!AD$4:AD$1116,'Val-Vol (2)'!$A$4:$A$1116,$D1111,'Val-Vol (2)'!$V$4:$V$1116,$V1111)/SUMIFS('Comp2016-2017 (3)'!$G$5:$G$289,'Comp2016-2017 (3)'!$A$5:$A$289,$D1111,'Comp2016-2017 (3)'!$R$5:$R$289,$V1111)*$AB1111))</f>
        <v/>
      </c>
      <c r="AE1111" s="2" t="str">
        <f>IF($W1111=AE$3,$AB1111,IF(NOT($W1111=0),"",SUMIFS('Val-Vol (2)'!AE$4:AE$1116,'Val-Vol (2)'!$A$4:$A$1116,$D1111,'Val-Vol (2)'!$V$4:$V$1116,$V1111)/SUMIFS('Comp2016-2017 (3)'!$G$5:$G$289,'Comp2016-2017 (3)'!$A$5:$A$289,$D1111,'Comp2016-2017 (3)'!$R$5:$R$289,$V1111)*$AB1111))</f>
        <v/>
      </c>
      <c r="AF1111" s="2">
        <f>IF($W1111=AF$3,$AB1111,IF(NOT($W1111=0),"",SUMIFS('Val-Vol (2)'!AF$4:AF$1116,'Val-Vol (2)'!$A$4:$A$1116,$D1111,'Val-Vol (2)'!$V$4:$V$1116,$V1111)/SUMIFS('Comp2016-2017 (3)'!$G$5:$G$289,'Comp2016-2017 (3)'!$A$5:$A$289,$D1111,'Comp2016-2017 (3)'!$R$5:$R$289,$V1111)*$AB1111))</f>
        <v>0</v>
      </c>
      <c r="AG1111" s="2" t="str">
        <f>IF($W1111=AG$3,$AB1111,IF(NOT($W1111=0),"",SUMIFS('Val-Vol (2)'!AG$4:AG$1116,'Val-Vol (2)'!$A$4:$A$1116,$D1111,'Val-Vol (2)'!$V$4:$V$1116,$V1111)/SUMIFS('Comp2016-2017 (3)'!$G$5:$G$289,'Comp2016-2017 (3)'!$A$5:$A$289,$D1111,'Comp2016-2017 (3)'!$R$5:$R$289,$V1111)*$AB1111))</f>
        <v/>
      </c>
      <c r="AH1111" s="2" t="str">
        <f>IF($W1111=AH$3,$AB1111,IF(NOT($W1111=0),"",SUMIFS('Val-Vol (2)'!AH$4:AH$1116,'Val-Vol (2)'!$A$4:$A$1116,$D1111,'Val-Vol (2)'!$V$4:$V$1116,$V1111)/SUMIFS('Comp2016-2017 (3)'!$G$5:$G$289,'Comp2016-2017 (3)'!$A$5:$A$289,$D1111,'Comp2016-2017 (3)'!$R$5:$R$289,$V1111)*$AB1111))</f>
        <v/>
      </c>
      <c r="AI1111" s="2" t="str">
        <f>IF($W1111=AI$3,$AB1111,IF(NOT($W1111=0),"",SUMIFS('Val-Vol (2)'!AI$4:AI$1116,'Val-Vol (2)'!$A$4:$A$1116,$D1111,'Val-Vol (2)'!$V$4:$V$1116,$V1111)/SUMIFS('Comp2016-2017 (3)'!$G$5:$G$289,'Comp2016-2017 (3)'!$A$5:$A$289,$D1111,'Comp2016-2017 (3)'!$R$5:$R$289,$V1111)*$AB1111))</f>
        <v/>
      </c>
      <c r="AJ1111" s="2" t="str">
        <f>IF($W1111=AJ$3,$AB1111,IF(NOT($W1111=0),"",SUMIFS('Val-Vol (2)'!AJ$4:AJ$1116,'Val-Vol (2)'!$A$4:$A$1116,$D1111,'Val-Vol (2)'!$V$4:$V$1116,$V1111)/SUMIFS('Comp2016-2017 (3)'!$G$5:$G$289,'Comp2016-2017 (3)'!$A$5:$A$289,$D1111,'Comp2016-2017 (3)'!$R$5:$R$289,$V1111)*$AB1111))</f>
        <v/>
      </c>
      <c r="AK1111" s="2">
        <f t="shared" si="139"/>
        <v>0</v>
      </c>
      <c r="AL1111" t="str">
        <f t="shared" si="137"/>
        <v/>
      </c>
      <c r="AM1111" t="str">
        <f>VLOOKUP(A1111,'Table corresp.'!$M$4:$U$63,8,FALSE)</f>
        <v>Importation</v>
      </c>
      <c r="AN1111" t="str">
        <f>VLOOKUP(D1111,'Table corresp.'!$M$4:$U$63,9,FALSE)</f>
        <v>Production intermédiaire</v>
      </c>
    </row>
    <row r="1112" spans="1:40" x14ac:dyDescent="0.25">
      <c r="A1112" t="s">
        <v>52</v>
      </c>
      <c r="B1112" t="str">
        <f>VLOOKUP(LEFT(A1112,3),'Table corresp.'!$A$4:$D$63,3,FALSE)</f>
        <v>Importation</v>
      </c>
      <c r="C1112" t="str">
        <f>VLOOKUP(A1112,'Table corresp.'!$M$4:$P$63,4,FALSE)</f>
        <v>Importation</v>
      </c>
      <c r="D1112" t="s">
        <v>96</v>
      </c>
      <c r="E1112" t="str">
        <f>VLOOKUP(LEFT(D1112,3),'Table corresp.'!$A$4:$D$63,4,FALSE)</f>
        <v>Transformation</v>
      </c>
      <c r="F1112" t="str">
        <f t="shared" si="132"/>
        <v xml:space="preserve">Imp - 44 </v>
      </c>
      <c r="G1112" s="164">
        <v>0</v>
      </c>
      <c r="H1112" s="164">
        <v>4241721.0860000048</v>
      </c>
      <c r="I1112" s="164">
        <v>4241721.0860000048</v>
      </c>
      <c r="J1112" s="164">
        <v>0</v>
      </c>
      <c r="K1112" s="164">
        <v>0</v>
      </c>
      <c r="L1112" s="164">
        <v>0</v>
      </c>
      <c r="M1112" s="164">
        <v>0</v>
      </c>
      <c r="N1112" s="164">
        <v>5137.3211681463272</v>
      </c>
      <c r="O1112" s="164">
        <v>5137.3211681463272</v>
      </c>
      <c r="P1112" s="164">
        <v>0</v>
      </c>
      <c r="Q1112" s="164">
        <v>0</v>
      </c>
      <c r="R1112" s="164">
        <v>0</v>
      </c>
      <c r="S1112" s="163" t="str">
        <f t="shared" si="133"/>
        <v/>
      </c>
      <c r="T1112" s="163">
        <f>VLOOKUP(A1112,'Groupe de branches'!$Z$27:$AM$86,14,FALSE)</f>
        <v>0</v>
      </c>
      <c r="U1112" s="163">
        <f>VLOOKUP(D1112,'Groupe de branches'!$Z$27:$AM$86,14,FALSE)</f>
        <v>0</v>
      </c>
      <c r="V1112" s="163">
        <v>2018</v>
      </c>
      <c r="W1112" t="str">
        <f>VLOOKUP(D1112,'Table corresp.'!$M$4:$S$63,7,FALSE)</f>
        <v>Pate &amp; papier &amp; carton</v>
      </c>
      <c r="X1112" s="167">
        <f>IFERROR(G1112/SUMIFS('Comp2016-2017 (3)'!$I$5:$I$289,'Comp2016-2017 (3)'!$A$5:$A$289,A1112,'Comp2016-2017 (3)'!$R$5:$R$289,V1112),0)</f>
        <v>0</v>
      </c>
      <c r="Y1112" s="178">
        <f>IFERROR(IF(RIGHT(F1112,3)="Exp",VLOOKUP(F1112,#REF!,2,FALSE),VLOOKUP(F1112,#REF!,9,FALSE)),0)</f>
        <v>0</v>
      </c>
      <c r="Z1112" s="167">
        <f t="shared" si="136"/>
        <v>0</v>
      </c>
      <c r="AA1112" s="189">
        <f t="shared" si="138"/>
        <v>0</v>
      </c>
      <c r="AB1112" s="2">
        <f>IFERROR(SUMIFS('Comp2016-2017 (3)'!$G$5:$G$289,'Comp2016-2017 (3)'!$A$5:$A$289,A1112,'Comp2016-2017 (3)'!$R$5:$R$289,V1112)*AA1112/SUMIFS($AA$4:$AA$1116,$A$4:$A$1116,A1112,$V$4:$V$1116,V1112),0)</f>
        <v>0</v>
      </c>
      <c r="AC1112" s="2" t="str">
        <f>IF($W1112=AC$3,$AB1112,IF(NOT($W1112=0),"",SUMIFS('Val-Vol (2)'!AC$4:AC$1116,'Val-Vol (2)'!$A$4:$A$1116,$D1112,'Val-Vol (2)'!$V$4:$V$1116,$V1112)/SUMIFS('Comp2016-2017 (3)'!$G$5:$G$289,'Comp2016-2017 (3)'!$A$5:$A$289,$D1112,'Comp2016-2017 (3)'!$R$5:$R$289,$V1112)*$AB1112))</f>
        <v/>
      </c>
      <c r="AD1112" s="2" t="str">
        <f>IF($W1112=AD$3,$AB1112,IF(NOT($W1112=0),"",SUMIFS('Val-Vol (2)'!AD$4:AD$1116,'Val-Vol (2)'!$A$4:$A$1116,$D1112,'Val-Vol (2)'!$V$4:$V$1116,$V1112)/SUMIFS('Comp2016-2017 (3)'!$G$5:$G$289,'Comp2016-2017 (3)'!$A$5:$A$289,$D1112,'Comp2016-2017 (3)'!$R$5:$R$289,$V1112)*$AB1112))</f>
        <v/>
      </c>
      <c r="AE1112" s="2" t="str">
        <f>IF($W1112=AE$3,$AB1112,IF(NOT($W1112=0),"",SUMIFS('Val-Vol (2)'!AE$4:AE$1116,'Val-Vol (2)'!$A$4:$A$1116,$D1112,'Val-Vol (2)'!$V$4:$V$1116,$V1112)/SUMIFS('Comp2016-2017 (3)'!$G$5:$G$289,'Comp2016-2017 (3)'!$A$5:$A$289,$D1112,'Comp2016-2017 (3)'!$R$5:$R$289,$V1112)*$AB1112))</f>
        <v/>
      </c>
      <c r="AF1112" s="2">
        <f>IF($W1112=AF$3,$AB1112,IF(NOT($W1112=0),"",SUMIFS('Val-Vol (2)'!AF$4:AF$1116,'Val-Vol (2)'!$A$4:$A$1116,$D1112,'Val-Vol (2)'!$V$4:$V$1116,$V1112)/SUMIFS('Comp2016-2017 (3)'!$G$5:$G$289,'Comp2016-2017 (3)'!$A$5:$A$289,$D1112,'Comp2016-2017 (3)'!$R$5:$R$289,$V1112)*$AB1112))</f>
        <v>0</v>
      </c>
      <c r="AG1112" s="2" t="str">
        <f>IF($W1112=AG$3,$AB1112,IF(NOT($W1112=0),"",SUMIFS('Val-Vol (2)'!AG$4:AG$1116,'Val-Vol (2)'!$A$4:$A$1116,$D1112,'Val-Vol (2)'!$V$4:$V$1116,$V1112)/SUMIFS('Comp2016-2017 (3)'!$G$5:$G$289,'Comp2016-2017 (3)'!$A$5:$A$289,$D1112,'Comp2016-2017 (3)'!$R$5:$R$289,$V1112)*$AB1112))</f>
        <v/>
      </c>
      <c r="AH1112" s="2" t="str">
        <f>IF($W1112=AH$3,$AB1112,IF(NOT($W1112=0),"",SUMIFS('Val-Vol (2)'!AH$4:AH$1116,'Val-Vol (2)'!$A$4:$A$1116,$D1112,'Val-Vol (2)'!$V$4:$V$1116,$V1112)/SUMIFS('Comp2016-2017 (3)'!$G$5:$G$289,'Comp2016-2017 (3)'!$A$5:$A$289,$D1112,'Comp2016-2017 (3)'!$R$5:$R$289,$V1112)*$AB1112))</f>
        <v/>
      </c>
      <c r="AI1112" s="2" t="str">
        <f>IF($W1112=AI$3,$AB1112,IF(NOT($W1112=0),"",SUMIFS('Val-Vol (2)'!AI$4:AI$1116,'Val-Vol (2)'!$A$4:$A$1116,$D1112,'Val-Vol (2)'!$V$4:$V$1116,$V1112)/SUMIFS('Comp2016-2017 (3)'!$G$5:$G$289,'Comp2016-2017 (3)'!$A$5:$A$289,$D1112,'Comp2016-2017 (3)'!$R$5:$R$289,$V1112)*$AB1112))</f>
        <v/>
      </c>
      <c r="AJ1112" s="2" t="str">
        <f>IF($W1112=AJ$3,$AB1112,IF(NOT($W1112=0),"",SUMIFS('Val-Vol (2)'!AJ$4:AJ$1116,'Val-Vol (2)'!$A$4:$A$1116,$D1112,'Val-Vol (2)'!$V$4:$V$1116,$V1112)/SUMIFS('Comp2016-2017 (3)'!$G$5:$G$289,'Comp2016-2017 (3)'!$A$5:$A$289,$D1112,'Comp2016-2017 (3)'!$R$5:$R$289,$V1112)*$AB1112))</f>
        <v/>
      </c>
      <c r="AK1112" s="2">
        <f t="shared" si="139"/>
        <v>0</v>
      </c>
      <c r="AL1112" t="str">
        <f t="shared" si="137"/>
        <v/>
      </c>
      <c r="AM1112" t="str">
        <f>VLOOKUP(A1112,'Table corresp.'!$M$4:$U$63,8,FALSE)</f>
        <v>Importation</v>
      </c>
      <c r="AN1112" t="str">
        <f>VLOOKUP(D1112,'Table corresp.'!$M$4:$U$63,9,FALSE)</f>
        <v>Production intermédiaire</v>
      </c>
    </row>
    <row r="1113" spans="1:40" x14ac:dyDescent="0.25">
      <c r="A1113" t="s">
        <v>52</v>
      </c>
      <c r="B1113" t="str">
        <f>VLOOKUP(LEFT(A1113,3),'Table corresp.'!$A$4:$D$63,3,FALSE)</f>
        <v>Importation</v>
      </c>
      <c r="C1113" t="str">
        <f>VLOOKUP(A1113,'Table corresp.'!$M$4:$P$63,4,FALSE)</f>
        <v>Importation</v>
      </c>
      <c r="D1113" t="s">
        <v>97</v>
      </c>
      <c r="E1113" t="str">
        <f>VLOOKUP(LEFT(D1113,3),'Table corresp.'!$A$4:$D$63,4,FALSE)</f>
        <v>Transformation</v>
      </c>
      <c r="F1113" t="str">
        <f t="shared" si="132"/>
        <v xml:space="preserve">Imp - 45 </v>
      </c>
      <c r="G1113" s="164">
        <v>0</v>
      </c>
      <c r="H1113" s="164">
        <v>3799545.5400000033</v>
      </c>
      <c r="I1113" s="164">
        <v>3799545.5400000033</v>
      </c>
      <c r="J1113" s="164">
        <v>0</v>
      </c>
      <c r="K1113" s="164">
        <v>0</v>
      </c>
      <c r="L1113" s="164">
        <v>0</v>
      </c>
      <c r="M1113" s="164">
        <v>0</v>
      </c>
      <c r="N1113" s="164">
        <v>1504.5186173707493</v>
      </c>
      <c r="O1113" s="164">
        <v>1504.5186173707493</v>
      </c>
      <c r="P1113" s="164">
        <v>0</v>
      </c>
      <c r="Q1113" s="164">
        <v>0</v>
      </c>
      <c r="R1113" s="164">
        <v>0</v>
      </c>
      <c r="S1113" s="163" t="str">
        <f t="shared" si="133"/>
        <v/>
      </c>
      <c r="T1113" s="163">
        <f>VLOOKUP(A1113,'Groupe de branches'!$Z$27:$AM$86,14,FALSE)</f>
        <v>0</v>
      </c>
      <c r="U1113" s="163">
        <f>VLOOKUP(D1113,'Groupe de branches'!$Z$27:$AM$86,14,FALSE)</f>
        <v>0</v>
      </c>
      <c r="V1113" s="163">
        <v>2018</v>
      </c>
      <c r="W1113" t="str">
        <f>VLOOKUP(D1113,'Table corresp.'!$M$4:$S$63,7,FALSE)</f>
        <v>Pate &amp; papier &amp; carton</v>
      </c>
      <c r="X1113" s="167">
        <f>IFERROR(G1113/SUMIFS('Comp2016-2017 (3)'!$I$5:$I$289,'Comp2016-2017 (3)'!$A$5:$A$289,A1113,'Comp2016-2017 (3)'!$R$5:$R$289,V1113),0)</f>
        <v>0</v>
      </c>
      <c r="Y1113" s="178">
        <f>IFERROR(IF(RIGHT(F1113,3)="Exp",VLOOKUP(F1113,#REF!,2,FALSE),VLOOKUP(F1113,#REF!,9,FALSE)),0)</f>
        <v>0</v>
      </c>
      <c r="Z1113" s="167">
        <f t="shared" si="136"/>
        <v>0</v>
      </c>
      <c r="AA1113" s="189">
        <f t="shared" si="138"/>
        <v>0</v>
      </c>
      <c r="AB1113" s="2">
        <f>IFERROR(SUMIFS('Comp2016-2017 (3)'!$G$5:$G$289,'Comp2016-2017 (3)'!$A$5:$A$289,A1113,'Comp2016-2017 (3)'!$R$5:$R$289,V1113)*AA1113/SUMIFS($AA$4:$AA$1116,$A$4:$A$1116,A1113,$V$4:$V$1116,V1113),0)</f>
        <v>0</v>
      </c>
      <c r="AC1113" s="2" t="str">
        <f>IF($W1113=AC$3,$AB1113,IF(NOT($W1113=0),"",SUMIFS('Val-Vol (2)'!AC$4:AC$1116,'Val-Vol (2)'!$A$4:$A$1116,$D1113,'Val-Vol (2)'!$V$4:$V$1116,$V1113)/SUMIFS('Comp2016-2017 (3)'!$G$5:$G$289,'Comp2016-2017 (3)'!$A$5:$A$289,$D1113,'Comp2016-2017 (3)'!$R$5:$R$289,$V1113)*$AB1113))</f>
        <v/>
      </c>
      <c r="AD1113" s="2" t="str">
        <f>IF($W1113=AD$3,$AB1113,IF(NOT($W1113=0),"",SUMIFS('Val-Vol (2)'!AD$4:AD$1116,'Val-Vol (2)'!$A$4:$A$1116,$D1113,'Val-Vol (2)'!$V$4:$V$1116,$V1113)/SUMIFS('Comp2016-2017 (3)'!$G$5:$G$289,'Comp2016-2017 (3)'!$A$5:$A$289,$D1113,'Comp2016-2017 (3)'!$R$5:$R$289,$V1113)*$AB1113))</f>
        <v/>
      </c>
      <c r="AE1113" s="2" t="str">
        <f>IF($W1113=AE$3,$AB1113,IF(NOT($W1113=0),"",SUMIFS('Val-Vol (2)'!AE$4:AE$1116,'Val-Vol (2)'!$A$4:$A$1116,$D1113,'Val-Vol (2)'!$V$4:$V$1116,$V1113)/SUMIFS('Comp2016-2017 (3)'!$G$5:$G$289,'Comp2016-2017 (3)'!$A$5:$A$289,$D1113,'Comp2016-2017 (3)'!$R$5:$R$289,$V1113)*$AB1113))</f>
        <v/>
      </c>
      <c r="AF1113" s="2">
        <f>IF($W1113=AF$3,$AB1113,IF(NOT($W1113=0),"",SUMIFS('Val-Vol (2)'!AF$4:AF$1116,'Val-Vol (2)'!$A$4:$A$1116,$D1113,'Val-Vol (2)'!$V$4:$V$1116,$V1113)/SUMIFS('Comp2016-2017 (3)'!$G$5:$G$289,'Comp2016-2017 (3)'!$A$5:$A$289,$D1113,'Comp2016-2017 (3)'!$R$5:$R$289,$V1113)*$AB1113))</f>
        <v>0</v>
      </c>
      <c r="AG1113" s="2" t="str">
        <f>IF($W1113=AG$3,$AB1113,IF(NOT($W1113=0),"",SUMIFS('Val-Vol (2)'!AG$4:AG$1116,'Val-Vol (2)'!$A$4:$A$1116,$D1113,'Val-Vol (2)'!$V$4:$V$1116,$V1113)/SUMIFS('Comp2016-2017 (3)'!$G$5:$G$289,'Comp2016-2017 (3)'!$A$5:$A$289,$D1113,'Comp2016-2017 (3)'!$R$5:$R$289,$V1113)*$AB1113))</f>
        <v/>
      </c>
      <c r="AH1113" s="2" t="str">
        <f>IF($W1113=AH$3,$AB1113,IF(NOT($W1113=0),"",SUMIFS('Val-Vol (2)'!AH$4:AH$1116,'Val-Vol (2)'!$A$4:$A$1116,$D1113,'Val-Vol (2)'!$V$4:$V$1116,$V1113)/SUMIFS('Comp2016-2017 (3)'!$G$5:$G$289,'Comp2016-2017 (3)'!$A$5:$A$289,$D1113,'Comp2016-2017 (3)'!$R$5:$R$289,$V1113)*$AB1113))</f>
        <v/>
      </c>
      <c r="AI1113" s="2" t="str">
        <f>IF($W1113=AI$3,$AB1113,IF(NOT($W1113=0),"",SUMIFS('Val-Vol (2)'!AI$4:AI$1116,'Val-Vol (2)'!$A$4:$A$1116,$D1113,'Val-Vol (2)'!$V$4:$V$1116,$V1113)/SUMIFS('Comp2016-2017 (3)'!$G$5:$G$289,'Comp2016-2017 (3)'!$A$5:$A$289,$D1113,'Comp2016-2017 (3)'!$R$5:$R$289,$V1113)*$AB1113))</f>
        <v/>
      </c>
      <c r="AJ1113" s="2" t="str">
        <f>IF($W1113=AJ$3,$AB1113,IF(NOT($W1113=0),"",SUMIFS('Val-Vol (2)'!AJ$4:AJ$1116,'Val-Vol (2)'!$A$4:$A$1116,$D1113,'Val-Vol (2)'!$V$4:$V$1116,$V1113)/SUMIFS('Comp2016-2017 (3)'!$G$5:$G$289,'Comp2016-2017 (3)'!$A$5:$A$289,$D1113,'Comp2016-2017 (3)'!$R$5:$R$289,$V1113)*$AB1113))</f>
        <v/>
      </c>
      <c r="AK1113" s="2">
        <f t="shared" si="139"/>
        <v>0</v>
      </c>
      <c r="AL1113" t="str">
        <f t="shared" si="137"/>
        <v/>
      </c>
      <c r="AM1113" t="str">
        <f>VLOOKUP(A1113,'Table corresp.'!$M$4:$U$63,8,FALSE)</f>
        <v>Importation</v>
      </c>
      <c r="AN1113" t="str">
        <f>VLOOKUP(D1113,'Table corresp.'!$M$4:$U$63,9,FALSE)</f>
        <v>Production finale</v>
      </c>
    </row>
    <row r="1114" spans="1:40" x14ac:dyDescent="0.25">
      <c r="A1114" t="s">
        <v>52</v>
      </c>
      <c r="B1114" t="str">
        <f>VLOOKUP(LEFT(A1114,3),'Table corresp.'!$A$4:$D$63,3,FALSE)</f>
        <v>Importation</v>
      </c>
      <c r="C1114" t="str">
        <f>VLOOKUP(A1114,'Table corresp.'!$M$4:$P$63,4,FALSE)</f>
        <v>Importation</v>
      </c>
      <c r="D1114" t="s">
        <v>98</v>
      </c>
      <c r="E1114" t="str">
        <f>VLOOKUP(LEFT(D1114,3),'Table corresp.'!$A$4:$D$63,4,FALSE)</f>
        <v>Transformation</v>
      </c>
      <c r="F1114" t="str">
        <f t="shared" si="132"/>
        <v xml:space="preserve">Imp - 46 </v>
      </c>
      <c r="G1114" s="164">
        <v>0</v>
      </c>
      <c r="H1114" s="164">
        <v>27833.044982698957</v>
      </c>
      <c r="I1114" s="164">
        <v>27833.044982698957</v>
      </c>
      <c r="J1114" s="164">
        <v>0</v>
      </c>
      <c r="K1114" s="164">
        <v>0</v>
      </c>
      <c r="L1114" s="164">
        <v>0</v>
      </c>
      <c r="M1114" s="164">
        <v>0</v>
      </c>
      <c r="N1114" s="164">
        <v>77.978682317496208</v>
      </c>
      <c r="O1114" s="164">
        <v>77.978682317496208</v>
      </c>
      <c r="P1114" s="164">
        <v>0</v>
      </c>
      <c r="Q1114" s="164">
        <v>0</v>
      </c>
      <c r="R1114" s="164">
        <v>0</v>
      </c>
      <c r="S1114" s="163" t="str">
        <f t="shared" si="133"/>
        <v/>
      </c>
      <c r="T1114" s="163">
        <f>VLOOKUP(A1114,'Groupe de branches'!$Z$27:$AM$86,14,FALSE)</f>
        <v>0</v>
      </c>
      <c r="U1114" s="163">
        <f>VLOOKUP(D1114,'Groupe de branches'!$Z$27:$AM$86,14,FALSE)</f>
        <v>0</v>
      </c>
      <c r="V1114" s="163">
        <v>2018</v>
      </c>
      <c r="W1114" t="str">
        <f>VLOOKUP(D1114,'Table corresp.'!$M$4:$S$63,7,FALSE)</f>
        <v>Produits de consommation courante</v>
      </c>
      <c r="X1114" s="167">
        <f>IFERROR(G1114/SUMIFS('Comp2016-2017 (3)'!$I$5:$I$289,'Comp2016-2017 (3)'!$A$5:$A$289,A1114,'Comp2016-2017 (3)'!$R$5:$R$289,V1114),0)</f>
        <v>0</v>
      </c>
      <c r="Y1114" s="178">
        <f>IFERROR(IF(RIGHT(F1114,3)="Exp",VLOOKUP(F1114,#REF!,2,FALSE),VLOOKUP(F1114,#REF!,9,FALSE)),0)</f>
        <v>0</v>
      </c>
      <c r="Z1114" s="167">
        <f t="shared" si="136"/>
        <v>0</v>
      </c>
      <c r="AA1114" s="189">
        <f t="shared" si="138"/>
        <v>0</v>
      </c>
      <c r="AB1114" s="2">
        <f>IFERROR(SUMIFS('Comp2016-2017 (3)'!$G$5:$G$289,'Comp2016-2017 (3)'!$A$5:$A$289,A1114,'Comp2016-2017 (3)'!$R$5:$R$289,V1114)*AA1114/SUMIFS($AA$4:$AA$1116,$A$4:$A$1116,A1114,$V$4:$V$1116,V1114),0)</f>
        <v>0</v>
      </c>
      <c r="AC1114" s="2" t="str">
        <f>IF($W1114=AC$3,$AB1114,IF(NOT($W1114=0),"",SUMIFS('Val-Vol (2)'!AC$4:AC$1116,'Val-Vol (2)'!$A$4:$A$1116,$D1114,'Val-Vol (2)'!$V$4:$V$1116,$V1114)/SUMIFS('Comp2016-2017 (3)'!$G$5:$G$289,'Comp2016-2017 (3)'!$A$5:$A$289,$D1114,'Comp2016-2017 (3)'!$R$5:$R$289,$V1114)*$AB1114))</f>
        <v/>
      </c>
      <c r="AD1114" s="2" t="str">
        <f>IF($W1114=AD$3,$AB1114,IF(NOT($W1114=0),"",SUMIFS('Val-Vol (2)'!AD$4:AD$1116,'Val-Vol (2)'!$A$4:$A$1116,$D1114,'Val-Vol (2)'!$V$4:$V$1116,$V1114)/SUMIFS('Comp2016-2017 (3)'!$G$5:$G$289,'Comp2016-2017 (3)'!$A$5:$A$289,$D1114,'Comp2016-2017 (3)'!$R$5:$R$289,$V1114)*$AB1114))</f>
        <v/>
      </c>
      <c r="AE1114" s="2" t="str">
        <f>IF($W1114=AE$3,$AB1114,IF(NOT($W1114=0),"",SUMIFS('Val-Vol (2)'!AE$4:AE$1116,'Val-Vol (2)'!$A$4:$A$1116,$D1114,'Val-Vol (2)'!$V$4:$V$1116,$V1114)/SUMIFS('Comp2016-2017 (3)'!$G$5:$G$289,'Comp2016-2017 (3)'!$A$5:$A$289,$D1114,'Comp2016-2017 (3)'!$R$5:$R$289,$V1114)*$AB1114))</f>
        <v/>
      </c>
      <c r="AF1114" s="2" t="str">
        <f>IF($W1114=AF$3,$AB1114,IF(NOT($W1114=0),"",SUMIFS('Val-Vol (2)'!AF$4:AF$1116,'Val-Vol (2)'!$A$4:$A$1116,$D1114,'Val-Vol (2)'!$V$4:$V$1116,$V1114)/SUMIFS('Comp2016-2017 (3)'!$G$5:$G$289,'Comp2016-2017 (3)'!$A$5:$A$289,$D1114,'Comp2016-2017 (3)'!$R$5:$R$289,$V1114)*$AB1114))</f>
        <v/>
      </c>
      <c r="AG1114" s="2" t="str">
        <f>IF($W1114=AG$3,$AB1114,IF(NOT($W1114=0),"",SUMIFS('Val-Vol (2)'!AG$4:AG$1116,'Val-Vol (2)'!$A$4:$A$1116,$D1114,'Val-Vol (2)'!$V$4:$V$1116,$V1114)/SUMIFS('Comp2016-2017 (3)'!$G$5:$G$289,'Comp2016-2017 (3)'!$A$5:$A$289,$D1114,'Comp2016-2017 (3)'!$R$5:$R$289,$V1114)*$AB1114))</f>
        <v/>
      </c>
      <c r="AH1114" s="2" t="str">
        <f>IF($W1114=AH$3,$AB1114,IF(NOT($W1114=0),"",SUMIFS('Val-Vol (2)'!AH$4:AH$1116,'Val-Vol (2)'!$A$4:$A$1116,$D1114,'Val-Vol (2)'!$V$4:$V$1116,$V1114)/SUMIFS('Comp2016-2017 (3)'!$G$5:$G$289,'Comp2016-2017 (3)'!$A$5:$A$289,$D1114,'Comp2016-2017 (3)'!$R$5:$R$289,$V1114)*$AB1114))</f>
        <v/>
      </c>
      <c r="AI1114" s="2">
        <f>IF($W1114=AI$3,$AB1114,IF(NOT($W1114=0),"",SUMIFS('Val-Vol (2)'!AI$4:AI$1116,'Val-Vol (2)'!$A$4:$A$1116,$D1114,'Val-Vol (2)'!$V$4:$V$1116,$V1114)/SUMIFS('Comp2016-2017 (3)'!$G$5:$G$289,'Comp2016-2017 (3)'!$A$5:$A$289,$D1114,'Comp2016-2017 (3)'!$R$5:$R$289,$V1114)*$AB1114))</f>
        <v>0</v>
      </c>
      <c r="AJ1114" s="2" t="str">
        <f>IF($W1114=AJ$3,$AB1114,IF(NOT($W1114=0),"",SUMIFS('Val-Vol (2)'!AJ$4:AJ$1116,'Val-Vol (2)'!$A$4:$A$1116,$D1114,'Val-Vol (2)'!$V$4:$V$1116,$V1114)/SUMIFS('Comp2016-2017 (3)'!$G$5:$G$289,'Comp2016-2017 (3)'!$A$5:$A$289,$D1114,'Comp2016-2017 (3)'!$R$5:$R$289,$V1114)*$AB1114))</f>
        <v/>
      </c>
      <c r="AK1114" s="2">
        <f t="shared" si="139"/>
        <v>0</v>
      </c>
      <c r="AL1114" t="str">
        <f t="shared" si="137"/>
        <v/>
      </c>
      <c r="AM1114" t="str">
        <f>VLOOKUP(A1114,'Table corresp.'!$M$4:$U$63,8,FALSE)</f>
        <v>Importation</v>
      </c>
      <c r="AN1114" t="str">
        <f>VLOOKUP(D1114,'Table corresp.'!$M$4:$U$63,9,FALSE)</f>
        <v>Production intermédiaire</v>
      </c>
    </row>
    <row r="1115" spans="1:40" x14ac:dyDescent="0.25">
      <c r="A1115" t="s">
        <v>52</v>
      </c>
      <c r="B1115" t="str">
        <f>VLOOKUP(LEFT(A1115,3),'Table corresp.'!$A$4:$D$63,3,FALSE)</f>
        <v>Importation</v>
      </c>
      <c r="C1115" t="str">
        <f>VLOOKUP(A1115,'Table corresp.'!$M$4:$P$63,4,FALSE)</f>
        <v>Importation</v>
      </c>
      <c r="D1115" t="s">
        <v>99</v>
      </c>
      <c r="E1115" t="str">
        <f>VLOOKUP(LEFT(D1115,3),'Table corresp.'!$A$4:$D$63,4,FALSE)</f>
        <v>Transformation</v>
      </c>
      <c r="F1115" t="str">
        <f t="shared" si="132"/>
        <v xml:space="preserve">Imp - 47 </v>
      </c>
      <c r="G1115" s="164">
        <v>0</v>
      </c>
      <c r="H1115" s="164">
        <v>3530516.7140000039</v>
      </c>
      <c r="I1115" s="164">
        <v>3530516.7140000039</v>
      </c>
      <c r="J1115" s="164">
        <v>0</v>
      </c>
      <c r="K1115" s="164">
        <v>766.4011064431279</v>
      </c>
      <c r="L1115" s="164">
        <v>766.4011064431279</v>
      </c>
      <c r="M1115" s="164">
        <v>0</v>
      </c>
      <c r="N1115" s="164">
        <v>1468.4533766755358</v>
      </c>
      <c r="O1115" s="164">
        <v>1468.4533766755358</v>
      </c>
      <c r="P1115" s="164">
        <v>0</v>
      </c>
      <c r="Q1115" s="164">
        <v>411.74028668549943</v>
      </c>
      <c r="R1115" s="164">
        <v>411.74028668549943</v>
      </c>
      <c r="S1115" s="163" t="str">
        <f t="shared" si="133"/>
        <v>BI</v>
      </c>
      <c r="T1115" s="163">
        <f>VLOOKUP(A1115,'Groupe de branches'!$Z$27:$AM$86,14,FALSE)</f>
        <v>0</v>
      </c>
      <c r="U1115" s="163">
        <f>VLOOKUP(D1115,'Groupe de branches'!$Z$27:$AM$86,14,FALSE)</f>
        <v>0</v>
      </c>
      <c r="V1115" s="163">
        <v>2018</v>
      </c>
      <c r="W1115" t="str">
        <f>VLOOKUP(D1115,'Table corresp.'!$M$4:$S$63,7,FALSE)</f>
        <v>Meuble</v>
      </c>
      <c r="X1115" s="167">
        <f>IFERROR(G1115/SUMIFS('Comp2016-2017 (3)'!$I$5:$I$289,'Comp2016-2017 (3)'!$A$5:$A$289,A1115,'Comp2016-2017 (3)'!$R$5:$R$289,V1115),0)</f>
        <v>0</v>
      </c>
      <c r="Y1115" s="178">
        <f>IFERROR(IF(RIGHT(F1115,3)="Exp",VLOOKUP(F1115,#REF!,2,FALSE),VLOOKUP(F1115,#REF!,9,FALSE)),0)</f>
        <v>0</v>
      </c>
      <c r="Z1115" s="167">
        <f t="shared" si="136"/>
        <v>0</v>
      </c>
      <c r="AA1115" s="189">
        <f t="shared" si="138"/>
        <v>0</v>
      </c>
      <c r="AB1115" s="2">
        <f>IFERROR(SUMIFS('Comp2016-2017 (3)'!$G$5:$G$289,'Comp2016-2017 (3)'!$A$5:$A$289,A1115,'Comp2016-2017 (3)'!$R$5:$R$289,V1115)*AA1115/SUMIFS($AA$4:$AA$1116,$A$4:$A$1116,A1115,$V$4:$V$1116,V1115),0)</f>
        <v>0</v>
      </c>
      <c r="AC1115" s="2" t="str">
        <f>IF($W1115=AC$3,$AB1115,IF(NOT($W1115=0),"",SUMIFS('Val-Vol (2)'!AC$4:AC$1116,'Val-Vol (2)'!$A$4:$A$1116,$D1115,'Val-Vol (2)'!$V$4:$V$1116,$V1115)/SUMIFS('Comp2016-2017 (3)'!$G$5:$G$289,'Comp2016-2017 (3)'!$A$5:$A$289,$D1115,'Comp2016-2017 (3)'!$R$5:$R$289,$V1115)*$AB1115))</f>
        <v/>
      </c>
      <c r="AD1115" s="2" t="str">
        <f>IF($W1115=AD$3,$AB1115,IF(NOT($W1115=0),"",SUMIFS('Val-Vol (2)'!AD$4:AD$1116,'Val-Vol (2)'!$A$4:$A$1116,$D1115,'Val-Vol (2)'!$V$4:$V$1116,$V1115)/SUMIFS('Comp2016-2017 (3)'!$G$5:$G$289,'Comp2016-2017 (3)'!$A$5:$A$289,$D1115,'Comp2016-2017 (3)'!$R$5:$R$289,$V1115)*$AB1115))</f>
        <v/>
      </c>
      <c r="AE1115" s="2">
        <f>IF($W1115=AE$3,$AB1115,IF(NOT($W1115=0),"",SUMIFS('Val-Vol (2)'!AE$4:AE$1116,'Val-Vol (2)'!$A$4:$A$1116,$D1115,'Val-Vol (2)'!$V$4:$V$1116,$V1115)/SUMIFS('Comp2016-2017 (3)'!$G$5:$G$289,'Comp2016-2017 (3)'!$A$5:$A$289,$D1115,'Comp2016-2017 (3)'!$R$5:$R$289,$V1115)*$AB1115))</f>
        <v>0</v>
      </c>
      <c r="AF1115" s="2" t="str">
        <f>IF($W1115=AF$3,$AB1115,IF(NOT($W1115=0),"",SUMIFS('Val-Vol (2)'!AF$4:AF$1116,'Val-Vol (2)'!$A$4:$A$1116,$D1115,'Val-Vol (2)'!$V$4:$V$1116,$V1115)/SUMIFS('Comp2016-2017 (3)'!$G$5:$G$289,'Comp2016-2017 (3)'!$A$5:$A$289,$D1115,'Comp2016-2017 (3)'!$R$5:$R$289,$V1115)*$AB1115))</f>
        <v/>
      </c>
      <c r="AG1115" s="2" t="str">
        <f>IF($W1115=AG$3,$AB1115,IF(NOT($W1115=0),"",SUMIFS('Val-Vol (2)'!AG$4:AG$1116,'Val-Vol (2)'!$A$4:$A$1116,$D1115,'Val-Vol (2)'!$V$4:$V$1116,$V1115)/SUMIFS('Comp2016-2017 (3)'!$G$5:$G$289,'Comp2016-2017 (3)'!$A$5:$A$289,$D1115,'Comp2016-2017 (3)'!$R$5:$R$289,$V1115)*$AB1115))</f>
        <v/>
      </c>
      <c r="AH1115" s="2" t="str">
        <f>IF($W1115=AH$3,$AB1115,IF(NOT($W1115=0),"",SUMIFS('Val-Vol (2)'!AH$4:AH$1116,'Val-Vol (2)'!$A$4:$A$1116,$D1115,'Val-Vol (2)'!$V$4:$V$1116,$V1115)/SUMIFS('Comp2016-2017 (3)'!$G$5:$G$289,'Comp2016-2017 (3)'!$A$5:$A$289,$D1115,'Comp2016-2017 (3)'!$R$5:$R$289,$V1115)*$AB1115))</f>
        <v/>
      </c>
      <c r="AI1115" s="2" t="str">
        <f>IF($W1115=AI$3,$AB1115,IF(NOT($W1115=0),"",SUMIFS('Val-Vol (2)'!AI$4:AI$1116,'Val-Vol (2)'!$A$4:$A$1116,$D1115,'Val-Vol (2)'!$V$4:$V$1116,$V1115)/SUMIFS('Comp2016-2017 (3)'!$G$5:$G$289,'Comp2016-2017 (3)'!$A$5:$A$289,$D1115,'Comp2016-2017 (3)'!$R$5:$R$289,$V1115)*$AB1115))</f>
        <v/>
      </c>
      <c r="AJ1115" s="2" t="str">
        <f>IF($W1115=AJ$3,$AB1115,IF(NOT($W1115=0),"",SUMIFS('Val-Vol (2)'!AJ$4:AJ$1116,'Val-Vol (2)'!$A$4:$A$1116,$D1115,'Val-Vol (2)'!$V$4:$V$1116,$V1115)/SUMIFS('Comp2016-2017 (3)'!$G$5:$G$289,'Comp2016-2017 (3)'!$A$5:$A$289,$D1115,'Comp2016-2017 (3)'!$R$5:$R$289,$V1115)*$AB1115))</f>
        <v/>
      </c>
      <c r="AK1115" s="2">
        <f t="shared" si="139"/>
        <v>0</v>
      </c>
      <c r="AL1115" t="str">
        <f t="shared" si="137"/>
        <v/>
      </c>
      <c r="AM1115" t="str">
        <f>VLOOKUP(A1115,'Table corresp.'!$M$4:$U$63,8,FALSE)</f>
        <v>Importation</v>
      </c>
      <c r="AN1115" t="str">
        <f>VLOOKUP(D1115,'Table corresp.'!$M$4:$U$63,9,FALSE)</f>
        <v>Production finale</v>
      </c>
    </row>
    <row r="1116" spans="1:40" x14ac:dyDescent="0.25">
      <c r="A1116" t="s">
        <v>52</v>
      </c>
      <c r="B1116" t="str">
        <f>VLOOKUP(LEFT(A1116,3),'Table corresp.'!$A$4:$D$63,3,FALSE)</f>
        <v>Importation</v>
      </c>
      <c r="C1116" t="str">
        <f>VLOOKUP(A1116,'Table corresp.'!$M$4:$P$63,4,FALSE)</f>
        <v>Importation</v>
      </c>
      <c r="D1116" t="s">
        <v>100</v>
      </c>
      <c r="E1116" t="str">
        <f>VLOOKUP(LEFT(D1116,3),'Table corresp.'!$A$4:$D$63,4,FALSE)</f>
        <v>Transformation</v>
      </c>
      <c r="F1116" t="str">
        <f t="shared" si="132"/>
        <v xml:space="preserve">Imp - 48 </v>
      </c>
      <c r="G1116" s="164">
        <v>0</v>
      </c>
      <c r="H1116" s="164">
        <v>427335.13499999943</v>
      </c>
      <c r="I1116" s="164">
        <v>427335.13499999943</v>
      </c>
      <c r="J1116" s="164">
        <v>0</v>
      </c>
      <c r="K1116" s="164">
        <v>508.61769891962655</v>
      </c>
      <c r="L1116" s="164">
        <v>508.61769891962655</v>
      </c>
      <c r="M1116" s="164">
        <v>0</v>
      </c>
      <c r="N1116" s="164">
        <v>0</v>
      </c>
      <c r="O1116" s="164">
        <v>0</v>
      </c>
      <c r="P1116" s="164">
        <v>0</v>
      </c>
      <c r="Q1116" s="164">
        <v>0</v>
      </c>
      <c r="R1116" s="164">
        <v>0</v>
      </c>
      <c r="S1116" s="163" t="str">
        <f t="shared" si="133"/>
        <v/>
      </c>
      <c r="T1116" s="163">
        <f>VLOOKUP(A1116,'Groupe de branches'!$Z$27:$AM$86,14,FALSE)</f>
        <v>0</v>
      </c>
      <c r="U1116" s="163">
        <f>VLOOKUP(D1116,'Groupe de branches'!$Z$27:$AM$86,14,FALSE)</f>
        <v>0</v>
      </c>
      <c r="V1116" s="163">
        <v>2018</v>
      </c>
      <c r="W1116" t="str">
        <f>VLOOKUP(D1116,'Table corresp.'!$M$4:$S$63,7,FALSE)</f>
        <v>Produits de consommation courante</v>
      </c>
      <c r="X1116" s="167">
        <f>IFERROR(G1116/SUMIFS('Comp2016-2017 (3)'!$I$5:$I$289,'Comp2016-2017 (3)'!$A$5:$A$289,A1116,'Comp2016-2017 (3)'!$R$5:$R$289,V1116),0)</f>
        <v>0</v>
      </c>
      <c r="Y1116" s="178">
        <f>IFERROR(IF(RIGHT(F1116,3)="Exp",VLOOKUP(F1116,#REF!,2,FALSE),VLOOKUP(F1116,#REF!,9,FALSE)),0)</f>
        <v>0</v>
      </c>
      <c r="Z1116" s="167">
        <f t="shared" si="136"/>
        <v>0</v>
      </c>
      <c r="AA1116" s="189">
        <f t="shared" si="138"/>
        <v>0</v>
      </c>
      <c r="AB1116" s="2">
        <f>IFERROR(SUMIFS('Comp2016-2017 (3)'!$G$5:$G$289,'Comp2016-2017 (3)'!$A$5:$A$289,A1116,'Comp2016-2017 (3)'!$R$5:$R$289,V1116)*AA1116/SUMIFS($AA$4:$AA$1116,$A$4:$A$1116,A1116,$V$4:$V$1116,V1116),0)</f>
        <v>0</v>
      </c>
      <c r="AC1116" s="2" t="str">
        <f>IF($W1116=AC$3,$AB1116,IF(NOT($W1116=0),"",SUMIFS('Val-Vol (2)'!AC$4:AC$1116,'Val-Vol (2)'!$A$4:$A$1116,$D1116,'Val-Vol (2)'!$V$4:$V$1116,$V1116)/SUMIFS('Comp2016-2017 (3)'!$G$5:$G$289,'Comp2016-2017 (3)'!$A$5:$A$289,$D1116,'Comp2016-2017 (3)'!$R$5:$R$289,$V1116)*$AB1116))</f>
        <v/>
      </c>
      <c r="AD1116" s="2" t="str">
        <f>IF($W1116=AD$3,$AB1116,IF(NOT($W1116=0),"",SUMIFS('Val-Vol (2)'!AD$4:AD$1116,'Val-Vol (2)'!$A$4:$A$1116,$D1116,'Val-Vol (2)'!$V$4:$V$1116,$V1116)/SUMIFS('Comp2016-2017 (3)'!$G$5:$G$289,'Comp2016-2017 (3)'!$A$5:$A$289,$D1116,'Comp2016-2017 (3)'!$R$5:$R$289,$V1116)*$AB1116))</f>
        <v/>
      </c>
      <c r="AE1116" s="2" t="str">
        <f>IF($W1116=AE$3,$AB1116,IF(NOT($W1116=0),"",SUMIFS('Val-Vol (2)'!AE$4:AE$1116,'Val-Vol (2)'!$A$4:$A$1116,$D1116,'Val-Vol (2)'!$V$4:$V$1116,$V1116)/SUMIFS('Comp2016-2017 (3)'!$G$5:$G$289,'Comp2016-2017 (3)'!$A$5:$A$289,$D1116,'Comp2016-2017 (3)'!$R$5:$R$289,$V1116)*$AB1116))</f>
        <v/>
      </c>
      <c r="AF1116" s="2" t="str">
        <f>IF($W1116=AF$3,$AB1116,IF(NOT($W1116=0),"",SUMIFS('Val-Vol (2)'!AF$4:AF$1116,'Val-Vol (2)'!$A$4:$A$1116,$D1116,'Val-Vol (2)'!$V$4:$V$1116,$V1116)/SUMIFS('Comp2016-2017 (3)'!$G$5:$G$289,'Comp2016-2017 (3)'!$A$5:$A$289,$D1116,'Comp2016-2017 (3)'!$R$5:$R$289,$V1116)*$AB1116))</f>
        <v/>
      </c>
      <c r="AG1116" s="2" t="str">
        <f>IF($W1116=AG$3,$AB1116,IF(NOT($W1116=0),"",SUMIFS('Val-Vol (2)'!AG$4:AG$1116,'Val-Vol (2)'!$A$4:$A$1116,$D1116,'Val-Vol (2)'!$V$4:$V$1116,$V1116)/SUMIFS('Comp2016-2017 (3)'!$G$5:$G$289,'Comp2016-2017 (3)'!$A$5:$A$289,$D1116,'Comp2016-2017 (3)'!$R$5:$R$289,$V1116)*$AB1116))</f>
        <v/>
      </c>
      <c r="AH1116" s="2" t="str">
        <f>IF($W1116=AH$3,$AB1116,IF(NOT($W1116=0),"",SUMIFS('Val-Vol (2)'!AH$4:AH$1116,'Val-Vol (2)'!$A$4:$A$1116,$D1116,'Val-Vol (2)'!$V$4:$V$1116,$V1116)/SUMIFS('Comp2016-2017 (3)'!$G$5:$G$289,'Comp2016-2017 (3)'!$A$5:$A$289,$D1116,'Comp2016-2017 (3)'!$R$5:$R$289,$V1116)*$AB1116))</f>
        <v/>
      </c>
      <c r="AI1116" s="2">
        <f>IF($W1116=AI$3,$AB1116,IF(NOT($W1116=0),"",SUMIFS('Val-Vol (2)'!AI$4:AI$1116,'Val-Vol (2)'!$A$4:$A$1116,$D1116,'Val-Vol (2)'!$V$4:$V$1116,$V1116)/SUMIFS('Comp2016-2017 (3)'!$G$5:$G$289,'Comp2016-2017 (3)'!$A$5:$A$289,$D1116,'Comp2016-2017 (3)'!$R$5:$R$289,$V1116)*$AB1116))</f>
        <v>0</v>
      </c>
      <c r="AJ1116" s="2" t="str">
        <f>IF($W1116=AJ$3,$AB1116,IF(NOT($W1116=0),"",SUMIFS('Val-Vol (2)'!AJ$4:AJ$1116,'Val-Vol (2)'!$A$4:$A$1116,$D1116,'Val-Vol (2)'!$V$4:$V$1116,$V1116)/SUMIFS('Comp2016-2017 (3)'!$G$5:$G$289,'Comp2016-2017 (3)'!$A$5:$A$289,$D1116,'Comp2016-2017 (3)'!$R$5:$R$289,$V1116)*$AB1116))</f>
        <v/>
      </c>
      <c r="AK1116" s="2">
        <f t="shared" si="139"/>
        <v>0</v>
      </c>
      <c r="AL1116" t="str">
        <f t="shared" si="137"/>
        <v/>
      </c>
      <c r="AM1116" t="str">
        <f>VLOOKUP(A1116,'Table corresp.'!$M$4:$U$63,8,FALSE)</f>
        <v>Importation</v>
      </c>
      <c r="AN1116" t="str">
        <f>VLOOKUP(D1116,'Table corresp.'!$M$4:$U$63,9,FALSE)</f>
        <v>Production finale</v>
      </c>
    </row>
    <row r="1117" spans="1:40" s="212" customFormat="1" x14ac:dyDescent="0.25">
      <c r="A1117" s="212" t="s">
        <v>80</v>
      </c>
      <c r="B1117" s="212">
        <f>VLOOKUP(LEFT(A1117,3),'Table corresp.'!$A$4:$D$63,3,FALSE)</f>
        <v>0</v>
      </c>
      <c r="C1117" s="212" t="str">
        <f>VLOOKUP(A1117,'Table corresp.'!$M$4:$P$63,4,FALSE)</f>
        <v>Production et transformation de produits bois</v>
      </c>
      <c r="D1117" s="212" t="s">
        <v>81</v>
      </c>
      <c r="E1117" s="212" t="str">
        <f>VLOOKUP(LEFT(D1117,3),'Table corresp.'!$A$4:$D$63,4,FALSE)</f>
        <v>Transformation</v>
      </c>
      <c r="F1117" s="212" t="str">
        <f t="shared" si="132"/>
        <v xml:space="preserve">01  - 05 </v>
      </c>
      <c r="G1117" s="213">
        <v>11427.759122597516</v>
      </c>
      <c r="H1117" s="213">
        <v>5272.8233657482788</v>
      </c>
      <c r="I1117" s="213">
        <v>16700.582488345797</v>
      </c>
      <c r="J1117" s="215">
        <v>0</v>
      </c>
      <c r="K1117" s="215">
        <v>0</v>
      </c>
      <c r="L1117" s="215">
        <v>0</v>
      </c>
      <c r="M1117" s="215">
        <v>0</v>
      </c>
      <c r="N1117" s="215">
        <v>0</v>
      </c>
      <c r="O1117" s="215">
        <v>0</v>
      </c>
      <c r="P1117" s="215">
        <v>0</v>
      </c>
      <c r="Q1117" s="215">
        <v>0</v>
      </c>
      <c r="R1117" s="215">
        <v>0</v>
      </c>
      <c r="S1117" s="213"/>
      <c r="T1117" s="212">
        <f>VLOOKUP(A1117,'Groupe de branches'!$Z$27:$AM$86,14,FALSE)</f>
        <v>0</v>
      </c>
      <c r="U1117" s="212">
        <f>VLOOKUP(D1117,'Groupe de branches'!$Z$27:$AM$86,14,FALSE)</f>
        <v>0</v>
      </c>
      <c r="V1117" s="212">
        <v>2019</v>
      </c>
      <c r="W1117" s="212">
        <f>VLOOKUP(D1117,'Table corresp.'!$M$4:$S$63,7,FALSE)</f>
        <v>0</v>
      </c>
      <c r="X1117" s="228">
        <f>IFERROR(G1117/SUMIFS('Comp2016-2017 (3)'!$I$5:$I$289,'Comp2016-2017 (3)'!$A$5:$A$289,A1117,'Comp2016-2017 (3)'!$R$5:$R$289,V1117),0)</f>
        <v>0.43726109162580679</v>
      </c>
      <c r="Y1117" s="214">
        <f>IFERROR(IF(RIGHT(F1117,3)="Exp",VLOOKUP(F1117,#REF!,2,FALSE),VLOOKUP(F1117,#REF!,9,FALSE)),1)</f>
        <v>1</v>
      </c>
      <c r="Z1117" s="225">
        <f>Y1117/SUMIFS($Y$4:$Y$1858,$V$4:$V$1858,V1117,$A$4:$A$1858,A1117)</f>
        <v>0.25</v>
      </c>
      <c r="AA1117" s="225">
        <f t="shared" ref="AA1117:AA1180" si="140">X1117*Z1117</f>
        <v>0.1093152729064517</v>
      </c>
      <c r="AB1117" s="222">
        <f>IFERROR(SUMIFS('Comp2016-2017 (3)'!$G$5:$G$289,'Comp2016-2017 (3)'!$A$5:$A$289,A1117,'Comp2016-2017 (3)'!$R$5:$R$289,V1117)*AA1117/SUMIFS($AA$4:$AA$1858,$A$4:$A$1858,A1117,$V$4:$V$1858,V1117),0)</f>
        <v>5942.4437141115022</v>
      </c>
      <c r="AC1117" s="222">
        <f>IF($W1117=AC$3,$AB1117,IF(NOT($W1117=0),"",SUMIFS('Val-Vol (2)'!AC$4:AC$1858,'Val-Vol (2)'!$A$4:$A$1858,$D1117,'Val-Vol (2)'!$V$4:$V$1858,$V1117)/SUMIFS('Comp2016-2017 (3)'!$G$5:$G$289,'Comp2016-2017 (3)'!$A$5:$A$289,$D1117,'Comp2016-2017 (3)'!$R$5:$R$289,$V1117)*$AB1117))</f>
        <v>433.25462463151973</v>
      </c>
      <c r="AD1117" s="222">
        <f>IF($W1117=AD$3,$AB1117,IF(NOT($W1117=0),"",SUMIFS('Val-Vol (2)'!AD$4:AD$1858,'Val-Vol (2)'!$A$4:$A$1858,$D1117,'Val-Vol (2)'!$V$4:$V$1858,$V1117)/SUMIFS('Comp2016-2017 (3)'!$G$5:$G$289,'Comp2016-2017 (3)'!$A$5:$A$289,$D1117,'Comp2016-2017 (3)'!$R$5:$R$289,$V1117)*$AB1117))</f>
        <v>24.864996998803409</v>
      </c>
      <c r="AE1117" s="222">
        <f>IF($W1117=AE$3,$AB1117,IF(NOT($W1117=0),"",SUMIFS('Val-Vol (2)'!AE$4:AE$1858,'Val-Vol (2)'!$A$4:$A$1858,$D1117,'Val-Vol (2)'!$V$4:$V$1858,$V1117)/SUMIFS('Comp2016-2017 (3)'!$G$5:$G$289,'Comp2016-2017 (3)'!$A$5:$A$289,$D1117,'Comp2016-2017 (3)'!$R$5:$R$289,$V1117)*$AB1117))</f>
        <v>0</v>
      </c>
      <c r="AF1117" s="222">
        <f>IF($W1117=AF$3,$AB1117,IF(NOT($W1117=0),"",SUMIFS('Val-Vol (2)'!AF$4:AF$1858,'Val-Vol (2)'!$A$4:$A$1858,$D1117,'Val-Vol (2)'!$V$4:$V$1858,$V1117)/SUMIFS('Comp2016-2017 (3)'!$G$5:$G$289,'Comp2016-2017 (3)'!$A$5:$A$289,$D1117,'Comp2016-2017 (3)'!$R$5:$R$289,$V1117)*$AB1117))</f>
        <v>352.537201146271</v>
      </c>
      <c r="AG1117" s="222">
        <f>IF($W1117=AG$3,$AB1117,IF(NOT($W1117=0),"",SUMIFS('Val-Vol (2)'!AG$4:AG$1858,'Val-Vol (2)'!$A$4:$A$1858,$D1117,'Val-Vol (2)'!$V$4:$V$1858,$V1117)/SUMIFS('Comp2016-2017 (3)'!$G$5:$G$289,'Comp2016-2017 (3)'!$A$5:$A$289,$D1117,'Comp2016-2017 (3)'!$R$5:$R$289,$V1117)*$AB1117))</f>
        <v>138.67013073865346</v>
      </c>
      <c r="AH1117" s="222">
        <f>IF($W1117=AH$3,$AB1117,IF(NOT($W1117=0),"",SUMIFS('Val-Vol (2)'!AH$4:AH$1858,'Val-Vol (2)'!$A$4:$A$1858,$D1117,'Val-Vol (2)'!$V$4:$V$1858,$V1117)/SUMIFS('Comp2016-2017 (3)'!$G$5:$G$289,'Comp2016-2017 (3)'!$A$5:$A$289,$D1117,'Comp2016-2017 (3)'!$R$5:$R$289,$V1117)*$AB1117))</f>
        <v>1072.5638035977831</v>
      </c>
      <c r="AI1117" s="222">
        <f>IF($W1117=AI$3,$AB1117,IF(NOT($W1117=0),"",SUMIFS('Val-Vol (2)'!AI$4:AI$1858,'Val-Vol (2)'!$A$4:$A$1858,$D1117,'Val-Vol (2)'!$V$4:$V$1858,$V1117)/SUMIFS('Comp2016-2017 (3)'!$G$5:$G$289,'Comp2016-2017 (3)'!$A$5:$A$289,$D1117,'Comp2016-2017 (3)'!$R$5:$R$289,$V1117)*$AB1117))</f>
        <v>74.005155668354874</v>
      </c>
      <c r="AJ1117" s="222">
        <f>IF($W1117=AJ$3,$AB1117,IF(NOT($W1117=0),"",SUMIFS('Val-Vol (2)'!AJ$4:AJ$1858,'Val-Vol (2)'!$A$4:$A$1858,$D1117,'Val-Vol (2)'!$V$4:$V$1858,$V1117)/SUMIFS('Comp2016-2017 (3)'!$G$5:$G$289,'Comp2016-2017 (3)'!$A$5:$A$289,$D1117,'Comp2016-2017 (3)'!$R$5:$R$289,$V1117)*$AB1117))</f>
        <v>0.11714191907270137</v>
      </c>
      <c r="AK1117" s="222">
        <f>SUM(AC1117:AJ1117)-AB1117</f>
        <v>-3846.430659411044</v>
      </c>
      <c r="AL1117" s="212" t="str">
        <f t="shared" ref="AL1117" si="141">IF(A1117=D1117,"remplir à la main","")</f>
        <v/>
      </c>
      <c r="AM1117" s="212" t="str">
        <f>VLOOKUP(A1117,'Table corresp.'!$M$4:$U$63,8,FALSE)</f>
        <v>Forêt</v>
      </c>
      <c r="AN1117" s="212" t="str">
        <f>VLOOKUP(D1117,'Table corresp.'!$M$4:$U$63,9,FALSE)</f>
        <v>Production intermédiaire</v>
      </c>
    </row>
    <row r="1118" spans="1:40" x14ac:dyDescent="0.25">
      <c r="A1118" t="s">
        <v>80</v>
      </c>
      <c r="B1118">
        <f>VLOOKUP(LEFT(A1118,3),'Table corresp.'!$A$4:$D$63,3,FALSE)</f>
        <v>0</v>
      </c>
      <c r="C1118" t="str">
        <f>VLOOKUP(A1118,'Table corresp.'!$M$4:$P$63,4,FALSE)</f>
        <v>Production et transformation de produits bois</v>
      </c>
      <c r="D1118" t="s">
        <v>3</v>
      </c>
      <c r="E1118" t="str">
        <f>VLOOKUP(LEFT(D1118,3),'Table corresp.'!$A$4:$D$63,4,FALSE)</f>
        <v>Transformation</v>
      </c>
      <c r="F1118" t="str">
        <f t="shared" si="132"/>
        <v xml:space="preserve">01  - 06 </v>
      </c>
      <c r="G1118" s="213">
        <v>8102.7640097018129</v>
      </c>
      <c r="H1118" s="213">
        <v>3744.9773157630348</v>
      </c>
      <c r="I1118" s="213">
        <v>11847.741325464851</v>
      </c>
      <c r="J1118" s="215">
        <v>0</v>
      </c>
      <c r="K1118" s="215">
        <v>0</v>
      </c>
      <c r="L1118" s="215">
        <v>0</v>
      </c>
      <c r="M1118" s="215">
        <v>0</v>
      </c>
      <c r="N1118" s="215">
        <v>0</v>
      </c>
      <c r="O1118" s="215">
        <v>0</v>
      </c>
      <c r="P1118" s="215">
        <v>0</v>
      </c>
      <c r="Q1118" s="215">
        <v>0</v>
      </c>
      <c r="R1118" s="215">
        <v>0</v>
      </c>
      <c r="S1118" s="213"/>
      <c r="T1118" s="212">
        <f>VLOOKUP(A1118,'Groupe de branches'!$Z$27:$AM$86,14,FALSE)</f>
        <v>0</v>
      </c>
      <c r="U1118" s="212">
        <f>VLOOKUP(D1118,'Groupe de branches'!$Z$27:$AM$86,14,FALSE)</f>
        <v>0</v>
      </c>
      <c r="V1118" s="212">
        <v>2019</v>
      </c>
      <c r="W1118" s="212">
        <f>VLOOKUP(D1118,'Table corresp.'!$M$4:$S$63,7,FALSE)</f>
        <v>0</v>
      </c>
      <c r="X1118" s="228">
        <f>IFERROR(G1118/SUMIFS('Comp2016-2017 (3)'!$I$5:$I$289,'Comp2016-2017 (3)'!$A$5:$A$289,A1118,'Comp2016-2017 (3)'!$R$5:$R$289,V1118),0)</f>
        <v>0.31003658705602721</v>
      </c>
      <c r="Y1118" s="214">
        <f>IFERROR(IF(RIGHT(F1118,3)="Exp",VLOOKUP(F1118,#REF!,2,FALSE),VLOOKUP(F1118,#REF!,9,FALSE)),1)</f>
        <v>1</v>
      </c>
      <c r="Z1118" s="225">
        <f t="shared" ref="Z1118" si="142">Y1118/SUMIFS($Y$4:$Y$1858,$V$4:$V$1858,V1118,$A$4:$A$1858,A1118)</f>
        <v>0.25</v>
      </c>
      <c r="AA1118" s="225">
        <f t="shared" si="140"/>
        <v>7.7509146764006803E-2</v>
      </c>
      <c r="AB1118" s="222">
        <f>IFERROR(SUMIFS('Comp2016-2017 (3)'!$G$5:$G$289,'Comp2016-2017 (3)'!$A$5:$A$289,A1118,'Comp2016-2017 (3)'!$R$5:$R$289,V1118)*AA1118/SUMIFS($AA$4:$AA$1858,$A$4:$A$1858,A1118,$V$4:$V$1858,V1118),0)</f>
        <v>4213.4436454097186</v>
      </c>
      <c r="AC1118" s="222">
        <f>IF($W1118=AC$3,$AB1118,IF(NOT($W1118=0),"",SUMIFS('Val-Vol (2)'!AC$4:AC$1858,'Val-Vol (2)'!$A$4:$A$1858,$D1118,'Val-Vol (2)'!$V$4:$V$1858,$V1118)/SUMIFS('Comp2016-2017 (3)'!$G$5:$G$289,'Comp2016-2017 (3)'!$A$5:$A$289,$D1118,'Comp2016-2017 (3)'!$R$5:$R$289,$V1118)*$AB1118))</f>
        <v>318.63392967880117</v>
      </c>
      <c r="AD1118" s="222">
        <f>IF($W1118=AD$3,$AB1118,IF(NOT($W1118=0),"",SUMIFS('Val-Vol (2)'!AD$4:AD$1858,'Val-Vol (2)'!$A$4:$A$1858,$D1118,'Val-Vol (2)'!$V$4:$V$1858,$V1118)/SUMIFS('Comp2016-2017 (3)'!$G$5:$G$289,'Comp2016-2017 (3)'!$A$5:$A$289,$D1118,'Comp2016-2017 (3)'!$R$5:$R$289,$V1118)*$AB1118))</f>
        <v>15.975361005943512</v>
      </c>
      <c r="AE1118" s="222">
        <f>IF($W1118=AE$3,$AB1118,IF(NOT($W1118=0),"",SUMIFS('Val-Vol (2)'!AE$4:AE$1858,'Val-Vol (2)'!$A$4:$A$1858,$D1118,'Val-Vol (2)'!$V$4:$V$1858,$V1118)/SUMIFS('Comp2016-2017 (3)'!$G$5:$G$289,'Comp2016-2017 (3)'!$A$5:$A$289,$D1118,'Comp2016-2017 (3)'!$R$5:$R$289,$V1118)*$AB1118))</f>
        <v>0</v>
      </c>
      <c r="AF1118" s="222">
        <f>IF($W1118=AF$3,$AB1118,IF(NOT($W1118=0),"",SUMIFS('Val-Vol (2)'!AF$4:AF$1858,'Val-Vol (2)'!$A$4:$A$1858,$D1118,'Val-Vol (2)'!$V$4:$V$1858,$V1118)/SUMIFS('Comp2016-2017 (3)'!$G$5:$G$289,'Comp2016-2017 (3)'!$A$5:$A$289,$D1118,'Comp2016-2017 (3)'!$R$5:$R$289,$V1118)*$AB1118))</f>
        <v>254.582442704279</v>
      </c>
      <c r="AG1118" s="222">
        <f>IF($W1118=AG$3,$AB1118,IF(NOT($W1118=0),"",SUMIFS('Val-Vol (2)'!AG$4:AG$1858,'Val-Vol (2)'!$A$4:$A$1858,$D1118,'Val-Vol (2)'!$V$4:$V$1858,$V1118)/SUMIFS('Comp2016-2017 (3)'!$G$5:$G$289,'Comp2016-2017 (3)'!$A$5:$A$289,$D1118,'Comp2016-2017 (3)'!$R$5:$R$289,$V1118)*$AB1118))</f>
        <v>102.09518223899668</v>
      </c>
      <c r="AH1118" s="222">
        <f>IF($W1118=AH$3,$AB1118,IF(NOT($W1118=0),"",SUMIFS('Val-Vol (2)'!AH$4:AH$1858,'Val-Vol (2)'!$A$4:$A$1858,$D1118,'Val-Vol (2)'!$V$4:$V$1858,$V1118)/SUMIFS('Comp2016-2017 (3)'!$G$5:$G$289,'Comp2016-2017 (3)'!$A$5:$A$289,$D1118,'Comp2016-2017 (3)'!$R$5:$R$289,$V1118)*$AB1118))</f>
        <v>778.84270675674088</v>
      </c>
      <c r="AI1118" s="222">
        <f>IF($W1118=AI$3,$AB1118,IF(NOT($W1118=0),"",SUMIFS('Val-Vol (2)'!AI$4:AI$1858,'Val-Vol (2)'!$A$4:$A$1858,$D1118,'Val-Vol (2)'!$V$4:$V$1858,$V1118)/SUMIFS('Comp2016-2017 (3)'!$G$5:$G$289,'Comp2016-2017 (3)'!$A$5:$A$289,$D1118,'Comp2016-2017 (3)'!$R$5:$R$289,$V1118)*$AB1118))</f>
        <v>51.006454882853625</v>
      </c>
      <c r="AJ1118" s="222">
        <f>IF($W1118=AJ$3,$AB1118,IF(NOT($W1118=0),"",SUMIFS('Val-Vol (2)'!AJ$4:AJ$1858,'Val-Vol (2)'!$A$4:$A$1858,$D1118,'Val-Vol (2)'!$V$4:$V$1858,$V1118)/SUMIFS('Comp2016-2017 (3)'!$G$5:$G$289,'Comp2016-2017 (3)'!$A$5:$A$289,$D1118,'Comp2016-2017 (3)'!$R$5:$R$289,$V1118)*$AB1118))</f>
        <v>0</v>
      </c>
      <c r="AK1118" s="222">
        <f>SUM(AC1118:AJ1118)-AB1118</f>
        <v>-2692.3075681421037</v>
      </c>
      <c r="AL1118" s="212" t="str">
        <f t="shared" ref="AL1118:AL1181" si="143">IF(A1118=D1118,"remplir à la main","")</f>
        <v/>
      </c>
      <c r="AM1118" s="212" t="str">
        <f>VLOOKUP(A1118,'Table corresp.'!$M$4:$U$63,8,FALSE)</f>
        <v>Forêt</v>
      </c>
      <c r="AN1118" s="212" t="str">
        <f>VLOOKUP(D1118,'Table corresp.'!$M$4:$U$63,9,FALSE)</f>
        <v>Production intermédiaire</v>
      </c>
    </row>
    <row r="1119" spans="1:40" x14ac:dyDescent="0.25">
      <c r="A1119" t="s">
        <v>80</v>
      </c>
      <c r="B1119">
        <f>VLOOKUP(LEFT(A1119,3),'Table corresp.'!$A$4:$D$63,3,FALSE)</f>
        <v>0</v>
      </c>
      <c r="C1119" t="str">
        <f>VLOOKUP(A1119,'Table corresp.'!$M$4:$P$63,4,FALSE)</f>
        <v>Production et transformation de produits bois</v>
      </c>
      <c r="D1119" t="s">
        <v>54</v>
      </c>
      <c r="E1119" t="str">
        <f>VLOOKUP(LEFT(D1119,3),'Table corresp.'!$A$4:$D$63,4,FALSE)</f>
        <v>Consommation finale</v>
      </c>
      <c r="F1119" t="str">
        <f t="shared" si="132"/>
        <v>01  - Con</v>
      </c>
      <c r="G1119" s="213">
        <v>739.7993256453567</v>
      </c>
      <c r="H1119" s="213">
        <v>433.04431848868609</v>
      </c>
      <c r="I1119" s="213">
        <v>1172.843644134043</v>
      </c>
      <c r="J1119" s="215">
        <v>0</v>
      </c>
      <c r="K1119" s="215">
        <v>0</v>
      </c>
      <c r="L1119" s="215">
        <v>0</v>
      </c>
      <c r="M1119" s="215">
        <v>0</v>
      </c>
      <c r="N1119" s="215">
        <v>0</v>
      </c>
      <c r="O1119" s="215">
        <v>0</v>
      </c>
      <c r="P1119" s="215">
        <v>0</v>
      </c>
      <c r="Q1119" s="215">
        <v>0</v>
      </c>
      <c r="R1119" s="215">
        <v>0</v>
      </c>
      <c r="S1119" s="213"/>
      <c r="T1119" s="212">
        <f>VLOOKUP(A1119,'Groupe de branches'!$Z$27:$AM$86,14,FALSE)</f>
        <v>0</v>
      </c>
      <c r="U1119" s="212">
        <f>VLOOKUP(D1119,'Groupe de branches'!$Z$27:$AM$86,14,FALSE)</f>
        <v>0</v>
      </c>
      <c r="V1119" s="212">
        <v>2019</v>
      </c>
      <c r="W1119" s="212" t="str">
        <f>VLOOKUP(D1119,'Table corresp.'!$M$4:$S$63,7,FALSE)</f>
        <v>Consommation finale</v>
      </c>
      <c r="X1119" s="228">
        <f>IFERROR(G1119/SUMIFS('Comp2016-2017 (3)'!$I$5:$I$289,'Comp2016-2017 (3)'!$A$5:$A$289,A1119,'Comp2016-2017 (3)'!$R$5:$R$289,V1119),0)</f>
        <v>2.8306989782104941E-2</v>
      </c>
      <c r="Y1119" s="214">
        <f>IFERROR(IF(RIGHT(F1119,3)="Exp",VLOOKUP(F1119,#REF!,2,FALSE),VLOOKUP(F1119,#REF!,9,FALSE)),1)</f>
        <v>1</v>
      </c>
      <c r="Z1119" s="225">
        <f t="shared" ref="Z1119:Z1182" si="144">IFERROR(Y1119/SUMIFS($Y$4:$Y$1858,$V$4:$V$1858,V1119,$A$4:$A$1858,A1119),"")</f>
        <v>0.25</v>
      </c>
      <c r="AA1119" s="225">
        <f t="shared" si="140"/>
        <v>7.0767474455262352E-3</v>
      </c>
      <c r="AB1119" s="222">
        <f>IFERROR(SUMIFS('Comp2016-2017 (3)'!$G$5:$G$289,'Comp2016-2017 (3)'!$A$5:$A$289,A1119,'Comp2016-2017 (3)'!$R$5:$R$289,V1119)*AA1119/SUMIFS($AA$4:$AA$1858,$A$4:$A$1858,A1119,$V$4:$V$1858,V1119),0)</f>
        <v>384.69623005021157</v>
      </c>
      <c r="AC1119" s="222" t="str">
        <f>IF($W1119=AC$3,$AB1119,IF(NOT($W1119=0),"",SUMIFS('Val-Vol (2)'!AC$4:AC$1858,'Val-Vol (2)'!$A$4:$A$1858,$D1119,'Val-Vol (2)'!$V$4:$V$1858,$V1119)/SUMIFS('Comp2016-2017 (3)'!$G$5:$G$289,'Comp2016-2017 (3)'!$A$5:$A$289,$D1119,'Comp2016-2017 (3)'!$R$5:$R$289,$V1119)*$AB1119))</f>
        <v/>
      </c>
      <c r="AD1119" s="222" t="str">
        <f>IF($W1119=AD$3,$AB1119,IF(NOT($W1119=0),"",SUMIFS('Val-Vol (2)'!AD$4:AD$1858,'Val-Vol (2)'!$A$4:$A$1858,$D1119,'Val-Vol (2)'!$V$4:$V$1858,$V1119)/SUMIFS('Comp2016-2017 (3)'!$G$5:$G$289,'Comp2016-2017 (3)'!$A$5:$A$289,$D1119,'Comp2016-2017 (3)'!$R$5:$R$289,$V1119)*$AB1119))</f>
        <v/>
      </c>
      <c r="AE1119" s="222" t="str">
        <f>IF($W1119=AE$3,$AB1119,IF(NOT($W1119=0),"",SUMIFS('Val-Vol (2)'!AE$4:AE$1858,'Val-Vol (2)'!$A$4:$A$1858,$D1119,'Val-Vol (2)'!$V$4:$V$1858,$V1119)/SUMIFS('Comp2016-2017 (3)'!$G$5:$G$289,'Comp2016-2017 (3)'!$A$5:$A$289,$D1119,'Comp2016-2017 (3)'!$R$5:$R$289,$V1119)*$AB1119))</f>
        <v/>
      </c>
      <c r="AF1119" s="222" t="str">
        <f>IF($W1119=AF$3,$AB1119,IF(NOT($W1119=0),"",SUMIFS('Val-Vol (2)'!AF$4:AF$1858,'Val-Vol (2)'!$A$4:$A$1858,$D1119,'Val-Vol (2)'!$V$4:$V$1858,$V1119)/SUMIFS('Comp2016-2017 (3)'!$G$5:$G$289,'Comp2016-2017 (3)'!$A$5:$A$289,$D1119,'Comp2016-2017 (3)'!$R$5:$R$289,$V1119)*$AB1119))</f>
        <v/>
      </c>
      <c r="AG1119" s="222" t="str">
        <f>IF($W1119=AG$3,$AB1119,IF(NOT($W1119=0),"",SUMIFS('Val-Vol (2)'!AG$4:AG$1858,'Val-Vol (2)'!$A$4:$A$1858,$D1119,'Val-Vol (2)'!$V$4:$V$1858,$V1119)/SUMIFS('Comp2016-2017 (3)'!$G$5:$G$289,'Comp2016-2017 (3)'!$A$5:$A$289,$D1119,'Comp2016-2017 (3)'!$R$5:$R$289,$V1119)*$AB1119))</f>
        <v/>
      </c>
      <c r="AH1119" s="222" t="str">
        <f>IF($W1119=AH$3,$AB1119,IF(NOT($W1119=0),"",SUMIFS('Val-Vol (2)'!AH$4:AH$1858,'Val-Vol (2)'!$A$4:$A$1858,$D1119,'Val-Vol (2)'!$V$4:$V$1858,$V1119)/SUMIFS('Comp2016-2017 (3)'!$G$5:$G$289,'Comp2016-2017 (3)'!$A$5:$A$289,$D1119,'Comp2016-2017 (3)'!$R$5:$R$289,$V1119)*$AB1119))</f>
        <v/>
      </c>
      <c r="AI1119" s="222" t="str">
        <f>IF($W1119=AI$3,$AB1119,IF(NOT($W1119=0),"",SUMIFS('Val-Vol (2)'!AI$4:AI$1858,'Val-Vol (2)'!$A$4:$A$1858,$D1119,'Val-Vol (2)'!$V$4:$V$1858,$V1119)/SUMIFS('Comp2016-2017 (3)'!$G$5:$G$289,'Comp2016-2017 (3)'!$A$5:$A$289,$D1119,'Comp2016-2017 (3)'!$R$5:$R$289,$V1119)*$AB1119))</f>
        <v/>
      </c>
      <c r="AJ1119" s="222">
        <f>IF($W1119=AJ$3,$AB1119,IF(NOT($W1119=0),"",SUMIFS('Val-Vol (2)'!AJ$4:AJ$1858,'Val-Vol (2)'!$A$4:$A$1858,$D1119,'Val-Vol (2)'!$V$4:$V$1858,$V1119)/SUMIFS('Comp2016-2017 (3)'!$G$5:$G$289,'Comp2016-2017 (3)'!$A$5:$A$289,$D1119,'Comp2016-2017 (3)'!$R$5:$R$289,$V1119)*$AB1119))</f>
        <v>384.69623005021157</v>
      </c>
      <c r="AK1119" s="222">
        <f t="shared" ref="AK1119:AK1132" si="145">SUM(AC1119:AJ1119)-AB1119</f>
        <v>0</v>
      </c>
      <c r="AL1119" s="212" t="str">
        <f t="shared" si="143"/>
        <v/>
      </c>
      <c r="AM1119" s="212" t="str">
        <f>VLOOKUP(A1119,'Table corresp.'!$M$4:$U$63,8,FALSE)</f>
        <v>Forêt</v>
      </c>
      <c r="AN1119" s="212" t="str">
        <f>VLOOKUP(D1119,'Table corresp.'!$M$4:$U$63,9,FALSE)</f>
        <v>Consommation finale française</v>
      </c>
    </row>
    <row r="1120" spans="1:40" x14ac:dyDescent="0.25">
      <c r="A1120" t="s">
        <v>80</v>
      </c>
      <c r="B1120">
        <f>VLOOKUP(LEFT(A1120,3),'Table corresp.'!$A$4:$D$63,3,FALSE)</f>
        <v>0</v>
      </c>
      <c r="C1120" t="str">
        <f>VLOOKUP(A1120,'Table corresp.'!$M$4:$P$63,4,FALSE)</f>
        <v>Production et transformation de produits bois</v>
      </c>
      <c r="D1120" t="s">
        <v>53</v>
      </c>
      <c r="E1120" t="str">
        <f>VLOOKUP(LEFT(D1120,3),'Table corresp.'!$A$4:$D$63,4,FALSE)</f>
        <v>Exportation</v>
      </c>
      <c r="F1120" t="str">
        <f t="shared" si="132"/>
        <v>01  - Exp</v>
      </c>
      <c r="G1120" s="213">
        <v>5864.5019999999986</v>
      </c>
      <c r="H1120" s="213">
        <v>0</v>
      </c>
      <c r="I1120" s="213">
        <v>5864.5019999999995</v>
      </c>
      <c r="J1120" s="215">
        <v>0</v>
      </c>
      <c r="K1120" s="215">
        <v>0</v>
      </c>
      <c r="L1120" s="215">
        <v>0</v>
      </c>
      <c r="M1120" s="215">
        <v>0</v>
      </c>
      <c r="N1120" s="215">
        <v>0</v>
      </c>
      <c r="O1120" s="215">
        <v>0</v>
      </c>
      <c r="P1120" s="215">
        <v>0</v>
      </c>
      <c r="Q1120" s="215">
        <v>0</v>
      </c>
      <c r="R1120" s="215">
        <v>0</v>
      </c>
      <c r="S1120" s="213"/>
      <c r="T1120" s="212">
        <f>VLOOKUP(A1120,'Groupe de branches'!$Z$27:$AM$86,14,FALSE)</f>
        <v>0</v>
      </c>
      <c r="U1120" s="212">
        <f>VLOOKUP(D1120,'Groupe de branches'!$Z$27:$AM$86,14,FALSE)</f>
        <v>0</v>
      </c>
      <c r="V1120" s="212">
        <v>2019</v>
      </c>
      <c r="W1120" s="212" t="str">
        <f>VLOOKUP(D1120,'Table corresp.'!$M$4:$S$63,7,FALSE)</f>
        <v>Exportation</v>
      </c>
      <c r="X1120" s="228">
        <f>IFERROR(G1120/SUMIFS('Comp2016-2017 (3)'!$I$5:$I$289,'Comp2016-2017 (3)'!$A$5:$A$289,A1120,'Comp2016-2017 (3)'!$R$5:$R$289,V1120),0)</f>
        <v>0.22439382199533622</v>
      </c>
      <c r="Y1120" s="214">
        <f>IFERROR(IF(RIGHT(F1120,3)="Exp",VLOOKUP(F1120,#REF!,2,FALSE),VLOOKUP(F1120,#REF!,9,FALSE)),1)</f>
        <v>1</v>
      </c>
      <c r="Z1120" s="225">
        <f t="shared" si="144"/>
        <v>0.25</v>
      </c>
      <c r="AA1120" s="225">
        <f t="shared" si="140"/>
        <v>5.6098455498834056E-2</v>
      </c>
      <c r="AB1120" s="222">
        <f>IFERROR(SUMIFS('Comp2016-2017 (3)'!$G$5:$G$289,'Comp2016-2017 (3)'!$A$5:$A$289,A1120,'Comp2016-2017 (3)'!$R$5:$R$289,V1120)*AA1120/SUMIFS($AA$4:$AA$1858,$A$4:$A$1858,A1120,$V$4:$V$1858,V1120),0)</f>
        <v>3049.5456434133416</v>
      </c>
      <c r="AC1120" s="222">
        <f>IF($W1120=AC$3,$AB1120,IF(NOT($W1120=0),"",SUMIFS('Val-Vol (2)'!AC$4:AC$1858,'Val-Vol (2)'!$A$4:$A$1858,$D1120,'Val-Vol (2)'!$V$4:$V$1858,$V1120)/SUMIFS('Comp2016-2017 (3)'!$G$5:$G$289,'Comp2016-2017 (3)'!$A$5:$A$289,$D1120,'Comp2016-2017 (3)'!$R$5:$R$289,$V1120)*$AB1120))</f>
        <v>3049.5456434133416</v>
      </c>
      <c r="AD1120" s="222" t="str">
        <f>IF($W1120=AD$3,$AB1120,IF(NOT($W1120=0),"",SUMIFS('Val-Vol (2)'!AD$4:AD$1858,'Val-Vol (2)'!$A$4:$A$1858,$D1120,'Val-Vol (2)'!$V$4:$V$1858,$V1120)/SUMIFS('Comp2016-2017 (3)'!$G$5:$G$289,'Comp2016-2017 (3)'!$A$5:$A$289,$D1120,'Comp2016-2017 (3)'!$R$5:$R$289,$V1120)*$AB1120))</f>
        <v/>
      </c>
      <c r="AE1120" s="222" t="str">
        <f>IF($W1120=AE$3,$AB1120,IF(NOT($W1120=0),"",SUMIFS('Val-Vol (2)'!AE$4:AE$1858,'Val-Vol (2)'!$A$4:$A$1858,$D1120,'Val-Vol (2)'!$V$4:$V$1858,$V1120)/SUMIFS('Comp2016-2017 (3)'!$G$5:$G$289,'Comp2016-2017 (3)'!$A$5:$A$289,$D1120,'Comp2016-2017 (3)'!$R$5:$R$289,$V1120)*$AB1120))</f>
        <v/>
      </c>
      <c r="AF1120" s="222" t="str">
        <f>IF($W1120=AF$3,$AB1120,IF(NOT($W1120=0),"",SUMIFS('Val-Vol (2)'!AF$4:AF$1858,'Val-Vol (2)'!$A$4:$A$1858,$D1120,'Val-Vol (2)'!$V$4:$V$1858,$V1120)/SUMIFS('Comp2016-2017 (3)'!$G$5:$G$289,'Comp2016-2017 (3)'!$A$5:$A$289,$D1120,'Comp2016-2017 (3)'!$R$5:$R$289,$V1120)*$AB1120))</f>
        <v/>
      </c>
      <c r="AG1120" s="222" t="str">
        <f>IF($W1120=AG$3,$AB1120,IF(NOT($W1120=0),"",SUMIFS('Val-Vol (2)'!AG$4:AG$1858,'Val-Vol (2)'!$A$4:$A$1858,$D1120,'Val-Vol (2)'!$V$4:$V$1858,$V1120)/SUMIFS('Comp2016-2017 (3)'!$G$5:$G$289,'Comp2016-2017 (3)'!$A$5:$A$289,$D1120,'Comp2016-2017 (3)'!$R$5:$R$289,$V1120)*$AB1120))</f>
        <v/>
      </c>
      <c r="AH1120" s="222" t="str">
        <f>IF($W1120=AH$3,$AB1120,IF(NOT($W1120=0),"",SUMIFS('Val-Vol (2)'!AH$4:AH$1858,'Val-Vol (2)'!$A$4:$A$1858,$D1120,'Val-Vol (2)'!$V$4:$V$1858,$V1120)/SUMIFS('Comp2016-2017 (3)'!$G$5:$G$289,'Comp2016-2017 (3)'!$A$5:$A$289,$D1120,'Comp2016-2017 (3)'!$R$5:$R$289,$V1120)*$AB1120))</f>
        <v/>
      </c>
      <c r="AI1120" s="222" t="str">
        <f>IF($W1120=AI$3,$AB1120,IF(NOT($W1120=0),"",SUMIFS('Val-Vol (2)'!AI$4:AI$1858,'Val-Vol (2)'!$A$4:$A$1858,$D1120,'Val-Vol (2)'!$V$4:$V$1858,$V1120)/SUMIFS('Comp2016-2017 (3)'!$G$5:$G$289,'Comp2016-2017 (3)'!$A$5:$A$289,$D1120,'Comp2016-2017 (3)'!$R$5:$R$289,$V1120)*$AB1120))</f>
        <v/>
      </c>
      <c r="AJ1120" s="222" t="str">
        <f>IF($W1120=AJ$3,$AB1120,IF(NOT($W1120=0),"",SUMIFS('Val-Vol (2)'!AJ$4:AJ$1858,'Val-Vol (2)'!$A$4:$A$1858,$D1120,'Val-Vol (2)'!$V$4:$V$1858,$V1120)/SUMIFS('Comp2016-2017 (3)'!$G$5:$G$289,'Comp2016-2017 (3)'!$A$5:$A$289,$D1120,'Comp2016-2017 (3)'!$R$5:$R$289,$V1120)*$AB1120))</f>
        <v/>
      </c>
      <c r="AK1120" s="222">
        <f t="shared" si="145"/>
        <v>0</v>
      </c>
      <c r="AL1120" s="212" t="str">
        <f t="shared" si="143"/>
        <v/>
      </c>
      <c r="AM1120" s="212" t="str">
        <f>VLOOKUP(A1120,'Table corresp.'!$M$4:$U$63,8,FALSE)</f>
        <v>Forêt</v>
      </c>
      <c r="AN1120" s="212" t="str">
        <f>VLOOKUP(D1120,'Table corresp.'!$M$4:$U$63,9,FALSE)</f>
        <v>Exportation</v>
      </c>
    </row>
    <row r="1121" spans="1:40" x14ac:dyDescent="0.25">
      <c r="A1121" t="s">
        <v>0</v>
      </c>
      <c r="B1121" t="str">
        <f>VLOOKUP(LEFT(A1121,3),'Table corresp.'!$A$4:$D$63,3,FALSE)</f>
        <v>Forêt</v>
      </c>
      <c r="C1121" t="str">
        <f>VLOOKUP(A1121,'Table corresp.'!$M$4:$P$63,4,FALSE)</f>
        <v>Production et transformation de produits bois</v>
      </c>
      <c r="D1121" t="s">
        <v>4</v>
      </c>
      <c r="E1121" t="str">
        <f>VLOOKUP(LEFT(D1121,3),'Table corresp.'!$A$4:$D$63,4,FALSE)</f>
        <v>Transformation</v>
      </c>
      <c r="F1121" t="str">
        <f t="shared" si="132"/>
        <v xml:space="preserve">02  - 08 </v>
      </c>
      <c r="G1121" s="222">
        <v>221934.11529456158</v>
      </c>
      <c r="H1121" s="222">
        <v>7814.921443650358</v>
      </c>
      <c r="I1121" s="222">
        <v>229749.03673821193</v>
      </c>
      <c r="J1121" s="224">
        <v>1632.0875083710957</v>
      </c>
      <c r="K1121" s="224">
        <v>15.209400380365938</v>
      </c>
      <c r="L1121" s="224">
        <v>1647.2969087514616</v>
      </c>
      <c r="M1121" s="215"/>
      <c r="N1121" s="215"/>
      <c r="O1121" s="215"/>
      <c r="P1121" s="215"/>
      <c r="Q1121" s="215"/>
      <c r="R1121" s="215"/>
      <c r="S1121" s="213"/>
      <c r="T1121" s="212">
        <f>VLOOKUP(A1121,'Groupe de branches'!$Z$27:$AM$86,14,FALSE)</f>
        <v>0</v>
      </c>
      <c r="U1121" s="212">
        <f>VLOOKUP(D1121,'Groupe de branches'!$Z$27:$AM$86,14,FALSE)</f>
        <v>0</v>
      </c>
      <c r="V1121" s="212">
        <v>2019</v>
      </c>
      <c r="W1121" s="212">
        <f>VLOOKUP(D1121,'Table corresp.'!$M$4:$S$63,7,FALSE)</f>
        <v>0</v>
      </c>
      <c r="X1121" s="228">
        <f>IFERROR(G1121/SUMIFS('Comp2016-2017 (3)'!$I$5:$I$289,'Comp2016-2017 (3)'!$A$5:$A$289,A1121,'Comp2016-2017 (3)'!$R$5:$R$289,V1121),0)</f>
        <v>0.19277781378397063</v>
      </c>
      <c r="Y1121" s="214" t="e">
        <f>IF(RIGHT(F1121,3)="Exp",VLOOKUP(F1121,#REF!,2,FALSE),VLOOKUP(F1121,#REF!,9,FALSE))</f>
        <v>#REF!</v>
      </c>
      <c r="Z1121" s="225" t="str">
        <f t="shared" si="144"/>
        <v/>
      </c>
      <c r="AA1121" s="225" t="e">
        <f t="shared" si="140"/>
        <v>#VALUE!</v>
      </c>
      <c r="AB1121" s="222">
        <f>IFERROR(SUMIFS('Comp2016-2017 (3)'!$G$5:$G$289,'Comp2016-2017 (3)'!$A$5:$A$289,A1121,'Comp2016-2017 (3)'!$R$5:$R$289,V1121)*AA1121/SUMIFS($AA$4:$AA$1858,$A$4:$A$1858,A1121,$V$4:$V$1858,V1121),0)</f>
        <v>0</v>
      </c>
      <c r="AC1121" s="222">
        <f>IF($W1121=AC$3,$AB1121,IF(NOT($W1121=0),"",SUMIFS('Val-Vol (2)'!AC$4:AC$1858,'Val-Vol (2)'!$A$4:$A$1858,$D1121,'Val-Vol (2)'!$V$4:$V$1858,$V1121)/SUMIFS('Comp2016-2017 (3)'!$G$5:$G$289,'Comp2016-2017 (3)'!$A$5:$A$289,$D1121,'Comp2016-2017 (3)'!$R$5:$R$289,$V1121)*$AB1121))</f>
        <v>0</v>
      </c>
      <c r="AD1121" s="222">
        <f>IF($W1121=AD$3,$AB1121,IF(NOT($W1121=0),"",SUMIFS('Val-Vol (2)'!AD$4:AD$1858,'Val-Vol (2)'!$A$4:$A$1858,$D1121,'Val-Vol (2)'!$V$4:$V$1858,$V1121)/SUMIFS('Comp2016-2017 (3)'!$G$5:$G$289,'Comp2016-2017 (3)'!$A$5:$A$289,$D1121,'Comp2016-2017 (3)'!$R$5:$R$289,$V1121)*$AB1121))</f>
        <v>0</v>
      </c>
      <c r="AE1121" s="222">
        <f>IF($W1121=AE$3,$AB1121,IF(NOT($W1121=0),"",SUMIFS('Val-Vol (2)'!AE$4:AE$1858,'Val-Vol (2)'!$A$4:$A$1858,$D1121,'Val-Vol (2)'!$V$4:$V$1858,$V1121)/SUMIFS('Comp2016-2017 (3)'!$G$5:$G$289,'Comp2016-2017 (3)'!$A$5:$A$289,$D1121,'Comp2016-2017 (3)'!$R$5:$R$289,$V1121)*$AB1121))</f>
        <v>0</v>
      </c>
      <c r="AF1121" s="222">
        <f>IF($W1121=AF$3,$AB1121,IF(NOT($W1121=0),"",SUMIFS('Val-Vol (2)'!AF$4:AF$1858,'Val-Vol (2)'!$A$4:$A$1858,$D1121,'Val-Vol (2)'!$V$4:$V$1858,$V1121)/SUMIFS('Comp2016-2017 (3)'!$G$5:$G$289,'Comp2016-2017 (3)'!$A$5:$A$289,$D1121,'Comp2016-2017 (3)'!$R$5:$R$289,$V1121)*$AB1121))</f>
        <v>0</v>
      </c>
      <c r="AG1121" s="222">
        <f>IF($W1121=AG$3,$AB1121,IF(NOT($W1121=0),"",SUMIFS('Val-Vol (2)'!AG$4:AG$1858,'Val-Vol (2)'!$A$4:$A$1858,$D1121,'Val-Vol (2)'!$V$4:$V$1858,$V1121)/SUMIFS('Comp2016-2017 (3)'!$G$5:$G$289,'Comp2016-2017 (3)'!$A$5:$A$289,$D1121,'Comp2016-2017 (3)'!$R$5:$R$289,$V1121)*$AB1121))</f>
        <v>0</v>
      </c>
      <c r="AH1121" s="222">
        <f>IF($W1121=AH$3,$AB1121,IF(NOT($W1121=0),"",SUMIFS('Val-Vol (2)'!AH$4:AH$1858,'Val-Vol (2)'!$A$4:$A$1858,$D1121,'Val-Vol (2)'!$V$4:$V$1858,$V1121)/SUMIFS('Comp2016-2017 (3)'!$G$5:$G$289,'Comp2016-2017 (3)'!$A$5:$A$289,$D1121,'Comp2016-2017 (3)'!$R$5:$R$289,$V1121)*$AB1121))</f>
        <v>0</v>
      </c>
      <c r="AI1121" s="222">
        <f>IF($W1121=AI$3,$AB1121,IF(NOT($W1121=0),"",SUMIFS('Val-Vol (2)'!AI$4:AI$1858,'Val-Vol (2)'!$A$4:$A$1858,$D1121,'Val-Vol (2)'!$V$4:$V$1858,$V1121)/SUMIFS('Comp2016-2017 (3)'!$G$5:$G$289,'Comp2016-2017 (3)'!$A$5:$A$289,$D1121,'Comp2016-2017 (3)'!$R$5:$R$289,$V1121)*$AB1121))</f>
        <v>0</v>
      </c>
      <c r="AJ1121" s="222">
        <f>IF($W1121=AJ$3,$AB1121,IF(NOT($W1121=0),"",SUMIFS('Val-Vol (2)'!AJ$4:AJ$1858,'Val-Vol (2)'!$A$4:$A$1858,$D1121,'Val-Vol (2)'!$V$4:$V$1858,$V1121)/SUMIFS('Comp2016-2017 (3)'!$G$5:$G$289,'Comp2016-2017 (3)'!$A$5:$A$289,$D1121,'Comp2016-2017 (3)'!$R$5:$R$289,$V1121)*$AB1121))</f>
        <v>0</v>
      </c>
      <c r="AK1121" s="222">
        <f t="shared" si="145"/>
        <v>0</v>
      </c>
      <c r="AL1121" s="212" t="str">
        <f t="shared" si="143"/>
        <v/>
      </c>
      <c r="AM1121" s="212" t="str">
        <f>VLOOKUP(A1121,'Table corresp.'!$M$4:$U$63,8,FALSE)</f>
        <v>Forêt</v>
      </c>
      <c r="AN1121" s="212" t="str">
        <f>VLOOKUP(D1121,'Table corresp.'!$M$4:$U$63,9,FALSE)</f>
        <v>Production intermédiaire</v>
      </c>
    </row>
    <row r="1122" spans="1:40" x14ac:dyDescent="0.25">
      <c r="A1122" t="s">
        <v>0</v>
      </c>
      <c r="B1122" t="str">
        <f>VLOOKUP(LEFT(A1122,3),'Table corresp.'!$A$4:$D$63,3,FALSE)</f>
        <v>Forêt</v>
      </c>
      <c r="C1122" t="str">
        <f>VLOOKUP(A1122,'Table corresp.'!$M$4:$P$63,4,FALSE)</f>
        <v>Production et transformation de produits bois</v>
      </c>
      <c r="D1122" t="s">
        <v>5</v>
      </c>
      <c r="E1122" t="str">
        <f>VLOOKUP(LEFT(D1122,3),'Table corresp.'!$A$4:$D$63,4,FALSE)</f>
        <v>Transformation</v>
      </c>
      <c r="F1122" t="str">
        <f t="shared" si="132"/>
        <v xml:space="preserve">02  - 09 </v>
      </c>
      <c r="G1122" s="213">
        <v>30807.041738115731</v>
      </c>
      <c r="H1122" s="213">
        <v>1026.1274032751046</v>
      </c>
      <c r="I1122" s="213">
        <v>31833.169141390837</v>
      </c>
      <c r="J1122" s="215">
        <v>724.23813054765321</v>
      </c>
      <c r="K1122" s="215">
        <v>1.997049187277095</v>
      </c>
      <c r="L1122" s="215">
        <v>726.23517973493028</v>
      </c>
      <c r="M1122" s="215"/>
      <c r="N1122" s="215"/>
      <c r="O1122" s="215"/>
      <c r="P1122" s="215"/>
      <c r="Q1122" s="215"/>
      <c r="R1122" s="215"/>
      <c r="S1122" s="213"/>
      <c r="T1122" s="212">
        <f>VLOOKUP(A1122,'Groupe de branches'!$Z$27:$AM$86,14,FALSE)</f>
        <v>0</v>
      </c>
      <c r="U1122" s="212">
        <f>VLOOKUP(D1122,'Groupe de branches'!$Z$27:$AM$86,14,FALSE)</f>
        <v>0</v>
      </c>
      <c r="V1122" s="212">
        <v>2019</v>
      </c>
      <c r="W1122" s="212">
        <f>VLOOKUP(D1122,'Table corresp.'!$M$4:$S$63,7,FALSE)</f>
        <v>0</v>
      </c>
      <c r="X1122" s="228">
        <f>IFERROR(G1122/SUMIFS('Comp2016-2017 (3)'!$I$5:$I$289,'Comp2016-2017 (3)'!$A$5:$A$289,A1122,'Comp2016-2017 (3)'!$R$5:$R$289,V1122),0)</f>
        <v>2.675980728579324E-2</v>
      </c>
      <c r="Y1122" s="214" t="e">
        <f>IF(RIGHT(F1122,3)="Exp",VLOOKUP(F1122,#REF!,2,FALSE),VLOOKUP(F1122,#REF!,9,FALSE))</f>
        <v>#REF!</v>
      </c>
      <c r="Z1122" s="225" t="str">
        <f t="shared" si="144"/>
        <v/>
      </c>
      <c r="AA1122" s="225" t="e">
        <f t="shared" si="140"/>
        <v>#VALUE!</v>
      </c>
      <c r="AB1122" s="222">
        <f>IFERROR(SUMIFS('Comp2016-2017 (3)'!$G$5:$G$289,'Comp2016-2017 (3)'!$A$5:$A$289,A1122,'Comp2016-2017 (3)'!$R$5:$R$289,V1122)*AA1122/SUMIFS($AA$4:$AA$1858,$A$4:$A$1858,A1122,$V$4:$V$1858,V1122),0)</f>
        <v>0</v>
      </c>
      <c r="AC1122" s="222">
        <f>IF($W1122=AC$3,$AB1122,IF(NOT($W1122=0),"",SUMIFS('Val-Vol (2)'!AC$4:AC$1858,'Val-Vol (2)'!$A$4:$A$1858,$D1122,'Val-Vol (2)'!$V$4:$V$1858,$V1122)/SUMIFS('Comp2016-2017 (3)'!$G$5:$G$289,'Comp2016-2017 (3)'!$A$5:$A$289,$D1122,'Comp2016-2017 (3)'!$R$5:$R$289,$V1122)*$AB1122))</f>
        <v>0</v>
      </c>
      <c r="AD1122" s="222">
        <f>IF($W1122=AD$3,$AB1122,IF(NOT($W1122=0),"",SUMIFS('Val-Vol (2)'!AD$4:AD$1858,'Val-Vol (2)'!$A$4:$A$1858,$D1122,'Val-Vol (2)'!$V$4:$V$1858,$V1122)/SUMIFS('Comp2016-2017 (3)'!$G$5:$G$289,'Comp2016-2017 (3)'!$A$5:$A$289,$D1122,'Comp2016-2017 (3)'!$R$5:$R$289,$V1122)*$AB1122))</f>
        <v>0</v>
      </c>
      <c r="AE1122" s="222">
        <f>IF($W1122=AE$3,$AB1122,IF(NOT($W1122=0),"",SUMIFS('Val-Vol (2)'!AE$4:AE$1858,'Val-Vol (2)'!$A$4:$A$1858,$D1122,'Val-Vol (2)'!$V$4:$V$1858,$V1122)/SUMIFS('Comp2016-2017 (3)'!$G$5:$G$289,'Comp2016-2017 (3)'!$A$5:$A$289,$D1122,'Comp2016-2017 (3)'!$R$5:$R$289,$V1122)*$AB1122))</f>
        <v>0</v>
      </c>
      <c r="AF1122" s="222">
        <f>IF($W1122=AF$3,$AB1122,IF(NOT($W1122=0),"",SUMIFS('Val-Vol (2)'!AF$4:AF$1858,'Val-Vol (2)'!$A$4:$A$1858,$D1122,'Val-Vol (2)'!$V$4:$V$1858,$V1122)/SUMIFS('Comp2016-2017 (3)'!$G$5:$G$289,'Comp2016-2017 (3)'!$A$5:$A$289,$D1122,'Comp2016-2017 (3)'!$R$5:$R$289,$V1122)*$AB1122))</f>
        <v>0</v>
      </c>
      <c r="AG1122" s="222">
        <f>IF($W1122=AG$3,$AB1122,IF(NOT($W1122=0),"",SUMIFS('Val-Vol (2)'!AG$4:AG$1858,'Val-Vol (2)'!$A$4:$A$1858,$D1122,'Val-Vol (2)'!$V$4:$V$1858,$V1122)/SUMIFS('Comp2016-2017 (3)'!$G$5:$G$289,'Comp2016-2017 (3)'!$A$5:$A$289,$D1122,'Comp2016-2017 (3)'!$R$5:$R$289,$V1122)*$AB1122))</f>
        <v>0</v>
      </c>
      <c r="AH1122" s="222">
        <f>IF($W1122=AH$3,$AB1122,IF(NOT($W1122=0),"",SUMIFS('Val-Vol (2)'!AH$4:AH$1858,'Val-Vol (2)'!$A$4:$A$1858,$D1122,'Val-Vol (2)'!$V$4:$V$1858,$V1122)/SUMIFS('Comp2016-2017 (3)'!$G$5:$G$289,'Comp2016-2017 (3)'!$A$5:$A$289,$D1122,'Comp2016-2017 (3)'!$R$5:$R$289,$V1122)*$AB1122))</f>
        <v>0</v>
      </c>
      <c r="AI1122" s="222">
        <f>IF($W1122=AI$3,$AB1122,IF(NOT($W1122=0),"",SUMIFS('Val-Vol (2)'!AI$4:AI$1858,'Val-Vol (2)'!$A$4:$A$1858,$D1122,'Val-Vol (2)'!$V$4:$V$1858,$V1122)/SUMIFS('Comp2016-2017 (3)'!$G$5:$G$289,'Comp2016-2017 (3)'!$A$5:$A$289,$D1122,'Comp2016-2017 (3)'!$R$5:$R$289,$V1122)*$AB1122))</f>
        <v>0</v>
      </c>
      <c r="AJ1122" s="222">
        <f>IF($W1122=AJ$3,$AB1122,IF(NOT($W1122=0),"",SUMIFS('Val-Vol (2)'!AJ$4:AJ$1858,'Val-Vol (2)'!$A$4:$A$1858,$D1122,'Val-Vol (2)'!$V$4:$V$1858,$V1122)/SUMIFS('Comp2016-2017 (3)'!$G$5:$G$289,'Comp2016-2017 (3)'!$A$5:$A$289,$D1122,'Comp2016-2017 (3)'!$R$5:$R$289,$V1122)*$AB1122))</f>
        <v>0</v>
      </c>
      <c r="AK1122" s="222">
        <f t="shared" si="145"/>
        <v>0</v>
      </c>
      <c r="AL1122" s="212" t="str">
        <f t="shared" si="143"/>
        <v/>
      </c>
      <c r="AM1122" s="212" t="str">
        <f>VLOOKUP(A1122,'Table corresp.'!$M$4:$U$63,8,FALSE)</f>
        <v>Forêt</v>
      </c>
      <c r="AN1122" s="212" t="str">
        <f>VLOOKUP(D1122,'Table corresp.'!$M$4:$U$63,9,FALSE)</f>
        <v>Production intermédiaire</v>
      </c>
    </row>
    <row r="1123" spans="1:40" x14ac:dyDescent="0.25">
      <c r="A1123" t="s">
        <v>0</v>
      </c>
      <c r="B1123" t="str">
        <f>VLOOKUP(LEFT(A1123,3),'Table corresp.'!$A$4:$D$63,3,FALSE)</f>
        <v>Forêt</v>
      </c>
      <c r="C1123" t="str">
        <f>VLOOKUP(A1123,'Table corresp.'!$M$4:$P$63,4,FALSE)</f>
        <v>Production et transformation de produits bois</v>
      </c>
      <c r="D1123" t="s">
        <v>82</v>
      </c>
      <c r="E1123" t="str">
        <f>VLOOKUP(LEFT(D1123,3),'Table corresp.'!$A$4:$D$63,4,FALSE)</f>
        <v>Transformation</v>
      </c>
      <c r="F1123" t="str">
        <f t="shared" si="132"/>
        <v xml:space="preserve">02  - 10 </v>
      </c>
      <c r="G1123" s="213">
        <v>29689.316289011462</v>
      </c>
      <c r="H1123" s="213">
        <v>0</v>
      </c>
      <c r="I1123" s="213">
        <v>29689.316289011462</v>
      </c>
      <c r="J1123" s="215">
        <v>637.56532289019049</v>
      </c>
      <c r="K1123" s="215">
        <v>0</v>
      </c>
      <c r="L1123" s="215">
        <v>637.56532289019049</v>
      </c>
      <c r="M1123" s="215"/>
      <c r="N1123" s="215"/>
      <c r="O1123" s="215"/>
      <c r="P1123" s="215"/>
      <c r="Q1123" s="215"/>
      <c r="R1123" s="215"/>
      <c r="S1123" s="213"/>
      <c r="T1123" s="212">
        <f>VLOOKUP(A1123,'Groupe de branches'!$Z$27:$AM$86,14,FALSE)</f>
        <v>0</v>
      </c>
      <c r="U1123" s="212">
        <f>VLOOKUP(D1123,'Groupe de branches'!$Z$27:$AM$86,14,FALSE)</f>
        <v>0</v>
      </c>
      <c r="V1123" s="212">
        <v>2019</v>
      </c>
      <c r="W1123" s="212">
        <f>VLOOKUP(D1123,'Table corresp.'!$M$4:$S$63,7,FALSE)</f>
        <v>0</v>
      </c>
      <c r="X1123" s="228">
        <f>IFERROR(G1123/SUMIFS('Comp2016-2017 (3)'!$I$5:$I$289,'Comp2016-2017 (3)'!$A$5:$A$289,A1123,'Comp2016-2017 (3)'!$R$5:$R$289,V1123),0)</f>
        <v>2.5788921542503875E-2</v>
      </c>
      <c r="Y1123" s="214" t="e">
        <f>IF(RIGHT(F1123,3)="Exp",VLOOKUP(F1123,#REF!,2,FALSE),VLOOKUP(F1123,#REF!,9,FALSE))</f>
        <v>#REF!</v>
      </c>
      <c r="Z1123" s="225" t="str">
        <f t="shared" si="144"/>
        <v/>
      </c>
      <c r="AA1123" s="225" t="e">
        <f t="shared" si="140"/>
        <v>#VALUE!</v>
      </c>
      <c r="AB1123" s="222">
        <f>IFERROR(SUMIFS('Comp2016-2017 (3)'!$G$5:$G$289,'Comp2016-2017 (3)'!$A$5:$A$289,A1123,'Comp2016-2017 (3)'!$R$5:$R$289,V1123)*AA1123/SUMIFS($AA$4:$AA$1858,$A$4:$A$1858,A1123,$V$4:$V$1858,V1123),0)</f>
        <v>0</v>
      </c>
      <c r="AC1123" s="222">
        <f>IF($W1123=AC$3,$AB1123,IF(NOT($W1123=0),"",SUMIFS('Val-Vol (2)'!AC$4:AC$1858,'Val-Vol (2)'!$A$4:$A$1858,$D1123,'Val-Vol (2)'!$V$4:$V$1858,$V1123)/SUMIFS('Comp2016-2017 (3)'!$G$5:$G$289,'Comp2016-2017 (3)'!$A$5:$A$289,$D1123,'Comp2016-2017 (3)'!$R$5:$R$289,$V1123)*$AB1123))</f>
        <v>0</v>
      </c>
      <c r="AD1123" s="222">
        <f>IF($W1123=AD$3,$AB1123,IF(NOT($W1123=0),"",SUMIFS('Val-Vol (2)'!AD$4:AD$1858,'Val-Vol (2)'!$A$4:$A$1858,$D1123,'Val-Vol (2)'!$V$4:$V$1858,$V1123)/SUMIFS('Comp2016-2017 (3)'!$G$5:$G$289,'Comp2016-2017 (3)'!$A$5:$A$289,$D1123,'Comp2016-2017 (3)'!$R$5:$R$289,$V1123)*$AB1123))</f>
        <v>0</v>
      </c>
      <c r="AE1123" s="222">
        <f>IF($W1123=AE$3,$AB1123,IF(NOT($W1123=0),"",SUMIFS('Val-Vol (2)'!AE$4:AE$1858,'Val-Vol (2)'!$A$4:$A$1858,$D1123,'Val-Vol (2)'!$V$4:$V$1858,$V1123)/SUMIFS('Comp2016-2017 (3)'!$G$5:$G$289,'Comp2016-2017 (3)'!$A$5:$A$289,$D1123,'Comp2016-2017 (3)'!$R$5:$R$289,$V1123)*$AB1123))</f>
        <v>0</v>
      </c>
      <c r="AF1123" s="222">
        <f>IF($W1123=AF$3,$AB1123,IF(NOT($W1123=0),"",SUMIFS('Val-Vol (2)'!AF$4:AF$1858,'Val-Vol (2)'!$A$4:$A$1858,$D1123,'Val-Vol (2)'!$V$4:$V$1858,$V1123)/SUMIFS('Comp2016-2017 (3)'!$G$5:$G$289,'Comp2016-2017 (3)'!$A$5:$A$289,$D1123,'Comp2016-2017 (3)'!$R$5:$R$289,$V1123)*$AB1123))</f>
        <v>0</v>
      </c>
      <c r="AG1123" s="222">
        <f>IF($W1123=AG$3,$AB1123,IF(NOT($W1123=0),"",SUMIFS('Val-Vol (2)'!AG$4:AG$1858,'Val-Vol (2)'!$A$4:$A$1858,$D1123,'Val-Vol (2)'!$V$4:$V$1858,$V1123)/SUMIFS('Comp2016-2017 (3)'!$G$5:$G$289,'Comp2016-2017 (3)'!$A$5:$A$289,$D1123,'Comp2016-2017 (3)'!$R$5:$R$289,$V1123)*$AB1123))</f>
        <v>0</v>
      </c>
      <c r="AH1123" s="222">
        <f>IF($W1123=AH$3,$AB1123,IF(NOT($W1123=0),"",SUMIFS('Val-Vol (2)'!AH$4:AH$1858,'Val-Vol (2)'!$A$4:$A$1858,$D1123,'Val-Vol (2)'!$V$4:$V$1858,$V1123)/SUMIFS('Comp2016-2017 (3)'!$G$5:$G$289,'Comp2016-2017 (3)'!$A$5:$A$289,$D1123,'Comp2016-2017 (3)'!$R$5:$R$289,$V1123)*$AB1123))</f>
        <v>0</v>
      </c>
      <c r="AI1123" s="222">
        <f>IF($W1123=AI$3,$AB1123,IF(NOT($W1123=0),"",SUMIFS('Val-Vol (2)'!AI$4:AI$1858,'Val-Vol (2)'!$A$4:$A$1858,$D1123,'Val-Vol (2)'!$V$4:$V$1858,$V1123)/SUMIFS('Comp2016-2017 (3)'!$G$5:$G$289,'Comp2016-2017 (3)'!$A$5:$A$289,$D1123,'Comp2016-2017 (3)'!$R$5:$R$289,$V1123)*$AB1123))</f>
        <v>0</v>
      </c>
      <c r="AJ1123" s="222">
        <f>IF($W1123=AJ$3,$AB1123,IF(NOT($W1123=0),"",SUMIFS('Val-Vol (2)'!AJ$4:AJ$1858,'Val-Vol (2)'!$A$4:$A$1858,$D1123,'Val-Vol (2)'!$V$4:$V$1858,$V1123)/SUMIFS('Comp2016-2017 (3)'!$G$5:$G$289,'Comp2016-2017 (3)'!$A$5:$A$289,$D1123,'Comp2016-2017 (3)'!$R$5:$R$289,$V1123)*$AB1123))</f>
        <v>0</v>
      </c>
      <c r="AK1123" s="222">
        <f t="shared" si="145"/>
        <v>0</v>
      </c>
      <c r="AL1123" s="212" t="str">
        <f t="shared" si="143"/>
        <v/>
      </c>
      <c r="AM1123" s="212" t="str">
        <f>VLOOKUP(A1123,'Table corresp.'!$M$4:$U$63,8,FALSE)</f>
        <v>Forêt</v>
      </c>
      <c r="AN1123" s="212" t="str">
        <f>VLOOKUP(D1123,'Table corresp.'!$M$4:$U$63,9,FALSE)</f>
        <v>Production intermédiaire</v>
      </c>
    </row>
    <row r="1124" spans="1:40" x14ac:dyDescent="0.25">
      <c r="A1124" t="s">
        <v>0</v>
      </c>
      <c r="B1124" t="str">
        <f>VLOOKUP(LEFT(A1124,3),'Table corresp.'!$A$4:$D$63,3,FALSE)</f>
        <v>Forêt</v>
      </c>
      <c r="C1124" t="str">
        <f>VLOOKUP(A1124,'Table corresp.'!$M$4:$P$63,4,FALSE)</f>
        <v>Production et transformation de produits bois</v>
      </c>
      <c r="D1124" t="s">
        <v>6</v>
      </c>
      <c r="E1124" t="str">
        <f>VLOOKUP(LEFT(D1124,3),'Table corresp.'!$A$4:$D$63,4,FALSE)</f>
        <v>Transformation</v>
      </c>
      <c r="F1124" t="str">
        <f t="shared" si="132"/>
        <v xml:space="preserve">02  - 11 </v>
      </c>
      <c r="G1124" s="213">
        <v>1927.8130860552892</v>
      </c>
      <c r="H1124" s="213">
        <v>4478.4210204534038</v>
      </c>
      <c r="I1124" s="213">
        <v>6406.234106508693</v>
      </c>
      <c r="J1124" s="215">
        <v>34.683493942370902</v>
      </c>
      <c r="K1124" s="215">
        <v>4.4129067665361319</v>
      </c>
      <c r="L1124" s="215">
        <v>39.096400708907034</v>
      </c>
      <c r="M1124" s="215"/>
      <c r="N1124" s="215"/>
      <c r="O1124" s="215"/>
      <c r="P1124" s="215"/>
      <c r="Q1124" s="215"/>
      <c r="R1124" s="215"/>
      <c r="S1124" s="213"/>
      <c r="T1124" s="212">
        <f>VLOOKUP(A1124,'Groupe de branches'!$Z$27:$AM$86,14,FALSE)</f>
        <v>0</v>
      </c>
      <c r="U1124" s="212">
        <f>VLOOKUP(D1124,'Groupe de branches'!$Z$27:$AM$86,14,FALSE)</f>
        <v>0</v>
      </c>
      <c r="V1124" s="212">
        <v>2019</v>
      </c>
      <c r="W1124" s="212">
        <f>VLOOKUP(D1124,'Table corresp.'!$M$4:$S$63,7,FALSE)</f>
        <v>0</v>
      </c>
      <c r="X1124" s="228">
        <f>IFERROR(G1124/SUMIFS('Comp2016-2017 (3)'!$I$5:$I$289,'Comp2016-2017 (3)'!$A$5:$A$289,A1124,'Comp2016-2017 (3)'!$R$5:$R$289,V1124),0)</f>
        <v>1.6745491860077953E-3</v>
      </c>
      <c r="Y1124" s="214" t="e">
        <f>IF(RIGHT(F1124,3)="Exp",VLOOKUP(F1124,#REF!,2,FALSE),VLOOKUP(F1124,#REF!,9,FALSE))</f>
        <v>#REF!</v>
      </c>
      <c r="Z1124" s="225" t="str">
        <f t="shared" si="144"/>
        <v/>
      </c>
      <c r="AA1124" s="225" t="e">
        <f t="shared" si="140"/>
        <v>#VALUE!</v>
      </c>
      <c r="AB1124" s="222">
        <f>IFERROR(SUMIFS('Comp2016-2017 (3)'!$G$5:$G$289,'Comp2016-2017 (3)'!$A$5:$A$289,A1124,'Comp2016-2017 (3)'!$R$5:$R$289,V1124)*AA1124/SUMIFS($AA$4:$AA$1858,$A$4:$A$1858,A1124,$V$4:$V$1858,V1124),0)</f>
        <v>0</v>
      </c>
      <c r="AC1124" s="222">
        <f>IF($W1124=AC$3,$AB1124,IF(NOT($W1124=0),"",SUMIFS('Val-Vol (2)'!AC$4:AC$1858,'Val-Vol (2)'!$A$4:$A$1858,$D1124,'Val-Vol (2)'!$V$4:$V$1858,$V1124)/SUMIFS('Comp2016-2017 (3)'!$G$5:$G$289,'Comp2016-2017 (3)'!$A$5:$A$289,$D1124,'Comp2016-2017 (3)'!$R$5:$R$289,$V1124)*$AB1124))</f>
        <v>0</v>
      </c>
      <c r="AD1124" s="222">
        <f>IF($W1124=AD$3,$AB1124,IF(NOT($W1124=0),"",SUMIFS('Val-Vol (2)'!AD$4:AD$1858,'Val-Vol (2)'!$A$4:$A$1858,$D1124,'Val-Vol (2)'!$V$4:$V$1858,$V1124)/SUMIFS('Comp2016-2017 (3)'!$G$5:$G$289,'Comp2016-2017 (3)'!$A$5:$A$289,$D1124,'Comp2016-2017 (3)'!$R$5:$R$289,$V1124)*$AB1124))</f>
        <v>0</v>
      </c>
      <c r="AE1124" s="222">
        <f>IF($W1124=AE$3,$AB1124,IF(NOT($W1124=0),"",SUMIFS('Val-Vol (2)'!AE$4:AE$1858,'Val-Vol (2)'!$A$4:$A$1858,$D1124,'Val-Vol (2)'!$V$4:$V$1858,$V1124)/SUMIFS('Comp2016-2017 (3)'!$G$5:$G$289,'Comp2016-2017 (3)'!$A$5:$A$289,$D1124,'Comp2016-2017 (3)'!$R$5:$R$289,$V1124)*$AB1124))</f>
        <v>0</v>
      </c>
      <c r="AF1124" s="222">
        <f>IF($W1124=AF$3,$AB1124,IF(NOT($W1124=0),"",SUMIFS('Val-Vol (2)'!AF$4:AF$1858,'Val-Vol (2)'!$A$4:$A$1858,$D1124,'Val-Vol (2)'!$V$4:$V$1858,$V1124)/SUMIFS('Comp2016-2017 (3)'!$G$5:$G$289,'Comp2016-2017 (3)'!$A$5:$A$289,$D1124,'Comp2016-2017 (3)'!$R$5:$R$289,$V1124)*$AB1124))</f>
        <v>0</v>
      </c>
      <c r="AG1124" s="222">
        <f>IF($W1124=AG$3,$AB1124,IF(NOT($W1124=0),"",SUMIFS('Val-Vol (2)'!AG$4:AG$1858,'Val-Vol (2)'!$A$4:$A$1858,$D1124,'Val-Vol (2)'!$V$4:$V$1858,$V1124)/SUMIFS('Comp2016-2017 (3)'!$G$5:$G$289,'Comp2016-2017 (3)'!$A$5:$A$289,$D1124,'Comp2016-2017 (3)'!$R$5:$R$289,$V1124)*$AB1124))</f>
        <v>0</v>
      </c>
      <c r="AH1124" s="222">
        <f>IF($W1124=AH$3,$AB1124,IF(NOT($W1124=0),"",SUMIFS('Val-Vol (2)'!AH$4:AH$1858,'Val-Vol (2)'!$A$4:$A$1858,$D1124,'Val-Vol (2)'!$V$4:$V$1858,$V1124)/SUMIFS('Comp2016-2017 (3)'!$G$5:$G$289,'Comp2016-2017 (3)'!$A$5:$A$289,$D1124,'Comp2016-2017 (3)'!$R$5:$R$289,$V1124)*$AB1124))</f>
        <v>0</v>
      </c>
      <c r="AI1124" s="222">
        <f>IF($W1124=AI$3,$AB1124,IF(NOT($W1124=0),"",SUMIFS('Val-Vol (2)'!AI$4:AI$1858,'Val-Vol (2)'!$A$4:$A$1858,$D1124,'Val-Vol (2)'!$V$4:$V$1858,$V1124)/SUMIFS('Comp2016-2017 (3)'!$G$5:$G$289,'Comp2016-2017 (3)'!$A$5:$A$289,$D1124,'Comp2016-2017 (3)'!$R$5:$R$289,$V1124)*$AB1124))</f>
        <v>0</v>
      </c>
      <c r="AJ1124" s="222">
        <f>IF($W1124=AJ$3,$AB1124,IF(NOT($W1124=0),"",SUMIFS('Val-Vol (2)'!AJ$4:AJ$1858,'Val-Vol (2)'!$A$4:$A$1858,$D1124,'Val-Vol (2)'!$V$4:$V$1858,$V1124)/SUMIFS('Comp2016-2017 (3)'!$G$5:$G$289,'Comp2016-2017 (3)'!$A$5:$A$289,$D1124,'Comp2016-2017 (3)'!$R$5:$R$289,$V1124)*$AB1124))</f>
        <v>0</v>
      </c>
      <c r="AK1124" s="222">
        <f t="shared" si="145"/>
        <v>0</v>
      </c>
      <c r="AL1124" s="212" t="str">
        <f t="shared" si="143"/>
        <v/>
      </c>
      <c r="AM1124" s="212" t="str">
        <f>VLOOKUP(A1124,'Table corresp.'!$M$4:$U$63,8,FALSE)</f>
        <v>Forêt</v>
      </c>
      <c r="AN1124" s="212" t="str">
        <f>VLOOKUP(D1124,'Table corresp.'!$M$4:$U$63,9,FALSE)</f>
        <v>Production intermédiaire</v>
      </c>
    </row>
    <row r="1125" spans="1:40" x14ac:dyDescent="0.25">
      <c r="A1125" t="s">
        <v>0</v>
      </c>
      <c r="B1125" t="str">
        <f>VLOOKUP(LEFT(A1125,3),'Table corresp.'!$A$4:$D$63,3,FALSE)</f>
        <v>Forêt</v>
      </c>
      <c r="C1125" t="str">
        <f>VLOOKUP(A1125,'Table corresp.'!$M$4:$P$63,4,FALSE)</f>
        <v>Production et transformation de produits bois</v>
      </c>
      <c r="D1125" t="s">
        <v>7</v>
      </c>
      <c r="E1125" t="str">
        <f>VLOOKUP(LEFT(D1125,3),'Table corresp.'!$A$4:$D$63,4,FALSE)</f>
        <v>Transformation</v>
      </c>
      <c r="F1125" t="str">
        <f t="shared" si="132"/>
        <v xml:space="preserve">02  - 12 </v>
      </c>
      <c r="G1125" s="213">
        <v>252858.14186011002</v>
      </c>
      <c r="H1125" s="213">
        <v>29445.233978180757</v>
      </c>
      <c r="I1125" s="213">
        <v>282303.37583829078</v>
      </c>
      <c r="J1125" s="215">
        <v>6302.5735198017437</v>
      </c>
      <c r="K1125" s="215">
        <v>165.26080929097571</v>
      </c>
      <c r="L1125" s="215">
        <v>6467.8343290927196</v>
      </c>
      <c r="M1125" s="215"/>
      <c r="N1125" s="215"/>
      <c r="O1125" s="215"/>
      <c r="P1125" s="215"/>
      <c r="Q1125" s="215"/>
      <c r="R1125" s="215"/>
      <c r="S1125" s="213"/>
      <c r="T1125" s="212">
        <f>VLOOKUP(A1125,'Groupe de branches'!$Z$27:$AM$86,14,FALSE)</f>
        <v>0</v>
      </c>
      <c r="U1125" s="212">
        <f>VLOOKUP(D1125,'Groupe de branches'!$Z$27:$AM$86,14,FALSE)</f>
        <v>0</v>
      </c>
      <c r="V1125" s="212">
        <v>2019</v>
      </c>
      <c r="W1125" s="212">
        <f>VLOOKUP(D1125,'Table corresp.'!$M$4:$S$63,7,FALSE)</f>
        <v>0</v>
      </c>
      <c r="X1125" s="228">
        <f>IFERROR(G1125/SUMIFS('Comp2016-2017 (3)'!$I$5:$I$289,'Comp2016-2017 (3)'!$A$5:$A$289,A1125,'Comp2016-2017 (3)'!$R$5:$R$289,V1125),0)</f>
        <v>0.21963923716987738</v>
      </c>
      <c r="Y1125" s="214" t="e">
        <f>IF(RIGHT(F1125,3)="Exp",VLOOKUP(F1125,#REF!,2,FALSE),VLOOKUP(F1125,#REF!,9,FALSE))</f>
        <v>#REF!</v>
      </c>
      <c r="Z1125" s="225" t="str">
        <f t="shared" si="144"/>
        <v/>
      </c>
      <c r="AA1125" s="225" t="e">
        <f t="shared" si="140"/>
        <v>#VALUE!</v>
      </c>
      <c r="AB1125" s="222">
        <f>IFERROR(SUMIFS('Comp2016-2017 (3)'!$G$5:$G$289,'Comp2016-2017 (3)'!$A$5:$A$289,A1125,'Comp2016-2017 (3)'!$R$5:$R$289,V1125)*AA1125/SUMIFS($AA$4:$AA$1858,$A$4:$A$1858,A1125,$V$4:$V$1858,V1125),0)</f>
        <v>0</v>
      </c>
      <c r="AC1125" s="222">
        <f>IF($W1125=AC$3,$AB1125,IF(NOT($W1125=0),"",SUMIFS('Val-Vol (2)'!AC$4:AC$1858,'Val-Vol (2)'!$A$4:$A$1858,$D1125,'Val-Vol (2)'!$V$4:$V$1858,$V1125)/SUMIFS('Comp2016-2017 (3)'!$G$5:$G$289,'Comp2016-2017 (3)'!$A$5:$A$289,$D1125,'Comp2016-2017 (3)'!$R$5:$R$289,$V1125)*$AB1125))</f>
        <v>0</v>
      </c>
      <c r="AD1125" s="222">
        <f>IF($W1125=AD$3,$AB1125,IF(NOT($W1125=0),"",SUMIFS('Val-Vol (2)'!AD$4:AD$1858,'Val-Vol (2)'!$A$4:$A$1858,$D1125,'Val-Vol (2)'!$V$4:$V$1858,$V1125)/SUMIFS('Comp2016-2017 (3)'!$G$5:$G$289,'Comp2016-2017 (3)'!$A$5:$A$289,$D1125,'Comp2016-2017 (3)'!$R$5:$R$289,$V1125)*$AB1125))</f>
        <v>0</v>
      </c>
      <c r="AE1125" s="222">
        <f>IF($W1125=AE$3,$AB1125,IF(NOT($W1125=0),"",SUMIFS('Val-Vol (2)'!AE$4:AE$1858,'Val-Vol (2)'!$A$4:$A$1858,$D1125,'Val-Vol (2)'!$V$4:$V$1858,$V1125)/SUMIFS('Comp2016-2017 (3)'!$G$5:$G$289,'Comp2016-2017 (3)'!$A$5:$A$289,$D1125,'Comp2016-2017 (3)'!$R$5:$R$289,$V1125)*$AB1125))</f>
        <v>0</v>
      </c>
      <c r="AF1125" s="222">
        <f>IF($W1125=AF$3,$AB1125,IF(NOT($W1125=0),"",SUMIFS('Val-Vol (2)'!AF$4:AF$1858,'Val-Vol (2)'!$A$4:$A$1858,$D1125,'Val-Vol (2)'!$V$4:$V$1858,$V1125)/SUMIFS('Comp2016-2017 (3)'!$G$5:$G$289,'Comp2016-2017 (3)'!$A$5:$A$289,$D1125,'Comp2016-2017 (3)'!$R$5:$R$289,$V1125)*$AB1125))</f>
        <v>0</v>
      </c>
      <c r="AG1125" s="222">
        <f>IF($W1125=AG$3,$AB1125,IF(NOT($W1125=0),"",SUMIFS('Val-Vol (2)'!AG$4:AG$1858,'Val-Vol (2)'!$A$4:$A$1858,$D1125,'Val-Vol (2)'!$V$4:$V$1858,$V1125)/SUMIFS('Comp2016-2017 (3)'!$G$5:$G$289,'Comp2016-2017 (3)'!$A$5:$A$289,$D1125,'Comp2016-2017 (3)'!$R$5:$R$289,$V1125)*$AB1125))</f>
        <v>0</v>
      </c>
      <c r="AH1125" s="222">
        <f>IF($W1125=AH$3,$AB1125,IF(NOT($W1125=0),"",SUMIFS('Val-Vol (2)'!AH$4:AH$1858,'Val-Vol (2)'!$A$4:$A$1858,$D1125,'Val-Vol (2)'!$V$4:$V$1858,$V1125)/SUMIFS('Comp2016-2017 (3)'!$G$5:$G$289,'Comp2016-2017 (3)'!$A$5:$A$289,$D1125,'Comp2016-2017 (3)'!$R$5:$R$289,$V1125)*$AB1125))</f>
        <v>0</v>
      </c>
      <c r="AI1125" s="222">
        <f>IF($W1125=AI$3,$AB1125,IF(NOT($W1125=0),"",SUMIFS('Val-Vol (2)'!AI$4:AI$1858,'Val-Vol (2)'!$A$4:$A$1858,$D1125,'Val-Vol (2)'!$V$4:$V$1858,$V1125)/SUMIFS('Comp2016-2017 (3)'!$G$5:$G$289,'Comp2016-2017 (3)'!$A$5:$A$289,$D1125,'Comp2016-2017 (3)'!$R$5:$R$289,$V1125)*$AB1125))</f>
        <v>0</v>
      </c>
      <c r="AJ1125" s="222">
        <f>IF($W1125=AJ$3,$AB1125,IF(NOT($W1125=0),"",SUMIFS('Val-Vol (2)'!AJ$4:AJ$1858,'Val-Vol (2)'!$A$4:$A$1858,$D1125,'Val-Vol (2)'!$V$4:$V$1858,$V1125)/SUMIFS('Comp2016-2017 (3)'!$G$5:$G$289,'Comp2016-2017 (3)'!$A$5:$A$289,$D1125,'Comp2016-2017 (3)'!$R$5:$R$289,$V1125)*$AB1125))</f>
        <v>0</v>
      </c>
      <c r="AK1125" s="222">
        <f>SUM(AC1125:AJ1125)-AB1125</f>
        <v>0</v>
      </c>
      <c r="AL1125" s="212" t="str">
        <f t="shared" si="143"/>
        <v/>
      </c>
      <c r="AM1125" s="212" t="str">
        <f>VLOOKUP(A1125,'Table corresp.'!$M$4:$U$63,8,FALSE)</f>
        <v>Forêt</v>
      </c>
      <c r="AN1125" s="212" t="str">
        <f>VLOOKUP(D1125,'Table corresp.'!$M$4:$U$63,9,FALSE)</f>
        <v>Production intermédiaire</v>
      </c>
    </row>
    <row r="1126" spans="1:40" x14ac:dyDescent="0.25">
      <c r="A1126" t="s">
        <v>0</v>
      </c>
      <c r="B1126" t="str">
        <f>VLOOKUP(LEFT(A1126,3),'Table corresp.'!$A$4:$D$63,3,FALSE)</f>
        <v>Forêt</v>
      </c>
      <c r="C1126" t="str">
        <f>VLOOKUP(A1126,'Table corresp.'!$M$4:$P$63,4,FALSE)</f>
        <v>Production et transformation de produits bois</v>
      </c>
      <c r="D1126" t="s">
        <v>8</v>
      </c>
      <c r="E1126" t="str">
        <f>VLOOKUP(LEFT(D1126,3),'Table corresp.'!$A$4:$D$63,4,FALSE)</f>
        <v>Transformation</v>
      </c>
      <c r="F1126" t="str">
        <f t="shared" si="132"/>
        <v xml:space="preserve">02  - 13 </v>
      </c>
      <c r="G1126" s="213">
        <v>115799.84261832747</v>
      </c>
      <c r="H1126" s="213">
        <v>0</v>
      </c>
      <c r="I1126" s="213">
        <v>115799.84261832747</v>
      </c>
      <c r="J1126" s="215">
        <v>2454.6002535105581</v>
      </c>
      <c r="K1126" s="215">
        <v>0</v>
      </c>
      <c r="L1126" s="215">
        <v>2454.6002535105581</v>
      </c>
      <c r="M1126" s="215"/>
      <c r="N1126" s="215"/>
      <c r="O1126" s="215"/>
      <c r="P1126" s="215"/>
      <c r="Q1126" s="215"/>
      <c r="R1126" s="215"/>
      <c r="S1126" s="213"/>
      <c r="T1126" s="212">
        <f>VLOOKUP(A1126,'Groupe de branches'!$Z$27:$AM$86,14,FALSE)</f>
        <v>0</v>
      </c>
      <c r="U1126" s="212">
        <f>VLOOKUP(D1126,'Groupe de branches'!$Z$27:$AM$86,14,FALSE)</f>
        <v>0</v>
      </c>
      <c r="V1126" s="212">
        <v>2019</v>
      </c>
      <c r="W1126" s="212">
        <f>VLOOKUP(D1126,'Table corresp.'!$M$4:$S$63,7,FALSE)</f>
        <v>0</v>
      </c>
      <c r="X1126" s="228">
        <f>IFERROR(G1126/SUMIFS('Comp2016-2017 (3)'!$I$5:$I$289,'Comp2016-2017 (3)'!$A$5:$A$289,A1126,'Comp2016-2017 (3)'!$R$5:$R$289,V1126),0)</f>
        <v>0.10058679111528228</v>
      </c>
      <c r="Y1126" s="214" t="e">
        <f>IF(RIGHT(F1126,3)="Exp",VLOOKUP(F1126,#REF!,2,FALSE),VLOOKUP(F1126,#REF!,9,FALSE))</f>
        <v>#REF!</v>
      </c>
      <c r="Z1126" s="225" t="str">
        <f t="shared" si="144"/>
        <v/>
      </c>
      <c r="AA1126" s="225" t="e">
        <f t="shared" si="140"/>
        <v>#VALUE!</v>
      </c>
      <c r="AB1126" s="222">
        <f>IFERROR(SUMIFS('Comp2016-2017 (3)'!$G$5:$G$289,'Comp2016-2017 (3)'!$A$5:$A$289,A1126,'Comp2016-2017 (3)'!$R$5:$R$289,V1126)*AA1126/SUMIFS($AA$4:$AA$1858,$A$4:$A$1858,A1126,$V$4:$V$1858,V1126),0)</f>
        <v>0</v>
      </c>
      <c r="AC1126" s="222">
        <f>IF($W1126=AC$3,$AB1126,IF(NOT($W1126=0),"",SUMIFS('Val-Vol (2)'!AC$4:AC$1858,'Val-Vol (2)'!$A$4:$A$1858,$D1126,'Val-Vol (2)'!$V$4:$V$1858,$V1126)/SUMIFS('Comp2016-2017 (3)'!$G$5:$G$289,'Comp2016-2017 (3)'!$A$5:$A$289,$D1126,'Comp2016-2017 (3)'!$R$5:$R$289,$V1126)*$AB1126))</f>
        <v>0</v>
      </c>
      <c r="AD1126" s="222">
        <f>IF($W1126=AD$3,$AB1126,IF(NOT($W1126=0),"",SUMIFS('Val-Vol (2)'!AD$4:AD$1858,'Val-Vol (2)'!$A$4:$A$1858,$D1126,'Val-Vol (2)'!$V$4:$V$1858,$V1126)/SUMIFS('Comp2016-2017 (3)'!$G$5:$G$289,'Comp2016-2017 (3)'!$A$5:$A$289,$D1126,'Comp2016-2017 (3)'!$R$5:$R$289,$V1126)*$AB1126))</f>
        <v>0</v>
      </c>
      <c r="AE1126" s="222">
        <f>IF($W1126=AE$3,$AB1126,IF(NOT($W1126=0),"",SUMIFS('Val-Vol (2)'!AE$4:AE$1858,'Val-Vol (2)'!$A$4:$A$1858,$D1126,'Val-Vol (2)'!$V$4:$V$1858,$V1126)/SUMIFS('Comp2016-2017 (3)'!$G$5:$G$289,'Comp2016-2017 (3)'!$A$5:$A$289,$D1126,'Comp2016-2017 (3)'!$R$5:$R$289,$V1126)*$AB1126))</f>
        <v>0</v>
      </c>
      <c r="AF1126" s="222">
        <f>IF($W1126=AF$3,$AB1126,IF(NOT($W1126=0),"",SUMIFS('Val-Vol (2)'!AF$4:AF$1858,'Val-Vol (2)'!$A$4:$A$1858,$D1126,'Val-Vol (2)'!$V$4:$V$1858,$V1126)/SUMIFS('Comp2016-2017 (3)'!$G$5:$G$289,'Comp2016-2017 (3)'!$A$5:$A$289,$D1126,'Comp2016-2017 (3)'!$R$5:$R$289,$V1126)*$AB1126))</f>
        <v>0</v>
      </c>
      <c r="AG1126" s="222">
        <f>IF($W1126=AG$3,$AB1126,IF(NOT($W1126=0),"",SUMIFS('Val-Vol (2)'!AG$4:AG$1858,'Val-Vol (2)'!$A$4:$A$1858,$D1126,'Val-Vol (2)'!$V$4:$V$1858,$V1126)/SUMIFS('Comp2016-2017 (3)'!$G$5:$G$289,'Comp2016-2017 (3)'!$A$5:$A$289,$D1126,'Comp2016-2017 (3)'!$R$5:$R$289,$V1126)*$AB1126))</f>
        <v>0</v>
      </c>
      <c r="AH1126" s="222">
        <f>IF($W1126=AH$3,$AB1126,IF(NOT($W1126=0),"",SUMIFS('Val-Vol (2)'!AH$4:AH$1858,'Val-Vol (2)'!$A$4:$A$1858,$D1126,'Val-Vol (2)'!$V$4:$V$1858,$V1126)/SUMIFS('Comp2016-2017 (3)'!$G$5:$G$289,'Comp2016-2017 (3)'!$A$5:$A$289,$D1126,'Comp2016-2017 (3)'!$R$5:$R$289,$V1126)*$AB1126))</f>
        <v>0</v>
      </c>
      <c r="AI1126" s="222">
        <f>IF($W1126=AI$3,$AB1126,IF(NOT($W1126=0),"",SUMIFS('Val-Vol (2)'!AI$4:AI$1858,'Val-Vol (2)'!$A$4:$A$1858,$D1126,'Val-Vol (2)'!$V$4:$V$1858,$V1126)/SUMIFS('Comp2016-2017 (3)'!$G$5:$G$289,'Comp2016-2017 (3)'!$A$5:$A$289,$D1126,'Comp2016-2017 (3)'!$R$5:$R$289,$V1126)*$AB1126))</f>
        <v>0</v>
      </c>
      <c r="AJ1126" s="222">
        <f>IF($W1126=AJ$3,$AB1126,IF(NOT($W1126=0),"",SUMIFS('Val-Vol (2)'!AJ$4:AJ$1858,'Val-Vol (2)'!$A$4:$A$1858,$D1126,'Val-Vol (2)'!$V$4:$V$1858,$V1126)/SUMIFS('Comp2016-2017 (3)'!$G$5:$G$289,'Comp2016-2017 (3)'!$A$5:$A$289,$D1126,'Comp2016-2017 (3)'!$R$5:$R$289,$V1126)*$AB1126))</f>
        <v>0</v>
      </c>
      <c r="AK1126" s="222">
        <f t="shared" si="145"/>
        <v>0</v>
      </c>
      <c r="AL1126" s="212" t="str">
        <f t="shared" si="143"/>
        <v/>
      </c>
      <c r="AM1126" s="212" t="str">
        <f>VLOOKUP(A1126,'Table corresp.'!$M$4:$U$63,8,FALSE)</f>
        <v>Forêt</v>
      </c>
      <c r="AN1126" s="212" t="str">
        <f>VLOOKUP(D1126,'Table corresp.'!$M$4:$U$63,9,FALSE)</f>
        <v>Production intermédiaire</v>
      </c>
    </row>
    <row r="1127" spans="1:40" x14ac:dyDescent="0.25">
      <c r="A1127" t="s">
        <v>0</v>
      </c>
      <c r="B1127" t="str">
        <f>VLOOKUP(LEFT(A1127,3),'Table corresp.'!$A$4:$D$63,3,FALSE)</f>
        <v>Forêt</v>
      </c>
      <c r="C1127" t="str">
        <f>VLOOKUP(A1127,'Table corresp.'!$M$4:$P$63,4,FALSE)</f>
        <v>Production et transformation de produits bois</v>
      </c>
      <c r="D1127" t="s">
        <v>83</v>
      </c>
      <c r="E1127" t="str">
        <f>VLOOKUP(LEFT(D1127,3),'Table corresp.'!$A$4:$D$63,4,FALSE)</f>
        <v>Transformation</v>
      </c>
      <c r="F1127" t="str">
        <f t="shared" si="132"/>
        <v xml:space="preserve">02  - 14 </v>
      </c>
      <c r="G1127" s="213">
        <v>32040.713190680926</v>
      </c>
      <c r="H1127" s="213">
        <v>3641.5338231146152</v>
      </c>
      <c r="I1127" s="213">
        <v>35682.247013795539</v>
      </c>
      <c r="J1127" s="215">
        <v>897.08466551897743</v>
      </c>
      <c r="K1127" s="215">
        <v>20.68877744988125</v>
      </c>
      <c r="L1127" s="215">
        <v>917.77344296885872</v>
      </c>
      <c r="M1127" s="215"/>
      <c r="N1127" s="215"/>
      <c r="O1127" s="215"/>
      <c r="P1127" s="215"/>
      <c r="Q1127" s="215"/>
      <c r="R1127" s="215"/>
      <c r="S1127" s="213"/>
      <c r="T1127" s="212">
        <f>VLOOKUP(A1127,'Groupe de branches'!$Z$27:$AM$86,14,FALSE)</f>
        <v>0</v>
      </c>
      <c r="U1127" s="212">
        <f>VLOOKUP(D1127,'Groupe de branches'!$Z$27:$AM$86,14,FALSE)</f>
        <v>0</v>
      </c>
      <c r="V1127" s="212">
        <v>2019</v>
      </c>
      <c r="W1127" s="212">
        <f>VLOOKUP(D1127,'Table corresp.'!$M$4:$S$63,7,FALSE)</f>
        <v>0</v>
      </c>
      <c r="X1127" s="228">
        <f>IFERROR(G1127/SUMIFS('Comp2016-2017 (3)'!$I$5:$I$289,'Comp2016-2017 (3)'!$A$5:$A$289,A1127,'Comp2016-2017 (3)'!$R$5:$R$289,V1127),0)</f>
        <v>2.7831406779352676E-2</v>
      </c>
      <c r="Y1127" s="214" t="e">
        <f>IF(RIGHT(F1127,3)="Exp",VLOOKUP(F1127,#REF!,2,FALSE),VLOOKUP(F1127,#REF!,9,FALSE))</f>
        <v>#REF!</v>
      </c>
      <c r="Z1127" s="225" t="str">
        <f t="shared" si="144"/>
        <v/>
      </c>
      <c r="AA1127" s="225" t="e">
        <f t="shared" si="140"/>
        <v>#VALUE!</v>
      </c>
      <c r="AB1127" s="222">
        <f>IFERROR(SUMIFS('Comp2016-2017 (3)'!$G$5:$G$289,'Comp2016-2017 (3)'!$A$5:$A$289,A1127,'Comp2016-2017 (3)'!$R$5:$R$289,V1127)*AA1127/SUMIFS($AA$4:$AA$1858,$A$4:$A$1858,A1127,$V$4:$V$1858,V1127),0)</f>
        <v>0</v>
      </c>
      <c r="AC1127" s="222">
        <f>IF($W1127=AC$3,$AB1127,IF(NOT($W1127=0),"",SUMIFS('Val-Vol (2)'!AC$4:AC$1858,'Val-Vol (2)'!$A$4:$A$1858,$D1127,'Val-Vol (2)'!$V$4:$V$1858,$V1127)/SUMIFS('Comp2016-2017 (3)'!$G$5:$G$289,'Comp2016-2017 (3)'!$A$5:$A$289,$D1127,'Comp2016-2017 (3)'!$R$5:$R$289,$V1127)*$AB1127))</f>
        <v>0</v>
      </c>
      <c r="AD1127" s="222">
        <f>IF($W1127=AD$3,$AB1127,IF(NOT($W1127=0),"",SUMIFS('Val-Vol (2)'!AD$4:AD$1858,'Val-Vol (2)'!$A$4:$A$1858,$D1127,'Val-Vol (2)'!$V$4:$V$1858,$V1127)/SUMIFS('Comp2016-2017 (3)'!$G$5:$G$289,'Comp2016-2017 (3)'!$A$5:$A$289,$D1127,'Comp2016-2017 (3)'!$R$5:$R$289,$V1127)*$AB1127))</f>
        <v>0</v>
      </c>
      <c r="AE1127" s="222">
        <f>IF($W1127=AE$3,$AB1127,IF(NOT($W1127=0),"",SUMIFS('Val-Vol (2)'!AE$4:AE$1858,'Val-Vol (2)'!$A$4:$A$1858,$D1127,'Val-Vol (2)'!$V$4:$V$1858,$V1127)/SUMIFS('Comp2016-2017 (3)'!$G$5:$G$289,'Comp2016-2017 (3)'!$A$5:$A$289,$D1127,'Comp2016-2017 (3)'!$R$5:$R$289,$V1127)*$AB1127))</f>
        <v>0</v>
      </c>
      <c r="AF1127" s="222">
        <f>IF($W1127=AF$3,$AB1127,IF(NOT($W1127=0),"",SUMIFS('Val-Vol (2)'!AF$4:AF$1858,'Val-Vol (2)'!$A$4:$A$1858,$D1127,'Val-Vol (2)'!$V$4:$V$1858,$V1127)/SUMIFS('Comp2016-2017 (3)'!$G$5:$G$289,'Comp2016-2017 (3)'!$A$5:$A$289,$D1127,'Comp2016-2017 (3)'!$R$5:$R$289,$V1127)*$AB1127))</f>
        <v>0</v>
      </c>
      <c r="AG1127" s="222">
        <f>IF($W1127=AG$3,$AB1127,IF(NOT($W1127=0),"",SUMIFS('Val-Vol (2)'!AG$4:AG$1858,'Val-Vol (2)'!$A$4:$A$1858,$D1127,'Val-Vol (2)'!$V$4:$V$1858,$V1127)/SUMIFS('Comp2016-2017 (3)'!$G$5:$G$289,'Comp2016-2017 (3)'!$A$5:$A$289,$D1127,'Comp2016-2017 (3)'!$R$5:$R$289,$V1127)*$AB1127))</f>
        <v>0</v>
      </c>
      <c r="AH1127" s="222">
        <f>IF($W1127=AH$3,$AB1127,IF(NOT($W1127=0),"",SUMIFS('Val-Vol (2)'!AH$4:AH$1858,'Val-Vol (2)'!$A$4:$A$1858,$D1127,'Val-Vol (2)'!$V$4:$V$1858,$V1127)/SUMIFS('Comp2016-2017 (3)'!$G$5:$G$289,'Comp2016-2017 (3)'!$A$5:$A$289,$D1127,'Comp2016-2017 (3)'!$R$5:$R$289,$V1127)*$AB1127))</f>
        <v>0</v>
      </c>
      <c r="AI1127" s="222">
        <f>IF($W1127=AI$3,$AB1127,IF(NOT($W1127=0),"",SUMIFS('Val-Vol (2)'!AI$4:AI$1858,'Val-Vol (2)'!$A$4:$A$1858,$D1127,'Val-Vol (2)'!$V$4:$V$1858,$V1127)/SUMIFS('Comp2016-2017 (3)'!$G$5:$G$289,'Comp2016-2017 (3)'!$A$5:$A$289,$D1127,'Comp2016-2017 (3)'!$R$5:$R$289,$V1127)*$AB1127))</f>
        <v>0</v>
      </c>
      <c r="AJ1127" s="222">
        <f>IF($W1127=AJ$3,$AB1127,IF(NOT($W1127=0),"",SUMIFS('Val-Vol (2)'!AJ$4:AJ$1858,'Val-Vol (2)'!$A$4:$A$1858,$D1127,'Val-Vol (2)'!$V$4:$V$1858,$V1127)/SUMIFS('Comp2016-2017 (3)'!$G$5:$G$289,'Comp2016-2017 (3)'!$A$5:$A$289,$D1127,'Comp2016-2017 (3)'!$R$5:$R$289,$V1127)*$AB1127))</f>
        <v>0</v>
      </c>
      <c r="AK1127" s="222">
        <f t="shared" si="145"/>
        <v>0</v>
      </c>
      <c r="AL1127" s="212" t="str">
        <f t="shared" si="143"/>
        <v/>
      </c>
      <c r="AM1127" s="212" t="str">
        <f>VLOOKUP(A1127,'Table corresp.'!$M$4:$U$63,8,FALSE)</f>
        <v>Forêt</v>
      </c>
      <c r="AN1127" s="212" t="str">
        <f>VLOOKUP(D1127,'Table corresp.'!$M$4:$U$63,9,FALSE)</f>
        <v>Production intermédiaire</v>
      </c>
    </row>
    <row r="1128" spans="1:40" x14ac:dyDescent="0.25">
      <c r="A1128" t="s">
        <v>0</v>
      </c>
      <c r="B1128" t="str">
        <f>VLOOKUP(LEFT(A1128,3),'Table corresp.'!$A$4:$D$63,3,FALSE)</f>
        <v>Forêt</v>
      </c>
      <c r="C1128" t="str">
        <f>VLOOKUP(A1128,'Table corresp.'!$M$4:$P$63,4,FALSE)</f>
        <v>Production et transformation de produits bois</v>
      </c>
      <c r="D1128" t="s">
        <v>9</v>
      </c>
      <c r="E1128" t="str">
        <f>VLOOKUP(LEFT(D1128,3),'Table corresp.'!$A$4:$D$63,4,FALSE)</f>
        <v>Transformation</v>
      </c>
      <c r="F1128" t="str">
        <f t="shared" si="132"/>
        <v xml:space="preserve">02  - 15 </v>
      </c>
      <c r="G1128" s="213">
        <v>84185.766293874141</v>
      </c>
      <c r="H1128" s="213">
        <v>0</v>
      </c>
      <c r="I1128" s="213">
        <v>84185.766293874141</v>
      </c>
      <c r="J1128" s="215">
        <v>2538.1088689258672</v>
      </c>
      <c r="K1128" s="215">
        <v>0</v>
      </c>
      <c r="L1128" s="215">
        <v>2538.1088689258672</v>
      </c>
      <c r="M1128" s="215"/>
      <c r="N1128" s="215"/>
      <c r="O1128" s="215"/>
      <c r="P1128" s="215"/>
      <c r="Q1128" s="215"/>
      <c r="R1128" s="215"/>
      <c r="S1128" s="213"/>
      <c r="T1128" s="212">
        <f>VLOOKUP(A1128,'Groupe de branches'!$Z$27:$AM$86,14,FALSE)</f>
        <v>0</v>
      </c>
      <c r="U1128" s="212">
        <f>VLOOKUP(D1128,'Groupe de branches'!$Z$27:$AM$86,14,FALSE)</f>
        <v>0</v>
      </c>
      <c r="V1128" s="212">
        <v>2019</v>
      </c>
      <c r="W1128" s="212">
        <f>VLOOKUP(D1128,'Table corresp.'!$M$4:$S$63,7,FALSE)</f>
        <v>0</v>
      </c>
      <c r="X1128" s="228">
        <f>IFERROR(G1128/SUMIFS('Comp2016-2017 (3)'!$I$5:$I$289,'Comp2016-2017 (3)'!$A$5:$A$289,A1128,'Comp2016-2017 (3)'!$R$5:$R$289,V1128),0)</f>
        <v>7.3125972346888807E-2</v>
      </c>
      <c r="Y1128" s="214" t="e">
        <f>IF(RIGHT(F1128,3)="Exp",VLOOKUP(F1128,#REF!,2,FALSE),VLOOKUP(F1128,#REF!,9,FALSE))</f>
        <v>#REF!</v>
      </c>
      <c r="Z1128" s="225" t="str">
        <f t="shared" si="144"/>
        <v/>
      </c>
      <c r="AA1128" s="225" t="e">
        <f t="shared" si="140"/>
        <v>#VALUE!</v>
      </c>
      <c r="AB1128" s="222">
        <f>IFERROR(SUMIFS('Comp2016-2017 (3)'!$G$5:$G$289,'Comp2016-2017 (3)'!$A$5:$A$289,A1128,'Comp2016-2017 (3)'!$R$5:$R$289,V1128)*AA1128/SUMIFS($AA$4:$AA$1858,$A$4:$A$1858,A1128,$V$4:$V$1858,V1128),0)</f>
        <v>0</v>
      </c>
      <c r="AC1128" s="222">
        <f>IF($W1128=AC$3,$AB1128,IF(NOT($W1128=0),"",SUMIFS('Val-Vol (2)'!AC$4:AC$1858,'Val-Vol (2)'!$A$4:$A$1858,$D1128,'Val-Vol (2)'!$V$4:$V$1858,$V1128)/SUMIFS('Comp2016-2017 (3)'!$G$5:$G$289,'Comp2016-2017 (3)'!$A$5:$A$289,$D1128,'Comp2016-2017 (3)'!$R$5:$R$289,$V1128)*$AB1128))</f>
        <v>0</v>
      </c>
      <c r="AD1128" s="222">
        <f>IF($W1128=AD$3,$AB1128,IF(NOT($W1128=0),"",SUMIFS('Val-Vol (2)'!AD$4:AD$1858,'Val-Vol (2)'!$A$4:$A$1858,$D1128,'Val-Vol (2)'!$V$4:$V$1858,$V1128)/SUMIFS('Comp2016-2017 (3)'!$G$5:$G$289,'Comp2016-2017 (3)'!$A$5:$A$289,$D1128,'Comp2016-2017 (3)'!$R$5:$R$289,$V1128)*$AB1128))</f>
        <v>0</v>
      </c>
      <c r="AE1128" s="222">
        <f>IF($W1128=AE$3,$AB1128,IF(NOT($W1128=0),"",SUMIFS('Val-Vol (2)'!AE$4:AE$1858,'Val-Vol (2)'!$A$4:$A$1858,$D1128,'Val-Vol (2)'!$V$4:$V$1858,$V1128)/SUMIFS('Comp2016-2017 (3)'!$G$5:$G$289,'Comp2016-2017 (3)'!$A$5:$A$289,$D1128,'Comp2016-2017 (3)'!$R$5:$R$289,$V1128)*$AB1128))</f>
        <v>0</v>
      </c>
      <c r="AF1128" s="222">
        <f>IF($W1128=AF$3,$AB1128,IF(NOT($W1128=0),"",SUMIFS('Val-Vol (2)'!AF$4:AF$1858,'Val-Vol (2)'!$A$4:$A$1858,$D1128,'Val-Vol (2)'!$V$4:$V$1858,$V1128)/SUMIFS('Comp2016-2017 (3)'!$G$5:$G$289,'Comp2016-2017 (3)'!$A$5:$A$289,$D1128,'Comp2016-2017 (3)'!$R$5:$R$289,$V1128)*$AB1128))</f>
        <v>0</v>
      </c>
      <c r="AG1128" s="222">
        <f>IF($W1128=AG$3,$AB1128,IF(NOT($W1128=0),"",SUMIFS('Val-Vol (2)'!AG$4:AG$1858,'Val-Vol (2)'!$A$4:$A$1858,$D1128,'Val-Vol (2)'!$V$4:$V$1858,$V1128)/SUMIFS('Comp2016-2017 (3)'!$G$5:$G$289,'Comp2016-2017 (3)'!$A$5:$A$289,$D1128,'Comp2016-2017 (3)'!$R$5:$R$289,$V1128)*$AB1128))</f>
        <v>0</v>
      </c>
      <c r="AH1128" s="222">
        <f>IF($W1128=AH$3,$AB1128,IF(NOT($W1128=0),"",SUMIFS('Val-Vol (2)'!AH$4:AH$1858,'Val-Vol (2)'!$A$4:$A$1858,$D1128,'Val-Vol (2)'!$V$4:$V$1858,$V1128)/SUMIFS('Comp2016-2017 (3)'!$G$5:$G$289,'Comp2016-2017 (3)'!$A$5:$A$289,$D1128,'Comp2016-2017 (3)'!$R$5:$R$289,$V1128)*$AB1128))</f>
        <v>0</v>
      </c>
      <c r="AI1128" s="222">
        <f>IF($W1128=AI$3,$AB1128,IF(NOT($W1128=0),"",SUMIFS('Val-Vol (2)'!AI$4:AI$1858,'Val-Vol (2)'!$A$4:$A$1858,$D1128,'Val-Vol (2)'!$V$4:$V$1858,$V1128)/SUMIFS('Comp2016-2017 (3)'!$G$5:$G$289,'Comp2016-2017 (3)'!$A$5:$A$289,$D1128,'Comp2016-2017 (3)'!$R$5:$R$289,$V1128)*$AB1128))</f>
        <v>0</v>
      </c>
      <c r="AJ1128" s="222">
        <f>IF($W1128=AJ$3,$AB1128,IF(NOT($W1128=0),"",SUMIFS('Val-Vol (2)'!AJ$4:AJ$1858,'Val-Vol (2)'!$A$4:$A$1858,$D1128,'Val-Vol (2)'!$V$4:$V$1858,$V1128)/SUMIFS('Comp2016-2017 (3)'!$G$5:$G$289,'Comp2016-2017 (3)'!$A$5:$A$289,$D1128,'Comp2016-2017 (3)'!$R$5:$R$289,$V1128)*$AB1128))</f>
        <v>0</v>
      </c>
      <c r="AK1128" s="222">
        <f t="shared" si="145"/>
        <v>0</v>
      </c>
      <c r="AL1128" s="212" t="str">
        <f t="shared" si="143"/>
        <v/>
      </c>
      <c r="AM1128" s="212" t="str">
        <f>VLOOKUP(A1128,'Table corresp.'!$M$4:$U$63,8,FALSE)</f>
        <v>Forêt</v>
      </c>
      <c r="AN1128" s="212" t="str">
        <f>VLOOKUP(D1128,'Table corresp.'!$M$4:$U$63,9,FALSE)</f>
        <v>Production intermédiaire</v>
      </c>
    </row>
    <row r="1129" spans="1:40" x14ac:dyDescent="0.25">
      <c r="A1129" t="s">
        <v>0</v>
      </c>
      <c r="B1129" t="str">
        <f>VLOOKUP(LEFT(A1129,3),'Table corresp.'!$A$4:$D$63,3,FALSE)</f>
        <v>Forêt</v>
      </c>
      <c r="C1129" t="str">
        <f>VLOOKUP(A1129,'Table corresp.'!$M$4:$P$63,4,FALSE)</f>
        <v>Production et transformation de produits bois</v>
      </c>
      <c r="D1129" t="s">
        <v>10</v>
      </c>
      <c r="E1129" t="str">
        <f>VLOOKUP(LEFT(D1129,3),'Table corresp.'!$A$4:$D$63,4,FALSE)</f>
        <v>Transformation</v>
      </c>
      <c r="F1129" t="str">
        <f t="shared" si="132"/>
        <v xml:space="preserve">02  - 16 </v>
      </c>
      <c r="G1129" s="213">
        <v>127374.96434731895</v>
      </c>
      <c r="H1129" s="213">
        <v>0</v>
      </c>
      <c r="I1129" s="213">
        <v>127374.96434731896</v>
      </c>
      <c r="J1129" s="215">
        <v>332.38738167537065</v>
      </c>
      <c r="K1129" s="215">
        <v>0</v>
      </c>
      <c r="L1129" s="215">
        <v>332.38738167537065</v>
      </c>
      <c r="M1129" s="215"/>
      <c r="N1129" s="215"/>
      <c r="O1129" s="215"/>
      <c r="P1129" s="215"/>
      <c r="Q1129" s="215"/>
      <c r="R1129" s="215"/>
      <c r="S1129" s="213"/>
      <c r="T1129" s="212">
        <f>VLOOKUP(A1129,'Groupe de branches'!$Z$27:$AM$86,14,FALSE)</f>
        <v>0</v>
      </c>
      <c r="U1129" s="212">
        <f>VLOOKUP(D1129,'Groupe de branches'!$Z$27:$AM$86,14,FALSE)</f>
        <v>0</v>
      </c>
      <c r="V1129" s="212">
        <v>2019</v>
      </c>
      <c r="W1129" s="212" t="str">
        <f>VLOOKUP(D1129,'Table corresp.'!$M$4:$S$63,7,FALSE)</f>
        <v>Emballage bois et carton</v>
      </c>
      <c r="X1129" s="228">
        <f>IFERROR(G1129/SUMIFS('Comp2016-2017 (3)'!$I$5:$I$289,'Comp2016-2017 (3)'!$A$5:$A$289,A1129,'Comp2016-2017 (3)'!$R$5:$R$289,V1129),0)</f>
        <v>0.11064124650280419</v>
      </c>
      <c r="Y1129" s="214" t="e">
        <f>IF(RIGHT(F1129,3)="Exp",VLOOKUP(F1129,#REF!,2,FALSE),VLOOKUP(F1129,#REF!,9,FALSE))</f>
        <v>#REF!</v>
      </c>
      <c r="Z1129" s="225" t="str">
        <f t="shared" si="144"/>
        <v/>
      </c>
      <c r="AA1129" s="225" t="e">
        <f t="shared" si="140"/>
        <v>#VALUE!</v>
      </c>
      <c r="AB1129" s="222">
        <f>IFERROR(SUMIFS('Comp2016-2017 (3)'!$G$5:$G$289,'Comp2016-2017 (3)'!$A$5:$A$289,A1129,'Comp2016-2017 (3)'!$R$5:$R$289,V1129)*AA1129/SUMIFS($AA$4:$AA$1858,$A$4:$A$1858,A1129,$V$4:$V$1858,V1129),0)</f>
        <v>0</v>
      </c>
      <c r="AC1129" s="222" t="str">
        <f>IF($W1129=AC$3,$AB1129,IF(NOT($W1129=0),"",SUMIFS('Val-Vol (2)'!AC$4:AC$1858,'Val-Vol (2)'!$A$4:$A$1858,$D1129,'Val-Vol (2)'!$V$4:$V$1858,$V1129)/SUMIFS('Comp2016-2017 (3)'!$G$5:$G$289,'Comp2016-2017 (3)'!$A$5:$A$289,$D1129,'Comp2016-2017 (3)'!$R$5:$R$289,$V1129)*$AB1129))</f>
        <v/>
      </c>
      <c r="AD1129" s="222" t="str">
        <f>IF($W1129=AD$3,$AB1129,IF(NOT($W1129=0),"",SUMIFS('Val-Vol (2)'!AD$4:AD$1858,'Val-Vol (2)'!$A$4:$A$1858,$D1129,'Val-Vol (2)'!$V$4:$V$1858,$V1129)/SUMIFS('Comp2016-2017 (3)'!$G$5:$G$289,'Comp2016-2017 (3)'!$A$5:$A$289,$D1129,'Comp2016-2017 (3)'!$R$5:$R$289,$V1129)*$AB1129))</f>
        <v/>
      </c>
      <c r="AE1129" s="222" t="str">
        <f>IF($W1129=AE$3,$AB1129,IF(NOT($W1129=0),"",SUMIFS('Val-Vol (2)'!AE$4:AE$1858,'Val-Vol (2)'!$A$4:$A$1858,$D1129,'Val-Vol (2)'!$V$4:$V$1858,$V1129)/SUMIFS('Comp2016-2017 (3)'!$G$5:$G$289,'Comp2016-2017 (3)'!$A$5:$A$289,$D1129,'Comp2016-2017 (3)'!$R$5:$R$289,$V1129)*$AB1129))</f>
        <v/>
      </c>
      <c r="AF1129" s="222" t="str">
        <f>IF($W1129=AF$3,$AB1129,IF(NOT($W1129=0),"",SUMIFS('Val-Vol (2)'!AF$4:AF$1858,'Val-Vol (2)'!$A$4:$A$1858,$D1129,'Val-Vol (2)'!$V$4:$V$1858,$V1129)/SUMIFS('Comp2016-2017 (3)'!$G$5:$G$289,'Comp2016-2017 (3)'!$A$5:$A$289,$D1129,'Comp2016-2017 (3)'!$R$5:$R$289,$V1129)*$AB1129))</f>
        <v/>
      </c>
      <c r="AG1129" s="222">
        <f>IF($W1129=AG$3,$AB1129,IF(NOT($W1129=0),"",SUMIFS('Val-Vol (2)'!AG$4:AG$1858,'Val-Vol (2)'!$A$4:$A$1858,$D1129,'Val-Vol (2)'!$V$4:$V$1858,$V1129)/SUMIFS('Comp2016-2017 (3)'!$G$5:$G$289,'Comp2016-2017 (3)'!$A$5:$A$289,$D1129,'Comp2016-2017 (3)'!$R$5:$R$289,$V1129)*$AB1129))</f>
        <v>0</v>
      </c>
      <c r="AH1129" s="222" t="str">
        <f>IF($W1129=AH$3,$AB1129,IF(NOT($W1129=0),"",SUMIFS('Val-Vol (2)'!AH$4:AH$1858,'Val-Vol (2)'!$A$4:$A$1858,$D1129,'Val-Vol (2)'!$V$4:$V$1858,$V1129)/SUMIFS('Comp2016-2017 (3)'!$G$5:$G$289,'Comp2016-2017 (3)'!$A$5:$A$289,$D1129,'Comp2016-2017 (3)'!$R$5:$R$289,$V1129)*$AB1129))</f>
        <v/>
      </c>
      <c r="AI1129" s="222" t="str">
        <f>IF($W1129=AI$3,$AB1129,IF(NOT($W1129=0),"",SUMIFS('Val-Vol (2)'!AI$4:AI$1858,'Val-Vol (2)'!$A$4:$A$1858,$D1129,'Val-Vol (2)'!$V$4:$V$1858,$V1129)/SUMIFS('Comp2016-2017 (3)'!$G$5:$G$289,'Comp2016-2017 (3)'!$A$5:$A$289,$D1129,'Comp2016-2017 (3)'!$R$5:$R$289,$V1129)*$AB1129))</f>
        <v/>
      </c>
      <c r="AJ1129" s="222" t="str">
        <f>IF($W1129=AJ$3,$AB1129,IF(NOT($W1129=0),"",SUMIFS('Val-Vol (2)'!AJ$4:AJ$1858,'Val-Vol (2)'!$A$4:$A$1858,$D1129,'Val-Vol (2)'!$V$4:$V$1858,$V1129)/SUMIFS('Comp2016-2017 (3)'!$G$5:$G$289,'Comp2016-2017 (3)'!$A$5:$A$289,$D1129,'Comp2016-2017 (3)'!$R$5:$R$289,$V1129)*$AB1129))</f>
        <v/>
      </c>
      <c r="AK1129" s="222">
        <f t="shared" si="145"/>
        <v>0</v>
      </c>
      <c r="AL1129" s="212" t="str">
        <f t="shared" si="143"/>
        <v/>
      </c>
      <c r="AM1129" s="212" t="str">
        <f>VLOOKUP(A1129,'Table corresp.'!$M$4:$U$63,8,FALSE)</f>
        <v>Forêt</v>
      </c>
      <c r="AN1129" s="212" t="str">
        <f>VLOOKUP(D1129,'Table corresp.'!$M$4:$U$63,9,FALSE)</f>
        <v>Production intermédiaire</v>
      </c>
    </row>
    <row r="1130" spans="1:40" x14ac:dyDescent="0.25">
      <c r="A1130" t="s">
        <v>0</v>
      </c>
      <c r="B1130" t="str">
        <f>VLOOKUP(LEFT(A1130,3),'Table corresp.'!$A$4:$D$63,3,FALSE)</f>
        <v>Forêt</v>
      </c>
      <c r="C1130" t="str">
        <f>VLOOKUP(A1130,'Table corresp.'!$M$4:$P$63,4,FALSE)</f>
        <v>Production et transformation de produits bois</v>
      </c>
      <c r="D1130" t="s">
        <v>84</v>
      </c>
      <c r="E1130" t="str">
        <f>VLOOKUP(LEFT(D1130,3),'Table corresp.'!$A$4:$D$63,4,FALSE)</f>
        <v>Transformation</v>
      </c>
      <c r="F1130" t="str">
        <f t="shared" ref="F1130:F1193" si="146">LEFT(A1130,3)&amp;" - "&amp;LEFT(D1130,3)</f>
        <v xml:space="preserve">02  - 17 </v>
      </c>
      <c r="G1130" s="213">
        <v>15124.196842615989</v>
      </c>
      <c r="H1130" s="213">
        <v>0</v>
      </c>
      <c r="I1130" s="213">
        <v>15124.196842615989</v>
      </c>
      <c r="J1130" s="215">
        <v>299.29073661946228</v>
      </c>
      <c r="K1130" s="215">
        <v>0</v>
      </c>
      <c r="L1130" s="215">
        <v>299.29073661946228</v>
      </c>
      <c r="M1130" s="215"/>
      <c r="N1130" s="215"/>
      <c r="O1130" s="215"/>
      <c r="P1130" s="215"/>
      <c r="Q1130" s="215"/>
      <c r="R1130" s="215"/>
      <c r="S1130" s="213"/>
      <c r="T1130" s="212">
        <f>VLOOKUP(A1130,'Groupe de branches'!$Z$27:$AM$86,14,FALSE)</f>
        <v>0</v>
      </c>
      <c r="U1130" s="212">
        <f>VLOOKUP(D1130,'Groupe de branches'!$Z$27:$AM$86,14,FALSE)</f>
        <v>0</v>
      </c>
      <c r="V1130" s="212">
        <v>2019</v>
      </c>
      <c r="W1130" s="212" t="str">
        <f>VLOOKUP(D1130,'Table corresp.'!$M$4:$S$63,7,FALSE)</f>
        <v>Construction</v>
      </c>
      <c r="X1130" s="228">
        <f>IFERROR(G1130/SUMIFS('Comp2016-2017 (3)'!$I$5:$I$289,'Comp2016-2017 (3)'!$A$5:$A$289,A1130,'Comp2016-2017 (3)'!$R$5:$R$289,V1130),0)</f>
        <v>1.3137275441804904E-2</v>
      </c>
      <c r="Y1130" s="214" t="e">
        <f>IF(RIGHT(F1130,3)="Exp",VLOOKUP(F1130,#REF!,2,FALSE),VLOOKUP(F1130,#REF!,9,FALSE))</f>
        <v>#REF!</v>
      </c>
      <c r="Z1130" s="225" t="str">
        <f t="shared" si="144"/>
        <v/>
      </c>
      <c r="AA1130" s="225" t="e">
        <f t="shared" si="140"/>
        <v>#VALUE!</v>
      </c>
      <c r="AB1130" s="222">
        <f>IFERROR(SUMIFS('Comp2016-2017 (3)'!$G$5:$G$289,'Comp2016-2017 (3)'!$A$5:$A$289,A1130,'Comp2016-2017 (3)'!$R$5:$R$289,V1130)*AA1130/SUMIFS($AA$4:$AA$1858,$A$4:$A$1858,A1130,$V$4:$V$1858,V1130),0)</f>
        <v>0</v>
      </c>
      <c r="AC1130" s="222" t="str">
        <f>IF($W1130=AC$3,$AB1130,IF(NOT($W1130=0),"",SUMIFS('Val-Vol (2)'!AC$4:AC$1858,'Val-Vol (2)'!$A$4:$A$1858,$D1130,'Val-Vol (2)'!$V$4:$V$1858,$V1130)/SUMIFS('Comp2016-2017 (3)'!$G$5:$G$289,'Comp2016-2017 (3)'!$A$5:$A$289,$D1130,'Comp2016-2017 (3)'!$R$5:$R$289,$V1130)*$AB1130))</f>
        <v/>
      </c>
      <c r="AD1130" s="222">
        <f>IF($W1130=AD$3,$AB1130,IF(NOT($W1130=0),"",SUMIFS('Val-Vol (2)'!AD$4:AD$1858,'Val-Vol (2)'!$A$4:$A$1858,$D1130,'Val-Vol (2)'!$V$4:$V$1858,$V1130)/SUMIFS('Comp2016-2017 (3)'!$G$5:$G$289,'Comp2016-2017 (3)'!$A$5:$A$289,$D1130,'Comp2016-2017 (3)'!$R$5:$R$289,$V1130)*$AB1130))</f>
        <v>0</v>
      </c>
      <c r="AE1130" s="222" t="str">
        <f>IF($W1130=AE$3,$AB1130,IF(NOT($W1130=0),"",SUMIFS('Val-Vol (2)'!AE$4:AE$1858,'Val-Vol (2)'!$A$4:$A$1858,$D1130,'Val-Vol (2)'!$V$4:$V$1858,$V1130)/SUMIFS('Comp2016-2017 (3)'!$G$5:$G$289,'Comp2016-2017 (3)'!$A$5:$A$289,$D1130,'Comp2016-2017 (3)'!$R$5:$R$289,$V1130)*$AB1130))</f>
        <v/>
      </c>
      <c r="AF1130" s="222" t="str">
        <f>IF($W1130=AF$3,$AB1130,IF(NOT($W1130=0),"",SUMIFS('Val-Vol (2)'!AF$4:AF$1858,'Val-Vol (2)'!$A$4:$A$1858,$D1130,'Val-Vol (2)'!$V$4:$V$1858,$V1130)/SUMIFS('Comp2016-2017 (3)'!$G$5:$G$289,'Comp2016-2017 (3)'!$A$5:$A$289,$D1130,'Comp2016-2017 (3)'!$R$5:$R$289,$V1130)*$AB1130))</f>
        <v/>
      </c>
      <c r="AG1130" s="222" t="str">
        <f>IF($W1130=AG$3,$AB1130,IF(NOT($W1130=0),"",SUMIFS('Val-Vol (2)'!AG$4:AG$1858,'Val-Vol (2)'!$A$4:$A$1858,$D1130,'Val-Vol (2)'!$V$4:$V$1858,$V1130)/SUMIFS('Comp2016-2017 (3)'!$G$5:$G$289,'Comp2016-2017 (3)'!$A$5:$A$289,$D1130,'Comp2016-2017 (3)'!$R$5:$R$289,$V1130)*$AB1130))</f>
        <v/>
      </c>
      <c r="AH1130" s="222" t="str">
        <f>IF($W1130=AH$3,$AB1130,IF(NOT($W1130=0),"",SUMIFS('Val-Vol (2)'!AH$4:AH$1858,'Val-Vol (2)'!$A$4:$A$1858,$D1130,'Val-Vol (2)'!$V$4:$V$1858,$V1130)/SUMIFS('Comp2016-2017 (3)'!$G$5:$G$289,'Comp2016-2017 (3)'!$A$5:$A$289,$D1130,'Comp2016-2017 (3)'!$R$5:$R$289,$V1130)*$AB1130))</f>
        <v/>
      </c>
      <c r="AI1130" s="222" t="str">
        <f>IF($W1130=AI$3,$AB1130,IF(NOT($W1130=0),"",SUMIFS('Val-Vol (2)'!AI$4:AI$1858,'Val-Vol (2)'!$A$4:$A$1858,$D1130,'Val-Vol (2)'!$V$4:$V$1858,$V1130)/SUMIFS('Comp2016-2017 (3)'!$G$5:$G$289,'Comp2016-2017 (3)'!$A$5:$A$289,$D1130,'Comp2016-2017 (3)'!$R$5:$R$289,$V1130)*$AB1130))</f>
        <v/>
      </c>
      <c r="AJ1130" s="222" t="str">
        <f>IF($W1130=AJ$3,$AB1130,IF(NOT($W1130=0),"",SUMIFS('Val-Vol (2)'!AJ$4:AJ$1858,'Val-Vol (2)'!$A$4:$A$1858,$D1130,'Val-Vol (2)'!$V$4:$V$1858,$V1130)/SUMIFS('Comp2016-2017 (3)'!$G$5:$G$289,'Comp2016-2017 (3)'!$A$5:$A$289,$D1130,'Comp2016-2017 (3)'!$R$5:$R$289,$V1130)*$AB1130))</f>
        <v/>
      </c>
      <c r="AK1130" s="222">
        <f t="shared" si="145"/>
        <v>0</v>
      </c>
      <c r="AL1130" s="212" t="str">
        <f t="shared" si="143"/>
        <v/>
      </c>
      <c r="AM1130" s="212" t="str">
        <f>VLOOKUP(A1130,'Table corresp.'!$M$4:$U$63,8,FALSE)</f>
        <v>Forêt</v>
      </c>
      <c r="AN1130" s="212" t="str">
        <f>VLOOKUP(D1130,'Table corresp.'!$M$4:$U$63,9,FALSE)</f>
        <v>Production intermédiaire</v>
      </c>
    </row>
    <row r="1131" spans="1:40" x14ac:dyDescent="0.25">
      <c r="A1131" t="s">
        <v>0</v>
      </c>
      <c r="B1131" t="str">
        <f>VLOOKUP(LEFT(A1131,3),'Table corresp.'!$A$4:$D$63,3,FALSE)</f>
        <v>Forêt</v>
      </c>
      <c r="C1131" t="str">
        <f>VLOOKUP(A1131,'Table corresp.'!$M$4:$P$63,4,FALSE)</f>
        <v>Production et transformation de produits bois</v>
      </c>
      <c r="D1131" t="s">
        <v>85</v>
      </c>
      <c r="E1131" t="str">
        <f>VLOOKUP(LEFT(D1131,3),'Table corresp.'!$A$4:$D$63,4,FALSE)</f>
        <v>Transformation</v>
      </c>
      <c r="F1131" t="str">
        <f t="shared" si="146"/>
        <v xml:space="preserve">02  - 29 </v>
      </c>
      <c r="G1131" s="213">
        <v>13109.601512170571</v>
      </c>
      <c r="H1131" s="213">
        <v>0</v>
      </c>
      <c r="I1131" s="213">
        <v>13109.601512170571</v>
      </c>
      <c r="J1131" s="215">
        <v>180.62408207079199</v>
      </c>
      <c r="K1131" s="215">
        <v>0</v>
      </c>
      <c r="L1131" s="215">
        <v>180.62408207079199</v>
      </c>
      <c r="M1131" s="215"/>
      <c r="N1131" s="215"/>
      <c r="O1131" s="215"/>
      <c r="P1131" s="215"/>
      <c r="Q1131" s="215"/>
      <c r="R1131" s="215"/>
      <c r="S1131" s="213"/>
      <c r="T1131" s="212">
        <f>VLOOKUP(A1131,'Groupe de branches'!$Z$27:$AM$86,14,FALSE)</f>
        <v>0</v>
      </c>
      <c r="U1131" s="212">
        <f>VLOOKUP(D1131,'Groupe de branches'!$Z$27:$AM$86,14,FALSE)</f>
        <v>0</v>
      </c>
      <c r="V1131" s="212">
        <v>2019</v>
      </c>
      <c r="W1131" s="212" t="str">
        <f>VLOOKUP(D1131,'Table corresp.'!$M$4:$S$63,7,FALSE)</f>
        <v>Construction</v>
      </c>
      <c r="X1131" s="228">
        <f>IFERROR(G1131/SUMIFS('Comp2016-2017 (3)'!$I$5:$I$289,'Comp2016-2017 (3)'!$A$5:$A$289,A1131,'Comp2016-2017 (3)'!$R$5:$R$289,V1131),0)</f>
        <v>1.1387344914237291E-2</v>
      </c>
      <c r="Y1131" s="214" t="e">
        <f>IF(RIGHT(F1131,3)="Exp",VLOOKUP(F1131,#REF!,2,FALSE),VLOOKUP(F1131,#REF!,9,FALSE))</f>
        <v>#REF!</v>
      </c>
      <c r="Z1131" s="225" t="str">
        <f t="shared" si="144"/>
        <v/>
      </c>
      <c r="AA1131" s="225" t="e">
        <f t="shared" si="140"/>
        <v>#VALUE!</v>
      </c>
      <c r="AB1131" s="222">
        <f>IFERROR(SUMIFS('Comp2016-2017 (3)'!$G$5:$G$289,'Comp2016-2017 (3)'!$A$5:$A$289,A1131,'Comp2016-2017 (3)'!$R$5:$R$289,V1131)*AA1131/SUMIFS($AA$4:$AA$1858,$A$4:$A$1858,A1131,$V$4:$V$1858,V1131),0)</f>
        <v>0</v>
      </c>
      <c r="AC1131" s="222" t="str">
        <f>IF($W1131=AC$3,$AB1131,IF(NOT($W1131=0),"",SUMIFS('Val-Vol (2)'!AC$4:AC$1858,'Val-Vol (2)'!$A$4:$A$1858,$D1131,'Val-Vol (2)'!$V$4:$V$1858,$V1131)/SUMIFS('Comp2016-2017 (3)'!$G$5:$G$289,'Comp2016-2017 (3)'!$A$5:$A$289,$D1131,'Comp2016-2017 (3)'!$R$5:$R$289,$V1131)*$AB1131))</f>
        <v/>
      </c>
      <c r="AD1131" s="222">
        <f>IF($W1131=AD$3,$AB1131,IF(NOT($W1131=0),"",SUMIFS('Val-Vol (2)'!AD$4:AD$1858,'Val-Vol (2)'!$A$4:$A$1858,$D1131,'Val-Vol (2)'!$V$4:$V$1858,$V1131)/SUMIFS('Comp2016-2017 (3)'!$G$5:$G$289,'Comp2016-2017 (3)'!$A$5:$A$289,$D1131,'Comp2016-2017 (3)'!$R$5:$R$289,$V1131)*$AB1131))</f>
        <v>0</v>
      </c>
      <c r="AE1131" s="222" t="str">
        <f>IF($W1131=AE$3,$AB1131,IF(NOT($W1131=0),"",SUMIFS('Val-Vol (2)'!AE$4:AE$1858,'Val-Vol (2)'!$A$4:$A$1858,$D1131,'Val-Vol (2)'!$V$4:$V$1858,$V1131)/SUMIFS('Comp2016-2017 (3)'!$G$5:$G$289,'Comp2016-2017 (3)'!$A$5:$A$289,$D1131,'Comp2016-2017 (3)'!$R$5:$R$289,$V1131)*$AB1131))</f>
        <v/>
      </c>
      <c r="AF1131" s="222" t="str">
        <f>IF($W1131=AF$3,$AB1131,IF(NOT($W1131=0),"",SUMIFS('Val-Vol (2)'!AF$4:AF$1858,'Val-Vol (2)'!$A$4:$A$1858,$D1131,'Val-Vol (2)'!$V$4:$V$1858,$V1131)/SUMIFS('Comp2016-2017 (3)'!$G$5:$G$289,'Comp2016-2017 (3)'!$A$5:$A$289,$D1131,'Comp2016-2017 (3)'!$R$5:$R$289,$V1131)*$AB1131))</f>
        <v/>
      </c>
      <c r="AG1131" s="222" t="str">
        <f>IF($W1131=AG$3,$AB1131,IF(NOT($W1131=0),"",SUMIFS('Val-Vol (2)'!AG$4:AG$1858,'Val-Vol (2)'!$A$4:$A$1858,$D1131,'Val-Vol (2)'!$V$4:$V$1858,$V1131)/SUMIFS('Comp2016-2017 (3)'!$G$5:$G$289,'Comp2016-2017 (3)'!$A$5:$A$289,$D1131,'Comp2016-2017 (3)'!$R$5:$R$289,$V1131)*$AB1131))</f>
        <v/>
      </c>
      <c r="AH1131" s="222" t="str">
        <f>IF($W1131=AH$3,$AB1131,IF(NOT($W1131=0),"",SUMIFS('Val-Vol (2)'!AH$4:AH$1858,'Val-Vol (2)'!$A$4:$A$1858,$D1131,'Val-Vol (2)'!$V$4:$V$1858,$V1131)/SUMIFS('Comp2016-2017 (3)'!$G$5:$G$289,'Comp2016-2017 (3)'!$A$5:$A$289,$D1131,'Comp2016-2017 (3)'!$R$5:$R$289,$V1131)*$AB1131))</f>
        <v/>
      </c>
      <c r="AI1131" s="222" t="str">
        <f>IF($W1131=AI$3,$AB1131,IF(NOT($W1131=0),"",SUMIFS('Val-Vol (2)'!AI$4:AI$1858,'Val-Vol (2)'!$A$4:$A$1858,$D1131,'Val-Vol (2)'!$V$4:$V$1858,$V1131)/SUMIFS('Comp2016-2017 (3)'!$G$5:$G$289,'Comp2016-2017 (3)'!$A$5:$A$289,$D1131,'Comp2016-2017 (3)'!$R$5:$R$289,$V1131)*$AB1131))</f>
        <v/>
      </c>
      <c r="AJ1131" s="222" t="str">
        <f>IF($W1131=AJ$3,$AB1131,IF(NOT($W1131=0),"",SUMIFS('Val-Vol (2)'!AJ$4:AJ$1858,'Val-Vol (2)'!$A$4:$A$1858,$D1131,'Val-Vol (2)'!$V$4:$V$1858,$V1131)/SUMIFS('Comp2016-2017 (3)'!$G$5:$G$289,'Comp2016-2017 (3)'!$A$5:$A$289,$D1131,'Comp2016-2017 (3)'!$R$5:$R$289,$V1131)*$AB1131))</f>
        <v/>
      </c>
      <c r="AK1131" s="222">
        <f t="shared" si="145"/>
        <v>0</v>
      </c>
      <c r="AL1131" s="212" t="str">
        <f t="shared" si="143"/>
        <v/>
      </c>
      <c r="AM1131" s="212" t="str">
        <f>VLOOKUP(A1131,'Table corresp.'!$M$4:$U$63,8,FALSE)</f>
        <v>Forêt</v>
      </c>
      <c r="AN1131" s="212" t="str">
        <f>VLOOKUP(D1131,'Table corresp.'!$M$4:$U$63,9,FALSE)</f>
        <v>Production intermédiaire</v>
      </c>
    </row>
    <row r="1132" spans="1:40" x14ac:dyDescent="0.25">
      <c r="A1132" t="s">
        <v>0</v>
      </c>
      <c r="B1132" t="str">
        <f>VLOOKUP(LEFT(A1132,3),'Table corresp.'!$A$4:$D$63,3,FALSE)</f>
        <v>Forêt</v>
      </c>
      <c r="C1132" t="str">
        <f>VLOOKUP(A1132,'Table corresp.'!$M$4:$P$63,4,FALSE)</f>
        <v>Production et transformation de produits bois</v>
      </c>
      <c r="D1132" t="s">
        <v>87</v>
      </c>
      <c r="E1132" t="str">
        <f>VLOOKUP(LEFT(D1132,3),'Table corresp.'!$A$4:$D$63,4,FALSE)</f>
        <v>Transformation</v>
      </c>
      <c r="F1132" t="str">
        <f t="shared" si="146"/>
        <v xml:space="preserve">02  - 31 </v>
      </c>
      <c r="G1132" s="213">
        <v>8223.7802102007408</v>
      </c>
      <c r="H1132" s="213">
        <v>8280.2573313257708</v>
      </c>
      <c r="I1132" s="213">
        <v>16504.037541526512</v>
      </c>
      <c r="J1132" s="215">
        <v>259.86901438168059</v>
      </c>
      <c r="K1132" s="215">
        <v>121.37903442880399</v>
      </c>
      <c r="L1132" s="215">
        <v>381.24804881048459</v>
      </c>
      <c r="M1132" s="215"/>
      <c r="N1132" s="215"/>
      <c r="O1132" s="215"/>
      <c r="P1132" s="215"/>
      <c r="Q1132" s="215"/>
      <c r="R1132" s="215"/>
      <c r="S1132" s="213"/>
      <c r="T1132" s="212">
        <f>VLOOKUP(A1132,'Groupe de branches'!$Z$27:$AM$86,14,FALSE)</f>
        <v>0</v>
      </c>
      <c r="U1132" s="212">
        <f>VLOOKUP(D1132,'Groupe de branches'!$Z$27:$AM$86,14,FALSE)</f>
        <v>0</v>
      </c>
      <c r="V1132" s="212">
        <v>2019</v>
      </c>
      <c r="W1132" s="212">
        <f>VLOOKUP(D1132,'Table corresp.'!$M$4:$S$63,7,FALSE)</f>
        <v>0</v>
      </c>
      <c r="X1132" s="228">
        <f>IFERROR(G1132/SUMIFS('Comp2016-2017 (3)'!$I$5:$I$289,'Comp2016-2017 (3)'!$A$5:$A$289,A1132,'Comp2016-2017 (3)'!$R$5:$R$289,V1132),0)</f>
        <v>7.1433919380002146E-3</v>
      </c>
      <c r="Y1132" s="214" t="e">
        <f>IF(RIGHT(F1132,3)="Exp",VLOOKUP(F1132,#REF!,2,FALSE),VLOOKUP(F1132,#REF!,9,FALSE))</f>
        <v>#REF!</v>
      </c>
      <c r="Z1132" s="225" t="str">
        <f t="shared" si="144"/>
        <v/>
      </c>
      <c r="AA1132" s="225" t="e">
        <f t="shared" si="140"/>
        <v>#VALUE!</v>
      </c>
      <c r="AB1132" s="222">
        <f>IFERROR(SUMIFS('Comp2016-2017 (3)'!$G$5:$G$289,'Comp2016-2017 (3)'!$A$5:$A$289,A1132,'Comp2016-2017 (3)'!$R$5:$R$289,V1132)*AA1132/SUMIFS($AA$4:$AA$1858,$A$4:$A$1858,A1132,$V$4:$V$1858,V1132),0)</f>
        <v>0</v>
      </c>
      <c r="AC1132" s="222">
        <f>IF($W1132=AC$3,$AB1132,IF(NOT($W1132=0),"",SUMIFS('Val-Vol (2)'!AC$4:AC$1858,'Val-Vol (2)'!$A$4:$A$1858,$D1132,'Val-Vol (2)'!$V$4:$V$1858,$V1132)/SUMIFS('Comp2016-2017 (3)'!$G$5:$G$289,'Comp2016-2017 (3)'!$A$5:$A$289,$D1132,'Comp2016-2017 (3)'!$R$5:$R$289,$V1132)*$AB1132))</f>
        <v>0</v>
      </c>
      <c r="AD1132" s="222">
        <f>IF($W1132=AD$3,$AB1132,IF(NOT($W1132=0),"",SUMIFS('Val-Vol (2)'!AD$4:AD$1858,'Val-Vol (2)'!$A$4:$A$1858,$D1132,'Val-Vol (2)'!$V$4:$V$1858,$V1132)/SUMIFS('Comp2016-2017 (3)'!$G$5:$G$289,'Comp2016-2017 (3)'!$A$5:$A$289,$D1132,'Comp2016-2017 (3)'!$R$5:$R$289,$V1132)*$AB1132))</f>
        <v>0</v>
      </c>
      <c r="AE1132" s="222">
        <f>IF($W1132=AE$3,$AB1132,IF(NOT($W1132=0),"",SUMIFS('Val-Vol (2)'!AE$4:AE$1858,'Val-Vol (2)'!$A$4:$A$1858,$D1132,'Val-Vol (2)'!$V$4:$V$1858,$V1132)/SUMIFS('Comp2016-2017 (3)'!$G$5:$G$289,'Comp2016-2017 (3)'!$A$5:$A$289,$D1132,'Comp2016-2017 (3)'!$R$5:$R$289,$V1132)*$AB1132))</f>
        <v>0</v>
      </c>
      <c r="AF1132" s="222">
        <f>IF($W1132=AF$3,$AB1132,IF(NOT($W1132=0),"",SUMIFS('Val-Vol (2)'!AF$4:AF$1858,'Val-Vol (2)'!$A$4:$A$1858,$D1132,'Val-Vol (2)'!$V$4:$V$1858,$V1132)/SUMIFS('Comp2016-2017 (3)'!$G$5:$G$289,'Comp2016-2017 (3)'!$A$5:$A$289,$D1132,'Comp2016-2017 (3)'!$R$5:$R$289,$V1132)*$AB1132))</f>
        <v>0</v>
      </c>
      <c r="AG1132" s="222">
        <f>IF($W1132=AG$3,$AB1132,IF(NOT($W1132=0),"",SUMIFS('Val-Vol (2)'!AG$4:AG$1858,'Val-Vol (2)'!$A$4:$A$1858,$D1132,'Val-Vol (2)'!$V$4:$V$1858,$V1132)/SUMIFS('Comp2016-2017 (3)'!$G$5:$G$289,'Comp2016-2017 (3)'!$A$5:$A$289,$D1132,'Comp2016-2017 (3)'!$R$5:$R$289,$V1132)*$AB1132))</f>
        <v>0</v>
      </c>
      <c r="AH1132" s="222">
        <f>IF($W1132=AH$3,$AB1132,IF(NOT($W1132=0),"",SUMIFS('Val-Vol (2)'!AH$4:AH$1858,'Val-Vol (2)'!$A$4:$A$1858,$D1132,'Val-Vol (2)'!$V$4:$V$1858,$V1132)/SUMIFS('Comp2016-2017 (3)'!$G$5:$G$289,'Comp2016-2017 (3)'!$A$5:$A$289,$D1132,'Comp2016-2017 (3)'!$R$5:$R$289,$V1132)*$AB1132))</f>
        <v>0</v>
      </c>
      <c r="AI1132" s="222">
        <f>IF($W1132=AI$3,$AB1132,IF(NOT($W1132=0),"",SUMIFS('Val-Vol (2)'!AI$4:AI$1858,'Val-Vol (2)'!$A$4:$A$1858,$D1132,'Val-Vol (2)'!$V$4:$V$1858,$V1132)/SUMIFS('Comp2016-2017 (3)'!$G$5:$G$289,'Comp2016-2017 (3)'!$A$5:$A$289,$D1132,'Comp2016-2017 (3)'!$R$5:$R$289,$V1132)*$AB1132))</f>
        <v>0</v>
      </c>
      <c r="AJ1132" s="222">
        <f>IF($W1132=AJ$3,$AB1132,IF(NOT($W1132=0),"",SUMIFS('Val-Vol (2)'!AJ$4:AJ$1858,'Val-Vol (2)'!$A$4:$A$1858,$D1132,'Val-Vol (2)'!$V$4:$V$1858,$V1132)/SUMIFS('Comp2016-2017 (3)'!$G$5:$G$289,'Comp2016-2017 (3)'!$A$5:$A$289,$D1132,'Comp2016-2017 (3)'!$R$5:$R$289,$V1132)*$AB1132))</f>
        <v>0</v>
      </c>
      <c r="AK1132" s="222">
        <f t="shared" si="145"/>
        <v>0</v>
      </c>
      <c r="AL1132" s="212" t="str">
        <f t="shared" si="143"/>
        <v/>
      </c>
      <c r="AM1132" s="212" t="str">
        <f>VLOOKUP(A1132,'Table corresp.'!$M$4:$U$63,8,FALSE)</f>
        <v>Forêt</v>
      </c>
      <c r="AN1132" s="212" t="str">
        <f>VLOOKUP(D1132,'Table corresp.'!$M$4:$U$63,9,FALSE)</f>
        <v>Production intermédiaire</v>
      </c>
    </row>
    <row r="1133" spans="1:40" x14ac:dyDescent="0.25">
      <c r="A1133" t="s">
        <v>0</v>
      </c>
      <c r="B1133" t="str">
        <f>VLOOKUP(LEFT(A1133,3),'Table corresp.'!$A$4:$D$63,3,FALSE)</f>
        <v>Forêt</v>
      </c>
      <c r="C1133" t="str">
        <f>VLOOKUP(A1133,'Table corresp.'!$M$4:$P$63,4,FALSE)</f>
        <v>Production et transformation de produits bois</v>
      </c>
      <c r="D1133" t="s">
        <v>91</v>
      </c>
      <c r="E1133" t="str">
        <f>VLOOKUP(LEFT(D1133,3),'Table corresp.'!$A$4:$D$63,4,FALSE)</f>
        <v>Transformation</v>
      </c>
      <c r="F1133" t="str">
        <f t="shared" si="146"/>
        <v xml:space="preserve">02  - 37 </v>
      </c>
      <c r="G1133" s="213">
        <v>39907.136269532952</v>
      </c>
      <c r="H1133" s="213">
        <v>0</v>
      </c>
      <c r="I1133" s="213">
        <v>39907.136269532952</v>
      </c>
      <c r="J1133" s="215">
        <v>1332.9466678697224</v>
      </c>
      <c r="K1133" s="215">
        <v>0</v>
      </c>
      <c r="L1133" s="215">
        <v>1332.9466678697224</v>
      </c>
      <c r="M1133" s="215"/>
      <c r="N1133" s="215"/>
      <c r="O1133" s="215"/>
      <c r="P1133" s="215"/>
      <c r="Q1133" s="215"/>
      <c r="R1133" s="215"/>
      <c r="S1133" s="213"/>
      <c r="T1133" s="212">
        <f>VLOOKUP(A1133,'Groupe de branches'!$Z$27:$AM$86,14,FALSE)</f>
        <v>0</v>
      </c>
      <c r="U1133" s="212">
        <f>VLOOKUP(D1133,'Groupe de branches'!$Z$27:$AM$86,14,FALSE)</f>
        <v>0</v>
      </c>
      <c r="V1133" s="212">
        <v>2019</v>
      </c>
      <c r="W1133" s="212" t="str">
        <f>VLOOKUP(D1133,'Table corresp.'!$M$4:$S$63,7,FALSE)</f>
        <v>Emballage bois et carton</v>
      </c>
      <c r="X1133" s="228">
        <f>IFERROR(G1133/SUMIFS('Comp2016-2017 (3)'!$I$5:$I$289,'Comp2016-2017 (3)'!$A$5:$A$289,A1133,'Comp2016-2017 (3)'!$R$5:$R$289,V1133),0)</f>
        <v>3.4664388907531263E-2</v>
      </c>
      <c r="Y1133" s="214" t="e">
        <f>IF(RIGHT(F1133,3)="Exp",VLOOKUP(F1133,#REF!,2,FALSE),VLOOKUP(F1133,#REF!,9,FALSE))</f>
        <v>#REF!</v>
      </c>
      <c r="Z1133" s="225" t="str">
        <f t="shared" si="144"/>
        <v/>
      </c>
      <c r="AA1133" s="225" t="e">
        <f t="shared" si="140"/>
        <v>#VALUE!</v>
      </c>
      <c r="AB1133" s="222">
        <f>IFERROR(SUMIFS('Comp2016-2017 (3)'!$G$5:$G$289,'Comp2016-2017 (3)'!$A$5:$A$289,A1133,'Comp2016-2017 (3)'!$R$5:$R$289,V1133)*AA1133/SUMIFS($AA$4:$AA$1858,$A$4:$A$1858,A1133,$V$4:$V$1858,V1133),0)</f>
        <v>0</v>
      </c>
      <c r="AC1133" s="222" t="str">
        <f>IF($W1133=AC$3,$AB1133,IF(NOT($W1133=0),"",SUMIFS('Val-Vol (2)'!AC$4:AC$1858,'Val-Vol (2)'!$A$4:$A$1858,$D1133,'Val-Vol (2)'!$V$4:$V$1858,$V1133)/SUMIFS('Comp2016-2017 (3)'!$G$5:$G$289,'Comp2016-2017 (3)'!$A$5:$A$289,$D1133,'Comp2016-2017 (3)'!$R$5:$R$289,$V1133)*$AB1133))</f>
        <v/>
      </c>
      <c r="AD1133" s="222" t="str">
        <f>IF($W1133=AD$3,$AB1133,IF(NOT($W1133=0),"",SUMIFS('Val-Vol (2)'!AD$4:AD$1858,'Val-Vol (2)'!$A$4:$A$1858,$D1133,'Val-Vol (2)'!$V$4:$V$1858,$V1133)/SUMIFS('Comp2016-2017 (3)'!$G$5:$G$289,'Comp2016-2017 (3)'!$A$5:$A$289,$D1133,'Comp2016-2017 (3)'!$R$5:$R$289,$V1133)*$AB1133))</f>
        <v/>
      </c>
      <c r="AE1133" s="222" t="str">
        <f>IF($W1133=AE$3,$AB1133,IF(NOT($W1133=0),"",SUMIFS('Val-Vol (2)'!AE$4:AE$1858,'Val-Vol (2)'!$A$4:$A$1858,$D1133,'Val-Vol (2)'!$V$4:$V$1858,$V1133)/SUMIFS('Comp2016-2017 (3)'!$G$5:$G$289,'Comp2016-2017 (3)'!$A$5:$A$289,$D1133,'Comp2016-2017 (3)'!$R$5:$R$289,$V1133)*$AB1133))</f>
        <v/>
      </c>
      <c r="AF1133" s="222" t="str">
        <f>IF($W1133=AF$3,$AB1133,IF(NOT($W1133=0),"",SUMIFS('Val-Vol (2)'!AF$4:AF$1858,'Val-Vol (2)'!$A$4:$A$1858,$D1133,'Val-Vol (2)'!$V$4:$V$1858,$V1133)/SUMIFS('Comp2016-2017 (3)'!$G$5:$G$289,'Comp2016-2017 (3)'!$A$5:$A$289,$D1133,'Comp2016-2017 (3)'!$R$5:$R$289,$V1133)*$AB1133))</f>
        <v/>
      </c>
      <c r="AG1133" s="222">
        <f>IF($W1133=AG$3,$AB1133,IF(NOT($W1133=0),"",SUMIFS('Val-Vol (2)'!AG$4:AG$1858,'Val-Vol (2)'!$A$4:$A$1858,$D1133,'Val-Vol (2)'!$V$4:$V$1858,$V1133)/SUMIFS('Comp2016-2017 (3)'!$G$5:$G$289,'Comp2016-2017 (3)'!$A$5:$A$289,$D1133,'Comp2016-2017 (3)'!$R$5:$R$289,$V1133)*$AB1133))</f>
        <v>0</v>
      </c>
      <c r="AH1133" s="222" t="str">
        <f>IF($W1133=AH$3,$AB1133,IF(NOT($W1133=0),"",SUMIFS('Val-Vol (2)'!AH$4:AH$1858,'Val-Vol (2)'!$A$4:$A$1858,$D1133,'Val-Vol (2)'!$V$4:$V$1858,$V1133)/SUMIFS('Comp2016-2017 (3)'!$G$5:$G$289,'Comp2016-2017 (3)'!$A$5:$A$289,$D1133,'Comp2016-2017 (3)'!$R$5:$R$289,$V1133)*$AB1133))</f>
        <v/>
      </c>
      <c r="AI1133" s="222" t="str">
        <f>IF($W1133=AI$3,$AB1133,IF(NOT($W1133=0),"",SUMIFS('Val-Vol (2)'!AI$4:AI$1858,'Val-Vol (2)'!$A$4:$A$1858,$D1133,'Val-Vol (2)'!$V$4:$V$1858,$V1133)/SUMIFS('Comp2016-2017 (3)'!$G$5:$G$289,'Comp2016-2017 (3)'!$A$5:$A$289,$D1133,'Comp2016-2017 (3)'!$R$5:$R$289,$V1133)*$AB1133))</f>
        <v/>
      </c>
      <c r="AJ1133" s="222" t="str">
        <f>IF($W1133=AJ$3,$AB1133,IF(NOT($W1133=0),"",SUMIFS('Val-Vol (2)'!AJ$4:AJ$1858,'Val-Vol (2)'!$A$4:$A$1858,$D1133,'Val-Vol (2)'!$V$4:$V$1858,$V1133)/SUMIFS('Comp2016-2017 (3)'!$G$5:$G$289,'Comp2016-2017 (3)'!$A$5:$A$289,$D1133,'Comp2016-2017 (3)'!$R$5:$R$289,$V1133)*$AB1133))</f>
        <v/>
      </c>
      <c r="AK1133" s="222">
        <f t="shared" ref="AK1133:AK1180" si="147">SUM(AC1133:AJ1133)-AB1133</f>
        <v>0</v>
      </c>
      <c r="AL1133" s="212" t="str">
        <f t="shared" si="143"/>
        <v/>
      </c>
      <c r="AM1133" s="212" t="str">
        <f>VLOOKUP(A1133,'Table corresp.'!$M$4:$U$63,8,FALSE)</f>
        <v>Forêt</v>
      </c>
      <c r="AN1133" s="212" t="str">
        <f>VLOOKUP(D1133,'Table corresp.'!$M$4:$U$63,9,FALSE)</f>
        <v>Production finale</v>
      </c>
    </row>
    <row r="1134" spans="1:40" x14ac:dyDescent="0.25">
      <c r="A1134" t="s">
        <v>0</v>
      </c>
      <c r="B1134" t="str">
        <f>VLOOKUP(LEFT(A1134,3),'Table corresp.'!$A$4:$D$63,3,FALSE)</f>
        <v>Forêt</v>
      </c>
      <c r="C1134" t="str">
        <f>VLOOKUP(A1134,'Table corresp.'!$M$4:$P$63,4,FALSE)</f>
        <v>Production et transformation de produits bois</v>
      </c>
      <c r="D1134" t="s">
        <v>94</v>
      </c>
      <c r="E1134" t="str">
        <f>VLOOKUP(LEFT(D1134,3),'Table corresp.'!$A$4:$D$63,4,FALSE)</f>
        <v>Transformation</v>
      </c>
      <c r="F1134" t="str">
        <f t="shared" si="146"/>
        <v xml:space="preserve">02  - 42 </v>
      </c>
      <c r="G1134" s="213">
        <v>23681.725011108607</v>
      </c>
      <c r="H1134" s="213">
        <v>0</v>
      </c>
      <c r="I1134" s="213">
        <v>23681.725011108607</v>
      </c>
      <c r="J1134" s="215">
        <v>23.960101336112469</v>
      </c>
      <c r="K1134" s="215">
        <v>0</v>
      </c>
      <c r="L1134" s="215">
        <v>23.960101336112469</v>
      </c>
      <c r="M1134" s="215"/>
      <c r="N1134" s="215"/>
      <c r="O1134" s="215"/>
      <c r="P1134" s="215"/>
      <c r="Q1134" s="215"/>
      <c r="R1134" s="215"/>
      <c r="S1134" s="213"/>
      <c r="T1134" s="212">
        <f>VLOOKUP(A1134,'Groupe de branches'!$Z$27:$AM$86,14,FALSE)</f>
        <v>0</v>
      </c>
      <c r="U1134" s="212">
        <f>VLOOKUP(D1134,'Groupe de branches'!$Z$27:$AM$86,14,FALSE)</f>
        <v>0</v>
      </c>
      <c r="V1134" s="212">
        <v>2019</v>
      </c>
      <c r="W1134" s="212" t="str">
        <f>VLOOKUP(D1134,'Table corresp.'!$M$4:$S$63,7,FALSE)</f>
        <v>Produits de consommation courante</v>
      </c>
      <c r="X1134" s="228">
        <f>IFERROR(G1134/SUMIFS('Comp2016-2017 (3)'!$I$5:$I$289,'Comp2016-2017 (3)'!$A$5:$A$289,A1134,'Comp2016-2017 (3)'!$R$5:$R$289,V1134),0)</f>
        <v>2.0570569640523249E-2</v>
      </c>
      <c r="Y1134" s="214" t="e">
        <f>IF(RIGHT(F1134,3)="Exp",VLOOKUP(F1134,#REF!,2,FALSE),VLOOKUP(F1134,#REF!,9,FALSE))</f>
        <v>#REF!</v>
      </c>
      <c r="Z1134" s="225" t="str">
        <f t="shared" si="144"/>
        <v/>
      </c>
      <c r="AA1134" s="225" t="e">
        <f t="shared" si="140"/>
        <v>#VALUE!</v>
      </c>
      <c r="AB1134" s="222">
        <f>IFERROR(SUMIFS('Comp2016-2017 (3)'!$G$5:$G$289,'Comp2016-2017 (3)'!$A$5:$A$289,A1134,'Comp2016-2017 (3)'!$R$5:$R$289,V1134)*AA1134/SUMIFS($AA$4:$AA$1858,$A$4:$A$1858,A1134,$V$4:$V$1858,V1134),0)</f>
        <v>0</v>
      </c>
      <c r="AC1134" s="222" t="str">
        <f>IF($W1134=AC$3,$AB1134,IF(NOT($W1134=0),"",SUMIFS('Val-Vol (2)'!AC$4:AC$1858,'Val-Vol (2)'!$A$4:$A$1858,$D1134,'Val-Vol (2)'!$V$4:$V$1858,$V1134)/SUMIFS('Comp2016-2017 (3)'!$G$5:$G$289,'Comp2016-2017 (3)'!$A$5:$A$289,$D1134,'Comp2016-2017 (3)'!$R$5:$R$289,$V1134)*$AB1134))</f>
        <v/>
      </c>
      <c r="AD1134" s="222" t="str">
        <f>IF($W1134=AD$3,$AB1134,IF(NOT($W1134=0),"",SUMIFS('Val-Vol (2)'!AD$4:AD$1858,'Val-Vol (2)'!$A$4:$A$1858,$D1134,'Val-Vol (2)'!$V$4:$V$1858,$V1134)/SUMIFS('Comp2016-2017 (3)'!$G$5:$G$289,'Comp2016-2017 (3)'!$A$5:$A$289,$D1134,'Comp2016-2017 (3)'!$R$5:$R$289,$V1134)*$AB1134))</f>
        <v/>
      </c>
      <c r="AE1134" s="222" t="str">
        <f>IF($W1134=AE$3,$AB1134,IF(NOT($W1134=0),"",SUMIFS('Val-Vol (2)'!AE$4:AE$1858,'Val-Vol (2)'!$A$4:$A$1858,$D1134,'Val-Vol (2)'!$V$4:$V$1858,$V1134)/SUMIFS('Comp2016-2017 (3)'!$G$5:$G$289,'Comp2016-2017 (3)'!$A$5:$A$289,$D1134,'Comp2016-2017 (3)'!$R$5:$R$289,$V1134)*$AB1134))</f>
        <v/>
      </c>
      <c r="AF1134" s="222" t="str">
        <f>IF($W1134=AF$3,$AB1134,IF(NOT($W1134=0),"",SUMIFS('Val-Vol (2)'!AF$4:AF$1858,'Val-Vol (2)'!$A$4:$A$1858,$D1134,'Val-Vol (2)'!$V$4:$V$1858,$V1134)/SUMIFS('Comp2016-2017 (3)'!$G$5:$G$289,'Comp2016-2017 (3)'!$A$5:$A$289,$D1134,'Comp2016-2017 (3)'!$R$5:$R$289,$V1134)*$AB1134))</f>
        <v/>
      </c>
      <c r="AG1134" s="222" t="str">
        <f>IF($W1134=AG$3,$AB1134,IF(NOT($W1134=0),"",SUMIFS('Val-Vol (2)'!AG$4:AG$1858,'Val-Vol (2)'!$A$4:$A$1858,$D1134,'Val-Vol (2)'!$V$4:$V$1858,$V1134)/SUMIFS('Comp2016-2017 (3)'!$G$5:$G$289,'Comp2016-2017 (3)'!$A$5:$A$289,$D1134,'Comp2016-2017 (3)'!$R$5:$R$289,$V1134)*$AB1134))</f>
        <v/>
      </c>
      <c r="AH1134" s="222" t="str">
        <f>IF($W1134=AH$3,$AB1134,IF(NOT($W1134=0),"",SUMIFS('Val-Vol (2)'!AH$4:AH$1858,'Val-Vol (2)'!$A$4:$A$1858,$D1134,'Val-Vol (2)'!$V$4:$V$1858,$V1134)/SUMIFS('Comp2016-2017 (3)'!$G$5:$G$289,'Comp2016-2017 (3)'!$A$5:$A$289,$D1134,'Comp2016-2017 (3)'!$R$5:$R$289,$V1134)*$AB1134))</f>
        <v/>
      </c>
      <c r="AI1134" s="222">
        <f>IF($W1134=AI$3,$AB1134,IF(NOT($W1134=0),"",SUMIFS('Val-Vol (2)'!AI$4:AI$1858,'Val-Vol (2)'!$A$4:$A$1858,$D1134,'Val-Vol (2)'!$V$4:$V$1858,$V1134)/SUMIFS('Comp2016-2017 (3)'!$G$5:$G$289,'Comp2016-2017 (3)'!$A$5:$A$289,$D1134,'Comp2016-2017 (3)'!$R$5:$R$289,$V1134)*$AB1134))</f>
        <v>0</v>
      </c>
      <c r="AJ1134" s="222" t="str">
        <f>IF($W1134=AJ$3,$AB1134,IF(NOT($W1134=0),"",SUMIFS('Val-Vol (2)'!AJ$4:AJ$1858,'Val-Vol (2)'!$A$4:$A$1858,$D1134,'Val-Vol (2)'!$V$4:$V$1858,$V1134)/SUMIFS('Comp2016-2017 (3)'!$G$5:$G$289,'Comp2016-2017 (3)'!$A$5:$A$289,$D1134,'Comp2016-2017 (3)'!$R$5:$R$289,$V1134)*$AB1134))</f>
        <v/>
      </c>
      <c r="AK1134" s="222">
        <f t="shared" si="147"/>
        <v>0</v>
      </c>
      <c r="AL1134" s="212" t="str">
        <f t="shared" si="143"/>
        <v/>
      </c>
      <c r="AM1134" s="212" t="str">
        <f>VLOOKUP(A1134,'Table corresp.'!$M$4:$U$63,8,FALSE)</f>
        <v>Forêt</v>
      </c>
      <c r="AN1134" s="212" t="str">
        <f>VLOOKUP(D1134,'Table corresp.'!$M$4:$U$63,9,FALSE)</f>
        <v>Production finale</v>
      </c>
    </row>
    <row r="1135" spans="1:40" x14ac:dyDescent="0.25">
      <c r="A1135" t="s">
        <v>0</v>
      </c>
      <c r="B1135" t="str">
        <f>VLOOKUP(LEFT(A1135,3),'Table corresp.'!$A$4:$D$63,3,FALSE)</f>
        <v>Forêt</v>
      </c>
      <c r="C1135" t="str">
        <f>VLOOKUP(A1135,'Table corresp.'!$M$4:$P$63,4,FALSE)</f>
        <v>Production et transformation de produits bois</v>
      </c>
      <c r="D1135" t="s">
        <v>54</v>
      </c>
      <c r="E1135" t="str">
        <f>VLOOKUP(LEFT(D1135,3),'Table corresp.'!$A$4:$D$63,4,FALSE)</f>
        <v>Consommation finale</v>
      </c>
      <c r="F1135" t="str">
        <f t="shared" si="146"/>
        <v>02  - Con</v>
      </c>
      <c r="G1135" s="213">
        <v>484.21467182672563</v>
      </c>
      <c r="H1135" s="213">
        <v>0</v>
      </c>
      <c r="I1135" s="213">
        <v>484.21467182672558</v>
      </c>
      <c r="J1135" s="215">
        <v>8.7115585834485287</v>
      </c>
      <c r="K1135" s="215">
        <v>0</v>
      </c>
      <c r="L1135" s="215">
        <v>8.7115585834485287</v>
      </c>
      <c r="M1135" s="215"/>
      <c r="N1135" s="215"/>
      <c r="O1135" s="215"/>
      <c r="P1135" s="215"/>
      <c r="Q1135" s="215"/>
      <c r="R1135" s="215"/>
      <c r="S1135" s="213"/>
      <c r="T1135" s="212">
        <f>VLOOKUP(A1135,'Groupe de branches'!$Z$27:$AM$86,14,FALSE)</f>
        <v>0</v>
      </c>
      <c r="U1135" s="212">
        <f>VLOOKUP(D1135,'Groupe de branches'!$Z$27:$AM$86,14,FALSE)</f>
        <v>0</v>
      </c>
      <c r="V1135" s="212">
        <v>2019</v>
      </c>
      <c r="W1135" s="212" t="str">
        <f>VLOOKUP(D1135,'Table corresp.'!$M$4:$S$63,7,FALSE)</f>
        <v>Consommation finale</v>
      </c>
      <c r="X1135" s="228">
        <f>IFERROR(G1135/SUMIFS('Comp2016-2017 (3)'!$I$5:$I$289,'Comp2016-2017 (3)'!$A$5:$A$289,A1135,'Comp2016-2017 (3)'!$R$5:$R$289,V1135),0)</f>
        <v>4.2060160833311228E-4</v>
      </c>
      <c r="Y1135" s="214" t="e">
        <f>IF(RIGHT(F1135,3)="Exp",VLOOKUP(F1135,#REF!,2,FALSE),VLOOKUP(F1135,#REF!,9,FALSE))</f>
        <v>#REF!</v>
      </c>
      <c r="Z1135" s="225" t="str">
        <f t="shared" si="144"/>
        <v/>
      </c>
      <c r="AA1135" s="225" t="e">
        <f t="shared" si="140"/>
        <v>#VALUE!</v>
      </c>
      <c r="AB1135" s="222">
        <f>IFERROR(SUMIFS('Comp2016-2017 (3)'!$G$5:$G$289,'Comp2016-2017 (3)'!$A$5:$A$289,A1135,'Comp2016-2017 (3)'!$R$5:$R$289,V1135)*AA1135/SUMIFS($AA$4:$AA$1858,$A$4:$A$1858,A1135,$V$4:$V$1858,V1135),0)</f>
        <v>0</v>
      </c>
      <c r="AC1135" s="222" t="str">
        <f>IF($W1135=AC$3,$AB1135,IF(NOT($W1135=0),"",SUMIFS('Val-Vol (2)'!AC$4:AC$1858,'Val-Vol (2)'!$A$4:$A$1858,$D1135,'Val-Vol (2)'!$V$4:$V$1858,$V1135)/SUMIFS('Comp2016-2017 (3)'!$G$5:$G$289,'Comp2016-2017 (3)'!$A$5:$A$289,$D1135,'Comp2016-2017 (3)'!$R$5:$R$289,$V1135)*$AB1135))</f>
        <v/>
      </c>
      <c r="AD1135" s="222" t="str">
        <f>IF($W1135=AD$3,$AB1135,IF(NOT($W1135=0),"",SUMIFS('Val-Vol (2)'!AD$4:AD$1858,'Val-Vol (2)'!$A$4:$A$1858,$D1135,'Val-Vol (2)'!$V$4:$V$1858,$V1135)/SUMIFS('Comp2016-2017 (3)'!$G$5:$G$289,'Comp2016-2017 (3)'!$A$5:$A$289,$D1135,'Comp2016-2017 (3)'!$R$5:$R$289,$V1135)*$AB1135))</f>
        <v/>
      </c>
      <c r="AE1135" s="222" t="str">
        <f>IF($W1135=AE$3,$AB1135,IF(NOT($W1135=0),"",SUMIFS('Val-Vol (2)'!AE$4:AE$1858,'Val-Vol (2)'!$A$4:$A$1858,$D1135,'Val-Vol (2)'!$V$4:$V$1858,$V1135)/SUMIFS('Comp2016-2017 (3)'!$G$5:$G$289,'Comp2016-2017 (3)'!$A$5:$A$289,$D1135,'Comp2016-2017 (3)'!$R$5:$R$289,$V1135)*$AB1135))</f>
        <v/>
      </c>
      <c r="AF1135" s="222" t="str">
        <f>IF($W1135=AF$3,$AB1135,IF(NOT($W1135=0),"",SUMIFS('Val-Vol (2)'!AF$4:AF$1858,'Val-Vol (2)'!$A$4:$A$1858,$D1135,'Val-Vol (2)'!$V$4:$V$1858,$V1135)/SUMIFS('Comp2016-2017 (3)'!$G$5:$G$289,'Comp2016-2017 (3)'!$A$5:$A$289,$D1135,'Comp2016-2017 (3)'!$R$5:$R$289,$V1135)*$AB1135))</f>
        <v/>
      </c>
      <c r="AG1135" s="222" t="str">
        <f>IF($W1135=AG$3,$AB1135,IF(NOT($W1135=0),"",SUMIFS('Val-Vol (2)'!AG$4:AG$1858,'Val-Vol (2)'!$A$4:$A$1858,$D1135,'Val-Vol (2)'!$V$4:$V$1858,$V1135)/SUMIFS('Comp2016-2017 (3)'!$G$5:$G$289,'Comp2016-2017 (3)'!$A$5:$A$289,$D1135,'Comp2016-2017 (3)'!$R$5:$R$289,$V1135)*$AB1135))</f>
        <v/>
      </c>
      <c r="AH1135" s="222" t="str">
        <f>IF($W1135=AH$3,$AB1135,IF(NOT($W1135=0),"",SUMIFS('Val-Vol (2)'!AH$4:AH$1858,'Val-Vol (2)'!$A$4:$A$1858,$D1135,'Val-Vol (2)'!$V$4:$V$1858,$V1135)/SUMIFS('Comp2016-2017 (3)'!$G$5:$G$289,'Comp2016-2017 (3)'!$A$5:$A$289,$D1135,'Comp2016-2017 (3)'!$R$5:$R$289,$V1135)*$AB1135))</f>
        <v/>
      </c>
      <c r="AI1135" s="222" t="str">
        <f>IF($W1135=AI$3,$AB1135,IF(NOT($W1135=0),"",SUMIFS('Val-Vol (2)'!AI$4:AI$1858,'Val-Vol (2)'!$A$4:$A$1858,$D1135,'Val-Vol (2)'!$V$4:$V$1858,$V1135)/SUMIFS('Comp2016-2017 (3)'!$G$5:$G$289,'Comp2016-2017 (3)'!$A$5:$A$289,$D1135,'Comp2016-2017 (3)'!$R$5:$R$289,$V1135)*$AB1135))</f>
        <v/>
      </c>
      <c r="AJ1135" s="222">
        <f>IF($W1135=AJ$3,$AB1135,IF(NOT($W1135=0),"",SUMIFS('Val-Vol (2)'!AJ$4:AJ$1858,'Val-Vol (2)'!$A$4:$A$1858,$D1135,'Val-Vol (2)'!$V$4:$V$1858,$V1135)/SUMIFS('Comp2016-2017 (3)'!$G$5:$G$289,'Comp2016-2017 (3)'!$A$5:$A$289,$D1135,'Comp2016-2017 (3)'!$R$5:$R$289,$V1135)*$AB1135))</f>
        <v>0</v>
      </c>
      <c r="AK1135" s="222">
        <f t="shared" si="147"/>
        <v>0</v>
      </c>
      <c r="AL1135" s="212" t="str">
        <f t="shared" si="143"/>
        <v/>
      </c>
      <c r="AM1135" s="212" t="str">
        <f>VLOOKUP(A1135,'Table corresp.'!$M$4:$U$63,8,FALSE)</f>
        <v>Forêt</v>
      </c>
      <c r="AN1135" s="212" t="str">
        <f>VLOOKUP(D1135,'Table corresp.'!$M$4:$U$63,9,FALSE)</f>
        <v>Consommation finale française</v>
      </c>
    </row>
    <row r="1136" spans="1:40" x14ac:dyDescent="0.25">
      <c r="A1136" t="s">
        <v>0</v>
      </c>
      <c r="B1136" t="str">
        <f>VLOOKUP(LEFT(A1136,3),'Table corresp.'!$A$4:$D$63,3,FALSE)</f>
        <v>Forêt</v>
      </c>
      <c r="C1136" t="str">
        <f>VLOOKUP(A1136,'Table corresp.'!$M$4:$P$63,4,FALSE)</f>
        <v>Production et transformation de produits bois</v>
      </c>
      <c r="D1136" t="s">
        <v>53</v>
      </c>
      <c r="E1136" t="str">
        <f>VLOOKUP(LEFT(D1136,3),'Table corresp.'!$A$4:$D$63,4,FALSE)</f>
        <v>Exportation</v>
      </c>
      <c r="F1136" t="str">
        <f t="shared" si="146"/>
        <v>02  - Exp</v>
      </c>
      <c r="G1136" s="213">
        <v>154094.67600000004</v>
      </c>
      <c r="H1136" s="213">
        <v>0</v>
      </c>
      <c r="I1136" s="213">
        <v>154094.67600000004</v>
      </c>
      <c r="J1136" s="215">
        <v>1899.3816939549561</v>
      </c>
      <c r="K1136" s="215">
        <v>0</v>
      </c>
      <c r="L1136" s="215">
        <v>1899.3816939549561</v>
      </c>
      <c r="M1136" s="215"/>
      <c r="N1136" s="215"/>
      <c r="O1136" s="215"/>
      <c r="P1136" s="215"/>
      <c r="Q1136" s="215"/>
      <c r="R1136" s="215"/>
      <c r="S1136" s="213"/>
      <c r="T1136" s="212">
        <f>VLOOKUP(A1136,'Groupe de branches'!$Z$27:$AM$86,14,FALSE)</f>
        <v>0</v>
      </c>
      <c r="U1136" s="212">
        <f>VLOOKUP(D1136,'Groupe de branches'!$Z$27:$AM$86,14,FALSE)</f>
        <v>0</v>
      </c>
      <c r="V1136" s="212">
        <v>2019</v>
      </c>
      <c r="W1136" s="212" t="str">
        <f>VLOOKUP(D1136,'Table corresp.'!$M$4:$S$63,7,FALSE)</f>
        <v>Exportation</v>
      </c>
      <c r="X1136" s="228">
        <f>IFERROR(G1136/SUMIFS('Comp2016-2017 (3)'!$I$5:$I$289,'Comp2016-2017 (3)'!$A$5:$A$289,A1136,'Comp2016-2017 (3)'!$R$5:$R$289,V1136),0)</f>
        <v>0.1338506912990913</v>
      </c>
      <c r="Y1136" s="214" t="e">
        <f>IF(RIGHT(F1136,3)="Exp",VLOOKUP(F1136,#REF!,2,FALSE),VLOOKUP(F1136,#REF!,9,FALSE))</f>
        <v>#REF!</v>
      </c>
      <c r="Z1136" s="225" t="str">
        <f t="shared" si="144"/>
        <v/>
      </c>
      <c r="AA1136" s="225" t="e">
        <f t="shared" si="140"/>
        <v>#VALUE!</v>
      </c>
      <c r="AB1136" s="222">
        <f>IFERROR(SUMIFS('Comp2016-2017 (3)'!$G$5:$G$289,'Comp2016-2017 (3)'!$A$5:$A$289,A1136,'Comp2016-2017 (3)'!$R$5:$R$289,V1136)*AA1136/SUMIFS($AA$4:$AA$1858,$A$4:$A$1858,A1136,$V$4:$V$1858,V1136),0)</f>
        <v>0</v>
      </c>
      <c r="AC1136" s="222">
        <f>IF($W1136=AC$3,$AB1136,IF(NOT($W1136=0),"",SUMIFS('Val-Vol (2)'!AC$4:AC$1858,'Val-Vol (2)'!$A$4:$A$1858,$D1136,'Val-Vol (2)'!$V$4:$V$1858,$V1136)/SUMIFS('Comp2016-2017 (3)'!$G$5:$G$289,'Comp2016-2017 (3)'!$A$5:$A$289,$D1136,'Comp2016-2017 (3)'!$R$5:$R$289,$V1136)*$AB1136))</f>
        <v>0</v>
      </c>
      <c r="AD1136" s="222" t="str">
        <f>IF($W1136=AD$3,$AB1136,IF(NOT($W1136=0),"",SUMIFS('Val-Vol (2)'!AD$4:AD$1858,'Val-Vol (2)'!$A$4:$A$1858,$D1136,'Val-Vol (2)'!$V$4:$V$1858,$V1136)/SUMIFS('Comp2016-2017 (3)'!$G$5:$G$289,'Comp2016-2017 (3)'!$A$5:$A$289,$D1136,'Comp2016-2017 (3)'!$R$5:$R$289,$V1136)*$AB1136))</f>
        <v/>
      </c>
      <c r="AE1136" s="222" t="str">
        <f>IF($W1136=AE$3,$AB1136,IF(NOT($W1136=0),"",SUMIFS('Val-Vol (2)'!AE$4:AE$1858,'Val-Vol (2)'!$A$4:$A$1858,$D1136,'Val-Vol (2)'!$V$4:$V$1858,$V1136)/SUMIFS('Comp2016-2017 (3)'!$G$5:$G$289,'Comp2016-2017 (3)'!$A$5:$A$289,$D1136,'Comp2016-2017 (3)'!$R$5:$R$289,$V1136)*$AB1136))</f>
        <v/>
      </c>
      <c r="AF1136" s="222" t="str">
        <f>IF($W1136=AF$3,$AB1136,IF(NOT($W1136=0),"",SUMIFS('Val-Vol (2)'!AF$4:AF$1858,'Val-Vol (2)'!$A$4:$A$1858,$D1136,'Val-Vol (2)'!$V$4:$V$1858,$V1136)/SUMIFS('Comp2016-2017 (3)'!$G$5:$G$289,'Comp2016-2017 (3)'!$A$5:$A$289,$D1136,'Comp2016-2017 (3)'!$R$5:$R$289,$V1136)*$AB1136))</f>
        <v/>
      </c>
      <c r="AG1136" s="222" t="str">
        <f>IF($W1136=AG$3,$AB1136,IF(NOT($W1136=0),"",SUMIFS('Val-Vol (2)'!AG$4:AG$1858,'Val-Vol (2)'!$A$4:$A$1858,$D1136,'Val-Vol (2)'!$V$4:$V$1858,$V1136)/SUMIFS('Comp2016-2017 (3)'!$G$5:$G$289,'Comp2016-2017 (3)'!$A$5:$A$289,$D1136,'Comp2016-2017 (3)'!$R$5:$R$289,$V1136)*$AB1136))</f>
        <v/>
      </c>
      <c r="AH1136" s="222" t="str">
        <f>IF($W1136=AH$3,$AB1136,IF(NOT($W1136=0),"",SUMIFS('Val-Vol (2)'!AH$4:AH$1858,'Val-Vol (2)'!$A$4:$A$1858,$D1136,'Val-Vol (2)'!$V$4:$V$1858,$V1136)/SUMIFS('Comp2016-2017 (3)'!$G$5:$G$289,'Comp2016-2017 (3)'!$A$5:$A$289,$D1136,'Comp2016-2017 (3)'!$R$5:$R$289,$V1136)*$AB1136))</f>
        <v/>
      </c>
      <c r="AI1136" s="222" t="str">
        <f>IF($W1136=AI$3,$AB1136,IF(NOT($W1136=0),"",SUMIFS('Val-Vol (2)'!AI$4:AI$1858,'Val-Vol (2)'!$A$4:$A$1858,$D1136,'Val-Vol (2)'!$V$4:$V$1858,$V1136)/SUMIFS('Comp2016-2017 (3)'!$G$5:$G$289,'Comp2016-2017 (3)'!$A$5:$A$289,$D1136,'Comp2016-2017 (3)'!$R$5:$R$289,$V1136)*$AB1136))</f>
        <v/>
      </c>
      <c r="AJ1136" s="222" t="str">
        <f>IF($W1136=AJ$3,$AB1136,IF(NOT($W1136=0),"",SUMIFS('Val-Vol (2)'!AJ$4:AJ$1858,'Val-Vol (2)'!$A$4:$A$1858,$D1136,'Val-Vol (2)'!$V$4:$V$1858,$V1136)/SUMIFS('Comp2016-2017 (3)'!$G$5:$G$289,'Comp2016-2017 (3)'!$A$5:$A$289,$D1136,'Comp2016-2017 (3)'!$R$5:$R$289,$V1136)*$AB1136))</f>
        <v/>
      </c>
      <c r="AK1136" s="222">
        <f t="shared" si="147"/>
        <v>0</v>
      </c>
      <c r="AL1136" s="212" t="str">
        <f t="shared" si="143"/>
        <v/>
      </c>
      <c r="AM1136" s="212" t="str">
        <f>VLOOKUP(A1136,'Table corresp.'!$M$4:$U$63,8,FALSE)</f>
        <v>Forêt</v>
      </c>
      <c r="AN1136" s="212" t="str">
        <f>VLOOKUP(D1136,'Table corresp.'!$M$4:$U$63,9,FALSE)</f>
        <v>Exportation</v>
      </c>
    </row>
    <row r="1137" spans="1:40" x14ac:dyDescent="0.25">
      <c r="A1137" t="s">
        <v>1</v>
      </c>
      <c r="B1137" t="str">
        <f>VLOOKUP(LEFT(A1137,3),'Table corresp.'!$A$4:$D$63,3,FALSE)</f>
        <v>Forêt</v>
      </c>
      <c r="C1137" t="str">
        <f>VLOOKUP(A1137,'Table corresp.'!$M$4:$P$63,4,FALSE)</f>
        <v>Production et transformation de produits bois</v>
      </c>
      <c r="D1137" t="s">
        <v>87</v>
      </c>
      <c r="E1137" t="str">
        <f>VLOOKUP(LEFT(D1137,3),'Table corresp.'!$A$4:$D$63,4,FALSE)</f>
        <v>Transformation</v>
      </c>
      <c r="F1137" t="str">
        <f t="shared" si="146"/>
        <v xml:space="preserve">03  - 31 </v>
      </c>
      <c r="G1137" s="213">
        <v>26234.840349124413</v>
      </c>
      <c r="H1137" s="213">
        <v>22418.475726603039</v>
      </c>
      <c r="I1137" s="213">
        <v>48653.31607572746</v>
      </c>
      <c r="J1137" s="215"/>
      <c r="K1137" s="215"/>
      <c r="L1137" s="215"/>
      <c r="M1137" s="215">
        <v>2468.4471295292642</v>
      </c>
      <c r="N1137" s="215">
        <v>382.85220214630169</v>
      </c>
      <c r="O1137" s="215">
        <v>2851.299331675566</v>
      </c>
      <c r="P1137" s="215"/>
      <c r="Q1137" s="215"/>
      <c r="R1137" s="215"/>
      <c r="S1137" s="213"/>
      <c r="T1137" s="212">
        <f>VLOOKUP(A1137,'Groupe de branches'!$Z$27:$AM$86,14,FALSE)</f>
        <v>0</v>
      </c>
      <c r="U1137" s="212">
        <f>VLOOKUP(D1137,'Groupe de branches'!$Z$27:$AM$86,14,FALSE)</f>
        <v>0</v>
      </c>
      <c r="V1137" s="212">
        <v>2019</v>
      </c>
      <c r="W1137" s="212">
        <f>VLOOKUP(D1137,'Table corresp.'!$M$4:$S$63,7,FALSE)</f>
        <v>0</v>
      </c>
      <c r="X1137" s="228">
        <f>IFERROR(G1137/SUMIFS('Comp2016-2017 (3)'!$I$5:$I$289,'Comp2016-2017 (3)'!$A$5:$A$289,A1137,'Comp2016-2017 (3)'!$R$5:$R$289,V1137),0)</f>
        <v>0.13471931208023943</v>
      </c>
      <c r="Y1137" s="214" t="e">
        <f>IF(RIGHT(F1137,3)="Exp",VLOOKUP(F1137,#REF!,2,FALSE),VLOOKUP(F1137,#REF!,9,FALSE))</f>
        <v>#REF!</v>
      </c>
      <c r="Z1137" s="225" t="str">
        <f t="shared" si="144"/>
        <v/>
      </c>
      <c r="AA1137" s="225" t="e">
        <f t="shared" si="140"/>
        <v>#VALUE!</v>
      </c>
      <c r="AB1137" s="222">
        <f>IFERROR(SUMIFS('Comp2016-2017 (3)'!$G$5:$G$289,'Comp2016-2017 (3)'!$A$5:$A$289,A1137,'Comp2016-2017 (3)'!$R$5:$R$289,V1137)*AA1137/SUMIFS($AA$4:$AA$1858,$A$4:$A$1858,A1137,$V$4:$V$1858,V1137),0)</f>
        <v>0</v>
      </c>
      <c r="AC1137" s="222">
        <f>IF($W1137=AC$3,$AB1137,IF(NOT($W1137=0),"",SUMIFS('Val-Vol (2)'!AC$4:AC$1858,'Val-Vol (2)'!$A$4:$A$1858,$D1137,'Val-Vol (2)'!$V$4:$V$1858,$V1137)/SUMIFS('Comp2016-2017 (3)'!$G$5:$G$289,'Comp2016-2017 (3)'!$A$5:$A$289,$D1137,'Comp2016-2017 (3)'!$R$5:$R$289,$V1137)*$AB1137))</f>
        <v>0</v>
      </c>
      <c r="AD1137" s="222">
        <f>IF($W1137=AD$3,$AB1137,IF(NOT($W1137=0),"",SUMIFS('Val-Vol (2)'!AD$4:AD$1858,'Val-Vol (2)'!$A$4:$A$1858,$D1137,'Val-Vol (2)'!$V$4:$V$1858,$V1137)/SUMIFS('Comp2016-2017 (3)'!$G$5:$G$289,'Comp2016-2017 (3)'!$A$5:$A$289,$D1137,'Comp2016-2017 (3)'!$R$5:$R$289,$V1137)*$AB1137))</f>
        <v>0</v>
      </c>
      <c r="AE1137" s="222">
        <f>IF($W1137=AE$3,$AB1137,IF(NOT($W1137=0),"",SUMIFS('Val-Vol (2)'!AE$4:AE$1858,'Val-Vol (2)'!$A$4:$A$1858,$D1137,'Val-Vol (2)'!$V$4:$V$1858,$V1137)/SUMIFS('Comp2016-2017 (3)'!$G$5:$G$289,'Comp2016-2017 (3)'!$A$5:$A$289,$D1137,'Comp2016-2017 (3)'!$R$5:$R$289,$V1137)*$AB1137))</f>
        <v>0</v>
      </c>
      <c r="AF1137" s="222">
        <f>IF($W1137=AF$3,$AB1137,IF(NOT($W1137=0),"",SUMIFS('Val-Vol (2)'!AF$4:AF$1858,'Val-Vol (2)'!$A$4:$A$1858,$D1137,'Val-Vol (2)'!$V$4:$V$1858,$V1137)/SUMIFS('Comp2016-2017 (3)'!$G$5:$G$289,'Comp2016-2017 (3)'!$A$5:$A$289,$D1137,'Comp2016-2017 (3)'!$R$5:$R$289,$V1137)*$AB1137))</f>
        <v>0</v>
      </c>
      <c r="AG1137" s="222">
        <f>IF($W1137=AG$3,$AB1137,IF(NOT($W1137=0),"",SUMIFS('Val-Vol (2)'!AG$4:AG$1858,'Val-Vol (2)'!$A$4:$A$1858,$D1137,'Val-Vol (2)'!$V$4:$V$1858,$V1137)/SUMIFS('Comp2016-2017 (3)'!$G$5:$G$289,'Comp2016-2017 (3)'!$A$5:$A$289,$D1137,'Comp2016-2017 (3)'!$R$5:$R$289,$V1137)*$AB1137))</f>
        <v>0</v>
      </c>
      <c r="AH1137" s="222">
        <f>IF($W1137=AH$3,$AB1137,IF(NOT($W1137=0),"",SUMIFS('Val-Vol (2)'!AH$4:AH$1858,'Val-Vol (2)'!$A$4:$A$1858,$D1137,'Val-Vol (2)'!$V$4:$V$1858,$V1137)/SUMIFS('Comp2016-2017 (3)'!$G$5:$G$289,'Comp2016-2017 (3)'!$A$5:$A$289,$D1137,'Comp2016-2017 (3)'!$R$5:$R$289,$V1137)*$AB1137))</f>
        <v>0</v>
      </c>
      <c r="AI1137" s="222">
        <f>IF($W1137=AI$3,$AB1137,IF(NOT($W1137=0),"",SUMIFS('Val-Vol (2)'!AI$4:AI$1858,'Val-Vol (2)'!$A$4:$A$1858,$D1137,'Val-Vol (2)'!$V$4:$V$1858,$V1137)/SUMIFS('Comp2016-2017 (3)'!$G$5:$G$289,'Comp2016-2017 (3)'!$A$5:$A$289,$D1137,'Comp2016-2017 (3)'!$R$5:$R$289,$V1137)*$AB1137))</f>
        <v>0</v>
      </c>
      <c r="AJ1137" s="222">
        <f>IF($W1137=AJ$3,$AB1137,IF(NOT($W1137=0),"",SUMIFS('Val-Vol (2)'!AJ$4:AJ$1858,'Val-Vol (2)'!$A$4:$A$1858,$D1137,'Val-Vol (2)'!$V$4:$V$1858,$V1137)/SUMIFS('Comp2016-2017 (3)'!$G$5:$G$289,'Comp2016-2017 (3)'!$A$5:$A$289,$D1137,'Comp2016-2017 (3)'!$R$5:$R$289,$V1137)*$AB1137))</f>
        <v>0</v>
      </c>
      <c r="AK1137" s="222">
        <f t="shared" si="147"/>
        <v>0</v>
      </c>
      <c r="AL1137" s="212" t="str">
        <f t="shared" si="143"/>
        <v/>
      </c>
      <c r="AM1137" s="212" t="str">
        <f>VLOOKUP(A1137,'Table corresp.'!$M$4:$U$63,8,FALSE)</f>
        <v>Forêt</v>
      </c>
      <c r="AN1137" s="212" t="str">
        <f>VLOOKUP(D1137,'Table corresp.'!$M$4:$U$63,9,FALSE)</f>
        <v>Production intermédiaire</v>
      </c>
    </row>
    <row r="1138" spans="1:40" x14ac:dyDescent="0.25">
      <c r="A1138" t="s">
        <v>1</v>
      </c>
      <c r="B1138" t="str">
        <f>VLOOKUP(LEFT(A1138,3),'Table corresp.'!$A$4:$D$63,3,FALSE)</f>
        <v>Forêt</v>
      </c>
      <c r="C1138" t="str">
        <f>VLOOKUP(A1138,'Table corresp.'!$M$4:$P$63,4,FALSE)</f>
        <v>Production et transformation de produits bois</v>
      </c>
      <c r="D1138" t="s">
        <v>95</v>
      </c>
      <c r="E1138" t="str">
        <f>VLOOKUP(LEFT(D1138,3),'Table corresp.'!$A$4:$D$63,4,FALSE)</f>
        <v>Transformation</v>
      </c>
      <c r="F1138" t="str">
        <f t="shared" si="146"/>
        <v xml:space="preserve">03  - 43 </v>
      </c>
      <c r="G1138" s="213">
        <v>28148.333637480489</v>
      </c>
      <c r="H1138" s="213">
        <v>29923.493238616429</v>
      </c>
      <c r="I1138" s="213">
        <v>58071.826876096922</v>
      </c>
      <c r="J1138" s="215"/>
      <c r="K1138" s="215"/>
      <c r="L1138" s="215"/>
      <c r="M1138" s="215">
        <v>2664.4282129564413</v>
      </c>
      <c r="N1138" s="215">
        <v>96.54939733656353</v>
      </c>
      <c r="O1138" s="215">
        <v>2760.977610293005</v>
      </c>
      <c r="P1138" s="215"/>
      <c r="Q1138" s="215"/>
      <c r="R1138" s="215"/>
      <c r="S1138" s="213"/>
      <c r="T1138" s="212">
        <f>VLOOKUP(A1138,'Groupe de branches'!$Z$27:$AM$86,14,FALSE)</f>
        <v>0</v>
      </c>
      <c r="U1138" s="212">
        <f>VLOOKUP(D1138,'Groupe de branches'!$Z$27:$AM$86,14,FALSE)</f>
        <v>0</v>
      </c>
      <c r="V1138" s="212">
        <v>2019</v>
      </c>
      <c r="W1138" s="212" t="str">
        <f>VLOOKUP(D1138,'Table corresp.'!$M$4:$S$63,7,FALSE)</f>
        <v>Pate &amp; papier &amp; carton</v>
      </c>
      <c r="X1138" s="228">
        <f>IFERROR(G1138/SUMIFS('Comp2016-2017 (3)'!$I$5:$I$289,'Comp2016-2017 (3)'!$A$5:$A$289,A1138,'Comp2016-2017 (3)'!$R$5:$R$289,V1138),0)</f>
        <v>0.14454534860445595</v>
      </c>
      <c r="Y1138" s="214" t="e">
        <f>IF(RIGHT(F1138,3)="Exp",VLOOKUP(F1138,#REF!,2,FALSE),VLOOKUP(F1138,#REF!,9,FALSE))</f>
        <v>#REF!</v>
      </c>
      <c r="Z1138" s="225" t="str">
        <f t="shared" si="144"/>
        <v/>
      </c>
      <c r="AA1138" s="225" t="e">
        <f t="shared" si="140"/>
        <v>#VALUE!</v>
      </c>
      <c r="AB1138" s="222">
        <f>IFERROR(SUMIFS('Comp2016-2017 (3)'!$G$5:$G$289,'Comp2016-2017 (3)'!$A$5:$A$289,A1138,'Comp2016-2017 (3)'!$R$5:$R$289,V1138)*AA1138/SUMIFS($AA$4:$AA$1858,$A$4:$A$1858,A1138,$V$4:$V$1858,V1138),0)</f>
        <v>0</v>
      </c>
      <c r="AC1138" s="222" t="str">
        <f>IF($W1138=AC$3,$AB1138,IF(NOT($W1138=0),"",SUMIFS('Val-Vol (2)'!AC$4:AC$1858,'Val-Vol (2)'!$A$4:$A$1858,$D1138,'Val-Vol (2)'!$V$4:$V$1858,$V1138)/SUMIFS('Comp2016-2017 (3)'!$G$5:$G$289,'Comp2016-2017 (3)'!$A$5:$A$289,$D1138,'Comp2016-2017 (3)'!$R$5:$R$289,$V1138)*$AB1138))</f>
        <v/>
      </c>
      <c r="AD1138" s="222" t="str">
        <f>IF($W1138=AD$3,$AB1138,IF(NOT($W1138=0),"",SUMIFS('Val-Vol (2)'!AD$4:AD$1858,'Val-Vol (2)'!$A$4:$A$1858,$D1138,'Val-Vol (2)'!$V$4:$V$1858,$V1138)/SUMIFS('Comp2016-2017 (3)'!$G$5:$G$289,'Comp2016-2017 (3)'!$A$5:$A$289,$D1138,'Comp2016-2017 (3)'!$R$5:$R$289,$V1138)*$AB1138))</f>
        <v/>
      </c>
      <c r="AE1138" s="222" t="str">
        <f>IF($W1138=AE$3,$AB1138,IF(NOT($W1138=0),"",SUMIFS('Val-Vol (2)'!AE$4:AE$1858,'Val-Vol (2)'!$A$4:$A$1858,$D1138,'Val-Vol (2)'!$V$4:$V$1858,$V1138)/SUMIFS('Comp2016-2017 (3)'!$G$5:$G$289,'Comp2016-2017 (3)'!$A$5:$A$289,$D1138,'Comp2016-2017 (3)'!$R$5:$R$289,$V1138)*$AB1138))</f>
        <v/>
      </c>
      <c r="AF1138" s="222">
        <f>IF($W1138=AF$3,$AB1138,IF(NOT($W1138=0),"",SUMIFS('Val-Vol (2)'!AF$4:AF$1858,'Val-Vol (2)'!$A$4:$A$1858,$D1138,'Val-Vol (2)'!$V$4:$V$1858,$V1138)/SUMIFS('Comp2016-2017 (3)'!$G$5:$G$289,'Comp2016-2017 (3)'!$A$5:$A$289,$D1138,'Comp2016-2017 (3)'!$R$5:$R$289,$V1138)*$AB1138))</f>
        <v>0</v>
      </c>
      <c r="AG1138" s="222" t="str">
        <f>IF($W1138=AG$3,$AB1138,IF(NOT($W1138=0),"",SUMIFS('Val-Vol (2)'!AG$4:AG$1858,'Val-Vol (2)'!$A$4:$A$1858,$D1138,'Val-Vol (2)'!$V$4:$V$1858,$V1138)/SUMIFS('Comp2016-2017 (3)'!$G$5:$G$289,'Comp2016-2017 (3)'!$A$5:$A$289,$D1138,'Comp2016-2017 (3)'!$R$5:$R$289,$V1138)*$AB1138))</f>
        <v/>
      </c>
      <c r="AH1138" s="222" t="str">
        <f>IF($W1138=AH$3,$AB1138,IF(NOT($W1138=0),"",SUMIFS('Val-Vol (2)'!AH$4:AH$1858,'Val-Vol (2)'!$A$4:$A$1858,$D1138,'Val-Vol (2)'!$V$4:$V$1858,$V1138)/SUMIFS('Comp2016-2017 (3)'!$G$5:$G$289,'Comp2016-2017 (3)'!$A$5:$A$289,$D1138,'Comp2016-2017 (3)'!$R$5:$R$289,$V1138)*$AB1138))</f>
        <v/>
      </c>
      <c r="AI1138" s="222" t="str">
        <f>IF($W1138=AI$3,$AB1138,IF(NOT($W1138=0),"",SUMIFS('Val-Vol (2)'!AI$4:AI$1858,'Val-Vol (2)'!$A$4:$A$1858,$D1138,'Val-Vol (2)'!$V$4:$V$1858,$V1138)/SUMIFS('Comp2016-2017 (3)'!$G$5:$G$289,'Comp2016-2017 (3)'!$A$5:$A$289,$D1138,'Comp2016-2017 (3)'!$R$5:$R$289,$V1138)*$AB1138))</f>
        <v/>
      </c>
      <c r="AJ1138" s="222" t="str">
        <f>IF($W1138=AJ$3,$AB1138,IF(NOT($W1138=0),"",SUMIFS('Val-Vol (2)'!AJ$4:AJ$1858,'Val-Vol (2)'!$A$4:$A$1858,$D1138,'Val-Vol (2)'!$V$4:$V$1858,$V1138)/SUMIFS('Comp2016-2017 (3)'!$G$5:$G$289,'Comp2016-2017 (3)'!$A$5:$A$289,$D1138,'Comp2016-2017 (3)'!$R$5:$R$289,$V1138)*$AB1138))</f>
        <v/>
      </c>
      <c r="AK1138" s="222">
        <f t="shared" si="147"/>
        <v>0</v>
      </c>
      <c r="AL1138" s="212" t="str">
        <f t="shared" si="143"/>
        <v/>
      </c>
      <c r="AM1138" s="212" t="str">
        <f>VLOOKUP(A1138,'Table corresp.'!$M$4:$U$63,8,FALSE)</f>
        <v>Forêt</v>
      </c>
      <c r="AN1138" s="212" t="str">
        <f>VLOOKUP(D1138,'Table corresp.'!$M$4:$U$63,9,FALSE)</f>
        <v>Production intermédiaire</v>
      </c>
    </row>
    <row r="1139" spans="1:40" x14ac:dyDescent="0.25">
      <c r="A1139" t="s">
        <v>1</v>
      </c>
      <c r="B1139" t="str">
        <f>VLOOKUP(LEFT(A1139,3),'Table corresp.'!$A$4:$D$63,3,FALSE)</f>
        <v>Forêt</v>
      </c>
      <c r="C1139" t="str">
        <f>VLOOKUP(A1139,'Table corresp.'!$M$4:$P$63,4,FALSE)</f>
        <v>Production et transformation de produits bois</v>
      </c>
      <c r="D1139" t="s">
        <v>98</v>
      </c>
      <c r="E1139" t="str">
        <f>VLOOKUP(LEFT(D1139,3),'Table corresp.'!$A$4:$D$63,4,FALSE)</f>
        <v>Transformation</v>
      </c>
      <c r="F1139" t="str">
        <f t="shared" si="146"/>
        <v xml:space="preserve">03  - 46 </v>
      </c>
      <c r="G1139" s="213">
        <v>8638.0081815415397</v>
      </c>
      <c r="H1139" s="213">
        <v>6169.6310347805229</v>
      </c>
      <c r="I1139" s="213">
        <v>14807.639216322063</v>
      </c>
      <c r="J1139" s="215"/>
      <c r="K1139" s="215"/>
      <c r="L1139" s="215"/>
      <c r="M1139" s="215">
        <v>581.49368378640486</v>
      </c>
      <c r="N1139" s="215">
        <v>19.906571517134825</v>
      </c>
      <c r="O1139" s="215">
        <v>601.40025530353967</v>
      </c>
      <c r="P1139" s="215"/>
      <c r="Q1139" s="215"/>
      <c r="R1139" s="215"/>
      <c r="S1139" s="213"/>
      <c r="T1139" s="212">
        <f>VLOOKUP(A1139,'Groupe de branches'!$Z$27:$AM$86,14,FALSE)</f>
        <v>0</v>
      </c>
      <c r="U1139" s="212">
        <f>VLOOKUP(D1139,'Groupe de branches'!$Z$27:$AM$86,14,FALSE)</f>
        <v>0</v>
      </c>
      <c r="V1139" s="212">
        <v>2019</v>
      </c>
      <c r="W1139" s="212" t="str">
        <f>VLOOKUP(D1139,'Table corresp.'!$M$4:$S$63,7,FALSE)</f>
        <v>Produits de consommation courante</v>
      </c>
      <c r="X1139" s="228">
        <f>IFERROR(G1139/SUMIFS('Comp2016-2017 (3)'!$I$5:$I$289,'Comp2016-2017 (3)'!$A$5:$A$289,A1139,'Comp2016-2017 (3)'!$R$5:$R$289,V1139),0)</f>
        <v>4.4357293754204032E-2</v>
      </c>
      <c r="Y1139" s="214" t="e">
        <f>IF(RIGHT(F1139,3)="Exp",VLOOKUP(F1139,#REF!,2,FALSE),VLOOKUP(F1139,#REF!,9,FALSE))</f>
        <v>#REF!</v>
      </c>
      <c r="Z1139" s="225" t="str">
        <f t="shared" si="144"/>
        <v/>
      </c>
      <c r="AA1139" s="225" t="e">
        <f t="shared" si="140"/>
        <v>#VALUE!</v>
      </c>
      <c r="AB1139" s="222">
        <f>IFERROR(SUMIFS('Comp2016-2017 (3)'!$G$5:$G$289,'Comp2016-2017 (3)'!$A$5:$A$289,A1139,'Comp2016-2017 (3)'!$R$5:$R$289,V1139)*AA1139/SUMIFS($AA$4:$AA$1858,$A$4:$A$1858,A1139,$V$4:$V$1858,V1139),0)</f>
        <v>0</v>
      </c>
      <c r="AC1139" s="222" t="str">
        <f>IF($W1139=AC$3,$AB1139,IF(NOT($W1139=0),"",SUMIFS('Val-Vol (2)'!AC$4:AC$1858,'Val-Vol (2)'!$A$4:$A$1858,$D1139,'Val-Vol (2)'!$V$4:$V$1858,$V1139)/SUMIFS('Comp2016-2017 (3)'!$G$5:$G$289,'Comp2016-2017 (3)'!$A$5:$A$289,$D1139,'Comp2016-2017 (3)'!$R$5:$R$289,$V1139)*$AB1139))</f>
        <v/>
      </c>
      <c r="AD1139" s="222" t="str">
        <f>IF($W1139=AD$3,$AB1139,IF(NOT($W1139=0),"",SUMIFS('Val-Vol (2)'!AD$4:AD$1858,'Val-Vol (2)'!$A$4:$A$1858,$D1139,'Val-Vol (2)'!$V$4:$V$1858,$V1139)/SUMIFS('Comp2016-2017 (3)'!$G$5:$G$289,'Comp2016-2017 (3)'!$A$5:$A$289,$D1139,'Comp2016-2017 (3)'!$R$5:$R$289,$V1139)*$AB1139))</f>
        <v/>
      </c>
      <c r="AE1139" s="222" t="str">
        <f>IF($W1139=AE$3,$AB1139,IF(NOT($W1139=0),"",SUMIFS('Val-Vol (2)'!AE$4:AE$1858,'Val-Vol (2)'!$A$4:$A$1858,$D1139,'Val-Vol (2)'!$V$4:$V$1858,$V1139)/SUMIFS('Comp2016-2017 (3)'!$G$5:$G$289,'Comp2016-2017 (3)'!$A$5:$A$289,$D1139,'Comp2016-2017 (3)'!$R$5:$R$289,$V1139)*$AB1139))</f>
        <v/>
      </c>
      <c r="AF1139" s="222" t="str">
        <f>IF($W1139=AF$3,$AB1139,IF(NOT($W1139=0),"",SUMIFS('Val-Vol (2)'!AF$4:AF$1858,'Val-Vol (2)'!$A$4:$A$1858,$D1139,'Val-Vol (2)'!$V$4:$V$1858,$V1139)/SUMIFS('Comp2016-2017 (3)'!$G$5:$G$289,'Comp2016-2017 (3)'!$A$5:$A$289,$D1139,'Comp2016-2017 (3)'!$R$5:$R$289,$V1139)*$AB1139))</f>
        <v/>
      </c>
      <c r="AG1139" s="222" t="str">
        <f>IF($W1139=AG$3,$AB1139,IF(NOT($W1139=0),"",SUMIFS('Val-Vol (2)'!AG$4:AG$1858,'Val-Vol (2)'!$A$4:$A$1858,$D1139,'Val-Vol (2)'!$V$4:$V$1858,$V1139)/SUMIFS('Comp2016-2017 (3)'!$G$5:$G$289,'Comp2016-2017 (3)'!$A$5:$A$289,$D1139,'Comp2016-2017 (3)'!$R$5:$R$289,$V1139)*$AB1139))</f>
        <v/>
      </c>
      <c r="AH1139" s="222" t="str">
        <f>IF($W1139=AH$3,$AB1139,IF(NOT($W1139=0),"",SUMIFS('Val-Vol (2)'!AH$4:AH$1858,'Val-Vol (2)'!$A$4:$A$1858,$D1139,'Val-Vol (2)'!$V$4:$V$1858,$V1139)/SUMIFS('Comp2016-2017 (3)'!$G$5:$G$289,'Comp2016-2017 (3)'!$A$5:$A$289,$D1139,'Comp2016-2017 (3)'!$R$5:$R$289,$V1139)*$AB1139))</f>
        <v/>
      </c>
      <c r="AI1139" s="222">
        <f>IF($W1139=AI$3,$AB1139,IF(NOT($W1139=0),"",SUMIFS('Val-Vol (2)'!AI$4:AI$1858,'Val-Vol (2)'!$A$4:$A$1858,$D1139,'Val-Vol (2)'!$V$4:$V$1858,$V1139)/SUMIFS('Comp2016-2017 (3)'!$G$5:$G$289,'Comp2016-2017 (3)'!$A$5:$A$289,$D1139,'Comp2016-2017 (3)'!$R$5:$R$289,$V1139)*$AB1139))</f>
        <v>0</v>
      </c>
      <c r="AJ1139" s="222" t="str">
        <f>IF($W1139=AJ$3,$AB1139,IF(NOT($W1139=0),"",SUMIFS('Val-Vol (2)'!AJ$4:AJ$1858,'Val-Vol (2)'!$A$4:$A$1858,$D1139,'Val-Vol (2)'!$V$4:$V$1858,$V1139)/SUMIFS('Comp2016-2017 (3)'!$G$5:$G$289,'Comp2016-2017 (3)'!$A$5:$A$289,$D1139,'Comp2016-2017 (3)'!$R$5:$R$289,$V1139)*$AB1139))</f>
        <v/>
      </c>
      <c r="AK1139" s="222">
        <f t="shared" si="147"/>
        <v>0</v>
      </c>
      <c r="AL1139" s="212" t="str">
        <f t="shared" si="143"/>
        <v/>
      </c>
      <c r="AM1139" s="212" t="str">
        <f>VLOOKUP(A1139,'Table corresp.'!$M$4:$U$63,8,FALSE)</f>
        <v>Forêt</v>
      </c>
      <c r="AN1139" s="212" t="str">
        <f>VLOOKUP(D1139,'Table corresp.'!$M$4:$U$63,9,FALSE)</f>
        <v>Production intermédiaire</v>
      </c>
    </row>
    <row r="1140" spans="1:40" x14ac:dyDescent="0.25">
      <c r="A1140" t="s">
        <v>1</v>
      </c>
      <c r="B1140" t="str">
        <f>VLOOKUP(LEFT(A1140,3),'Table corresp.'!$A$4:$D$63,3,FALSE)</f>
        <v>Forêt</v>
      </c>
      <c r="C1140" t="str">
        <f>VLOOKUP(A1140,'Table corresp.'!$M$4:$P$63,4,FALSE)</f>
        <v>Production et transformation de produits bois</v>
      </c>
      <c r="D1140" t="s">
        <v>53</v>
      </c>
      <c r="E1140" t="str">
        <f>VLOOKUP(LEFT(D1140,3),'Table corresp.'!$A$4:$D$63,4,FALSE)</f>
        <v>Exportation</v>
      </c>
      <c r="F1140" t="str">
        <f t="shared" si="146"/>
        <v>03  - Exp</v>
      </c>
      <c r="G1140" s="213">
        <v>131715.83100000001</v>
      </c>
      <c r="H1140" s="213">
        <v>0</v>
      </c>
      <c r="I1140" s="213">
        <v>131715.83100000001</v>
      </c>
      <c r="J1140" s="215"/>
      <c r="K1140" s="215"/>
      <c r="L1140" s="215"/>
      <c r="M1140" s="215">
        <v>3253.0148537278897</v>
      </c>
      <c r="N1140" s="215">
        <v>0</v>
      </c>
      <c r="O1140" s="215">
        <v>3253.0148537278897</v>
      </c>
      <c r="P1140" s="215"/>
      <c r="Q1140" s="215"/>
      <c r="R1140" s="215"/>
      <c r="S1140" s="213"/>
      <c r="T1140" s="212">
        <f>VLOOKUP(A1140,'Groupe de branches'!$Z$27:$AM$86,14,FALSE)</f>
        <v>0</v>
      </c>
      <c r="U1140" s="212">
        <f>VLOOKUP(D1140,'Groupe de branches'!$Z$27:$AM$86,14,FALSE)</f>
        <v>0</v>
      </c>
      <c r="V1140" s="212">
        <v>2019</v>
      </c>
      <c r="W1140" s="212" t="str">
        <f>VLOOKUP(D1140,'Table corresp.'!$M$4:$S$63,7,FALSE)</f>
        <v>Exportation</v>
      </c>
      <c r="X1140" s="228">
        <f>IFERROR(G1140/SUMIFS('Comp2016-2017 (3)'!$I$5:$I$289,'Comp2016-2017 (3)'!$A$5:$A$289,A1140,'Comp2016-2017 (3)'!$R$5:$R$289,V1140),0)</f>
        <v>0.67637789695904527</v>
      </c>
      <c r="Y1140" s="214" t="e">
        <f>IF(RIGHT(F1140,3)="Exp",VLOOKUP(F1140,#REF!,2,FALSE),VLOOKUP(F1140,#REF!,9,FALSE))</f>
        <v>#REF!</v>
      </c>
      <c r="Z1140" s="225" t="str">
        <f t="shared" si="144"/>
        <v/>
      </c>
      <c r="AA1140" s="225" t="e">
        <f t="shared" si="140"/>
        <v>#VALUE!</v>
      </c>
      <c r="AB1140" s="222">
        <f>IFERROR(SUMIFS('Comp2016-2017 (3)'!$G$5:$G$289,'Comp2016-2017 (3)'!$A$5:$A$289,A1140,'Comp2016-2017 (3)'!$R$5:$R$289,V1140)*AA1140/SUMIFS($AA$4:$AA$1858,$A$4:$A$1858,A1140,$V$4:$V$1858,V1140),0)</f>
        <v>0</v>
      </c>
      <c r="AC1140" s="222">
        <f>IF($W1140=AC$3,$AB1140,IF(NOT($W1140=0),"",SUMIFS('Val-Vol (2)'!AC$4:AC$1858,'Val-Vol (2)'!$A$4:$A$1858,$D1140,'Val-Vol (2)'!$V$4:$V$1858,$V1140)/SUMIFS('Comp2016-2017 (3)'!$G$5:$G$289,'Comp2016-2017 (3)'!$A$5:$A$289,$D1140,'Comp2016-2017 (3)'!$R$5:$R$289,$V1140)*$AB1140))</f>
        <v>0</v>
      </c>
      <c r="AD1140" s="222" t="str">
        <f>IF($W1140=AD$3,$AB1140,IF(NOT($W1140=0),"",SUMIFS('Val-Vol (2)'!AD$4:AD$1858,'Val-Vol (2)'!$A$4:$A$1858,$D1140,'Val-Vol (2)'!$V$4:$V$1858,$V1140)/SUMIFS('Comp2016-2017 (3)'!$G$5:$G$289,'Comp2016-2017 (3)'!$A$5:$A$289,$D1140,'Comp2016-2017 (3)'!$R$5:$R$289,$V1140)*$AB1140))</f>
        <v/>
      </c>
      <c r="AE1140" s="222" t="str">
        <f>IF($W1140=AE$3,$AB1140,IF(NOT($W1140=0),"",SUMIFS('Val-Vol (2)'!AE$4:AE$1858,'Val-Vol (2)'!$A$4:$A$1858,$D1140,'Val-Vol (2)'!$V$4:$V$1858,$V1140)/SUMIFS('Comp2016-2017 (3)'!$G$5:$G$289,'Comp2016-2017 (3)'!$A$5:$A$289,$D1140,'Comp2016-2017 (3)'!$R$5:$R$289,$V1140)*$AB1140))</f>
        <v/>
      </c>
      <c r="AF1140" s="222" t="str">
        <f>IF($W1140=AF$3,$AB1140,IF(NOT($W1140=0),"",SUMIFS('Val-Vol (2)'!AF$4:AF$1858,'Val-Vol (2)'!$A$4:$A$1858,$D1140,'Val-Vol (2)'!$V$4:$V$1858,$V1140)/SUMIFS('Comp2016-2017 (3)'!$G$5:$G$289,'Comp2016-2017 (3)'!$A$5:$A$289,$D1140,'Comp2016-2017 (3)'!$R$5:$R$289,$V1140)*$AB1140))</f>
        <v/>
      </c>
      <c r="AG1140" s="222" t="str">
        <f>IF($W1140=AG$3,$AB1140,IF(NOT($W1140=0),"",SUMIFS('Val-Vol (2)'!AG$4:AG$1858,'Val-Vol (2)'!$A$4:$A$1858,$D1140,'Val-Vol (2)'!$V$4:$V$1858,$V1140)/SUMIFS('Comp2016-2017 (3)'!$G$5:$G$289,'Comp2016-2017 (3)'!$A$5:$A$289,$D1140,'Comp2016-2017 (3)'!$R$5:$R$289,$V1140)*$AB1140))</f>
        <v/>
      </c>
      <c r="AH1140" s="222" t="str">
        <f>IF($W1140=AH$3,$AB1140,IF(NOT($W1140=0),"",SUMIFS('Val-Vol (2)'!AH$4:AH$1858,'Val-Vol (2)'!$A$4:$A$1858,$D1140,'Val-Vol (2)'!$V$4:$V$1858,$V1140)/SUMIFS('Comp2016-2017 (3)'!$G$5:$G$289,'Comp2016-2017 (3)'!$A$5:$A$289,$D1140,'Comp2016-2017 (3)'!$R$5:$R$289,$V1140)*$AB1140))</f>
        <v/>
      </c>
      <c r="AI1140" s="222" t="str">
        <f>IF($W1140=AI$3,$AB1140,IF(NOT($W1140=0),"",SUMIFS('Val-Vol (2)'!AI$4:AI$1858,'Val-Vol (2)'!$A$4:$A$1858,$D1140,'Val-Vol (2)'!$V$4:$V$1858,$V1140)/SUMIFS('Comp2016-2017 (3)'!$G$5:$G$289,'Comp2016-2017 (3)'!$A$5:$A$289,$D1140,'Comp2016-2017 (3)'!$R$5:$R$289,$V1140)*$AB1140))</f>
        <v/>
      </c>
      <c r="AJ1140" s="222" t="str">
        <f>IF($W1140=AJ$3,$AB1140,IF(NOT($W1140=0),"",SUMIFS('Val-Vol (2)'!AJ$4:AJ$1858,'Val-Vol (2)'!$A$4:$A$1858,$D1140,'Val-Vol (2)'!$V$4:$V$1858,$V1140)/SUMIFS('Comp2016-2017 (3)'!$G$5:$G$289,'Comp2016-2017 (3)'!$A$5:$A$289,$D1140,'Comp2016-2017 (3)'!$R$5:$R$289,$V1140)*$AB1140))</f>
        <v/>
      </c>
      <c r="AK1140" s="222">
        <f t="shared" si="147"/>
        <v>0</v>
      </c>
      <c r="AL1140" s="212" t="str">
        <f t="shared" si="143"/>
        <v/>
      </c>
      <c r="AM1140" s="212" t="str">
        <f>VLOOKUP(A1140,'Table corresp.'!$M$4:$U$63,8,FALSE)</f>
        <v>Forêt</v>
      </c>
      <c r="AN1140" s="212" t="str">
        <f>VLOOKUP(D1140,'Table corresp.'!$M$4:$U$63,9,FALSE)</f>
        <v>Exportation</v>
      </c>
    </row>
    <row r="1141" spans="1:40" x14ac:dyDescent="0.25">
      <c r="A1141" t="s">
        <v>2</v>
      </c>
      <c r="B1141" t="str">
        <f>VLOOKUP(LEFT(A1141,3),'Table corresp.'!$A$4:$D$63,3,FALSE)</f>
        <v>Forêt</v>
      </c>
      <c r="C1141" t="str">
        <f>VLOOKUP(A1141,'Table corresp.'!$M$4:$P$63,4,FALSE)</f>
        <v>Production et transformation de produits bois</v>
      </c>
      <c r="D1141" t="s">
        <v>86</v>
      </c>
      <c r="E1141" t="str">
        <f>VLOOKUP(LEFT(D1141,3),'Table corresp.'!$A$4:$D$63,4,FALSE)</f>
        <v>Transformation</v>
      </c>
      <c r="F1141" t="str">
        <f t="shared" si="146"/>
        <v xml:space="preserve">04  - 30 </v>
      </c>
      <c r="G1141" s="213">
        <v>69388.705733931289</v>
      </c>
      <c r="H1141" s="213">
        <v>0</v>
      </c>
      <c r="I1141" s="213">
        <v>69388.705733931303</v>
      </c>
      <c r="J1141" s="215"/>
      <c r="K1141" s="215"/>
      <c r="L1141" s="215"/>
      <c r="M1141" s="215"/>
      <c r="N1141" s="215"/>
      <c r="O1141" s="215"/>
      <c r="P1141" s="215">
        <v>2923.2979868184652</v>
      </c>
      <c r="Q1141" s="215">
        <v>0</v>
      </c>
      <c r="R1141" s="215">
        <v>2923.2979868184652</v>
      </c>
      <c r="S1141" s="213" t="s">
        <v>198</v>
      </c>
      <c r="T1141" s="212">
        <f>VLOOKUP(A1141,'Groupe de branches'!$Z$27:$AM$86,14,FALSE)</f>
        <v>0</v>
      </c>
      <c r="U1141" s="212">
        <f>VLOOKUP(D1141,'Groupe de branches'!$Z$27:$AM$86,14,FALSE)</f>
        <v>1</v>
      </c>
      <c r="V1141" s="212">
        <v>2019</v>
      </c>
      <c r="W1141" s="212" t="str">
        <f>VLOOKUP(D1141,'Table corresp.'!$M$4:$S$63,7,FALSE)</f>
        <v>Energie</v>
      </c>
      <c r="X1141" s="228">
        <f>IFERROR(G1141/SUMIFS('Comp2016-2017 (3)'!$I$5:$I$289,'Comp2016-2017 (3)'!$A$5:$A$289,A1141,'Comp2016-2017 (3)'!$R$5:$R$289,V1141),0)</f>
        <v>0.21691506733991028</v>
      </c>
      <c r="Y1141" s="214" t="e">
        <f>IF(RIGHT(F1141,3)="Exp",VLOOKUP(F1141,#REF!,2,FALSE),VLOOKUP(F1141,#REF!,9,FALSE))</f>
        <v>#REF!</v>
      </c>
      <c r="Z1141" s="225" t="str">
        <f t="shared" si="144"/>
        <v/>
      </c>
      <c r="AA1141" s="225" t="e">
        <f t="shared" si="140"/>
        <v>#VALUE!</v>
      </c>
      <c r="AB1141" s="222">
        <f>IFERROR(SUMIFS('Comp2016-2017 (3)'!$G$5:$G$289,'Comp2016-2017 (3)'!$A$5:$A$289,A1141,'Comp2016-2017 (3)'!$R$5:$R$289,V1141)*AA1141/SUMIFS($AA$4:$AA$1858,$A$4:$A$1858,A1141,$V$4:$V$1858,V1141),0)</f>
        <v>0</v>
      </c>
      <c r="AC1141" s="222" t="str">
        <f>IF($W1141=AC$3,$AB1141,IF(NOT($W1141=0),"",SUMIFS('Val-Vol (2)'!AC$4:AC$1858,'Val-Vol (2)'!$A$4:$A$1858,$D1141,'Val-Vol (2)'!$V$4:$V$1858,$V1141)/SUMIFS('Comp2016-2017 (3)'!$G$5:$G$289,'Comp2016-2017 (3)'!$A$5:$A$289,$D1141,'Comp2016-2017 (3)'!$R$5:$R$289,$V1141)*$AB1141))</f>
        <v/>
      </c>
      <c r="AD1141" s="222" t="str">
        <f>IF($W1141=AD$3,$AB1141,IF(NOT($W1141=0),"",SUMIFS('Val-Vol (2)'!AD$4:AD$1858,'Val-Vol (2)'!$A$4:$A$1858,$D1141,'Val-Vol (2)'!$V$4:$V$1858,$V1141)/SUMIFS('Comp2016-2017 (3)'!$G$5:$G$289,'Comp2016-2017 (3)'!$A$5:$A$289,$D1141,'Comp2016-2017 (3)'!$R$5:$R$289,$V1141)*$AB1141))</f>
        <v/>
      </c>
      <c r="AE1141" s="222" t="str">
        <f>IF($W1141=AE$3,$AB1141,IF(NOT($W1141=0),"",SUMIFS('Val-Vol (2)'!AE$4:AE$1858,'Val-Vol (2)'!$A$4:$A$1858,$D1141,'Val-Vol (2)'!$V$4:$V$1858,$V1141)/SUMIFS('Comp2016-2017 (3)'!$G$5:$G$289,'Comp2016-2017 (3)'!$A$5:$A$289,$D1141,'Comp2016-2017 (3)'!$R$5:$R$289,$V1141)*$AB1141))</f>
        <v/>
      </c>
      <c r="AF1141" s="222" t="str">
        <f>IF($W1141=AF$3,$AB1141,IF(NOT($W1141=0),"",SUMIFS('Val-Vol (2)'!AF$4:AF$1858,'Val-Vol (2)'!$A$4:$A$1858,$D1141,'Val-Vol (2)'!$V$4:$V$1858,$V1141)/SUMIFS('Comp2016-2017 (3)'!$G$5:$G$289,'Comp2016-2017 (3)'!$A$5:$A$289,$D1141,'Comp2016-2017 (3)'!$R$5:$R$289,$V1141)*$AB1141))</f>
        <v/>
      </c>
      <c r="AG1141" s="222" t="str">
        <f>IF($W1141=AG$3,$AB1141,IF(NOT($W1141=0),"",SUMIFS('Val-Vol (2)'!AG$4:AG$1858,'Val-Vol (2)'!$A$4:$A$1858,$D1141,'Val-Vol (2)'!$V$4:$V$1858,$V1141)/SUMIFS('Comp2016-2017 (3)'!$G$5:$G$289,'Comp2016-2017 (3)'!$A$5:$A$289,$D1141,'Comp2016-2017 (3)'!$R$5:$R$289,$V1141)*$AB1141))</f>
        <v/>
      </c>
      <c r="AH1141" s="222">
        <f>IF($W1141=AH$3,$AB1141,IF(NOT($W1141=0),"",SUMIFS('Val-Vol (2)'!AH$4:AH$1858,'Val-Vol (2)'!$A$4:$A$1858,$D1141,'Val-Vol (2)'!$V$4:$V$1858,$V1141)/SUMIFS('Comp2016-2017 (3)'!$G$5:$G$289,'Comp2016-2017 (3)'!$A$5:$A$289,$D1141,'Comp2016-2017 (3)'!$R$5:$R$289,$V1141)*$AB1141))</f>
        <v>0</v>
      </c>
      <c r="AI1141" s="222" t="str">
        <f>IF($W1141=AI$3,$AB1141,IF(NOT($W1141=0),"",SUMIFS('Val-Vol (2)'!AI$4:AI$1858,'Val-Vol (2)'!$A$4:$A$1858,$D1141,'Val-Vol (2)'!$V$4:$V$1858,$V1141)/SUMIFS('Comp2016-2017 (3)'!$G$5:$G$289,'Comp2016-2017 (3)'!$A$5:$A$289,$D1141,'Comp2016-2017 (3)'!$R$5:$R$289,$V1141)*$AB1141))</f>
        <v/>
      </c>
      <c r="AJ1141" s="222" t="str">
        <f>IF($W1141=AJ$3,$AB1141,IF(NOT($W1141=0),"",SUMIFS('Val-Vol (2)'!AJ$4:AJ$1858,'Val-Vol (2)'!$A$4:$A$1858,$D1141,'Val-Vol (2)'!$V$4:$V$1858,$V1141)/SUMIFS('Comp2016-2017 (3)'!$G$5:$G$289,'Comp2016-2017 (3)'!$A$5:$A$289,$D1141,'Comp2016-2017 (3)'!$R$5:$R$289,$V1141)*$AB1141))</f>
        <v/>
      </c>
      <c r="AK1141" s="222">
        <f t="shared" si="147"/>
        <v>0</v>
      </c>
      <c r="AL1141" s="212" t="str">
        <f t="shared" si="143"/>
        <v/>
      </c>
      <c r="AM1141" s="212" t="str">
        <f>VLOOKUP(A1141,'Table corresp.'!$M$4:$U$63,8,FALSE)</f>
        <v>Forêt</v>
      </c>
      <c r="AN1141" s="212" t="str">
        <f>VLOOKUP(D1141,'Table corresp.'!$M$4:$U$63,9,FALSE)</f>
        <v>Production intermédiaire</v>
      </c>
    </row>
    <row r="1142" spans="1:40" x14ac:dyDescent="0.25">
      <c r="A1142" t="s">
        <v>2</v>
      </c>
      <c r="B1142" t="str">
        <f>VLOOKUP(LEFT(A1142,3),'Table corresp.'!$A$4:$D$63,3,FALSE)</f>
        <v>Forêt</v>
      </c>
      <c r="C1142" t="str">
        <f>VLOOKUP(A1142,'Table corresp.'!$M$4:$P$63,4,FALSE)</f>
        <v>Production et transformation de produits bois</v>
      </c>
      <c r="D1142" t="s">
        <v>54</v>
      </c>
      <c r="E1142" t="str">
        <f>VLOOKUP(LEFT(D1142,3),'Table corresp.'!$A$4:$D$63,4,FALSE)</f>
        <v>Consommation finale</v>
      </c>
      <c r="F1142" t="str">
        <f t="shared" si="146"/>
        <v>04  - Con</v>
      </c>
      <c r="G1142" s="213">
        <v>231300.88948525189</v>
      </c>
      <c r="H1142" s="213">
        <v>15056.373999999998</v>
      </c>
      <c r="I1142" s="213">
        <v>246357.26348525193</v>
      </c>
      <c r="J1142" s="215"/>
      <c r="K1142" s="215"/>
      <c r="L1142" s="215"/>
      <c r="M1142" s="215"/>
      <c r="N1142" s="215"/>
      <c r="O1142" s="215"/>
      <c r="P1142" s="215">
        <v>3732.6629565988765</v>
      </c>
      <c r="Q1142" s="215">
        <v>126.19270099999997</v>
      </c>
      <c r="R1142" s="215">
        <v>3858.8556575988764</v>
      </c>
      <c r="S1142" s="213" t="s">
        <v>198</v>
      </c>
      <c r="T1142" s="212">
        <f>VLOOKUP(A1142,'Groupe de branches'!$Z$27:$AM$86,14,FALSE)</f>
        <v>0</v>
      </c>
      <c r="U1142" s="212">
        <f>VLOOKUP(D1142,'Groupe de branches'!$Z$27:$AM$86,14,FALSE)</f>
        <v>0</v>
      </c>
      <c r="V1142" s="212">
        <v>2019</v>
      </c>
      <c r="W1142" s="212" t="str">
        <f>VLOOKUP(D1142,'Table corresp.'!$M$4:$S$63,7,FALSE)</f>
        <v>Consommation finale</v>
      </c>
      <c r="X1142" s="228">
        <f>IFERROR(G1142/SUMIFS('Comp2016-2017 (3)'!$I$5:$I$289,'Comp2016-2017 (3)'!$A$5:$A$289,A1142,'Comp2016-2017 (3)'!$R$5:$R$289,V1142),0)</f>
        <v>0.72306649169765358</v>
      </c>
      <c r="Y1142" s="214" t="e">
        <f>IF(RIGHT(F1142,3)="Exp",VLOOKUP(F1142,#REF!,2,FALSE),VLOOKUP(F1142,#REF!,9,FALSE))</f>
        <v>#REF!</v>
      </c>
      <c r="Z1142" s="225" t="str">
        <f t="shared" si="144"/>
        <v/>
      </c>
      <c r="AA1142" s="225" t="e">
        <f t="shared" si="140"/>
        <v>#VALUE!</v>
      </c>
      <c r="AB1142" s="222">
        <f>IFERROR(SUMIFS('Comp2016-2017 (3)'!$G$5:$G$289,'Comp2016-2017 (3)'!$A$5:$A$289,A1142,'Comp2016-2017 (3)'!$R$5:$R$289,V1142)*AA1142/SUMIFS($AA$4:$AA$1858,$A$4:$A$1858,A1142,$V$4:$V$1858,V1142),0)</f>
        <v>0</v>
      </c>
      <c r="AC1142" s="222" t="str">
        <f>IF($W1142=AC$3,$AB1142,IF(NOT($W1142=0),"",SUMIFS('Val-Vol (2)'!AC$4:AC$1858,'Val-Vol (2)'!$A$4:$A$1858,$D1142,'Val-Vol (2)'!$V$4:$V$1858,$V1142)/SUMIFS('Comp2016-2017 (3)'!$G$5:$G$289,'Comp2016-2017 (3)'!$A$5:$A$289,$D1142,'Comp2016-2017 (3)'!$R$5:$R$289,$V1142)*$AB1142))</f>
        <v/>
      </c>
      <c r="AD1142" s="222" t="str">
        <f>IF($W1142=AD$3,$AB1142,IF(NOT($W1142=0),"",SUMIFS('Val-Vol (2)'!AD$4:AD$1858,'Val-Vol (2)'!$A$4:$A$1858,$D1142,'Val-Vol (2)'!$V$4:$V$1858,$V1142)/SUMIFS('Comp2016-2017 (3)'!$G$5:$G$289,'Comp2016-2017 (3)'!$A$5:$A$289,$D1142,'Comp2016-2017 (3)'!$R$5:$R$289,$V1142)*$AB1142))</f>
        <v/>
      </c>
      <c r="AE1142" s="222" t="str">
        <f>IF($W1142=AE$3,$AB1142,IF(NOT($W1142=0),"",SUMIFS('Val-Vol (2)'!AE$4:AE$1858,'Val-Vol (2)'!$A$4:$A$1858,$D1142,'Val-Vol (2)'!$V$4:$V$1858,$V1142)/SUMIFS('Comp2016-2017 (3)'!$G$5:$G$289,'Comp2016-2017 (3)'!$A$5:$A$289,$D1142,'Comp2016-2017 (3)'!$R$5:$R$289,$V1142)*$AB1142))</f>
        <v/>
      </c>
      <c r="AF1142" s="222" t="str">
        <f>IF($W1142=AF$3,$AB1142,IF(NOT($W1142=0),"",SUMIFS('Val-Vol (2)'!AF$4:AF$1858,'Val-Vol (2)'!$A$4:$A$1858,$D1142,'Val-Vol (2)'!$V$4:$V$1858,$V1142)/SUMIFS('Comp2016-2017 (3)'!$G$5:$G$289,'Comp2016-2017 (3)'!$A$5:$A$289,$D1142,'Comp2016-2017 (3)'!$R$5:$R$289,$V1142)*$AB1142))</f>
        <v/>
      </c>
      <c r="AG1142" s="222" t="str">
        <f>IF($W1142=AG$3,$AB1142,IF(NOT($W1142=0),"",SUMIFS('Val-Vol (2)'!AG$4:AG$1858,'Val-Vol (2)'!$A$4:$A$1858,$D1142,'Val-Vol (2)'!$V$4:$V$1858,$V1142)/SUMIFS('Comp2016-2017 (3)'!$G$5:$G$289,'Comp2016-2017 (3)'!$A$5:$A$289,$D1142,'Comp2016-2017 (3)'!$R$5:$R$289,$V1142)*$AB1142))</f>
        <v/>
      </c>
      <c r="AH1142" s="222" t="str">
        <f>IF($W1142=AH$3,$AB1142,IF(NOT($W1142=0),"",SUMIFS('Val-Vol (2)'!AH$4:AH$1858,'Val-Vol (2)'!$A$4:$A$1858,$D1142,'Val-Vol (2)'!$V$4:$V$1858,$V1142)/SUMIFS('Comp2016-2017 (3)'!$G$5:$G$289,'Comp2016-2017 (3)'!$A$5:$A$289,$D1142,'Comp2016-2017 (3)'!$R$5:$R$289,$V1142)*$AB1142))</f>
        <v/>
      </c>
      <c r="AI1142" s="222" t="str">
        <f>IF($W1142=AI$3,$AB1142,IF(NOT($W1142=0),"",SUMIFS('Val-Vol (2)'!AI$4:AI$1858,'Val-Vol (2)'!$A$4:$A$1858,$D1142,'Val-Vol (2)'!$V$4:$V$1858,$V1142)/SUMIFS('Comp2016-2017 (3)'!$G$5:$G$289,'Comp2016-2017 (3)'!$A$5:$A$289,$D1142,'Comp2016-2017 (3)'!$R$5:$R$289,$V1142)*$AB1142))</f>
        <v/>
      </c>
      <c r="AJ1142" s="222">
        <f>IF($W1142=AJ$3,$AB1142,IF(NOT($W1142=0),"",SUMIFS('Val-Vol (2)'!AJ$4:AJ$1858,'Val-Vol (2)'!$A$4:$A$1858,$D1142,'Val-Vol (2)'!$V$4:$V$1858,$V1142)/SUMIFS('Comp2016-2017 (3)'!$G$5:$G$289,'Comp2016-2017 (3)'!$A$5:$A$289,$D1142,'Comp2016-2017 (3)'!$R$5:$R$289,$V1142)*$AB1142))</f>
        <v>0</v>
      </c>
      <c r="AK1142" s="222">
        <f t="shared" si="147"/>
        <v>0</v>
      </c>
      <c r="AL1142" s="212" t="str">
        <f t="shared" si="143"/>
        <v/>
      </c>
      <c r="AM1142" s="212" t="str">
        <f>VLOOKUP(A1142,'Table corresp.'!$M$4:$U$63,8,FALSE)</f>
        <v>Forêt</v>
      </c>
      <c r="AN1142" s="212" t="str">
        <f>VLOOKUP(D1142,'Table corresp.'!$M$4:$U$63,9,FALSE)</f>
        <v>Consommation finale française</v>
      </c>
    </row>
    <row r="1143" spans="1:40" x14ac:dyDescent="0.25">
      <c r="A1143" t="s">
        <v>2</v>
      </c>
      <c r="B1143" t="str">
        <f>VLOOKUP(LEFT(A1143,3),'Table corresp.'!$A$4:$D$63,3,FALSE)</f>
        <v>Forêt</v>
      </c>
      <c r="C1143" t="str">
        <f>VLOOKUP(A1143,'Table corresp.'!$M$4:$P$63,4,FALSE)</f>
        <v>Production et transformation de produits bois</v>
      </c>
      <c r="D1143" t="s">
        <v>53</v>
      </c>
      <c r="E1143" t="str">
        <f>VLOOKUP(LEFT(D1143,3),'Table corresp.'!$A$4:$D$63,4,FALSE)</f>
        <v>Exportation</v>
      </c>
      <c r="F1143" t="str">
        <f t="shared" si="146"/>
        <v>04  - Exp</v>
      </c>
      <c r="G1143" s="213">
        <v>19199.227999999996</v>
      </c>
      <c r="H1143" s="213">
        <v>0</v>
      </c>
      <c r="I1143" s="213">
        <v>19199.227999999999</v>
      </c>
      <c r="J1143" s="215"/>
      <c r="K1143" s="215"/>
      <c r="L1143" s="215"/>
      <c r="M1143" s="215"/>
      <c r="N1143" s="215"/>
      <c r="O1143" s="215"/>
      <c r="P1143" s="215">
        <v>337.0390565826583</v>
      </c>
      <c r="Q1143" s="215">
        <v>0</v>
      </c>
      <c r="R1143" s="215">
        <v>337.0390565826583</v>
      </c>
      <c r="S1143" s="213" t="s">
        <v>198</v>
      </c>
      <c r="T1143" s="212">
        <f>VLOOKUP(A1143,'Groupe de branches'!$Z$27:$AM$86,14,FALSE)</f>
        <v>0</v>
      </c>
      <c r="U1143" s="212">
        <f>VLOOKUP(D1143,'Groupe de branches'!$Z$27:$AM$86,14,FALSE)</f>
        <v>0</v>
      </c>
      <c r="V1143" s="212">
        <v>2019</v>
      </c>
      <c r="W1143" s="212" t="str">
        <f>VLOOKUP(D1143,'Table corresp.'!$M$4:$S$63,7,FALSE)</f>
        <v>Exportation</v>
      </c>
      <c r="X1143" s="228">
        <f>IFERROR(G1143/SUMIFS('Comp2016-2017 (3)'!$I$5:$I$289,'Comp2016-2017 (3)'!$A$5:$A$289,A1143,'Comp2016-2017 (3)'!$R$5:$R$289,V1143),0)</f>
        <v>6.0018439462804204E-2</v>
      </c>
      <c r="Y1143" s="214" t="e">
        <f>IF(RIGHT(F1143,3)="Exp",VLOOKUP(F1143,#REF!,2,FALSE),VLOOKUP(F1143,#REF!,9,FALSE))</f>
        <v>#REF!</v>
      </c>
      <c r="Z1143" s="225" t="str">
        <f t="shared" si="144"/>
        <v/>
      </c>
      <c r="AA1143" s="225" t="e">
        <f t="shared" si="140"/>
        <v>#VALUE!</v>
      </c>
      <c r="AB1143" s="222">
        <f>IFERROR(SUMIFS('Comp2016-2017 (3)'!$G$5:$G$289,'Comp2016-2017 (3)'!$A$5:$A$289,A1143,'Comp2016-2017 (3)'!$R$5:$R$289,V1143)*AA1143/SUMIFS($AA$4:$AA$1858,$A$4:$A$1858,A1143,$V$4:$V$1858,V1143),0)</f>
        <v>0</v>
      </c>
      <c r="AC1143" s="222">
        <f>IF($W1143=AC$3,$AB1143,IF(NOT($W1143=0),"",SUMIFS('Val-Vol (2)'!AC$4:AC$1858,'Val-Vol (2)'!$A$4:$A$1858,$D1143,'Val-Vol (2)'!$V$4:$V$1858,$V1143)/SUMIFS('Comp2016-2017 (3)'!$G$5:$G$289,'Comp2016-2017 (3)'!$A$5:$A$289,$D1143,'Comp2016-2017 (3)'!$R$5:$R$289,$V1143)*$AB1143))</f>
        <v>0</v>
      </c>
      <c r="AD1143" s="222" t="str">
        <f>IF($W1143=AD$3,$AB1143,IF(NOT($W1143=0),"",SUMIFS('Val-Vol (2)'!AD$4:AD$1858,'Val-Vol (2)'!$A$4:$A$1858,$D1143,'Val-Vol (2)'!$V$4:$V$1858,$V1143)/SUMIFS('Comp2016-2017 (3)'!$G$5:$G$289,'Comp2016-2017 (3)'!$A$5:$A$289,$D1143,'Comp2016-2017 (3)'!$R$5:$R$289,$V1143)*$AB1143))</f>
        <v/>
      </c>
      <c r="AE1143" s="222" t="str">
        <f>IF($W1143=AE$3,$AB1143,IF(NOT($W1143=0),"",SUMIFS('Val-Vol (2)'!AE$4:AE$1858,'Val-Vol (2)'!$A$4:$A$1858,$D1143,'Val-Vol (2)'!$V$4:$V$1858,$V1143)/SUMIFS('Comp2016-2017 (3)'!$G$5:$G$289,'Comp2016-2017 (3)'!$A$5:$A$289,$D1143,'Comp2016-2017 (3)'!$R$5:$R$289,$V1143)*$AB1143))</f>
        <v/>
      </c>
      <c r="AF1143" s="222" t="str">
        <f>IF($W1143=AF$3,$AB1143,IF(NOT($W1143=0),"",SUMIFS('Val-Vol (2)'!AF$4:AF$1858,'Val-Vol (2)'!$A$4:$A$1858,$D1143,'Val-Vol (2)'!$V$4:$V$1858,$V1143)/SUMIFS('Comp2016-2017 (3)'!$G$5:$G$289,'Comp2016-2017 (3)'!$A$5:$A$289,$D1143,'Comp2016-2017 (3)'!$R$5:$R$289,$V1143)*$AB1143))</f>
        <v/>
      </c>
      <c r="AG1143" s="222" t="str">
        <f>IF($W1143=AG$3,$AB1143,IF(NOT($W1143=0),"",SUMIFS('Val-Vol (2)'!AG$4:AG$1858,'Val-Vol (2)'!$A$4:$A$1858,$D1143,'Val-Vol (2)'!$V$4:$V$1858,$V1143)/SUMIFS('Comp2016-2017 (3)'!$G$5:$G$289,'Comp2016-2017 (3)'!$A$5:$A$289,$D1143,'Comp2016-2017 (3)'!$R$5:$R$289,$V1143)*$AB1143))</f>
        <v/>
      </c>
      <c r="AH1143" s="222" t="str">
        <f>IF($W1143=AH$3,$AB1143,IF(NOT($W1143=0),"",SUMIFS('Val-Vol (2)'!AH$4:AH$1858,'Val-Vol (2)'!$A$4:$A$1858,$D1143,'Val-Vol (2)'!$V$4:$V$1858,$V1143)/SUMIFS('Comp2016-2017 (3)'!$G$5:$G$289,'Comp2016-2017 (3)'!$A$5:$A$289,$D1143,'Comp2016-2017 (3)'!$R$5:$R$289,$V1143)*$AB1143))</f>
        <v/>
      </c>
      <c r="AI1143" s="222" t="str">
        <f>IF($W1143=AI$3,$AB1143,IF(NOT($W1143=0),"",SUMIFS('Val-Vol (2)'!AI$4:AI$1858,'Val-Vol (2)'!$A$4:$A$1858,$D1143,'Val-Vol (2)'!$V$4:$V$1858,$V1143)/SUMIFS('Comp2016-2017 (3)'!$G$5:$G$289,'Comp2016-2017 (3)'!$A$5:$A$289,$D1143,'Comp2016-2017 (3)'!$R$5:$R$289,$V1143)*$AB1143))</f>
        <v/>
      </c>
      <c r="AJ1143" s="222" t="str">
        <f>IF($W1143=AJ$3,$AB1143,IF(NOT($W1143=0),"",SUMIFS('Val-Vol (2)'!AJ$4:AJ$1858,'Val-Vol (2)'!$A$4:$A$1858,$D1143,'Val-Vol (2)'!$V$4:$V$1858,$V1143)/SUMIFS('Comp2016-2017 (3)'!$G$5:$G$289,'Comp2016-2017 (3)'!$A$5:$A$289,$D1143,'Comp2016-2017 (3)'!$R$5:$R$289,$V1143)*$AB1143))</f>
        <v/>
      </c>
      <c r="AK1143" s="222">
        <f t="shared" si="147"/>
        <v>0</v>
      </c>
      <c r="AL1143" s="212" t="str">
        <f t="shared" si="143"/>
        <v/>
      </c>
      <c r="AM1143" s="212" t="str">
        <f>VLOOKUP(A1143,'Table corresp.'!$M$4:$U$63,8,FALSE)</f>
        <v>Forêt</v>
      </c>
      <c r="AN1143" s="212" t="str">
        <f>VLOOKUP(D1143,'Table corresp.'!$M$4:$U$63,9,FALSE)</f>
        <v>Exportation</v>
      </c>
    </row>
    <row r="1144" spans="1:40" x14ac:dyDescent="0.25">
      <c r="A1144" t="s">
        <v>81</v>
      </c>
      <c r="B1144" t="str">
        <f>VLOOKUP(LEFT(A1144,3),'Table corresp.'!$A$4:$D$63,3,FALSE)</f>
        <v>Transformation</v>
      </c>
      <c r="C1144" t="str">
        <f>VLOOKUP(A1144,'Table corresp.'!$M$4:$P$63,4,FALSE)</f>
        <v>Production et transformation de produits bois</v>
      </c>
      <c r="D1144" t="s">
        <v>0</v>
      </c>
      <c r="E1144" t="str">
        <f>VLOOKUP(LEFT(D1144,3),'Table corresp.'!$A$4:$D$63,4,FALSE)</f>
        <v>Transformation</v>
      </c>
      <c r="F1144" t="str">
        <f t="shared" si="146"/>
        <v xml:space="preserve">05  - 02 </v>
      </c>
      <c r="G1144" s="213">
        <v>367543.020166439</v>
      </c>
      <c r="H1144" s="213">
        <v>0</v>
      </c>
      <c r="I1144" s="213">
        <v>367543.020166439</v>
      </c>
      <c r="J1144" s="215"/>
      <c r="K1144" s="215"/>
      <c r="L1144" s="215"/>
      <c r="M1144" s="215"/>
      <c r="N1144" s="215"/>
      <c r="O1144" s="215"/>
      <c r="P1144" s="215"/>
      <c r="Q1144" s="215"/>
      <c r="R1144" s="215"/>
      <c r="S1144" s="213"/>
      <c r="T1144" s="212">
        <f>VLOOKUP(A1144,'Groupe de branches'!$Z$27:$AM$86,14,FALSE)</f>
        <v>0</v>
      </c>
      <c r="U1144" s="212">
        <f>VLOOKUP(D1144,'Groupe de branches'!$Z$27:$AM$86,14,FALSE)</f>
        <v>0</v>
      </c>
      <c r="V1144" s="212">
        <v>2019</v>
      </c>
      <c r="W1144" s="212">
        <f>VLOOKUP(D1144,'Table corresp.'!$M$4:$S$63,7,FALSE)</f>
        <v>0</v>
      </c>
      <c r="X1144" s="228">
        <f>IFERROR(G1144/SUMIFS('Comp2016-2017 (3)'!$I$5:$I$289,'Comp2016-2017 (3)'!$A$5:$A$289,A1144,'Comp2016-2017 (3)'!$R$5:$R$289,V1144),0)</f>
        <v>0.33247286766193546</v>
      </c>
      <c r="Y1144" s="214">
        <f>IFERROR(IF(RIGHT(F1144,3)="Exp",VLOOKUP(F1144,#REF!,2,FALSE),VLOOKUP(F1144,#REF!,9,FALSE)),1)</f>
        <v>1</v>
      </c>
      <c r="Z1144" s="225">
        <f t="shared" si="144"/>
        <v>5.2631578947368418E-2</v>
      </c>
      <c r="AA1144" s="225">
        <f t="shared" si="140"/>
        <v>1.7498571982207129E-2</v>
      </c>
      <c r="AB1144" s="222">
        <f>IFERROR(SUMIFS('Comp2016-2017 (3)'!$G$5:$G$289,'Comp2016-2017 (3)'!$A$5:$A$289,A1144,'Comp2016-2017 (3)'!$R$5:$R$289,V1144)*AA1144/SUMIFS($AA$4:$AA$1858,$A$4:$A$1858,A1144,$V$4:$V$1858,V1144),0)</f>
        <v>266602.69219175784</v>
      </c>
      <c r="AC1144" s="222">
        <f>IF($W1144=AC$3,$AB1144,IF(NOT($W1144=0),"",SUMIFS('Val-Vol (2)'!AC$4:AC$1858,'Val-Vol (2)'!$A$4:$A$1858,$D1144,'Val-Vol (2)'!$V$4:$V$1858,$V1144)/SUMIFS('Comp2016-2017 (3)'!$G$5:$G$289,'Comp2016-2017 (3)'!$A$5:$A$289,$D1144,'Comp2016-2017 (3)'!$R$5:$R$289,$V1144)*$AB1144))</f>
        <v>0</v>
      </c>
      <c r="AD1144" s="222">
        <f>IF($W1144=AD$3,$AB1144,IF(NOT($W1144=0),"",SUMIFS('Val-Vol (2)'!AD$4:AD$1858,'Val-Vol (2)'!$A$4:$A$1858,$D1144,'Val-Vol (2)'!$V$4:$V$1858,$V1144)/SUMIFS('Comp2016-2017 (3)'!$G$5:$G$289,'Comp2016-2017 (3)'!$A$5:$A$289,$D1144,'Comp2016-2017 (3)'!$R$5:$R$289,$V1144)*$AB1144))</f>
        <v>0</v>
      </c>
      <c r="AE1144" s="222">
        <f>IF($W1144=AE$3,$AB1144,IF(NOT($W1144=0),"",SUMIFS('Val-Vol (2)'!AE$4:AE$1858,'Val-Vol (2)'!$A$4:$A$1858,$D1144,'Val-Vol (2)'!$V$4:$V$1858,$V1144)/SUMIFS('Comp2016-2017 (3)'!$G$5:$G$289,'Comp2016-2017 (3)'!$A$5:$A$289,$D1144,'Comp2016-2017 (3)'!$R$5:$R$289,$V1144)*$AB1144))</f>
        <v>0</v>
      </c>
      <c r="AF1144" s="222">
        <f>IF($W1144=AF$3,$AB1144,IF(NOT($W1144=0),"",SUMIFS('Val-Vol (2)'!AF$4:AF$1858,'Val-Vol (2)'!$A$4:$A$1858,$D1144,'Val-Vol (2)'!$V$4:$V$1858,$V1144)/SUMIFS('Comp2016-2017 (3)'!$G$5:$G$289,'Comp2016-2017 (3)'!$A$5:$A$289,$D1144,'Comp2016-2017 (3)'!$R$5:$R$289,$V1144)*$AB1144))</f>
        <v>0</v>
      </c>
      <c r="AG1144" s="222">
        <f>IF($W1144=AG$3,$AB1144,IF(NOT($W1144=0),"",SUMIFS('Val-Vol (2)'!AG$4:AG$1858,'Val-Vol (2)'!$A$4:$A$1858,$D1144,'Val-Vol (2)'!$V$4:$V$1858,$V1144)/SUMIFS('Comp2016-2017 (3)'!$G$5:$G$289,'Comp2016-2017 (3)'!$A$5:$A$289,$D1144,'Comp2016-2017 (3)'!$R$5:$R$289,$V1144)*$AB1144))</f>
        <v>0</v>
      </c>
      <c r="AH1144" s="222">
        <f>IF($W1144=AH$3,$AB1144,IF(NOT($W1144=0),"",SUMIFS('Val-Vol (2)'!AH$4:AH$1858,'Val-Vol (2)'!$A$4:$A$1858,$D1144,'Val-Vol (2)'!$V$4:$V$1858,$V1144)/SUMIFS('Comp2016-2017 (3)'!$G$5:$G$289,'Comp2016-2017 (3)'!$A$5:$A$289,$D1144,'Comp2016-2017 (3)'!$R$5:$R$289,$V1144)*$AB1144))</f>
        <v>0</v>
      </c>
      <c r="AI1144" s="222">
        <f>IF($W1144=AI$3,$AB1144,IF(NOT($W1144=0),"",SUMIFS('Val-Vol (2)'!AI$4:AI$1858,'Val-Vol (2)'!$A$4:$A$1858,$D1144,'Val-Vol (2)'!$V$4:$V$1858,$V1144)/SUMIFS('Comp2016-2017 (3)'!$G$5:$G$289,'Comp2016-2017 (3)'!$A$5:$A$289,$D1144,'Comp2016-2017 (3)'!$R$5:$R$289,$V1144)*$AB1144))</f>
        <v>0</v>
      </c>
      <c r="AJ1144" s="222">
        <f>IF($W1144=AJ$3,$AB1144,IF(NOT($W1144=0),"",SUMIFS('Val-Vol (2)'!AJ$4:AJ$1858,'Val-Vol (2)'!$A$4:$A$1858,$D1144,'Val-Vol (2)'!$V$4:$V$1858,$V1144)/SUMIFS('Comp2016-2017 (3)'!$G$5:$G$289,'Comp2016-2017 (3)'!$A$5:$A$289,$D1144,'Comp2016-2017 (3)'!$R$5:$R$289,$V1144)*$AB1144))</f>
        <v>0</v>
      </c>
      <c r="AK1144" s="222">
        <f t="shared" si="147"/>
        <v>-266602.69219175784</v>
      </c>
      <c r="AL1144" s="212" t="str">
        <f t="shared" si="143"/>
        <v/>
      </c>
      <c r="AM1144" s="212" t="str">
        <f>VLOOKUP(A1144,'Table corresp.'!$M$4:$U$63,8,FALSE)</f>
        <v>Production intermédiaire</v>
      </c>
      <c r="AN1144" s="212" t="str">
        <f>VLOOKUP(D1144,'Table corresp.'!$M$4:$U$63,9,FALSE)</f>
        <v>Production intermédiaire</v>
      </c>
    </row>
    <row r="1145" spans="1:40" x14ac:dyDescent="0.25">
      <c r="A1145" t="s">
        <v>81</v>
      </c>
      <c r="B1145" t="str">
        <f>VLOOKUP(LEFT(A1145,3),'Table corresp.'!$A$4:$D$63,3,FALSE)</f>
        <v>Transformation</v>
      </c>
      <c r="C1145" t="str">
        <f>VLOOKUP(A1145,'Table corresp.'!$M$4:$P$63,4,FALSE)</f>
        <v>Production et transformation de produits bois</v>
      </c>
      <c r="D1145" t="s">
        <v>2</v>
      </c>
      <c r="E1145" t="str">
        <f>VLOOKUP(LEFT(D1145,3),'Table corresp.'!$A$4:$D$63,4,FALSE)</f>
        <v>Transformation</v>
      </c>
      <c r="F1145" t="str">
        <f t="shared" si="146"/>
        <v xml:space="preserve">05  - 04 </v>
      </c>
      <c r="G1145" s="213">
        <v>94754.186543489821</v>
      </c>
      <c r="H1145" s="213">
        <v>0</v>
      </c>
      <c r="I1145" s="213">
        <v>94754.186543489821</v>
      </c>
      <c r="J1145" s="215"/>
      <c r="K1145" s="215"/>
      <c r="L1145" s="215"/>
      <c r="M1145" s="215"/>
      <c r="N1145" s="215"/>
      <c r="O1145" s="215"/>
      <c r="P1145" s="215"/>
      <c r="Q1145" s="215"/>
      <c r="R1145" s="215"/>
      <c r="S1145" s="213"/>
      <c r="T1145" s="212">
        <f>VLOOKUP(A1145,'Groupe de branches'!$Z$27:$AM$86,14,FALSE)</f>
        <v>0</v>
      </c>
      <c r="U1145" s="212">
        <f>VLOOKUP(D1145,'Groupe de branches'!$Z$27:$AM$86,14,FALSE)</f>
        <v>0</v>
      </c>
      <c r="V1145" s="212">
        <v>2019</v>
      </c>
      <c r="W1145" s="212" t="str">
        <f>VLOOKUP(D1145,'Table corresp.'!$M$4:$S$63,7,FALSE)</f>
        <v>Energie</v>
      </c>
      <c r="X1145" s="228">
        <f>IFERROR(G1145/SUMIFS('Comp2016-2017 (3)'!$I$5:$I$289,'Comp2016-2017 (3)'!$A$5:$A$289,A1145,'Comp2016-2017 (3)'!$R$5:$R$289,V1145),0)</f>
        <v>8.5712948946281342E-2</v>
      </c>
      <c r="Y1145" s="214">
        <f>IFERROR(IF(RIGHT(F1145,3)="Exp",VLOOKUP(F1145,#REF!,2,FALSE),VLOOKUP(F1145,#REF!,9,FALSE)),1)</f>
        <v>1</v>
      </c>
      <c r="Z1145" s="225">
        <f t="shared" si="144"/>
        <v>5.2631578947368418E-2</v>
      </c>
      <c r="AA1145" s="225">
        <f t="shared" si="140"/>
        <v>4.5112078392779654E-3</v>
      </c>
      <c r="AB1145" s="222">
        <f>IFERROR(SUMIFS('Comp2016-2017 (3)'!$G$5:$G$289,'Comp2016-2017 (3)'!$A$5:$A$289,A1145,'Comp2016-2017 (3)'!$R$5:$R$289,V1145)*AA1145/SUMIFS($AA$4:$AA$1858,$A$4:$A$1858,A1145,$V$4:$V$1858,V1145),0)</f>
        <v>68731.331688722727</v>
      </c>
      <c r="AC1145" s="222" t="str">
        <f>IF($W1145=AC$3,$AB1145,IF(NOT($W1145=0),"",SUMIFS('Val-Vol (2)'!AC$4:AC$1858,'Val-Vol (2)'!$A$4:$A$1858,$D1145,'Val-Vol (2)'!$V$4:$V$1858,$V1145)/SUMIFS('Comp2016-2017 (3)'!$G$5:$G$289,'Comp2016-2017 (3)'!$A$5:$A$289,$D1145,'Comp2016-2017 (3)'!$R$5:$R$289,$V1145)*$AB1145))</f>
        <v/>
      </c>
      <c r="AD1145" s="222" t="str">
        <f>IF($W1145=AD$3,$AB1145,IF(NOT($W1145=0),"",SUMIFS('Val-Vol (2)'!AD$4:AD$1858,'Val-Vol (2)'!$A$4:$A$1858,$D1145,'Val-Vol (2)'!$V$4:$V$1858,$V1145)/SUMIFS('Comp2016-2017 (3)'!$G$5:$G$289,'Comp2016-2017 (3)'!$A$5:$A$289,$D1145,'Comp2016-2017 (3)'!$R$5:$R$289,$V1145)*$AB1145))</f>
        <v/>
      </c>
      <c r="AE1145" s="222" t="str">
        <f>IF($W1145=AE$3,$AB1145,IF(NOT($W1145=0),"",SUMIFS('Val-Vol (2)'!AE$4:AE$1858,'Val-Vol (2)'!$A$4:$A$1858,$D1145,'Val-Vol (2)'!$V$4:$V$1858,$V1145)/SUMIFS('Comp2016-2017 (3)'!$G$5:$G$289,'Comp2016-2017 (3)'!$A$5:$A$289,$D1145,'Comp2016-2017 (3)'!$R$5:$R$289,$V1145)*$AB1145))</f>
        <v/>
      </c>
      <c r="AF1145" s="222" t="str">
        <f>IF($W1145=AF$3,$AB1145,IF(NOT($W1145=0),"",SUMIFS('Val-Vol (2)'!AF$4:AF$1858,'Val-Vol (2)'!$A$4:$A$1858,$D1145,'Val-Vol (2)'!$V$4:$V$1858,$V1145)/SUMIFS('Comp2016-2017 (3)'!$G$5:$G$289,'Comp2016-2017 (3)'!$A$5:$A$289,$D1145,'Comp2016-2017 (3)'!$R$5:$R$289,$V1145)*$AB1145))</f>
        <v/>
      </c>
      <c r="AG1145" s="222" t="str">
        <f>IF($W1145=AG$3,$AB1145,IF(NOT($W1145=0),"",SUMIFS('Val-Vol (2)'!AG$4:AG$1858,'Val-Vol (2)'!$A$4:$A$1858,$D1145,'Val-Vol (2)'!$V$4:$V$1858,$V1145)/SUMIFS('Comp2016-2017 (3)'!$G$5:$G$289,'Comp2016-2017 (3)'!$A$5:$A$289,$D1145,'Comp2016-2017 (3)'!$R$5:$R$289,$V1145)*$AB1145))</f>
        <v/>
      </c>
      <c r="AH1145" s="222">
        <f>IF($W1145=AH$3,$AB1145,IF(NOT($W1145=0),"",SUMIFS('Val-Vol (2)'!AH$4:AH$1858,'Val-Vol (2)'!$A$4:$A$1858,$D1145,'Val-Vol (2)'!$V$4:$V$1858,$V1145)/SUMIFS('Comp2016-2017 (3)'!$G$5:$G$289,'Comp2016-2017 (3)'!$A$5:$A$289,$D1145,'Comp2016-2017 (3)'!$R$5:$R$289,$V1145)*$AB1145))</f>
        <v>68731.331688722727</v>
      </c>
      <c r="AI1145" s="222" t="str">
        <f>IF($W1145=AI$3,$AB1145,IF(NOT($W1145=0),"",SUMIFS('Val-Vol (2)'!AI$4:AI$1858,'Val-Vol (2)'!$A$4:$A$1858,$D1145,'Val-Vol (2)'!$V$4:$V$1858,$V1145)/SUMIFS('Comp2016-2017 (3)'!$G$5:$G$289,'Comp2016-2017 (3)'!$A$5:$A$289,$D1145,'Comp2016-2017 (3)'!$R$5:$R$289,$V1145)*$AB1145))</f>
        <v/>
      </c>
      <c r="AJ1145" s="222" t="str">
        <f>IF($W1145=AJ$3,$AB1145,IF(NOT($W1145=0),"",SUMIFS('Val-Vol (2)'!AJ$4:AJ$1858,'Val-Vol (2)'!$A$4:$A$1858,$D1145,'Val-Vol (2)'!$V$4:$V$1858,$V1145)/SUMIFS('Comp2016-2017 (3)'!$G$5:$G$289,'Comp2016-2017 (3)'!$A$5:$A$289,$D1145,'Comp2016-2017 (3)'!$R$5:$R$289,$V1145)*$AB1145))</f>
        <v/>
      </c>
      <c r="AK1145" s="222">
        <f t="shared" si="147"/>
        <v>0</v>
      </c>
      <c r="AL1145" s="212" t="str">
        <f t="shared" si="143"/>
        <v/>
      </c>
      <c r="AM1145" s="212" t="str">
        <f>VLOOKUP(A1145,'Table corresp.'!$M$4:$U$63,8,FALSE)</f>
        <v>Production intermédiaire</v>
      </c>
      <c r="AN1145" s="212" t="str">
        <f>VLOOKUP(D1145,'Table corresp.'!$M$4:$U$63,9,FALSE)</f>
        <v>Production intermédiaire</v>
      </c>
    </row>
    <row r="1146" spans="1:40" x14ac:dyDescent="0.25">
      <c r="A1146" t="s">
        <v>81</v>
      </c>
      <c r="B1146" t="str">
        <f>VLOOKUP(LEFT(A1146,3),'Table corresp.'!$A$4:$D$63,3,FALSE)</f>
        <v>Transformation</v>
      </c>
      <c r="C1146" t="str">
        <f>VLOOKUP(A1146,'Table corresp.'!$M$4:$P$63,4,FALSE)</f>
        <v>Production et transformation de produits bois</v>
      </c>
      <c r="D1146" t="s">
        <v>3</v>
      </c>
      <c r="E1146" t="str">
        <f>VLOOKUP(LEFT(D1146,3),'Table corresp.'!$A$4:$D$63,4,FALSE)</f>
        <v>Transformation</v>
      </c>
      <c r="F1146" t="str">
        <f t="shared" si="146"/>
        <v xml:space="preserve">05  - 06 </v>
      </c>
      <c r="G1146" s="213">
        <v>101593.98577239382</v>
      </c>
      <c r="H1146" s="213">
        <v>0</v>
      </c>
      <c r="I1146" s="213">
        <v>101593.98577239382</v>
      </c>
      <c r="J1146" s="215"/>
      <c r="K1146" s="215"/>
      <c r="L1146" s="215"/>
      <c r="M1146" s="215"/>
      <c r="N1146" s="215"/>
      <c r="O1146" s="215"/>
      <c r="P1146" s="215"/>
      <c r="Q1146" s="215"/>
      <c r="R1146" s="215"/>
      <c r="S1146" s="213"/>
      <c r="T1146" s="212">
        <f>VLOOKUP(A1146,'Groupe de branches'!$Z$27:$AM$86,14,FALSE)</f>
        <v>0</v>
      </c>
      <c r="U1146" s="212">
        <f>VLOOKUP(D1146,'Groupe de branches'!$Z$27:$AM$86,14,FALSE)</f>
        <v>0</v>
      </c>
      <c r="V1146" s="212">
        <v>2019</v>
      </c>
      <c r="W1146" s="212">
        <f>VLOOKUP(D1146,'Table corresp.'!$M$4:$S$63,7,FALSE)</f>
        <v>0</v>
      </c>
      <c r="X1146" s="228">
        <f>IFERROR(G1146/SUMIFS('Comp2016-2017 (3)'!$I$5:$I$289,'Comp2016-2017 (3)'!$A$5:$A$289,A1146,'Comp2016-2017 (3)'!$R$5:$R$289,V1146),0)</f>
        <v>9.1900109466526894E-2</v>
      </c>
      <c r="Y1146" s="214">
        <f>IFERROR(IF(RIGHT(F1146,3)="Exp",VLOOKUP(F1146,#REF!,2,FALSE),VLOOKUP(F1146,#REF!,9,FALSE)),1)</f>
        <v>1</v>
      </c>
      <c r="Z1146" s="225">
        <f t="shared" si="144"/>
        <v>5.2631578947368418E-2</v>
      </c>
      <c r="AA1146" s="225">
        <f t="shared" si="140"/>
        <v>4.8368478666593103E-3</v>
      </c>
      <c r="AB1146" s="222">
        <f>IFERROR(SUMIFS('Comp2016-2017 (3)'!$G$5:$G$289,'Comp2016-2017 (3)'!$A$5:$A$289,A1146,'Comp2016-2017 (3)'!$R$5:$R$289,V1146)*AA1146/SUMIFS($AA$4:$AA$1858,$A$4:$A$1858,A1146,$V$4:$V$1858,V1146),0)</f>
        <v>73692.679853220994</v>
      </c>
      <c r="AC1146" s="222">
        <f>IF($W1146=AC$3,$AB1146,IF(NOT($W1146=0),"",SUMIFS('Val-Vol (2)'!AC$4:AC$1858,'Val-Vol (2)'!$A$4:$A$1858,$D1146,'Val-Vol (2)'!$V$4:$V$1858,$V1146)/SUMIFS('Comp2016-2017 (3)'!$G$5:$G$289,'Comp2016-2017 (3)'!$A$5:$A$289,$D1146,'Comp2016-2017 (3)'!$R$5:$R$289,$V1146)*$AB1146))</f>
        <v>5572.873437093358</v>
      </c>
      <c r="AD1146" s="222">
        <f>IF($W1146=AD$3,$AB1146,IF(NOT($W1146=0),"",SUMIFS('Val-Vol (2)'!AD$4:AD$1858,'Val-Vol (2)'!$A$4:$A$1858,$D1146,'Val-Vol (2)'!$V$4:$V$1858,$V1146)/SUMIFS('Comp2016-2017 (3)'!$G$5:$G$289,'Comp2016-2017 (3)'!$A$5:$A$289,$D1146,'Comp2016-2017 (3)'!$R$5:$R$289,$V1146)*$AB1146))</f>
        <v>279.40735968622346</v>
      </c>
      <c r="AE1146" s="222">
        <f>IF($W1146=AE$3,$AB1146,IF(NOT($W1146=0),"",SUMIFS('Val-Vol (2)'!AE$4:AE$1858,'Val-Vol (2)'!$A$4:$A$1858,$D1146,'Val-Vol (2)'!$V$4:$V$1858,$V1146)/SUMIFS('Comp2016-2017 (3)'!$G$5:$G$289,'Comp2016-2017 (3)'!$A$5:$A$289,$D1146,'Comp2016-2017 (3)'!$R$5:$R$289,$V1146)*$AB1146))</f>
        <v>0</v>
      </c>
      <c r="AF1146" s="222">
        <f>IF($W1146=AF$3,$AB1146,IF(NOT($W1146=0),"",SUMIFS('Val-Vol (2)'!AF$4:AF$1858,'Val-Vol (2)'!$A$4:$A$1858,$D1146,'Val-Vol (2)'!$V$4:$V$1858,$V1146)/SUMIFS('Comp2016-2017 (3)'!$G$5:$G$289,'Comp2016-2017 (3)'!$A$5:$A$289,$D1146,'Comp2016-2017 (3)'!$R$5:$R$289,$V1146)*$AB1146))</f>
        <v>4452.6197631469895</v>
      </c>
      <c r="AG1146" s="222">
        <f>IF($W1146=AG$3,$AB1146,IF(NOT($W1146=0),"",SUMIFS('Val-Vol (2)'!AG$4:AG$1858,'Val-Vol (2)'!$A$4:$A$1858,$D1146,'Val-Vol (2)'!$V$4:$V$1858,$V1146)/SUMIFS('Comp2016-2017 (3)'!$G$5:$G$289,'Comp2016-2017 (3)'!$A$5:$A$289,$D1146,'Comp2016-2017 (3)'!$R$5:$R$289,$V1146)*$AB1146))</f>
        <v>1785.633845486743</v>
      </c>
      <c r="AH1146" s="222">
        <f>IF($W1146=AH$3,$AB1146,IF(NOT($W1146=0),"",SUMIFS('Val-Vol (2)'!AH$4:AH$1858,'Val-Vol (2)'!$A$4:$A$1858,$D1146,'Val-Vol (2)'!$V$4:$V$1858,$V1146)/SUMIFS('Comp2016-2017 (3)'!$G$5:$G$289,'Comp2016-2017 (3)'!$A$5:$A$289,$D1146,'Comp2016-2017 (3)'!$R$5:$R$289,$V1146)*$AB1146))</f>
        <v>13621.875851494735</v>
      </c>
      <c r="AI1146" s="222">
        <f>IF($W1146=AI$3,$AB1146,IF(NOT($W1146=0),"",SUMIFS('Val-Vol (2)'!AI$4:AI$1858,'Val-Vol (2)'!$A$4:$A$1858,$D1146,'Val-Vol (2)'!$V$4:$V$1858,$V1146)/SUMIFS('Comp2016-2017 (3)'!$G$5:$G$289,'Comp2016-2017 (3)'!$A$5:$A$289,$D1146,'Comp2016-2017 (3)'!$R$5:$R$289,$V1146)*$AB1146))</f>
        <v>892.09745435301386</v>
      </c>
      <c r="AJ1146" s="222">
        <f>IF($W1146=AJ$3,$AB1146,IF(NOT($W1146=0),"",SUMIFS('Val-Vol (2)'!AJ$4:AJ$1858,'Val-Vol (2)'!$A$4:$A$1858,$D1146,'Val-Vol (2)'!$V$4:$V$1858,$V1146)/SUMIFS('Comp2016-2017 (3)'!$G$5:$G$289,'Comp2016-2017 (3)'!$A$5:$A$289,$D1146,'Comp2016-2017 (3)'!$R$5:$R$289,$V1146)*$AB1146))</f>
        <v>0</v>
      </c>
      <c r="AK1146" s="222">
        <f t="shared" si="147"/>
        <v>-47088.172141959934</v>
      </c>
      <c r="AL1146" s="212" t="str">
        <f t="shared" si="143"/>
        <v/>
      </c>
      <c r="AM1146" s="212" t="str">
        <f>VLOOKUP(A1146,'Table corresp.'!$M$4:$U$63,8,FALSE)</f>
        <v>Production intermédiaire</v>
      </c>
      <c r="AN1146" s="212" t="str">
        <f>VLOOKUP(D1146,'Table corresp.'!$M$4:$U$63,9,FALSE)</f>
        <v>Production intermédiaire</v>
      </c>
    </row>
    <row r="1147" spans="1:40" x14ac:dyDescent="0.25">
      <c r="A1147" t="s">
        <v>81</v>
      </c>
      <c r="B1147" t="str">
        <f>VLOOKUP(LEFT(A1147,3),'Table corresp.'!$A$4:$D$63,3,FALSE)</f>
        <v>Transformation</v>
      </c>
      <c r="C1147" t="str">
        <f>VLOOKUP(A1147,'Table corresp.'!$M$4:$P$63,4,FALSE)</f>
        <v>Production et transformation de produits bois</v>
      </c>
      <c r="D1147" t="s">
        <v>4</v>
      </c>
      <c r="E1147" t="str">
        <f>VLOOKUP(LEFT(D1147,3),'Table corresp.'!$A$4:$D$63,4,FALSE)</f>
        <v>Transformation</v>
      </c>
      <c r="F1147" t="str">
        <f t="shared" si="146"/>
        <v xml:space="preserve">05  - 08 </v>
      </c>
      <c r="G1147" s="213">
        <v>24538.928080512705</v>
      </c>
      <c r="H1147" s="213">
        <v>0</v>
      </c>
      <c r="I1147" s="213">
        <v>24538.928080512705</v>
      </c>
      <c r="J1147" s="215"/>
      <c r="K1147" s="215"/>
      <c r="L1147" s="215"/>
      <c r="M1147" s="215"/>
      <c r="N1147" s="215"/>
      <c r="O1147" s="215"/>
      <c r="P1147" s="215"/>
      <c r="Q1147" s="215"/>
      <c r="R1147" s="215"/>
      <c r="S1147" s="213"/>
      <c r="T1147" s="212">
        <f>VLOOKUP(A1147,'Groupe de branches'!$Z$27:$AM$86,14,FALSE)</f>
        <v>0</v>
      </c>
      <c r="U1147" s="212">
        <f>VLOOKUP(D1147,'Groupe de branches'!$Z$27:$AM$86,14,FALSE)</f>
        <v>0</v>
      </c>
      <c r="V1147" s="212">
        <v>2019</v>
      </c>
      <c r="W1147" s="212">
        <f>VLOOKUP(D1147,'Table corresp.'!$M$4:$S$63,7,FALSE)</f>
        <v>0</v>
      </c>
      <c r="X1147" s="228">
        <f>IFERROR(G1147/SUMIFS('Comp2016-2017 (3)'!$I$5:$I$289,'Comp2016-2017 (3)'!$A$5:$A$289,A1147,'Comp2016-2017 (3)'!$R$5:$R$289,V1147),0)</f>
        <v>2.219747714045427E-2</v>
      </c>
      <c r="Y1147" s="214">
        <f>IFERROR(IF(RIGHT(F1147,3)="Exp",VLOOKUP(F1147,#REF!,2,FALSE),VLOOKUP(F1147,#REF!,9,FALSE)),1)</f>
        <v>1</v>
      </c>
      <c r="Z1147" s="225">
        <f t="shared" si="144"/>
        <v>5.2631578947368418E-2</v>
      </c>
      <c r="AA1147" s="225">
        <f t="shared" si="140"/>
        <v>1.1682882705502248E-3</v>
      </c>
      <c r="AB1147" s="222">
        <f>IFERROR(SUMIFS('Comp2016-2017 (3)'!$G$5:$G$289,'Comp2016-2017 (3)'!$A$5:$A$289,A1147,'Comp2016-2017 (3)'!$R$5:$R$289,V1147)*AA1147/SUMIFS($AA$4:$AA$1858,$A$4:$A$1858,A1147,$V$4:$V$1858,V1147),0)</f>
        <v>17799.669510257747</v>
      </c>
      <c r="AC1147" s="222">
        <f>IF($W1147=AC$3,$AB1147,IF(NOT($W1147=0),"",SUMIFS('Val-Vol (2)'!AC$4:AC$1858,'Val-Vol (2)'!$A$4:$A$1858,$D1147,'Val-Vol (2)'!$V$4:$V$1858,$V1147)/SUMIFS('Comp2016-2017 (3)'!$G$5:$G$289,'Comp2016-2017 (3)'!$A$5:$A$289,$D1147,'Comp2016-2017 (3)'!$R$5:$R$289,$V1147)*$AB1147))</f>
        <v>0</v>
      </c>
      <c r="AD1147" s="222">
        <f>IF($W1147=AD$3,$AB1147,IF(NOT($W1147=0),"",SUMIFS('Val-Vol (2)'!AD$4:AD$1858,'Val-Vol (2)'!$A$4:$A$1858,$D1147,'Val-Vol (2)'!$V$4:$V$1858,$V1147)/SUMIFS('Comp2016-2017 (3)'!$G$5:$G$289,'Comp2016-2017 (3)'!$A$5:$A$289,$D1147,'Comp2016-2017 (3)'!$R$5:$R$289,$V1147)*$AB1147))</f>
        <v>0</v>
      </c>
      <c r="AE1147" s="222">
        <f>IF($W1147=AE$3,$AB1147,IF(NOT($W1147=0),"",SUMIFS('Val-Vol (2)'!AE$4:AE$1858,'Val-Vol (2)'!$A$4:$A$1858,$D1147,'Val-Vol (2)'!$V$4:$V$1858,$V1147)/SUMIFS('Comp2016-2017 (3)'!$G$5:$G$289,'Comp2016-2017 (3)'!$A$5:$A$289,$D1147,'Comp2016-2017 (3)'!$R$5:$R$289,$V1147)*$AB1147))</f>
        <v>0</v>
      </c>
      <c r="AF1147" s="222">
        <f>IF($W1147=AF$3,$AB1147,IF(NOT($W1147=0),"",SUMIFS('Val-Vol (2)'!AF$4:AF$1858,'Val-Vol (2)'!$A$4:$A$1858,$D1147,'Val-Vol (2)'!$V$4:$V$1858,$V1147)/SUMIFS('Comp2016-2017 (3)'!$G$5:$G$289,'Comp2016-2017 (3)'!$A$5:$A$289,$D1147,'Comp2016-2017 (3)'!$R$5:$R$289,$V1147)*$AB1147))</f>
        <v>0</v>
      </c>
      <c r="AG1147" s="222">
        <f>IF($W1147=AG$3,$AB1147,IF(NOT($W1147=0),"",SUMIFS('Val-Vol (2)'!AG$4:AG$1858,'Val-Vol (2)'!$A$4:$A$1858,$D1147,'Val-Vol (2)'!$V$4:$V$1858,$V1147)/SUMIFS('Comp2016-2017 (3)'!$G$5:$G$289,'Comp2016-2017 (3)'!$A$5:$A$289,$D1147,'Comp2016-2017 (3)'!$R$5:$R$289,$V1147)*$AB1147))</f>
        <v>0</v>
      </c>
      <c r="AH1147" s="222">
        <f>IF($W1147=AH$3,$AB1147,IF(NOT($W1147=0),"",SUMIFS('Val-Vol (2)'!AH$4:AH$1858,'Val-Vol (2)'!$A$4:$A$1858,$D1147,'Val-Vol (2)'!$V$4:$V$1858,$V1147)/SUMIFS('Comp2016-2017 (3)'!$G$5:$G$289,'Comp2016-2017 (3)'!$A$5:$A$289,$D1147,'Comp2016-2017 (3)'!$R$5:$R$289,$V1147)*$AB1147))</f>
        <v>0</v>
      </c>
      <c r="AI1147" s="222">
        <f>IF($W1147=AI$3,$AB1147,IF(NOT($W1147=0),"",SUMIFS('Val-Vol (2)'!AI$4:AI$1858,'Val-Vol (2)'!$A$4:$A$1858,$D1147,'Val-Vol (2)'!$V$4:$V$1858,$V1147)/SUMIFS('Comp2016-2017 (3)'!$G$5:$G$289,'Comp2016-2017 (3)'!$A$5:$A$289,$D1147,'Comp2016-2017 (3)'!$R$5:$R$289,$V1147)*$AB1147))</f>
        <v>0</v>
      </c>
      <c r="AJ1147" s="222">
        <f>IF($W1147=AJ$3,$AB1147,IF(NOT($W1147=0),"",SUMIFS('Val-Vol (2)'!AJ$4:AJ$1858,'Val-Vol (2)'!$A$4:$A$1858,$D1147,'Val-Vol (2)'!$V$4:$V$1858,$V1147)/SUMIFS('Comp2016-2017 (3)'!$G$5:$G$289,'Comp2016-2017 (3)'!$A$5:$A$289,$D1147,'Comp2016-2017 (3)'!$R$5:$R$289,$V1147)*$AB1147))</f>
        <v>0</v>
      </c>
      <c r="AK1147" s="222">
        <f t="shared" si="147"/>
        <v>-17799.669510257747</v>
      </c>
      <c r="AL1147" s="212" t="str">
        <f t="shared" si="143"/>
        <v/>
      </c>
      <c r="AM1147" s="212" t="str">
        <f>VLOOKUP(A1147,'Table corresp.'!$M$4:$U$63,8,FALSE)</f>
        <v>Production intermédiaire</v>
      </c>
      <c r="AN1147" s="212" t="str">
        <f>VLOOKUP(D1147,'Table corresp.'!$M$4:$U$63,9,FALSE)</f>
        <v>Production intermédiaire</v>
      </c>
    </row>
    <row r="1148" spans="1:40" x14ac:dyDescent="0.25">
      <c r="A1148" t="s">
        <v>81</v>
      </c>
      <c r="B1148" t="str">
        <f>VLOOKUP(LEFT(A1148,3),'Table corresp.'!$A$4:$D$63,3,FALSE)</f>
        <v>Transformation</v>
      </c>
      <c r="C1148" t="str">
        <f>VLOOKUP(A1148,'Table corresp.'!$M$4:$P$63,4,FALSE)</f>
        <v>Production et transformation de produits bois</v>
      </c>
      <c r="D1148" t="s">
        <v>5</v>
      </c>
      <c r="E1148" t="str">
        <f>VLOOKUP(LEFT(D1148,3),'Table corresp.'!$A$4:$D$63,4,FALSE)</f>
        <v>Transformation</v>
      </c>
      <c r="F1148" t="str">
        <f t="shared" si="146"/>
        <v xml:space="preserve">05  - 09 </v>
      </c>
      <c r="G1148" s="213">
        <v>10647.225814024512</v>
      </c>
      <c r="H1148" s="213">
        <v>0</v>
      </c>
      <c r="I1148" s="213">
        <v>10647.225814024512</v>
      </c>
      <c r="J1148" s="215"/>
      <c r="K1148" s="215"/>
      <c r="L1148" s="215"/>
      <c r="M1148" s="215"/>
      <c r="N1148" s="215"/>
      <c r="O1148" s="215"/>
      <c r="P1148" s="215"/>
      <c r="Q1148" s="215"/>
      <c r="R1148" s="215"/>
      <c r="S1148" s="213"/>
      <c r="T1148" s="212">
        <f>VLOOKUP(A1148,'Groupe de branches'!$Z$27:$AM$86,14,FALSE)</f>
        <v>0</v>
      </c>
      <c r="U1148" s="212">
        <f>VLOOKUP(D1148,'Groupe de branches'!$Z$27:$AM$86,14,FALSE)</f>
        <v>0</v>
      </c>
      <c r="V1148" s="212">
        <v>2019</v>
      </c>
      <c r="W1148" s="212">
        <f>VLOOKUP(D1148,'Table corresp.'!$M$4:$S$63,7,FALSE)</f>
        <v>0</v>
      </c>
      <c r="X1148" s="228">
        <f>IFERROR(G1148/SUMIFS('Comp2016-2017 (3)'!$I$5:$I$289,'Comp2016-2017 (3)'!$A$5:$A$289,A1148,'Comp2016-2017 (3)'!$R$5:$R$289,V1148),0)</f>
        <v>9.6312907736076508E-3</v>
      </c>
      <c r="Y1148" s="214">
        <f>IFERROR(IF(RIGHT(F1148,3)="Exp",VLOOKUP(F1148,#REF!,2,FALSE),VLOOKUP(F1148,#REF!,9,FALSE)),1)</f>
        <v>1</v>
      </c>
      <c r="Z1148" s="225">
        <f t="shared" si="144"/>
        <v>5.2631578947368418E-2</v>
      </c>
      <c r="AA1148" s="225">
        <f t="shared" si="140"/>
        <v>5.0691004071619209E-4</v>
      </c>
      <c r="AB1148" s="222">
        <f>IFERROR(SUMIFS('Comp2016-2017 (3)'!$G$5:$G$289,'Comp2016-2017 (3)'!$A$5:$A$289,A1148,'Comp2016-2017 (3)'!$R$5:$R$289,V1148)*AA1148/SUMIFS($AA$4:$AA$1858,$A$4:$A$1858,A1148,$V$4:$V$1858,V1148),0)</f>
        <v>7723.1205890050269</v>
      </c>
      <c r="AC1148" s="222">
        <f>IF($W1148=AC$3,$AB1148,IF(NOT($W1148=0),"",SUMIFS('Val-Vol (2)'!AC$4:AC$1858,'Val-Vol (2)'!$A$4:$A$1858,$D1148,'Val-Vol (2)'!$V$4:$V$1858,$V1148)/SUMIFS('Comp2016-2017 (3)'!$G$5:$G$289,'Comp2016-2017 (3)'!$A$5:$A$289,$D1148,'Comp2016-2017 (3)'!$R$5:$R$289,$V1148)*$AB1148))</f>
        <v>0</v>
      </c>
      <c r="AD1148" s="222">
        <f>IF($W1148=AD$3,$AB1148,IF(NOT($W1148=0),"",SUMIFS('Val-Vol (2)'!AD$4:AD$1858,'Val-Vol (2)'!$A$4:$A$1858,$D1148,'Val-Vol (2)'!$V$4:$V$1858,$V1148)/SUMIFS('Comp2016-2017 (3)'!$G$5:$G$289,'Comp2016-2017 (3)'!$A$5:$A$289,$D1148,'Comp2016-2017 (3)'!$R$5:$R$289,$V1148)*$AB1148))</f>
        <v>0</v>
      </c>
      <c r="AE1148" s="222">
        <f>IF($W1148=AE$3,$AB1148,IF(NOT($W1148=0),"",SUMIFS('Val-Vol (2)'!AE$4:AE$1858,'Val-Vol (2)'!$A$4:$A$1858,$D1148,'Val-Vol (2)'!$V$4:$V$1858,$V1148)/SUMIFS('Comp2016-2017 (3)'!$G$5:$G$289,'Comp2016-2017 (3)'!$A$5:$A$289,$D1148,'Comp2016-2017 (3)'!$R$5:$R$289,$V1148)*$AB1148))</f>
        <v>0</v>
      </c>
      <c r="AF1148" s="222">
        <f>IF($W1148=AF$3,$AB1148,IF(NOT($W1148=0),"",SUMIFS('Val-Vol (2)'!AF$4:AF$1858,'Val-Vol (2)'!$A$4:$A$1858,$D1148,'Val-Vol (2)'!$V$4:$V$1858,$V1148)/SUMIFS('Comp2016-2017 (3)'!$G$5:$G$289,'Comp2016-2017 (3)'!$A$5:$A$289,$D1148,'Comp2016-2017 (3)'!$R$5:$R$289,$V1148)*$AB1148))</f>
        <v>0</v>
      </c>
      <c r="AG1148" s="222">
        <f>IF($W1148=AG$3,$AB1148,IF(NOT($W1148=0),"",SUMIFS('Val-Vol (2)'!AG$4:AG$1858,'Val-Vol (2)'!$A$4:$A$1858,$D1148,'Val-Vol (2)'!$V$4:$V$1858,$V1148)/SUMIFS('Comp2016-2017 (3)'!$G$5:$G$289,'Comp2016-2017 (3)'!$A$5:$A$289,$D1148,'Comp2016-2017 (3)'!$R$5:$R$289,$V1148)*$AB1148))</f>
        <v>0</v>
      </c>
      <c r="AH1148" s="222">
        <f>IF($W1148=AH$3,$AB1148,IF(NOT($W1148=0),"",SUMIFS('Val-Vol (2)'!AH$4:AH$1858,'Val-Vol (2)'!$A$4:$A$1858,$D1148,'Val-Vol (2)'!$V$4:$V$1858,$V1148)/SUMIFS('Comp2016-2017 (3)'!$G$5:$G$289,'Comp2016-2017 (3)'!$A$5:$A$289,$D1148,'Comp2016-2017 (3)'!$R$5:$R$289,$V1148)*$AB1148))</f>
        <v>0</v>
      </c>
      <c r="AI1148" s="222">
        <f>IF($W1148=AI$3,$AB1148,IF(NOT($W1148=0),"",SUMIFS('Val-Vol (2)'!AI$4:AI$1858,'Val-Vol (2)'!$A$4:$A$1858,$D1148,'Val-Vol (2)'!$V$4:$V$1858,$V1148)/SUMIFS('Comp2016-2017 (3)'!$G$5:$G$289,'Comp2016-2017 (3)'!$A$5:$A$289,$D1148,'Comp2016-2017 (3)'!$R$5:$R$289,$V1148)*$AB1148))</f>
        <v>0</v>
      </c>
      <c r="AJ1148" s="222">
        <f>IF($W1148=AJ$3,$AB1148,IF(NOT($W1148=0),"",SUMIFS('Val-Vol (2)'!AJ$4:AJ$1858,'Val-Vol (2)'!$A$4:$A$1858,$D1148,'Val-Vol (2)'!$V$4:$V$1858,$V1148)/SUMIFS('Comp2016-2017 (3)'!$G$5:$G$289,'Comp2016-2017 (3)'!$A$5:$A$289,$D1148,'Comp2016-2017 (3)'!$R$5:$R$289,$V1148)*$AB1148))</f>
        <v>0</v>
      </c>
      <c r="AK1148" s="222">
        <f t="shared" si="147"/>
        <v>-7723.1205890050269</v>
      </c>
      <c r="AL1148" s="212" t="str">
        <f t="shared" si="143"/>
        <v/>
      </c>
      <c r="AM1148" s="212" t="str">
        <f>VLOOKUP(A1148,'Table corresp.'!$M$4:$U$63,8,FALSE)</f>
        <v>Production intermédiaire</v>
      </c>
      <c r="AN1148" s="212" t="str">
        <f>VLOOKUP(D1148,'Table corresp.'!$M$4:$U$63,9,FALSE)</f>
        <v>Production intermédiaire</v>
      </c>
    </row>
    <row r="1149" spans="1:40" x14ac:dyDescent="0.25">
      <c r="A1149" t="s">
        <v>81</v>
      </c>
      <c r="B1149" t="str">
        <f>VLOOKUP(LEFT(A1149,3),'Table corresp.'!$A$4:$D$63,3,FALSE)</f>
        <v>Transformation</v>
      </c>
      <c r="C1149" t="str">
        <f>VLOOKUP(A1149,'Table corresp.'!$M$4:$P$63,4,FALSE)</f>
        <v>Production et transformation de produits bois</v>
      </c>
      <c r="D1149" t="s">
        <v>82</v>
      </c>
      <c r="E1149" t="str">
        <f>VLOOKUP(LEFT(D1149,3),'Table corresp.'!$A$4:$D$63,4,FALSE)</f>
        <v>Transformation</v>
      </c>
      <c r="F1149" t="str">
        <f t="shared" si="146"/>
        <v xml:space="preserve">05  - 10 </v>
      </c>
      <c r="G1149" s="213">
        <v>9078.4093335961334</v>
      </c>
      <c r="H1149" s="213">
        <v>0</v>
      </c>
      <c r="I1149" s="213">
        <v>9078.4093335961334</v>
      </c>
      <c r="J1149" s="215"/>
      <c r="K1149" s="215"/>
      <c r="L1149" s="215"/>
      <c r="M1149" s="215"/>
      <c r="N1149" s="215"/>
      <c r="O1149" s="215"/>
      <c r="P1149" s="215"/>
      <c r="Q1149" s="215"/>
      <c r="R1149" s="215"/>
      <c r="S1149" s="213"/>
      <c r="T1149" s="212">
        <f>VLOOKUP(A1149,'Groupe de branches'!$Z$27:$AM$86,14,FALSE)</f>
        <v>0</v>
      </c>
      <c r="U1149" s="212">
        <f>VLOOKUP(D1149,'Groupe de branches'!$Z$27:$AM$86,14,FALSE)</f>
        <v>0</v>
      </c>
      <c r="V1149" s="212">
        <v>2019</v>
      </c>
      <c r="W1149" s="212">
        <f>VLOOKUP(D1149,'Table corresp.'!$M$4:$S$63,7,FALSE)</f>
        <v>0</v>
      </c>
      <c r="X1149" s="228">
        <f>IFERROR(G1149/SUMIFS('Comp2016-2017 (3)'!$I$5:$I$289,'Comp2016-2017 (3)'!$A$5:$A$289,A1149,'Comp2016-2017 (3)'!$R$5:$R$289,V1149),0)</f>
        <v>8.2121673364461169E-3</v>
      </c>
      <c r="Y1149" s="214">
        <f>IFERROR(IF(RIGHT(F1149,3)="Exp",VLOOKUP(F1149,#REF!,2,FALSE),VLOOKUP(F1149,#REF!,9,FALSE)),1)</f>
        <v>1</v>
      </c>
      <c r="Z1149" s="225">
        <f t="shared" si="144"/>
        <v>5.2631578947368418E-2</v>
      </c>
      <c r="AA1149" s="225">
        <f t="shared" si="140"/>
        <v>4.3221933349716404E-4</v>
      </c>
      <c r="AB1149" s="222">
        <f>IFERROR(SUMIFS('Comp2016-2017 (3)'!$G$5:$G$289,'Comp2016-2017 (3)'!$A$5:$A$289,A1149,'Comp2016-2017 (3)'!$R$5:$R$289,V1149)*AA1149/SUMIFS($AA$4:$AA$1858,$A$4:$A$1858,A1149,$V$4:$V$1858,V1149),0)</f>
        <v>6585.1566656319146</v>
      </c>
      <c r="AC1149" s="222">
        <f>IF($W1149=AC$3,$AB1149,IF(NOT($W1149=0),"",SUMIFS('Val-Vol (2)'!AC$4:AC$1858,'Val-Vol (2)'!$A$4:$A$1858,$D1149,'Val-Vol (2)'!$V$4:$V$1858,$V1149)/SUMIFS('Comp2016-2017 (3)'!$G$5:$G$289,'Comp2016-2017 (3)'!$A$5:$A$289,$D1149,'Comp2016-2017 (3)'!$R$5:$R$289,$V1149)*$AB1149))</f>
        <v>0</v>
      </c>
      <c r="AD1149" s="222">
        <f>IF($W1149=AD$3,$AB1149,IF(NOT($W1149=0),"",SUMIFS('Val-Vol (2)'!AD$4:AD$1858,'Val-Vol (2)'!$A$4:$A$1858,$D1149,'Val-Vol (2)'!$V$4:$V$1858,$V1149)/SUMIFS('Comp2016-2017 (3)'!$G$5:$G$289,'Comp2016-2017 (3)'!$A$5:$A$289,$D1149,'Comp2016-2017 (3)'!$R$5:$R$289,$V1149)*$AB1149))</f>
        <v>0</v>
      </c>
      <c r="AE1149" s="222">
        <f>IF($W1149=AE$3,$AB1149,IF(NOT($W1149=0),"",SUMIFS('Val-Vol (2)'!AE$4:AE$1858,'Val-Vol (2)'!$A$4:$A$1858,$D1149,'Val-Vol (2)'!$V$4:$V$1858,$V1149)/SUMIFS('Comp2016-2017 (3)'!$G$5:$G$289,'Comp2016-2017 (3)'!$A$5:$A$289,$D1149,'Comp2016-2017 (3)'!$R$5:$R$289,$V1149)*$AB1149))</f>
        <v>0</v>
      </c>
      <c r="AF1149" s="222">
        <f>IF($W1149=AF$3,$AB1149,IF(NOT($W1149=0),"",SUMIFS('Val-Vol (2)'!AF$4:AF$1858,'Val-Vol (2)'!$A$4:$A$1858,$D1149,'Val-Vol (2)'!$V$4:$V$1858,$V1149)/SUMIFS('Comp2016-2017 (3)'!$G$5:$G$289,'Comp2016-2017 (3)'!$A$5:$A$289,$D1149,'Comp2016-2017 (3)'!$R$5:$R$289,$V1149)*$AB1149))</f>
        <v>0</v>
      </c>
      <c r="AG1149" s="222">
        <f>IF($W1149=AG$3,$AB1149,IF(NOT($W1149=0),"",SUMIFS('Val-Vol (2)'!AG$4:AG$1858,'Val-Vol (2)'!$A$4:$A$1858,$D1149,'Val-Vol (2)'!$V$4:$V$1858,$V1149)/SUMIFS('Comp2016-2017 (3)'!$G$5:$G$289,'Comp2016-2017 (3)'!$A$5:$A$289,$D1149,'Comp2016-2017 (3)'!$R$5:$R$289,$V1149)*$AB1149))</f>
        <v>0</v>
      </c>
      <c r="AH1149" s="222">
        <f>IF($W1149=AH$3,$AB1149,IF(NOT($W1149=0),"",SUMIFS('Val-Vol (2)'!AH$4:AH$1858,'Val-Vol (2)'!$A$4:$A$1858,$D1149,'Val-Vol (2)'!$V$4:$V$1858,$V1149)/SUMIFS('Comp2016-2017 (3)'!$G$5:$G$289,'Comp2016-2017 (3)'!$A$5:$A$289,$D1149,'Comp2016-2017 (3)'!$R$5:$R$289,$V1149)*$AB1149))</f>
        <v>0</v>
      </c>
      <c r="AI1149" s="222">
        <f>IF($W1149=AI$3,$AB1149,IF(NOT($W1149=0),"",SUMIFS('Val-Vol (2)'!AI$4:AI$1858,'Val-Vol (2)'!$A$4:$A$1858,$D1149,'Val-Vol (2)'!$V$4:$V$1858,$V1149)/SUMIFS('Comp2016-2017 (3)'!$G$5:$G$289,'Comp2016-2017 (3)'!$A$5:$A$289,$D1149,'Comp2016-2017 (3)'!$R$5:$R$289,$V1149)*$AB1149))</f>
        <v>0</v>
      </c>
      <c r="AJ1149" s="222">
        <f>IF($W1149=AJ$3,$AB1149,IF(NOT($W1149=0),"",SUMIFS('Val-Vol (2)'!AJ$4:AJ$1858,'Val-Vol (2)'!$A$4:$A$1858,$D1149,'Val-Vol (2)'!$V$4:$V$1858,$V1149)/SUMIFS('Comp2016-2017 (3)'!$G$5:$G$289,'Comp2016-2017 (3)'!$A$5:$A$289,$D1149,'Comp2016-2017 (3)'!$R$5:$R$289,$V1149)*$AB1149))</f>
        <v>0</v>
      </c>
      <c r="AK1149" s="222">
        <f t="shared" si="147"/>
        <v>-6585.1566656319146</v>
      </c>
      <c r="AL1149" s="212" t="str">
        <f t="shared" si="143"/>
        <v/>
      </c>
      <c r="AM1149" s="212" t="str">
        <f>VLOOKUP(A1149,'Table corresp.'!$M$4:$U$63,8,FALSE)</f>
        <v>Production intermédiaire</v>
      </c>
      <c r="AN1149" s="212" t="str">
        <f>VLOOKUP(D1149,'Table corresp.'!$M$4:$U$63,9,FALSE)</f>
        <v>Production intermédiaire</v>
      </c>
    </row>
    <row r="1150" spans="1:40" x14ac:dyDescent="0.25">
      <c r="A1150" t="s">
        <v>81</v>
      </c>
      <c r="B1150" t="str">
        <f>VLOOKUP(LEFT(A1150,3),'Table corresp.'!$A$4:$D$63,3,FALSE)</f>
        <v>Transformation</v>
      </c>
      <c r="C1150" t="str">
        <f>VLOOKUP(A1150,'Table corresp.'!$M$4:$P$63,4,FALSE)</f>
        <v>Production et transformation de produits bois</v>
      </c>
      <c r="D1150" t="s">
        <v>7</v>
      </c>
      <c r="E1150" t="str">
        <f>VLOOKUP(LEFT(D1150,3),'Table corresp.'!$A$4:$D$63,4,FALSE)</f>
        <v>Transformation</v>
      </c>
      <c r="F1150" t="str">
        <f t="shared" si="146"/>
        <v xml:space="preserve">05  - 12 </v>
      </c>
      <c r="G1150" s="213">
        <v>98872.651598374199</v>
      </c>
      <c r="H1150" s="213">
        <v>0</v>
      </c>
      <c r="I1150" s="213">
        <v>98872.651598374214</v>
      </c>
      <c r="J1150" s="215"/>
      <c r="K1150" s="215"/>
      <c r="L1150" s="215"/>
      <c r="M1150" s="215"/>
      <c r="N1150" s="215"/>
      <c r="O1150" s="215"/>
      <c r="P1150" s="215"/>
      <c r="Q1150" s="215"/>
      <c r="R1150" s="215"/>
      <c r="S1150" s="213"/>
      <c r="T1150" s="212">
        <f>VLOOKUP(A1150,'Groupe de branches'!$Z$27:$AM$86,14,FALSE)</f>
        <v>0</v>
      </c>
      <c r="U1150" s="212">
        <f>VLOOKUP(D1150,'Groupe de branches'!$Z$27:$AM$86,14,FALSE)</f>
        <v>0</v>
      </c>
      <c r="V1150" s="212">
        <v>2019</v>
      </c>
      <c r="W1150" s="212">
        <f>VLOOKUP(D1150,'Table corresp.'!$M$4:$S$63,7,FALSE)</f>
        <v>0</v>
      </c>
      <c r="X1150" s="228">
        <f>IFERROR(G1150/SUMIFS('Comp2016-2017 (3)'!$I$5:$I$289,'Comp2016-2017 (3)'!$A$5:$A$289,A1150,'Comp2016-2017 (3)'!$R$5:$R$289,V1150),0)</f>
        <v>8.9438439057732272E-2</v>
      </c>
      <c r="Y1150" s="214">
        <f>IFERROR(IF(RIGHT(F1150,3)="Exp",VLOOKUP(F1150,#REF!,2,FALSE),VLOOKUP(F1150,#REF!,9,FALSE)),1)</f>
        <v>1</v>
      </c>
      <c r="Z1150" s="225">
        <f t="shared" si="144"/>
        <v>5.2631578947368418E-2</v>
      </c>
      <c r="AA1150" s="225">
        <f t="shared" si="140"/>
        <v>4.7072862661964353E-3</v>
      </c>
      <c r="AB1150" s="222">
        <f>IFERROR(SUMIFS('Comp2016-2017 (3)'!$G$5:$G$289,'Comp2016-2017 (3)'!$A$5:$A$289,A1150,'Comp2016-2017 (3)'!$R$5:$R$289,V1150)*AA1150/SUMIFS($AA$4:$AA$1858,$A$4:$A$1858,A1150,$V$4:$V$1858,V1150),0)</f>
        <v>71718.720405375891</v>
      </c>
      <c r="AC1150" s="222">
        <f>IF($W1150=AC$3,$AB1150,IF(NOT($W1150=0),"",SUMIFS('Val-Vol (2)'!AC$4:AC$1858,'Val-Vol (2)'!$A$4:$A$1858,$D1150,'Val-Vol (2)'!$V$4:$V$1858,$V1150)/SUMIFS('Comp2016-2017 (3)'!$G$5:$G$289,'Comp2016-2017 (3)'!$A$5:$A$289,$D1150,'Comp2016-2017 (3)'!$R$5:$R$289,$V1150)*$AB1150))</f>
        <v>0</v>
      </c>
      <c r="AD1150" s="222">
        <f>IF($W1150=AD$3,$AB1150,IF(NOT($W1150=0),"",SUMIFS('Val-Vol (2)'!AD$4:AD$1858,'Val-Vol (2)'!$A$4:$A$1858,$D1150,'Val-Vol (2)'!$V$4:$V$1858,$V1150)/SUMIFS('Comp2016-2017 (3)'!$G$5:$G$289,'Comp2016-2017 (3)'!$A$5:$A$289,$D1150,'Comp2016-2017 (3)'!$R$5:$R$289,$V1150)*$AB1150))</f>
        <v>0</v>
      </c>
      <c r="AE1150" s="222">
        <f>IF($W1150=AE$3,$AB1150,IF(NOT($W1150=0),"",SUMIFS('Val-Vol (2)'!AE$4:AE$1858,'Val-Vol (2)'!$A$4:$A$1858,$D1150,'Val-Vol (2)'!$V$4:$V$1858,$V1150)/SUMIFS('Comp2016-2017 (3)'!$G$5:$G$289,'Comp2016-2017 (3)'!$A$5:$A$289,$D1150,'Comp2016-2017 (3)'!$R$5:$R$289,$V1150)*$AB1150))</f>
        <v>0</v>
      </c>
      <c r="AF1150" s="222">
        <f>IF($W1150=AF$3,$AB1150,IF(NOT($W1150=0),"",SUMIFS('Val-Vol (2)'!AF$4:AF$1858,'Val-Vol (2)'!$A$4:$A$1858,$D1150,'Val-Vol (2)'!$V$4:$V$1858,$V1150)/SUMIFS('Comp2016-2017 (3)'!$G$5:$G$289,'Comp2016-2017 (3)'!$A$5:$A$289,$D1150,'Comp2016-2017 (3)'!$R$5:$R$289,$V1150)*$AB1150))</f>
        <v>0</v>
      </c>
      <c r="AG1150" s="222">
        <f>IF($W1150=AG$3,$AB1150,IF(NOT($W1150=0),"",SUMIFS('Val-Vol (2)'!AG$4:AG$1858,'Val-Vol (2)'!$A$4:$A$1858,$D1150,'Val-Vol (2)'!$V$4:$V$1858,$V1150)/SUMIFS('Comp2016-2017 (3)'!$G$5:$G$289,'Comp2016-2017 (3)'!$A$5:$A$289,$D1150,'Comp2016-2017 (3)'!$R$5:$R$289,$V1150)*$AB1150))</f>
        <v>0</v>
      </c>
      <c r="AH1150" s="222">
        <f>IF($W1150=AH$3,$AB1150,IF(NOT($W1150=0),"",SUMIFS('Val-Vol (2)'!AH$4:AH$1858,'Val-Vol (2)'!$A$4:$A$1858,$D1150,'Val-Vol (2)'!$V$4:$V$1858,$V1150)/SUMIFS('Comp2016-2017 (3)'!$G$5:$G$289,'Comp2016-2017 (3)'!$A$5:$A$289,$D1150,'Comp2016-2017 (3)'!$R$5:$R$289,$V1150)*$AB1150))</f>
        <v>0</v>
      </c>
      <c r="AI1150" s="222">
        <f>IF($W1150=AI$3,$AB1150,IF(NOT($W1150=0),"",SUMIFS('Val-Vol (2)'!AI$4:AI$1858,'Val-Vol (2)'!$A$4:$A$1858,$D1150,'Val-Vol (2)'!$V$4:$V$1858,$V1150)/SUMIFS('Comp2016-2017 (3)'!$G$5:$G$289,'Comp2016-2017 (3)'!$A$5:$A$289,$D1150,'Comp2016-2017 (3)'!$R$5:$R$289,$V1150)*$AB1150))</f>
        <v>0</v>
      </c>
      <c r="AJ1150" s="222">
        <f>IF($W1150=AJ$3,$AB1150,IF(NOT($W1150=0),"",SUMIFS('Val-Vol (2)'!AJ$4:AJ$1858,'Val-Vol (2)'!$A$4:$A$1858,$D1150,'Val-Vol (2)'!$V$4:$V$1858,$V1150)/SUMIFS('Comp2016-2017 (3)'!$G$5:$G$289,'Comp2016-2017 (3)'!$A$5:$A$289,$D1150,'Comp2016-2017 (3)'!$R$5:$R$289,$V1150)*$AB1150))</f>
        <v>0</v>
      </c>
      <c r="AK1150" s="222">
        <f t="shared" si="147"/>
        <v>-71718.720405375891</v>
      </c>
      <c r="AL1150" s="212" t="str">
        <f t="shared" si="143"/>
        <v/>
      </c>
      <c r="AM1150" s="212" t="str">
        <f>VLOOKUP(A1150,'Table corresp.'!$M$4:$U$63,8,FALSE)</f>
        <v>Production intermédiaire</v>
      </c>
      <c r="AN1150" s="212" t="str">
        <f>VLOOKUP(D1150,'Table corresp.'!$M$4:$U$63,9,FALSE)</f>
        <v>Production intermédiaire</v>
      </c>
    </row>
    <row r="1151" spans="1:40" x14ac:dyDescent="0.25">
      <c r="A1151" t="s">
        <v>81</v>
      </c>
      <c r="B1151" t="str">
        <f>VLOOKUP(LEFT(A1151,3),'Table corresp.'!$A$4:$D$63,3,FALSE)</f>
        <v>Transformation</v>
      </c>
      <c r="C1151" t="str">
        <f>VLOOKUP(A1151,'Table corresp.'!$M$4:$P$63,4,FALSE)</f>
        <v>Production et transformation de produits bois</v>
      </c>
      <c r="D1151" t="s">
        <v>8</v>
      </c>
      <c r="E1151" t="str">
        <f>VLOOKUP(LEFT(D1151,3),'Table corresp.'!$A$4:$D$63,4,FALSE)</f>
        <v>Transformation</v>
      </c>
      <c r="F1151" t="str">
        <f t="shared" si="146"/>
        <v xml:space="preserve">05  - 13 </v>
      </c>
      <c r="G1151" s="213">
        <v>33959.631569825673</v>
      </c>
      <c r="H1151" s="213">
        <v>0</v>
      </c>
      <c r="I1151" s="213">
        <v>33959.631569825673</v>
      </c>
      <c r="J1151" s="215"/>
      <c r="K1151" s="215"/>
      <c r="L1151" s="215"/>
      <c r="M1151" s="215"/>
      <c r="N1151" s="215"/>
      <c r="O1151" s="215"/>
      <c r="P1151" s="215"/>
      <c r="Q1151" s="215"/>
      <c r="R1151" s="215"/>
      <c r="S1151" s="213"/>
      <c r="T1151" s="212">
        <f>VLOOKUP(A1151,'Groupe de branches'!$Z$27:$AM$86,14,FALSE)</f>
        <v>0</v>
      </c>
      <c r="U1151" s="212">
        <f>VLOOKUP(D1151,'Groupe de branches'!$Z$27:$AM$86,14,FALSE)</f>
        <v>0</v>
      </c>
      <c r="V1151" s="212">
        <v>2019</v>
      </c>
      <c r="W1151" s="212">
        <f>VLOOKUP(D1151,'Table corresp.'!$M$4:$S$63,7,FALSE)</f>
        <v>0</v>
      </c>
      <c r="X1151" s="228">
        <f>IFERROR(G1151/SUMIFS('Comp2016-2017 (3)'!$I$5:$I$289,'Comp2016-2017 (3)'!$A$5:$A$289,A1151,'Comp2016-2017 (3)'!$R$5:$R$289,V1151),0)</f>
        <v>3.071927767163107E-2</v>
      </c>
      <c r="Y1151" s="214">
        <f>IFERROR(IF(RIGHT(F1151,3)="Exp",VLOOKUP(F1151,#REF!,2,FALSE),VLOOKUP(F1151,#REF!,9,FALSE)),1)</f>
        <v>1</v>
      </c>
      <c r="Z1151" s="225">
        <f t="shared" si="144"/>
        <v>5.2631578947368418E-2</v>
      </c>
      <c r="AA1151" s="225">
        <f t="shared" si="140"/>
        <v>1.6168040879805826E-3</v>
      </c>
      <c r="AB1151" s="222">
        <f>IFERROR(SUMIFS('Comp2016-2017 (3)'!$G$5:$G$289,'Comp2016-2017 (3)'!$A$5:$A$289,A1151,'Comp2016-2017 (3)'!$R$5:$R$289,V1151)*AA1151/SUMIFS($AA$4:$AA$1858,$A$4:$A$1858,A1151,$V$4:$V$1858,V1151),0)</f>
        <v>24633.114235867753</v>
      </c>
      <c r="AC1151" s="222">
        <f>IF($W1151=AC$3,$AB1151,IF(NOT($W1151=0),"",SUMIFS('Val-Vol (2)'!AC$4:AC$1858,'Val-Vol (2)'!$A$4:$A$1858,$D1151,'Val-Vol (2)'!$V$4:$V$1858,$V1151)/SUMIFS('Comp2016-2017 (3)'!$G$5:$G$289,'Comp2016-2017 (3)'!$A$5:$A$289,$D1151,'Comp2016-2017 (3)'!$R$5:$R$289,$V1151)*$AB1151))</f>
        <v>0</v>
      </c>
      <c r="AD1151" s="222">
        <f>IF($W1151=AD$3,$AB1151,IF(NOT($W1151=0),"",SUMIFS('Val-Vol (2)'!AD$4:AD$1858,'Val-Vol (2)'!$A$4:$A$1858,$D1151,'Val-Vol (2)'!$V$4:$V$1858,$V1151)/SUMIFS('Comp2016-2017 (3)'!$G$5:$G$289,'Comp2016-2017 (3)'!$A$5:$A$289,$D1151,'Comp2016-2017 (3)'!$R$5:$R$289,$V1151)*$AB1151))</f>
        <v>0</v>
      </c>
      <c r="AE1151" s="222">
        <f>IF($W1151=AE$3,$AB1151,IF(NOT($W1151=0),"",SUMIFS('Val-Vol (2)'!AE$4:AE$1858,'Val-Vol (2)'!$A$4:$A$1858,$D1151,'Val-Vol (2)'!$V$4:$V$1858,$V1151)/SUMIFS('Comp2016-2017 (3)'!$G$5:$G$289,'Comp2016-2017 (3)'!$A$5:$A$289,$D1151,'Comp2016-2017 (3)'!$R$5:$R$289,$V1151)*$AB1151))</f>
        <v>0</v>
      </c>
      <c r="AF1151" s="222">
        <f>IF($W1151=AF$3,$AB1151,IF(NOT($W1151=0),"",SUMIFS('Val-Vol (2)'!AF$4:AF$1858,'Val-Vol (2)'!$A$4:$A$1858,$D1151,'Val-Vol (2)'!$V$4:$V$1858,$V1151)/SUMIFS('Comp2016-2017 (3)'!$G$5:$G$289,'Comp2016-2017 (3)'!$A$5:$A$289,$D1151,'Comp2016-2017 (3)'!$R$5:$R$289,$V1151)*$AB1151))</f>
        <v>0</v>
      </c>
      <c r="AG1151" s="222">
        <f>IF($W1151=AG$3,$AB1151,IF(NOT($W1151=0),"",SUMIFS('Val-Vol (2)'!AG$4:AG$1858,'Val-Vol (2)'!$A$4:$A$1858,$D1151,'Val-Vol (2)'!$V$4:$V$1858,$V1151)/SUMIFS('Comp2016-2017 (3)'!$G$5:$G$289,'Comp2016-2017 (3)'!$A$5:$A$289,$D1151,'Comp2016-2017 (3)'!$R$5:$R$289,$V1151)*$AB1151))</f>
        <v>0</v>
      </c>
      <c r="AH1151" s="222">
        <f>IF($W1151=AH$3,$AB1151,IF(NOT($W1151=0),"",SUMIFS('Val-Vol (2)'!AH$4:AH$1858,'Val-Vol (2)'!$A$4:$A$1858,$D1151,'Val-Vol (2)'!$V$4:$V$1858,$V1151)/SUMIFS('Comp2016-2017 (3)'!$G$5:$G$289,'Comp2016-2017 (3)'!$A$5:$A$289,$D1151,'Comp2016-2017 (3)'!$R$5:$R$289,$V1151)*$AB1151))</f>
        <v>0</v>
      </c>
      <c r="AI1151" s="222">
        <f>IF($W1151=AI$3,$AB1151,IF(NOT($W1151=0),"",SUMIFS('Val-Vol (2)'!AI$4:AI$1858,'Val-Vol (2)'!$A$4:$A$1858,$D1151,'Val-Vol (2)'!$V$4:$V$1858,$V1151)/SUMIFS('Comp2016-2017 (3)'!$G$5:$G$289,'Comp2016-2017 (3)'!$A$5:$A$289,$D1151,'Comp2016-2017 (3)'!$R$5:$R$289,$V1151)*$AB1151))</f>
        <v>0</v>
      </c>
      <c r="AJ1151" s="222">
        <f>IF($W1151=AJ$3,$AB1151,IF(NOT($W1151=0),"",SUMIFS('Val-Vol (2)'!AJ$4:AJ$1858,'Val-Vol (2)'!$A$4:$A$1858,$D1151,'Val-Vol (2)'!$V$4:$V$1858,$V1151)/SUMIFS('Comp2016-2017 (3)'!$G$5:$G$289,'Comp2016-2017 (3)'!$A$5:$A$289,$D1151,'Comp2016-2017 (3)'!$R$5:$R$289,$V1151)*$AB1151))</f>
        <v>0</v>
      </c>
      <c r="AK1151" s="222">
        <f t="shared" si="147"/>
        <v>-24633.114235867753</v>
      </c>
      <c r="AL1151" s="212" t="str">
        <f t="shared" si="143"/>
        <v/>
      </c>
      <c r="AM1151" s="212" t="str">
        <f>VLOOKUP(A1151,'Table corresp.'!$M$4:$U$63,8,FALSE)</f>
        <v>Production intermédiaire</v>
      </c>
      <c r="AN1151" s="212" t="str">
        <f>VLOOKUP(D1151,'Table corresp.'!$M$4:$U$63,9,FALSE)</f>
        <v>Production intermédiaire</v>
      </c>
    </row>
    <row r="1152" spans="1:40" x14ac:dyDescent="0.25">
      <c r="A1152" t="s">
        <v>81</v>
      </c>
      <c r="B1152" t="str">
        <f>VLOOKUP(LEFT(A1152,3),'Table corresp.'!$A$4:$D$63,3,FALSE)</f>
        <v>Transformation</v>
      </c>
      <c r="C1152" t="str">
        <f>VLOOKUP(A1152,'Table corresp.'!$M$4:$P$63,4,FALSE)</f>
        <v>Production et transformation de produits bois</v>
      </c>
      <c r="D1152" t="s">
        <v>83</v>
      </c>
      <c r="E1152" t="str">
        <f>VLOOKUP(LEFT(D1152,3),'Table corresp.'!$A$4:$D$63,4,FALSE)</f>
        <v>Transformation</v>
      </c>
      <c r="F1152" t="str">
        <f t="shared" si="146"/>
        <v xml:space="preserve">05  - 14 </v>
      </c>
      <c r="G1152" s="213">
        <v>12954.192022449359</v>
      </c>
      <c r="H1152" s="213">
        <v>0</v>
      </c>
      <c r="I1152" s="213">
        <v>12954.192022449359</v>
      </c>
      <c r="J1152" s="215"/>
      <c r="K1152" s="215"/>
      <c r="L1152" s="215"/>
      <c r="M1152" s="215"/>
      <c r="N1152" s="215"/>
      <c r="O1152" s="215"/>
      <c r="P1152" s="215"/>
      <c r="Q1152" s="215"/>
      <c r="R1152" s="215"/>
      <c r="S1152" s="213"/>
      <c r="T1152" s="212">
        <f>VLOOKUP(A1152,'Groupe de branches'!$Z$27:$AM$86,14,FALSE)</f>
        <v>0</v>
      </c>
      <c r="U1152" s="212">
        <f>VLOOKUP(D1152,'Groupe de branches'!$Z$27:$AM$86,14,FALSE)</f>
        <v>0</v>
      </c>
      <c r="V1152" s="212">
        <v>2019</v>
      </c>
      <c r="W1152" s="212">
        <f>VLOOKUP(D1152,'Table corresp.'!$M$4:$S$63,7,FALSE)</f>
        <v>0</v>
      </c>
      <c r="X1152" s="228">
        <f>IFERROR(G1152/SUMIFS('Comp2016-2017 (3)'!$I$5:$I$289,'Comp2016-2017 (3)'!$A$5:$A$289,A1152,'Comp2016-2017 (3)'!$R$5:$R$289,V1152),0)</f>
        <v>1.1718131303368927E-2</v>
      </c>
      <c r="Y1152" s="214">
        <f>IFERROR(IF(RIGHT(F1152,3)="Exp",VLOOKUP(F1152,#REF!,2,FALSE),VLOOKUP(F1152,#REF!,9,FALSE)),1)</f>
        <v>1</v>
      </c>
      <c r="Z1152" s="225">
        <f t="shared" si="144"/>
        <v>5.2631578947368418E-2</v>
      </c>
      <c r="AA1152" s="225">
        <f t="shared" si="140"/>
        <v>6.1674375280889085E-4</v>
      </c>
      <c r="AB1152" s="222">
        <f>IFERROR(SUMIFS('Comp2016-2017 (3)'!$G$5:$G$289,'Comp2016-2017 (3)'!$A$5:$A$289,A1152,'Comp2016-2017 (3)'!$R$5:$R$289,V1152)*AA1152/SUMIFS($AA$4:$AA$1858,$A$4:$A$1858,A1152,$V$4:$V$1858,V1152),0)</f>
        <v>9396.5121873081553</v>
      </c>
      <c r="AC1152" s="222">
        <f>IF($W1152=AC$3,$AB1152,IF(NOT($W1152=0),"",SUMIFS('Val-Vol (2)'!AC$4:AC$1858,'Val-Vol (2)'!$A$4:$A$1858,$D1152,'Val-Vol (2)'!$V$4:$V$1858,$V1152)/SUMIFS('Comp2016-2017 (3)'!$G$5:$G$289,'Comp2016-2017 (3)'!$A$5:$A$289,$D1152,'Comp2016-2017 (3)'!$R$5:$R$289,$V1152)*$AB1152))</f>
        <v>0</v>
      </c>
      <c r="AD1152" s="222">
        <f>IF($W1152=AD$3,$AB1152,IF(NOT($W1152=0),"",SUMIFS('Val-Vol (2)'!AD$4:AD$1858,'Val-Vol (2)'!$A$4:$A$1858,$D1152,'Val-Vol (2)'!$V$4:$V$1858,$V1152)/SUMIFS('Comp2016-2017 (3)'!$G$5:$G$289,'Comp2016-2017 (3)'!$A$5:$A$289,$D1152,'Comp2016-2017 (3)'!$R$5:$R$289,$V1152)*$AB1152))</f>
        <v>0</v>
      </c>
      <c r="AE1152" s="222">
        <f>IF($W1152=AE$3,$AB1152,IF(NOT($W1152=0),"",SUMIFS('Val-Vol (2)'!AE$4:AE$1858,'Val-Vol (2)'!$A$4:$A$1858,$D1152,'Val-Vol (2)'!$V$4:$V$1858,$V1152)/SUMIFS('Comp2016-2017 (3)'!$G$5:$G$289,'Comp2016-2017 (3)'!$A$5:$A$289,$D1152,'Comp2016-2017 (3)'!$R$5:$R$289,$V1152)*$AB1152))</f>
        <v>0</v>
      </c>
      <c r="AF1152" s="222">
        <f>IF($W1152=AF$3,$AB1152,IF(NOT($W1152=0),"",SUMIFS('Val-Vol (2)'!AF$4:AF$1858,'Val-Vol (2)'!$A$4:$A$1858,$D1152,'Val-Vol (2)'!$V$4:$V$1858,$V1152)/SUMIFS('Comp2016-2017 (3)'!$G$5:$G$289,'Comp2016-2017 (3)'!$A$5:$A$289,$D1152,'Comp2016-2017 (3)'!$R$5:$R$289,$V1152)*$AB1152))</f>
        <v>0</v>
      </c>
      <c r="AG1152" s="222">
        <f>IF($W1152=AG$3,$AB1152,IF(NOT($W1152=0),"",SUMIFS('Val-Vol (2)'!AG$4:AG$1858,'Val-Vol (2)'!$A$4:$A$1858,$D1152,'Val-Vol (2)'!$V$4:$V$1858,$V1152)/SUMIFS('Comp2016-2017 (3)'!$G$5:$G$289,'Comp2016-2017 (3)'!$A$5:$A$289,$D1152,'Comp2016-2017 (3)'!$R$5:$R$289,$V1152)*$AB1152))</f>
        <v>0</v>
      </c>
      <c r="AH1152" s="222">
        <f>IF($W1152=AH$3,$AB1152,IF(NOT($W1152=0),"",SUMIFS('Val-Vol (2)'!AH$4:AH$1858,'Val-Vol (2)'!$A$4:$A$1858,$D1152,'Val-Vol (2)'!$V$4:$V$1858,$V1152)/SUMIFS('Comp2016-2017 (3)'!$G$5:$G$289,'Comp2016-2017 (3)'!$A$5:$A$289,$D1152,'Comp2016-2017 (3)'!$R$5:$R$289,$V1152)*$AB1152))</f>
        <v>0</v>
      </c>
      <c r="AI1152" s="222">
        <f>IF($W1152=AI$3,$AB1152,IF(NOT($W1152=0),"",SUMIFS('Val-Vol (2)'!AI$4:AI$1858,'Val-Vol (2)'!$A$4:$A$1858,$D1152,'Val-Vol (2)'!$V$4:$V$1858,$V1152)/SUMIFS('Comp2016-2017 (3)'!$G$5:$G$289,'Comp2016-2017 (3)'!$A$5:$A$289,$D1152,'Comp2016-2017 (3)'!$R$5:$R$289,$V1152)*$AB1152))</f>
        <v>0</v>
      </c>
      <c r="AJ1152" s="222">
        <f>IF($W1152=AJ$3,$AB1152,IF(NOT($W1152=0),"",SUMIFS('Val-Vol (2)'!AJ$4:AJ$1858,'Val-Vol (2)'!$A$4:$A$1858,$D1152,'Val-Vol (2)'!$V$4:$V$1858,$V1152)/SUMIFS('Comp2016-2017 (3)'!$G$5:$G$289,'Comp2016-2017 (3)'!$A$5:$A$289,$D1152,'Comp2016-2017 (3)'!$R$5:$R$289,$V1152)*$AB1152))</f>
        <v>0</v>
      </c>
      <c r="AK1152" s="222">
        <f t="shared" si="147"/>
        <v>-9396.5121873081553</v>
      </c>
      <c r="AL1152" s="212" t="str">
        <f t="shared" si="143"/>
        <v/>
      </c>
      <c r="AM1152" s="212" t="str">
        <f>VLOOKUP(A1152,'Table corresp.'!$M$4:$U$63,8,FALSE)</f>
        <v>Production intermédiaire</v>
      </c>
      <c r="AN1152" s="212" t="str">
        <f>VLOOKUP(D1152,'Table corresp.'!$M$4:$U$63,9,FALSE)</f>
        <v>Production intermédiaire</v>
      </c>
    </row>
    <row r="1153" spans="1:40" x14ac:dyDescent="0.25">
      <c r="A1153" t="s">
        <v>81</v>
      </c>
      <c r="B1153" t="str">
        <f>VLOOKUP(LEFT(A1153,3),'Table corresp.'!$A$4:$D$63,3,FALSE)</f>
        <v>Transformation</v>
      </c>
      <c r="C1153" t="str">
        <f>VLOOKUP(A1153,'Table corresp.'!$M$4:$P$63,4,FALSE)</f>
        <v>Production et transformation de produits bois</v>
      </c>
      <c r="D1153" t="s">
        <v>9</v>
      </c>
      <c r="E1153" t="str">
        <f>VLOOKUP(LEFT(D1153,3),'Table corresp.'!$A$4:$D$63,4,FALSE)</f>
        <v>Transformation</v>
      </c>
      <c r="F1153" t="str">
        <f t="shared" si="146"/>
        <v xml:space="preserve">05  - 15 </v>
      </c>
      <c r="G1153" s="213">
        <v>31122.301091200414</v>
      </c>
      <c r="H1153" s="213">
        <v>0</v>
      </c>
      <c r="I1153" s="213">
        <v>31122.301091200414</v>
      </c>
      <c r="J1153" s="215"/>
      <c r="K1153" s="215"/>
      <c r="L1153" s="215"/>
      <c r="M1153" s="215"/>
      <c r="N1153" s="215"/>
      <c r="O1153" s="215"/>
      <c r="P1153" s="215"/>
      <c r="Q1153" s="215"/>
      <c r="R1153" s="215"/>
      <c r="S1153" s="213"/>
      <c r="T1153" s="212">
        <f>VLOOKUP(A1153,'Groupe de branches'!$Z$27:$AM$86,14,FALSE)</f>
        <v>0</v>
      </c>
      <c r="U1153" s="212">
        <f>VLOOKUP(D1153,'Groupe de branches'!$Z$27:$AM$86,14,FALSE)</f>
        <v>0</v>
      </c>
      <c r="V1153" s="212">
        <v>2019</v>
      </c>
      <c r="W1153" s="212">
        <f>VLOOKUP(D1153,'Table corresp.'!$M$4:$S$63,7,FALSE)</f>
        <v>0</v>
      </c>
      <c r="X1153" s="228">
        <f>IFERROR(G1153/SUMIFS('Comp2016-2017 (3)'!$I$5:$I$289,'Comp2016-2017 (3)'!$A$5:$A$289,A1153,'Comp2016-2017 (3)'!$R$5:$R$289,V1153),0)</f>
        <v>2.8152679072354254E-2</v>
      </c>
      <c r="Y1153" s="214">
        <f>IFERROR(IF(RIGHT(F1153,3)="Exp",VLOOKUP(F1153,#REF!,2,FALSE),VLOOKUP(F1153,#REF!,9,FALSE)),1)</f>
        <v>1</v>
      </c>
      <c r="Z1153" s="225">
        <f t="shared" si="144"/>
        <v>5.2631578947368418E-2</v>
      </c>
      <c r="AA1153" s="225">
        <f t="shared" si="140"/>
        <v>1.4817199511765397E-3</v>
      </c>
      <c r="AB1153" s="222">
        <f>IFERROR(SUMIFS('Comp2016-2017 (3)'!$G$5:$G$289,'Comp2016-2017 (3)'!$A$5:$A$289,A1153,'Comp2016-2017 (3)'!$R$5:$R$289,V1153)*AA1153/SUMIFS($AA$4:$AA$1858,$A$4:$A$1858,A1153,$V$4:$V$1858,V1153),0)</f>
        <v>22575.015176071498</v>
      </c>
      <c r="AC1153" s="222">
        <f>IF($W1153=AC$3,$AB1153,IF(NOT($W1153=0),"",SUMIFS('Val-Vol (2)'!AC$4:AC$1858,'Val-Vol (2)'!$A$4:$A$1858,$D1153,'Val-Vol (2)'!$V$4:$V$1858,$V1153)/SUMIFS('Comp2016-2017 (3)'!$G$5:$G$289,'Comp2016-2017 (3)'!$A$5:$A$289,$D1153,'Comp2016-2017 (3)'!$R$5:$R$289,$V1153)*$AB1153))</f>
        <v>0</v>
      </c>
      <c r="AD1153" s="222">
        <f>IF($W1153=AD$3,$AB1153,IF(NOT($W1153=0),"",SUMIFS('Val-Vol (2)'!AD$4:AD$1858,'Val-Vol (2)'!$A$4:$A$1858,$D1153,'Val-Vol (2)'!$V$4:$V$1858,$V1153)/SUMIFS('Comp2016-2017 (3)'!$G$5:$G$289,'Comp2016-2017 (3)'!$A$5:$A$289,$D1153,'Comp2016-2017 (3)'!$R$5:$R$289,$V1153)*$AB1153))</f>
        <v>0</v>
      </c>
      <c r="AE1153" s="222">
        <f>IF($W1153=AE$3,$AB1153,IF(NOT($W1153=0),"",SUMIFS('Val-Vol (2)'!AE$4:AE$1858,'Val-Vol (2)'!$A$4:$A$1858,$D1153,'Val-Vol (2)'!$V$4:$V$1858,$V1153)/SUMIFS('Comp2016-2017 (3)'!$G$5:$G$289,'Comp2016-2017 (3)'!$A$5:$A$289,$D1153,'Comp2016-2017 (3)'!$R$5:$R$289,$V1153)*$AB1153))</f>
        <v>0</v>
      </c>
      <c r="AF1153" s="222">
        <f>IF($W1153=AF$3,$AB1153,IF(NOT($W1153=0),"",SUMIFS('Val-Vol (2)'!AF$4:AF$1858,'Val-Vol (2)'!$A$4:$A$1858,$D1153,'Val-Vol (2)'!$V$4:$V$1858,$V1153)/SUMIFS('Comp2016-2017 (3)'!$G$5:$G$289,'Comp2016-2017 (3)'!$A$5:$A$289,$D1153,'Comp2016-2017 (3)'!$R$5:$R$289,$V1153)*$AB1153))</f>
        <v>0</v>
      </c>
      <c r="AG1153" s="222">
        <f>IF($W1153=AG$3,$AB1153,IF(NOT($W1153=0),"",SUMIFS('Val-Vol (2)'!AG$4:AG$1858,'Val-Vol (2)'!$A$4:$A$1858,$D1153,'Val-Vol (2)'!$V$4:$V$1858,$V1153)/SUMIFS('Comp2016-2017 (3)'!$G$5:$G$289,'Comp2016-2017 (3)'!$A$5:$A$289,$D1153,'Comp2016-2017 (3)'!$R$5:$R$289,$V1153)*$AB1153))</f>
        <v>0</v>
      </c>
      <c r="AH1153" s="222">
        <f>IF($W1153=AH$3,$AB1153,IF(NOT($W1153=0),"",SUMIFS('Val-Vol (2)'!AH$4:AH$1858,'Val-Vol (2)'!$A$4:$A$1858,$D1153,'Val-Vol (2)'!$V$4:$V$1858,$V1153)/SUMIFS('Comp2016-2017 (3)'!$G$5:$G$289,'Comp2016-2017 (3)'!$A$5:$A$289,$D1153,'Comp2016-2017 (3)'!$R$5:$R$289,$V1153)*$AB1153))</f>
        <v>0</v>
      </c>
      <c r="AI1153" s="222">
        <f>IF($W1153=AI$3,$AB1153,IF(NOT($W1153=0),"",SUMIFS('Val-Vol (2)'!AI$4:AI$1858,'Val-Vol (2)'!$A$4:$A$1858,$D1153,'Val-Vol (2)'!$V$4:$V$1858,$V1153)/SUMIFS('Comp2016-2017 (3)'!$G$5:$G$289,'Comp2016-2017 (3)'!$A$5:$A$289,$D1153,'Comp2016-2017 (3)'!$R$5:$R$289,$V1153)*$AB1153))</f>
        <v>0</v>
      </c>
      <c r="AJ1153" s="222">
        <f>IF($W1153=AJ$3,$AB1153,IF(NOT($W1153=0),"",SUMIFS('Val-Vol (2)'!AJ$4:AJ$1858,'Val-Vol (2)'!$A$4:$A$1858,$D1153,'Val-Vol (2)'!$V$4:$V$1858,$V1153)/SUMIFS('Comp2016-2017 (3)'!$G$5:$G$289,'Comp2016-2017 (3)'!$A$5:$A$289,$D1153,'Comp2016-2017 (3)'!$R$5:$R$289,$V1153)*$AB1153))</f>
        <v>0</v>
      </c>
      <c r="AK1153" s="222">
        <f t="shared" si="147"/>
        <v>-22575.015176071498</v>
      </c>
      <c r="AL1153" s="212" t="str">
        <f t="shared" si="143"/>
        <v/>
      </c>
      <c r="AM1153" s="212" t="str">
        <f>VLOOKUP(A1153,'Table corresp.'!$M$4:$U$63,8,FALSE)</f>
        <v>Production intermédiaire</v>
      </c>
      <c r="AN1153" s="212" t="str">
        <f>VLOOKUP(D1153,'Table corresp.'!$M$4:$U$63,9,FALSE)</f>
        <v>Production intermédiaire</v>
      </c>
    </row>
    <row r="1154" spans="1:40" x14ac:dyDescent="0.25">
      <c r="A1154" t="s">
        <v>81</v>
      </c>
      <c r="B1154" t="str">
        <f>VLOOKUP(LEFT(A1154,3),'Table corresp.'!$A$4:$D$63,3,FALSE)</f>
        <v>Transformation</v>
      </c>
      <c r="C1154" t="str">
        <f>VLOOKUP(A1154,'Table corresp.'!$M$4:$P$63,4,FALSE)</f>
        <v>Production et transformation de produits bois</v>
      </c>
      <c r="D1154" t="s">
        <v>10</v>
      </c>
      <c r="E1154" t="str">
        <f>VLOOKUP(LEFT(D1154,3),'Table corresp.'!$A$4:$D$63,4,FALSE)</f>
        <v>Transformation</v>
      </c>
      <c r="F1154" t="str">
        <f t="shared" si="146"/>
        <v xml:space="preserve">05  - 16 </v>
      </c>
      <c r="G1154" s="213">
        <v>4324.1887876777782</v>
      </c>
      <c r="H1154" s="213">
        <v>0</v>
      </c>
      <c r="I1154" s="213">
        <v>4324.1887876777782</v>
      </c>
      <c r="J1154" s="215"/>
      <c r="K1154" s="215"/>
      <c r="L1154" s="215"/>
      <c r="M1154" s="215"/>
      <c r="N1154" s="215"/>
      <c r="O1154" s="215"/>
      <c r="P1154" s="215"/>
      <c r="Q1154" s="215"/>
      <c r="R1154" s="215"/>
      <c r="S1154" s="213"/>
      <c r="T1154" s="212">
        <f>VLOOKUP(A1154,'Groupe de branches'!$Z$27:$AM$86,14,FALSE)</f>
        <v>0</v>
      </c>
      <c r="U1154" s="212">
        <f>VLOOKUP(D1154,'Groupe de branches'!$Z$27:$AM$86,14,FALSE)</f>
        <v>0</v>
      </c>
      <c r="V1154" s="212">
        <v>2019</v>
      </c>
      <c r="W1154" s="212" t="str">
        <f>VLOOKUP(D1154,'Table corresp.'!$M$4:$S$63,7,FALSE)</f>
        <v>Emballage bois et carton</v>
      </c>
      <c r="X1154" s="228">
        <f>IFERROR(G1154/SUMIFS('Comp2016-2017 (3)'!$I$5:$I$289,'Comp2016-2017 (3)'!$A$5:$A$289,A1154,'Comp2016-2017 (3)'!$R$5:$R$289,V1154),0)</f>
        <v>3.9115841348307447E-3</v>
      </c>
      <c r="Y1154" s="214">
        <f>IFERROR(IF(RIGHT(F1154,3)="Exp",VLOOKUP(F1154,#REF!,2,FALSE),VLOOKUP(F1154,#REF!,9,FALSE)),1)</f>
        <v>1</v>
      </c>
      <c r="Z1154" s="225">
        <f t="shared" si="144"/>
        <v>5.2631578947368418E-2</v>
      </c>
      <c r="AA1154" s="225">
        <f t="shared" si="140"/>
        <v>2.0587284920161813E-4</v>
      </c>
      <c r="AB1154" s="222">
        <f>IFERROR(SUMIFS('Comp2016-2017 (3)'!$G$5:$G$289,'Comp2016-2017 (3)'!$A$5:$A$289,A1154,'Comp2016-2017 (3)'!$R$5:$R$289,V1154)*AA1154/SUMIFS($AA$4:$AA$1858,$A$4:$A$1858,A1154,$V$4:$V$1858,V1154),0)</f>
        <v>3136.6134277784799</v>
      </c>
      <c r="AC1154" s="222" t="str">
        <f>IF($W1154=AC$3,$AB1154,IF(NOT($W1154=0),"",SUMIFS('Val-Vol (2)'!AC$4:AC$1858,'Val-Vol (2)'!$A$4:$A$1858,$D1154,'Val-Vol (2)'!$V$4:$V$1858,$V1154)/SUMIFS('Comp2016-2017 (3)'!$G$5:$G$289,'Comp2016-2017 (3)'!$A$5:$A$289,$D1154,'Comp2016-2017 (3)'!$R$5:$R$289,$V1154)*$AB1154))</f>
        <v/>
      </c>
      <c r="AD1154" s="222" t="str">
        <f>IF($W1154=AD$3,$AB1154,IF(NOT($W1154=0),"",SUMIFS('Val-Vol (2)'!AD$4:AD$1858,'Val-Vol (2)'!$A$4:$A$1858,$D1154,'Val-Vol (2)'!$V$4:$V$1858,$V1154)/SUMIFS('Comp2016-2017 (3)'!$G$5:$G$289,'Comp2016-2017 (3)'!$A$5:$A$289,$D1154,'Comp2016-2017 (3)'!$R$5:$R$289,$V1154)*$AB1154))</f>
        <v/>
      </c>
      <c r="AE1154" s="222" t="str">
        <f>IF($W1154=AE$3,$AB1154,IF(NOT($W1154=0),"",SUMIFS('Val-Vol (2)'!AE$4:AE$1858,'Val-Vol (2)'!$A$4:$A$1858,$D1154,'Val-Vol (2)'!$V$4:$V$1858,$V1154)/SUMIFS('Comp2016-2017 (3)'!$G$5:$G$289,'Comp2016-2017 (3)'!$A$5:$A$289,$D1154,'Comp2016-2017 (3)'!$R$5:$R$289,$V1154)*$AB1154))</f>
        <v/>
      </c>
      <c r="AF1154" s="222" t="str">
        <f>IF($W1154=AF$3,$AB1154,IF(NOT($W1154=0),"",SUMIFS('Val-Vol (2)'!AF$4:AF$1858,'Val-Vol (2)'!$A$4:$A$1858,$D1154,'Val-Vol (2)'!$V$4:$V$1858,$V1154)/SUMIFS('Comp2016-2017 (3)'!$G$5:$G$289,'Comp2016-2017 (3)'!$A$5:$A$289,$D1154,'Comp2016-2017 (3)'!$R$5:$R$289,$V1154)*$AB1154))</f>
        <v/>
      </c>
      <c r="AG1154" s="222">
        <f>IF($W1154=AG$3,$AB1154,IF(NOT($W1154=0),"",SUMIFS('Val-Vol (2)'!AG$4:AG$1858,'Val-Vol (2)'!$A$4:$A$1858,$D1154,'Val-Vol (2)'!$V$4:$V$1858,$V1154)/SUMIFS('Comp2016-2017 (3)'!$G$5:$G$289,'Comp2016-2017 (3)'!$A$5:$A$289,$D1154,'Comp2016-2017 (3)'!$R$5:$R$289,$V1154)*$AB1154))</f>
        <v>3136.6134277784799</v>
      </c>
      <c r="AH1154" s="222" t="str">
        <f>IF($W1154=AH$3,$AB1154,IF(NOT($W1154=0),"",SUMIFS('Val-Vol (2)'!AH$4:AH$1858,'Val-Vol (2)'!$A$4:$A$1858,$D1154,'Val-Vol (2)'!$V$4:$V$1858,$V1154)/SUMIFS('Comp2016-2017 (3)'!$G$5:$G$289,'Comp2016-2017 (3)'!$A$5:$A$289,$D1154,'Comp2016-2017 (3)'!$R$5:$R$289,$V1154)*$AB1154))</f>
        <v/>
      </c>
      <c r="AI1154" s="222" t="str">
        <f>IF($W1154=AI$3,$AB1154,IF(NOT($W1154=0),"",SUMIFS('Val-Vol (2)'!AI$4:AI$1858,'Val-Vol (2)'!$A$4:$A$1858,$D1154,'Val-Vol (2)'!$V$4:$V$1858,$V1154)/SUMIFS('Comp2016-2017 (3)'!$G$5:$G$289,'Comp2016-2017 (3)'!$A$5:$A$289,$D1154,'Comp2016-2017 (3)'!$R$5:$R$289,$V1154)*$AB1154))</f>
        <v/>
      </c>
      <c r="AJ1154" s="222" t="str">
        <f>IF($W1154=AJ$3,$AB1154,IF(NOT($W1154=0),"",SUMIFS('Val-Vol (2)'!AJ$4:AJ$1858,'Val-Vol (2)'!$A$4:$A$1858,$D1154,'Val-Vol (2)'!$V$4:$V$1858,$V1154)/SUMIFS('Comp2016-2017 (3)'!$G$5:$G$289,'Comp2016-2017 (3)'!$A$5:$A$289,$D1154,'Comp2016-2017 (3)'!$R$5:$R$289,$V1154)*$AB1154))</f>
        <v/>
      </c>
      <c r="AK1154" s="222">
        <f t="shared" si="147"/>
        <v>0</v>
      </c>
      <c r="AL1154" s="212" t="str">
        <f t="shared" si="143"/>
        <v/>
      </c>
      <c r="AM1154" s="212" t="str">
        <f>VLOOKUP(A1154,'Table corresp.'!$M$4:$U$63,8,FALSE)</f>
        <v>Production intermédiaire</v>
      </c>
      <c r="AN1154" s="212" t="str">
        <f>VLOOKUP(D1154,'Table corresp.'!$M$4:$U$63,9,FALSE)</f>
        <v>Production intermédiaire</v>
      </c>
    </row>
    <row r="1155" spans="1:40" x14ac:dyDescent="0.25">
      <c r="A1155" t="s">
        <v>81</v>
      </c>
      <c r="B1155" t="str">
        <f>VLOOKUP(LEFT(A1155,3),'Table corresp.'!$A$4:$D$63,3,FALSE)</f>
        <v>Transformation</v>
      </c>
      <c r="C1155" t="str">
        <f>VLOOKUP(A1155,'Table corresp.'!$M$4:$P$63,4,FALSE)</f>
        <v>Production et transformation de produits bois</v>
      </c>
      <c r="D1155" t="s">
        <v>84</v>
      </c>
      <c r="E1155" t="str">
        <f>VLOOKUP(LEFT(D1155,3),'Table corresp.'!$A$4:$D$63,4,FALSE)</f>
        <v>Transformation</v>
      </c>
      <c r="F1155" t="str">
        <f t="shared" si="146"/>
        <v xml:space="preserve">05  - 17 </v>
      </c>
      <c r="G1155" s="213">
        <v>4240.4812482673869</v>
      </c>
      <c r="H1155" s="213">
        <v>0</v>
      </c>
      <c r="I1155" s="213">
        <v>4240.4812482673869</v>
      </c>
      <c r="J1155" s="215"/>
      <c r="K1155" s="215"/>
      <c r="L1155" s="215"/>
      <c r="M1155" s="215"/>
      <c r="N1155" s="215"/>
      <c r="O1155" s="215"/>
      <c r="P1155" s="215"/>
      <c r="Q1155" s="215"/>
      <c r="R1155" s="215"/>
      <c r="S1155" s="213"/>
      <c r="T1155" s="212">
        <f>VLOOKUP(A1155,'Groupe de branches'!$Z$27:$AM$86,14,FALSE)</f>
        <v>0</v>
      </c>
      <c r="U1155" s="212">
        <f>VLOOKUP(D1155,'Groupe de branches'!$Z$27:$AM$86,14,FALSE)</f>
        <v>0</v>
      </c>
      <c r="V1155" s="212">
        <v>2019</v>
      </c>
      <c r="W1155" s="212" t="str">
        <f>VLOOKUP(D1155,'Table corresp.'!$M$4:$S$63,7,FALSE)</f>
        <v>Construction</v>
      </c>
      <c r="X1155" s="228">
        <f>IFERROR(G1155/SUMIFS('Comp2016-2017 (3)'!$I$5:$I$289,'Comp2016-2017 (3)'!$A$5:$A$289,A1155,'Comp2016-2017 (3)'!$R$5:$R$289,V1155),0)</f>
        <v>3.8358637860669603E-3</v>
      </c>
      <c r="Y1155" s="214">
        <f>IFERROR(IF(RIGHT(F1155,3)="Exp",VLOOKUP(F1155,#REF!,2,FALSE),VLOOKUP(F1155,#REF!,9,FALSE)),1)</f>
        <v>1</v>
      </c>
      <c r="Z1155" s="225">
        <f t="shared" si="144"/>
        <v>5.2631578947368418E-2</v>
      </c>
      <c r="AA1155" s="225">
        <f t="shared" si="140"/>
        <v>2.0188756768773475E-4</v>
      </c>
      <c r="AB1155" s="222">
        <f>IFERROR(SUMIFS('Comp2016-2017 (3)'!$G$5:$G$289,'Comp2016-2017 (3)'!$A$5:$A$289,A1155,'Comp2016-2017 (3)'!$R$5:$R$289,V1155)*AA1155/SUMIFS($AA$4:$AA$1858,$A$4:$A$1858,A1155,$V$4:$V$1858,V1155),0)</f>
        <v>3075.894942760176</v>
      </c>
      <c r="AC1155" s="222" t="str">
        <f>IF($W1155=AC$3,$AB1155,IF(NOT($W1155=0),"",SUMIFS('Val-Vol (2)'!AC$4:AC$1858,'Val-Vol (2)'!$A$4:$A$1858,$D1155,'Val-Vol (2)'!$V$4:$V$1858,$V1155)/SUMIFS('Comp2016-2017 (3)'!$G$5:$G$289,'Comp2016-2017 (3)'!$A$5:$A$289,$D1155,'Comp2016-2017 (3)'!$R$5:$R$289,$V1155)*$AB1155))</f>
        <v/>
      </c>
      <c r="AD1155" s="222">
        <f>IF($W1155=AD$3,$AB1155,IF(NOT($W1155=0),"",SUMIFS('Val-Vol (2)'!AD$4:AD$1858,'Val-Vol (2)'!$A$4:$A$1858,$D1155,'Val-Vol (2)'!$V$4:$V$1858,$V1155)/SUMIFS('Comp2016-2017 (3)'!$G$5:$G$289,'Comp2016-2017 (3)'!$A$5:$A$289,$D1155,'Comp2016-2017 (3)'!$R$5:$R$289,$V1155)*$AB1155))</f>
        <v>3075.894942760176</v>
      </c>
      <c r="AE1155" s="222" t="str">
        <f>IF($W1155=AE$3,$AB1155,IF(NOT($W1155=0),"",SUMIFS('Val-Vol (2)'!AE$4:AE$1858,'Val-Vol (2)'!$A$4:$A$1858,$D1155,'Val-Vol (2)'!$V$4:$V$1858,$V1155)/SUMIFS('Comp2016-2017 (3)'!$G$5:$G$289,'Comp2016-2017 (3)'!$A$5:$A$289,$D1155,'Comp2016-2017 (3)'!$R$5:$R$289,$V1155)*$AB1155))</f>
        <v/>
      </c>
      <c r="AF1155" s="222" t="str">
        <f>IF($W1155=AF$3,$AB1155,IF(NOT($W1155=0),"",SUMIFS('Val-Vol (2)'!AF$4:AF$1858,'Val-Vol (2)'!$A$4:$A$1858,$D1155,'Val-Vol (2)'!$V$4:$V$1858,$V1155)/SUMIFS('Comp2016-2017 (3)'!$G$5:$G$289,'Comp2016-2017 (3)'!$A$5:$A$289,$D1155,'Comp2016-2017 (3)'!$R$5:$R$289,$V1155)*$AB1155))</f>
        <v/>
      </c>
      <c r="AG1155" s="222" t="str">
        <f>IF($W1155=AG$3,$AB1155,IF(NOT($W1155=0),"",SUMIFS('Val-Vol (2)'!AG$4:AG$1858,'Val-Vol (2)'!$A$4:$A$1858,$D1155,'Val-Vol (2)'!$V$4:$V$1858,$V1155)/SUMIFS('Comp2016-2017 (3)'!$G$5:$G$289,'Comp2016-2017 (3)'!$A$5:$A$289,$D1155,'Comp2016-2017 (3)'!$R$5:$R$289,$V1155)*$AB1155))</f>
        <v/>
      </c>
      <c r="AH1155" s="222" t="str">
        <f>IF($W1155=AH$3,$AB1155,IF(NOT($W1155=0),"",SUMIFS('Val-Vol (2)'!AH$4:AH$1858,'Val-Vol (2)'!$A$4:$A$1858,$D1155,'Val-Vol (2)'!$V$4:$V$1858,$V1155)/SUMIFS('Comp2016-2017 (3)'!$G$5:$G$289,'Comp2016-2017 (3)'!$A$5:$A$289,$D1155,'Comp2016-2017 (3)'!$R$5:$R$289,$V1155)*$AB1155))</f>
        <v/>
      </c>
      <c r="AI1155" s="222" t="str">
        <f>IF($W1155=AI$3,$AB1155,IF(NOT($W1155=0),"",SUMIFS('Val-Vol (2)'!AI$4:AI$1858,'Val-Vol (2)'!$A$4:$A$1858,$D1155,'Val-Vol (2)'!$V$4:$V$1858,$V1155)/SUMIFS('Comp2016-2017 (3)'!$G$5:$G$289,'Comp2016-2017 (3)'!$A$5:$A$289,$D1155,'Comp2016-2017 (3)'!$R$5:$R$289,$V1155)*$AB1155))</f>
        <v/>
      </c>
      <c r="AJ1155" s="222" t="str">
        <f>IF($W1155=AJ$3,$AB1155,IF(NOT($W1155=0),"",SUMIFS('Val-Vol (2)'!AJ$4:AJ$1858,'Val-Vol (2)'!$A$4:$A$1858,$D1155,'Val-Vol (2)'!$V$4:$V$1858,$V1155)/SUMIFS('Comp2016-2017 (3)'!$G$5:$G$289,'Comp2016-2017 (3)'!$A$5:$A$289,$D1155,'Comp2016-2017 (3)'!$R$5:$R$289,$V1155)*$AB1155))</f>
        <v/>
      </c>
      <c r="AK1155" s="222">
        <f t="shared" si="147"/>
        <v>0</v>
      </c>
      <c r="AL1155" s="212" t="str">
        <f t="shared" si="143"/>
        <v/>
      </c>
      <c r="AM1155" s="212" t="str">
        <f>VLOOKUP(A1155,'Table corresp.'!$M$4:$U$63,8,FALSE)</f>
        <v>Production intermédiaire</v>
      </c>
      <c r="AN1155" s="212" t="str">
        <f>VLOOKUP(D1155,'Table corresp.'!$M$4:$U$63,9,FALSE)</f>
        <v>Production intermédiaire</v>
      </c>
    </row>
    <row r="1156" spans="1:40" x14ac:dyDescent="0.25">
      <c r="A1156" t="s">
        <v>81</v>
      </c>
      <c r="B1156" t="str">
        <f>VLOOKUP(LEFT(A1156,3),'Table corresp.'!$A$4:$D$63,3,FALSE)</f>
        <v>Transformation</v>
      </c>
      <c r="C1156" t="str">
        <f>VLOOKUP(A1156,'Table corresp.'!$M$4:$P$63,4,FALSE)</f>
        <v>Production et transformation de produits bois</v>
      </c>
      <c r="D1156" t="s">
        <v>86</v>
      </c>
      <c r="E1156" t="str">
        <f>VLOOKUP(LEFT(D1156,3),'Table corresp.'!$A$4:$D$63,4,FALSE)</f>
        <v>Transformation</v>
      </c>
      <c r="F1156" t="str">
        <f t="shared" si="146"/>
        <v xml:space="preserve">05  - 30 </v>
      </c>
      <c r="G1156" s="213">
        <v>85997.30223789555</v>
      </c>
      <c r="H1156" s="213">
        <v>0</v>
      </c>
      <c r="I1156" s="213">
        <v>85997.30223789555</v>
      </c>
      <c r="J1156" s="215"/>
      <c r="K1156" s="215"/>
      <c r="L1156" s="215"/>
      <c r="M1156" s="215"/>
      <c r="N1156" s="215"/>
      <c r="O1156" s="215"/>
      <c r="P1156" s="215"/>
      <c r="Q1156" s="215"/>
      <c r="R1156" s="215"/>
      <c r="S1156" s="213"/>
      <c r="T1156" s="212">
        <f>VLOOKUP(A1156,'Groupe de branches'!$Z$27:$AM$86,14,FALSE)</f>
        <v>0</v>
      </c>
      <c r="U1156" s="212">
        <f>VLOOKUP(D1156,'Groupe de branches'!$Z$27:$AM$86,14,FALSE)</f>
        <v>1</v>
      </c>
      <c r="V1156" s="212">
        <v>2019</v>
      </c>
      <c r="W1156" s="212" t="str">
        <f>VLOOKUP(D1156,'Table corresp.'!$M$4:$S$63,7,FALSE)</f>
        <v>Energie</v>
      </c>
      <c r="X1156" s="228">
        <f>IFERROR(G1156/SUMIFS('Comp2016-2017 (3)'!$I$5:$I$289,'Comp2016-2017 (3)'!$A$5:$A$289,A1156,'Comp2016-2017 (3)'!$R$5:$R$289,V1156),0)</f>
        <v>7.779162742167095E-2</v>
      </c>
      <c r="Y1156" s="214">
        <f>IFERROR(IF(RIGHT(F1156,3)="Exp",VLOOKUP(F1156,#REF!,2,FALSE),VLOOKUP(F1156,#REF!,9,FALSE)),1)</f>
        <v>1</v>
      </c>
      <c r="Z1156" s="225">
        <f t="shared" si="144"/>
        <v>5.2631578947368418E-2</v>
      </c>
      <c r="AA1156" s="225">
        <f t="shared" si="140"/>
        <v>4.0942961800879444E-3</v>
      </c>
      <c r="AB1156" s="222">
        <f>IFERROR(SUMIFS('Comp2016-2017 (3)'!$G$5:$G$289,'Comp2016-2017 (3)'!$A$5:$A$289,A1156,'Comp2016-2017 (3)'!$R$5:$R$289,V1156)*AA1156/SUMIFS($AA$4:$AA$1858,$A$4:$A$1858,A1156,$V$4:$V$1858,V1156),0)</f>
        <v>62379.397893255787</v>
      </c>
      <c r="AC1156" s="222" t="str">
        <f>IF($W1156=AC$3,$AB1156,IF(NOT($W1156=0),"",SUMIFS('Val-Vol (2)'!AC$4:AC$1858,'Val-Vol (2)'!$A$4:$A$1858,$D1156,'Val-Vol (2)'!$V$4:$V$1858,$V1156)/SUMIFS('Comp2016-2017 (3)'!$G$5:$G$289,'Comp2016-2017 (3)'!$A$5:$A$289,$D1156,'Comp2016-2017 (3)'!$R$5:$R$289,$V1156)*$AB1156))</f>
        <v/>
      </c>
      <c r="AD1156" s="222" t="str">
        <f>IF($W1156=AD$3,$AB1156,IF(NOT($W1156=0),"",SUMIFS('Val-Vol (2)'!AD$4:AD$1858,'Val-Vol (2)'!$A$4:$A$1858,$D1156,'Val-Vol (2)'!$V$4:$V$1858,$V1156)/SUMIFS('Comp2016-2017 (3)'!$G$5:$G$289,'Comp2016-2017 (3)'!$A$5:$A$289,$D1156,'Comp2016-2017 (3)'!$R$5:$R$289,$V1156)*$AB1156))</f>
        <v/>
      </c>
      <c r="AE1156" s="222" t="str">
        <f>IF($W1156=AE$3,$AB1156,IF(NOT($W1156=0),"",SUMIFS('Val-Vol (2)'!AE$4:AE$1858,'Val-Vol (2)'!$A$4:$A$1858,$D1156,'Val-Vol (2)'!$V$4:$V$1858,$V1156)/SUMIFS('Comp2016-2017 (3)'!$G$5:$G$289,'Comp2016-2017 (3)'!$A$5:$A$289,$D1156,'Comp2016-2017 (3)'!$R$5:$R$289,$V1156)*$AB1156))</f>
        <v/>
      </c>
      <c r="AF1156" s="222" t="str">
        <f>IF($W1156=AF$3,$AB1156,IF(NOT($W1156=0),"",SUMIFS('Val-Vol (2)'!AF$4:AF$1858,'Val-Vol (2)'!$A$4:$A$1858,$D1156,'Val-Vol (2)'!$V$4:$V$1858,$V1156)/SUMIFS('Comp2016-2017 (3)'!$G$5:$G$289,'Comp2016-2017 (3)'!$A$5:$A$289,$D1156,'Comp2016-2017 (3)'!$R$5:$R$289,$V1156)*$AB1156))</f>
        <v/>
      </c>
      <c r="AG1156" s="222" t="str">
        <f>IF($W1156=AG$3,$AB1156,IF(NOT($W1156=0),"",SUMIFS('Val-Vol (2)'!AG$4:AG$1858,'Val-Vol (2)'!$A$4:$A$1858,$D1156,'Val-Vol (2)'!$V$4:$V$1858,$V1156)/SUMIFS('Comp2016-2017 (3)'!$G$5:$G$289,'Comp2016-2017 (3)'!$A$5:$A$289,$D1156,'Comp2016-2017 (3)'!$R$5:$R$289,$V1156)*$AB1156))</f>
        <v/>
      </c>
      <c r="AH1156" s="222">
        <f>IF($W1156=AH$3,$AB1156,IF(NOT($W1156=0),"",SUMIFS('Val-Vol (2)'!AH$4:AH$1858,'Val-Vol (2)'!$A$4:$A$1858,$D1156,'Val-Vol (2)'!$V$4:$V$1858,$V1156)/SUMIFS('Comp2016-2017 (3)'!$G$5:$G$289,'Comp2016-2017 (3)'!$A$5:$A$289,$D1156,'Comp2016-2017 (3)'!$R$5:$R$289,$V1156)*$AB1156))</f>
        <v>62379.397893255787</v>
      </c>
      <c r="AI1156" s="222" t="str">
        <f>IF($W1156=AI$3,$AB1156,IF(NOT($W1156=0),"",SUMIFS('Val-Vol (2)'!AI$4:AI$1858,'Val-Vol (2)'!$A$4:$A$1858,$D1156,'Val-Vol (2)'!$V$4:$V$1858,$V1156)/SUMIFS('Comp2016-2017 (3)'!$G$5:$G$289,'Comp2016-2017 (3)'!$A$5:$A$289,$D1156,'Comp2016-2017 (3)'!$R$5:$R$289,$V1156)*$AB1156))</f>
        <v/>
      </c>
      <c r="AJ1156" s="222" t="str">
        <f>IF($W1156=AJ$3,$AB1156,IF(NOT($W1156=0),"",SUMIFS('Val-Vol (2)'!AJ$4:AJ$1858,'Val-Vol (2)'!$A$4:$A$1858,$D1156,'Val-Vol (2)'!$V$4:$V$1858,$V1156)/SUMIFS('Comp2016-2017 (3)'!$G$5:$G$289,'Comp2016-2017 (3)'!$A$5:$A$289,$D1156,'Comp2016-2017 (3)'!$R$5:$R$289,$V1156)*$AB1156))</f>
        <v/>
      </c>
      <c r="AK1156" s="222">
        <f t="shared" si="147"/>
        <v>0</v>
      </c>
      <c r="AL1156" s="212" t="str">
        <f t="shared" si="143"/>
        <v/>
      </c>
      <c r="AM1156" s="212" t="str">
        <f>VLOOKUP(A1156,'Table corresp.'!$M$4:$U$63,8,FALSE)</f>
        <v>Production intermédiaire</v>
      </c>
      <c r="AN1156" s="212" t="str">
        <f>VLOOKUP(D1156,'Table corresp.'!$M$4:$U$63,9,FALSE)</f>
        <v>Production intermédiaire</v>
      </c>
    </row>
    <row r="1157" spans="1:40" x14ac:dyDescent="0.25">
      <c r="A1157" t="s">
        <v>81</v>
      </c>
      <c r="B1157" t="str">
        <f>VLOOKUP(LEFT(A1157,3),'Table corresp.'!$A$4:$D$63,3,FALSE)</f>
        <v>Transformation</v>
      </c>
      <c r="C1157" t="str">
        <f>VLOOKUP(A1157,'Table corresp.'!$M$4:$P$63,4,FALSE)</f>
        <v>Production et transformation de produits bois</v>
      </c>
      <c r="D1157" t="s">
        <v>87</v>
      </c>
      <c r="E1157" t="str">
        <f>VLOOKUP(LEFT(D1157,3),'Table corresp.'!$A$4:$D$63,4,FALSE)</f>
        <v>Transformation</v>
      </c>
      <c r="F1157" t="str">
        <f t="shared" si="146"/>
        <v xml:space="preserve">05  - 31 </v>
      </c>
      <c r="G1157" s="213">
        <v>61925.015103165351</v>
      </c>
      <c r="H1157" s="213">
        <v>0</v>
      </c>
      <c r="I1157" s="213">
        <v>61925.015103165351</v>
      </c>
      <c r="J1157" s="215"/>
      <c r="K1157" s="215"/>
      <c r="L1157" s="215"/>
      <c r="M1157" s="215"/>
      <c r="N1157" s="215"/>
      <c r="O1157" s="215"/>
      <c r="P1157" s="215"/>
      <c r="Q1157" s="215"/>
      <c r="R1157" s="215"/>
      <c r="S1157" s="213"/>
      <c r="T1157" s="212">
        <f>VLOOKUP(A1157,'Groupe de branches'!$Z$27:$AM$86,14,FALSE)</f>
        <v>0</v>
      </c>
      <c r="U1157" s="212">
        <f>VLOOKUP(D1157,'Groupe de branches'!$Z$27:$AM$86,14,FALSE)</f>
        <v>0</v>
      </c>
      <c r="V1157" s="212">
        <v>2019</v>
      </c>
      <c r="W1157" s="212">
        <f>VLOOKUP(D1157,'Table corresp.'!$M$4:$S$63,7,FALSE)</f>
        <v>0</v>
      </c>
      <c r="X1157" s="228">
        <f>IFERROR(G1157/SUMIFS('Comp2016-2017 (3)'!$I$5:$I$289,'Comp2016-2017 (3)'!$A$5:$A$289,A1157,'Comp2016-2017 (3)'!$R$5:$R$289,V1157),0)</f>
        <v>5.6016265366799128E-2</v>
      </c>
      <c r="Y1157" s="214">
        <f>IFERROR(IF(RIGHT(F1157,3)="Exp",VLOOKUP(F1157,#REF!,2,FALSE),VLOOKUP(F1157,#REF!,9,FALSE)),1)</f>
        <v>1</v>
      </c>
      <c r="Z1157" s="225">
        <f t="shared" si="144"/>
        <v>5.2631578947368418E-2</v>
      </c>
      <c r="AA1157" s="225">
        <f t="shared" si="140"/>
        <v>2.9482244929894276E-3</v>
      </c>
      <c r="AB1157" s="222">
        <f>IFERROR(SUMIFS('Comp2016-2017 (3)'!$G$5:$G$289,'Comp2016-2017 (3)'!$A$5:$A$289,A1157,'Comp2016-2017 (3)'!$R$5:$R$289,V1157)*AA1157/SUMIFS($AA$4:$AA$1858,$A$4:$A$1858,A1157,$V$4:$V$1858,V1157),0)</f>
        <v>44918.213201390703</v>
      </c>
      <c r="AC1157" s="222">
        <f>IF($W1157=AC$3,$AB1157,IF(NOT($W1157=0),"",SUMIFS('Val-Vol (2)'!AC$4:AC$1858,'Val-Vol (2)'!$A$4:$A$1858,$D1157,'Val-Vol (2)'!$V$4:$V$1858,$V1157)/SUMIFS('Comp2016-2017 (3)'!$G$5:$G$289,'Comp2016-2017 (3)'!$A$5:$A$289,$D1157,'Comp2016-2017 (3)'!$R$5:$R$289,$V1157)*$AB1157))</f>
        <v>0</v>
      </c>
      <c r="AD1157" s="222">
        <f>IF($W1157=AD$3,$AB1157,IF(NOT($W1157=0),"",SUMIFS('Val-Vol (2)'!AD$4:AD$1858,'Val-Vol (2)'!$A$4:$A$1858,$D1157,'Val-Vol (2)'!$V$4:$V$1858,$V1157)/SUMIFS('Comp2016-2017 (3)'!$G$5:$G$289,'Comp2016-2017 (3)'!$A$5:$A$289,$D1157,'Comp2016-2017 (3)'!$R$5:$R$289,$V1157)*$AB1157))</f>
        <v>0</v>
      </c>
      <c r="AE1157" s="222">
        <f>IF($W1157=AE$3,$AB1157,IF(NOT($W1157=0),"",SUMIFS('Val-Vol (2)'!AE$4:AE$1858,'Val-Vol (2)'!$A$4:$A$1858,$D1157,'Val-Vol (2)'!$V$4:$V$1858,$V1157)/SUMIFS('Comp2016-2017 (3)'!$G$5:$G$289,'Comp2016-2017 (3)'!$A$5:$A$289,$D1157,'Comp2016-2017 (3)'!$R$5:$R$289,$V1157)*$AB1157))</f>
        <v>0</v>
      </c>
      <c r="AF1157" s="222">
        <f>IF($W1157=AF$3,$AB1157,IF(NOT($W1157=0),"",SUMIFS('Val-Vol (2)'!AF$4:AF$1858,'Val-Vol (2)'!$A$4:$A$1858,$D1157,'Val-Vol (2)'!$V$4:$V$1858,$V1157)/SUMIFS('Comp2016-2017 (3)'!$G$5:$G$289,'Comp2016-2017 (3)'!$A$5:$A$289,$D1157,'Comp2016-2017 (3)'!$R$5:$R$289,$V1157)*$AB1157))</f>
        <v>0</v>
      </c>
      <c r="AG1157" s="222">
        <f>IF($W1157=AG$3,$AB1157,IF(NOT($W1157=0),"",SUMIFS('Val-Vol (2)'!AG$4:AG$1858,'Val-Vol (2)'!$A$4:$A$1858,$D1157,'Val-Vol (2)'!$V$4:$V$1858,$V1157)/SUMIFS('Comp2016-2017 (3)'!$G$5:$G$289,'Comp2016-2017 (3)'!$A$5:$A$289,$D1157,'Comp2016-2017 (3)'!$R$5:$R$289,$V1157)*$AB1157))</f>
        <v>0</v>
      </c>
      <c r="AH1157" s="222">
        <f>IF($W1157=AH$3,$AB1157,IF(NOT($W1157=0),"",SUMIFS('Val-Vol (2)'!AH$4:AH$1858,'Val-Vol (2)'!$A$4:$A$1858,$D1157,'Val-Vol (2)'!$V$4:$V$1858,$V1157)/SUMIFS('Comp2016-2017 (3)'!$G$5:$G$289,'Comp2016-2017 (3)'!$A$5:$A$289,$D1157,'Comp2016-2017 (3)'!$R$5:$R$289,$V1157)*$AB1157))</f>
        <v>0</v>
      </c>
      <c r="AI1157" s="222">
        <f>IF($W1157=AI$3,$AB1157,IF(NOT($W1157=0),"",SUMIFS('Val-Vol (2)'!AI$4:AI$1858,'Val-Vol (2)'!$A$4:$A$1858,$D1157,'Val-Vol (2)'!$V$4:$V$1858,$V1157)/SUMIFS('Comp2016-2017 (3)'!$G$5:$G$289,'Comp2016-2017 (3)'!$A$5:$A$289,$D1157,'Comp2016-2017 (3)'!$R$5:$R$289,$V1157)*$AB1157))</f>
        <v>0</v>
      </c>
      <c r="AJ1157" s="222">
        <f>IF($W1157=AJ$3,$AB1157,IF(NOT($W1157=0),"",SUMIFS('Val-Vol (2)'!AJ$4:AJ$1858,'Val-Vol (2)'!$A$4:$A$1858,$D1157,'Val-Vol (2)'!$V$4:$V$1858,$V1157)/SUMIFS('Comp2016-2017 (3)'!$G$5:$G$289,'Comp2016-2017 (3)'!$A$5:$A$289,$D1157,'Comp2016-2017 (3)'!$R$5:$R$289,$V1157)*$AB1157))</f>
        <v>0</v>
      </c>
      <c r="AK1157" s="222">
        <f t="shared" si="147"/>
        <v>-44918.213201390703</v>
      </c>
      <c r="AL1157" s="212" t="str">
        <f t="shared" si="143"/>
        <v/>
      </c>
      <c r="AM1157" s="212" t="str">
        <f>VLOOKUP(A1157,'Table corresp.'!$M$4:$U$63,8,FALSE)</f>
        <v>Production intermédiaire</v>
      </c>
      <c r="AN1157" s="212" t="str">
        <f>VLOOKUP(D1157,'Table corresp.'!$M$4:$U$63,9,FALSE)</f>
        <v>Production intermédiaire</v>
      </c>
    </row>
    <row r="1158" spans="1:40" x14ac:dyDescent="0.25">
      <c r="A1158" t="s">
        <v>81</v>
      </c>
      <c r="B1158" t="str">
        <f>VLOOKUP(LEFT(A1158,3),'Table corresp.'!$A$4:$D$63,3,FALSE)</f>
        <v>Transformation</v>
      </c>
      <c r="C1158" t="str">
        <f>VLOOKUP(A1158,'Table corresp.'!$M$4:$P$63,4,FALSE)</f>
        <v>Production et transformation de produits bois</v>
      </c>
      <c r="D1158" t="s">
        <v>91</v>
      </c>
      <c r="E1158" t="str">
        <f>VLOOKUP(LEFT(D1158,3),'Table corresp.'!$A$4:$D$63,4,FALSE)</f>
        <v>Transformation</v>
      </c>
      <c r="F1158" t="str">
        <f t="shared" si="146"/>
        <v xml:space="preserve">05  - 37 </v>
      </c>
      <c r="G1158" s="213">
        <v>19011.142402906746</v>
      </c>
      <c r="H1158" s="213">
        <v>0</v>
      </c>
      <c r="I1158" s="213">
        <v>19011.142402906746</v>
      </c>
      <c r="J1158" s="215"/>
      <c r="K1158" s="215"/>
      <c r="L1158" s="215"/>
      <c r="M1158" s="215"/>
      <c r="N1158" s="215"/>
      <c r="O1158" s="215"/>
      <c r="P1158" s="215"/>
      <c r="Q1158" s="215"/>
      <c r="R1158" s="215"/>
      <c r="S1158" s="213"/>
      <c r="T1158" s="212">
        <f>VLOOKUP(A1158,'Groupe de branches'!$Z$27:$AM$86,14,FALSE)</f>
        <v>0</v>
      </c>
      <c r="U1158" s="212">
        <f>VLOOKUP(D1158,'Groupe de branches'!$Z$27:$AM$86,14,FALSE)</f>
        <v>0</v>
      </c>
      <c r="V1158" s="212">
        <v>2019</v>
      </c>
      <c r="W1158" s="212" t="str">
        <f>VLOOKUP(D1158,'Table corresp.'!$M$4:$S$63,7,FALSE)</f>
        <v>Emballage bois et carton</v>
      </c>
      <c r="X1158" s="228">
        <f>IFERROR(G1158/SUMIFS('Comp2016-2017 (3)'!$I$5:$I$289,'Comp2016-2017 (3)'!$A$5:$A$289,A1158,'Comp2016-2017 (3)'!$R$5:$R$289,V1158),0)</f>
        <v>1.719714070304355E-2</v>
      </c>
      <c r="Y1158" s="214">
        <f>IFERROR(IF(RIGHT(F1158,3)="Exp",VLOOKUP(F1158,#REF!,2,FALSE),VLOOKUP(F1158,#REF!,9,FALSE)),1)</f>
        <v>1</v>
      </c>
      <c r="Z1158" s="225">
        <f t="shared" si="144"/>
        <v>5.2631578947368418E-2</v>
      </c>
      <c r="AA1158" s="225">
        <f t="shared" si="140"/>
        <v>9.0511266858123943E-4</v>
      </c>
      <c r="AB1158" s="222">
        <f>IFERROR(SUMIFS('Comp2016-2017 (3)'!$G$5:$G$289,'Comp2016-2017 (3)'!$A$5:$A$289,A1158,'Comp2016-2017 (3)'!$R$5:$R$289,V1158)*AA1158/SUMIFS($AA$4:$AA$1858,$A$4:$A$1858,A1158,$V$4:$V$1858,V1158),0)</f>
        <v>13790.009517690274</v>
      </c>
      <c r="AC1158" s="222" t="str">
        <f>IF($W1158=AC$3,$AB1158,IF(NOT($W1158=0),"",SUMIFS('Val-Vol (2)'!AC$4:AC$1858,'Val-Vol (2)'!$A$4:$A$1858,$D1158,'Val-Vol (2)'!$V$4:$V$1858,$V1158)/SUMIFS('Comp2016-2017 (3)'!$G$5:$G$289,'Comp2016-2017 (3)'!$A$5:$A$289,$D1158,'Comp2016-2017 (3)'!$R$5:$R$289,$V1158)*$AB1158))</f>
        <v/>
      </c>
      <c r="AD1158" s="222" t="str">
        <f>IF($W1158=AD$3,$AB1158,IF(NOT($W1158=0),"",SUMIFS('Val-Vol (2)'!AD$4:AD$1858,'Val-Vol (2)'!$A$4:$A$1858,$D1158,'Val-Vol (2)'!$V$4:$V$1858,$V1158)/SUMIFS('Comp2016-2017 (3)'!$G$5:$G$289,'Comp2016-2017 (3)'!$A$5:$A$289,$D1158,'Comp2016-2017 (3)'!$R$5:$R$289,$V1158)*$AB1158))</f>
        <v/>
      </c>
      <c r="AE1158" s="222" t="str">
        <f>IF($W1158=AE$3,$AB1158,IF(NOT($W1158=0),"",SUMIFS('Val-Vol (2)'!AE$4:AE$1858,'Val-Vol (2)'!$A$4:$A$1858,$D1158,'Val-Vol (2)'!$V$4:$V$1858,$V1158)/SUMIFS('Comp2016-2017 (3)'!$G$5:$G$289,'Comp2016-2017 (3)'!$A$5:$A$289,$D1158,'Comp2016-2017 (3)'!$R$5:$R$289,$V1158)*$AB1158))</f>
        <v/>
      </c>
      <c r="AF1158" s="222" t="str">
        <f>IF($W1158=AF$3,$AB1158,IF(NOT($W1158=0),"",SUMIFS('Val-Vol (2)'!AF$4:AF$1858,'Val-Vol (2)'!$A$4:$A$1858,$D1158,'Val-Vol (2)'!$V$4:$V$1858,$V1158)/SUMIFS('Comp2016-2017 (3)'!$G$5:$G$289,'Comp2016-2017 (3)'!$A$5:$A$289,$D1158,'Comp2016-2017 (3)'!$R$5:$R$289,$V1158)*$AB1158))</f>
        <v/>
      </c>
      <c r="AG1158" s="222">
        <f>IF($W1158=AG$3,$AB1158,IF(NOT($W1158=0),"",SUMIFS('Val-Vol (2)'!AG$4:AG$1858,'Val-Vol (2)'!$A$4:$A$1858,$D1158,'Val-Vol (2)'!$V$4:$V$1858,$V1158)/SUMIFS('Comp2016-2017 (3)'!$G$5:$G$289,'Comp2016-2017 (3)'!$A$5:$A$289,$D1158,'Comp2016-2017 (3)'!$R$5:$R$289,$V1158)*$AB1158))</f>
        <v>13790.009517690274</v>
      </c>
      <c r="AH1158" s="222" t="str">
        <f>IF($W1158=AH$3,$AB1158,IF(NOT($W1158=0),"",SUMIFS('Val-Vol (2)'!AH$4:AH$1858,'Val-Vol (2)'!$A$4:$A$1858,$D1158,'Val-Vol (2)'!$V$4:$V$1858,$V1158)/SUMIFS('Comp2016-2017 (3)'!$G$5:$G$289,'Comp2016-2017 (3)'!$A$5:$A$289,$D1158,'Comp2016-2017 (3)'!$R$5:$R$289,$V1158)*$AB1158))</f>
        <v/>
      </c>
      <c r="AI1158" s="222" t="str">
        <f>IF($W1158=AI$3,$AB1158,IF(NOT($W1158=0),"",SUMIFS('Val-Vol (2)'!AI$4:AI$1858,'Val-Vol (2)'!$A$4:$A$1858,$D1158,'Val-Vol (2)'!$V$4:$V$1858,$V1158)/SUMIFS('Comp2016-2017 (3)'!$G$5:$G$289,'Comp2016-2017 (3)'!$A$5:$A$289,$D1158,'Comp2016-2017 (3)'!$R$5:$R$289,$V1158)*$AB1158))</f>
        <v/>
      </c>
      <c r="AJ1158" s="222" t="str">
        <f>IF($W1158=AJ$3,$AB1158,IF(NOT($W1158=0),"",SUMIFS('Val-Vol (2)'!AJ$4:AJ$1858,'Val-Vol (2)'!$A$4:$A$1858,$D1158,'Val-Vol (2)'!$V$4:$V$1858,$V1158)/SUMIFS('Comp2016-2017 (3)'!$G$5:$G$289,'Comp2016-2017 (3)'!$A$5:$A$289,$D1158,'Comp2016-2017 (3)'!$R$5:$R$289,$V1158)*$AB1158))</f>
        <v/>
      </c>
      <c r="AK1158" s="222">
        <f t="shared" si="147"/>
        <v>0</v>
      </c>
      <c r="AL1158" s="212" t="str">
        <f t="shared" si="143"/>
        <v/>
      </c>
      <c r="AM1158" s="212" t="str">
        <f>VLOOKUP(A1158,'Table corresp.'!$M$4:$U$63,8,FALSE)</f>
        <v>Production intermédiaire</v>
      </c>
      <c r="AN1158" s="212" t="str">
        <f>VLOOKUP(D1158,'Table corresp.'!$M$4:$U$63,9,FALSE)</f>
        <v>Production finale</v>
      </c>
    </row>
    <row r="1159" spans="1:40" x14ac:dyDescent="0.25">
      <c r="A1159" t="s">
        <v>81</v>
      </c>
      <c r="B1159" t="str">
        <f>VLOOKUP(LEFT(A1159,3),'Table corresp.'!$A$4:$D$63,3,FALSE)</f>
        <v>Transformation</v>
      </c>
      <c r="C1159" t="str">
        <f>VLOOKUP(A1159,'Table corresp.'!$M$4:$P$63,4,FALSE)</f>
        <v>Production et transformation de produits bois</v>
      </c>
      <c r="D1159" t="s">
        <v>95</v>
      </c>
      <c r="E1159" t="str">
        <f>VLOOKUP(LEFT(D1159,3),'Table corresp.'!$A$4:$D$63,4,FALSE)</f>
        <v>Transformation</v>
      </c>
      <c r="F1159" t="str">
        <f t="shared" si="146"/>
        <v xml:space="preserve">05  - 43 </v>
      </c>
      <c r="G1159" s="213">
        <v>59444.627900463529</v>
      </c>
      <c r="H1159" s="213">
        <v>0</v>
      </c>
      <c r="I1159" s="213">
        <v>59444.627900463529</v>
      </c>
      <c r="J1159" s="215"/>
      <c r="K1159" s="215"/>
      <c r="L1159" s="215"/>
      <c r="M1159" s="215"/>
      <c r="N1159" s="215"/>
      <c r="O1159" s="215"/>
      <c r="P1159" s="215"/>
      <c r="Q1159" s="215"/>
      <c r="R1159" s="215"/>
      <c r="S1159" s="213"/>
      <c r="T1159" s="212">
        <f>VLOOKUP(A1159,'Groupe de branches'!$Z$27:$AM$86,14,FALSE)</f>
        <v>0</v>
      </c>
      <c r="U1159" s="212">
        <f>VLOOKUP(D1159,'Groupe de branches'!$Z$27:$AM$86,14,FALSE)</f>
        <v>0</v>
      </c>
      <c r="V1159" s="212">
        <v>2019</v>
      </c>
      <c r="W1159" s="212" t="str">
        <f>VLOOKUP(D1159,'Table corresp.'!$M$4:$S$63,7,FALSE)</f>
        <v>Pate &amp; papier &amp; carton</v>
      </c>
      <c r="X1159" s="228">
        <f>IFERROR(G1159/SUMIFS('Comp2016-2017 (3)'!$I$5:$I$289,'Comp2016-2017 (3)'!$A$5:$A$289,A1159,'Comp2016-2017 (3)'!$R$5:$R$289,V1159),0)</f>
        <v>5.3772551295393822E-2</v>
      </c>
      <c r="Y1159" s="214">
        <f>IFERROR(IF(RIGHT(F1159,3)="Exp",VLOOKUP(F1159,#REF!,2,FALSE),VLOOKUP(F1159,#REF!,9,FALSE)),1)</f>
        <v>1</v>
      </c>
      <c r="Z1159" s="225">
        <f t="shared" si="144"/>
        <v>5.2631578947368418E-2</v>
      </c>
      <c r="AA1159" s="225">
        <f t="shared" si="140"/>
        <v>2.8301342787049378E-3</v>
      </c>
      <c r="AB1159" s="222">
        <f>IFERROR(SUMIFS('Comp2016-2017 (3)'!$G$5:$G$289,'Comp2016-2017 (3)'!$A$5:$A$289,A1159,'Comp2016-2017 (3)'!$R$5:$R$289,V1159)*AA1159/SUMIFS($AA$4:$AA$1858,$A$4:$A$1858,A1159,$V$4:$V$1858,V1159),0)</f>
        <v>43119.028154647502</v>
      </c>
      <c r="AC1159" s="222" t="str">
        <f>IF($W1159=AC$3,$AB1159,IF(NOT($W1159=0),"",SUMIFS('Val-Vol (2)'!AC$4:AC$1858,'Val-Vol (2)'!$A$4:$A$1858,$D1159,'Val-Vol (2)'!$V$4:$V$1858,$V1159)/SUMIFS('Comp2016-2017 (3)'!$G$5:$G$289,'Comp2016-2017 (3)'!$A$5:$A$289,$D1159,'Comp2016-2017 (3)'!$R$5:$R$289,$V1159)*$AB1159))</f>
        <v/>
      </c>
      <c r="AD1159" s="222" t="str">
        <f>IF($W1159=AD$3,$AB1159,IF(NOT($W1159=0),"",SUMIFS('Val-Vol (2)'!AD$4:AD$1858,'Val-Vol (2)'!$A$4:$A$1858,$D1159,'Val-Vol (2)'!$V$4:$V$1858,$V1159)/SUMIFS('Comp2016-2017 (3)'!$G$5:$G$289,'Comp2016-2017 (3)'!$A$5:$A$289,$D1159,'Comp2016-2017 (3)'!$R$5:$R$289,$V1159)*$AB1159))</f>
        <v/>
      </c>
      <c r="AE1159" s="222" t="str">
        <f>IF($W1159=AE$3,$AB1159,IF(NOT($W1159=0),"",SUMIFS('Val-Vol (2)'!AE$4:AE$1858,'Val-Vol (2)'!$A$4:$A$1858,$D1159,'Val-Vol (2)'!$V$4:$V$1858,$V1159)/SUMIFS('Comp2016-2017 (3)'!$G$5:$G$289,'Comp2016-2017 (3)'!$A$5:$A$289,$D1159,'Comp2016-2017 (3)'!$R$5:$R$289,$V1159)*$AB1159))</f>
        <v/>
      </c>
      <c r="AF1159" s="222">
        <f>IF($W1159=AF$3,$AB1159,IF(NOT($W1159=0),"",SUMIFS('Val-Vol (2)'!AF$4:AF$1858,'Val-Vol (2)'!$A$4:$A$1858,$D1159,'Val-Vol (2)'!$V$4:$V$1858,$V1159)/SUMIFS('Comp2016-2017 (3)'!$G$5:$G$289,'Comp2016-2017 (3)'!$A$5:$A$289,$D1159,'Comp2016-2017 (3)'!$R$5:$R$289,$V1159)*$AB1159))</f>
        <v>43119.028154647502</v>
      </c>
      <c r="AG1159" s="222" t="str">
        <f>IF($W1159=AG$3,$AB1159,IF(NOT($W1159=0),"",SUMIFS('Val-Vol (2)'!AG$4:AG$1858,'Val-Vol (2)'!$A$4:$A$1858,$D1159,'Val-Vol (2)'!$V$4:$V$1858,$V1159)/SUMIFS('Comp2016-2017 (3)'!$G$5:$G$289,'Comp2016-2017 (3)'!$A$5:$A$289,$D1159,'Comp2016-2017 (3)'!$R$5:$R$289,$V1159)*$AB1159))</f>
        <v/>
      </c>
      <c r="AH1159" s="222" t="str">
        <f>IF($W1159=AH$3,$AB1159,IF(NOT($W1159=0),"",SUMIFS('Val-Vol (2)'!AH$4:AH$1858,'Val-Vol (2)'!$A$4:$A$1858,$D1159,'Val-Vol (2)'!$V$4:$V$1858,$V1159)/SUMIFS('Comp2016-2017 (3)'!$G$5:$G$289,'Comp2016-2017 (3)'!$A$5:$A$289,$D1159,'Comp2016-2017 (3)'!$R$5:$R$289,$V1159)*$AB1159))</f>
        <v/>
      </c>
      <c r="AI1159" s="222" t="str">
        <f>IF($W1159=AI$3,$AB1159,IF(NOT($W1159=0),"",SUMIFS('Val-Vol (2)'!AI$4:AI$1858,'Val-Vol (2)'!$A$4:$A$1858,$D1159,'Val-Vol (2)'!$V$4:$V$1858,$V1159)/SUMIFS('Comp2016-2017 (3)'!$G$5:$G$289,'Comp2016-2017 (3)'!$A$5:$A$289,$D1159,'Comp2016-2017 (3)'!$R$5:$R$289,$V1159)*$AB1159))</f>
        <v/>
      </c>
      <c r="AJ1159" s="222" t="str">
        <f>IF($W1159=AJ$3,$AB1159,IF(NOT($W1159=0),"",SUMIFS('Val-Vol (2)'!AJ$4:AJ$1858,'Val-Vol (2)'!$A$4:$A$1858,$D1159,'Val-Vol (2)'!$V$4:$V$1858,$V1159)/SUMIFS('Comp2016-2017 (3)'!$G$5:$G$289,'Comp2016-2017 (3)'!$A$5:$A$289,$D1159,'Comp2016-2017 (3)'!$R$5:$R$289,$V1159)*$AB1159))</f>
        <v/>
      </c>
      <c r="AK1159" s="222">
        <f t="shared" si="147"/>
        <v>0</v>
      </c>
      <c r="AL1159" s="212" t="str">
        <f t="shared" si="143"/>
        <v/>
      </c>
      <c r="AM1159" s="212" t="str">
        <f>VLOOKUP(A1159,'Table corresp.'!$M$4:$U$63,8,FALSE)</f>
        <v>Production intermédiaire</v>
      </c>
      <c r="AN1159" s="212" t="str">
        <f>VLOOKUP(D1159,'Table corresp.'!$M$4:$U$63,9,FALSE)</f>
        <v>Production intermédiaire</v>
      </c>
    </row>
    <row r="1160" spans="1:40" x14ac:dyDescent="0.25">
      <c r="A1160" t="s">
        <v>81</v>
      </c>
      <c r="B1160" t="str">
        <f>VLOOKUP(LEFT(A1160,3),'Table corresp.'!$A$4:$D$63,3,FALSE)</f>
        <v>Transformation</v>
      </c>
      <c r="C1160" t="str">
        <f>VLOOKUP(A1160,'Table corresp.'!$M$4:$P$63,4,FALSE)</f>
        <v>Production et transformation de produits bois</v>
      </c>
      <c r="D1160" t="s">
        <v>98</v>
      </c>
      <c r="E1160" t="str">
        <f>VLOOKUP(LEFT(D1160,3),'Table corresp.'!$A$4:$D$63,4,FALSE)</f>
        <v>Transformation</v>
      </c>
      <c r="F1160" t="str">
        <f t="shared" si="146"/>
        <v xml:space="preserve">05  - 46 </v>
      </c>
      <c r="G1160" s="213">
        <v>12537.442180086618</v>
      </c>
      <c r="H1160" s="213">
        <v>0</v>
      </c>
      <c r="I1160" s="213">
        <v>12537.44218008662</v>
      </c>
      <c r="J1160" s="215"/>
      <c r="K1160" s="215"/>
      <c r="L1160" s="215"/>
      <c r="M1160" s="215"/>
      <c r="N1160" s="215"/>
      <c r="O1160" s="215"/>
      <c r="P1160" s="215"/>
      <c r="Q1160" s="215"/>
      <c r="R1160" s="215"/>
      <c r="S1160" s="213"/>
      <c r="T1160" s="212">
        <f>VLOOKUP(A1160,'Groupe de branches'!$Z$27:$AM$86,14,FALSE)</f>
        <v>0</v>
      </c>
      <c r="U1160" s="212">
        <f>VLOOKUP(D1160,'Groupe de branches'!$Z$27:$AM$86,14,FALSE)</f>
        <v>0</v>
      </c>
      <c r="V1160" s="212">
        <v>2019</v>
      </c>
      <c r="W1160" s="212" t="str">
        <f>VLOOKUP(D1160,'Table corresp.'!$M$4:$S$63,7,FALSE)</f>
        <v>Produits de consommation courante</v>
      </c>
      <c r="X1160" s="228">
        <f>IFERROR(G1160/SUMIFS('Comp2016-2017 (3)'!$I$5:$I$289,'Comp2016-2017 (3)'!$A$5:$A$289,A1160,'Comp2016-2017 (3)'!$R$5:$R$289,V1160),0)</f>
        <v>1.1341146821048314E-2</v>
      </c>
      <c r="Y1160" s="214">
        <f>IFERROR(IF(RIGHT(F1160,3)="Exp",VLOOKUP(F1160,#REF!,2,FALSE),VLOOKUP(F1160,#REF!,9,FALSE)),1)</f>
        <v>1</v>
      </c>
      <c r="Z1160" s="225">
        <f t="shared" si="144"/>
        <v>5.2631578947368418E-2</v>
      </c>
      <c r="AA1160" s="225">
        <f t="shared" si="140"/>
        <v>5.9690246426570071E-4</v>
      </c>
      <c r="AB1160" s="222">
        <f>IFERROR(SUMIFS('Comp2016-2017 (3)'!$G$5:$G$289,'Comp2016-2017 (3)'!$A$5:$A$289,A1160,'Comp2016-2017 (3)'!$R$5:$R$289,V1160)*AA1160/SUMIFS($AA$4:$AA$1858,$A$4:$A$1858,A1160,$V$4:$V$1858,V1160),0)</f>
        <v>9094.2166087005589</v>
      </c>
      <c r="AC1160" s="222" t="str">
        <f>IF($W1160=AC$3,$AB1160,IF(NOT($W1160=0),"",SUMIFS('Val-Vol (2)'!AC$4:AC$1858,'Val-Vol (2)'!$A$4:$A$1858,$D1160,'Val-Vol (2)'!$V$4:$V$1858,$V1160)/SUMIFS('Comp2016-2017 (3)'!$G$5:$G$289,'Comp2016-2017 (3)'!$A$5:$A$289,$D1160,'Comp2016-2017 (3)'!$R$5:$R$289,$V1160)*$AB1160))</f>
        <v/>
      </c>
      <c r="AD1160" s="222" t="str">
        <f>IF($W1160=AD$3,$AB1160,IF(NOT($W1160=0),"",SUMIFS('Val-Vol (2)'!AD$4:AD$1858,'Val-Vol (2)'!$A$4:$A$1858,$D1160,'Val-Vol (2)'!$V$4:$V$1858,$V1160)/SUMIFS('Comp2016-2017 (3)'!$G$5:$G$289,'Comp2016-2017 (3)'!$A$5:$A$289,$D1160,'Comp2016-2017 (3)'!$R$5:$R$289,$V1160)*$AB1160))</f>
        <v/>
      </c>
      <c r="AE1160" s="222" t="str">
        <f>IF($W1160=AE$3,$AB1160,IF(NOT($W1160=0),"",SUMIFS('Val-Vol (2)'!AE$4:AE$1858,'Val-Vol (2)'!$A$4:$A$1858,$D1160,'Val-Vol (2)'!$V$4:$V$1858,$V1160)/SUMIFS('Comp2016-2017 (3)'!$G$5:$G$289,'Comp2016-2017 (3)'!$A$5:$A$289,$D1160,'Comp2016-2017 (3)'!$R$5:$R$289,$V1160)*$AB1160))</f>
        <v/>
      </c>
      <c r="AF1160" s="222" t="str">
        <f>IF($W1160=AF$3,$AB1160,IF(NOT($W1160=0),"",SUMIFS('Val-Vol (2)'!AF$4:AF$1858,'Val-Vol (2)'!$A$4:$A$1858,$D1160,'Val-Vol (2)'!$V$4:$V$1858,$V1160)/SUMIFS('Comp2016-2017 (3)'!$G$5:$G$289,'Comp2016-2017 (3)'!$A$5:$A$289,$D1160,'Comp2016-2017 (3)'!$R$5:$R$289,$V1160)*$AB1160))</f>
        <v/>
      </c>
      <c r="AG1160" s="222" t="str">
        <f>IF($W1160=AG$3,$AB1160,IF(NOT($W1160=0),"",SUMIFS('Val-Vol (2)'!AG$4:AG$1858,'Val-Vol (2)'!$A$4:$A$1858,$D1160,'Val-Vol (2)'!$V$4:$V$1858,$V1160)/SUMIFS('Comp2016-2017 (3)'!$G$5:$G$289,'Comp2016-2017 (3)'!$A$5:$A$289,$D1160,'Comp2016-2017 (3)'!$R$5:$R$289,$V1160)*$AB1160))</f>
        <v/>
      </c>
      <c r="AH1160" s="222" t="str">
        <f>IF($W1160=AH$3,$AB1160,IF(NOT($W1160=0),"",SUMIFS('Val-Vol (2)'!AH$4:AH$1858,'Val-Vol (2)'!$A$4:$A$1858,$D1160,'Val-Vol (2)'!$V$4:$V$1858,$V1160)/SUMIFS('Comp2016-2017 (3)'!$G$5:$G$289,'Comp2016-2017 (3)'!$A$5:$A$289,$D1160,'Comp2016-2017 (3)'!$R$5:$R$289,$V1160)*$AB1160))</f>
        <v/>
      </c>
      <c r="AI1160" s="222">
        <f>IF($W1160=AI$3,$AB1160,IF(NOT($W1160=0),"",SUMIFS('Val-Vol (2)'!AI$4:AI$1858,'Val-Vol (2)'!$A$4:$A$1858,$D1160,'Val-Vol (2)'!$V$4:$V$1858,$V1160)/SUMIFS('Comp2016-2017 (3)'!$G$5:$G$289,'Comp2016-2017 (3)'!$A$5:$A$289,$D1160,'Comp2016-2017 (3)'!$R$5:$R$289,$V1160)*$AB1160))</f>
        <v>9094.2166087005589</v>
      </c>
      <c r="AJ1160" s="222" t="str">
        <f>IF($W1160=AJ$3,$AB1160,IF(NOT($W1160=0),"",SUMIFS('Val-Vol (2)'!AJ$4:AJ$1858,'Val-Vol (2)'!$A$4:$A$1858,$D1160,'Val-Vol (2)'!$V$4:$V$1858,$V1160)/SUMIFS('Comp2016-2017 (3)'!$G$5:$G$289,'Comp2016-2017 (3)'!$A$5:$A$289,$D1160,'Comp2016-2017 (3)'!$R$5:$R$289,$V1160)*$AB1160))</f>
        <v/>
      </c>
      <c r="AK1160" s="222">
        <f t="shared" si="147"/>
        <v>0</v>
      </c>
      <c r="AL1160" s="212" t="str">
        <f t="shared" si="143"/>
        <v/>
      </c>
      <c r="AM1160" s="212" t="str">
        <f>VLOOKUP(A1160,'Table corresp.'!$M$4:$U$63,8,FALSE)</f>
        <v>Production intermédiaire</v>
      </c>
      <c r="AN1160" s="212" t="str">
        <f>VLOOKUP(D1160,'Table corresp.'!$M$4:$U$63,9,FALSE)</f>
        <v>Production intermédiaire</v>
      </c>
    </row>
    <row r="1161" spans="1:40" x14ac:dyDescent="0.25">
      <c r="A1161" t="s">
        <v>81</v>
      </c>
      <c r="B1161" t="str">
        <f>VLOOKUP(LEFT(A1161,3),'Table corresp.'!$A$4:$D$63,3,FALSE)</f>
        <v>Transformation</v>
      </c>
      <c r="C1161" t="str">
        <f>VLOOKUP(A1161,'Table corresp.'!$M$4:$P$63,4,FALSE)</f>
        <v>Production et transformation de produits bois</v>
      </c>
      <c r="D1161" t="s">
        <v>54</v>
      </c>
      <c r="E1161" t="str">
        <f>VLOOKUP(LEFT(D1161,3),'Table corresp.'!$A$4:$D$63,4,FALSE)</f>
        <v>Consommation finale</v>
      </c>
      <c r="F1161" t="str">
        <f t="shared" si="146"/>
        <v>05  - Con</v>
      </c>
      <c r="G1161" s="213">
        <v>21.792107233861035</v>
      </c>
      <c r="H1161" s="213">
        <v>0</v>
      </c>
      <c r="I1161" s="213">
        <v>21.792107233861035</v>
      </c>
      <c r="J1161" s="215"/>
      <c r="K1161" s="215"/>
      <c r="L1161" s="215"/>
      <c r="M1161" s="215"/>
      <c r="N1161" s="215"/>
      <c r="O1161" s="215"/>
      <c r="P1161" s="215"/>
      <c r="Q1161" s="215"/>
      <c r="R1161" s="215"/>
      <c r="S1161" s="213"/>
      <c r="T1161" s="212">
        <f>VLOOKUP(A1161,'Groupe de branches'!$Z$27:$AM$86,14,FALSE)</f>
        <v>0</v>
      </c>
      <c r="U1161" s="212">
        <f>VLOOKUP(D1161,'Groupe de branches'!$Z$27:$AM$86,14,FALSE)</f>
        <v>0</v>
      </c>
      <c r="V1161" s="212">
        <v>2019</v>
      </c>
      <c r="W1161" s="212" t="str">
        <f>VLOOKUP(D1161,'Table corresp.'!$M$4:$S$63,7,FALSE)</f>
        <v>Consommation finale</v>
      </c>
      <c r="X1161" s="228">
        <f>IFERROR(G1161/SUMIFS('Comp2016-2017 (3)'!$I$5:$I$289,'Comp2016-2017 (3)'!$A$5:$A$289,A1161,'Comp2016-2017 (3)'!$R$5:$R$289,V1161),0)</f>
        <v>1.9712751941683497E-5</v>
      </c>
      <c r="Y1161" s="214">
        <f>IFERROR(IF(RIGHT(F1161,3)="Exp",VLOOKUP(F1161,#REF!,2,FALSE),VLOOKUP(F1161,#REF!,9,FALSE)),1)</f>
        <v>1</v>
      </c>
      <c r="Z1161" s="225">
        <f t="shared" si="144"/>
        <v>5.2631578947368418E-2</v>
      </c>
      <c r="AA1161" s="225">
        <f t="shared" si="140"/>
        <v>1.037513260088605E-6</v>
      </c>
      <c r="AB1161" s="222">
        <f>IFERROR(SUMIFS('Comp2016-2017 (3)'!$G$5:$G$289,'Comp2016-2017 (3)'!$A$5:$A$289,A1161,'Comp2016-2017 (3)'!$R$5:$R$289,V1161)*AA1161/SUMIFS($AA$4:$AA$1858,$A$4:$A$1858,A1161,$V$4:$V$1858,V1161),0)</f>
        <v>15.80722293256418</v>
      </c>
      <c r="AC1161" s="222" t="str">
        <f>IF($W1161=AC$3,$AB1161,IF(NOT($W1161=0),"",SUMIFS('Val-Vol (2)'!AC$4:AC$1858,'Val-Vol (2)'!$A$4:$A$1858,$D1161,'Val-Vol (2)'!$V$4:$V$1858,$V1161)/SUMIFS('Comp2016-2017 (3)'!$G$5:$G$289,'Comp2016-2017 (3)'!$A$5:$A$289,$D1161,'Comp2016-2017 (3)'!$R$5:$R$289,$V1161)*$AB1161))</f>
        <v/>
      </c>
      <c r="AD1161" s="222" t="str">
        <f>IF($W1161=AD$3,$AB1161,IF(NOT($W1161=0),"",SUMIFS('Val-Vol (2)'!AD$4:AD$1858,'Val-Vol (2)'!$A$4:$A$1858,$D1161,'Val-Vol (2)'!$V$4:$V$1858,$V1161)/SUMIFS('Comp2016-2017 (3)'!$G$5:$G$289,'Comp2016-2017 (3)'!$A$5:$A$289,$D1161,'Comp2016-2017 (3)'!$R$5:$R$289,$V1161)*$AB1161))</f>
        <v/>
      </c>
      <c r="AE1161" s="222" t="str">
        <f>IF($W1161=AE$3,$AB1161,IF(NOT($W1161=0),"",SUMIFS('Val-Vol (2)'!AE$4:AE$1858,'Val-Vol (2)'!$A$4:$A$1858,$D1161,'Val-Vol (2)'!$V$4:$V$1858,$V1161)/SUMIFS('Comp2016-2017 (3)'!$G$5:$G$289,'Comp2016-2017 (3)'!$A$5:$A$289,$D1161,'Comp2016-2017 (3)'!$R$5:$R$289,$V1161)*$AB1161))</f>
        <v/>
      </c>
      <c r="AF1161" s="222" t="str">
        <f>IF($W1161=AF$3,$AB1161,IF(NOT($W1161=0),"",SUMIFS('Val-Vol (2)'!AF$4:AF$1858,'Val-Vol (2)'!$A$4:$A$1858,$D1161,'Val-Vol (2)'!$V$4:$V$1858,$V1161)/SUMIFS('Comp2016-2017 (3)'!$G$5:$G$289,'Comp2016-2017 (3)'!$A$5:$A$289,$D1161,'Comp2016-2017 (3)'!$R$5:$R$289,$V1161)*$AB1161))</f>
        <v/>
      </c>
      <c r="AG1161" s="222" t="str">
        <f>IF($W1161=AG$3,$AB1161,IF(NOT($W1161=0),"",SUMIFS('Val-Vol (2)'!AG$4:AG$1858,'Val-Vol (2)'!$A$4:$A$1858,$D1161,'Val-Vol (2)'!$V$4:$V$1858,$V1161)/SUMIFS('Comp2016-2017 (3)'!$G$5:$G$289,'Comp2016-2017 (3)'!$A$5:$A$289,$D1161,'Comp2016-2017 (3)'!$R$5:$R$289,$V1161)*$AB1161))</f>
        <v/>
      </c>
      <c r="AH1161" s="222" t="str">
        <f>IF($W1161=AH$3,$AB1161,IF(NOT($W1161=0),"",SUMIFS('Val-Vol (2)'!AH$4:AH$1858,'Val-Vol (2)'!$A$4:$A$1858,$D1161,'Val-Vol (2)'!$V$4:$V$1858,$V1161)/SUMIFS('Comp2016-2017 (3)'!$G$5:$G$289,'Comp2016-2017 (3)'!$A$5:$A$289,$D1161,'Comp2016-2017 (3)'!$R$5:$R$289,$V1161)*$AB1161))</f>
        <v/>
      </c>
      <c r="AI1161" s="222" t="str">
        <f>IF($W1161=AI$3,$AB1161,IF(NOT($W1161=0),"",SUMIFS('Val-Vol (2)'!AI$4:AI$1858,'Val-Vol (2)'!$A$4:$A$1858,$D1161,'Val-Vol (2)'!$V$4:$V$1858,$V1161)/SUMIFS('Comp2016-2017 (3)'!$G$5:$G$289,'Comp2016-2017 (3)'!$A$5:$A$289,$D1161,'Comp2016-2017 (3)'!$R$5:$R$289,$V1161)*$AB1161))</f>
        <v/>
      </c>
      <c r="AJ1161" s="222">
        <f>IF($W1161=AJ$3,$AB1161,IF(NOT($W1161=0),"",SUMIFS('Val-Vol (2)'!AJ$4:AJ$1858,'Val-Vol (2)'!$A$4:$A$1858,$D1161,'Val-Vol (2)'!$V$4:$V$1858,$V1161)/SUMIFS('Comp2016-2017 (3)'!$G$5:$G$289,'Comp2016-2017 (3)'!$A$5:$A$289,$D1161,'Comp2016-2017 (3)'!$R$5:$R$289,$V1161)*$AB1161))</f>
        <v>15.80722293256418</v>
      </c>
      <c r="AK1161" s="222">
        <f t="shared" si="147"/>
        <v>0</v>
      </c>
      <c r="AL1161" s="212" t="str">
        <f t="shared" si="143"/>
        <v/>
      </c>
      <c r="AM1161" s="212" t="str">
        <f>VLOOKUP(A1161,'Table corresp.'!$M$4:$U$63,8,FALSE)</f>
        <v>Production intermédiaire</v>
      </c>
      <c r="AN1161" s="212" t="str">
        <f>VLOOKUP(D1161,'Table corresp.'!$M$4:$U$63,9,FALSE)</f>
        <v>Consommation finale française</v>
      </c>
    </row>
    <row r="1162" spans="1:40" x14ac:dyDescent="0.25">
      <c r="A1162" t="s">
        <v>81</v>
      </c>
      <c r="B1162" t="str">
        <f>VLOOKUP(LEFT(A1162,3),'Table corresp.'!$A$4:$D$63,3,FALSE)</f>
        <v>Transformation</v>
      </c>
      <c r="C1162" t="str">
        <f>VLOOKUP(A1162,'Table corresp.'!$M$4:$P$63,4,FALSE)</f>
        <v>Production et transformation de produits bois</v>
      </c>
      <c r="D1162" t="s">
        <v>53</v>
      </c>
      <c r="E1162" t="str">
        <f>VLOOKUP(LEFT(D1162,3),'Table corresp.'!$A$4:$D$63,4,FALSE)</f>
        <v>Exportation</v>
      </c>
      <c r="F1162" t="str">
        <f t="shared" si="146"/>
        <v>05  - Exp</v>
      </c>
      <c r="G1162" s="213">
        <v>72916.224437957397</v>
      </c>
      <c r="H1162" s="213">
        <v>0</v>
      </c>
      <c r="I1162" s="213">
        <v>72916.224437957397</v>
      </c>
      <c r="J1162" s="215"/>
      <c r="K1162" s="215"/>
      <c r="L1162" s="215"/>
      <c r="M1162" s="215"/>
      <c r="N1162" s="215"/>
      <c r="O1162" s="215"/>
      <c r="P1162" s="215"/>
      <c r="Q1162" s="215"/>
      <c r="R1162" s="215"/>
      <c r="S1162" s="213"/>
      <c r="T1162" s="212">
        <f>VLOOKUP(A1162,'Groupe de branches'!$Z$27:$AM$86,14,FALSE)</f>
        <v>0</v>
      </c>
      <c r="U1162" s="212">
        <f>VLOOKUP(D1162,'Groupe de branches'!$Z$27:$AM$86,14,FALSE)</f>
        <v>0</v>
      </c>
      <c r="V1162" s="212">
        <v>2019</v>
      </c>
      <c r="W1162" s="212" t="str">
        <f>VLOOKUP(D1162,'Table corresp.'!$M$4:$S$63,7,FALSE)</f>
        <v>Exportation</v>
      </c>
      <c r="X1162" s="228">
        <f>IFERROR(G1162/SUMIFS('Comp2016-2017 (3)'!$I$5:$I$289,'Comp2016-2017 (3)'!$A$5:$A$289,A1162,'Comp2016-2017 (3)'!$R$5:$R$289,V1162),0)</f>
        <v>6.5958717504663519E-2</v>
      </c>
      <c r="Y1162" s="214">
        <f>IFERROR(IF(RIGHT(F1162,3)="Exp",VLOOKUP(F1162,#REF!,2,FALSE),VLOOKUP(F1162,#REF!,9,FALSE)),1)</f>
        <v>1</v>
      </c>
      <c r="Z1162" s="225">
        <f t="shared" si="144"/>
        <v>5.2631578947368418E-2</v>
      </c>
      <c r="AA1162" s="225">
        <f t="shared" si="140"/>
        <v>3.4715114476138692E-3</v>
      </c>
      <c r="AB1162" s="222">
        <f>IFERROR(SUMIFS('Comp2016-2017 (3)'!$G$5:$G$289,'Comp2016-2017 (3)'!$A$5:$A$289,A1162,'Comp2016-2017 (3)'!$R$5:$R$289,V1162)*AA1162/SUMIFS($AA$4:$AA$1858,$A$4:$A$1858,A1162,$V$4:$V$1858,V1162),0)</f>
        <v>52890.84725596146</v>
      </c>
      <c r="AC1162" s="222">
        <f>IF($W1162=AC$3,$AB1162,IF(NOT($W1162=0),"",SUMIFS('Val-Vol (2)'!AC$4:AC$1858,'Val-Vol (2)'!$A$4:$A$1858,$D1162,'Val-Vol (2)'!$V$4:$V$1858,$V1162)/SUMIFS('Comp2016-2017 (3)'!$G$5:$G$289,'Comp2016-2017 (3)'!$A$5:$A$289,$D1162,'Comp2016-2017 (3)'!$R$5:$R$289,$V1162)*$AB1162))</f>
        <v>52890.84725596146</v>
      </c>
      <c r="AD1162" s="222" t="str">
        <f>IF($W1162=AD$3,$AB1162,IF(NOT($W1162=0),"",SUMIFS('Val-Vol (2)'!AD$4:AD$1858,'Val-Vol (2)'!$A$4:$A$1858,$D1162,'Val-Vol (2)'!$V$4:$V$1858,$V1162)/SUMIFS('Comp2016-2017 (3)'!$G$5:$G$289,'Comp2016-2017 (3)'!$A$5:$A$289,$D1162,'Comp2016-2017 (3)'!$R$5:$R$289,$V1162)*$AB1162))</f>
        <v/>
      </c>
      <c r="AE1162" s="222" t="str">
        <f>IF($W1162=AE$3,$AB1162,IF(NOT($W1162=0),"",SUMIFS('Val-Vol (2)'!AE$4:AE$1858,'Val-Vol (2)'!$A$4:$A$1858,$D1162,'Val-Vol (2)'!$V$4:$V$1858,$V1162)/SUMIFS('Comp2016-2017 (3)'!$G$5:$G$289,'Comp2016-2017 (3)'!$A$5:$A$289,$D1162,'Comp2016-2017 (3)'!$R$5:$R$289,$V1162)*$AB1162))</f>
        <v/>
      </c>
      <c r="AF1162" s="222" t="str">
        <f>IF($W1162=AF$3,$AB1162,IF(NOT($W1162=0),"",SUMIFS('Val-Vol (2)'!AF$4:AF$1858,'Val-Vol (2)'!$A$4:$A$1858,$D1162,'Val-Vol (2)'!$V$4:$V$1858,$V1162)/SUMIFS('Comp2016-2017 (3)'!$G$5:$G$289,'Comp2016-2017 (3)'!$A$5:$A$289,$D1162,'Comp2016-2017 (3)'!$R$5:$R$289,$V1162)*$AB1162))</f>
        <v/>
      </c>
      <c r="AG1162" s="222" t="str">
        <f>IF($W1162=AG$3,$AB1162,IF(NOT($W1162=0),"",SUMIFS('Val-Vol (2)'!AG$4:AG$1858,'Val-Vol (2)'!$A$4:$A$1858,$D1162,'Val-Vol (2)'!$V$4:$V$1858,$V1162)/SUMIFS('Comp2016-2017 (3)'!$G$5:$G$289,'Comp2016-2017 (3)'!$A$5:$A$289,$D1162,'Comp2016-2017 (3)'!$R$5:$R$289,$V1162)*$AB1162))</f>
        <v/>
      </c>
      <c r="AH1162" s="222" t="str">
        <f>IF($W1162=AH$3,$AB1162,IF(NOT($W1162=0),"",SUMIFS('Val-Vol (2)'!AH$4:AH$1858,'Val-Vol (2)'!$A$4:$A$1858,$D1162,'Val-Vol (2)'!$V$4:$V$1858,$V1162)/SUMIFS('Comp2016-2017 (3)'!$G$5:$G$289,'Comp2016-2017 (3)'!$A$5:$A$289,$D1162,'Comp2016-2017 (3)'!$R$5:$R$289,$V1162)*$AB1162))</f>
        <v/>
      </c>
      <c r="AI1162" s="222" t="str">
        <f>IF($W1162=AI$3,$AB1162,IF(NOT($W1162=0),"",SUMIFS('Val-Vol (2)'!AI$4:AI$1858,'Val-Vol (2)'!$A$4:$A$1858,$D1162,'Val-Vol (2)'!$V$4:$V$1858,$V1162)/SUMIFS('Comp2016-2017 (3)'!$G$5:$G$289,'Comp2016-2017 (3)'!$A$5:$A$289,$D1162,'Comp2016-2017 (3)'!$R$5:$R$289,$V1162)*$AB1162))</f>
        <v/>
      </c>
      <c r="AJ1162" s="222" t="str">
        <f>IF($W1162=AJ$3,$AB1162,IF(NOT($W1162=0),"",SUMIFS('Val-Vol (2)'!AJ$4:AJ$1858,'Val-Vol (2)'!$A$4:$A$1858,$D1162,'Val-Vol (2)'!$V$4:$V$1858,$V1162)/SUMIFS('Comp2016-2017 (3)'!$G$5:$G$289,'Comp2016-2017 (3)'!$A$5:$A$289,$D1162,'Comp2016-2017 (3)'!$R$5:$R$289,$V1162)*$AB1162))</f>
        <v/>
      </c>
      <c r="AK1162" s="222">
        <f t="shared" si="147"/>
        <v>0</v>
      </c>
      <c r="AL1162" s="212" t="str">
        <f t="shared" si="143"/>
        <v/>
      </c>
      <c r="AM1162" s="212" t="str">
        <f>VLOOKUP(A1162,'Table corresp.'!$M$4:$U$63,8,FALSE)</f>
        <v>Production intermédiaire</v>
      </c>
      <c r="AN1162" s="212" t="str">
        <f>VLOOKUP(D1162,'Table corresp.'!$M$4:$U$63,9,FALSE)</f>
        <v>Exportation</v>
      </c>
    </row>
    <row r="1163" spans="1:40" x14ac:dyDescent="0.25">
      <c r="A1163" t="s">
        <v>3</v>
      </c>
      <c r="B1163" t="str">
        <f>VLOOKUP(LEFT(A1163,3),'Table corresp.'!$A$4:$D$63,3,FALSE)</f>
        <v>Transformation</v>
      </c>
      <c r="C1163" t="str">
        <f>VLOOKUP(A1163,'Table corresp.'!$M$4:$P$63,4,FALSE)</f>
        <v>Production et transformation de produits bois</v>
      </c>
      <c r="D1163" t="s">
        <v>0</v>
      </c>
      <c r="E1163" t="str">
        <f>VLOOKUP(LEFT(D1163,3),'Table corresp.'!$A$4:$D$63,4,FALSE)</f>
        <v>Transformation</v>
      </c>
      <c r="F1163" t="str">
        <f t="shared" si="146"/>
        <v xml:space="preserve">06  - 02 </v>
      </c>
      <c r="G1163" s="213">
        <v>79762.928140736942</v>
      </c>
      <c r="H1163" s="213">
        <v>0</v>
      </c>
      <c r="I1163" s="213">
        <v>79762.928140736942</v>
      </c>
      <c r="J1163" s="215"/>
      <c r="K1163" s="215"/>
      <c r="L1163" s="215"/>
      <c r="M1163" s="215"/>
      <c r="N1163" s="215"/>
      <c r="O1163" s="215"/>
      <c r="P1163" s="215"/>
      <c r="Q1163" s="215"/>
      <c r="R1163" s="215"/>
      <c r="S1163" s="213"/>
      <c r="T1163" s="212">
        <f>VLOOKUP(A1163,'Groupe de branches'!$Z$27:$AM$86,14,FALSE)</f>
        <v>0</v>
      </c>
      <c r="U1163" s="212">
        <f>VLOOKUP(D1163,'Groupe de branches'!$Z$27:$AM$86,14,FALSE)</f>
        <v>0</v>
      </c>
      <c r="V1163" s="212">
        <v>2019</v>
      </c>
      <c r="W1163" s="212">
        <f>VLOOKUP(D1163,'Table corresp.'!$M$4:$S$63,7,FALSE)</f>
        <v>0</v>
      </c>
      <c r="X1163" s="228">
        <f>IFERROR(G1163/SUMIFS('Comp2016-2017 (3)'!$I$5:$I$289,'Comp2016-2017 (3)'!$A$5:$A$289,A1163,'Comp2016-2017 (3)'!$R$5:$R$289,V1163),0)</f>
        <v>0.33089615920262327</v>
      </c>
      <c r="Y1163" s="214">
        <f>IFERROR(IF(RIGHT(F1163,3)="Exp",VLOOKUP(F1163,#REF!,2,FALSE),VLOOKUP(F1163,#REF!,9,FALSE)),1)</f>
        <v>1</v>
      </c>
      <c r="Z1163" s="225">
        <f t="shared" si="144"/>
        <v>5.8823529411764705E-2</v>
      </c>
      <c r="AA1163" s="225">
        <f t="shared" si="140"/>
        <v>1.9464479953095488E-2</v>
      </c>
      <c r="AB1163" s="222">
        <f>IFERROR(SUMIFS('Comp2016-2017 (3)'!$G$5:$G$289,'Comp2016-2017 (3)'!$A$5:$A$289,A1163,'Comp2016-2017 (3)'!$R$5:$R$289,V1163)*AA1163/SUMIFS($AA$4:$AA$1858,$A$4:$A$1858,A1163,$V$4:$V$1858,V1163),0)</f>
        <v>16993.39285494103</v>
      </c>
      <c r="AC1163" s="222">
        <f>IF($W1163=AC$3,$AB1163,IF(NOT($W1163=0),"",SUMIFS('Val-Vol (2)'!AC$4:AC$1858,'Val-Vol (2)'!$A$4:$A$1858,$D1163,'Val-Vol (2)'!$V$4:$V$1858,$V1163)/SUMIFS('Comp2016-2017 (3)'!$G$5:$G$289,'Comp2016-2017 (3)'!$A$5:$A$289,$D1163,'Comp2016-2017 (3)'!$R$5:$R$289,$V1163)*$AB1163))</f>
        <v>0</v>
      </c>
      <c r="AD1163" s="222">
        <f>IF($W1163=AD$3,$AB1163,IF(NOT($W1163=0),"",SUMIFS('Val-Vol (2)'!AD$4:AD$1858,'Val-Vol (2)'!$A$4:$A$1858,$D1163,'Val-Vol (2)'!$V$4:$V$1858,$V1163)/SUMIFS('Comp2016-2017 (3)'!$G$5:$G$289,'Comp2016-2017 (3)'!$A$5:$A$289,$D1163,'Comp2016-2017 (3)'!$R$5:$R$289,$V1163)*$AB1163))</f>
        <v>0</v>
      </c>
      <c r="AE1163" s="222">
        <f>IF($W1163=AE$3,$AB1163,IF(NOT($W1163=0),"",SUMIFS('Val-Vol (2)'!AE$4:AE$1858,'Val-Vol (2)'!$A$4:$A$1858,$D1163,'Val-Vol (2)'!$V$4:$V$1858,$V1163)/SUMIFS('Comp2016-2017 (3)'!$G$5:$G$289,'Comp2016-2017 (3)'!$A$5:$A$289,$D1163,'Comp2016-2017 (3)'!$R$5:$R$289,$V1163)*$AB1163))</f>
        <v>0</v>
      </c>
      <c r="AF1163" s="222">
        <f>IF($W1163=AF$3,$AB1163,IF(NOT($W1163=0),"",SUMIFS('Val-Vol (2)'!AF$4:AF$1858,'Val-Vol (2)'!$A$4:$A$1858,$D1163,'Val-Vol (2)'!$V$4:$V$1858,$V1163)/SUMIFS('Comp2016-2017 (3)'!$G$5:$G$289,'Comp2016-2017 (3)'!$A$5:$A$289,$D1163,'Comp2016-2017 (3)'!$R$5:$R$289,$V1163)*$AB1163))</f>
        <v>0</v>
      </c>
      <c r="AG1163" s="222">
        <f>IF($W1163=AG$3,$AB1163,IF(NOT($W1163=0),"",SUMIFS('Val-Vol (2)'!AG$4:AG$1858,'Val-Vol (2)'!$A$4:$A$1858,$D1163,'Val-Vol (2)'!$V$4:$V$1858,$V1163)/SUMIFS('Comp2016-2017 (3)'!$G$5:$G$289,'Comp2016-2017 (3)'!$A$5:$A$289,$D1163,'Comp2016-2017 (3)'!$R$5:$R$289,$V1163)*$AB1163))</f>
        <v>0</v>
      </c>
      <c r="AH1163" s="222">
        <f>IF($W1163=AH$3,$AB1163,IF(NOT($W1163=0),"",SUMIFS('Val-Vol (2)'!AH$4:AH$1858,'Val-Vol (2)'!$A$4:$A$1858,$D1163,'Val-Vol (2)'!$V$4:$V$1858,$V1163)/SUMIFS('Comp2016-2017 (3)'!$G$5:$G$289,'Comp2016-2017 (3)'!$A$5:$A$289,$D1163,'Comp2016-2017 (3)'!$R$5:$R$289,$V1163)*$AB1163))</f>
        <v>0</v>
      </c>
      <c r="AI1163" s="222">
        <f>IF($W1163=AI$3,$AB1163,IF(NOT($W1163=0),"",SUMIFS('Val-Vol (2)'!AI$4:AI$1858,'Val-Vol (2)'!$A$4:$A$1858,$D1163,'Val-Vol (2)'!$V$4:$V$1858,$V1163)/SUMIFS('Comp2016-2017 (3)'!$G$5:$G$289,'Comp2016-2017 (3)'!$A$5:$A$289,$D1163,'Comp2016-2017 (3)'!$R$5:$R$289,$V1163)*$AB1163))</f>
        <v>0</v>
      </c>
      <c r="AJ1163" s="222">
        <f>IF($W1163=AJ$3,$AB1163,IF(NOT($W1163=0),"",SUMIFS('Val-Vol (2)'!AJ$4:AJ$1858,'Val-Vol (2)'!$A$4:$A$1858,$D1163,'Val-Vol (2)'!$V$4:$V$1858,$V1163)/SUMIFS('Comp2016-2017 (3)'!$G$5:$G$289,'Comp2016-2017 (3)'!$A$5:$A$289,$D1163,'Comp2016-2017 (3)'!$R$5:$R$289,$V1163)*$AB1163))</f>
        <v>0</v>
      </c>
      <c r="AK1163" s="222">
        <f t="shared" si="147"/>
        <v>-16993.39285494103</v>
      </c>
      <c r="AL1163" s="212" t="str">
        <f t="shared" si="143"/>
        <v/>
      </c>
      <c r="AM1163" s="212" t="str">
        <f>VLOOKUP(A1163,'Table corresp.'!$M$4:$U$63,8,FALSE)</f>
        <v>Production intermédiaire</v>
      </c>
      <c r="AN1163" s="212" t="str">
        <f>VLOOKUP(D1163,'Table corresp.'!$M$4:$U$63,9,FALSE)</f>
        <v>Production intermédiaire</v>
      </c>
    </row>
    <row r="1164" spans="1:40" x14ac:dyDescent="0.25">
      <c r="A1164" t="s">
        <v>3</v>
      </c>
      <c r="B1164" t="str">
        <f>VLOOKUP(LEFT(A1164,3),'Table corresp.'!$A$4:$D$63,3,FALSE)</f>
        <v>Transformation</v>
      </c>
      <c r="C1164" t="str">
        <f>VLOOKUP(A1164,'Table corresp.'!$M$4:$P$63,4,FALSE)</f>
        <v>Production et transformation de produits bois</v>
      </c>
      <c r="D1164" t="s">
        <v>2</v>
      </c>
      <c r="E1164" t="str">
        <f>VLOOKUP(LEFT(D1164,3),'Table corresp.'!$A$4:$D$63,4,FALSE)</f>
        <v>Transformation</v>
      </c>
      <c r="F1164" t="str">
        <f t="shared" si="146"/>
        <v xml:space="preserve">06  - 04 </v>
      </c>
      <c r="G1164" s="213">
        <v>23118.986241756713</v>
      </c>
      <c r="H1164" s="213">
        <v>0</v>
      </c>
      <c r="I1164" s="213">
        <v>23118.986241756713</v>
      </c>
      <c r="J1164" s="215"/>
      <c r="K1164" s="215"/>
      <c r="L1164" s="215"/>
      <c r="M1164" s="215"/>
      <c r="N1164" s="215"/>
      <c r="O1164" s="215"/>
      <c r="P1164" s="215"/>
      <c r="Q1164" s="215"/>
      <c r="R1164" s="215"/>
      <c r="S1164" s="213"/>
      <c r="T1164" s="212">
        <f>VLOOKUP(A1164,'Groupe de branches'!$Z$27:$AM$86,14,FALSE)</f>
        <v>0</v>
      </c>
      <c r="U1164" s="212">
        <f>VLOOKUP(D1164,'Groupe de branches'!$Z$27:$AM$86,14,FALSE)</f>
        <v>0</v>
      </c>
      <c r="V1164" s="212">
        <v>2019</v>
      </c>
      <c r="W1164" s="212" t="str">
        <f>VLOOKUP(D1164,'Table corresp.'!$M$4:$S$63,7,FALSE)</f>
        <v>Energie</v>
      </c>
      <c r="X1164" s="228">
        <f>IFERROR(G1164/SUMIFS('Comp2016-2017 (3)'!$I$5:$I$289,'Comp2016-2017 (3)'!$A$5:$A$289,A1164,'Comp2016-2017 (3)'!$R$5:$R$289,V1164),0)</f>
        <v>9.5909013502584115E-2</v>
      </c>
      <c r="Y1164" s="214">
        <f>IFERROR(IF(RIGHT(F1164,3)="Exp",VLOOKUP(F1164,#REF!,2,FALSE),VLOOKUP(F1164,#REF!,9,FALSE)),1)</f>
        <v>1</v>
      </c>
      <c r="Z1164" s="225">
        <f t="shared" si="144"/>
        <v>5.8823529411764705E-2</v>
      </c>
      <c r="AA1164" s="225">
        <f t="shared" si="140"/>
        <v>5.6417066766225946E-3</v>
      </c>
      <c r="AB1164" s="222">
        <f>IFERROR(SUMIFS('Comp2016-2017 (3)'!$G$5:$G$289,'Comp2016-2017 (3)'!$A$5:$A$289,A1164,'Comp2016-2017 (3)'!$R$5:$R$289,V1164)*AA1164/SUMIFS($AA$4:$AA$1858,$A$4:$A$1858,A1164,$V$4:$V$1858,V1164),0)</f>
        <v>4925.4713282460316</v>
      </c>
      <c r="AC1164" s="222" t="str">
        <f>IF($W1164=AC$3,$AB1164,IF(NOT($W1164=0),"",SUMIFS('Val-Vol (2)'!AC$4:AC$1858,'Val-Vol (2)'!$A$4:$A$1858,$D1164,'Val-Vol (2)'!$V$4:$V$1858,$V1164)/SUMIFS('Comp2016-2017 (3)'!$G$5:$G$289,'Comp2016-2017 (3)'!$A$5:$A$289,$D1164,'Comp2016-2017 (3)'!$R$5:$R$289,$V1164)*$AB1164))</f>
        <v/>
      </c>
      <c r="AD1164" s="222" t="str">
        <f>IF($W1164=AD$3,$AB1164,IF(NOT($W1164=0),"",SUMIFS('Val-Vol (2)'!AD$4:AD$1858,'Val-Vol (2)'!$A$4:$A$1858,$D1164,'Val-Vol (2)'!$V$4:$V$1858,$V1164)/SUMIFS('Comp2016-2017 (3)'!$G$5:$G$289,'Comp2016-2017 (3)'!$A$5:$A$289,$D1164,'Comp2016-2017 (3)'!$R$5:$R$289,$V1164)*$AB1164))</f>
        <v/>
      </c>
      <c r="AE1164" s="222" t="str">
        <f>IF($W1164=AE$3,$AB1164,IF(NOT($W1164=0),"",SUMIFS('Val-Vol (2)'!AE$4:AE$1858,'Val-Vol (2)'!$A$4:$A$1858,$D1164,'Val-Vol (2)'!$V$4:$V$1858,$V1164)/SUMIFS('Comp2016-2017 (3)'!$G$5:$G$289,'Comp2016-2017 (3)'!$A$5:$A$289,$D1164,'Comp2016-2017 (3)'!$R$5:$R$289,$V1164)*$AB1164))</f>
        <v/>
      </c>
      <c r="AF1164" s="222" t="str">
        <f>IF($W1164=AF$3,$AB1164,IF(NOT($W1164=0),"",SUMIFS('Val-Vol (2)'!AF$4:AF$1858,'Val-Vol (2)'!$A$4:$A$1858,$D1164,'Val-Vol (2)'!$V$4:$V$1858,$V1164)/SUMIFS('Comp2016-2017 (3)'!$G$5:$G$289,'Comp2016-2017 (3)'!$A$5:$A$289,$D1164,'Comp2016-2017 (3)'!$R$5:$R$289,$V1164)*$AB1164))</f>
        <v/>
      </c>
      <c r="AG1164" s="222" t="str">
        <f>IF($W1164=AG$3,$AB1164,IF(NOT($W1164=0),"",SUMIFS('Val-Vol (2)'!AG$4:AG$1858,'Val-Vol (2)'!$A$4:$A$1858,$D1164,'Val-Vol (2)'!$V$4:$V$1858,$V1164)/SUMIFS('Comp2016-2017 (3)'!$G$5:$G$289,'Comp2016-2017 (3)'!$A$5:$A$289,$D1164,'Comp2016-2017 (3)'!$R$5:$R$289,$V1164)*$AB1164))</f>
        <v/>
      </c>
      <c r="AH1164" s="222">
        <f>IF($W1164=AH$3,$AB1164,IF(NOT($W1164=0),"",SUMIFS('Val-Vol (2)'!AH$4:AH$1858,'Val-Vol (2)'!$A$4:$A$1858,$D1164,'Val-Vol (2)'!$V$4:$V$1858,$V1164)/SUMIFS('Comp2016-2017 (3)'!$G$5:$G$289,'Comp2016-2017 (3)'!$A$5:$A$289,$D1164,'Comp2016-2017 (3)'!$R$5:$R$289,$V1164)*$AB1164))</f>
        <v>4925.4713282460316</v>
      </c>
      <c r="AI1164" s="222" t="str">
        <f>IF($W1164=AI$3,$AB1164,IF(NOT($W1164=0),"",SUMIFS('Val-Vol (2)'!AI$4:AI$1858,'Val-Vol (2)'!$A$4:$A$1858,$D1164,'Val-Vol (2)'!$V$4:$V$1858,$V1164)/SUMIFS('Comp2016-2017 (3)'!$G$5:$G$289,'Comp2016-2017 (3)'!$A$5:$A$289,$D1164,'Comp2016-2017 (3)'!$R$5:$R$289,$V1164)*$AB1164))</f>
        <v/>
      </c>
      <c r="AJ1164" s="222" t="str">
        <f>IF($W1164=AJ$3,$AB1164,IF(NOT($W1164=0),"",SUMIFS('Val-Vol (2)'!AJ$4:AJ$1858,'Val-Vol (2)'!$A$4:$A$1858,$D1164,'Val-Vol (2)'!$V$4:$V$1858,$V1164)/SUMIFS('Comp2016-2017 (3)'!$G$5:$G$289,'Comp2016-2017 (3)'!$A$5:$A$289,$D1164,'Comp2016-2017 (3)'!$R$5:$R$289,$V1164)*$AB1164))</f>
        <v/>
      </c>
      <c r="AK1164" s="222">
        <f t="shared" si="147"/>
        <v>0</v>
      </c>
      <c r="AL1164" s="212" t="str">
        <f t="shared" si="143"/>
        <v/>
      </c>
      <c r="AM1164" s="212" t="str">
        <f>VLOOKUP(A1164,'Table corresp.'!$M$4:$U$63,8,FALSE)</f>
        <v>Production intermédiaire</v>
      </c>
      <c r="AN1164" s="212" t="str">
        <f>VLOOKUP(D1164,'Table corresp.'!$M$4:$U$63,9,FALSE)</f>
        <v>Production intermédiaire</v>
      </c>
    </row>
    <row r="1165" spans="1:40" x14ac:dyDescent="0.25">
      <c r="A1165" t="s">
        <v>3</v>
      </c>
      <c r="B1165" t="str">
        <f>VLOOKUP(LEFT(A1165,3),'Table corresp.'!$A$4:$D$63,3,FALSE)</f>
        <v>Transformation</v>
      </c>
      <c r="C1165" t="str">
        <f>VLOOKUP(A1165,'Table corresp.'!$M$4:$P$63,4,FALSE)</f>
        <v>Production et transformation de produits bois</v>
      </c>
      <c r="D1165" t="s">
        <v>4</v>
      </c>
      <c r="E1165" t="str">
        <f>VLOOKUP(LEFT(D1165,3),'Table corresp.'!$A$4:$D$63,4,FALSE)</f>
        <v>Transformation</v>
      </c>
      <c r="F1165" t="str">
        <f t="shared" si="146"/>
        <v xml:space="preserve">06  - 08 </v>
      </c>
      <c r="G1165" s="213">
        <v>6088.1505841501412</v>
      </c>
      <c r="H1165" s="213">
        <v>0</v>
      </c>
      <c r="I1165" s="213">
        <v>6088.1505841501412</v>
      </c>
      <c r="J1165" s="215"/>
      <c r="K1165" s="215"/>
      <c r="L1165" s="215"/>
      <c r="M1165" s="215"/>
      <c r="N1165" s="215"/>
      <c r="O1165" s="215"/>
      <c r="P1165" s="215"/>
      <c r="Q1165" s="215"/>
      <c r="R1165" s="215"/>
      <c r="S1165" s="213"/>
      <c r="T1165" s="212">
        <f>VLOOKUP(A1165,'Groupe de branches'!$Z$27:$AM$86,14,FALSE)</f>
        <v>0</v>
      </c>
      <c r="U1165" s="212">
        <f>VLOOKUP(D1165,'Groupe de branches'!$Z$27:$AM$86,14,FALSE)</f>
        <v>0</v>
      </c>
      <c r="V1165" s="212">
        <v>2019</v>
      </c>
      <c r="W1165" s="212">
        <f>VLOOKUP(D1165,'Table corresp.'!$M$4:$S$63,7,FALSE)</f>
        <v>0</v>
      </c>
      <c r="X1165" s="228">
        <f>IFERROR(G1165/SUMIFS('Comp2016-2017 (3)'!$I$5:$I$289,'Comp2016-2017 (3)'!$A$5:$A$289,A1165,'Comp2016-2017 (3)'!$R$5:$R$289,V1165),0)</f>
        <v>2.5256666121734436E-2</v>
      </c>
      <c r="Y1165" s="214">
        <f>IFERROR(IF(RIGHT(F1165,3)="Exp",VLOOKUP(F1165,#REF!,2,FALSE),VLOOKUP(F1165,#REF!,9,FALSE)),1)</f>
        <v>1</v>
      </c>
      <c r="Z1165" s="225">
        <f t="shared" si="144"/>
        <v>5.8823529411764705E-2</v>
      </c>
      <c r="AA1165" s="225">
        <f t="shared" si="140"/>
        <v>1.4856862424549669E-3</v>
      </c>
      <c r="AB1165" s="222">
        <f>IFERROR(SUMIFS('Comp2016-2017 (3)'!$G$5:$G$289,'Comp2016-2017 (3)'!$A$5:$A$289,A1165,'Comp2016-2017 (3)'!$R$5:$R$289,V1165)*AA1165/SUMIFS($AA$4:$AA$1858,$A$4:$A$1858,A1165,$V$4:$V$1858,V1165),0)</f>
        <v>1297.0729265850921</v>
      </c>
      <c r="AC1165" s="222">
        <f>IF($W1165=AC$3,$AB1165,IF(NOT($W1165=0),"",SUMIFS('Val-Vol (2)'!AC$4:AC$1858,'Val-Vol (2)'!$A$4:$A$1858,$D1165,'Val-Vol (2)'!$V$4:$V$1858,$V1165)/SUMIFS('Comp2016-2017 (3)'!$G$5:$G$289,'Comp2016-2017 (3)'!$A$5:$A$289,$D1165,'Comp2016-2017 (3)'!$R$5:$R$289,$V1165)*$AB1165))</f>
        <v>0</v>
      </c>
      <c r="AD1165" s="222">
        <f>IF($W1165=AD$3,$AB1165,IF(NOT($W1165=0),"",SUMIFS('Val-Vol (2)'!AD$4:AD$1858,'Val-Vol (2)'!$A$4:$A$1858,$D1165,'Val-Vol (2)'!$V$4:$V$1858,$V1165)/SUMIFS('Comp2016-2017 (3)'!$G$5:$G$289,'Comp2016-2017 (3)'!$A$5:$A$289,$D1165,'Comp2016-2017 (3)'!$R$5:$R$289,$V1165)*$AB1165))</f>
        <v>0</v>
      </c>
      <c r="AE1165" s="222">
        <f>IF($W1165=AE$3,$AB1165,IF(NOT($W1165=0),"",SUMIFS('Val-Vol (2)'!AE$4:AE$1858,'Val-Vol (2)'!$A$4:$A$1858,$D1165,'Val-Vol (2)'!$V$4:$V$1858,$V1165)/SUMIFS('Comp2016-2017 (3)'!$G$5:$G$289,'Comp2016-2017 (3)'!$A$5:$A$289,$D1165,'Comp2016-2017 (3)'!$R$5:$R$289,$V1165)*$AB1165))</f>
        <v>0</v>
      </c>
      <c r="AF1165" s="222">
        <f>IF($W1165=AF$3,$AB1165,IF(NOT($W1165=0),"",SUMIFS('Val-Vol (2)'!AF$4:AF$1858,'Val-Vol (2)'!$A$4:$A$1858,$D1165,'Val-Vol (2)'!$V$4:$V$1858,$V1165)/SUMIFS('Comp2016-2017 (3)'!$G$5:$G$289,'Comp2016-2017 (3)'!$A$5:$A$289,$D1165,'Comp2016-2017 (3)'!$R$5:$R$289,$V1165)*$AB1165))</f>
        <v>0</v>
      </c>
      <c r="AG1165" s="222">
        <f>IF($W1165=AG$3,$AB1165,IF(NOT($W1165=0),"",SUMIFS('Val-Vol (2)'!AG$4:AG$1858,'Val-Vol (2)'!$A$4:$A$1858,$D1165,'Val-Vol (2)'!$V$4:$V$1858,$V1165)/SUMIFS('Comp2016-2017 (3)'!$G$5:$G$289,'Comp2016-2017 (3)'!$A$5:$A$289,$D1165,'Comp2016-2017 (3)'!$R$5:$R$289,$V1165)*$AB1165))</f>
        <v>0</v>
      </c>
      <c r="AH1165" s="222">
        <f>IF($W1165=AH$3,$AB1165,IF(NOT($W1165=0),"",SUMIFS('Val-Vol (2)'!AH$4:AH$1858,'Val-Vol (2)'!$A$4:$A$1858,$D1165,'Val-Vol (2)'!$V$4:$V$1858,$V1165)/SUMIFS('Comp2016-2017 (3)'!$G$5:$G$289,'Comp2016-2017 (3)'!$A$5:$A$289,$D1165,'Comp2016-2017 (3)'!$R$5:$R$289,$V1165)*$AB1165))</f>
        <v>0</v>
      </c>
      <c r="AI1165" s="222">
        <f>IF($W1165=AI$3,$AB1165,IF(NOT($W1165=0),"",SUMIFS('Val-Vol (2)'!AI$4:AI$1858,'Val-Vol (2)'!$A$4:$A$1858,$D1165,'Val-Vol (2)'!$V$4:$V$1858,$V1165)/SUMIFS('Comp2016-2017 (3)'!$G$5:$G$289,'Comp2016-2017 (3)'!$A$5:$A$289,$D1165,'Comp2016-2017 (3)'!$R$5:$R$289,$V1165)*$AB1165))</f>
        <v>0</v>
      </c>
      <c r="AJ1165" s="222">
        <f>IF($W1165=AJ$3,$AB1165,IF(NOT($W1165=0),"",SUMIFS('Val-Vol (2)'!AJ$4:AJ$1858,'Val-Vol (2)'!$A$4:$A$1858,$D1165,'Val-Vol (2)'!$V$4:$V$1858,$V1165)/SUMIFS('Comp2016-2017 (3)'!$G$5:$G$289,'Comp2016-2017 (3)'!$A$5:$A$289,$D1165,'Comp2016-2017 (3)'!$R$5:$R$289,$V1165)*$AB1165))</f>
        <v>0</v>
      </c>
      <c r="AK1165" s="222">
        <f t="shared" si="147"/>
        <v>-1297.0729265850921</v>
      </c>
      <c r="AL1165" s="212" t="str">
        <f t="shared" si="143"/>
        <v/>
      </c>
      <c r="AM1165" s="212" t="str">
        <f>VLOOKUP(A1165,'Table corresp.'!$M$4:$U$63,8,FALSE)</f>
        <v>Production intermédiaire</v>
      </c>
      <c r="AN1165" s="212" t="str">
        <f>VLOOKUP(D1165,'Table corresp.'!$M$4:$U$63,9,FALSE)</f>
        <v>Production intermédiaire</v>
      </c>
    </row>
    <row r="1166" spans="1:40" x14ac:dyDescent="0.25">
      <c r="A1166" t="s">
        <v>3</v>
      </c>
      <c r="B1166" t="str">
        <f>VLOOKUP(LEFT(A1166,3),'Table corresp.'!$A$4:$D$63,3,FALSE)</f>
        <v>Transformation</v>
      </c>
      <c r="C1166" t="str">
        <f>VLOOKUP(A1166,'Table corresp.'!$M$4:$P$63,4,FALSE)</f>
        <v>Production et transformation de produits bois</v>
      </c>
      <c r="D1166" t="s">
        <v>5</v>
      </c>
      <c r="E1166" t="str">
        <f>VLOOKUP(LEFT(D1166,3),'Table corresp.'!$A$4:$D$63,4,FALSE)</f>
        <v>Transformation</v>
      </c>
      <c r="F1166" t="str">
        <f t="shared" si="146"/>
        <v xml:space="preserve">06  - 09 </v>
      </c>
      <c r="G1166" s="213">
        <v>2399.0700582689615</v>
      </c>
      <c r="H1166" s="213">
        <v>0</v>
      </c>
      <c r="I1166" s="213">
        <v>2399.0700582689615</v>
      </c>
      <c r="J1166" s="215"/>
      <c r="K1166" s="215"/>
      <c r="L1166" s="215"/>
      <c r="M1166" s="215"/>
      <c r="N1166" s="215"/>
      <c r="O1166" s="215"/>
      <c r="P1166" s="215"/>
      <c r="Q1166" s="215"/>
      <c r="R1166" s="215"/>
      <c r="S1166" s="213"/>
      <c r="T1166" s="212">
        <f>VLOOKUP(A1166,'Groupe de branches'!$Z$27:$AM$86,14,FALSE)</f>
        <v>0</v>
      </c>
      <c r="U1166" s="212">
        <f>VLOOKUP(D1166,'Groupe de branches'!$Z$27:$AM$86,14,FALSE)</f>
        <v>0</v>
      </c>
      <c r="V1166" s="212">
        <v>2019</v>
      </c>
      <c r="W1166" s="212">
        <f>VLOOKUP(D1166,'Table corresp.'!$M$4:$S$63,7,FALSE)</f>
        <v>0</v>
      </c>
      <c r="X1166" s="228">
        <f>IFERROR(G1166/SUMIFS('Comp2016-2017 (3)'!$I$5:$I$289,'Comp2016-2017 (3)'!$A$5:$A$289,A1166,'Comp2016-2017 (3)'!$R$5:$R$289,V1166),0)</f>
        <v>9.9525316640648401E-3</v>
      </c>
      <c r="Y1166" s="214">
        <f>IFERROR(IF(RIGHT(F1166,3)="Exp",VLOOKUP(F1166,#REF!,2,FALSE),VLOOKUP(F1166,#REF!,9,FALSE)),1)</f>
        <v>1</v>
      </c>
      <c r="Z1166" s="225">
        <f t="shared" si="144"/>
        <v>5.8823529411764705E-2</v>
      </c>
      <c r="AA1166" s="225">
        <f t="shared" si="140"/>
        <v>5.8544303906263762E-4</v>
      </c>
      <c r="AB1166" s="222">
        <f>IFERROR(SUMIFS('Comp2016-2017 (3)'!$G$5:$G$289,'Comp2016-2017 (3)'!$A$5:$A$289,A1166,'Comp2016-2017 (3)'!$R$5:$R$289,V1166)*AA1166/SUMIFS($AA$4:$AA$1858,$A$4:$A$1858,A1166,$V$4:$V$1858,V1166),0)</f>
        <v>511.1188986788124</v>
      </c>
      <c r="AC1166" s="222">
        <f>IF($W1166=AC$3,$AB1166,IF(NOT($W1166=0),"",SUMIFS('Val-Vol (2)'!AC$4:AC$1858,'Val-Vol (2)'!$A$4:$A$1858,$D1166,'Val-Vol (2)'!$V$4:$V$1858,$V1166)/SUMIFS('Comp2016-2017 (3)'!$G$5:$G$289,'Comp2016-2017 (3)'!$A$5:$A$289,$D1166,'Comp2016-2017 (3)'!$R$5:$R$289,$V1166)*$AB1166))</f>
        <v>0</v>
      </c>
      <c r="AD1166" s="222">
        <f>IF($W1166=AD$3,$AB1166,IF(NOT($W1166=0),"",SUMIFS('Val-Vol (2)'!AD$4:AD$1858,'Val-Vol (2)'!$A$4:$A$1858,$D1166,'Val-Vol (2)'!$V$4:$V$1858,$V1166)/SUMIFS('Comp2016-2017 (3)'!$G$5:$G$289,'Comp2016-2017 (3)'!$A$5:$A$289,$D1166,'Comp2016-2017 (3)'!$R$5:$R$289,$V1166)*$AB1166))</f>
        <v>0</v>
      </c>
      <c r="AE1166" s="222">
        <f>IF($W1166=AE$3,$AB1166,IF(NOT($W1166=0),"",SUMIFS('Val-Vol (2)'!AE$4:AE$1858,'Val-Vol (2)'!$A$4:$A$1858,$D1166,'Val-Vol (2)'!$V$4:$V$1858,$V1166)/SUMIFS('Comp2016-2017 (3)'!$G$5:$G$289,'Comp2016-2017 (3)'!$A$5:$A$289,$D1166,'Comp2016-2017 (3)'!$R$5:$R$289,$V1166)*$AB1166))</f>
        <v>0</v>
      </c>
      <c r="AF1166" s="222">
        <f>IF($W1166=AF$3,$AB1166,IF(NOT($W1166=0),"",SUMIFS('Val-Vol (2)'!AF$4:AF$1858,'Val-Vol (2)'!$A$4:$A$1858,$D1166,'Val-Vol (2)'!$V$4:$V$1858,$V1166)/SUMIFS('Comp2016-2017 (3)'!$G$5:$G$289,'Comp2016-2017 (3)'!$A$5:$A$289,$D1166,'Comp2016-2017 (3)'!$R$5:$R$289,$V1166)*$AB1166))</f>
        <v>0</v>
      </c>
      <c r="AG1166" s="222">
        <f>IF($W1166=AG$3,$AB1166,IF(NOT($W1166=0),"",SUMIFS('Val-Vol (2)'!AG$4:AG$1858,'Val-Vol (2)'!$A$4:$A$1858,$D1166,'Val-Vol (2)'!$V$4:$V$1858,$V1166)/SUMIFS('Comp2016-2017 (3)'!$G$5:$G$289,'Comp2016-2017 (3)'!$A$5:$A$289,$D1166,'Comp2016-2017 (3)'!$R$5:$R$289,$V1166)*$AB1166))</f>
        <v>0</v>
      </c>
      <c r="AH1166" s="222">
        <f>IF($W1166=AH$3,$AB1166,IF(NOT($W1166=0),"",SUMIFS('Val-Vol (2)'!AH$4:AH$1858,'Val-Vol (2)'!$A$4:$A$1858,$D1166,'Val-Vol (2)'!$V$4:$V$1858,$V1166)/SUMIFS('Comp2016-2017 (3)'!$G$5:$G$289,'Comp2016-2017 (3)'!$A$5:$A$289,$D1166,'Comp2016-2017 (3)'!$R$5:$R$289,$V1166)*$AB1166))</f>
        <v>0</v>
      </c>
      <c r="AI1166" s="222">
        <f>IF($W1166=AI$3,$AB1166,IF(NOT($W1166=0),"",SUMIFS('Val-Vol (2)'!AI$4:AI$1858,'Val-Vol (2)'!$A$4:$A$1858,$D1166,'Val-Vol (2)'!$V$4:$V$1858,$V1166)/SUMIFS('Comp2016-2017 (3)'!$G$5:$G$289,'Comp2016-2017 (3)'!$A$5:$A$289,$D1166,'Comp2016-2017 (3)'!$R$5:$R$289,$V1166)*$AB1166))</f>
        <v>0</v>
      </c>
      <c r="AJ1166" s="222">
        <f>IF($W1166=AJ$3,$AB1166,IF(NOT($W1166=0),"",SUMIFS('Val-Vol (2)'!AJ$4:AJ$1858,'Val-Vol (2)'!$A$4:$A$1858,$D1166,'Val-Vol (2)'!$V$4:$V$1858,$V1166)/SUMIFS('Comp2016-2017 (3)'!$G$5:$G$289,'Comp2016-2017 (3)'!$A$5:$A$289,$D1166,'Comp2016-2017 (3)'!$R$5:$R$289,$V1166)*$AB1166))</f>
        <v>0</v>
      </c>
      <c r="AK1166" s="222">
        <f t="shared" si="147"/>
        <v>-511.1188986788124</v>
      </c>
      <c r="AL1166" s="212" t="str">
        <f t="shared" si="143"/>
        <v/>
      </c>
      <c r="AM1166" s="212" t="str">
        <f>VLOOKUP(A1166,'Table corresp.'!$M$4:$U$63,8,FALSE)</f>
        <v>Production intermédiaire</v>
      </c>
      <c r="AN1166" s="212" t="str">
        <f>VLOOKUP(D1166,'Table corresp.'!$M$4:$U$63,9,FALSE)</f>
        <v>Production intermédiaire</v>
      </c>
    </row>
    <row r="1167" spans="1:40" x14ac:dyDescent="0.25">
      <c r="A1167" t="s">
        <v>3</v>
      </c>
      <c r="B1167" t="str">
        <f>VLOOKUP(LEFT(A1167,3),'Table corresp.'!$A$4:$D$63,3,FALSE)</f>
        <v>Transformation</v>
      </c>
      <c r="C1167" t="str">
        <f>VLOOKUP(A1167,'Table corresp.'!$M$4:$P$63,4,FALSE)</f>
        <v>Production et transformation de produits bois</v>
      </c>
      <c r="D1167" t="s">
        <v>82</v>
      </c>
      <c r="E1167" t="str">
        <f>VLOOKUP(LEFT(D1167,3),'Table corresp.'!$A$4:$D$63,4,FALSE)</f>
        <v>Transformation</v>
      </c>
      <c r="F1167" t="str">
        <f t="shared" si="146"/>
        <v xml:space="preserve">06  - 10 </v>
      </c>
      <c r="G1167" s="213">
        <v>2035.4605617614889</v>
      </c>
      <c r="H1167" s="213">
        <v>0</v>
      </c>
      <c r="I1167" s="213">
        <v>2035.4605617614889</v>
      </c>
      <c r="J1167" s="215"/>
      <c r="K1167" s="215"/>
      <c r="L1167" s="215"/>
      <c r="M1167" s="215"/>
      <c r="N1167" s="215"/>
      <c r="O1167" s="215"/>
      <c r="P1167" s="215"/>
      <c r="Q1167" s="215"/>
      <c r="R1167" s="215"/>
      <c r="S1167" s="213"/>
      <c r="T1167" s="212">
        <f>VLOOKUP(A1167,'Groupe de branches'!$Z$27:$AM$86,14,FALSE)</f>
        <v>0</v>
      </c>
      <c r="U1167" s="212">
        <f>VLOOKUP(D1167,'Groupe de branches'!$Z$27:$AM$86,14,FALSE)</f>
        <v>0</v>
      </c>
      <c r="V1167" s="212">
        <v>2019</v>
      </c>
      <c r="W1167" s="212">
        <f>VLOOKUP(D1167,'Table corresp.'!$M$4:$S$63,7,FALSE)</f>
        <v>0</v>
      </c>
      <c r="X1167" s="228">
        <f>IFERROR(G1167/SUMIFS('Comp2016-2017 (3)'!$I$5:$I$289,'Comp2016-2017 (3)'!$A$5:$A$289,A1167,'Comp2016-2017 (3)'!$R$5:$R$289,V1167),0)</f>
        <v>8.4440992550686433E-3</v>
      </c>
      <c r="Y1167" s="214">
        <f>IFERROR(IF(RIGHT(F1167,3)="Exp",VLOOKUP(F1167,#REF!,2,FALSE),VLOOKUP(F1167,#REF!,9,FALSE)),1)</f>
        <v>1</v>
      </c>
      <c r="Z1167" s="225">
        <f t="shared" si="144"/>
        <v>5.8823529411764705E-2</v>
      </c>
      <c r="AA1167" s="225">
        <f t="shared" si="140"/>
        <v>4.9671172088639078E-4</v>
      </c>
      <c r="AB1167" s="222">
        <f>IFERROR(SUMIFS('Comp2016-2017 (3)'!$G$5:$G$289,'Comp2016-2017 (3)'!$A$5:$A$289,A1167,'Comp2016-2017 (3)'!$R$5:$R$289,V1167)*AA1167/SUMIFS($AA$4:$AA$1858,$A$4:$A$1858,A1167,$V$4:$V$1858,V1167),0)</f>
        <v>433.65234668568115</v>
      </c>
      <c r="AC1167" s="222">
        <f>IF($W1167=AC$3,$AB1167,IF(NOT($W1167=0),"",SUMIFS('Val-Vol (2)'!AC$4:AC$1858,'Val-Vol (2)'!$A$4:$A$1858,$D1167,'Val-Vol (2)'!$V$4:$V$1858,$V1167)/SUMIFS('Comp2016-2017 (3)'!$G$5:$G$289,'Comp2016-2017 (3)'!$A$5:$A$289,$D1167,'Comp2016-2017 (3)'!$R$5:$R$289,$V1167)*$AB1167))</f>
        <v>0</v>
      </c>
      <c r="AD1167" s="222">
        <f>IF($W1167=AD$3,$AB1167,IF(NOT($W1167=0),"",SUMIFS('Val-Vol (2)'!AD$4:AD$1858,'Val-Vol (2)'!$A$4:$A$1858,$D1167,'Val-Vol (2)'!$V$4:$V$1858,$V1167)/SUMIFS('Comp2016-2017 (3)'!$G$5:$G$289,'Comp2016-2017 (3)'!$A$5:$A$289,$D1167,'Comp2016-2017 (3)'!$R$5:$R$289,$V1167)*$AB1167))</f>
        <v>0</v>
      </c>
      <c r="AE1167" s="222">
        <f>IF($W1167=AE$3,$AB1167,IF(NOT($W1167=0),"",SUMIFS('Val-Vol (2)'!AE$4:AE$1858,'Val-Vol (2)'!$A$4:$A$1858,$D1167,'Val-Vol (2)'!$V$4:$V$1858,$V1167)/SUMIFS('Comp2016-2017 (3)'!$G$5:$G$289,'Comp2016-2017 (3)'!$A$5:$A$289,$D1167,'Comp2016-2017 (3)'!$R$5:$R$289,$V1167)*$AB1167))</f>
        <v>0</v>
      </c>
      <c r="AF1167" s="222">
        <f>IF($W1167=AF$3,$AB1167,IF(NOT($W1167=0),"",SUMIFS('Val-Vol (2)'!AF$4:AF$1858,'Val-Vol (2)'!$A$4:$A$1858,$D1167,'Val-Vol (2)'!$V$4:$V$1858,$V1167)/SUMIFS('Comp2016-2017 (3)'!$G$5:$G$289,'Comp2016-2017 (3)'!$A$5:$A$289,$D1167,'Comp2016-2017 (3)'!$R$5:$R$289,$V1167)*$AB1167))</f>
        <v>0</v>
      </c>
      <c r="AG1167" s="222">
        <f>IF($W1167=AG$3,$AB1167,IF(NOT($W1167=0),"",SUMIFS('Val-Vol (2)'!AG$4:AG$1858,'Val-Vol (2)'!$A$4:$A$1858,$D1167,'Val-Vol (2)'!$V$4:$V$1858,$V1167)/SUMIFS('Comp2016-2017 (3)'!$G$5:$G$289,'Comp2016-2017 (3)'!$A$5:$A$289,$D1167,'Comp2016-2017 (3)'!$R$5:$R$289,$V1167)*$AB1167))</f>
        <v>0</v>
      </c>
      <c r="AH1167" s="222">
        <f>IF($W1167=AH$3,$AB1167,IF(NOT($W1167=0),"",SUMIFS('Val-Vol (2)'!AH$4:AH$1858,'Val-Vol (2)'!$A$4:$A$1858,$D1167,'Val-Vol (2)'!$V$4:$V$1858,$V1167)/SUMIFS('Comp2016-2017 (3)'!$G$5:$G$289,'Comp2016-2017 (3)'!$A$5:$A$289,$D1167,'Comp2016-2017 (3)'!$R$5:$R$289,$V1167)*$AB1167))</f>
        <v>0</v>
      </c>
      <c r="AI1167" s="222">
        <f>IF($W1167=AI$3,$AB1167,IF(NOT($W1167=0),"",SUMIFS('Val-Vol (2)'!AI$4:AI$1858,'Val-Vol (2)'!$A$4:$A$1858,$D1167,'Val-Vol (2)'!$V$4:$V$1858,$V1167)/SUMIFS('Comp2016-2017 (3)'!$G$5:$G$289,'Comp2016-2017 (3)'!$A$5:$A$289,$D1167,'Comp2016-2017 (3)'!$R$5:$R$289,$V1167)*$AB1167))</f>
        <v>0</v>
      </c>
      <c r="AJ1167" s="222">
        <f>IF($W1167=AJ$3,$AB1167,IF(NOT($W1167=0),"",SUMIFS('Val-Vol (2)'!AJ$4:AJ$1858,'Val-Vol (2)'!$A$4:$A$1858,$D1167,'Val-Vol (2)'!$V$4:$V$1858,$V1167)/SUMIFS('Comp2016-2017 (3)'!$G$5:$G$289,'Comp2016-2017 (3)'!$A$5:$A$289,$D1167,'Comp2016-2017 (3)'!$R$5:$R$289,$V1167)*$AB1167))</f>
        <v>0</v>
      </c>
      <c r="AK1167" s="222">
        <f t="shared" si="147"/>
        <v>-433.65234668568115</v>
      </c>
      <c r="AL1167" s="212" t="str">
        <f t="shared" si="143"/>
        <v/>
      </c>
      <c r="AM1167" s="212" t="str">
        <f>VLOOKUP(A1167,'Table corresp.'!$M$4:$U$63,8,FALSE)</f>
        <v>Production intermédiaire</v>
      </c>
      <c r="AN1167" s="212" t="str">
        <f>VLOOKUP(D1167,'Table corresp.'!$M$4:$U$63,9,FALSE)</f>
        <v>Production intermédiaire</v>
      </c>
    </row>
    <row r="1168" spans="1:40" x14ac:dyDescent="0.25">
      <c r="A1168" t="s">
        <v>3</v>
      </c>
      <c r="B1168" t="str">
        <f>VLOOKUP(LEFT(A1168,3),'Table corresp.'!$A$4:$D$63,3,FALSE)</f>
        <v>Transformation</v>
      </c>
      <c r="C1168" t="str">
        <f>VLOOKUP(A1168,'Table corresp.'!$M$4:$P$63,4,FALSE)</f>
        <v>Production et transformation de produits bois</v>
      </c>
      <c r="D1168" t="s">
        <v>7</v>
      </c>
      <c r="E1168" t="str">
        <f>VLOOKUP(LEFT(D1168,3),'Table corresp.'!$A$4:$D$63,4,FALSE)</f>
        <v>Transformation</v>
      </c>
      <c r="F1168" t="str">
        <f t="shared" si="146"/>
        <v xml:space="preserve">06  - 12 </v>
      </c>
      <c r="G1168" s="213">
        <v>24868.50900211402</v>
      </c>
      <c r="H1168" s="213">
        <v>0</v>
      </c>
      <c r="I1168" s="213">
        <v>24868.50900211402</v>
      </c>
      <c r="J1168" s="215"/>
      <c r="K1168" s="215"/>
      <c r="L1168" s="215"/>
      <c r="M1168" s="215"/>
      <c r="N1168" s="215"/>
      <c r="O1168" s="215"/>
      <c r="P1168" s="215"/>
      <c r="Q1168" s="215"/>
      <c r="R1168" s="215"/>
      <c r="S1168" s="213"/>
      <c r="T1168" s="212">
        <f>VLOOKUP(A1168,'Groupe de branches'!$Z$27:$AM$86,14,FALSE)</f>
        <v>0</v>
      </c>
      <c r="U1168" s="212">
        <f>VLOOKUP(D1168,'Groupe de branches'!$Z$27:$AM$86,14,FALSE)</f>
        <v>0</v>
      </c>
      <c r="V1168" s="212">
        <v>2019</v>
      </c>
      <c r="W1168" s="212">
        <f>VLOOKUP(D1168,'Table corresp.'!$M$4:$S$63,7,FALSE)</f>
        <v>0</v>
      </c>
      <c r="X1168" s="228">
        <f>IFERROR(G1168/SUMIFS('Comp2016-2017 (3)'!$I$5:$I$289,'Comp2016-2017 (3)'!$A$5:$A$289,A1168,'Comp2016-2017 (3)'!$R$5:$R$289,V1168),0)</f>
        <v>0.10316690103673221</v>
      </c>
      <c r="Y1168" s="214">
        <f>IFERROR(IF(RIGHT(F1168,3)="Exp",VLOOKUP(F1168,#REF!,2,FALSE),VLOOKUP(F1168,#REF!,9,FALSE)),1)</f>
        <v>1</v>
      </c>
      <c r="Z1168" s="225">
        <f t="shared" si="144"/>
        <v>5.8823529411764705E-2</v>
      </c>
      <c r="AA1168" s="225">
        <f t="shared" si="140"/>
        <v>6.0686412374548358E-3</v>
      </c>
      <c r="AB1168" s="222">
        <f>IFERROR(SUMIFS('Comp2016-2017 (3)'!$G$5:$G$289,'Comp2016-2017 (3)'!$A$5:$A$289,A1168,'Comp2016-2017 (3)'!$R$5:$R$289,V1168)*AA1168/SUMIFS($AA$4:$AA$1858,$A$4:$A$1858,A1168,$V$4:$V$1858,V1168),0)</f>
        <v>5298.204981190107</v>
      </c>
      <c r="AC1168" s="222">
        <f>IF($W1168=AC$3,$AB1168,IF(NOT($W1168=0),"",SUMIFS('Val-Vol (2)'!AC$4:AC$1858,'Val-Vol (2)'!$A$4:$A$1858,$D1168,'Val-Vol (2)'!$V$4:$V$1858,$V1168)/SUMIFS('Comp2016-2017 (3)'!$G$5:$G$289,'Comp2016-2017 (3)'!$A$5:$A$289,$D1168,'Comp2016-2017 (3)'!$R$5:$R$289,$V1168)*$AB1168))</f>
        <v>0</v>
      </c>
      <c r="AD1168" s="222">
        <f>IF($W1168=AD$3,$AB1168,IF(NOT($W1168=0),"",SUMIFS('Val-Vol (2)'!AD$4:AD$1858,'Val-Vol (2)'!$A$4:$A$1858,$D1168,'Val-Vol (2)'!$V$4:$V$1858,$V1168)/SUMIFS('Comp2016-2017 (3)'!$G$5:$G$289,'Comp2016-2017 (3)'!$A$5:$A$289,$D1168,'Comp2016-2017 (3)'!$R$5:$R$289,$V1168)*$AB1168))</f>
        <v>0</v>
      </c>
      <c r="AE1168" s="222">
        <f>IF($W1168=AE$3,$AB1168,IF(NOT($W1168=0),"",SUMIFS('Val-Vol (2)'!AE$4:AE$1858,'Val-Vol (2)'!$A$4:$A$1858,$D1168,'Val-Vol (2)'!$V$4:$V$1858,$V1168)/SUMIFS('Comp2016-2017 (3)'!$G$5:$G$289,'Comp2016-2017 (3)'!$A$5:$A$289,$D1168,'Comp2016-2017 (3)'!$R$5:$R$289,$V1168)*$AB1168))</f>
        <v>0</v>
      </c>
      <c r="AF1168" s="222">
        <f>IF($W1168=AF$3,$AB1168,IF(NOT($W1168=0),"",SUMIFS('Val-Vol (2)'!AF$4:AF$1858,'Val-Vol (2)'!$A$4:$A$1858,$D1168,'Val-Vol (2)'!$V$4:$V$1858,$V1168)/SUMIFS('Comp2016-2017 (3)'!$G$5:$G$289,'Comp2016-2017 (3)'!$A$5:$A$289,$D1168,'Comp2016-2017 (3)'!$R$5:$R$289,$V1168)*$AB1168))</f>
        <v>0</v>
      </c>
      <c r="AG1168" s="222">
        <f>IF($W1168=AG$3,$AB1168,IF(NOT($W1168=0),"",SUMIFS('Val-Vol (2)'!AG$4:AG$1858,'Val-Vol (2)'!$A$4:$A$1858,$D1168,'Val-Vol (2)'!$V$4:$V$1858,$V1168)/SUMIFS('Comp2016-2017 (3)'!$G$5:$G$289,'Comp2016-2017 (3)'!$A$5:$A$289,$D1168,'Comp2016-2017 (3)'!$R$5:$R$289,$V1168)*$AB1168))</f>
        <v>0</v>
      </c>
      <c r="AH1168" s="222">
        <f>IF($W1168=AH$3,$AB1168,IF(NOT($W1168=0),"",SUMIFS('Val-Vol (2)'!AH$4:AH$1858,'Val-Vol (2)'!$A$4:$A$1858,$D1168,'Val-Vol (2)'!$V$4:$V$1858,$V1168)/SUMIFS('Comp2016-2017 (3)'!$G$5:$G$289,'Comp2016-2017 (3)'!$A$5:$A$289,$D1168,'Comp2016-2017 (3)'!$R$5:$R$289,$V1168)*$AB1168))</f>
        <v>0</v>
      </c>
      <c r="AI1168" s="222">
        <f>IF($W1168=AI$3,$AB1168,IF(NOT($W1168=0),"",SUMIFS('Val-Vol (2)'!AI$4:AI$1858,'Val-Vol (2)'!$A$4:$A$1858,$D1168,'Val-Vol (2)'!$V$4:$V$1858,$V1168)/SUMIFS('Comp2016-2017 (3)'!$G$5:$G$289,'Comp2016-2017 (3)'!$A$5:$A$289,$D1168,'Comp2016-2017 (3)'!$R$5:$R$289,$V1168)*$AB1168))</f>
        <v>0</v>
      </c>
      <c r="AJ1168" s="222">
        <f>IF($W1168=AJ$3,$AB1168,IF(NOT($W1168=0),"",SUMIFS('Val-Vol (2)'!AJ$4:AJ$1858,'Val-Vol (2)'!$A$4:$A$1858,$D1168,'Val-Vol (2)'!$V$4:$V$1858,$V1168)/SUMIFS('Comp2016-2017 (3)'!$G$5:$G$289,'Comp2016-2017 (3)'!$A$5:$A$289,$D1168,'Comp2016-2017 (3)'!$R$5:$R$289,$V1168)*$AB1168))</f>
        <v>0</v>
      </c>
      <c r="AK1168" s="222">
        <f t="shared" si="147"/>
        <v>-5298.204981190107</v>
      </c>
      <c r="AL1168" s="212" t="str">
        <f t="shared" si="143"/>
        <v/>
      </c>
      <c r="AM1168" s="212" t="str">
        <f>VLOOKUP(A1168,'Table corresp.'!$M$4:$U$63,8,FALSE)</f>
        <v>Production intermédiaire</v>
      </c>
      <c r="AN1168" s="212" t="str">
        <f>VLOOKUP(D1168,'Table corresp.'!$M$4:$U$63,9,FALSE)</f>
        <v>Production intermédiaire</v>
      </c>
    </row>
    <row r="1169" spans="1:40" x14ac:dyDescent="0.25">
      <c r="A1169" t="s">
        <v>3</v>
      </c>
      <c r="B1169" t="str">
        <f>VLOOKUP(LEFT(A1169,3),'Table corresp.'!$A$4:$D$63,3,FALSE)</f>
        <v>Transformation</v>
      </c>
      <c r="C1169" t="str">
        <f>VLOOKUP(A1169,'Table corresp.'!$M$4:$P$63,4,FALSE)</f>
        <v>Production et transformation de produits bois</v>
      </c>
      <c r="D1169" t="s">
        <v>8</v>
      </c>
      <c r="E1169" t="str">
        <f>VLOOKUP(LEFT(D1169,3),'Table corresp.'!$A$4:$D$63,4,FALSE)</f>
        <v>Transformation</v>
      </c>
      <c r="F1169" t="str">
        <f t="shared" si="146"/>
        <v xml:space="preserve">06  - 13 </v>
      </c>
      <c r="G1169" s="213">
        <v>8252.0574983931838</v>
      </c>
      <c r="H1169" s="213">
        <v>0</v>
      </c>
      <c r="I1169" s="213">
        <v>8252.0574983931838</v>
      </c>
      <c r="J1169" s="215"/>
      <c r="K1169" s="215"/>
      <c r="L1169" s="215"/>
      <c r="M1169" s="215"/>
      <c r="N1169" s="215"/>
      <c r="O1169" s="215"/>
      <c r="P1169" s="215"/>
      <c r="Q1169" s="215"/>
      <c r="R1169" s="215"/>
      <c r="S1169" s="213"/>
      <c r="T1169" s="212">
        <f>VLOOKUP(A1169,'Groupe de branches'!$Z$27:$AM$86,14,FALSE)</f>
        <v>0</v>
      </c>
      <c r="U1169" s="212">
        <f>VLOOKUP(D1169,'Groupe de branches'!$Z$27:$AM$86,14,FALSE)</f>
        <v>0</v>
      </c>
      <c r="V1169" s="212">
        <v>2019</v>
      </c>
      <c r="W1169" s="212">
        <f>VLOOKUP(D1169,'Table corresp.'!$M$4:$S$63,7,FALSE)</f>
        <v>0</v>
      </c>
      <c r="X1169" s="228">
        <f>IFERROR(G1169/SUMIFS('Comp2016-2017 (3)'!$I$5:$I$289,'Comp2016-2017 (3)'!$A$5:$A$289,A1169,'Comp2016-2017 (3)'!$R$5:$R$289,V1169),0)</f>
        <v>3.4233624509365762E-2</v>
      </c>
      <c r="Y1169" s="214">
        <f>IFERROR(IF(RIGHT(F1169,3)="Exp",VLOOKUP(F1169,#REF!,2,FALSE),VLOOKUP(F1169,#REF!,9,FALSE)),1)</f>
        <v>1</v>
      </c>
      <c r="Z1169" s="225">
        <f t="shared" si="144"/>
        <v>5.8823529411764705E-2</v>
      </c>
      <c r="AA1169" s="225">
        <f t="shared" si="140"/>
        <v>2.0137426181979861E-3</v>
      </c>
      <c r="AB1169" s="222">
        <f>IFERROR(SUMIFS('Comp2016-2017 (3)'!$G$5:$G$289,'Comp2016-2017 (3)'!$A$5:$A$289,A1169,'Comp2016-2017 (3)'!$R$5:$R$289,V1169)*AA1169/SUMIFS($AA$4:$AA$1858,$A$4:$A$1858,A1169,$V$4:$V$1858,V1169),0)</f>
        <v>1758.0906092656098</v>
      </c>
      <c r="AC1169" s="222">
        <f>IF($W1169=AC$3,$AB1169,IF(NOT($W1169=0),"",SUMIFS('Val-Vol (2)'!AC$4:AC$1858,'Val-Vol (2)'!$A$4:$A$1858,$D1169,'Val-Vol (2)'!$V$4:$V$1858,$V1169)/SUMIFS('Comp2016-2017 (3)'!$G$5:$G$289,'Comp2016-2017 (3)'!$A$5:$A$289,$D1169,'Comp2016-2017 (3)'!$R$5:$R$289,$V1169)*$AB1169))</f>
        <v>0</v>
      </c>
      <c r="AD1169" s="222">
        <f>IF($W1169=AD$3,$AB1169,IF(NOT($W1169=0),"",SUMIFS('Val-Vol (2)'!AD$4:AD$1858,'Val-Vol (2)'!$A$4:$A$1858,$D1169,'Val-Vol (2)'!$V$4:$V$1858,$V1169)/SUMIFS('Comp2016-2017 (3)'!$G$5:$G$289,'Comp2016-2017 (3)'!$A$5:$A$289,$D1169,'Comp2016-2017 (3)'!$R$5:$R$289,$V1169)*$AB1169))</f>
        <v>0</v>
      </c>
      <c r="AE1169" s="222">
        <f>IF($W1169=AE$3,$AB1169,IF(NOT($W1169=0),"",SUMIFS('Val-Vol (2)'!AE$4:AE$1858,'Val-Vol (2)'!$A$4:$A$1858,$D1169,'Val-Vol (2)'!$V$4:$V$1858,$V1169)/SUMIFS('Comp2016-2017 (3)'!$G$5:$G$289,'Comp2016-2017 (3)'!$A$5:$A$289,$D1169,'Comp2016-2017 (3)'!$R$5:$R$289,$V1169)*$AB1169))</f>
        <v>0</v>
      </c>
      <c r="AF1169" s="222">
        <f>IF($W1169=AF$3,$AB1169,IF(NOT($W1169=0),"",SUMIFS('Val-Vol (2)'!AF$4:AF$1858,'Val-Vol (2)'!$A$4:$A$1858,$D1169,'Val-Vol (2)'!$V$4:$V$1858,$V1169)/SUMIFS('Comp2016-2017 (3)'!$G$5:$G$289,'Comp2016-2017 (3)'!$A$5:$A$289,$D1169,'Comp2016-2017 (3)'!$R$5:$R$289,$V1169)*$AB1169))</f>
        <v>0</v>
      </c>
      <c r="AG1169" s="222">
        <f>IF($W1169=AG$3,$AB1169,IF(NOT($W1169=0),"",SUMIFS('Val-Vol (2)'!AG$4:AG$1858,'Val-Vol (2)'!$A$4:$A$1858,$D1169,'Val-Vol (2)'!$V$4:$V$1858,$V1169)/SUMIFS('Comp2016-2017 (3)'!$G$5:$G$289,'Comp2016-2017 (3)'!$A$5:$A$289,$D1169,'Comp2016-2017 (3)'!$R$5:$R$289,$V1169)*$AB1169))</f>
        <v>0</v>
      </c>
      <c r="AH1169" s="222">
        <f>IF($W1169=AH$3,$AB1169,IF(NOT($W1169=0),"",SUMIFS('Val-Vol (2)'!AH$4:AH$1858,'Val-Vol (2)'!$A$4:$A$1858,$D1169,'Val-Vol (2)'!$V$4:$V$1858,$V1169)/SUMIFS('Comp2016-2017 (3)'!$G$5:$G$289,'Comp2016-2017 (3)'!$A$5:$A$289,$D1169,'Comp2016-2017 (3)'!$R$5:$R$289,$V1169)*$AB1169))</f>
        <v>0</v>
      </c>
      <c r="AI1169" s="222">
        <f>IF($W1169=AI$3,$AB1169,IF(NOT($W1169=0),"",SUMIFS('Val-Vol (2)'!AI$4:AI$1858,'Val-Vol (2)'!$A$4:$A$1858,$D1169,'Val-Vol (2)'!$V$4:$V$1858,$V1169)/SUMIFS('Comp2016-2017 (3)'!$G$5:$G$289,'Comp2016-2017 (3)'!$A$5:$A$289,$D1169,'Comp2016-2017 (3)'!$R$5:$R$289,$V1169)*$AB1169))</f>
        <v>0</v>
      </c>
      <c r="AJ1169" s="222">
        <f>IF($W1169=AJ$3,$AB1169,IF(NOT($W1169=0),"",SUMIFS('Val-Vol (2)'!AJ$4:AJ$1858,'Val-Vol (2)'!$A$4:$A$1858,$D1169,'Val-Vol (2)'!$V$4:$V$1858,$V1169)/SUMIFS('Comp2016-2017 (3)'!$G$5:$G$289,'Comp2016-2017 (3)'!$A$5:$A$289,$D1169,'Comp2016-2017 (3)'!$R$5:$R$289,$V1169)*$AB1169))</f>
        <v>0</v>
      </c>
      <c r="AK1169" s="222">
        <f t="shared" si="147"/>
        <v>-1758.0906092656098</v>
      </c>
      <c r="AL1169" s="212" t="str">
        <f t="shared" si="143"/>
        <v/>
      </c>
      <c r="AM1169" s="212" t="str">
        <f>VLOOKUP(A1169,'Table corresp.'!$M$4:$U$63,8,FALSE)</f>
        <v>Production intermédiaire</v>
      </c>
      <c r="AN1169" s="212" t="str">
        <f>VLOOKUP(D1169,'Table corresp.'!$M$4:$U$63,9,FALSE)</f>
        <v>Production intermédiaire</v>
      </c>
    </row>
    <row r="1170" spans="1:40" x14ac:dyDescent="0.25">
      <c r="A1170" t="s">
        <v>3</v>
      </c>
      <c r="B1170" t="str">
        <f>VLOOKUP(LEFT(A1170,3),'Table corresp.'!$A$4:$D$63,3,FALSE)</f>
        <v>Transformation</v>
      </c>
      <c r="C1170" t="str">
        <f>VLOOKUP(A1170,'Table corresp.'!$M$4:$P$63,4,FALSE)</f>
        <v>Production et transformation de produits bois</v>
      </c>
      <c r="D1170" t="s">
        <v>83</v>
      </c>
      <c r="E1170" t="str">
        <f>VLOOKUP(LEFT(D1170,3),'Table corresp.'!$A$4:$D$63,4,FALSE)</f>
        <v>Transformation</v>
      </c>
      <c r="F1170" t="str">
        <f t="shared" si="146"/>
        <v xml:space="preserve">06  - 14 </v>
      </c>
      <c r="G1170" s="213">
        <v>2934.2536468885401</v>
      </c>
      <c r="H1170" s="213">
        <v>0</v>
      </c>
      <c r="I1170" s="213">
        <v>2934.2536468885405</v>
      </c>
      <c r="J1170" s="215"/>
      <c r="K1170" s="215"/>
      <c r="L1170" s="215"/>
      <c r="M1170" s="215"/>
      <c r="N1170" s="215"/>
      <c r="O1170" s="215"/>
      <c r="P1170" s="215"/>
      <c r="Q1170" s="215"/>
      <c r="R1170" s="215"/>
      <c r="S1170" s="213"/>
      <c r="T1170" s="212">
        <f>VLOOKUP(A1170,'Groupe de branches'!$Z$27:$AM$86,14,FALSE)</f>
        <v>0</v>
      </c>
      <c r="U1170" s="212">
        <f>VLOOKUP(D1170,'Groupe de branches'!$Z$27:$AM$86,14,FALSE)</f>
        <v>0</v>
      </c>
      <c r="V1170" s="212">
        <v>2019</v>
      </c>
      <c r="W1170" s="212">
        <f>VLOOKUP(D1170,'Table corresp.'!$M$4:$S$63,7,FALSE)</f>
        <v>0</v>
      </c>
      <c r="X1170" s="228">
        <f>IFERROR(G1170/SUMIFS('Comp2016-2017 (3)'!$I$5:$I$289,'Comp2016-2017 (3)'!$A$5:$A$289,A1170,'Comp2016-2017 (3)'!$R$5:$R$289,V1170),0)</f>
        <v>1.217273844521548E-2</v>
      </c>
      <c r="Y1170" s="214">
        <f>IFERROR(IF(RIGHT(F1170,3)="Exp",VLOOKUP(F1170,#REF!,2,FALSE),VLOOKUP(F1170,#REF!,9,FALSE)),1)</f>
        <v>1</v>
      </c>
      <c r="Z1170" s="225">
        <f t="shared" si="144"/>
        <v>5.8823529411764705E-2</v>
      </c>
      <c r="AA1170" s="225">
        <f t="shared" si="140"/>
        <v>7.1604343795385176E-4</v>
      </c>
      <c r="AB1170" s="222">
        <f>IFERROR(SUMIFS('Comp2016-2017 (3)'!$G$5:$G$289,'Comp2016-2017 (3)'!$A$5:$A$289,A1170,'Comp2016-2017 (3)'!$R$5:$R$289,V1170)*AA1170/SUMIFS($AA$4:$AA$1858,$A$4:$A$1858,A1170,$V$4:$V$1858,V1170),0)</f>
        <v>625.1390980737342</v>
      </c>
      <c r="AC1170" s="222">
        <f>IF($W1170=AC$3,$AB1170,IF(NOT($W1170=0),"",SUMIFS('Val-Vol (2)'!AC$4:AC$1858,'Val-Vol (2)'!$A$4:$A$1858,$D1170,'Val-Vol (2)'!$V$4:$V$1858,$V1170)/SUMIFS('Comp2016-2017 (3)'!$G$5:$G$289,'Comp2016-2017 (3)'!$A$5:$A$289,$D1170,'Comp2016-2017 (3)'!$R$5:$R$289,$V1170)*$AB1170))</f>
        <v>0</v>
      </c>
      <c r="AD1170" s="222">
        <f>IF($W1170=AD$3,$AB1170,IF(NOT($W1170=0),"",SUMIFS('Val-Vol (2)'!AD$4:AD$1858,'Val-Vol (2)'!$A$4:$A$1858,$D1170,'Val-Vol (2)'!$V$4:$V$1858,$V1170)/SUMIFS('Comp2016-2017 (3)'!$G$5:$G$289,'Comp2016-2017 (3)'!$A$5:$A$289,$D1170,'Comp2016-2017 (3)'!$R$5:$R$289,$V1170)*$AB1170))</f>
        <v>0</v>
      </c>
      <c r="AE1170" s="222">
        <f>IF($W1170=AE$3,$AB1170,IF(NOT($W1170=0),"",SUMIFS('Val-Vol (2)'!AE$4:AE$1858,'Val-Vol (2)'!$A$4:$A$1858,$D1170,'Val-Vol (2)'!$V$4:$V$1858,$V1170)/SUMIFS('Comp2016-2017 (3)'!$G$5:$G$289,'Comp2016-2017 (3)'!$A$5:$A$289,$D1170,'Comp2016-2017 (3)'!$R$5:$R$289,$V1170)*$AB1170))</f>
        <v>0</v>
      </c>
      <c r="AF1170" s="222">
        <f>IF($W1170=AF$3,$AB1170,IF(NOT($W1170=0),"",SUMIFS('Val-Vol (2)'!AF$4:AF$1858,'Val-Vol (2)'!$A$4:$A$1858,$D1170,'Val-Vol (2)'!$V$4:$V$1858,$V1170)/SUMIFS('Comp2016-2017 (3)'!$G$5:$G$289,'Comp2016-2017 (3)'!$A$5:$A$289,$D1170,'Comp2016-2017 (3)'!$R$5:$R$289,$V1170)*$AB1170))</f>
        <v>0</v>
      </c>
      <c r="AG1170" s="222">
        <f>IF($W1170=AG$3,$AB1170,IF(NOT($W1170=0),"",SUMIFS('Val-Vol (2)'!AG$4:AG$1858,'Val-Vol (2)'!$A$4:$A$1858,$D1170,'Val-Vol (2)'!$V$4:$V$1858,$V1170)/SUMIFS('Comp2016-2017 (3)'!$G$5:$G$289,'Comp2016-2017 (3)'!$A$5:$A$289,$D1170,'Comp2016-2017 (3)'!$R$5:$R$289,$V1170)*$AB1170))</f>
        <v>0</v>
      </c>
      <c r="AH1170" s="222">
        <f>IF($W1170=AH$3,$AB1170,IF(NOT($W1170=0),"",SUMIFS('Val-Vol (2)'!AH$4:AH$1858,'Val-Vol (2)'!$A$4:$A$1858,$D1170,'Val-Vol (2)'!$V$4:$V$1858,$V1170)/SUMIFS('Comp2016-2017 (3)'!$G$5:$G$289,'Comp2016-2017 (3)'!$A$5:$A$289,$D1170,'Comp2016-2017 (3)'!$R$5:$R$289,$V1170)*$AB1170))</f>
        <v>0</v>
      </c>
      <c r="AI1170" s="222">
        <f>IF($W1170=AI$3,$AB1170,IF(NOT($W1170=0),"",SUMIFS('Val-Vol (2)'!AI$4:AI$1858,'Val-Vol (2)'!$A$4:$A$1858,$D1170,'Val-Vol (2)'!$V$4:$V$1858,$V1170)/SUMIFS('Comp2016-2017 (3)'!$G$5:$G$289,'Comp2016-2017 (3)'!$A$5:$A$289,$D1170,'Comp2016-2017 (3)'!$R$5:$R$289,$V1170)*$AB1170))</f>
        <v>0</v>
      </c>
      <c r="AJ1170" s="222">
        <f>IF($W1170=AJ$3,$AB1170,IF(NOT($W1170=0),"",SUMIFS('Val-Vol (2)'!AJ$4:AJ$1858,'Val-Vol (2)'!$A$4:$A$1858,$D1170,'Val-Vol (2)'!$V$4:$V$1858,$V1170)/SUMIFS('Comp2016-2017 (3)'!$G$5:$G$289,'Comp2016-2017 (3)'!$A$5:$A$289,$D1170,'Comp2016-2017 (3)'!$R$5:$R$289,$V1170)*$AB1170))</f>
        <v>0</v>
      </c>
      <c r="AK1170" s="222">
        <f t="shared" si="147"/>
        <v>-625.1390980737342</v>
      </c>
      <c r="AL1170" s="212" t="str">
        <f t="shared" si="143"/>
        <v/>
      </c>
      <c r="AM1170" s="212" t="str">
        <f>VLOOKUP(A1170,'Table corresp.'!$M$4:$U$63,8,FALSE)</f>
        <v>Production intermédiaire</v>
      </c>
      <c r="AN1170" s="212" t="str">
        <f>VLOOKUP(D1170,'Table corresp.'!$M$4:$U$63,9,FALSE)</f>
        <v>Production intermédiaire</v>
      </c>
    </row>
    <row r="1171" spans="1:40" x14ac:dyDescent="0.25">
      <c r="A1171" t="s">
        <v>3</v>
      </c>
      <c r="B1171" t="str">
        <f>VLOOKUP(LEFT(A1171,3),'Table corresp.'!$A$4:$D$63,3,FALSE)</f>
        <v>Transformation</v>
      </c>
      <c r="C1171" t="str">
        <f>VLOOKUP(A1171,'Table corresp.'!$M$4:$P$63,4,FALSE)</f>
        <v>Production et transformation de produits bois</v>
      </c>
      <c r="D1171" t="s">
        <v>9</v>
      </c>
      <c r="E1171" t="str">
        <f>VLOOKUP(LEFT(D1171,3),'Table corresp.'!$A$4:$D$63,4,FALSE)</f>
        <v>Transformation</v>
      </c>
      <c r="F1171" t="str">
        <f t="shared" si="146"/>
        <v xml:space="preserve">06  - 15 </v>
      </c>
      <c r="G1171" s="213">
        <v>12044.339910585142</v>
      </c>
      <c r="H1171" s="213">
        <v>0</v>
      </c>
      <c r="I1171" s="213">
        <v>12044.339910585142</v>
      </c>
      <c r="J1171" s="215"/>
      <c r="K1171" s="215"/>
      <c r="L1171" s="215"/>
      <c r="M1171" s="215"/>
      <c r="N1171" s="215"/>
      <c r="O1171" s="215"/>
      <c r="P1171" s="215"/>
      <c r="Q1171" s="215"/>
      <c r="R1171" s="215"/>
      <c r="S1171" s="213"/>
      <c r="T1171" s="212">
        <f>VLOOKUP(A1171,'Groupe de branches'!$Z$27:$AM$86,14,FALSE)</f>
        <v>0</v>
      </c>
      <c r="U1171" s="212">
        <f>VLOOKUP(D1171,'Groupe de branches'!$Z$27:$AM$86,14,FALSE)</f>
        <v>0</v>
      </c>
      <c r="V1171" s="212">
        <v>2019</v>
      </c>
      <c r="W1171" s="212">
        <f>VLOOKUP(D1171,'Table corresp.'!$M$4:$S$63,7,FALSE)</f>
        <v>0</v>
      </c>
      <c r="X1171" s="228">
        <f>IFERROR(G1171/SUMIFS('Comp2016-2017 (3)'!$I$5:$I$289,'Comp2016-2017 (3)'!$A$5:$A$289,A1171,'Comp2016-2017 (3)'!$R$5:$R$289,V1171),0)</f>
        <v>4.9965891541888276E-2</v>
      </c>
      <c r="Y1171" s="214">
        <f>IFERROR(IF(RIGHT(F1171,3)="Exp",VLOOKUP(F1171,#REF!,2,FALSE),VLOOKUP(F1171,#REF!,9,FALSE)),1)</f>
        <v>1</v>
      </c>
      <c r="Z1171" s="225">
        <f t="shared" si="144"/>
        <v>5.8823529411764705E-2</v>
      </c>
      <c r="AA1171" s="225">
        <f t="shared" si="140"/>
        <v>2.9391700906993101E-3</v>
      </c>
      <c r="AB1171" s="222">
        <f>IFERROR(SUMIFS('Comp2016-2017 (3)'!$G$5:$G$289,'Comp2016-2017 (3)'!$A$5:$A$289,A1171,'Comp2016-2017 (3)'!$R$5:$R$289,V1171)*AA1171/SUMIFS($AA$4:$AA$1858,$A$4:$A$1858,A1171,$V$4:$V$1858,V1171),0)</f>
        <v>2566.0316709773133</v>
      </c>
      <c r="AC1171" s="222">
        <f>IF($W1171=AC$3,$AB1171,IF(NOT($W1171=0),"",SUMIFS('Val-Vol (2)'!AC$4:AC$1858,'Val-Vol (2)'!$A$4:$A$1858,$D1171,'Val-Vol (2)'!$V$4:$V$1858,$V1171)/SUMIFS('Comp2016-2017 (3)'!$G$5:$G$289,'Comp2016-2017 (3)'!$A$5:$A$289,$D1171,'Comp2016-2017 (3)'!$R$5:$R$289,$V1171)*$AB1171))</f>
        <v>0</v>
      </c>
      <c r="AD1171" s="222">
        <f>IF($W1171=AD$3,$AB1171,IF(NOT($W1171=0),"",SUMIFS('Val-Vol (2)'!AD$4:AD$1858,'Val-Vol (2)'!$A$4:$A$1858,$D1171,'Val-Vol (2)'!$V$4:$V$1858,$V1171)/SUMIFS('Comp2016-2017 (3)'!$G$5:$G$289,'Comp2016-2017 (3)'!$A$5:$A$289,$D1171,'Comp2016-2017 (3)'!$R$5:$R$289,$V1171)*$AB1171))</f>
        <v>0</v>
      </c>
      <c r="AE1171" s="222">
        <f>IF($W1171=AE$3,$AB1171,IF(NOT($W1171=0),"",SUMIFS('Val-Vol (2)'!AE$4:AE$1858,'Val-Vol (2)'!$A$4:$A$1858,$D1171,'Val-Vol (2)'!$V$4:$V$1858,$V1171)/SUMIFS('Comp2016-2017 (3)'!$G$5:$G$289,'Comp2016-2017 (3)'!$A$5:$A$289,$D1171,'Comp2016-2017 (3)'!$R$5:$R$289,$V1171)*$AB1171))</f>
        <v>0</v>
      </c>
      <c r="AF1171" s="222">
        <f>IF($W1171=AF$3,$AB1171,IF(NOT($W1171=0),"",SUMIFS('Val-Vol (2)'!AF$4:AF$1858,'Val-Vol (2)'!$A$4:$A$1858,$D1171,'Val-Vol (2)'!$V$4:$V$1858,$V1171)/SUMIFS('Comp2016-2017 (3)'!$G$5:$G$289,'Comp2016-2017 (3)'!$A$5:$A$289,$D1171,'Comp2016-2017 (3)'!$R$5:$R$289,$V1171)*$AB1171))</f>
        <v>0</v>
      </c>
      <c r="AG1171" s="222">
        <f>IF($W1171=AG$3,$AB1171,IF(NOT($W1171=0),"",SUMIFS('Val-Vol (2)'!AG$4:AG$1858,'Val-Vol (2)'!$A$4:$A$1858,$D1171,'Val-Vol (2)'!$V$4:$V$1858,$V1171)/SUMIFS('Comp2016-2017 (3)'!$G$5:$G$289,'Comp2016-2017 (3)'!$A$5:$A$289,$D1171,'Comp2016-2017 (3)'!$R$5:$R$289,$V1171)*$AB1171))</f>
        <v>0</v>
      </c>
      <c r="AH1171" s="222">
        <f>IF($W1171=AH$3,$AB1171,IF(NOT($W1171=0),"",SUMIFS('Val-Vol (2)'!AH$4:AH$1858,'Val-Vol (2)'!$A$4:$A$1858,$D1171,'Val-Vol (2)'!$V$4:$V$1858,$V1171)/SUMIFS('Comp2016-2017 (3)'!$G$5:$G$289,'Comp2016-2017 (3)'!$A$5:$A$289,$D1171,'Comp2016-2017 (3)'!$R$5:$R$289,$V1171)*$AB1171))</f>
        <v>0</v>
      </c>
      <c r="AI1171" s="222">
        <f>IF($W1171=AI$3,$AB1171,IF(NOT($W1171=0),"",SUMIFS('Val-Vol (2)'!AI$4:AI$1858,'Val-Vol (2)'!$A$4:$A$1858,$D1171,'Val-Vol (2)'!$V$4:$V$1858,$V1171)/SUMIFS('Comp2016-2017 (3)'!$G$5:$G$289,'Comp2016-2017 (3)'!$A$5:$A$289,$D1171,'Comp2016-2017 (3)'!$R$5:$R$289,$V1171)*$AB1171))</f>
        <v>0</v>
      </c>
      <c r="AJ1171" s="222">
        <f>IF($W1171=AJ$3,$AB1171,IF(NOT($W1171=0),"",SUMIFS('Val-Vol (2)'!AJ$4:AJ$1858,'Val-Vol (2)'!$A$4:$A$1858,$D1171,'Val-Vol (2)'!$V$4:$V$1858,$V1171)/SUMIFS('Comp2016-2017 (3)'!$G$5:$G$289,'Comp2016-2017 (3)'!$A$5:$A$289,$D1171,'Comp2016-2017 (3)'!$R$5:$R$289,$V1171)*$AB1171))</f>
        <v>0</v>
      </c>
      <c r="AK1171" s="222">
        <f t="shared" si="147"/>
        <v>-2566.0316709773133</v>
      </c>
      <c r="AL1171" s="212" t="str">
        <f t="shared" si="143"/>
        <v/>
      </c>
      <c r="AM1171" s="212" t="str">
        <f>VLOOKUP(A1171,'Table corresp.'!$M$4:$U$63,8,FALSE)</f>
        <v>Production intermédiaire</v>
      </c>
      <c r="AN1171" s="212" t="str">
        <f>VLOOKUP(D1171,'Table corresp.'!$M$4:$U$63,9,FALSE)</f>
        <v>Production intermédiaire</v>
      </c>
    </row>
    <row r="1172" spans="1:40" x14ac:dyDescent="0.25">
      <c r="A1172" t="s">
        <v>3</v>
      </c>
      <c r="B1172" t="str">
        <f>VLOOKUP(LEFT(A1172,3),'Table corresp.'!$A$4:$D$63,3,FALSE)</f>
        <v>Transformation</v>
      </c>
      <c r="C1172" t="str">
        <f>VLOOKUP(A1172,'Table corresp.'!$M$4:$P$63,4,FALSE)</f>
        <v>Production et transformation de produits bois</v>
      </c>
      <c r="D1172" t="s">
        <v>10</v>
      </c>
      <c r="E1172" t="str">
        <f>VLOOKUP(LEFT(D1172,3),'Table corresp.'!$A$4:$D$63,4,FALSE)</f>
        <v>Transformation</v>
      </c>
      <c r="F1172" t="str">
        <f t="shared" si="146"/>
        <v xml:space="preserve">06  - 16 </v>
      </c>
      <c r="G1172" s="213">
        <v>1035.0201448940313</v>
      </c>
      <c r="H1172" s="213">
        <v>0</v>
      </c>
      <c r="I1172" s="213">
        <v>1035.0201448940313</v>
      </c>
      <c r="J1172" s="215"/>
      <c r="K1172" s="215"/>
      <c r="L1172" s="215"/>
      <c r="M1172" s="215"/>
      <c r="N1172" s="215"/>
      <c r="O1172" s="215"/>
      <c r="P1172" s="215"/>
      <c r="Q1172" s="215"/>
      <c r="R1172" s="215"/>
      <c r="S1172" s="213"/>
      <c r="T1172" s="212">
        <f>VLOOKUP(A1172,'Groupe de branches'!$Z$27:$AM$86,14,FALSE)</f>
        <v>0</v>
      </c>
      <c r="U1172" s="212">
        <f>VLOOKUP(D1172,'Groupe de branches'!$Z$27:$AM$86,14,FALSE)</f>
        <v>0</v>
      </c>
      <c r="V1172" s="212">
        <v>2019</v>
      </c>
      <c r="W1172" s="212" t="str">
        <f>VLOOKUP(D1172,'Table corresp.'!$M$4:$S$63,7,FALSE)</f>
        <v>Emballage bois et carton</v>
      </c>
      <c r="X1172" s="228">
        <f>IFERROR(G1172/SUMIFS('Comp2016-2017 (3)'!$I$5:$I$289,'Comp2016-2017 (3)'!$A$5:$A$289,A1172,'Comp2016-2017 (3)'!$R$5:$R$289,V1172),0)</f>
        <v>4.2937765529179744E-3</v>
      </c>
      <c r="Y1172" s="214">
        <f>IFERROR(IF(RIGHT(F1172,3)="Exp",VLOOKUP(F1172,#REF!,2,FALSE),VLOOKUP(F1172,#REF!,9,FALSE)),1)</f>
        <v>1</v>
      </c>
      <c r="Z1172" s="225">
        <f t="shared" si="144"/>
        <v>5.8823529411764705E-2</v>
      </c>
      <c r="AA1172" s="225">
        <f t="shared" si="140"/>
        <v>2.5257509134811614E-4</v>
      </c>
      <c r="AB1172" s="222">
        <f>IFERROR(SUMIFS('Comp2016-2017 (3)'!$G$5:$G$289,'Comp2016-2017 (3)'!$A$5:$A$289,A1172,'Comp2016-2017 (3)'!$R$5:$R$289,V1172)*AA1172/SUMIFS($AA$4:$AA$1858,$A$4:$A$1858,A1172,$V$4:$V$1858,V1172),0)</f>
        <v>220.50975741422616</v>
      </c>
      <c r="AC1172" s="222" t="str">
        <f>IF($W1172=AC$3,$AB1172,IF(NOT($W1172=0),"",SUMIFS('Val-Vol (2)'!AC$4:AC$1858,'Val-Vol (2)'!$A$4:$A$1858,$D1172,'Val-Vol (2)'!$V$4:$V$1858,$V1172)/SUMIFS('Comp2016-2017 (3)'!$G$5:$G$289,'Comp2016-2017 (3)'!$A$5:$A$289,$D1172,'Comp2016-2017 (3)'!$R$5:$R$289,$V1172)*$AB1172))</f>
        <v/>
      </c>
      <c r="AD1172" s="222" t="str">
        <f>IF($W1172=AD$3,$AB1172,IF(NOT($W1172=0),"",SUMIFS('Val-Vol (2)'!AD$4:AD$1858,'Val-Vol (2)'!$A$4:$A$1858,$D1172,'Val-Vol (2)'!$V$4:$V$1858,$V1172)/SUMIFS('Comp2016-2017 (3)'!$G$5:$G$289,'Comp2016-2017 (3)'!$A$5:$A$289,$D1172,'Comp2016-2017 (3)'!$R$5:$R$289,$V1172)*$AB1172))</f>
        <v/>
      </c>
      <c r="AE1172" s="222" t="str">
        <f>IF($W1172=AE$3,$AB1172,IF(NOT($W1172=0),"",SUMIFS('Val-Vol (2)'!AE$4:AE$1858,'Val-Vol (2)'!$A$4:$A$1858,$D1172,'Val-Vol (2)'!$V$4:$V$1858,$V1172)/SUMIFS('Comp2016-2017 (3)'!$G$5:$G$289,'Comp2016-2017 (3)'!$A$5:$A$289,$D1172,'Comp2016-2017 (3)'!$R$5:$R$289,$V1172)*$AB1172))</f>
        <v/>
      </c>
      <c r="AF1172" s="222" t="str">
        <f>IF($W1172=AF$3,$AB1172,IF(NOT($W1172=0),"",SUMIFS('Val-Vol (2)'!AF$4:AF$1858,'Val-Vol (2)'!$A$4:$A$1858,$D1172,'Val-Vol (2)'!$V$4:$V$1858,$V1172)/SUMIFS('Comp2016-2017 (3)'!$G$5:$G$289,'Comp2016-2017 (3)'!$A$5:$A$289,$D1172,'Comp2016-2017 (3)'!$R$5:$R$289,$V1172)*$AB1172))</f>
        <v/>
      </c>
      <c r="AG1172" s="222">
        <f>IF($W1172=AG$3,$AB1172,IF(NOT($W1172=0),"",SUMIFS('Val-Vol (2)'!AG$4:AG$1858,'Val-Vol (2)'!$A$4:$A$1858,$D1172,'Val-Vol (2)'!$V$4:$V$1858,$V1172)/SUMIFS('Comp2016-2017 (3)'!$G$5:$G$289,'Comp2016-2017 (3)'!$A$5:$A$289,$D1172,'Comp2016-2017 (3)'!$R$5:$R$289,$V1172)*$AB1172))</f>
        <v>220.50975741422616</v>
      </c>
      <c r="AH1172" s="222" t="str">
        <f>IF($W1172=AH$3,$AB1172,IF(NOT($W1172=0),"",SUMIFS('Val-Vol (2)'!AH$4:AH$1858,'Val-Vol (2)'!$A$4:$A$1858,$D1172,'Val-Vol (2)'!$V$4:$V$1858,$V1172)/SUMIFS('Comp2016-2017 (3)'!$G$5:$G$289,'Comp2016-2017 (3)'!$A$5:$A$289,$D1172,'Comp2016-2017 (3)'!$R$5:$R$289,$V1172)*$AB1172))</f>
        <v/>
      </c>
      <c r="AI1172" s="222" t="str">
        <f>IF($W1172=AI$3,$AB1172,IF(NOT($W1172=0),"",SUMIFS('Val-Vol (2)'!AI$4:AI$1858,'Val-Vol (2)'!$A$4:$A$1858,$D1172,'Val-Vol (2)'!$V$4:$V$1858,$V1172)/SUMIFS('Comp2016-2017 (3)'!$G$5:$G$289,'Comp2016-2017 (3)'!$A$5:$A$289,$D1172,'Comp2016-2017 (3)'!$R$5:$R$289,$V1172)*$AB1172))</f>
        <v/>
      </c>
      <c r="AJ1172" s="222" t="str">
        <f>IF($W1172=AJ$3,$AB1172,IF(NOT($W1172=0),"",SUMIFS('Val-Vol (2)'!AJ$4:AJ$1858,'Val-Vol (2)'!$A$4:$A$1858,$D1172,'Val-Vol (2)'!$V$4:$V$1858,$V1172)/SUMIFS('Comp2016-2017 (3)'!$G$5:$G$289,'Comp2016-2017 (3)'!$A$5:$A$289,$D1172,'Comp2016-2017 (3)'!$R$5:$R$289,$V1172)*$AB1172))</f>
        <v/>
      </c>
      <c r="AK1172" s="222">
        <f t="shared" si="147"/>
        <v>0</v>
      </c>
      <c r="AL1172" s="212" t="str">
        <f t="shared" si="143"/>
        <v/>
      </c>
      <c r="AM1172" s="212" t="str">
        <f>VLOOKUP(A1172,'Table corresp.'!$M$4:$U$63,8,FALSE)</f>
        <v>Production intermédiaire</v>
      </c>
      <c r="AN1172" s="212" t="str">
        <f>VLOOKUP(D1172,'Table corresp.'!$M$4:$U$63,9,FALSE)</f>
        <v>Production intermédiaire</v>
      </c>
    </row>
    <row r="1173" spans="1:40" x14ac:dyDescent="0.25">
      <c r="A1173" t="s">
        <v>3</v>
      </c>
      <c r="B1173" t="str">
        <f>VLOOKUP(LEFT(A1173,3),'Table corresp.'!$A$4:$D$63,3,FALSE)</f>
        <v>Transformation</v>
      </c>
      <c r="C1173" t="str">
        <f>VLOOKUP(A1173,'Table corresp.'!$M$4:$P$63,4,FALSE)</f>
        <v>Production et transformation de produits bois</v>
      </c>
      <c r="D1173" t="s">
        <v>84</v>
      </c>
      <c r="E1173" t="str">
        <f>VLOOKUP(LEFT(D1173,3),'Table corresp.'!$A$4:$D$63,4,FALSE)</f>
        <v>Transformation</v>
      </c>
      <c r="F1173" t="str">
        <f t="shared" si="146"/>
        <v xml:space="preserve">06  - 17 </v>
      </c>
      <c r="G1173" s="213">
        <v>913.95085401059612</v>
      </c>
      <c r="H1173" s="213">
        <v>0</v>
      </c>
      <c r="I1173" s="213">
        <v>913.95085401059612</v>
      </c>
      <c r="J1173" s="215"/>
      <c r="K1173" s="215"/>
      <c r="L1173" s="215"/>
      <c r="M1173" s="215"/>
      <c r="N1173" s="215"/>
      <c r="O1173" s="215"/>
      <c r="P1173" s="215"/>
      <c r="Q1173" s="215"/>
      <c r="R1173" s="215"/>
      <c r="S1173" s="213"/>
      <c r="T1173" s="212">
        <f>VLOOKUP(A1173,'Groupe de branches'!$Z$27:$AM$86,14,FALSE)</f>
        <v>0</v>
      </c>
      <c r="U1173" s="212">
        <f>VLOOKUP(D1173,'Groupe de branches'!$Z$27:$AM$86,14,FALSE)</f>
        <v>0</v>
      </c>
      <c r="V1173" s="212">
        <v>2019</v>
      </c>
      <c r="W1173" s="212" t="str">
        <f>VLOOKUP(D1173,'Table corresp.'!$M$4:$S$63,7,FALSE)</f>
        <v>Construction</v>
      </c>
      <c r="X1173" s="228">
        <f>IFERROR(G1173/SUMIFS('Comp2016-2017 (3)'!$I$5:$I$289,'Comp2016-2017 (3)'!$A$5:$A$289,A1173,'Comp2016-2017 (3)'!$R$5:$R$289,V1173),0)</f>
        <v>3.7915211281919917E-3</v>
      </c>
      <c r="Y1173" s="214">
        <f>IFERROR(IF(RIGHT(F1173,3)="Exp",VLOOKUP(F1173,#REF!,2,FALSE),VLOOKUP(F1173,#REF!,9,FALSE)),1)</f>
        <v>1</v>
      </c>
      <c r="Z1173" s="225">
        <f t="shared" si="144"/>
        <v>5.8823529411764705E-2</v>
      </c>
      <c r="AA1173" s="225">
        <f t="shared" si="140"/>
        <v>2.2303065459952892E-4</v>
      </c>
      <c r="AB1173" s="222">
        <f>IFERROR(SUMIFS('Comp2016-2017 (3)'!$G$5:$G$289,'Comp2016-2017 (3)'!$A$5:$A$289,A1173,'Comp2016-2017 (3)'!$R$5:$R$289,V1173)*AA1173/SUMIFS($AA$4:$AA$1858,$A$4:$A$1858,A1173,$V$4:$V$1858,V1173),0)</f>
        <v>194.71609523796775</v>
      </c>
      <c r="AC1173" s="222" t="str">
        <f>IF($W1173=AC$3,$AB1173,IF(NOT($W1173=0),"",SUMIFS('Val-Vol (2)'!AC$4:AC$1858,'Val-Vol (2)'!$A$4:$A$1858,$D1173,'Val-Vol (2)'!$V$4:$V$1858,$V1173)/SUMIFS('Comp2016-2017 (3)'!$G$5:$G$289,'Comp2016-2017 (3)'!$A$5:$A$289,$D1173,'Comp2016-2017 (3)'!$R$5:$R$289,$V1173)*$AB1173))</f>
        <v/>
      </c>
      <c r="AD1173" s="222">
        <f>IF($W1173=AD$3,$AB1173,IF(NOT($W1173=0),"",SUMIFS('Val-Vol (2)'!AD$4:AD$1858,'Val-Vol (2)'!$A$4:$A$1858,$D1173,'Val-Vol (2)'!$V$4:$V$1858,$V1173)/SUMIFS('Comp2016-2017 (3)'!$G$5:$G$289,'Comp2016-2017 (3)'!$A$5:$A$289,$D1173,'Comp2016-2017 (3)'!$R$5:$R$289,$V1173)*$AB1173))</f>
        <v>194.71609523796775</v>
      </c>
      <c r="AE1173" s="222" t="str">
        <f>IF($W1173=AE$3,$AB1173,IF(NOT($W1173=0),"",SUMIFS('Val-Vol (2)'!AE$4:AE$1858,'Val-Vol (2)'!$A$4:$A$1858,$D1173,'Val-Vol (2)'!$V$4:$V$1858,$V1173)/SUMIFS('Comp2016-2017 (3)'!$G$5:$G$289,'Comp2016-2017 (3)'!$A$5:$A$289,$D1173,'Comp2016-2017 (3)'!$R$5:$R$289,$V1173)*$AB1173))</f>
        <v/>
      </c>
      <c r="AF1173" s="222" t="str">
        <f>IF($W1173=AF$3,$AB1173,IF(NOT($W1173=0),"",SUMIFS('Val-Vol (2)'!AF$4:AF$1858,'Val-Vol (2)'!$A$4:$A$1858,$D1173,'Val-Vol (2)'!$V$4:$V$1858,$V1173)/SUMIFS('Comp2016-2017 (3)'!$G$5:$G$289,'Comp2016-2017 (3)'!$A$5:$A$289,$D1173,'Comp2016-2017 (3)'!$R$5:$R$289,$V1173)*$AB1173))</f>
        <v/>
      </c>
      <c r="AG1173" s="222" t="str">
        <f>IF($W1173=AG$3,$AB1173,IF(NOT($W1173=0),"",SUMIFS('Val-Vol (2)'!AG$4:AG$1858,'Val-Vol (2)'!$A$4:$A$1858,$D1173,'Val-Vol (2)'!$V$4:$V$1858,$V1173)/SUMIFS('Comp2016-2017 (3)'!$G$5:$G$289,'Comp2016-2017 (3)'!$A$5:$A$289,$D1173,'Comp2016-2017 (3)'!$R$5:$R$289,$V1173)*$AB1173))</f>
        <v/>
      </c>
      <c r="AH1173" s="222" t="str">
        <f>IF($W1173=AH$3,$AB1173,IF(NOT($W1173=0),"",SUMIFS('Val-Vol (2)'!AH$4:AH$1858,'Val-Vol (2)'!$A$4:$A$1858,$D1173,'Val-Vol (2)'!$V$4:$V$1858,$V1173)/SUMIFS('Comp2016-2017 (3)'!$G$5:$G$289,'Comp2016-2017 (3)'!$A$5:$A$289,$D1173,'Comp2016-2017 (3)'!$R$5:$R$289,$V1173)*$AB1173))</f>
        <v/>
      </c>
      <c r="AI1173" s="222" t="str">
        <f>IF($W1173=AI$3,$AB1173,IF(NOT($W1173=0),"",SUMIFS('Val-Vol (2)'!AI$4:AI$1858,'Val-Vol (2)'!$A$4:$A$1858,$D1173,'Val-Vol (2)'!$V$4:$V$1858,$V1173)/SUMIFS('Comp2016-2017 (3)'!$G$5:$G$289,'Comp2016-2017 (3)'!$A$5:$A$289,$D1173,'Comp2016-2017 (3)'!$R$5:$R$289,$V1173)*$AB1173))</f>
        <v/>
      </c>
      <c r="AJ1173" s="222" t="str">
        <f>IF($W1173=AJ$3,$AB1173,IF(NOT($W1173=0),"",SUMIFS('Val-Vol (2)'!AJ$4:AJ$1858,'Val-Vol (2)'!$A$4:$A$1858,$D1173,'Val-Vol (2)'!$V$4:$V$1858,$V1173)/SUMIFS('Comp2016-2017 (3)'!$G$5:$G$289,'Comp2016-2017 (3)'!$A$5:$A$289,$D1173,'Comp2016-2017 (3)'!$R$5:$R$289,$V1173)*$AB1173))</f>
        <v/>
      </c>
      <c r="AK1173" s="222">
        <f t="shared" si="147"/>
        <v>0</v>
      </c>
      <c r="AL1173" s="212" t="str">
        <f t="shared" si="143"/>
        <v/>
      </c>
      <c r="AM1173" s="212" t="str">
        <f>VLOOKUP(A1173,'Table corresp.'!$M$4:$U$63,8,FALSE)</f>
        <v>Production intermédiaire</v>
      </c>
      <c r="AN1173" s="212" t="str">
        <f>VLOOKUP(D1173,'Table corresp.'!$M$4:$U$63,9,FALSE)</f>
        <v>Production intermédiaire</v>
      </c>
    </row>
    <row r="1174" spans="1:40" x14ac:dyDescent="0.25">
      <c r="A1174" t="s">
        <v>3</v>
      </c>
      <c r="B1174" t="str">
        <f>VLOOKUP(LEFT(A1174,3),'Table corresp.'!$A$4:$D$63,3,FALSE)</f>
        <v>Transformation</v>
      </c>
      <c r="C1174" t="str">
        <f>VLOOKUP(A1174,'Table corresp.'!$M$4:$P$63,4,FALSE)</f>
        <v>Production et transformation de produits bois</v>
      </c>
      <c r="D1174" t="s">
        <v>86</v>
      </c>
      <c r="E1174" t="str">
        <f>VLOOKUP(LEFT(D1174,3),'Table corresp.'!$A$4:$D$63,4,FALSE)</f>
        <v>Transformation</v>
      </c>
      <c r="F1174" t="str">
        <f t="shared" si="146"/>
        <v xml:space="preserve">06  - 30 </v>
      </c>
      <c r="G1174" s="213">
        <v>21438.626992486876</v>
      </c>
      <c r="H1174" s="213">
        <v>0</v>
      </c>
      <c r="I1174" s="213">
        <v>21438.626992486876</v>
      </c>
      <c r="J1174" s="215"/>
      <c r="K1174" s="215"/>
      <c r="L1174" s="215"/>
      <c r="M1174" s="215"/>
      <c r="N1174" s="215"/>
      <c r="O1174" s="215"/>
      <c r="P1174" s="215"/>
      <c r="Q1174" s="215"/>
      <c r="R1174" s="215"/>
      <c r="S1174" s="213"/>
      <c r="T1174" s="212">
        <f>VLOOKUP(A1174,'Groupe de branches'!$Z$27:$AM$86,14,FALSE)</f>
        <v>0</v>
      </c>
      <c r="U1174" s="212">
        <f>VLOOKUP(D1174,'Groupe de branches'!$Z$27:$AM$86,14,FALSE)</f>
        <v>1</v>
      </c>
      <c r="V1174" s="212">
        <v>2019</v>
      </c>
      <c r="W1174" s="212" t="str">
        <f>VLOOKUP(D1174,'Table corresp.'!$M$4:$S$63,7,FALSE)</f>
        <v>Energie</v>
      </c>
      <c r="X1174" s="228">
        <f>IFERROR(G1174/SUMIFS('Comp2016-2017 (3)'!$I$5:$I$289,'Comp2016-2017 (3)'!$A$5:$A$289,A1174,'Comp2016-2017 (3)'!$R$5:$R$289,V1174),0)</f>
        <v>8.8938050492262832E-2</v>
      </c>
      <c r="Y1174" s="214">
        <f>IFERROR(IF(RIGHT(F1174,3)="Exp",VLOOKUP(F1174,#REF!,2,FALSE),VLOOKUP(F1174,#REF!,9,FALSE)),1)</f>
        <v>1</v>
      </c>
      <c r="Z1174" s="225">
        <f t="shared" si="144"/>
        <v>5.8823529411764705E-2</v>
      </c>
      <c r="AA1174" s="225">
        <f t="shared" si="140"/>
        <v>5.2316500289566375E-3</v>
      </c>
      <c r="AB1174" s="222">
        <f>IFERROR(SUMIFS('Comp2016-2017 (3)'!$G$5:$G$289,'Comp2016-2017 (3)'!$A$5:$A$289,A1174,'Comp2016-2017 (3)'!$R$5:$R$289,V1174)*AA1174/SUMIFS($AA$4:$AA$1858,$A$4:$A$1858,A1174,$V$4:$V$1858,V1174),0)</f>
        <v>4567.4728755075312</v>
      </c>
      <c r="AC1174" s="222" t="str">
        <f>IF($W1174=AC$3,$AB1174,IF(NOT($W1174=0),"",SUMIFS('Val-Vol (2)'!AC$4:AC$1858,'Val-Vol (2)'!$A$4:$A$1858,$D1174,'Val-Vol (2)'!$V$4:$V$1858,$V1174)/SUMIFS('Comp2016-2017 (3)'!$G$5:$G$289,'Comp2016-2017 (3)'!$A$5:$A$289,$D1174,'Comp2016-2017 (3)'!$R$5:$R$289,$V1174)*$AB1174))</f>
        <v/>
      </c>
      <c r="AD1174" s="222" t="str">
        <f>IF($W1174=AD$3,$AB1174,IF(NOT($W1174=0),"",SUMIFS('Val-Vol (2)'!AD$4:AD$1858,'Val-Vol (2)'!$A$4:$A$1858,$D1174,'Val-Vol (2)'!$V$4:$V$1858,$V1174)/SUMIFS('Comp2016-2017 (3)'!$G$5:$G$289,'Comp2016-2017 (3)'!$A$5:$A$289,$D1174,'Comp2016-2017 (3)'!$R$5:$R$289,$V1174)*$AB1174))</f>
        <v/>
      </c>
      <c r="AE1174" s="222" t="str">
        <f>IF($W1174=AE$3,$AB1174,IF(NOT($W1174=0),"",SUMIFS('Val-Vol (2)'!AE$4:AE$1858,'Val-Vol (2)'!$A$4:$A$1858,$D1174,'Val-Vol (2)'!$V$4:$V$1858,$V1174)/SUMIFS('Comp2016-2017 (3)'!$G$5:$G$289,'Comp2016-2017 (3)'!$A$5:$A$289,$D1174,'Comp2016-2017 (3)'!$R$5:$R$289,$V1174)*$AB1174))</f>
        <v/>
      </c>
      <c r="AF1174" s="222" t="str">
        <f>IF($W1174=AF$3,$AB1174,IF(NOT($W1174=0),"",SUMIFS('Val-Vol (2)'!AF$4:AF$1858,'Val-Vol (2)'!$A$4:$A$1858,$D1174,'Val-Vol (2)'!$V$4:$V$1858,$V1174)/SUMIFS('Comp2016-2017 (3)'!$G$5:$G$289,'Comp2016-2017 (3)'!$A$5:$A$289,$D1174,'Comp2016-2017 (3)'!$R$5:$R$289,$V1174)*$AB1174))</f>
        <v/>
      </c>
      <c r="AG1174" s="222" t="str">
        <f>IF($W1174=AG$3,$AB1174,IF(NOT($W1174=0),"",SUMIFS('Val-Vol (2)'!AG$4:AG$1858,'Val-Vol (2)'!$A$4:$A$1858,$D1174,'Val-Vol (2)'!$V$4:$V$1858,$V1174)/SUMIFS('Comp2016-2017 (3)'!$G$5:$G$289,'Comp2016-2017 (3)'!$A$5:$A$289,$D1174,'Comp2016-2017 (3)'!$R$5:$R$289,$V1174)*$AB1174))</f>
        <v/>
      </c>
      <c r="AH1174" s="222">
        <f>IF($W1174=AH$3,$AB1174,IF(NOT($W1174=0),"",SUMIFS('Val-Vol (2)'!AH$4:AH$1858,'Val-Vol (2)'!$A$4:$A$1858,$D1174,'Val-Vol (2)'!$V$4:$V$1858,$V1174)/SUMIFS('Comp2016-2017 (3)'!$G$5:$G$289,'Comp2016-2017 (3)'!$A$5:$A$289,$D1174,'Comp2016-2017 (3)'!$R$5:$R$289,$V1174)*$AB1174))</f>
        <v>4567.4728755075312</v>
      </c>
      <c r="AI1174" s="222" t="str">
        <f>IF($W1174=AI$3,$AB1174,IF(NOT($W1174=0),"",SUMIFS('Val-Vol (2)'!AI$4:AI$1858,'Val-Vol (2)'!$A$4:$A$1858,$D1174,'Val-Vol (2)'!$V$4:$V$1858,$V1174)/SUMIFS('Comp2016-2017 (3)'!$G$5:$G$289,'Comp2016-2017 (3)'!$A$5:$A$289,$D1174,'Comp2016-2017 (3)'!$R$5:$R$289,$V1174)*$AB1174))</f>
        <v/>
      </c>
      <c r="AJ1174" s="222" t="str">
        <f>IF($W1174=AJ$3,$AB1174,IF(NOT($W1174=0),"",SUMIFS('Val-Vol (2)'!AJ$4:AJ$1858,'Val-Vol (2)'!$A$4:$A$1858,$D1174,'Val-Vol (2)'!$V$4:$V$1858,$V1174)/SUMIFS('Comp2016-2017 (3)'!$G$5:$G$289,'Comp2016-2017 (3)'!$A$5:$A$289,$D1174,'Comp2016-2017 (3)'!$R$5:$R$289,$V1174)*$AB1174))</f>
        <v/>
      </c>
      <c r="AK1174" s="222">
        <f t="shared" si="147"/>
        <v>0</v>
      </c>
      <c r="AL1174" s="212" t="str">
        <f t="shared" si="143"/>
        <v/>
      </c>
      <c r="AM1174" s="212" t="str">
        <f>VLOOKUP(A1174,'Table corresp.'!$M$4:$U$63,8,FALSE)</f>
        <v>Production intermédiaire</v>
      </c>
      <c r="AN1174" s="212" t="str">
        <f>VLOOKUP(D1174,'Table corresp.'!$M$4:$U$63,9,FALSE)</f>
        <v>Production intermédiaire</v>
      </c>
    </row>
    <row r="1175" spans="1:40" x14ac:dyDescent="0.25">
      <c r="A1175" t="s">
        <v>3</v>
      </c>
      <c r="B1175" t="str">
        <f>VLOOKUP(LEFT(A1175,3),'Table corresp.'!$A$4:$D$63,3,FALSE)</f>
        <v>Transformation</v>
      </c>
      <c r="C1175" t="str">
        <f>VLOOKUP(A1175,'Table corresp.'!$M$4:$P$63,4,FALSE)</f>
        <v>Production et transformation de produits bois</v>
      </c>
      <c r="D1175" t="s">
        <v>87</v>
      </c>
      <c r="E1175" t="str">
        <f>VLOOKUP(LEFT(D1175,3),'Table corresp.'!$A$4:$D$63,4,FALSE)</f>
        <v>Transformation</v>
      </c>
      <c r="F1175" t="str">
        <f t="shared" si="146"/>
        <v xml:space="preserve">06  - 31 </v>
      </c>
      <c r="G1175" s="213">
        <v>15642.222553477746</v>
      </c>
      <c r="H1175" s="213">
        <v>0</v>
      </c>
      <c r="I1175" s="213">
        <v>15642.222553477746</v>
      </c>
      <c r="J1175" s="215"/>
      <c r="K1175" s="215"/>
      <c r="L1175" s="215"/>
      <c r="M1175" s="215"/>
      <c r="N1175" s="215"/>
      <c r="O1175" s="215"/>
      <c r="P1175" s="215"/>
      <c r="Q1175" s="215"/>
      <c r="R1175" s="215"/>
      <c r="S1175" s="213"/>
      <c r="T1175" s="212">
        <f>VLOOKUP(A1175,'Groupe de branches'!$Z$27:$AM$86,14,FALSE)</f>
        <v>0</v>
      </c>
      <c r="U1175" s="212">
        <f>VLOOKUP(D1175,'Groupe de branches'!$Z$27:$AM$86,14,FALSE)</f>
        <v>0</v>
      </c>
      <c r="V1175" s="212">
        <v>2019</v>
      </c>
      <c r="W1175" s="212">
        <f>VLOOKUP(D1175,'Table corresp.'!$M$4:$S$63,7,FALSE)</f>
        <v>0</v>
      </c>
      <c r="X1175" s="228">
        <f>IFERROR(G1175/SUMIFS('Comp2016-2017 (3)'!$I$5:$I$289,'Comp2016-2017 (3)'!$A$5:$A$289,A1175,'Comp2016-2017 (3)'!$R$5:$R$289,V1175),0)</f>
        <v>6.4891691980086014E-2</v>
      </c>
      <c r="Y1175" s="214">
        <f>IFERROR(IF(RIGHT(F1175,3)="Exp",VLOOKUP(F1175,#REF!,2,FALSE),VLOOKUP(F1175,#REF!,9,FALSE)),1)</f>
        <v>1</v>
      </c>
      <c r="Z1175" s="225">
        <f t="shared" si="144"/>
        <v>5.8823529411764705E-2</v>
      </c>
      <c r="AA1175" s="225">
        <f t="shared" si="140"/>
        <v>3.8171583517697654E-3</v>
      </c>
      <c r="AB1175" s="222">
        <f>IFERROR(SUMIFS('Comp2016-2017 (3)'!$G$5:$G$289,'Comp2016-2017 (3)'!$A$5:$A$289,A1175,'Comp2016-2017 (3)'!$R$5:$R$289,V1175)*AA1175/SUMIFS($AA$4:$AA$1858,$A$4:$A$1858,A1175,$V$4:$V$1858,V1175),0)</f>
        <v>3332.5561030890485</v>
      </c>
      <c r="AC1175" s="222">
        <f>IF($W1175=AC$3,$AB1175,IF(NOT($W1175=0),"",SUMIFS('Val-Vol (2)'!AC$4:AC$1858,'Val-Vol (2)'!$A$4:$A$1858,$D1175,'Val-Vol (2)'!$V$4:$V$1858,$V1175)/SUMIFS('Comp2016-2017 (3)'!$G$5:$G$289,'Comp2016-2017 (3)'!$A$5:$A$289,$D1175,'Comp2016-2017 (3)'!$R$5:$R$289,$V1175)*$AB1175))</f>
        <v>0</v>
      </c>
      <c r="AD1175" s="222">
        <f>IF($W1175=AD$3,$AB1175,IF(NOT($W1175=0),"",SUMIFS('Val-Vol (2)'!AD$4:AD$1858,'Val-Vol (2)'!$A$4:$A$1858,$D1175,'Val-Vol (2)'!$V$4:$V$1858,$V1175)/SUMIFS('Comp2016-2017 (3)'!$G$5:$G$289,'Comp2016-2017 (3)'!$A$5:$A$289,$D1175,'Comp2016-2017 (3)'!$R$5:$R$289,$V1175)*$AB1175))</f>
        <v>0</v>
      </c>
      <c r="AE1175" s="222">
        <f>IF($W1175=AE$3,$AB1175,IF(NOT($W1175=0),"",SUMIFS('Val-Vol (2)'!AE$4:AE$1858,'Val-Vol (2)'!$A$4:$A$1858,$D1175,'Val-Vol (2)'!$V$4:$V$1858,$V1175)/SUMIFS('Comp2016-2017 (3)'!$G$5:$G$289,'Comp2016-2017 (3)'!$A$5:$A$289,$D1175,'Comp2016-2017 (3)'!$R$5:$R$289,$V1175)*$AB1175))</f>
        <v>0</v>
      </c>
      <c r="AF1175" s="222">
        <f>IF($W1175=AF$3,$AB1175,IF(NOT($W1175=0),"",SUMIFS('Val-Vol (2)'!AF$4:AF$1858,'Val-Vol (2)'!$A$4:$A$1858,$D1175,'Val-Vol (2)'!$V$4:$V$1858,$V1175)/SUMIFS('Comp2016-2017 (3)'!$G$5:$G$289,'Comp2016-2017 (3)'!$A$5:$A$289,$D1175,'Comp2016-2017 (3)'!$R$5:$R$289,$V1175)*$AB1175))</f>
        <v>0</v>
      </c>
      <c r="AG1175" s="222">
        <f>IF($W1175=AG$3,$AB1175,IF(NOT($W1175=0),"",SUMIFS('Val-Vol (2)'!AG$4:AG$1858,'Val-Vol (2)'!$A$4:$A$1858,$D1175,'Val-Vol (2)'!$V$4:$V$1858,$V1175)/SUMIFS('Comp2016-2017 (3)'!$G$5:$G$289,'Comp2016-2017 (3)'!$A$5:$A$289,$D1175,'Comp2016-2017 (3)'!$R$5:$R$289,$V1175)*$AB1175))</f>
        <v>0</v>
      </c>
      <c r="AH1175" s="222">
        <f>IF($W1175=AH$3,$AB1175,IF(NOT($W1175=0),"",SUMIFS('Val-Vol (2)'!AH$4:AH$1858,'Val-Vol (2)'!$A$4:$A$1858,$D1175,'Val-Vol (2)'!$V$4:$V$1858,$V1175)/SUMIFS('Comp2016-2017 (3)'!$G$5:$G$289,'Comp2016-2017 (3)'!$A$5:$A$289,$D1175,'Comp2016-2017 (3)'!$R$5:$R$289,$V1175)*$AB1175))</f>
        <v>0</v>
      </c>
      <c r="AI1175" s="222">
        <f>IF($W1175=AI$3,$AB1175,IF(NOT($W1175=0),"",SUMIFS('Val-Vol (2)'!AI$4:AI$1858,'Val-Vol (2)'!$A$4:$A$1858,$D1175,'Val-Vol (2)'!$V$4:$V$1858,$V1175)/SUMIFS('Comp2016-2017 (3)'!$G$5:$G$289,'Comp2016-2017 (3)'!$A$5:$A$289,$D1175,'Comp2016-2017 (3)'!$R$5:$R$289,$V1175)*$AB1175))</f>
        <v>0</v>
      </c>
      <c r="AJ1175" s="222">
        <f>IF($W1175=AJ$3,$AB1175,IF(NOT($W1175=0),"",SUMIFS('Val-Vol (2)'!AJ$4:AJ$1858,'Val-Vol (2)'!$A$4:$A$1858,$D1175,'Val-Vol (2)'!$V$4:$V$1858,$V1175)/SUMIFS('Comp2016-2017 (3)'!$G$5:$G$289,'Comp2016-2017 (3)'!$A$5:$A$289,$D1175,'Comp2016-2017 (3)'!$R$5:$R$289,$V1175)*$AB1175))</f>
        <v>0</v>
      </c>
      <c r="AK1175" s="222">
        <f t="shared" si="147"/>
        <v>-3332.5561030890485</v>
      </c>
      <c r="AL1175" s="212" t="str">
        <f t="shared" si="143"/>
        <v/>
      </c>
      <c r="AM1175" s="212" t="str">
        <f>VLOOKUP(A1175,'Table corresp.'!$M$4:$U$63,8,FALSE)</f>
        <v>Production intermédiaire</v>
      </c>
      <c r="AN1175" s="212" t="str">
        <f>VLOOKUP(D1175,'Table corresp.'!$M$4:$U$63,9,FALSE)</f>
        <v>Production intermédiaire</v>
      </c>
    </row>
    <row r="1176" spans="1:40" x14ac:dyDescent="0.25">
      <c r="A1176" t="s">
        <v>3</v>
      </c>
      <c r="B1176" t="str">
        <f>VLOOKUP(LEFT(A1176,3),'Table corresp.'!$A$4:$D$63,3,FALSE)</f>
        <v>Transformation</v>
      </c>
      <c r="C1176" t="str">
        <f>VLOOKUP(A1176,'Table corresp.'!$M$4:$P$63,4,FALSE)</f>
        <v>Production et transformation de produits bois</v>
      </c>
      <c r="D1176" t="s">
        <v>91</v>
      </c>
      <c r="E1176" t="str">
        <f>VLOOKUP(LEFT(D1176,3),'Table corresp.'!$A$4:$D$63,4,FALSE)</f>
        <v>Transformation</v>
      </c>
      <c r="F1176" t="str">
        <f t="shared" si="146"/>
        <v xml:space="preserve">06  - 37 </v>
      </c>
      <c r="G1176" s="213">
        <v>4805.8481123543133</v>
      </c>
      <c r="H1176" s="213">
        <v>0</v>
      </c>
      <c r="I1176" s="213">
        <v>4805.8481123543133</v>
      </c>
      <c r="J1176" s="215"/>
      <c r="K1176" s="215"/>
      <c r="L1176" s="215"/>
      <c r="M1176" s="215"/>
      <c r="N1176" s="215"/>
      <c r="O1176" s="215"/>
      <c r="P1176" s="215"/>
      <c r="Q1176" s="215"/>
      <c r="R1176" s="215"/>
      <c r="S1176" s="213"/>
      <c r="T1176" s="212">
        <f>VLOOKUP(A1176,'Groupe de branches'!$Z$27:$AM$86,14,FALSE)</f>
        <v>0</v>
      </c>
      <c r="U1176" s="212">
        <f>VLOOKUP(D1176,'Groupe de branches'!$Z$27:$AM$86,14,FALSE)</f>
        <v>0</v>
      </c>
      <c r="V1176" s="212">
        <v>2019</v>
      </c>
      <c r="W1176" s="212" t="str">
        <f>VLOOKUP(D1176,'Table corresp.'!$M$4:$S$63,7,FALSE)</f>
        <v>Emballage bois et carton</v>
      </c>
      <c r="X1176" s="228">
        <f>IFERROR(G1176/SUMIFS('Comp2016-2017 (3)'!$I$5:$I$289,'Comp2016-2017 (3)'!$A$5:$A$289,A1176,'Comp2016-2017 (3)'!$R$5:$R$289,V1176),0)</f>
        <v>1.9937039915126253E-2</v>
      </c>
      <c r="Y1176" s="214">
        <f>IFERROR(IF(RIGHT(F1176,3)="Exp",VLOOKUP(F1176,#REF!,2,FALSE),VLOOKUP(F1176,#REF!,9,FALSE)),1)</f>
        <v>1</v>
      </c>
      <c r="Z1176" s="225">
        <f t="shared" si="144"/>
        <v>5.8823529411764705E-2</v>
      </c>
      <c r="AA1176" s="225">
        <f t="shared" si="140"/>
        <v>1.1727670538309561E-3</v>
      </c>
      <c r="AB1176" s="222">
        <f>IFERROR(SUMIFS('Comp2016-2017 (3)'!$G$5:$G$289,'Comp2016-2017 (3)'!$A$5:$A$289,A1176,'Comp2016-2017 (3)'!$R$5:$R$289,V1176)*AA1176/SUMIFS($AA$4:$AA$1858,$A$4:$A$1858,A1176,$V$4:$V$1858,V1176),0)</f>
        <v>1023.879976300718</v>
      </c>
      <c r="AC1176" s="222" t="str">
        <f>IF($W1176=AC$3,$AB1176,IF(NOT($W1176=0),"",SUMIFS('Val-Vol (2)'!AC$4:AC$1858,'Val-Vol (2)'!$A$4:$A$1858,$D1176,'Val-Vol (2)'!$V$4:$V$1858,$V1176)/SUMIFS('Comp2016-2017 (3)'!$G$5:$G$289,'Comp2016-2017 (3)'!$A$5:$A$289,$D1176,'Comp2016-2017 (3)'!$R$5:$R$289,$V1176)*$AB1176))</f>
        <v/>
      </c>
      <c r="AD1176" s="222" t="str">
        <f>IF($W1176=AD$3,$AB1176,IF(NOT($W1176=0),"",SUMIFS('Val-Vol (2)'!AD$4:AD$1858,'Val-Vol (2)'!$A$4:$A$1858,$D1176,'Val-Vol (2)'!$V$4:$V$1858,$V1176)/SUMIFS('Comp2016-2017 (3)'!$G$5:$G$289,'Comp2016-2017 (3)'!$A$5:$A$289,$D1176,'Comp2016-2017 (3)'!$R$5:$R$289,$V1176)*$AB1176))</f>
        <v/>
      </c>
      <c r="AE1176" s="222" t="str">
        <f>IF($W1176=AE$3,$AB1176,IF(NOT($W1176=0),"",SUMIFS('Val-Vol (2)'!AE$4:AE$1858,'Val-Vol (2)'!$A$4:$A$1858,$D1176,'Val-Vol (2)'!$V$4:$V$1858,$V1176)/SUMIFS('Comp2016-2017 (3)'!$G$5:$G$289,'Comp2016-2017 (3)'!$A$5:$A$289,$D1176,'Comp2016-2017 (3)'!$R$5:$R$289,$V1176)*$AB1176))</f>
        <v/>
      </c>
      <c r="AF1176" s="222" t="str">
        <f>IF($W1176=AF$3,$AB1176,IF(NOT($W1176=0),"",SUMIFS('Val-Vol (2)'!AF$4:AF$1858,'Val-Vol (2)'!$A$4:$A$1858,$D1176,'Val-Vol (2)'!$V$4:$V$1858,$V1176)/SUMIFS('Comp2016-2017 (3)'!$G$5:$G$289,'Comp2016-2017 (3)'!$A$5:$A$289,$D1176,'Comp2016-2017 (3)'!$R$5:$R$289,$V1176)*$AB1176))</f>
        <v/>
      </c>
      <c r="AG1176" s="222">
        <f>IF($W1176=AG$3,$AB1176,IF(NOT($W1176=0),"",SUMIFS('Val-Vol (2)'!AG$4:AG$1858,'Val-Vol (2)'!$A$4:$A$1858,$D1176,'Val-Vol (2)'!$V$4:$V$1858,$V1176)/SUMIFS('Comp2016-2017 (3)'!$G$5:$G$289,'Comp2016-2017 (3)'!$A$5:$A$289,$D1176,'Comp2016-2017 (3)'!$R$5:$R$289,$V1176)*$AB1176))</f>
        <v>1023.879976300718</v>
      </c>
      <c r="AH1176" s="222" t="str">
        <f>IF($W1176=AH$3,$AB1176,IF(NOT($W1176=0),"",SUMIFS('Val-Vol (2)'!AH$4:AH$1858,'Val-Vol (2)'!$A$4:$A$1858,$D1176,'Val-Vol (2)'!$V$4:$V$1858,$V1176)/SUMIFS('Comp2016-2017 (3)'!$G$5:$G$289,'Comp2016-2017 (3)'!$A$5:$A$289,$D1176,'Comp2016-2017 (3)'!$R$5:$R$289,$V1176)*$AB1176))</f>
        <v/>
      </c>
      <c r="AI1176" s="222" t="str">
        <f>IF($W1176=AI$3,$AB1176,IF(NOT($W1176=0),"",SUMIFS('Val-Vol (2)'!AI$4:AI$1858,'Val-Vol (2)'!$A$4:$A$1858,$D1176,'Val-Vol (2)'!$V$4:$V$1858,$V1176)/SUMIFS('Comp2016-2017 (3)'!$G$5:$G$289,'Comp2016-2017 (3)'!$A$5:$A$289,$D1176,'Comp2016-2017 (3)'!$R$5:$R$289,$V1176)*$AB1176))</f>
        <v/>
      </c>
      <c r="AJ1176" s="222" t="str">
        <f>IF($W1176=AJ$3,$AB1176,IF(NOT($W1176=0),"",SUMIFS('Val-Vol (2)'!AJ$4:AJ$1858,'Val-Vol (2)'!$A$4:$A$1858,$D1176,'Val-Vol (2)'!$V$4:$V$1858,$V1176)/SUMIFS('Comp2016-2017 (3)'!$G$5:$G$289,'Comp2016-2017 (3)'!$A$5:$A$289,$D1176,'Comp2016-2017 (3)'!$R$5:$R$289,$V1176)*$AB1176))</f>
        <v/>
      </c>
      <c r="AK1176" s="222">
        <f t="shared" si="147"/>
        <v>0</v>
      </c>
      <c r="AL1176" s="212" t="str">
        <f t="shared" si="143"/>
        <v/>
      </c>
      <c r="AM1176" s="212" t="str">
        <f>VLOOKUP(A1176,'Table corresp.'!$M$4:$U$63,8,FALSE)</f>
        <v>Production intermédiaire</v>
      </c>
      <c r="AN1176" s="212" t="str">
        <f>VLOOKUP(D1176,'Table corresp.'!$M$4:$U$63,9,FALSE)</f>
        <v>Production finale</v>
      </c>
    </row>
    <row r="1177" spans="1:40" x14ac:dyDescent="0.25">
      <c r="A1177" t="s">
        <v>3</v>
      </c>
      <c r="B1177" t="str">
        <f>VLOOKUP(LEFT(A1177,3),'Table corresp.'!$A$4:$D$63,3,FALSE)</f>
        <v>Transformation</v>
      </c>
      <c r="C1177" t="str">
        <f>VLOOKUP(A1177,'Table corresp.'!$M$4:$P$63,4,FALSE)</f>
        <v>Production et transformation de produits bois</v>
      </c>
      <c r="D1177" t="s">
        <v>95</v>
      </c>
      <c r="E1177" t="str">
        <f>VLOOKUP(LEFT(D1177,3),'Table corresp.'!$A$4:$D$63,4,FALSE)</f>
        <v>Transformation</v>
      </c>
      <c r="F1177" t="str">
        <f t="shared" si="146"/>
        <v xml:space="preserve">06  - 43 </v>
      </c>
      <c r="G1177" s="213">
        <v>14564.66873200012</v>
      </c>
      <c r="H1177" s="213">
        <v>0</v>
      </c>
      <c r="I1177" s="213">
        <v>14564.66873200012</v>
      </c>
      <c r="J1177" s="215"/>
      <c r="K1177" s="215"/>
      <c r="L1177" s="215"/>
      <c r="M1177" s="215"/>
      <c r="N1177" s="215"/>
      <c r="O1177" s="215"/>
      <c r="P1177" s="215"/>
      <c r="Q1177" s="215"/>
      <c r="R1177" s="215"/>
      <c r="S1177" s="213"/>
      <c r="T1177" s="212">
        <f>VLOOKUP(A1177,'Groupe de branches'!$Z$27:$AM$86,14,FALSE)</f>
        <v>0</v>
      </c>
      <c r="U1177" s="212">
        <f>VLOOKUP(D1177,'Groupe de branches'!$Z$27:$AM$86,14,FALSE)</f>
        <v>0</v>
      </c>
      <c r="V1177" s="212">
        <v>2019</v>
      </c>
      <c r="W1177" s="212" t="str">
        <f>VLOOKUP(D1177,'Table corresp.'!$M$4:$S$63,7,FALSE)</f>
        <v>Pate &amp; papier &amp; carton</v>
      </c>
      <c r="X1177" s="228">
        <f>IFERROR(G1177/SUMIFS('Comp2016-2017 (3)'!$I$5:$I$289,'Comp2016-2017 (3)'!$A$5:$A$289,A1177,'Comp2016-2017 (3)'!$R$5:$R$289,V1177),0)</f>
        <v>6.0421464655533316E-2</v>
      </c>
      <c r="Y1177" s="214">
        <f>IFERROR(IF(RIGHT(F1177,3)="Exp",VLOOKUP(F1177,#REF!,2,FALSE),VLOOKUP(F1177,#REF!,9,FALSE)),1)</f>
        <v>1</v>
      </c>
      <c r="Z1177" s="225">
        <f t="shared" si="144"/>
        <v>5.8823529411764705E-2</v>
      </c>
      <c r="AA1177" s="225">
        <f t="shared" si="140"/>
        <v>3.5542038032666656E-3</v>
      </c>
      <c r="AB1177" s="222">
        <f>IFERROR(SUMIFS('Comp2016-2017 (3)'!$G$5:$G$289,'Comp2016-2017 (3)'!$A$5:$A$289,A1177,'Comp2016-2017 (3)'!$R$5:$R$289,V1177)*AA1177/SUMIFS($AA$4:$AA$1858,$A$4:$A$1858,A1177,$V$4:$V$1858,V1177),0)</f>
        <v>3102.9845986627929</v>
      </c>
      <c r="AC1177" s="222" t="str">
        <f>IF($W1177=AC$3,$AB1177,IF(NOT($W1177=0),"",SUMIFS('Val-Vol (2)'!AC$4:AC$1858,'Val-Vol (2)'!$A$4:$A$1858,$D1177,'Val-Vol (2)'!$V$4:$V$1858,$V1177)/SUMIFS('Comp2016-2017 (3)'!$G$5:$G$289,'Comp2016-2017 (3)'!$A$5:$A$289,$D1177,'Comp2016-2017 (3)'!$R$5:$R$289,$V1177)*$AB1177))</f>
        <v/>
      </c>
      <c r="AD1177" s="222" t="str">
        <f>IF($W1177=AD$3,$AB1177,IF(NOT($W1177=0),"",SUMIFS('Val-Vol (2)'!AD$4:AD$1858,'Val-Vol (2)'!$A$4:$A$1858,$D1177,'Val-Vol (2)'!$V$4:$V$1858,$V1177)/SUMIFS('Comp2016-2017 (3)'!$G$5:$G$289,'Comp2016-2017 (3)'!$A$5:$A$289,$D1177,'Comp2016-2017 (3)'!$R$5:$R$289,$V1177)*$AB1177))</f>
        <v/>
      </c>
      <c r="AE1177" s="222" t="str">
        <f>IF($W1177=AE$3,$AB1177,IF(NOT($W1177=0),"",SUMIFS('Val-Vol (2)'!AE$4:AE$1858,'Val-Vol (2)'!$A$4:$A$1858,$D1177,'Val-Vol (2)'!$V$4:$V$1858,$V1177)/SUMIFS('Comp2016-2017 (3)'!$G$5:$G$289,'Comp2016-2017 (3)'!$A$5:$A$289,$D1177,'Comp2016-2017 (3)'!$R$5:$R$289,$V1177)*$AB1177))</f>
        <v/>
      </c>
      <c r="AF1177" s="222">
        <f>IF($W1177=AF$3,$AB1177,IF(NOT($W1177=0),"",SUMIFS('Val-Vol (2)'!AF$4:AF$1858,'Val-Vol (2)'!$A$4:$A$1858,$D1177,'Val-Vol (2)'!$V$4:$V$1858,$V1177)/SUMIFS('Comp2016-2017 (3)'!$G$5:$G$289,'Comp2016-2017 (3)'!$A$5:$A$289,$D1177,'Comp2016-2017 (3)'!$R$5:$R$289,$V1177)*$AB1177))</f>
        <v>3102.9845986627929</v>
      </c>
      <c r="AG1177" s="222" t="str">
        <f>IF($W1177=AG$3,$AB1177,IF(NOT($W1177=0),"",SUMIFS('Val-Vol (2)'!AG$4:AG$1858,'Val-Vol (2)'!$A$4:$A$1858,$D1177,'Val-Vol (2)'!$V$4:$V$1858,$V1177)/SUMIFS('Comp2016-2017 (3)'!$G$5:$G$289,'Comp2016-2017 (3)'!$A$5:$A$289,$D1177,'Comp2016-2017 (3)'!$R$5:$R$289,$V1177)*$AB1177))</f>
        <v/>
      </c>
      <c r="AH1177" s="222" t="str">
        <f>IF($W1177=AH$3,$AB1177,IF(NOT($W1177=0),"",SUMIFS('Val-Vol (2)'!AH$4:AH$1858,'Val-Vol (2)'!$A$4:$A$1858,$D1177,'Val-Vol (2)'!$V$4:$V$1858,$V1177)/SUMIFS('Comp2016-2017 (3)'!$G$5:$G$289,'Comp2016-2017 (3)'!$A$5:$A$289,$D1177,'Comp2016-2017 (3)'!$R$5:$R$289,$V1177)*$AB1177))</f>
        <v/>
      </c>
      <c r="AI1177" s="222" t="str">
        <f>IF($W1177=AI$3,$AB1177,IF(NOT($W1177=0),"",SUMIFS('Val-Vol (2)'!AI$4:AI$1858,'Val-Vol (2)'!$A$4:$A$1858,$D1177,'Val-Vol (2)'!$V$4:$V$1858,$V1177)/SUMIFS('Comp2016-2017 (3)'!$G$5:$G$289,'Comp2016-2017 (3)'!$A$5:$A$289,$D1177,'Comp2016-2017 (3)'!$R$5:$R$289,$V1177)*$AB1177))</f>
        <v/>
      </c>
      <c r="AJ1177" s="222" t="str">
        <f>IF($W1177=AJ$3,$AB1177,IF(NOT($W1177=0),"",SUMIFS('Val-Vol (2)'!AJ$4:AJ$1858,'Val-Vol (2)'!$A$4:$A$1858,$D1177,'Val-Vol (2)'!$V$4:$V$1858,$V1177)/SUMIFS('Comp2016-2017 (3)'!$G$5:$G$289,'Comp2016-2017 (3)'!$A$5:$A$289,$D1177,'Comp2016-2017 (3)'!$R$5:$R$289,$V1177)*$AB1177))</f>
        <v/>
      </c>
      <c r="AK1177" s="222">
        <f t="shared" si="147"/>
        <v>0</v>
      </c>
      <c r="AL1177" s="212" t="str">
        <f t="shared" si="143"/>
        <v/>
      </c>
      <c r="AM1177" s="212" t="str">
        <f>VLOOKUP(A1177,'Table corresp.'!$M$4:$U$63,8,FALSE)</f>
        <v>Production intermédiaire</v>
      </c>
      <c r="AN1177" s="212" t="str">
        <f>VLOOKUP(D1177,'Table corresp.'!$M$4:$U$63,9,FALSE)</f>
        <v>Production intermédiaire</v>
      </c>
    </row>
    <row r="1178" spans="1:40" x14ac:dyDescent="0.25">
      <c r="A1178" t="s">
        <v>3</v>
      </c>
      <c r="B1178" t="str">
        <f>VLOOKUP(LEFT(A1178,3),'Table corresp.'!$A$4:$D$63,3,FALSE)</f>
        <v>Transformation</v>
      </c>
      <c r="C1178" t="str">
        <f>VLOOKUP(A1178,'Table corresp.'!$M$4:$P$63,4,FALSE)</f>
        <v>Production et transformation de produits bois</v>
      </c>
      <c r="D1178" t="s">
        <v>98</v>
      </c>
      <c r="E1178" t="str">
        <f>VLOOKUP(LEFT(D1178,3),'Table corresp.'!$A$4:$D$63,4,FALSE)</f>
        <v>Transformation</v>
      </c>
      <c r="F1178" t="str">
        <f t="shared" si="146"/>
        <v xml:space="preserve">06  - 46 </v>
      </c>
      <c r="G1178" s="213">
        <v>2918.0807233647715</v>
      </c>
      <c r="H1178" s="213">
        <v>0</v>
      </c>
      <c r="I1178" s="213">
        <v>2918.080723364772</v>
      </c>
      <c r="J1178" s="215"/>
      <c r="K1178" s="215"/>
      <c r="L1178" s="215"/>
      <c r="M1178" s="215"/>
      <c r="N1178" s="215"/>
      <c r="O1178" s="215"/>
      <c r="P1178" s="215"/>
      <c r="Q1178" s="215"/>
      <c r="R1178" s="215"/>
      <c r="S1178" s="213"/>
      <c r="T1178" s="212">
        <f>VLOOKUP(A1178,'Groupe de branches'!$Z$27:$AM$86,14,FALSE)</f>
        <v>0</v>
      </c>
      <c r="U1178" s="212">
        <f>VLOOKUP(D1178,'Groupe de branches'!$Z$27:$AM$86,14,FALSE)</f>
        <v>0</v>
      </c>
      <c r="V1178" s="212">
        <v>2019</v>
      </c>
      <c r="W1178" s="212" t="str">
        <f>VLOOKUP(D1178,'Table corresp.'!$M$4:$S$63,7,FALSE)</f>
        <v>Produits de consommation courante</v>
      </c>
      <c r="X1178" s="228">
        <f>IFERROR(G1178/SUMIFS('Comp2016-2017 (3)'!$I$5:$I$289,'Comp2016-2017 (3)'!$A$5:$A$289,A1178,'Comp2016-2017 (3)'!$R$5:$R$289,V1178),0)</f>
        <v>1.2105645142576813E-2</v>
      </c>
      <c r="Y1178" s="214">
        <f>IFERROR(IF(RIGHT(F1178,3)="Exp",VLOOKUP(F1178,#REF!,2,FALSE),VLOOKUP(F1178,#REF!,9,FALSE)),1)</f>
        <v>1</v>
      </c>
      <c r="Z1178" s="225">
        <f t="shared" si="144"/>
        <v>5.8823529411764705E-2</v>
      </c>
      <c r="AA1178" s="225">
        <f t="shared" si="140"/>
        <v>7.1209677309275372E-4</v>
      </c>
      <c r="AB1178" s="222">
        <f>IFERROR(SUMIFS('Comp2016-2017 (3)'!$G$5:$G$289,'Comp2016-2017 (3)'!$A$5:$A$289,A1178,'Comp2016-2017 (3)'!$R$5:$R$289,V1178)*AA1178/SUMIFS($AA$4:$AA$1858,$A$4:$A$1858,A1178,$V$4:$V$1858,V1178),0)</f>
        <v>621.69347678752229</v>
      </c>
      <c r="AC1178" s="222" t="str">
        <f>IF($W1178=AC$3,$AB1178,IF(NOT($W1178=0),"",SUMIFS('Val-Vol (2)'!AC$4:AC$1858,'Val-Vol (2)'!$A$4:$A$1858,$D1178,'Val-Vol (2)'!$V$4:$V$1858,$V1178)/SUMIFS('Comp2016-2017 (3)'!$G$5:$G$289,'Comp2016-2017 (3)'!$A$5:$A$289,$D1178,'Comp2016-2017 (3)'!$R$5:$R$289,$V1178)*$AB1178))</f>
        <v/>
      </c>
      <c r="AD1178" s="222" t="str">
        <f>IF($W1178=AD$3,$AB1178,IF(NOT($W1178=0),"",SUMIFS('Val-Vol (2)'!AD$4:AD$1858,'Val-Vol (2)'!$A$4:$A$1858,$D1178,'Val-Vol (2)'!$V$4:$V$1858,$V1178)/SUMIFS('Comp2016-2017 (3)'!$G$5:$G$289,'Comp2016-2017 (3)'!$A$5:$A$289,$D1178,'Comp2016-2017 (3)'!$R$5:$R$289,$V1178)*$AB1178))</f>
        <v/>
      </c>
      <c r="AE1178" s="222" t="str">
        <f>IF($W1178=AE$3,$AB1178,IF(NOT($W1178=0),"",SUMIFS('Val-Vol (2)'!AE$4:AE$1858,'Val-Vol (2)'!$A$4:$A$1858,$D1178,'Val-Vol (2)'!$V$4:$V$1858,$V1178)/SUMIFS('Comp2016-2017 (3)'!$G$5:$G$289,'Comp2016-2017 (3)'!$A$5:$A$289,$D1178,'Comp2016-2017 (3)'!$R$5:$R$289,$V1178)*$AB1178))</f>
        <v/>
      </c>
      <c r="AF1178" s="222" t="str">
        <f>IF($W1178=AF$3,$AB1178,IF(NOT($W1178=0),"",SUMIFS('Val-Vol (2)'!AF$4:AF$1858,'Val-Vol (2)'!$A$4:$A$1858,$D1178,'Val-Vol (2)'!$V$4:$V$1858,$V1178)/SUMIFS('Comp2016-2017 (3)'!$G$5:$G$289,'Comp2016-2017 (3)'!$A$5:$A$289,$D1178,'Comp2016-2017 (3)'!$R$5:$R$289,$V1178)*$AB1178))</f>
        <v/>
      </c>
      <c r="AG1178" s="222" t="str">
        <f>IF($W1178=AG$3,$AB1178,IF(NOT($W1178=0),"",SUMIFS('Val-Vol (2)'!AG$4:AG$1858,'Val-Vol (2)'!$A$4:$A$1858,$D1178,'Val-Vol (2)'!$V$4:$V$1858,$V1178)/SUMIFS('Comp2016-2017 (3)'!$G$5:$G$289,'Comp2016-2017 (3)'!$A$5:$A$289,$D1178,'Comp2016-2017 (3)'!$R$5:$R$289,$V1178)*$AB1178))</f>
        <v/>
      </c>
      <c r="AH1178" s="222" t="str">
        <f>IF($W1178=AH$3,$AB1178,IF(NOT($W1178=0),"",SUMIFS('Val-Vol (2)'!AH$4:AH$1858,'Val-Vol (2)'!$A$4:$A$1858,$D1178,'Val-Vol (2)'!$V$4:$V$1858,$V1178)/SUMIFS('Comp2016-2017 (3)'!$G$5:$G$289,'Comp2016-2017 (3)'!$A$5:$A$289,$D1178,'Comp2016-2017 (3)'!$R$5:$R$289,$V1178)*$AB1178))</f>
        <v/>
      </c>
      <c r="AI1178" s="222">
        <f>IF($W1178=AI$3,$AB1178,IF(NOT($W1178=0),"",SUMIFS('Val-Vol (2)'!AI$4:AI$1858,'Val-Vol (2)'!$A$4:$A$1858,$D1178,'Val-Vol (2)'!$V$4:$V$1858,$V1178)/SUMIFS('Comp2016-2017 (3)'!$G$5:$G$289,'Comp2016-2017 (3)'!$A$5:$A$289,$D1178,'Comp2016-2017 (3)'!$R$5:$R$289,$V1178)*$AB1178))</f>
        <v>621.69347678752229</v>
      </c>
      <c r="AJ1178" s="222" t="str">
        <f>IF($W1178=AJ$3,$AB1178,IF(NOT($W1178=0),"",SUMIFS('Val-Vol (2)'!AJ$4:AJ$1858,'Val-Vol (2)'!$A$4:$A$1858,$D1178,'Val-Vol (2)'!$V$4:$V$1858,$V1178)/SUMIFS('Comp2016-2017 (3)'!$G$5:$G$289,'Comp2016-2017 (3)'!$A$5:$A$289,$D1178,'Comp2016-2017 (3)'!$R$5:$R$289,$V1178)*$AB1178))</f>
        <v/>
      </c>
      <c r="AK1178" s="222">
        <f t="shared" si="147"/>
        <v>0</v>
      </c>
      <c r="AL1178" s="212" t="str">
        <f t="shared" si="143"/>
        <v/>
      </c>
      <c r="AM1178" s="212" t="str">
        <f>VLOOKUP(A1178,'Table corresp.'!$M$4:$U$63,8,FALSE)</f>
        <v>Production intermédiaire</v>
      </c>
      <c r="AN1178" s="212" t="str">
        <f>VLOOKUP(D1178,'Table corresp.'!$M$4:$U$63,9,FALSE)</f>
        <v>Production intermédiaire</v>
      </c>
    </row>
    <row r="1179" spans="1:40" x14ac:dyDescent="0.25">
      <c r="A1179" t="s">
        <v>3</v>
      </c>
      <c r="B1179" t="str">
        <f>VLOOKUP(LEFT(A1179,3),'Table corresp.'!$A$4:$D$63,3,FALSE)</f>
        <v>Transformation</v>
      </c>
      <c r="C1179" t="str">
        <f>VLOOKUP(A1179,'Table corresp.'!$M$4:$P$63,4,FALSE)</f>
        <v>Production et transformation de produits bois</v>
      </c>
      <c r="D1179" t="s">
        <v>53</v>
      </c>
      <c r="E1179" t="str">
        <f>VLOOKUP(LEFT(D1179,3),'Table corresp.'!$A$4:$D$63,4,FALSE)</f>
        <v>Exportation</v>
      </c>
      <c r="F1179" t="str">
        <f t="shared" si="146"/>
        <v>06  - Exp</v>
      </c>
      <c r="G1179" s="213">
        <v>18229.056109489353</v>
      </c>
      <c r="H1179" s="213">
        <v>0</v>
      </c>
      <c r="I1179" s="213">
        <v>18229.056109489353</v>
      </c>
      <c r="J1179" s="215"/>
      <c r="K1179" s="215"/>
      <c r="L1179" s="215"/>
      <c r="M1179" s="215"/>
      <c r="N1179" s="215"/>
      <c r="O1179" s="215"/>
      <c r="P1179" s="215"/>
      <c r="Q1179" s="215"/>
      <c r="R1179" s="215"/>
      <c r="S1179" s="213"/>
      <c r="T1179" s="212">
        <f>VLOOKUP(A1179,'Groupe de branches'!$Z$27:$AM$86,14,FALSE)</f>
        <v>0</v>
      </c>
      <c r="U1179" s="212">
        <f>VLOOKUP(D1179,'Groupe de branches'!$Z$27:$AM$86,14,FALSE)</f>
        <v>0</v>
      </c>
      <c r="V1179" s="212">
        <v>2019</v>
      </c>
      <c r="W1179" s="212" t="str">
        <f>VLOOKUP(D1179,'Table corresp.'!$M$4:$S$63,7,FALSE)</f>
        <v>Exportation</v>
      </c>
      <c r="X1179" s="228">
        <f>IFERROR(G1179/SUMIFS('Comp2016-2017 (3)'!$I$5:$I$289,'Comp2016-2017 (3)'!$A$5:$A$289,A1179,'Comp2016-2017 (3)'!$R$5:$R$289,V1179),0)</f>
        <v>7.5623159694891959E-2</v>
      </c>
      <c r="Y1179" s="214">
        <f>IFERROR(IF(RIGHT(F1179,3)="Exp",VLOOKUP(F1179,#REF!,2,FALSE),VLOOKUP(F1179,#REF!,9,FALSE)),1)</f>
        <v>1</v>
      </c>
      <c r="Z1179" s="225">
        <f t="shared" si="144"/>
        <v>5.8823529411764705E-2</v>
      </c>
      <c r="AA1179" s="225">
        <f t="shared" si="140"/>
        <v>4.4484211585230559E-3</v>
      </c>
      <c r="AB1179" s="222">
        <f>IFERROR(SUMIFS('Comp2016-2017 (3)'!$G$5:$G$289,'Comp2016-2017 (3)'!$A$5:$A$289,A1179,'Comp2016-2017 (3)'!$R$5:$R$289,V1179)*AA1179/SUMIFS($AA$4:$AA$1858,$A$4:$A$1858,A1179,$V$4:$V$1858,V1179),0)</f>
        <v>3883.6777819482563</v>
      </c>
      <c r="AC1179" s="222">
        <f>IF($W1179=AC$3,$AB1179,IF(NOT($W1179=0),"",SUMIFS('Val-Vol (2)'!AC$4:AC$1858,'Val-Vol (2)'!$A$4:$A$1858,$D1179,'Val-Vol (2)'!$V$4:$V$1858,$V1179)/SUMIFS('Comp2016-2017 (3)'!$G$5:$G$289,'Comp2016-2017 (3)'!$A$5:$A$289,$D1179,'Comp2016-2017 (3)'!$R$5:$R$289,$V1179)*$AB1179))</f>
        <v>3883.6777819482563</v>
      </c>
      <c r="AD1179" s="222" t="str">
        <f>IF($W1179=AD$3,$AB1179,IF(NOT($W1179=0),"",SUMIFS('Val-Vol (2)'!AD$4:AD$1858,'Val-Vol (2)'!$A$4:$A$1858,$D1179,'Val-Vol (2)'!$V$4:$V$1858,$V1179)/SUMIFS('Comp2016-2017 (3)'!$G$5:$G$289,'Comp2016-2017 (3)'!$A$5:$A$289,$D1179,'Comp2016-2017 (3)'!$R$5:$R$289,$V1179)*$AB1179))</f>
        <v/>
      </c>
      <c r="AE1179" s="222" t="str">
        <f>IF($W1179=AE$3,$AB1179,IF(NOT($W1179=0),"",SUMIFS('Val-Vol (2)'!AE$4:AE$1858,'Val-Vol (2)'!$A$4:$A$1858,$D1179,'Val-Vol (2)'!$V$4:$V$1858,$V1179)/SUMIFS('Comp2016-2017 (3)'!$G$5:$G$289,'Comp2016-2017 (3)'!$A$5:$A$289,$D1179,'Comp2016-2017 (3)'!$R$5:$R$289,$V1179)*$AB1179))</f>
        <v/>
      </c>
      <c r="AF1179" s="222" t="str">
        <f>IF($W1179=AF$3,$AB1179,IF(NOT($W1179=0),"",SUMIFS('Val-Vol (2)'!AF$4:AF$1858,'Val-Vol (2)'!$A$4:$A$1858,$D1179,'Val-Vol (2)'!$V$4:$V$1858,$V1179)/SUMIFS('Comp2016-2017 (3)'!$G$5:$G$289,'Comp2016-2017 (3)'!$A$5:$A$289,$D1179,'Comp2016-2017 (3)'!$R$5:$R$289,$V1179)*$AB1179))</f>
        <v/>
      </c>
      <c r="AG1179" s="222" t="str">
        <f>IF($W1179=AG$3,$AB1179,IF(NOT($W1179=0),"",SUMIFS('Val-Vol (2)'!AG$4:AG$1858,'Val-Vol (2)'!$A$4:$A$1858,$D1179,'Val-Vol (2)'!$V$4:$V$1858,$V1179)/SUMIFS('Comp2016-2017 (3)'!$G$5:$G$289,'Comp2016-2017 (3)'!$A$5:$A$289,$D1179,'Comp2016-2017 (3)'!$R$5:$R$289,$V1179)*$AB1179))</f>
        <v/>
      </c>
      <c r="AH1179" s="222" t="str">
        <f>IF($W1179=AH$3,$AB1179,IF(NOT($W1179=0),"",SUMIFS('Val-Vol (2)'!AH$4:AH$1858,'Val-Vol (2)'!$A$4:$A$1858,$D1179,'Val-Vol (2)'!$V$4:$V$1858,$V1179)/SUMIFS('Comp2016-2017 (3)'!$G$5:$G$289,'Comp2016-2017 (3)'!$A$5:$A$289,$D1179,'Comp2016-2017 (3)'!$R$5:$R$289,$V1179)*$AB1179))</f>
        <v/>
      </c>
      <c r="AI1179" s="222" t="str">
        <f>IF($W1179=AI$3,$AB1179,IF(NOT($W1179=0),"",SUMIFS('Val-Vol (2)'!AI$4:AI$1858,'Val-Vol (2)'!$A$4:$A$1858,$D1179,'Val-Vol (2)'!$V$4:$V$1858,$V1179)/SUMIFS('Comp2016-2017 (3)'!$G$5:$G$289,'Comp2016-2017 (3)'!$A$5:$A$289,$D1179,'Comp2016-2017 (3)'!$R$5:$R$289,$V1179)*$AB1179))</f>
        <v/>
      </c>
      <c r="AJ1179" s="222" t="str">
        <f>IF($W1179=AJ$3,$AB1179,IF(NOT($W1179=0),"",SUMIFS('Val-Vol (2)'!AJ$4:AJ$1858,'Val-Vol (2)'!$A$4:$A$1858,$D1179,'Val-Vol (2)'!$V$4:$V$1858,$V1179)/SUMIFS('Comp2016-2017 (3)'!$G$5:$G$289,'Comp2016-2017 (3)'!$A$5:$A$289,$D1179,'Comp2016-2017 (3)'!$R$5:$R$289,$V1179)*$AB1179))</f>
        <v/>
      </c>
      <c r="AK1179" s="222">
        <f t="shared" si="147"/>
        <v>0</v>
      </c>
      <c r="AL1179" s="212" t="str">
        <f t="shared" si="143"/>
        <v/>
      </c>
      <c r="AM1179" s="212" t="str">
        <f>VLOOKUP(A1179,'Table corresp.'!$M$4:$U$63,8,FALSE)</f>
        <v>Production intermédiaire</v>
      </c>
      <c r="AN1179" s="212" t="str">
        <f>VLOOKUP(D1179,'Table corresp.'!$M$4:$U$63,9,FALSE)</f>
        <v>Exportation</v>
      </c>
    </row>
    <row r="1180" spans="1:40" x14ac:dyDescent="0.25">
      <c r="A1180" t="s">
        <v>59</v>
      </c>
      <c r="B1180" t="str">
        <f>VLOOKUP(LEFT(A1180,3),'Table corresp.'!$A$4:$D$63,3,FALSE)</f>
        <v>Transformation</v>
      </c>
      <c r="C1180" t="str">
        <f>VLOOKUP(A1180,'Table corresp.'!$M$4:$P$63,4,FALSE)</f>
        <v>Production et transformation de produits bois</v>
      </c>
      <c r="D1180" t="s">
        <v>54</v>
      </c>
      <c r="E1180" t="str">
        <f>VLOOKUP(LEFT(D1180,3),'Table corresp.'!$A$4:$D$63,4,FALSE)</f>
        <v>Consommation finale</v>
      </c>
      <c r="F1180" t="str">
        <f t="shared" si="146"/>
        <v>07  - Con</v>
      </c>
      <c r="G1180" s="213">
        <v>2</v>
      </c>
      <c r="H1180" s="213">
        <v>0</v>
      </c>
      <c r="I1180" s="213">
        <v>2</v>
      </c>
      <c r="J1180" s="215"/>
      <c r="K1180" s="215"/>
      <c r="L1180" s="215"/>
      <c r="M1180" s="215"/>
      <c r="N1180" s="215"/>
      <c r="O1180" s="215"/>
      <c r="P1180" s="215"/>
      <c r="Q1180" s="215"/>
      <c r="R1180" s="215"/>
      <c r="S1180" s="213"/>
      <c r="T1180" s="212">
        <f>VLOOKUP(A1180,'Groupe de branches'!$Z$27:$AM$86,14,FALSE)</f>
        <v>0</v>
      </c>
      <c r="U1180" s="212">
        <f>VLOOKUP(D1180,'Groupe de branches'!$Z$27:$AM$86,14,FALSE)</f>
        <v>0</v>
      </c>
      <c r="V1180" s="212">
        <v>2019</v>
      </c>
      <c r="W1180" s="212" t="str">
        <f>VLOOKUP(D1180,'Table corresp.'!$M$4:$S$63,7,FALSE)</f>
        <v>Consommation finale</v>
      </c>
      <c r="X1180" s="228">
        <f>IFERROR(G1180/SUMIFS('Comp2016-2017 (3)'!$I$5:$I$289,'Comp2016-2017 (3)'!$A$5:$A$289,A1180,'Comp2016-2017 (3)'!$R$5:$R$289,V1180),0)</f>
        <v>1</v>
      </c>
      <c r="Y1180" s="232"/>
      <c r="Z1180" s="234"/>
      <c r="AA1180" s="225">
        <f t="shared" si="140"/>
        <v>0</v>
      </c>
      <c r="AB1180" s="222">
        <f>IFERROR(SUMIFS('Comp2016-2017 (3)'!$G$5:$G$289,'Comp2016-2017 (3)'!$A$5:$A$289,A1180,'Comp2016-2017 (3)'!$R$5:$R$289,V1180)*AA1180/SUMIFS($AA$4:$AA$1858,$A$4:$A$1858,A1180,$V$4:$V$1858,V1180),0)</f>
        <v>0</v>
      </c>
      <c r="AC1180" s="222" t="str">
        <f>IF($W1180=AC$3,$AB1180,IF(NOT($W1180=0),"",SUMIFS('Val-Vol (2)'!AC$4:AC$1858,'Val-Vol (2)'!$A$4:$A$1858,$D1180,'Val-Vol (2)'!$V$4:$V$1858,$V1180)/SUMIFS('Comp2016-2017 (3)'!$G$5:$G$289,'Comp2016-2017 (3)'!$A$5:$A$289,$D1180,'Comp2016-2017 (3)'!$R$5:$R$289,$V1180)*$AB1180))</f>
        <v/>
      </c>
      <c r="AD1180" s="222" t="str">
        <f>IF($W1180=AD$3,$AB1180,IF(NOT($W1180=0),"",SUMIFS('Val-Vol (2)'!AD$4:AD$1858,'Val-Vol (2)'!$A$4:$A$1858,$D1180,'Val-Vol (2)'!$V$4:$V$1858,$V1180)/SUMIFS('Comp2016-2017 (3)'!$G$5:$G$289,'Comp2016-2017 (3)'!$A$5:$A$289,$D1180,'Comp2016-2017 (3)'!$R$5:$R$289,$V1180)*$AB1180))</f>
        <v/>
      </c>
      <c r="AE1180" s="222" t="str">
        <f>IF($W1180=AE$3,$AB1180,IF(NOT($W1180=0),"",SUMIFS('Val-Vol (2)'!AE$4:AE$1858,'Val-Vol (2)'!$A$4:$A$1858,$D1180,'Val-Vol (2)'!$V$4:$V$1858,$V1180)/SUMIFS('Comp2016-2017 (3)'!$G$5:$G$289,'Comp2016-2017 (3)'!$A$5:$A$289,$D1180,'Comp2016-2017 (3)'!$R$5:$R$289,$V1180)*$AB1180))</f>
        <v/>
      </c>
      <c r="AF1180" s="222" t="str">
        <f>IF($W1180=AF$3,$AB1180,IF(NOT($W1180=0),"",SUMIFS('Val-Vol (2)'!AF$4:AF$1858,'Val-Vol (2)'!$A$4:$A$1858,$D1180,'Val-Vol (2)'!$V$4:$V$1858,$V1180)/SUMIFS('Comp2016-2017 (3)'!$G$5:$G$289,'Comp2016-2017 (3)'!$A$5:$A$289,$D1180,'Comp2016-2017 (3)'!$R$5:$R$289,$V1180)*$AB1180))</f>
        <v/>
      </c>
      <c r="AG1180" s="222" t="str">
        <f>IF($W1180=AG$3,$AB1180,IF(NOT($W1180=0),"",SUMIFS('Val-Vol (2)'!AG$4:AG$1858,'Val-Vol (2)'!$A$4:$A$1858,$D1180,'Val-Vol (2)'!$V$4:$V$1858,$V1180)/SUMIFS('Comp2016-2017 (3)'!$G$5:$G$289,'Comp2016-2017 (3)'!$A$5:$A$289,$D1180,'Comp2016-2017 (3)'!$R$5:$R$289,$V1180)*$AB1180))</f>
        <v/>
      </c>
      <c r="AH1180" s="222" t="str">
        <f>IF($W1180=AH$3,$AB1180,IF(NOT($W1180=0),"",SUMIFS('Val-Vol (2)'!AH$4:AH$1858,'Val-Vol (2)'!$A$4:$A$1858,$D1180,'Val-Vol (2)'!$V$4:$V$1858,$V1180)/SUMIFS('Comp2016-2017 (3)'!$G$5:$G$289,'Comp2016-2017 (3)'!$A$5:$A$289,$D1180,'Comp2016-2017 (3)'!$R$5:$R$289,$V1180)*$AB1180))</f>
        <v/>
      </c>
      <c r="AI1180" s="222" t="str">
        <f>IF($W1180=AI$3,$AB1180,IF(NOT($W1180=0),"",SUMIFS('Val-Vol (2)'!AI$4:AI$1858,'Val-Vol (2)'!$A$4:$A$1858,$D1180,'Val-Vol (2)'!$V$4:$V$1858,$V1180)/SUMIFS('Comp2016-2017 (3)'!$G$5:$G$289,'Comp2016-2017 (3)'!$A$5:$A$289,$D1180,'Comp2016-2017 (3)'!$R$5:$R$289,$V1180)*$AB1180))</f>
        <v/>
      </c>
      <c r="AJ1180" s="222">
        <f>IF($W1180=AJ$3,$AB1180,IF(NOT($W1180=0),"",SUMIFS('Val-Vol (2)'!AJ$4:AJ$1858,'Val-Vol (2)'!$A$4:$A$1858,$D1180,'Val-Vol (2)'!$V$4:$V$1858,$V1180)/SUMIFS('Comp2016-2017 (3)'!$G$5:$G$289,'Comp2016-2017 (3)'!$A$5:$A$289,$D1180,'Comp2016-2017 (3)'!$R$5:$R$289,$V1180)*$AB1180))</f>
        <v>0</v>
      </c>
      <c r="AK1180" s="222">
        <f t="shared" si="147"/>
        <v>0</v>
      </c>
      <c r="AL1180" s="212" t="str">
        <f t="shared" si="143"/>
        <v/>
      </c>
      <c r="AM1180" s="212" t="str">
        <f>VLOOKUP(A1180,'Table corresp.'!$M$4:$U$63,8,FALSE)</f>
        <v>Production intermédiaire</v>
      </c>
      <c r="AN1180" s="212" t="str">
        <f>VLOOKUP(D1180,'Table corresp.'!$M$4:$U$63,9,FALSE)</f>
        <v>Consommation finale française</v>
      </c>
    </row>
    <row r="1181" spans="1:40" x14ac:dyDescent="0.25">
      <c r="A1181" t="s">
        <v>59</v>
      </c>
      <c r="B1181" t="str">
        <f>VLOOKUP(LEFT(A1181,3),'Table corresp.'!$A$4:$D$63,3,FALSE)</f>
        <v>Transformation</v>
      </c>
      <c r="C1181" t="str">
        <f>VLOOKUP(A1181,'Table corresp.'!$M$4:$P$63,4,FALSE)</f>
        <v>Production et transformation de produits bois</v>
      </c>
      <c r="D1181" t="s">
        <v>53</v>
      </c>
      <c r="E1181" t="str">
        <f>VLOOKUP(LEFT(D1181,3),'Table corresp.'!$A$4:$D$63,4,FALSE)</f>
        <v>Exportation</v>
      </c>
      <c r="F1181" t="str">
        <f t="shared" si="146"/>
        <v>07  - Exp</v>
      </c>
      <c r="G1181" s="213"/>
      <c r="H1181" s="213"/>
      <c r="I1181" s="213"/>
      <c r="J1181" s="215"/>
      <c r="K1181" s="215"/>
      <c r="L1181" s="215"/>
      <c r="M1181" s="215"/>
      <c r="N1181" s="215"/>
      <c r="O1181" s="215"/>
      <c r="P1181" s="215"/>
      <c r="Q1181" s="215"/>
      <c r="R1181" s="215"/>
      <c r="S1181" s="213"/>
      <c r="T1181" s="212">
        <f>VLOOKUP(A1181,'Groupe de branches'!$Z$27:$AM$86,14,FALSE)</f>
        <v>0</v>
      </c>
      <c r="U1181" s="212">
        <f>VLOOKUP(D1181,'Groupe de branches'!$Z$27:$AM$86,14,FALSE)</f>
        <v>0</v>
      </c>
      <c r="V1181" s="212">
        <v>2019</v>
      </c>
      <c r="W1181" s="212" t="str">
        <f>VLOOKUP(D1181,'Table corresp.'!$M$4:$S$63,7,FALSE)</f>
        <v>Exportation</v>
      </c>
      <c r="X1181" s="228">
        <f>IFERROR(G1181/SUMIFS('Comp2016-2017 (3)'!$I$5:$I$289,'Comp2016-2017 (3)'!$A$5:$A$289,A1181,'Comp2016-2017 (3)'!$R$5:$R$289,V1181),0)</f>
        <v>0</v>
      </c>
      <c r="Y1181" s="232"/>
      <c r="Z1181" s="234"/>
      <c r="AA1181" s="225">
        <f t="shared" ref="AA1181:AA1244" si="148">X1181*Z1181</f>
        <v>0</v>
      </c>
      <c r="AB1181" s="222">
        <f>IFERROR(SUMIFS('Comp2016-2017 (3)'!$G$5:$G$289,'Comp2016-2017 (3)'!$A$5:$A$289,A1181,'Comp2016-2017 (3)'!$R$5:$R$289,V1181)*AA1181/SUMIFS($AA$4:$AA$1858,$A$4:$A$1858,A1181,$V$4:$V$1858,V1181),0)</f>
        <v>0</v>
      </c>
      <c r="AC1181" s="222">
        <f>IF($W1181=AC$3,$AB1181,IF(NOT($W1181=0),"",SUMIFS('Val-Vol (2)'!AC$4:AC$1858,'Val-Vol (2)'!$A$4:$A$1858,$D1181,'Val-Vol (2)'!$V$4:$V$1858,$V1181)/SUMIFS('Comp2016-2017 (3)'!$G$5:$G$289,'Comp2016-2017 (3)'!$A$5:$A$289,$D1181,'Comp2016-2017 (3)'!$R$5:$R$289,$V1181)*$AB1181))</f>
        <v>0</v>
      </c>
      <c r="AD1181" s="222" t="str">
        <f>IF($W1181=AD$3,$AB1181,IF(NOT($W1181=0),"",SUMIFS('Val-Vol (2)'!AD$4:AD$1858,'Val-Vol (2)'!$A$4:$A$1858,$D1181,'Val-Vol (2)'!$V$4:$V$1858,$V1181)/SUMIFS('Comp2016-2017 (3)'!$G$5:$G$289,'Comp2016-2017 (3)'!$A$5:$A$289,$D1181,'Comp2016-2017 (3)'!$R$5:$R$289,$V1181)*$AB1181))</f>
        <v/>
      </c>
      <c r="AE1181" s="222" t="str">
        <f>IF($W1181=AE$3,$AB1181,IF(NOT($W1181=0),"",SUMIFS('Val-Vol (2)'!AE$4:AE$1858,'Val-Vol (2)'!$A$4:$A$1858,$D1181,'Val-Vol (2)'!$V$4:$V$1858,$V1181)/SUMIFS('Comp2016-2017 (3)'!$G$5:$G$289,'Comp2016-2017 (3)'!$A$5:$A$289,$D1181,'Comp2016-2017 (3)'!$R$5:$R$289,$V1181)*$AB1181))</f>
        <v/>
      </c>
      <c r="AF1181" s="222" t="str">
        <f>IF($W1181=AF$3,$AB1181,IF(NOT($W1181=0),"",SUMIFS('Val-Vol (2)'!AF$4:AF$1858,'Val-Vol (2)'!$A$4:$A$1858,$D1181,'Val-Vol (2)'!$V$4:$V$1858,$V1181)/SUMIFS('Comp2016-2017 (3)'!$G$5:$G$289,'Comp2016-2017 (3)'!$A$5:$A$289,$D1181,'Comp2016-2017 (3)'!$R$5:$R$289,$V1181)*$AB1181))</f>
        <v/>
      </c>
      <c r="AG1181" s="222" t="str">
        <f>IF($W1181=AG$3,$AB1181,IF(NOT($W1181=0),"",SUMIFS('Val-Vol (2)'!AG$4:AG$1858,'Val-Vol (2)'!$A$4:$A$1858,$D1181,'Val-Vol (2)'!$V$4:$V$1858,$V1181)/SUMIFS('Comp2016-2017 (3)'!$G$5:$G$289,'Comp2016-2017 (3)'!$A$5:$A$289,$D1181,'Comp2016-2017 (3)'!$R$5:$R$289,$V1181)*$AB1181))</f>
        <v/>
      </c>
      <c r="AH1181" s="222" t="str">
        <f>IF($W1181=AH$3,$AB1181,IF(NOT($W1181=0),"",SUMIFS('Val-Vol (2)'!AH$4:AH$1858,'Val-Vol (2)'!$A$4:$A$1858,$D1181,'Val-Vol (2)'!$V$4:$V$1858,$V1181)/SUMIFS('Comp2016-2017 (3)'!$G$5:$G$289,'Comp2016-2017 (3)'!$A$5:$A$289,$D1181,'Comp2016-2017 (3)'!$R$5:$R$289,$V1181)*$AB1181))</f>
        <v/>
      </c>
      <c r="AI1181" s="222" t="str">
        <f>IF($W1181=AI$3,$AB1181,IF(NOT($W1181=0),"",SUMIFS('Val-Vol (2)'!AI$4:AI$1858,'Val-Vol (2)'!$A$4:$A$1858,$D1181,'Val-Vol (2)'!$V$4:$V$1858,$V1181)/SUMIFS('Comp2016-2017 (3)'!$G$5:$G$289,'Comp2016-2017 (3)'!$A$5:$A$289,$D1181,'Comp2016-2017 (3)'!$R$5:$R$289,$V1181)*$AB1181))</f>
        <v/>
      </c>
      <c r="AJ1181" s="222" t="str">
        <f>IF($W1181=AJ$3,$AB1181,IF(NOT($W1181=0),"",SUMIFS('Val-Vol (2)'!AJ$4:AJ$1858,'Val-Vol (2)'!$A$4:$A$1858,$D1181,'Val-Vol (2)'!$V$4:$V$1858,$V1181)/SUMIFS('Comp2016-2017 (3)'!$G$5:$G$289,'Comp2016-2017 (3)'!$A$5:$A$289,$D1181,'Comp2016-2017 (3)'!$R$5:$R$289,$V1181)*$AB1181))</f>
        <v/>
      </c>
      <c r="AK1181" s="222">
        <f t="shared" ref="AK1181:AK1244" si="149">SUM(AC1181:AJ1181)-AB1181</f>
        <v>0</v>
      </c>
      <c r="AL1181" s="212" t="str">
        <f t="shared" si="143"/>
        <v/>
      </c>
      <c r="AM1181" s="212" t="str">
        <f>VLOOKUP(A1181,'Table corresp.'!$M$4:$U$63,8,FALSE)</f>
        <v>Production intermédiaire</v>
      </c>
      <c r="AN1181" s="212" t="str">
        <f>VLOOKUP(D1181,'Table corresp.'!$M$4:$U$63,9,FALSE)</f>
        <v>Exportation</v>
      </c>
    </row>
    <row r="1182" spans="1:40" x14ac:dyDescent="0.25">
      <c r="A1182" t="s">
        <v>4</v>
      </c>
      <c r="B1182" t="str">
        <f>VLOOKUP(LEFT(A1182,3),'Table corresp.'!$A$4:$D$63,3,FALSE)</f>
        <v>Transformation</v>
      </c>
      <c r="C1182" t="str">
        <f>VLOOKUP(A1182,'Table corresp.'!$M$4:$P$63,4,FALSE)</f>
        <v>Production et transformation de produits bois</v>
      </c>
      <c r="D1182" t="s">
        <v>13</v>
      </c>
      <c r="E1182" t="str">
        <f>VLOOKUP(LEFT(D1182,3),'Table corresp.'!$A$4:$D$63,4,FALSE)</f>
        <v>Transformation</v>
      </c>
      <c r="F1182" t="str">
        <f t="shared" si="146"/>
        <v xml:space="preserve">08  - 20 </v>
      </c>
      <c r="G1182" s="213">
        <v>52035.531221450859</v>
      </c>
      <c r="H1182" s="213">
        <v>2034.8456196599325</v>
      </c>
      <c r="I1182" s="213">
        <v>54070.376841110789</v>
      </c>
      <c r="J1182" s="215">
        <v>201.76446233069177</v>
      </c>
      <c r="K1182" s="215">
        <v>6.1656593574990923</v>
      </c>
      <c r="L1182" s="215">
        <v>207.93012168819087</v>
      </c>
      <c r="M1182" s="215"/>
      <c r="N1182" s="215"/>
      <c r="O1182" s="215"/>
      <c r="P1182" s="215"/>
      <c r="Q1182" s="215"/>
      <c r="R1182" s="215"/>
      <c r="S1182" s="213"/>
      <c r="T1182" s="212">
        <f>VLOOKUP(A1182,'Groupe de branches'!$Z$27:$AM$86,14,FALSE)</f>
        <v>0</v>
      </c>
      <c r="U1182" s="212">
        <f>VLOOKUP(D1182,'Groupe de branches'!$Z$27:$AM$86,14,FALSE)</f>
        <v>0</v>
      </c>
      <c r="V1182" s="212">
        <v>2019</v>
      </c>
      <c r="W1182" s="212">
        <f>VLOOKUP(D1182,'Table corresp.'!$M$4:$S$63,7,FALSE)</f>
        <v>0</v>
      </c>
      <c r="X1182" s="228">
        <f>IFERROR(G1182/SUMIFS('Comp2016-2017 (3)'!$I$5:$I$289,'Comp2016-2017 (3)'!$A$5:$A$289,A1182,'Comp2016-2017 (3)'!$R$5:$R$289,V1182),0)</f>
        <v>0.1075734631949512</v>
      </c>
      <c r="Y1182" s="214" t="e">
        <f>IF(RIGHT(F1182,3)="Exp",VLOOKUP(F1182,#REF!,2,FALSE),VLOOKUP(F1182,#REF!,9,FALSE))</f>
        <v>#REF!</v>
      </c>
      <c r="Z1182" s="225" t="str">
        <f t="shared" si="144"/>
        <v/>
      </c>
      <c r="AA1182" s="225" t="e">
        <f t="shared" si="148"/>
        <v>#VALUE!</v>
      </c>
      <c r="AB1182" s="222">
        <f>IFERROR(SUMIFS('Comp2016-2017 (3)'!$G$5:$G$289,'Comp2016-2017 (3)'!$A$5:$A$289,A1182,'Comp2016-2017 (3)'!$R$5:$R$289,V1182)*AA1182/SUMIFS($AA$4:$AA$1858,$A$4:$A$1858,A1182,$V$4:$V$1858,V1182),0)</f>
        <v>0</v>
      </c>
      <c r="AC1182" s="222">
        <f>IF($W1182=AC$3,$AB1182,IF(NOT($W1182=0),"",SUMIFS('Val-Vol (2)'!AC$4:AC$1858,'Val-Vol (2)'!$A$4:$A$1858,$D1182,'Val-Vol (2)'!$V$4:$V$1858,$V1182)/SUMIFS('Comp2016-2017 (3)'!$G$5:$G$289,'Comp2016-2017 (3)'!$A$5:$A$289,$D1182,'Comp2016-2017 (3)'!$R$5:$R$289,$V1182)*$AB1182))</f>
        <v>0</v>
      </c>
      <c r="AD1182" s="222">
        <f>IF($W1182=AD$3,$AB1182,IF(NOT($W1182=0),"",SUMIFS('Val-Vol (2)'!AD$4:AD$1858,'Val-Vol (2)'!$A$4:$A$1858,$D1182,'Val-Vol (2)'!$V$4:$V$1858,$V1182)/SUMIFS('Comp2016-2017 (3)'!$G$5:$G$289,'Comp2016-2017 (3)'!$A$5:$A$289,$D1182,'Comp2016-2017 (3)'!$R$5:$R$289,$V1182)*$AB1182))</f>
        <v>0</v>
      </c>
      <c r="AE1182" s="222">
        <f>IF($W1182=AE$3,$AB1182,IF(NOT($W1182=0),"",SUMIFS('Val-Vol (2)'!AE$4:AE$1858,'Val-Vol (2)'!$A$4:$A$1858,$D1182,'Val-Vol (2)'!$V$4:$V$1858,$V1182)/SUMIFS('Comp2016-2017 (3)'!$G$5:$G$289,'Comp2016-2017 (3)'!$A$5:$A$289,$D1182,'Comp2016-2017 (3)'!$R$5:$R$289,$V1182)*$AB1182))</f>
        <v>0</v>
      </c>
      <c r="AF1182" s="222">
        <f>IF($W1182=AF$3,$AB1182,IF(NOT($W1182=0),"",SUMIFS('Val-Vol (2)'!AF$4:AF$1858,'Val-Vol (2)'!$A$4:$A$1858,$D1182,'Val-Vol (2)'!$V$4:$V$1858,$V1182)/SUMIFS('Comp2016-2017 (3)'!$G$5:$G$289,'Comp2016-2017 (3)'!$A$5:$A$289,$D1182,'Comp2016-2017 (3)'!$R$5:$R$289,$V1182)*$AB1182))</f>
        <v>0</v>
      </c>
      <c r="AG1182" s="222">
        <f>IF($W1182=AG$3,$AB1182,IF(NOT($W1182=0),"",SUMIFS('Val-Vol (2)'!AG$4:AG$1858,'Val-Vol (2)'!$A$4:$A$1858,$D1182,'Val-Vol (2)'!$V$4:$V$1858,$V1182)/SUMIFS('Comp2016-2017 (3)'!$G$5:$G$289,'Comp2016-2017 (3)'!$A$5:$A$289,$D1182,'Comp2016-2017 (3)'!$R$5:$R$289,$V1182)*$AB1182))</f>
        <v>0</v>
      </c>
      <c r="AH1182" s="222">
        <f>IF($W1182=AH$3,$AB1182,IF(NOT($W1182=0),"",SUMIFS('Val-Vol (2)'!AH$4:AH$1858,'Val-Vol (2)'!$A$4:$A$1858,$D1182,'Val-Vol (2)'!$V$4:$V$1858,$V1182)/SUMIFS('Comp2016-2017 (3)'!$G$5:$G$289,'Comp2016-2017 (3)'!$A$5:$A$289,$D1182,'Comp2016-2017 (3)'!$R$5:$R$289,$V1182)*$AB1182))</f>
        <v>0</v>
      </c>
      <c r="AI1182" s="222">
        <f>IF($W1182=AI$3,$AB1182,IF(NOT($W1182=0),"",SUMIFS('Val-Vol (2)'!AI$4:AI$1858,'Val-Vol (2)'!$A$4:$A$1858,$D1182,'Val-Vol (2)'!$V$4:$V$1858,$V1182)/SUMIFS('Comp2016-2017 (3)'!$G$5:$G$289,'Comp2016-2017 (3)'!$A$5:$A$289,$D1182,'Comp2016-2017 (3)'!$R$5:$R$289,$V1182)*$AB1182))</f>
        <v>0</v>
      </c>
      <c r="AJ1182" s="222">
        <f>IF($W1182=AJ$3,$AB1182,IF(NOT($W1182=0),"",SUMIFS('Val-Vol (2)'!AJ$4:AJ$1858,'Val-Vol (2)'!$A$4:$A$1858,$D1182,'Val-Vol (2)'!$V$4:$V$1858,$V1182)/SUMIFS('Comp2016-2017 (3)'!$G$5:$G$289,'Comp2016-2017 (3)'!$A$5:$A$289,$D1182,'Comp2016-2017 (3)'!$R$5:$R$289,$V1182)*$AB1182))</f>
        <v>0</v>
      </c>
      <c r="AK1182" s="222">
        <f t="shared" si="149"/>
        <v>0</v>
      </c>
      <c r="AL1182" s="212" t="str">
        <f t="shared" ref="AL1182:AL1245" si="150">IF(A1182=D1182,"remplir à la main","")</f>
        <v/>
      </c>
      <c r="AM1182" s="212" t="str">
        <f>VLOOKUP(A1182,'Table corresp.'!$M$4:$U$63,8,FALSE)</f>
        <v>Production intermédiaire</v>
      </c>
      <c r="AN1182" s="212" t="str">
        <f>VLOOKUP(D1182,'Table corresp.'!$M$4:$U$63,9,FALSE)</f>
        <v>Production intermédiaire</v>
      </c>
    </row>
    <row r="1183" spans="1:40" x14ac:dyDescent="0.25">
      <c r="A1183" t="s">
        <v>4</v>
      </c>
      <c r="B1183" t="str">
        <f>VLOOKUP(LEFT(A1183,3),'Table corresp.'!$A$4:$D$63,3,FALSE)</f>
        <v>Transformation</v>
      </c>
      <c r="C1183" t="str">
        <f>VLOOKUP(A1183,'Table corresp.'!$M$4:$P$63,4,FALSE)</f>
        <v>Production et transformation de produits bois</v>
      </c>
      <c r="D1183" t="s">
        <v>14</v>
      </c>
      <c r="E1183" t="str">
        <f>VLOOKUP(LEFT(D1183,3),'Table corresp.'!$A$4:$D$63,4,FALSE)</f>
        <v>Transformation</v>
      </c>
      <c r="F1183" t="str">
        <f t="shared" si="146"/>
        <v>08  - 20b</v>
      </c>
      <c r="G1183" s="213">
        <v>2562.4984217793512</v>
      </c>
      <c r="H1183" s="213">
        <v>1573.8760192327527</v>
      </c>
      <c r="I1183" s="213">
        <v>4136.3744410121035</v>
      </c>
      <c r="J1183" s="215">
        <v>14.903886944861906</v>
      </c>
      <c r="K1183" s="215">
        <v>7.1533559930317399</v>
      </c>
      <c r="L1183" s="215">
        <v>22.057242937893648</v>
      </c>
      <c r="M1183" s="215"/>
      <c r="N1183" s="215"/>
      <c r="O1183" s="215"/>
      <c r="P1183" s="215"/>
      <c r="Q1183" s="215"/>
      <c r="R1183" s="215"/>
      <c r="S1183" s="213"/>
      <c r="T1183" s="212">
        <f>VLOOKUP(A1183,'Groupe de branches'!$Z$27:$AM$86,14,FALSE)</f>
        <v>0</v>
      </c>
      <c r="U1183" s="212">
        <f>VLOOKUP(D1183,'Groupe de branches'!$Z$27:$AM$86,14,FALSE)</f>
        <v>0</v>
      </c>
      <c r="V1183" s="212">
        <v>2019</v>
      </c>
      <c r="W1183" s="212">
        <f>VLOOKUP(D1183,'Table corresp.'!$M$4:$S$63,7,FALSE)</f>
        <v>0</v>
      </c>
      <c r="X1183" s="228">
        <f>IFERROR(G1183/SUMIFS('Comp2016-2017 (3)'!$I$5:$I$289,'Comp2016-2017 (3)'!$A$5:$A$289,A1183,'Comp2016-2017 (3)'!$R$5:$R$289,V1183),0)</f>
        <v>5.2974731532819683E-3</v>
      </c>
      <c r="Y1183" s="214" t="e">
        <f>IF(RIGHT(F1183,3)="Exp",VLOOKUP(F1183,#REF!,2,FALSE),VLOOKUP(F1183,#REF!,9,FALSE))</f>
        <v>#REF!</v>
      </c>
      <c r="Z1183" s="225" t="str">
        <f t="shared" ref="Z1183:Z1246" si="151">IFERROR(Y1183/SUMIFS($Y$4:$Y$1858,$V$4:$V$1858,V1183,$A$4:$A$1858,A1183),"")</f>
        <v/>
      </c>
      <c r="AA1183" s="225" t="e">
        <f t="shared" si="148"/>
        <v>#VALUE!</v>
      </c>
      <c r="AB1183" s="222">
        <f>IFERROR(SUMIFS('Comp2016-2017 (3)'!$G$5:$G$289,'Comp2016-2017 (3)'!$A$5:$A$289,A1183,'Comp2016-2017 (3)'!$R$5:$R$289,V1183)*AA1183/SUMIFS($AA$4:$AA$1858,$A$4:$A$1858,A1183,$V$4:$V$1858,V1183),0)</f>
        <v>0</v>
      </c>
      <c r="AC1183" s="222">
        <f>IF($W1183=AC$3,$AB1183,IF(NOT($W1183=0),"",SUMIFS('Val-Vol (2)'!AC$4:AC$1858,'Val-Vol (2)'!$A$4:$A$1858,$D1183,'Val-Vol (2)'!$V$4:$V$1858,$V1183)/SUMIFS('Comp2016-2017 (3)'!$G$5:$G$289,'Comp2016-2017 (3)'!$A$5:$A$289,$D1183,'Comp2016-2017 (3)'!$R$5:$R$289,$V1183)*$AB1183))</f>
        <v>0</v>
      </c>
      <c r="AD1183" s="222">
        <f>IF($W1183=AD$3,$AB1183,IF(NOT($W1183=0),"",SUMIFS('Val-Vol (2)'!AD$4:AD$1858,'Val-Vol (2)'!$A$4:$A$1858,$D1183,'Val-Vol (2)'!$V$4:$V$1858,$V1183)/SUMIFS('Comp2016-2017 (3)'!$G$5:$G$289,'Comp2016-2017 (3)'!$A$5:$A$289,$D1183,'Comp2016-2017 (3)'!$R$5:$R$289,$V1183)*$AB1183))</f>
        <v>0</v>
      </c>
      <c r="AE1183" s="222">
        <f>IF($W1183=AE$3,$AB1183,IF(NOT($W1183=0),"",SUMIFS('Val-Vol (2)'!AE$4:AE$1858,'Val-Vol (2)'!$A$4:$A$1858,$D1183,'Val-Vol (2)'!$V$4:$V$1858,$V1183)/SUMIFS('Comp2016-2017 (3)'!$G$5:$G$289,'Comp2016-2017 (3)'!$A$5:$A$289,$D1183,'Comp2016-2017 (3)'!$R$5:$R$289,$V1183)*$AB1183))</f>
        <v>0</v>
      </c>
      <c r="AF1183" s="222">
        <f>IF($W1183=AF$3,$AB1183,IF(NOT($W1183=0),"",SUMIFS('Val-Vol (2)'!AF$4:AF$1858,'Val-Vol (2)'!$A$4:$A$1858,$D1183,'Val-Vol (2)'!$V$4:$V$1858,$V1183)/SUMIFS('Comp2016-2017 (3)'!$G$5:$G$289,'Comp2016-2017 (3)'!$A$5:$A$289,$D1183,'Comp2016-2017 (3)'!$R$5:$R$289,$V1183)*$AB1183))</f>
        <v>0</v>
      </c>
      <c r="AG1183" s="222">
        <f>IF($W1183=AG$3,$AB1183,IF(NOT($W1183=0),"",SUMIFS('Val-Vol (2)'!AG$4:AG$1858,'Val-Vol (2)'!$A$4:$A$1858,$D1183,'Val-Vol (2)'!$V$4:$V$1858,$V1183)/SUMIFS('Comp2016-2017 (3)'!$G$5:$G$289,'Comp2016-2017 (3)'!$A$5:$A$289,$D1183,'Comp2016-2017 (3)'!$R$5:$R$289,$V1183)*$AB1183))</f>
        <v>0</v>
      </c>
      <c r="AH1183" s="222">
        <f>IF($W1183=AH$3,$AB1183,IF(NOT($W1183=0),"",SUMIFS('Val-Vol (2)'!AH$4:AH$1858,'Val-Vol (2)'!$A$4:$A$1858,$D1183,'Val-Vol (2)'!$V$4:$V$1858,$V1183)/SUMIFS('Comp2016-2017 (3)'!$G$5:$G$289,'Comp2016-2017 (3)'!$A$5:$A$289,$D1183,'Comp2016-2017 (3)'!$R$5:$R$289,$V1183)*$AB1183))</f>
        <v>0</v>
      </c>
      <c r="AI1183" s="222">
        <f>IF($W1183=AI$3,$AB1183,IF(NOT($W1183=0),"",SUMIFS('Val-Vol (2)'!AI$4:AI$1858,'Val-Vol (2)'!$A$4:$A$1858,$D1183,'Val-Vol (2)'!$V$4:$V$1858,$V1183)/SUMIFS('Comp2016-2017 (3)'!$G$5:$G$289,'Comp2016-2017 (3)'!$A$5:$A$289,$D1183,'Comp2016-2017 (3)'!$R$5:$R$289,$V1183)*$AB1183))</f>
        <v>0</v>
      </c>
      <c r="AJ1183" s="222">
        <f>IF($W1183=AJ$3,$AB1183,IF(NOT($W1183=0),"",SUMIFS('Val-Vol (2)'!AJ$4:AJ$1858,'Val-Vol (2)'!$A$4:$A$1858,$D1183,'Val-Vol (2)'!$V$4:$V$1858,$V1183)/SUMIFS('Comp2016-2017 (3)'!$G$5:$G$289,'Comp2016-2017 (3)'!$A$5:$A$289,$D1183,'Comp2016-2017 (3)'!$R$5:$R$289,$V1183)*$AB1183))</f>
        <v>0</v>
      </c>
      <c r="AK1183" s="222">
        <f t="shared" si="149"/>
        <v>0</v>
      </c>
      <c r="AL1183" s="212" t="str">
        <f t="shared" si="150"/>
        <v/>
      </c>
      <c r="AM1183" s="212" t="str">
        <f>VLOOKUP(A1183,'Table corresp.'!$M$4:$U$63,8,FALSE)</f>
        <v>Production intermédiaire</v>
      </c>
      <c r="AN1183" s="212" t="str">
        <f>VLOOKUP(D1183,'Table corresp.'!$M$4:$U$63,9,FALSE)</f>
        <v>Production intermédiaire</v>
      </c>
    </row>
    <row r="1184" spans="1:40" x14ac:dyDescent="0.25">
      <c r="A1184" t="s">
        <v>4</v>
      </c>
      <c r="B1184" t="str">
        <f>VLOOKUP(LEFT(A1184,3),'Table corresp.'!$A$4:$D$63,3,FALSE)</f>
        <v>Transformation</v>
      </c>
      <c r="C1184" t="str">
        <f>VLOOKUP(A1184,'Table corresp.'!$M$4:$P$63,4,FALSE)</f>
        <v>Production et transformation de produits bois</v>
      </c>
      <c r="D1184" t="s">
        <v>89</v>
      </c>
      <c r="E1184" t="str">
        <f>VLOOKUP(LEFT(D1184,3),'Table corresp.'!$A$4:$D$63,4,FALSE)</f>
        <v>Transformation</v>
      </c>
      <c r="F1184" t="str">
        <f t="shared" si="146"/>
        <v xml:space="preserve">08  - 33 </v>
      </c>
      <c r="G1184" s="213">
        <v>1009.2071760757111</v>
      </c>
      <c r="H1184" s="213">
        <v>1241.2718554113644</v>
      </c>
      <c r="I1184" s="213">
        <v>2250.4790314870756</v>
      </c>
      <c r="J1184" s="215">
        <v>3.9131366295584487</v>
      </c>
      <c r="K1184" s="215">
        <v>3.761100771760939</v>
      </c>
      <c r="L1184" s="215">
        <v>7.6742374013193881</v>
      </c>
      <c r="M1184" s="215"/>
      <c r="N1184" s="215"/>
      <c r="O1184" s="215"/>
      <c r="P1184" s="215"/>
      <c r="Q1184" s="215"/>
      <c r="R1184" s="215"/>
      <c r="S1184" s="213"/>
      <c r="T1184" s="212">
        <f>VLOOKUP(A1184,'Groupe de branches'!$Z$27:$AM$86,14,FALSE)</f>
        <v>0</v>
      </c>
      <c r="U1184" s="212">
        <f>VLOOKUP(D1184,'Groupe de branches'!$Z$27:$AM$86,14,FALSE)</f>
        <v>0</v>
      </c>
      <c r="V1184" s="212">
        <v>2019</v>
      </c>
      <c r="W1184" s="212" t="str">
        <f>VLOOKUP(D1184,'Table corresp.'!$M$4:$S$63,7,FALSE)</f>
        <v>Construction</v>
      </c>
      <c r="X1184" s="228">
        <f>IFERROR(G1184/SUMIFS('Comp2016-2017 (3)'!$I$5:$I$289,'Comp2016-2017 (3)'!$A$5:$A$289,A1184,'Comp2016-2017 (3)'!$R$5:$R$289,V1184),0)</f>
        <v>2.0863419371974687E-3</v>
      </c>
      <c r="Y1184" s="214" t="e">
        <f>IF(RIGHT(F1184,3)="Exp",VLOOKUP(F1184,#REF!,2,FALSE),VLOOKUP(F1184,#REF!,9,FALSE))</f>
        <v>#REF!</v>
      </c>
      <c r="Z1184" s="225" t="str">
        <f t="shared" si="151"/>
        <v/>
      </c>
      <c r="AA1184" s="225" t="e">
        <f t="shared" si="148"/>
        <v>#VALUE!</v>
      </c>
      <c r="AB1184" s="222">
        <f>IFERROR(SUMIFS('Comp2016-2017 (3)'!$G$5:$G$289,'Comp2016-2017 (3)'!$A$5:$A$289,A1184,'Comp2016-2017 (3)'!$R$5:$R$289,V1184)*AA1184/SUMIFS($AA$4:$AA$1858,$A$4:$A$1858,A1184,$V$4:$V$1858,V1184),0)</f>
        <v>0</v>
      </c>
      <c r="AC1184" s="222" t="str">
        <f>IF($W1184=AC$3,$AB1184,IF(NOT($W1184=0),"",SUMIFS('Val-Vol (2)'!AC$4:AC$1858,'Val-Vol (2)'!$A$4:$A$1858,$D1184,'Val-Vol (2)'!$V$4:$V$1858,$V1184)/SUMIFS('Comp2016-2017 (3)'!$G$5:$G$289,'Comp2016-2017 (3)'!$A$5:$A$289,$D1184,'Comp2016-2017 (3)'!$R$5:$R$289,$V1184)*$AB1184))</f>
        <v/>
      </c>
      <c r="AD1184" s="222">
        <f>IF($W1184=AD$3,$AB1184,IF(NOT($W1184=0),"",SUMIFS('Val-Vol (2)'!AD$4:AD$1858,'Val-Vol (2)'!$A$4:$A$1858,$D1184,'Val-Vol (2)'!$V$4:$V$1858,$V1184)/SUMIFS('Comp2016-2017 (3)'!$G$5:$G$289,'Comp2016-2017 (3)'!$A$5:$A$289,$D1184,'Comp2016-2017 (3)'!$R$5:$R$289,$V1184)*$AB1184))</f>
        <v>0</v>
      </c>
      <c r="AE1184" s="222" t="str">
        <f>IF($W1184=AE$3,$AB1184,IF(NOT($W1184=0),"",SUMIFS('Val-Vol (2)'!AE$4:AE$1858,'Val-Vol (2)'!$A$4:$A$1858,$D1184,'Val-Vol (2)'!$V$4:$V$1858,$V1184)/SUMIFS('Comp2016-2017 (3)'!$G$5:$G$289,'Comp2016-2017 (3)'!$A$5:$A$289,$D1184,'Comp2016-2017 (3)'!$R$5:$R$289,$V1184)*$AB1184))</f>
        <v/>
      </c>
      <c r="AF1184" s="222" t="str">
        <f>IF($W1184=AF$3,$AB1184,IF(NOT($W1184=0),"",SUMIFS('Val-Vol (2)'!AF$4:AF$1858,'Val-Vol (2)'!$A$4:$A$1858,$D1184,'Val-Vol (2)'!$V$4:$V$1858,$V1184)/SUMIFS('Comp2016-2017 (3)'!$G$5:$G$289,'Comp2016-2017 (3)'!$A$5:$A$289,$D1184,'Comp2016-2017 (3)'!$R$5:$R$289,$V1184)*$AB1184))</f>
        <v/>
      </c>
      <c r="AG1184" s="222" t="str">
        <f>IF($W1184=AG$3,$AB1184,IF(NOT($W1184=0),"",SUMIFS('Val-Vol (2)'!AG$4:AG$1858,'Val-Vol (2)'!$A$4:$A$1858,$D1184,'Val-Vol (2)'!$V$4:$V$1858,$V1184)/SUMIFS('Comp2016-2017 (3)'!$G$5:$G$289,'Comp2016-2017 (3)'!$A$5:$A$289,$D1184,'Comp2016-2017 (3)'!$R$5:$R$289,$V1184)*$AB1184))</f>
        <v/>
      </c>
      <c r="AH1184" s="222" t="str">
        <f>IF($W1184=AH$3,$AB1184,IF(NOT($W1184=0),"",SUMIFS('Val-Vol (2)'!AH$4:AH$1858,'Val-Vol (2)'!$A$4:$A$1858,$D1184,'Val-Vol (2)'!$V$4:$V$1858,$V1184)/SUMIFS('Comp2016-2017 (3)'!$G$5:$G$289,'Comp2016-2017 (3)'!$A$5:$A$289,$D1184,'Comp2016-2017 (3)'!$R$5:$R$289,$V1184)*$AB1184))</f>
        <v/>
      </c>
      <c r="AI1184" s="222" t="str">
        <f>IF($W1184=AI$3,$AB1184,IF(NOT($W1184=0),"",SUMIFS('Val-Vol (2)'!AI$4:AI$1858,'Val-Vol (2)'!$A$4:$A$1858,$D1184,'Val-Vol (2)'!$V$4:$V$1858,$V1184)/SUMIFS('Comp2016-2017 (3)'!$G$5:$G$289,'Comp2016-2017 (3)'!$A$5:$A$289,$D1184,'Comp2016-2017 (3)'!$R$5:$R$289,$V1184)*$AB1184))</f>
        <v/>
      </c>
      <c r="AJ1184" s="222" t="str">
        <f>IF($W1184=AJ$3,$AB1184,IF(NOT($W1184=0),"",SUMIFS('Val-Vol (2)'!AJ$4:AJ$1858,'Val-Vol (2)'!$A$4:$A$1858,$D1184,'Val-Vol (2)'!$V$4:$V$1858,$V1184)/SUMIFS('Comp2016-2017 (3)'!$G$5:$G$289,'Comp2016-2017 (3)'!$A$5:$A$289,$D1184,'Comp2016-2017 (3)'!$R$5:$R$289,$V1184)*$AB1184))</f>
        <v/>
      </c>
      <c r="AK1184" s="222">
        <f t="shared" si="149"/>
        <v>0</v>
      </c>
      <c r="AL1184" s="212" t="str">
        <f t="shared" si="150"/>
        <v/>
      </c>
      <c r="AM1184" s="212" t="str">
        <f>VLOOKUP(A1184,'Table corresp.'!$M$4:$U$63,8,FALSE)</f>
        <v>Production intermédiaire</v>
      </c>
      <c r="AN1184" s="212" t="str">
        <f>VLOOKUP(D1184,'Table corresp.'!$M$4:$U$63,9,FALSE)</f>
        <v>Production finale</v>
      </c>
    </row>
    <row r="1185" spans="1:40" x14ac:dyDescent="0.25">
      <c r="A1185" t="s">
        <v>4</v>
      </c>
      <c r="B1185" t="str">
        <f>VLOOKUP(LEFT(A1185,3),'Table corresp.'!$A$4:$D$63,3,FALSE)</f>
        <v>Transformation</v>
      </c>
      <c r="C1185" t="str">
        <f>VLOOKUP(A1185,'Table corresp.'!$M$4:$P$63,4,FALSE)</f>
        <v>Production et transformation de produits bois</v>
      </c>
      <c r="D1185" t="s">
        <v>15</v>
      </c>
      <c r="E1185" t="str">
        <f>VLOOKUP(LEFT(D1185,3),'Table corresp.'!$A$4:$D$63,4,FALSE)</f>
        <v>Transformation</v>
      </c>
      <c r="F1185" t="str">
        <f t="shared" si="146"/>
        <v xml:space="preserve">08  - 35 </v>
      </c>
      <c r="G1185" s="213">
        <v>13165.487781786724</v>
      </c>
      <c r="H1185" s="213">
        <v>1923.3760705259526</v>
      </c>
      <c r="I1185" s="213">
        <v>15088.863852312676</v>
      </c>
      <c r="J1185" s="215">
        <v>34.032227611408977</v>
      </c>
      <c r="K1185" s="215">
        <v>3.8852682656125541</v>
      </c>
      <c r="L1185" s="215">
        <v>37.91749587702153</v>
      </c>
      <c r="M1185" s="215"/>
      <c r="N1185" s="215"/>
      <c r="O1185" s="215"/>
      <c r="P1185" s="215"/>
      <c r="Q1185" s="215"/>
      <c r="R1185" s="215"/>
      <c r="S1185" s="213"/>
      <c r="T1185" s="212">
        <f>VLOOKUP(A1185,'Groupe de branches'!$Z$27:$AM$86,14,FALSE)</f>
        <v>0</v>
      </c>
      <c r="U1185" s="212">
        <f>VLOOKUP(D1185,'Groupe de branches'!$Z$27:$AM$86,14,FALSE)</f>
        <v>0</v>
      </c>
      <c r="V1185" s="212">
        <v>2019</v>
      </c>
      <c r="W1185" s="212" t="str">
        <f>VLOOKUP(D1185,'Table corresp.'!$M$4:$S$63,7,FALSE)</f>
        <v>Construction</v>
      </c>
      <c r="X1185" s="228">
        <f>IFERROR(G1185/SUMIFS('Comp2016-2017 (3)'!$I$5:$I$289,'Comp2016-2017 (3)'!$A$5:$A$289,A1185,'Comp2016-2017 (3)'!$R$5:$R$289,V1185),0)</f>
        <v>2.7217116498923784E-2</v>
      </c>
      <c r="Y1185" s="214" t="e">
        <f>IF(RIGHT(F1185,3)="Exp",VLOOKUP(F1185,#REF!,2,FALSE),VLOOKUP(F1185,#REF!,9,FALSE))</f>
        <v>#REF!</v>
      </c>
      <c r="Z1185" s="225" t="str">
        <f t="shared" si="151"/>
        <v/>
      </c>
      <c r="AA1185" s="225" t="e">
        <f t="shared" si="148"/>
        <v>#VALUE!</v>
      </c>
      <c r="AB1185" s="222">
        <f>IFERROR(SUMIFS('Comp2016-2017 (3)'!$G$5:$G$289,'Comp2016-2017 (3)'!$A$5:$A$289,A1185,'Comp2016-2017 (3)'!$R$5:$R$289,V1185)*AA1185/SUMIFS($AA$4:$AA$1858,$A$4:$A$1858,A1185,$V$4:$V$1858,V1185),0)</f>
        <v>0</v>
      </c>
      <c r="AC1185" s="222" t="str">
        <f>IF($W1185=AC$3,$AB1185,IF(NOT($W1185=0),"",SUMIFS('Val-Vol (2)'!AC$4:AC$1858,'Val-Vol (2)'!$A$4:$A$1858,$D1185,'Val-Vol (2)'!$V$4:$V$1858,$V1185)/SUMIFS('Comp2016-2017 (3)'!$G$5:$G$289,'Comp2016-2017 (3)'!$A$5:$A$289,$D1185,'Comp2016-2017 (3)'!$R$5:$R$289,$V1185)*$AB1185))</f>
        <v/>
      </c>
      <c r="AD1185" s="222">
        <f>IF($W1185=AD$3,$AB1185,IF(NOT($W1185=0),"",SUMIFS('Val-Vol (2)'!AD$4:AD$1858,'Val-Vol (2)'!$A$4:$A$1858,$D1185,'Val-Vol (2)'!$V$4:$V$1858,$V1185)/SUMIFS('Comp2016-2017 (3)'!$G$5:$G$289,'Comp2016-2017 (3)'!$A$5:$A$289,$D1185,'Comp2016-2017 (3)'!$R$5:$R$289,$V1185)*$AB1185))</f>
        <v>0</v>
      </c>
      <c r="AE1185" s="222" t="str">
        <f>IF($W1185=AE$3,$AB1185,IF(NOT($W1185=0),"",SUMIFS('Val-Vol (2)'!AE$4:AE$1858,'Val-Vol (2)'!$A$4:$A$1858,$D1185,'Val-Vol (2)'!$V$4:$V$1858,$V1185)/SUMIFS('Comp2016-2017 (3)'!$G$5:$G$289,'Comp2016-2017 (3)'!$A$5:$A$289,$D1185,'Comp2016-2017 (3)'!$R$5:$R$289,$V1185)*$AB1185))</f>
        <v/>
      </c>
      <c r="AF1185" s="222" t="str">
        <f>IF($W1185=AF$3,$AB1185,IF(NOT($W1185=0),"",SUMIFS('Val-Vol (2)'!AF$4:AF$1858,'Val-Vol (2)'!$A$4:$A$1858,$D1185,'Val-Vol (2)'!$V$4:$V$1858,$V1185)/SUMIFS('Comp2016-2017 (3)'!$G$5:$G$289,'Comp2016-2017 (3)'!$A$5:$A$289,$D1185,'Comp2016-2017 (3)'!$R$5:$R$289,$V1185)*$AB1185))</f>
        <v/>
      </c>
      <c r="AG1185" s="222" t="str">
        <f>IF($W1185=AG$3,$AB1185,IF(NOT($W1185=0),"",SUMIFS('Val-Vol (2)'!AG$4:AG$1858,'Val-Vol (2)'!$A$4:$A$1858,$D1185,'Val-Vol (2)'!$V$4:$V$1858,$V1185)/SUMIFS('Comp2016-2017 (3)'!$G$5:$G$289,'Comp2016-2017 (3)'!$A$5:$A$289,$D1185,'Comp2016-2017 (3)'!$R$5:$R$289,$V1185)*$AB1185))</f>
        <v/>
      </c>
      <c r="AH1185" s="222" t="str">
        <f>IF($W1185=AH$3,$AB1185,IF(NOT($W1185=0),"",SUMIFS('Val-Vol (2)'!AH$4:AH$1858,'Val-Vol (2)'!$A$4:$A$1858,$D1185,'Val-Vol (2)'!$V$4:$V$1858,$V1185)/SUMIFS('Comp2016-2017 (3)'!$G$5:$G$289,'Comp2016-2017 (3)'!$A$5:$A$289,$D1185,'Comp2016-2017 (3)'!$R$5:$R$289,$V1185)*$AB1185))</f>
        <v/>
      </c>
      <c r="AI1185" s="222" t="str">
        <f>IF($W1185=AI$3,$AB1185,IF(NOT($W1185=0),"",SUMIFS('Val-Vol (2)'!AI$4:AI$1858,'Val-Vol (2)'!$A$4:$A$1858,$D1185,'Val-Vol (2)'!$V$4:$V$1858,$V1185)/SUMIFS('Comp2016-2017 (3)'!$G$5:$G$289,'Comp2016-2017 (3)'!$A$5:$A$289,$D1185,'Comp2016-2017 (3)'!$R$5:$R$289,$V1185)*$AB1185))</f>
        <v/>
      </c>
      <c r="AJ1185" s="222" t="str">
        <f>IF($W1185=AJ$3,$AB1185,IF(NOT($W1185=0),"",SUMIFS('Val-Vol (2)'!AJ$4:AJ$1858,'Val-Vol (2)'!$A$4:$A$1858,$D1185,'Val-Vol (2)'!$V$4:$V$1858,$V1185)/SUMIFS('Comp2016-2017 (3)'!$G$5:$G$289,'Comp2016-2017 (3)'!$A$5:$A$289,$D1185,'Comp2016-2017 (3)'!$R$5:$R$289,$V1185)*$AB1185))</f>
        <v/>
      </c>
      <c r="AK1185" s="222">
        <f t="shared" si="149"/>
        <v>0</v>
      </c>
      <c r="AL1185" s="212" t="str">
        <f t="shared" si="150"/>
        <v/>
      </c>
      <c r="AM1185" s="212" t="str">
        <f>VLOOKUP(A1185,'Table corresp.'!$M$4:$U$63,8,FALSE)</f>
        <v>Production intermédiaire</v>
      </c>
      <c r="AN1185" s="212" t="str">
        <f>VLOOKUP(D1185,'Table corresp.'!$M$4:$U$63,9,FALSE)</f>
        <v>Production finale</v>
      </c>
    </row>
    <row r="1186" spans="1:40" x14ac:dyDescent="0.25">
      <c r="A1186" t="s">
        <v>4</v>
      </c>
      <c r="B1186" t="str">
        <f>VLOOKUP(LEFT(A1186,3),'Table corresp.'!$A$4:$D$63,3,FALSE)</f>
        <v>Transformation</v>
      </c>
      <c r="C1186" t="str">
        <f>VLOOKUP(A1186,'Table corresp.'!$M$4:$P$63,4,FALSE)</f>
        <v>Production et transformation de produits bois</v>
      </c>
      <c r="D1186" t="s">
        <v>16</v>
      </c>
      <c r="E1186" t="str">
        <f>VLOOKUP(LEFT(D1186,3),'Table corresp.'!$A$4:$D$63,4,FALSE)</f>
        <v>Transformation</v>
      </c>
      <c r="F1186" t="str">
        <f t="shared" si="146"/>
        <v xml:space="preserve">08  - 36 </v>
      </c>
      <c r="G1186" s="213">
        <v>5527.5005549601065</v>
      </c>
      <c r="H1186" s="213">
        <v>1804.4960574718993</v>
      </c>
      <c r="I1186" s="213">
        <v>7331.9966124320053</v>
      </c>
      <c r="J1186" s="215">
        <v>18.370741540723788</v>
      </c>
      <c r="K1186" s="215">
        <v>4.6865926738031725</v>
      </c>
      <c r="L1186" s="215">
        <v>23.057334214526961</v>
      </c>
      <c r="M1186" s="215"/>
      <c r="N1186" s="215"/>
      <c r="O1186" s="215"/>
      <c r="P1186" s="215"/>
      <c r="Q1186" s="215"/>
      <c r="R1186" s="215"/>
      <c r="S1186" s="213"/>
      <c r="T1186" s="212">
        <f>VLOOKUP(A1186,'Groupe de branches'!$Z$27:$AM$86,14,FALSE)</f>
        <v>0</v>
      </c>
      <c r="U1186" s="212">
        <f>VLOOKUP(D1186,'Groupe de branches'!$Z$27:$AM$86,14,FALSE)</f>
        <v>0</v>
      </c>
      <c r="V1186" s="212">
        <v>2019</v>
      </c>
      <c r="W1186" s="212" t="str">
        <f>VLOOKUP(D1186,'Table corresp.'!$M$4:$S$63,7,FALSE)</f>
        <v>Construction</v>
      </c>
      <c r="X1186" s="228">
        <f>IFERROR(G1186/SUMIFS('Comp2016-2017 (3)'!$I$5:$I$289,'Comp2016-2017 (3)'!$A$5:$A$289,A1186,'Comp2016-2017 (3)'!$R$5:$R$289,V1186),0)</f>
        <v>1.1427045396702962E-2</v>
      </c>
      <c r="Y1186" s="214" t="e">
        <f>IF(RIGHT(F1186,3)="Exp",VLOOKUP(F1186,#REF!,2,FALSE),VLOOKUP(F1186,#REF!,9,FALSE))</f>
        <v>#REF!</v>
      </c>
      <c r="Z1186" s="225" t="str">
        <f t="shared" si="151"/>
        <v/>
      </c>
      <c r="AA1186" s="225" t="e">
        <f t="shared" si="148"/>
        <v>#VALUE!</v>
      </c>
      <c r="AB1186" s="222">
        <f>IFERROR(SUMIFS('Comp2016-2017 (3)'!$G$5:$G$289,'Comp2016-2017 (3)'!$A$5:$A$289,A1186,'Comp2016-2017 (3)'!$R$5:$R$289,V1186)*AA1186/SUMIFS($AA$4:$AA$1858,$A$4:$A$1858,A1186,$V$4:$V$1858,V1186),0)</f>
        <v>0</v>
      </c>
      <c r="AC1186" s="222" t="str">
        <f>IF($W1186=AC$3,$AB1186,IF(NOT($W1186=0),"",SUMIFS('Val-Vol (2)'!AC$4:AC$1858,'Val-Vol (2)'!$A$4:$A$1858,$D1186,'Val-Vol (2)'!$V$4:$V$1858,$V1186)/SUMIFS('Comp2016-2017 (3)'!$G$5:$G$289,'Comp2016-2017 (3)'!$A$5:$A$289,$D1186,'Comp2016-2017 (3)'!$R$5:$R$289,$V1186)*$AB1186))</f>
        <v/>
      </c>
      <c r="AD1186" s="222">
        <f>IF($W1186=AD$3,$AB1186,IF(NOT($W1186=0),"",SUMIFS('Val-Vol (2)'!AD$4:AD$1858,'Val-Vol (2)'!$A$4:$A$1858,$D1186,'Val-Vol (2)'!$V$4:$V$1858,$V1186)/SUMIFS('Comp2016-2017 (3)'!$G$5:$G$289,'Comp2016-2017 (3)'!$A$5:$A$289,$D1186,'Comp2016-2017 (3)'!$R$5:$R$289,$V1186)*$AB1186))</f>
        <v>0</v>
      </c>
      <c r="AE1186" s="222" t="str">
        <f>IF($W1186=AE$3,$AB1186,IF(NOT($W1186=0),"",SUMIFS('Val-Vol (2)'!AE$4:AE$1858,'Val-Vol (2)'!$A$4:$A$1858,$D1186,'Val-Vol (2)'!$V$4:$V$1858,$V1186)/SUMIFS('Comp2016-2017 (3)'!$G$5:$G$289,'Comp2016-2017 (3)'!$A$5:$A$289,$D1186,'Comp2016-2017 (3)'!$R$5:$R$289,$V1186)*$AB1186))</f>
        <v/>
      </c>
      <c r="AF1186" s="222" t="str">
        <f>IF($W1186=AF$3,$AB1186,IF(NOT($W1186=0),"",SUMIFS('Val-Vol (2)'!AF$4:AF$1858,'Val-Vol (2)'!$A$4:$A$1858,$D1186,'Val-Vol (2)'!$V$4:$V$1858,$V1186)/SUMIFS('Comp2016-2017 (3)'!$G$5:$G$289,'Comp2016-2017 (3)'!$A$5:$A$289,$D1186,'Comp2016-2017 (3)'!$R$5:$R$289,$V1186)*$AB1186))</f>
        <v/>
      </c>
      <c r="AG1186" s="222" t="str">
        <f>IF($W1186=AG$3,$AB1186,IF(NOT($W1186=0),"",SUMIFS('Val-Vol (2)'!AG$4:AG$1858,'Val-Vol (2)'!$A$4:$A$1858,$D1186,'Val-Vol (2)'!$V$4:$V$1858,$V1186)/SUMIFS('Comp2016-2017 (3)'!$G$5:$G$289,'Comp2016-2017 (3)'!$A$5:$A$289,$D1186,'Comp2016-2017 (3)'!$R$5:$R$289,$V1186)*$AB1186))</f>
        <v/>
      </c>
      <c r="AH1186" s="222" t="str">
        <f>IF($W1186=AH$3,$AB1186,IF(NOT($W1186=0),"",SUMIFS('Val-Vol (2)'!AH$4:AH$1858,'Val-Vol (2)'!$A$4:$A$1858,$D1186,'Val-Vol (2)'!$V$4:$V$1858,$V1186)/SUMIFS('Comp2016-2017 (3)'!$G$5:$G$289,'Comp2016-2017 (3)'!$A$5:$A$289,$D1186,'Comp2016-2017 (3)'!$R$5:$R$289,$V1186)*$AB1186))</f>
        <v/>
      </c>
      <c r="AI1186" s="222" t="str">
        <f>IF($W1186=AI$3,$AB1186,IF(NOT($W1186=0),"",SUMIFS('Val-Vol (2)'!AI$4:AI$1858,'Val-Vol (2)'!$A$4:$A$1858,$D1186,'Val-Vol (2)'!$V$4:$V$1858,$V1186)/SUMIFS('Comp2016-2017 (3)'!$G$5:$G$289,'Comp2016-2017 (3)'!$A$5:$A$289,$D1186,'Comp2016-2017 (3)'!$R$5:$R$289,$V1186)*$AB1186))</f>
        <v/>
      </c>
      <c r="AJ1186" s="222" t="str">
        <f>IF($W1186=AJ$3,$AB1186,IF(NOT($W1186=0),"",SUMIFS('Val-Vol (2)'!AJ$4:AJ$1858,'Val-Vol (2)'!$A$4:$A$1858,$D1186,'Val-Vol (2)'!$V$4:$V$1858,$V1186)/SUMIFS('Comp2016-2017 (3)'!$G$5:$G$289,'Comp2016-2017 (3)'!$A$5:$A$289,$D1186,'Comp2016-2017 (3)'!$R$5:$R$289,$V1186)*$AB1186))</f>
        <v/>
      </c>
      <c r="AK1186" s="222">
        <f t="shared" si="149"/>
        <v>0</v>
      </c>
      <c r="AL1186" s="212" t="str">
        <f t="shared" si="150"/>
        <v/>
      </c>
      <c r="AM1186" s="212" t="str">
        <f>VLOOKUP(A1186,'Table corresp.'!$M$4:$U$63,8,FALSE)</f>
        <v>Production intermédiaire</v>
      </c>
      <c r="AN1186" s="212" t="str">
        <f>VLOOKUP(D1186,'Table corresp.'!$M$4:$U$63,9,FALSE)</f>
        <v>Production finale</v>
      </c>
    </row>
    <row r="1187" spans="1:40" x14ac:dyDescent="0.25">
      <c r="A1187" t="s">
        <v>4</v>
      </c>
      <c r="B1187" t="str">
        <f>VLOOKUP(LEFT(A1187,3),'Table corresp.'!$A$4:$D$63,3,FALSE)</f>
        <v>Transformation</v>
      </c>
      <c r="C1187" t="str">
        <f>VLOOKUP(A1187,'Table corresp.'!$M$4:$P$63,4,FALSE)</f>
        <v>Production et transformation de produits bois</v>
      </c>
      <c r="D1187" t="s">
        <v>92</v>
      </c>
      <c r="E1187" t="str">
        <f>VLOOKUP(LEFT(D1187,3),'Table corresp.'!$A$4:$D$63,4,FALSE)</f>
        <v>Transformation</v>
      </c>
      <c r="F1187" t="str">
        <f t="shared" si="146"/>
        <v xml:space="preserve">08  - 40 </v>
      </c>
      <c r="G1187" s="213">
        <v>2207.8297365203407</v>
      </c>
      <c r="H1187" s="213">
        <v>0</v>
      </c>
      <c r="I1187" s="213">
        <v>2207.8297365203407</v>
      </c>
      <c r="J1187" s="215">
        <v>9.3389665781383968</v>
      </c>
      <c r="K1187" s="215">
        <v>0</v>
      </c>
      <c r="L1187" s="215">
        <v>9.3389665781383968</v>
      </c>
      <c r="M1187" s="215"/>
      <c r="N1187" s="215"/>
      <c r="O1187" s="215"/>
      <c r="P1187" s="215"/>
      <c r="Q1187" s="215"/>
      <c r="R1187" s="215"/>
      <c r="S1187" s="213"/>
      <c r="T1187" s="212">
        <f>VLOOKUP(A1187,'Groupe de branches'!$Z$27:$AM$86,14,FALSE)</f>
        <v>0</v>
      </c>
      <c r="U1187" s="212">
        <f>VLOOKUP(D1187,'Groupe de branches'!$Z$27:$AM$86,14,FALSE)</f>
        <v>0</v>
      </c>
      <c r="V1187" s="212">
        <v>2019</v>
      </c>
      <c r="W1187" s="212" t="str">
        <f>VLOOKUP(D1187,'Table corresp.'!$M$4:$S$63,7,FALSE)</f>
        <v>Construction</v>
      </c>
      <c r="X1187" s="228">
        <f>IFERROR(G1187/SUMIFS('Comp2016-2017 (3)'!$I$5:$I$289,'Comp2016-2017 (3)'!$A$5:$A$289,A1187,'Comp2016-2017 (3)'!$R$5:$R$289,V1187),0)</f>
        <v>4.5642637891314987E-3</v>
      </c>
      <c r="Y1187" s="214" t="e">
        <f>IF(RIGHT(F1187,3)="Exp",VLOOKUP(F1187,#REF!,2,FALSE),VLOOKUP(F1187,#REF!,9,FALSE))</f>
        <v>#REF!</v>
      </c>
      <c r="Z1187" s="225" t="str">
        <f t="shared" si="151"/>
        <v/>
      </c>
      <c r="AA1187" s="225" t="e">
        <f t="shared" si="148"/>
        <v>#VALUE!</v>
      </c>
      <c r="AB1187" s="222">
        <f>IFERROR(SUMIFS('Comp2016-2017 (3)'!$G$5:$G$289,'Comp2016-2017 (3)'!$A$5:$A$289,A1187,'Comp2016-2017 (3)'!$R$5:$R$289,V1187)*AA1187/SUMIFS($AA$4:$AA$1858,$A$4:$A$1858,A1187,$V$4:$V$1858,V1187),0)</f>
        <v>0</v>
      </c>
      <c r="AC1187" s="222" t="str">
        <f>IF($W1187=AC$3,$AB1187,IF(NOT($W1187=0),"",SUMIFS('Val-Vol (2)'!AC$4:AC$1858,'Val-Vol (2)'!$A$4:$A$1858,$D1187,'Val-Vol (2)'!$V$4:$V$1858,$V1187)/SUMIFS('Comp2016-2017 (3)'!$G$5:$G$289,'Comp2016-2017 (3)'!$A$5:$A$289,$D1187,'Comp2016-2017 (3)'!$R$5:$R$289,$V1187)*$AB1187))</f>
        <v/>
      </c>
      <c r="AD1187" s="222">
        <f>IF($W1187=AD$3,$AB1187,IF(NOT($W1187=0),"",SUMIFS('Val-Vol (2)'!AD$4:AD$1858,'Val-Vol (2)'!$A$4:$A$1858,$D1187,'Val-Vol (2)'!$V$4:$V$1858,$V1187)/SUMIFS('Comp2016-2017 (3)'!$G$5:$G$289,'Comp2016-2017 (3)'!$A$5:$A$289,$D1187,'Comp2016-2017 (3)'!$R$5:$R$289,$V1187)*$AB1187))</f>
        <v>0</v>
      </c>
      <c r="AE1187" s="222" t="str">
        <f>IF($W1187=AE$3,$AB1187,IF(NOT($W1187=0),"",SUMIFS('Val-Vol (2)'!AE$4:AE$1858,'Val-Vol (2)'!$A$4:$A$1858,$D1187,'Val-Vol (2)'!$V$4:$V$1858,$V1187)/SUMIFS('Comp2016-2017 (3)'!$G$5:$G$289,'Comp2016-2017 (3)'!$A$5:$A$289,$D1187,'Comp2016-2017 (3)'!$R$5:$R$289,$V1187)*$AB1187))</f>
        <v/>
      </c>
      <c r="AF1187" s="222" t="str">
        <f>IF($W1187=AF$3,$AB1187,IF(NOT($W1187=0),"",SUMIFS('Val-Vol (2)'!AF$4:AF$1858,'Val-Vol (2)'!$A$4:$A$1858,$D1187,'Val-Vol (2)'!$V$4:$V$1858,$V1187)/SUMIFS('Comp2016-2017 (3)'!$G$5:$G$289,'Comp2016-2017 (3)'!$A$5:$A$289,$D1187,'Comp2016-2017 (3)'!$R$5:$R$289,$V1187)*$AB1187))</f>
        <v/>
      </c>
      <c r="AG1187" s="222" t="str">
        <f>IF($W1187=AG$3,$AB1187,IF(NOT($W1187=0),"",SUMIFS('Val-Vol (2)'!AG$4:AG$1858,'Val-Vol (2)'!$A$4:$A$1858,$D1187,'Val-Vol (2)'!$V$4:$V$1858,$V1187)/SUMIFS('Comp2016-2017 (3)'!$G$5:$G$289,'Comp2016-2017 (3)'!$A$5:$A$289,$D1187,'Comp2016-2017 (3)'!$R$5:$R$289,$V1187)*$AB1187))</f>
        <v/>
      </c>
      <c r="AH1187" s="222" t="str">
        <f>IF($W1187=AH$3,$AB1187,IF(NOT($W1187=0),"",SUMIFS('Val-Vol (2)'!AH$4:AH$1858,'Val-Vol (2)'!$A$4:$A$1858,$D1187,'Val-Vol (2)'!$V$4:$V$1858,$V1187)/SUMIFS('Comp2016-2017 (3)'!$G$5:$G$289,'Comp2016-2017 (3)'!$A$5:$A$289,$D1187,'Comp2016-2017 (3)'!$R$5:$R$289,$V1187)*$AB1187))</f>
        <v/>
      </c>
      <c r="AI1187" s="222" t="str">
        <f>IF($W1187=AI$3,$AB1187,IF(NOT($W1187=0),"",SUMIFS('Val-Vol (2)'!AI$4:AI$1858,'Val-Vol (2)'!$A$4:$A$1858,$D1187,'Val-Vol (2)'!$V$4:$V$1858,$V1187)/SUMIFS('Comp2016-2017 (3)'!$G$5:$G$289,'Comp2016-2017 (3)'!$A$5:$A$289,$D1187,'Comp2016-2017 (3)'!$R$5:$R$289,$V1187)*$AB1187))</f>
        <v/>
      </c>
      <c r="AJ1187" s="222" t="str">
        <f>IF($W1187=AJ$3,$AB1187,IF(NOT($W1187=0),"",SUMIFS('Val-Vol (2)'!AJ$4:AJ$1858,'Val-Vol (2)'!$A$4:$A$1858,$D1187,'Val-Vol (2)'!$V$4:$V$1858,$V1187)/SUMIFS('Comp2016-2017 (3)'!$G$5:$G$289,'Comp2016-2017 (3)'!$A$5:$A$289,$D1187,'Comp2016-2017 (3)'!$R$5:$R$289,$V1187)*$AB1187))</f>
        <v/>
      </c>
      <c r="AK1187" s="222">
        <f t="shared" si="149"/>
        <v>0</v>
      </c>
      <c r="AL1187" s="212" t="str">
        <f t="shared" si="150"/>
        <v/>
      </c>
      <c r="AM1187" s="212" t="str">
        <f>VLOOKUP(A1187,'Table corresp.'!$M$4:$U$63,8,FALSE)</f>
        <v>Production intermédiaire</v>
      </c>
      <c r="AN1187" s="212" t="str">
        <f>VLOOKUP(D1187,'Table corresp.'!$M$4:$U$63,9,FALSE)</f>
        <v>Production finale</v>
      </c>
    </row>
    <row r="1188" spans="1:40" x14ac:dyDescent="0.25">
      <c r="A1188" t="s">
        <v>4</v>
      </c>
      <c r="B1188" t="str">
        <f>VLOOKUP(LEFT(A1188,3),'Table corresp.'!$A$4:$D$63,3,FALSE)</f>
        <v>Transformation</v>
      </c>
      <c r="C1188" t="str">
        <f>VLOOKUP(A1188,'Table corresp.'!$M$4:$P$63,4,FALSE)</f>
        <v>Production et transformation de produits bois</v>
      </c>
      <c r="D1188" t="s">
        <v>99</v>
      </c>
      <c r="E1188" t="str">
        <f>VLOOKUP(LEFT(D1188,3),'Table corresp.'!$A$4:$D$63,4,FALSE)</f>
        <v>Transformation</v>
      </c>
      <c r="F1188" t="str">
        <f t="shared" si="146"/>
        <v xml:space="preserve">08  - 47 </v>
      </c>
      <c r="G1188" s="213">
        <v>58271.721822901593</v>
      </c>
      <c r="H1188" s="213">
        <v>25805.393962523569</v>
      </c>
      <c r="I1188" s="213">
        <v>84077.115785425165</v>
      </c>
      <c r="J1188" s="215">
        <v>150.62992980246116</v>
      </c>
      <c r="K1188" s="215">
        <v>52.127547899047123</v>
      </c>
      <c r="L1188" s="215">
        <v>202.75747770150829</v>
      </c>
      <c r="M1188" s="215"/>
      <c r="N1188" s="215"/>
      <c r="O1188" s="215"/>
      <c r="P1188" s="215"/>
      <c r="Q1188" s="215"/>
      <c r="R1188" s="215"/>
      <c r="S1188" s="213"/>
      <c r="T1188" s="212">
        <f>VLOOKUP(A1188,'Groupe de branches'!$Z$27:$AM$86,14,FALSE)</f>
        <v>0</v>
      </c>
      <c r="U1188" s="212">
        <f>VLOOKUP(D1188,'Groupe de branches'!$Z$27:$AM$86,14,FALSE)</f>
        <v>0</v>
      </c>
      <c r="V1188" s="212">
        <v>2019</v>
      </c>
      <c r="W1188" s="212" t="str">
        <f>VLOOKUP(D1188,'Table corresp.'!$M$4:$S$63,7,FALSE)</f>
        <v>Meuble</v>
      </c>
      <c r="X1188" s="228">
        <f>IFERROR(G1188/SUMIFS('Comp2016-2017 (3)'!$I$5:$I$289,'Comp2016-2017 (3)'!$A$5:$A$289,A1188,'Comp2016-2017 (3)'!$R$5:$R$289,V1188),0)</f>
        <v>0.12046558910189907</v>
      </c>
      <c r="Y1188" s="214" t="e">
        <f>IF(RIGHT(F1188,3)="Exp",VLOOKUP(F1188,#REF!,2,FALSE),VLOOKUP(F1188,#REF!,9,FALSE))</f>
        <v>#REF!</v>
      </c>
      <c r="Z1188" s="225" t="str">
        <f t="shared" si="151"/>
        <v/>
      </c>
      <c r="AA1188" s="225" t="e">
        <f t="shared" si="148"/>
        <v>#VALUE!</v>
      </c>
      <c r="AB1188" s="222">
        <f>IFERROR(SUMIFS('Comp2016-2017 (3)'!$G$5:$G$289,'Comp2016-2017 (3)'!$A$5:$A$289,A1188,'Comp2016-2017 (3)'!$R$5:$R$289,V1188)*AA1188/SUMIFS($AA$4:$AA$1858,$A$4:$A$1858,A1188,$V$4:$V$1858,V1188),0)</f>
        <v>0</v>
      </c>
      <c r="AC1188" s="222" t="str">
        <f>IF($W1188=AC$3,$AB1188,IF(NOT($W1188=0),"",SUMIFS('Val-Vol (2)'!AC$4:AC$1858,'Val-Vol (2)'!$A$4:$A$1858,$D1188,'Val-Vol (2)'!$V$4:$V$1858,$V1188)/SUMIFS('Comp2016-2017 (3)'!$G$5:$G$289,'Comp2016-2017 (3)'!$A$5:$A$289,$D1188,'Comp2016-2017 (3)'!$R$5:$R$289,$V1188)*$AB1188))</f>
        <v/>
      </c>
      <c r="AD1188" s="222" t="str">
        <f>IF($W1188=AD$3,$AB1188,IF(NOT($W1188=0),"",SUMIFS('Val-Vol (2)'!AD$4:AD$1858,'Val-Vol (2)'!$A$4:$A$1858,$D1188,'Val-Vol (2)'!$V$4:$V$1858,$V1188)/SUMIFS('Comp2016-2017 (3)'!$G$5:$G$289,'Comp2016-2017 (3)'!$A$5:$A$289,$D1188,'Comp2016-2017 (3)'!$R$5:$R$289,$V1188)*$AB1188))</f>
        <v/>
      </c>
      <c r="AE1188" s="222">
        <f>IF($W1188=AE$3,$AB1188,IF(NOT($W1188=0),"",SUMIFS('Val-Vol (2)'!AE$4:AE$1858,'Val-Vol (2)'!$A$4:$A$1858,$D1188,'Val-Vol (2)'!$V$4:$V$1858,$V1188)/SUMIFS('Comp2016-2017 (3)'!$G$5:$G$289,'Comp2016-2017 (3)'!$A$5:$A$289,$D1188,'Comp2016-2017 (3)'!$R$5:$R$289,$V1188)*$AB1188))</f>
        <v>0</v>
      </c>
      <c r="AF1188" s="222" t="str">
        <f>IF($W1188=AF$3,$AB1188,IF(NOT($W1188=0),"",SUMIFS('Val-Vol (2)'!AF$4:AF$1858,'Val-Vol (2)'!$A$4:$A$1858,$D1188,'Val-Vol (2)'!$V$4:$V$1858,$V1188)/SUMIFS('Comp2016-2017 (3)'!$G$5:$G$289,'Comp2016-2017 (3)'!$A$5:$A$289,$D1188,'Comp2016-2017 (3)'!$R$5:$R$289,$V1188)*$AB1188))</f>
        <v/>
      </c>
      <c r="AG1188" s="222" t="str">
        <f>IF($W1188=AG$3,$AB1188,IF(NOT($W1188=0),"",SUMIFS('Val-Vol (2)'!AG$4:AG$1858,'Val-Vol (2)'!$A$4:$A$1858,$D1188,'Val-Vol (2)'!$V$4:$V$1858,$V1188)/SUMIFS('Comp2016-2017 (3)'!$G$5:$G$289,'Comp2016-2017 (3)'!$A$5:$A$289,$D1188,'Comp2016-2017 (3)'!$R$5:$R$289,$V1188)*$AB1188))</f>
        <v/>
      </c>
      <c r="AH1188" s="222" t="str">
        <f>IF($W1188=AH$3,$AB1188,IF(NOT($W1188=0),"",SUMIFS('Val-Vol (2)'!AH$4:AH$1858,'Val-Vol (2)'!$A$4:$A$1858,$D1188,'Val-Vol (2)'!$V$4:$V$1858,$V1188)/SUMIFS('Comp2016-2017 (3)'!$G$5:$G$289,'Comp2016-2017 (3)'!$A$5:$A$289,$D1188,'Comp2016-2017 (3)'!$R$5:$R$289,$V1188)*$AB1188))</f>
        <v/>
      </c>
      <c r="AI1188" s="222" t="str">
        <f>IF($W1188=AI$3,$AB1188,IF(NOT($W1188=0),"",SUMIFS('Val-Vol (2)'!AI$4:AI$1858,'Val-Vol (2)'!$A$4:$A$1858,$D1188,'Val-Vol (2)'!$V$4:$V$1858,$V1188)/SUMIFS('Comp2016-2017 (3)'!$G$5:$G$289,'Comp2016-2017 (3)'!$A$5:$A$289,$D1188,'Comp2016-2017 (3)'!$R$5:$R$289,$V1188)*$AB1188))</f>
        <v/>
      </c>
      <c r="AJ1188" s="222" t="str">
        <f>IF($W1188=AJ$3,$AB1188,IF(NOT($W1188=0),"",SUMIFS('Val-Vol (2)'!AJ$4:AJ$1858,'Val-Vol (2)'!$A$4:$A$1858,$D1188,'Val-Vol (2)'!$V$4:$V$1858,$V1188)/SUMIFS('Comp2016-2017 (3)'!$G$5:$G$289,'Comp2016-2017 (3)'!$A$5:$A$289,$D1188,'Comp2016-2017 (3)'!$R$5:$R$289,$V1188)*$AB1188))</f>
        <v/>
      </c>
      <c r="AK1188" s="222">
        <f t="shared" si="149"/>
        <v>0</v>
      </c>
      <c r="AL1188" s="212" t="str">
        <f t="shared" si="150"/>
        <v/>
      </c>
      <c r="AM1188" s="212" t="str">
        <f>VLOOKUP(A1188,'Table corresp.'!$M$4:$U$63,8,FALSE)</f>
        <v>Production intermédiaire</v>
      </c>
      <c r="AN1188" s="212" t="str">
        <f>VLOOKUP(D1188,'Table corresp.'!$M$4:$U$63,9,FALSE)</f>
        <v>Production finale</v>
      </c>
    </row>
    <row r="1189" spans="1:40" x14ac:dyDescent="0.25">
      <c r="A1189" t="s">
        <v>4</v>
      </c>
      <c r="B1189" t="str">
        <f>VLOOKUP(LEFT(A1189,3),'Table corresp.'!$A$4:$D$63,3,FALSE)</f>
        <v>Transformation</v>
      </c>
      <c r="C1189" t="str">
        <f>VLOOKUP(A1189,'Table corresp.'!$M$4:$P$63,4,FALSE)</f>
        <v>Production et transformation de produits bois</v>
      </c>
      <c r="D1189" t="s">
        <v>100</v>
      </c>
      <c r="E1189" t="str">
        <f>VLOOKUP(LEFT(D1189,3),'Table corresp.'!$A$4:$D$63,4,FALSE)</f>
        <v>Transformation</v>
      </c>
      <c r="F1189" t="str">
        <f t="shared" si="146"/>
        <v xml:space="preserve">08  - 48 </v>
      </c>
      <c r="G1189" s="213">
        <v>55781.702311855792</v>
      </c>
      <c r="H1189" s="213">
        <v>0</v>
      </c>
      <c r="I1189" s="213">
        <v>55781.702311855799</v>
      </c>
      <c r="J1189" s="215">
        <v>129.77400146386151</v>
      </c>
      <c r="K1189" s="215">
        <v>0</v>
      </c>
      <c r="L1189" s="215">
        <v>129.77400146386151</v>
      </c>
      <c r="M1189" s="215"/>
      <c r="N1189" s="215"/>
      <c r="O1189" s="215"/>
      <c r="P1189" s="215"/>
      <c r="Q1189" s="215"/>
      <c r="R1189" s="215"/>
      <c r="S1189" s="213"/>
      <c r="T1189" s="212">
        <f>VLOOKUP(A1189,'Groupe de branches'!$Z$27:$AM$86,14,FALSE)</f>
        <v>0</v>
      </c>
      <c r="U1189" s="212">
        <f>VLOOKUP(D1189,'Groupe de branches'!$Z$27:$AM$86,14,FALSE)</f>
        <v>0</v>
      </c>
      <c r="V1189" s="212">
        <v>2019</v>
      </c>
      <c r="W1189" s="212" t="str">
        <f>VLOOKUP(D1189,'Table corresp.'!$M$4:$S$63,7,FALSE)</f>
        <v>Produits de consommation courante</v>
      </c>
      <c r="X1189" s="228">
        <f>IFERROR(G1189/SUMIFS('Comp2016-2017 (3)'!$I$5:$I$289,'Comp2016-2017 (3)'!$A$5:$A$289,A1189,'Comp2016-2017 (3)'!$R$5:$R$289,V1189),0)</f>
        <v>0.11531795217115944</v>
      </c>
      <c r="Y1189" s="214" t="e">
        <f>IF(RIGHT(F1189,3)="Exp",VLOOKUP(F1189,#REF!,2,FALSE),VLOOKUP(F1189,#REF!,9,FALSE))</f>
        <v>#REF!</v>
      </c>
      <c r="Z1189" s="225" t="str">
        <f t="shared" si="151"/>
        <v/>
      </c>
      <c r="AA1189" s="225" t="e">
        <f t="shared" si="148"/>
        <v>#VALUE!</v>
      </c>
      <c r="AB1189" s="222">
        <f>IFERROR(SUMIFS('Comp2016-2017 (3)'!$G$5:$G$289,'Comp2016-2017 (3)'!$A$5:$A$289,A1189,'Comp2016-2017 (3)'!$R$5:$R$289,V1189)*AA1189/SUMIFS($AA$4:$AA$1858,$A$4:$A$1858,A1189,$V$4:$V$1858,V1189),0)</f>
        <v>0</v>
      </c>
      <c r="AC1189" s="222" t="str">
        <f>IF($W1189=AC$3,$AB1189,IF(NOT($W1189=0),"",SUMIFS('Val-Vol (2)'!AC$4:AC$1858,'Val-Vol (2)'!$A$4:$A$1858,$D1189,'Val-Vol (2)'!$V$4:$V$1858,$V1189)/SUMIFS('Comp2016-2017 (3)'!$G$5:$G$289,'Comp2016-2017 (3)'!$A$5:$A$289,$D1189,'Comp2016-2017 (3)'!$R$5:$R$289,$V1189)*$AB1189))</f>
        <v/>
      </c>
      <c r="AD1189" s="222" t="str">
        <f>IF($W1189=AD$3,$AB1189,IF(NOT($W1189=0),"",SUMIFS('Val-Vol (2)'!AD$4:AD$1858,'Val-Vol (2)'!$A$4:$A$1858,$D1189,'Val-Vol (2)'!$V$4:$V$1858,$V1189)/SUMIFS('Comp2016-2017 (3)'!$G$5:$G$289,'Comp2016-2017 (3)'!$A$5:$A$289,$D1189,'Comp2016-2017 (3)'!$R$5:$R$289,$V1189)*$AB1189))</f>
        <v/>
      </c>
      <c r="AE1189" s="222" t="str">
        <f>IF($W1189=AE$3,$AB1189,IF(NOT($W1189=0),"",SUMIFS('Val-Vol (2)'!AE$4:AE$1858,'Val-Vol (2)'!$A$4:$A$1858,$D1189,'Val-Vol (2)'!$V$4:$V$1858,$V1189)/SUMIFS('Comp2016-2017 (3)'!$G$5:$G$289,'Comp2016-2017 (3)'!$A$5:$A$289,$D1189,'Comp2016-2017 (3)'!$R$5:$R$289,$V1189)*$AB1189))</f>
        <v/>
      </c>
      <c r="AF1189" s="222" t="str">
        <f>IF($W1189=AF$3,$AB1189,IF(NOT($W1189=0),"",SUMIFS('Val-Vol (2)'!AF$4:AF$1858,'Val-Vol (2)'!$A$4:$A$1858,$D1189,'Val-Vol (2)'!$V$4:$V$1858,$V1189)/SUMIFS('Comp2016-2017 (3)'!$G$5:$G$289,'Comp2016-2017 (3)'!$A$5:$A$289,$D1189,'Comp2016-2017 (3)'!$R$5:$R$289,$V1189)*$AB1189))</f>
        <v/>
      </c>
      <c r="AG1189" s="222" t="str">
        <f>IF($W1189=AG$3,$AB1189,IF(NOT($W1189=0),"",SUMIFS('Val-Vol (2)'!AG$4:AG$1858,'Val-Vol (2)'!$A$4:$A$1858,$D1189,'Val-Vol (2)'!$V$4:$V$1858,$V1189)/SUMIFS('Comp2016-2017 (3)'!$G$5:$G$289,'Comp2016-2017 (3)'!$A$5:$A$289,$D1189,'Comp2016-2017 (3)'!$R$5:$R$289,$V1189)*$AB1189))</f>
        <v/>
      </c>
      <c r="AH1189" s="222" t="str">
        <f>IF($W1189=AH$3,$AB1189,IF(NOT($W1189=0),"",SUMIFS('Val-Vol (2)'!AH$4:AH$1858,'Val-Vol (2)'!$A$4:$A$1858,$D1189,'Val-Vol (2)'!$V$4:$V$1858,$V1189)/SUMIFS('Comp2016-2017 (3)'!$G$5:$G$289,'Comp2016-2017 (3)'!$A$5:$A$289,$D1189,'Comp2016-2017 (3)'!$R$5:$R$289,$V1189)*$AB1189))</f>
        <v/>
      </c>
      <c r="AI1189" s="222">
        <f>IF($W1189=AI$3,$AB1189,IF(NOT($W1189=0),"",SUMIFS('Val-Vol (2)'!AI$4:AI$1858,'Val-Vol (2)'!$A$4:$A$1858,$D1189,'Val-Vol (2)'!$V$4:$V$1858,$V1189)/SUMIFS('Comp2016-2017 (3)'!$G$5:$G$289,'Comp2016-2017 (3)'!$A$5:$A$289,$D1189,'Comp2016-2017 (3)'!$R$5:$R$289,$V1189)*$AB1189))</f>
        <v>0</v>
      </c>
      <c r="AJ1189" s="222" t="str">
        <f>IF($W1189=AJ$3,$AB1189,IF(NOT($W1189=0),"",SUMIFS('Val-Vol (2)'!AJ$4:AJ$1858,'Val-Vol (2)'!$A$4:$A$1858,$D1189,'Val-Vol (2)'!$V$4:$V$1858,$V1189)/SUMIFS('Comp2016-2017 (3)'!$G$5:$G$289,'Comp2016-2017 (3)'!$A$5:$A$289,$D1189,'Comp2016-2017 (3)'!$R$5:$R$289,$V1189)*$AB1189))</f>
        <v/>
      </c>
      <c r="AK1189" s="222">
        <f t="shared" si="149"/>
        <v>0</v>
      </c>
      <c r="AL1189" s="212" t="str">
        <f t="shared" si="150"/>
        <v/>
      </c>
      <c r="AM1189" s="212" t="str">
        <f>VLOOKUP(A1189,'Table corresp.'!$M$4:$U$63,8,FALSE)</f>
        <v>Production intermédiaire</v>
      </c>
      <c r="AN1189" s="212" t="str">
        <f>VLOOKUP(D1189,'Table corresp.'!$M$4:$U$63,9,FALSE)</f>
        <v>Production finale</v>
      </c>
    </row>
    <row r="1190" spans="1:40" x14ac:dyDescent="0.25">
      <c r="A1190" t="s">
        <v>4</v>
      </c>
      <c r="B1190" t="str">
        <f>VLOOKUP(LEFT(A1190,3),'Table corresp.'!$A$4:$D$63,3,FALSE)</f>
        <v>Transformation</v>
      </c>
      <c r="C1190" t="str">
        <f>VLOOKUP(A1190,'Table corresp.'!$M$4:$P$63,4,FALSE)</f>
        <v>Production et transformation de produits bois</v>
      </c>
      <c r="D1190" t="s">
        <v>19</v>
      </c>
      <c r="E1190" t="str">
        <f>VLOOKUP(LEFT(D1190,3),'Table corresp.'!$A$4:$D$63,4,FALSE)</f>
        <v>Transformation</v>
      </c>
      <c r="F1190" t="str">
        <f t="shared" si="146"/>
        <v xml:space="preserve">08  - 52 </v>
      </c>
      <c r="G1190" s="213">
        <v>33806.233449189553</v>
      </c>
      <c r="H1190" s="213">
        <v>0</v>
      </c>
      <c r="I1190" s="213">
        <v>33806.233449189553</v>
      </c>
      <c r="J1190" s="215">
        <v>196.62227967675</v>
      </c>
      <c r="K1190" s="215">
        <v>0</v>
      </c>
      <c r="L1190" s="215">
        <v>196.62227967675</v>
      </c>
      <c r="M1190" s="215"/>
      <c r="N1190" s="215"/>
      <c r="O1190" s="215"/>
      <c r="P1190" s="215"/>
      <c r="Q1190" s="215"/>
      <c r="R1190" s="215"/>
      <c r="S1190" s="213"/>
      <c r="T1190" s="212">
        <f>VLOOKUP(A1190,'Groupe de branches'!$Z$27:$AM$86,14,FALSE)</f>
        <v>0</v>
      </c>
      <c r="U1190" s="212">
        <f>VLOOKUP(D1190,'Groupe de branches'!$Z$27:$AM$86,14,FALSE)</f>
        <v>0</v>
      </c>
      <c r="V1190" s="212">
        <v>2019</v>
      </c>
      <c r="W1190" s="212" t="str">
        <f>VLOOKUP(D1190,'Table corresp.'!$M$4:$S$63,7,FALSE)</f>
        <v>Construction</v>
      </c>
      <c r="X1190" s="228">
        <f>IFERROR(G1190/SUMIFS('Comp2016-2017 (3)'!$I$5:$I$289,'Comp2016-2017 (3)'!$A$5:$A$289,A1190,'Comp2016-2017 (3)'!$R$5:$R$289,V1190),0)</f>
        <v>6.9887892452362724E-2</v>
      </c>
      <c r="Y1190" s="214" t="e">
        <f>IF(RIGHT(F1190,3)="Exp",VLOOKUP(F1190,#REF!,2,FALSE),VLOOKUP(F1190,#REF!,9,FALSE))</f>
        <v>#REF!</v>
      </c>
      <c r="Z1190" s="225" t="str">
        <f t="shared" si="151"/>
        <v/>
      </c>
      <c r="AA1190" s="225" t="e">
        <f t="shared" si="148"/>
        <v>#VALUE!</v>
      </c>
      <c r="AB1190" s="222">
        <f>IFERROR(SUMIFS('Comp2016-2017 (3)'!$G$5:$G$289,'Comp2016-2017 (3)'!$A$5:$A$289,A1190,'Comp2016-2017 (3)'!$R$5:$R$289,V1190)*AA1190/SUMIFS($AA$4:$AA$1858,$A$4:$A$1858,A1190,$V$4:$V$1858,V1190),0)</f>
        <v>0</v>
      </c>
      <c r="AC1190" s="222" t="str">
        <f>IF($W1190=AC$3,$AB1190,IF(NOT($W1190=0),"",SUMIFS('Val-Vol (2)'!AC$4:AC$1858,'Val-Vol (2)'!$A$4:$A$1858,$D1190,'Val-Vol (2)'!$V$4:$V$1858,$V1190)/SUMIFS('Comp2016-2017 (3)'!$G$5:$G$289,'Comp2016-2017 (3)'!$A$5:$A$289,$D1190,'Comp2016-2017 (3)'!$R$5:$R$289,$V1190)*$AB1190))</f>
        <v/>
      </c>
      <c r="AD1190" s="222">
        <f>IF($W1190=AD$3,$AB1190,IF(NOT($W1190=0),"",SUMIFS('Val-Vol (2)'!AD$4:AD$1858,'Val-Vol (2)'!$A$4:$A$1858,$D1190,'Val-Vol (2)'!$V$4:$V$1858,$V1190)/SUMIFS('Comp2016-2017 (3)'!$G$5:$G$289,'Comp2016-2017 (3)'!$A$5:$A$289,$D1190,'Comp2016-2017 (3)'!$R$5:$R$289,$V1190)*$AB1190))</f>
        <v>0</v>
      </c>
      <c r="AE1190" s="222" t="str">
        <f>IF($W1190=AE$3,$AB1190,IF(NOT($W1190=0),"",SUMIFS('Val-Vol (2)'!AE$4:AE$1858,'Val-Vol (2)'!$A$4:$A$1858,$D1190,'Val-Vol (2)'!$V$4:$V$1858,$V1190)/SUMIFS('Comp2016-2017 (3)'!$G$5:$G$289,'Comp2016-2017 (3)'!$A$5:$A$289,$D1190,'Comp2016-2017 (3)'!$R$5:$R$289,$V1190)*$AB1190))</f>
        <v/>
      </c>
      <c r="AF1190" s="222" t="str">
        <f>IF($W1190=AF$3,$AB1190,IF(NOT($W1190=0),"",SUMIFS('Val-Vol (2)'!AF$4:AF$1858,'Val-Vol (2)'!$A$4:$A$1858,$D1190,'Val-Vol (2)'!$V$4:$V$1858,$V1190)/SUMIFS('Comp2016-2017 (3)'!$G$5:$G$289,'Comp2016-2017 (3)'!$A$5:$A$289,$D1190,'Comp2016-2017 (3)'!$R$5:$R$289,$V1190)*$AB1190))</f>
        <v/>
      </c>
      <c r="AG1190" s="222" t="str">
        <f>IF($W1190=AG$3,$AB1190,IF(NOT($W1190=0),"",SUMIFS('Val-Vol (2)'!AG$4:AG$1858,'Val-Vol (2)'!$A$4:$A$1858,$D1190,'Val-Vol (2)'!$V$4:$V$1858,$V1190)/SUMIFS('Comp2016-2017 (3)'!$G$5:$G$289,'Comp2016-2017 (3)'!$A$5:$A$289,$D1190,'Comp2016-2017 (3)'!$R$5:$R$289,$V1190)*$AB1190))</f>
        <v/>
      </c>
      <c r="AH1190" s="222" t="str">
        <f>IF($W1190=AH$3,$AB1190,IF(NOT($W1190=0),"",SUMIFS('Val-Vol (2)'!AH$4:AH$1858,'Val-Vol (2)'!$A$4:$A$1858,$D1190,'Val-Vol (2)'!$V$4:$V$1858,$V1190)/SUMIFS('Comp2016-2017 (3)'!$G$5:$G$289,'Comp2016-2017 (3)'!$A$5:$A$289,$D1190,'Comp2016-2017 (3)'!$R$5:$R$289,$V1190)*$AB1190))</f>
        <v/>
      </c>
      <c r="AI1190" s="222" t="str">
        <f>IF($W1190=AI$3,$AB1190,IF(NOT($W1190=0),"",SUMIFS('Val-Vol (2)'!AI$4:AI$1858,'Val-Vol (2)'!$A$4:$A$1858,$D1190,'Val-Vol (2)'!$V$4:$V$1858,$V1190)/SUMIFS('Comp2016-2017 (3)'!$G$5:$G$289,'Comp2016-2017 (3)'!$A$5:$A$289,$D1190,'Comp2016-2017 (3)'!$R$5:$R$289,$V1190)*$AB1190))</f>
        <v/>
      </c>
      <c r="AJ1190" s="222" t="str">
        <f>IF($W1190=AJ$3,$AB1190,IF(NOT($W1190=0),"",SUMIFS('Val-Vol (2)'!AJ$4:AJ$1858,'Val-Vol (2)'!$A$4:$A$1858,$D1190,'Val-Vol (2)'!$V$4:$V$1858,$V1190)/SUMIFS('Comp2016-2017 (3)'!$G$5:$G$289,'Comp2016-2017 (3)'!$A$5:$A$289,$D1190,'Comp2016-2017 (3)'!$R$5:$R$289,$V1190)*$AB1190))</f>
        <v/>
      </c>
      <c r="AK1190" s="222">
        <f t="shared" si="149"/>
        <v>0</v>
      </c>
      <c r="AL1190" s="212" t="str">
        <f t="shared" si="150"/>
        <v/>
      </c>
      <c r="AM1190" s="212" t="str">
        <f>VLOOKUP(A1190,'Table corresp.'!$M$4:$U$63,8,FALSE)</f>
        <v>Production intermédiaire</v>
      </c>
      <c r="AN1190" s="212" t="str">
        <f>VLOOKUP(D1190,'Table corresp.'!$M$4:$U$63,9,FALSE)</f>
        <v xml:space="preserve">Mise en œuvre </v>
      </c>
    </row>
    <row r="1191" spans="1:40" x14ac:dyDescent="0.25">
      <c r="A1191" t="s">
        <v>4</v>
      </c>
      <c r="B1191" t="str">
        <f>VLOOKUP(LEFT(A1191,3),'Table corresp.'!$A$4:$D$63,3,FALSE)</f>
        <v>Transformation</v>
      </c>
      <c r="C1191" t="str">
        <f>VLOOKUP(A1191,'Table corresp.'!$M$4:$P$63,4,FALSE)</f>
        <v>Production et transformation de produits bois</v>
      </c>
      <c r="D1191" t="s">
        <v>21</v>
      </c>
      <c r="E1191" t="str">
        <f>VLOOKUP(LEFT(D1191,3),'Table corresp.'!$A$4:$D$63,4,FALSE)</f>
        <v>Transformation</v>
      </c>
      <c r="F1191" t="str">
        <f t="shared" si="146"/>
        <v xml:space="preserve">08  - 54 </v>
      </c>
      <c r="G1191" s="213">
        <v>39681.61847267874</v>
      </c>
      <c r="H1191" s="213">
        <v>0</v>
      </c>
      <c r="I1191" s="213">
        <v>39681.61847267874</v>
      </c>
      <c r="J1191" s="215">
        <v>97.176600934610065</v>
      </c>
      <c r="K1191" s="215">
        <v>0</v>
      </c>
      <c r="L1191" s="215">
        <v>97.176600934610065</v>
      </c>
      <c r="M1191" s="215"/>
      <c r="N1191" s="215"/>
      <c r="O1191" s="215"/>
      <c r="P1191" s="215"/>
      <c r="Q1191" s="215"/>
      <c r="R1191" s="215"/>
      <c r="S1191" s="213"/>
      <c r="T1191" s="212">
        <f>VLOOKUP(A1191,'Groupe de branches'!$Z$27:$AM$86,14,FALSE)</f>
        <v>0</v>
      </c>
      <c r="U1191" s="212">
        <f>VLOOKUP(D1191,'Groupe de branches'!$Z$27:$AM$86,14,FALSE)</f>
        <v>0</v>
      </c>
      <c r="V1191" s="212">
        <v>2019</v>
      </c>
      <c r="W1191" s="212" t="str">
        <f>VLOOKUP(D1191,'Table corresp.'!$M$4:$S$63,7,FALSE)</f>
        <v>Construction</v>
      </c>
      <c r="X1191" s="228">
        <f>IFERROR(G1191/SUMIFS('Comp2016-2017 (3)'!$I$5:$I$289,'Comp2016-2017 (3)'!$A$5:$A$289,A1191,'Comp2016-2017 (3)'!$R$5:$R$289,V1191),0)</f>
        <v>8.2034122148581037E-2</v>
      </c>
      <c r="Y1191" s="214" t="e">
        <f>IF(RIGHT(F1191,3)="Exp",VLOOKUP(F1191,#REF!,2,FALSE),VLOOKUP(F1191,#REF!,9,FALSE))</f>
        <v>#REF!</v>
      </c>
      <c r="Z1191" s="225" t="str">
        <f t="shared" si="151"/>
        <v/>
      </c>
      <c r="AA1191" s="225" t="e">
        <f t="shared" si="148"/>
        <v>#VALUE!</v>
      </c>
      <c r="AB1191" s="222">
        <f>IFERROR(SUMIFS('Comp2016-2017 (3)'!$G$5:$G$289,'Comp2016-2017 (3)'!$A$5:$A$289,A1191,'Comp2016-2017 (3)'!$R$5:$R$289,V1191)*AA1191/SUMIFS($AA$4:$AA$1858,$A$4:$A$1858,A1191,$V$4:$V$1858,V1191),0)</f>
        <v>0</v>
      </c>
      <c r="AC1191" s="222" t="str">
        <f>IF($W1191=AC$3,$AB1191,IF(NOT($W1191=0),"",SUMIFS('Val-Vol (2)'!AC$4:AC$1858,'Val-Vol (2)'!$A$4:$A$1858,$D1191,'Val-Vol (2)'!$V$4:$V$1858,$V1191)/SUMIFS('Comp2016-2017 (3)'!$G$5:$G$289,'Comp2016-2017 (3)'!$A$5:$A$289,$D1191,'Comp2016-2017 (3)'!$R$5:$R$289,$V1191)*$AB1191))</f>
        <v/>
      </c>
      <c r="AD1191" s="222">
        <f>IF($W1191=AD$3,$AB1191,IF(NOT($W1191=0),"",SUMIFS('Val-Vol (2)'!AD$4:AD$1858,'Val-Vol (2)'!$A$4:$A$1858,$D1191,'Val-Vol (2)'!$V$4:$V$1858,$V1191)/SUMIFS('Comp2016-2017 (3)'!$G$5:$G$289,'Comp2016-2017 (3)'!$A$5:$A$289,$D1191,'Comp2016-2017 (3)'!$R$5:$R$289,$V1191)*$AB1191))</f>
        <v>0</v>
      </c>
      <c r="AE1191" s="222" t="str">
        <f>IF($W1191=AE$3,$AB1191,IF(NOT($W1191=0),"",SUMIFS('Val-Vol (2)'!AE$4:AE$1858,'Val-Vol (2)'!$A$4:$A$1858,$D1191,'Val-Vol (2)'!$V$4:$V$1858,$V1191)/SUMIFS('Comp2016-2017 (3)'!$G$5:$G$289,'Comp2016-2017 (3)'!$A$5:$A$289,$D1191,'Comp2016-2017 (3)'!$R$5:$R$289,$V1191)*$AB1191))</f>
        <v/>
      </c>
      <c r="AF1191" s="222" t="str">
        <f>IF($W1191=AF$3,$AB1191,IF(NOT($W1191=0),"",SUMIFS('Val-Vol (2)'!AF$4:AF$1858,'Val-Vol (2)'!$A$4:$A$1858,$D1191,'Val-Vol (2)'!$V$4:$V$1858,$V1191)/SUMIFS('Comp2016-2017 (3)'!$G$5:$G$289,'Comp2016-2017 (3)'!$A$5:$A$289,$D1191,'Comp2016-2017 (3)'!$R$5:$R$289,$V1191)*$AB1191))</f>
        <v/>
      </c>
      <c r="AG1191" s="222" t="str">
        <f>IF($W1191=AG$3,$AB1191,IF(NOT($W1191=0),"",SUMIFS('Val-Vol (2)'!AG$4:AG$1858,'Val-Vol (2)'!$A$4:$A$1858,$D1191,'Val-Vol (2)'!$V$4:$V$1858,$V1191)/SUMIFS('Comp2016-2017 (3)'!$G$5:$G$289,'Comp2016-2017 (3)'!$A$5:$A$289,$D1191,'Comp2016-2017 (3)'!$R$5:$R$289,$V1191)*$AB1191))</f>
        <v/>
      </c>
      <c r="AH1191" s="222" t="str">
        <f>IF($W1191=AH$3,$AB1191,IF(NOT($W1191=0),"",SUMIFS('Val-Vol (2)'!AH$4:AH$1858,'Val-Vol (2)'!$A$4:$A$1858,$D1191,'Val-Vol (2)'!$V$4:$V$1858,$V1191)/SUMIFS('Comp2016-2017 (3)'!$G$5:$G$289,'Comp2016-2017 (3)'!$A$5:$A$289,$D1191,'Comp2016-2017 (3)'!$R$5:$R$289,$V1191)*$AB1191))</f>
        <v/>
      </c>
      <c r="AI1191" s="222" t="str">
        <f>IF($W1191=AI$3,$AB1191,IF(NOT($W1191=0),"",SUMIFS('Val-Vol (2)'!AI$4:AI$1858,'Val-Vol (2)'!$A$4:$A$1858,$D1191,'Val-Vol (2)'!$V$4:$V$1858,$V1191)/SUMIFS('Comp2016-2017 (3)'!$G$5:$G$289,'Comp2016-2017 (3)'!$A$5:$A$289,$D1191,'Comp2016-2017 (3)'!$R$5:$R$289,$V1191)*$AB1191))</f>
        <v/>
      </c>
      <c r="AJ1191" s="222" t="str">
        <f>IF($W1191=AJ$3,$AB1191,IF(NOT($W1191=0),"",SUMIFS('Val-Vol (2)'!AJ$4:AJ$1858,'Val-Vol (2)'!$A$4:$A$1858,$D1191,'Val-Vol (2)'!$V$4:$V$1858,$V1191)/SUMIFS('Comp2016-2017 (3)'!$G$5:$G$289,'Comp2016-2017 (3)'!$A$5:$A$289,$D1191,'Comp2016-2017 (3)'!$R$5:$R$289,$V1191)*$AB1191))</f>
        <v/>
      </c>
      <c r="AK1191" s="222">
        <f t="shared" si="149"/>
        <v>0</v>
      </c>
      <c r="AL1191" s="212" t="str">
        <f t="shared" si="150"/>
        <v/>
      </c>
      <c r="AM1191" s="212" t="str">
        <f>VLOOKUP(A1191,'Table corresp.'!$M$4:$U$63,8,FALSE)</f>
        <v>Production intermédiaire</v>
      </c>
      <c r="AN1191" s="212" t="str">
        <f>VLOOKUP(D1191,'Table corresp.'!$M$4:$U$63,9,FALSE)</f>
        <v xml:space="preserve">Mise en œuvre </v>
      </c>
    </row>
    <row r="1192" spans="1:40" x14ac:dyDescent="0.25">
      <c r="A1192" t="s">
        <v>4</v>
      </c>
      <c r="B1192" t="str">
        <f>VLOOKUP(LEFT(A1192,3),'Table corresp.'!$A$4:$D$63,3,FALSE)</f>
        <v>Transformation</v>
      </c>
      <c r="C1192" t="str">
        <f>VLOOKUP(A1192,'Table corresp.'!$M$4:$P$63,4,FALSE)</f>
        <v>Production et transformation de produits bois</v>
      </c>
      <c r="D1192" t="s">
        <v>22</v>
      </c>
      <c r="E1192" t="str">
        <f>VLOOKUP(LEFT(D1192,3),'Table corresp.'!$A$4:$D$63,4,FALSE)</f>
        <v>Transformation</v>
      </c>
      <c r="F1192" t="str">
        <f t="shared" si="146"/>
        <v xml:space="preserve">08  - 55 </v>
      </c>
      <c r="G1192" s="213">
        <v>3848.4887987966854</v>
      </c>
      <c r="H1192" s="213">
        <v>0</v>
      </c>
      <c r="I1192" s="213">
        <v>3848.4887987966854</v>
      </c>
      <c r="J1192" s="215">
        <v>9.4245919041702901</v>
      </c>
      <c r="K1192" s="215">
        <v>0</v>
      </c>
      <c r="L1192" s="215">
        <v>9.4245919041702901</v>
      </c>
      <c r="M1192" s="215"/>
      <c r="N1192" s="215"/>
      <c r="O1192" s="215"/>
      <c r="P1192" s="215"/>
      <c r="Q1192" s="215"/>
      <c r="R1192" s="215"/>
      <c r="S1192" s="213"/>
      <c r="T1192" s="212">
        <f>VLOOKUP(A1192,'Groupe de branches'!$Z$27:$AM$86,14,FALSE)</f>
        <v>0</v>
      </c>
      <c r="U1192" s="212">
        <f>VLOOKUP(D1192,'Groupe de branches'!$Z$27:$AM$86,14,FALSE)</f>
        <v>0</v>
      </c>
      <c r="V1192" s="212">
        <v>2019</v>
      </c>
      <c r="W1192" s="212" t="str">
        <f>VLOOKUP(D1192,'Table corresp.'!$M$4:$S$63,7,FALSE)</f>
        <v>Construction</v>
      </c>
      <c r="X1192" s="228">
        <f>IFERROR(G1192/SUMIFS('Comp2016-2017 (3)'!$I$5:$I$289,'Comp2016-2017 (3)'!$A$5:$A$289,A1192,'Comp2016-2017 (3)'!$R$5:$R$289,V1192),0)</f>
        <v>7.9560111799699268E-3</v>
      </c>
      <c r="Y1192" s="214" t="e">
        <f>IF(RIGHT(F1192,3)="Exp",VLOOKUP(F1192,#REF!,2,FALSE),VLOOKUP(F1192,#REF!,9,FALSE))</f>
        <v>#REF!</v>
      </c>
      <c r="Z1192" s="225" t="str">
        <f t="shared" si="151"/>
        <v/>
      </c>
      <c r="AA1192" s="225" t="e">
        <f t="shared" si="148"/>
        <v>#VALUE!</v>
      </c>
      <c r="AB1192" s="222">
        <f>IFERROR(SUMIFS('Comp2016-2017 (3)'!$G$5:$G$289,'Comp2016-2017 (3)'!$A$5:$A$289,A1192,'Comp2016-2017 (3)'!$R$5:$R$289,V1192)*AA1192/SUMIFS($AA$4:$AA$1858,$A$4:$A$1858,A1192,$V$4:$V$1858,V1192),0)</f>
        <v>0</v>
      </c>
      <c r="AC1192" s="222" t="str">
        <f>IF($W1192=AC$3,$AB1192,IF(NOT($W1192=0),"",SUMIFS('Val-Vol (2)'!AC$4:AC$1858,'Val-Vol (2)'!$A$4:$A$1858,$D1192,'Val-Vol (2)'!$V$4:$V$1858,$V1192)/SUMIFS('Comp2016-2017 (3)'!$G$5:$G$289,'Comp2016-2017 (3)'!$A$5:$A$289,$D1192,'Comp2016-2017 (3)'!$R$5:$R$289,$V1192)*$AB1192))</f>
        <v/>
      </c>
      <c r="AD1192" s="222">
        <f>IF($W1192=AD$3,$AB1192,IF(NOT($W1192=0),"",SUMIFS('Val-Vol (2)'!AD$4:AD$1858,'Val-Vol (2)'!$A$4:$A$1858,$D1192,'Val-Vol (2)'!$V$4:$V$1858,$V1192)/SUMIFS('Comp2016-2017 (3)'!$G$5:$G$289,'Comp2016-2017 (3)'!$A$5:$A$289,$D1192,'Comp2016-2017 (3)'!$R$5:$R$289,$V1192)*$AB1192))</f>
        <v>0</v>
      </c>
      <c r="AE1192" s="222" t="str">
        <f>IF($W1192=AE$3,$AB1192,IF(NOT($W1192=0),"",SUMIFS('Val-Vol (2)'!AE$4:AE$1858,'Val-Vol (2)'!$A$4:$A$1858,$D1192,'Val-Vol (2)'!$V$4:$V$1858,$V1192)/SUMIFS('Comp2016-2017 (3)'!$G$5:$G$289,'Comp2016-2017 (3)'!$A$5:$A$289,$D1192,'Comp2016-2017 (3)'!$R$5:$R$289,$V1192)*$AB1192))</f>
        <v/>
      </c>
      <c r="AF1192" s="222" t="str">
        <f>IF($W1192=AF$3,$AB1192,IF(NOT($W1192=0),"",SUMIFS('Val-Vol (2)'!AF$4:AF$1858,'Val-Vol (2)'!$A$4:$A$1858,$D1192,'Val-Vol (2)'!$V$4:$V$1858,$V1192)/SUMIFS('Comp2016-2017 (3)'!$G$5:$G$289,'Comp2016-2017 (3)'!$A$5:$A$289,$D1192,'Comp2016-2017 (3)'!$R$5:$R$289,$V1192)*$AB1192))</f>
        <v/>
      </c>
      <c r="AG1192" s="222" t="str">
        <f>IF($W1192=AG$3,$AB1192,IF(NOT($W1192=0),"",SUMIFS('Val-Vol (2)'!AG$4:AG$1858,'Val-Vol (2)'!$A$4:$A$1858,$D1192,'Val-Vol (2)'!$V$4:$V$1858,$V1192)/SUMIFS('Comp2016-2017 (3)'!$G$5:$G$289,'Comp2016-2017 (3)'!$A$5:$A$289,$D1192,'Comp2016-2017 (3)'!$R$5:$R$289,$V1192)*$AB1192))</f>
        <v/>
      </c>
      <c r="AH1192" s="222" t="str">
        <f>IF($W1192=AH$3,$AB1192,IF(NOT($W1192=0),"",SUMIFS('Val-Vol (2)'!AH$4:AH$1858,'Val-Vol (2)'!$A$4:$A$1858,$D1192,'Val-Vol (2)'!$V$4:$V$1858,$V1192)/SUMIFS('Comp2016-2017 (3)'!$G$5:$G$289,'Comp2016-2017 (3)'!$A$5:$A$289,$D1192,'Comp2016-2017 (3)'!$R$5:$R$289,$V1192)*$AB1192))</f>
        <v/>
      </c>
      <c r="AI1192" s="222" t="str">
        <f>IF($W1192=AI$3,$AB1192,IF(NOT($W1192=0),"",SUMIFS('Val-Vol (2)'!AI$4:AI$1858,'Val-Vol (2)'!$A$4:$A$1858,$D1192,'Val-Vol (2)'!$V$4:$V$1858,$V1192)/SUMIFS('Comp2016-2017 (3)'!$G$5:$G$289,'Comp2016-2017 (3)'!$A$5:$A$289,$D1192,'Comp2016-2017 (3)'!$R$5:$R$289,$V1192)*$AB1192))</f>
        <v/>
      </c>
      <c r="AJ1192" s="222" t="str">
        <f>IF($W1192=AJ$3,$AB1192,IF(NOT($W1192=0),"",SUMIFS('Val-Vol (2)'!AJ$4:AJ$1858,'Val-Vol (2)'!$A$4:$A$1858,$D1192,'Val-Vol (2)'!$V$4:$V$1858,$V1192)/SUMIFS('Comp2016-2017 (3)'!$G$5:$G$289,'Comp2016-2017 (3)'!$A$5:$A$289,$D1192,'Comp2016-2017 (3)'!$R$5:$R$289,$V1192)*$AB1192))</f>
        <v/>
      </c>
      <c r="AK1192" s="222">
        <f t="shared" si="149"/>
        <v>0</v>
      </c>
      <c r="AL1192" s="212" t="str">
        <f t="shared" si="150"/>
        <v/>
      </c>
      <c r="AM1192" s="212" t="str">
        <f>VLOOKUP(A1192,'Table corresp.'!$M$4:$U$63,8,FALSE)</f>
        <v>Production intermédiaire</v>
      </c>
      <c r="AN1192" s="212" t="str">
        <f>VLOOKUP(D1192,'Table corresp.'!$M$4:$U$63,9,FALSE)</f>
        <v xml:space="preserve">Mise en œuvre </v>
      </c>
    </row>
    <row r="1193" spans="1:40" x14ac:dyDescent="0.25">
      <c r="A1193" t="s">
        <v>4</v>
      </c>
      <c r="B1193" t="str">
        <f>VLOOKUP(LEFT(A1193,3),'Table corresp.'!$A$4:$D$63,3,FALSE)</f>
        <v>Transformation</v>
      </c>
      <c r="C1193" t="str">
        <f>VLOOKUP(A1193,'Table corresp.'!$M$4:$P$63,4,FALSE)</f>
        <v>Production et transformation de produits bois</v>
      </c>
      <c r="D1193" t="s">
        <v>24</v>
      </c>
      <c r="E1193" t="str">
        <f>VLOOKUP(LEFT(D1193,3),'Table corresp.'!$A$4:$D$63,4,FALSE)</f>
        <v>Transformation</v>
      </c>
      <c r="F1193" t="str">
        <f t="shared" si="146"/>
        <v xml:space="preserve">08  - 57 </v>
      </c>
      <c r="G1193" s="213">
        <v>12331.62043038493</v>
      </c>
      <c r="H1193" s="213">
        <v>0</v>
      </c>
      <c r="I1193" s="213">
        <v>12331.620430384928</v>
      </c>
      <c r="J1193" s="215">
        <v>81.968697950332668</v>
      </c>
      <c r="K1193" s="215">
        <v>0</v>
      </c>
      <c r="L1193" s="215">
        <v>81.968697950332668</v>
      </c>
      <c r="M1193" s="215"/>
      <c r="N1193" s="215"/>
      <c r="O1193" s="215"/>
      <c r="P1193" s="215"/>
      <c r="Q1193" s="215"/>
      <c r="R1193" s="215"/>
      <c r="S1193" s="213"/>
      <c r="T1193" s="212">
        <f>VLOOKUP(A1193,'Groupe de branches'!$Z$27:$AM$86,14,FALSE)</f>
        <v>0</v>
      </c>
      <c r="U1193" s="212">
        <f>VLOOKUP(D1193,'Groupe de branches'!$Z$27:$AM$86,14,FALSE)</f>
        <v>0</v>
      </c>
      <c r="V1193" s="212">
        <v>2019</v>
      </c>
      <c r="W1193" s="212" t="str">
        <f>VLOOKUP(D1193,'Table corresp.'!$M$4:$S$63,7,FALSE)</f>
        <v>Construction</v>
      </c>
      <c r="X1193" s="228">
        <f>IFERROR(G1193/SUMIFS('Comp2016-2017 (3)'!$I$5:$I$289,'Comp2016-2017 (3)'!$A$5:$A$289,A1193,'Comp2016-2017 (3)'!$R$5:$R$289,V1193),0)</f>
        <v>2.5493255961135827E-2</v>
      </c>
      <c r="Y1193" s="214" t="e">
        <f>IF(RIGHT(F1193,3)="Exp",VLOOKUP(F1193,#REF!,2,FALSE),VLOOKUP(F1193,#REF!,9,FALSE))</f>
        <v>#REF!</v>
      </c>
      <c r="Z1193" s="225" t="str">
        <f t="shared" si="151"/>
        <v/>
      </c>
      <c r="AA1193" s="225" t="e">
        <f t="shared" si="148"/>
        <v>#VALUE!</v>
      </c>
      <c r="AB1193" s="222">
        <f>IFERROR(SUMIFS('Comp2016-2017 (3)'!$G$5:$G$289,'Comp2016-2017 (3)'!$A$5:$A$289,A1193,'Comp2016-2017 (3)'!$R$5:$R$289,V1193)*AA1193/SUMIFS($AA$4:$AA$1858,$A$4:$A$1858,A1193,$V$4:$V$1858,V1193),0)</f>
        <v>0</v>
      </c>
      <c r="AC1193" s="222" t="str">
        <f>IF($W1193=AC$3,$AB1193,IF(NOT($W1193=0),"",SUMIFS('Val-Vol (2)'!AC$4:AC$1858,'Val-Vol (2)'!$A$4:$A$1858,$D1193,'Val-Vol (2)'!$V$4:$V$1858,$V1193)/SUMIFS('Comp2016-2017 (3)'!$G$5:$G$289,'Comp2016-2017 (3)'!$A$5:$A$289,$D1193,'Comp2016-2017 (3)'!$R$5:$R$289,$V1193)*$AB1193))</f>
        <v/>
      </c>
      <c r="AD1193" s="222">
        <f>IF($W1193=AD$3,$AB1193,IF(NOT($W1193=0),"",SUMIFS('Val-Vol (2)'!AD$4:AD$1858,'Val-Vol (2)'!$A$4:$A$1858,$D1193,'Val-Vol (2)'!$V$4:$V$1858,$V1193)/SUMIFS('Comp2016-2017 (3)'!$G$5:$G$289,'Comp2016-2017 (3)'!$A$5:$A$289,$D1193,'Comp2016-2017 (3)'!$R$5:$R$289,$V1193)*$AB1193))</f>
        <v>0</v>
      </c>
      <c r="AE1193" s="222" t="str">
        <f>IF($W1193=AE$3,$AB1193,IF(NOT($W1193=0),"",SUMIFS('Val-Vol (2)'!AE$4:AE$1858,'Val-Vol (2)'!$A$4:$A$1858,$D1193,'Val-Vol (2)'!$V$4:$V$1858,$V1193)/SUMIFS('Comp2016-2017 (3)'!$G$5:$G$289,'Comp2016-2017 (3)'!$A$5:$A$289,$D1193,'Comp2016-2017 (3)'!$R$5:$R$289,$V1193)*$AB1193))</f>
        <v/>
      </c>
      <c r="AF1193" s="222" t="str">
        <f>IF($W1193=AF$3,$AB1193,IF(NOT($W1193=0),"",SUMIFS('Val-Vol (2)'!AF$4:AF$1858,'Val-Vol (2)'!$A$4:$A$1858,$D1193,'Val-Vol (2)'!$V$4:$V$1858,$V1193)/SUMIFS('Comp2016-2017 (3)'!$G$5:$G$289,'Comp2016-2017 (3)'!$A$5:$A$289,$D1193,'Comp2016-2017 (3)'!$R$5:$R$289,$V1193)*$AB1193))</f>
        <v/>
      </c>
      <c r="AG1193" s="222" t="str">
        <f>IF($W1193=AG$3,$AB1193,IF(NOT($W1193=0),"",SUMIFS('Val-Vol (2)'!AG$4:AG$1858,'Val-Vol (2)'!$A$4:$A$1858,$D1193,'Val-Vol (2)'!$V$4:$V$1858,$V1193)/SUMIFS('Comp2016-2017 (3)'!$G$5:$G$289,'Comp2016-2017 (3)'!$A$5:$A$289,$D1193,'Comp2016-2017 (3)'!$R$5:$R$289,$V1193)*$AB1193))</f>
        <v/>
      </c>
      <c r="AH1193" s="222" t="str">
        <f>IF($W1193=AH$3,$AB1193,IF(NOT($W1193=0),"",SUMIFS('Val-Vol (2)'!AH$4:AH$1858,'Val-Vol (2)'!$A$4:$A$1858,$D1193,'Val-Vol (2)'!$V$4:$V$1858,$V1193)/SUMIFS('Comp2016-2017 (3)'!$G$5:$G$289,'Comp2016-2017 (3)'!$A$5:$A$289,$D1193,'Comp2016-2017 (3)'!$R$5:$R$289,$V1193)*$AB1193))</f>
        <v/>
      </c>
      <c r="AI1193" s="222" t="str">
        <f>IF($W1193=AI$3,$AB1193,IF(NOT($W1193=0),"",SUMIFS('Val-Vol (2)'!AI$4:AI$1858,'Val-Vol (2)'!$A$4:$A$1858,$D1193,'Val-Vol (2)'!$V$4:$V$1858,$V1193)/SUMIFS('Comp2016-2017 (3)'!$G$5:$G$289,'Comp2016-2017 (3)'!$A$5:$A$289,$D1193,'Comp2016-2017 (3)'!$R$5:$R$289,$V1193)*$AB1193))</f>
        <v/>
      </c>
      <c r="AJ1193" s="222" t="str">
        <f>IF($W1193=AJ$3,$AB1193,IF(NOT($W1193=0),"",SUMIFS('Val-Vol (2)'!AJ$4:AJ$1858,'Val-Vol (2)'!$A$4:$A$1858,$D1193,'Val-Vol (2)'!$V$4:$V$1858,$V1193)/SUMIFS('Comp2016-2017 (3)'!$G$5:$G$289,'Comp2016-2017 (3)'!$A$5:$A$289,$D1193,'Comp2016-2017 (3)'!$R$5:$R$289,$V1193)*$AB1193))</f>
        <v/>
      </c>
      <c r="AK1193" s="222">
        <f t="shared" si="149"/>
        <v>0</v>
      </c>
      <c r="AL1193" s="212" t="str">
        <f t="shared" si="150"/>
        <v/>
      </c>
      <c r="AM1193" s="212" t="str">
        <f>VLOOKUP(A1193,'Table corresp.'!$M$4:$U$63,8,FALSE)</f>
        <v>Production intermédiaire</v>
      </c>
      <c r="AN1193" s="212" t="str">
        <f>VLOOKUP(D1193,'Table corresp.'!$M$4:$U$63,9,FALSE)</f>
        <v xml:space="preserve">Mise en œuvre </v>
      </c>
    </row>
    <row r="1194" spans="1:40" x14ac:dyDescent="0.25">
      <c r="A1194" t="s">
        <v>4</v>
      </c>
      <c r="B1194" t="str">
        <f>VLOOKUP(LEFT(A1194,3),'Table corresp.'!$A$4:$D$63,3,FALSE)</f>
        <v>Transformation</v>
      </c>
      <c r="C1194" t="str">
        <f>VLOOKUP(A1194,'Table corresp.'!$M$4:$P$63,4,FALSE)</f>
        <v>Production et transformation de produits bois</v>
      </c>
      <c r="D1194" t="s">
        <v>54</v>
      </c>
      <c r="E1194" t="str">
        <f>VLOOKUP(LEFT(D1194,3),'Table corresp.'!$A$4:$D$63,4,FALSE)</f>
        <v>Consommation finale</v>
      </c>
      <c r="F1194" t="str">
        <f t="shared" ref="F1194:F1257" si="152">LEFT(A1194,3)&amp;" - "&amp;LEFT(D1194,3)</f>
        <v>08  - Con</v>
      </c>
      <c r="G1194" s="213">
        <v>92766.087822031855</v>
      </c>
      <c r="H1194" s="213">
        <v>1948.1464151745313</v>
      </c>
      <c r="I1194" s="213">
        <v>94714.234237206387</v>
      </c>
      <c r="J1194" s="215">
        <v>267.32633925543615</v>
      </c>
      <c r="K1194" s="215">
        <v>5.2645193799913281</v>
      </c>
      <c r="L1194" s="215">
        <v>272.59085863542748</v>
      </c>
      <c r="M1194" s="215"/>
      <c r="N1194" s="215"/>
      <c r="O1194" s="215"/>
      <c r="P1194" s="215"/>
      <c r="Q1194" s="215"/>
      <c r="R1194" s="215"/>
      <c r="S1194" s="213"/>
      <c r="T1194" s="212">
        <f>VLOOKUP(A1194,'Groupe de branches'!$Z$27:$AM$86,14,FALSE)</f>
        <v>0</v>
      </c>
      <c r="U1194" s="212">
        <f>VLOOKUP(D1194,'Groupe de branches'!$Z$27:$AM$86,14,FALSE)</f>
        <v>0</v>
      </c>
      <c r="V1194" s="212">
        <v>2019</v>
      </c>
      <c r="W1194" s="212" t="str">
        <f>VLOOKUP(D1194,'Table corresp.'!$M$4:$S$63,7,FALSE)</f>
        <v>Consommation finale</v>
      </c>
      <c r="X1194" s="228">
        <f>IFERROR(G1194/SUMIFS('Comp2016-2017 (3)'!$I$5:$I$289,'Comp2016-2017 (3)'!$A$5:$A$289,A1194,'Comp2016-2017 (3)'!$R$5:$R$289,V1194),0)</f>
        <v>0.19177606339010897</v>
      </c>
      <c r="Y1194" s="214" t="e">
        <f>IF(RIGHT(F1194,3)="Exp",VLOOKUP(F1194,#REF!,2,FALSE),VLOOKUP(F1194,#REF!,9,FALSE))</f>
        <v>#REF!</v>
      </c>
      <c r="Z1194" s="225" t="str">
        <f t="shared" si="151"/>
        <v/>
      </c>
      <c r="AA1194" s="225" t="e">
        <f t="shared" si="148"/>
        <v>#VALUE!</v>
      </c>
      <c r="AB1194" s="222">
        <f>IFERROR(SUMIFS('Comp2016-2017 (3)'!$G$5:$G$289,'Comp2016-2017 (3)'!$A$5:$A$289,A1194,'Comp2016-2017 (3)'!$R$5:$R$289,V1194)*AA1194/SUMIFS($AA$4:$AA$1858,$A$4:$A$1858,A1194,$V$4:$V$1858,V1194),0)</f>
        <v>0</v>
      </c>
      <c r="AC1194" s="222" t="str">
        <f>IF($W1194=AC$3,$AB1194,IF(NOT($W1194=0),"",SUMIFS('Val-Vol (2)'!AC$4:AC$1858,'Val-Vol (2)'!$A$4:$A$1858,$D1194,'Val-Vol (2)'!$V$4:$V$1858,$V1194)/SUMIFS('Comp2016-2017 (3)'!$G$5:$G$289,'Comp2016-2017 (3)'!$A$5:$A$289,$D1194,'Comp2016-2017 (3)'!$R$5:$R$289,$V1194)*$AB1194))</f>
        <v/>
      </c>
      <c r="AD1194" s="222" t="str">
        <f>IF($W1194=AD$3,$AB1194,IF(NOT($W1194=0),"",SUMIFS('Val-Vol (2)'!AD$4:AD$1858,'Val-Vol (2)'!$A$4:$A$1858,$D1194,'Val-Vol (2)'!$V$4:$V$1858,$V1194)/SUMIFS('Comp2016-2017 (3)'!$G$5:$G$289,'Comp2016-2017 (3)'!$A$5:$A$289,$D1194,'Comp2016-2017 (3)'!$R$5:$R$289,$V1194)*$AB1194))</f>
        <v/>
      </c>
      <c r="AE1194" s="222" t="str">
        <f>IF($W1194=AE$3,$AB1194,IF(NOT($W1194=0),"",SUMIFS('Val-Vol (2)'!AE$4:AE$1858,'Val-Vol (2)'!$A$4:$A$1858,$D1194,'Val-Vol (2)'!$V$4:$V$1858,$V1194)/SUMIFS('Comp2016-2017 (3)'!$G$5:$G$289,'Comp2016-2017 (3)'!$A$5:$A$289,$D1194,'Comp2016-2017 (3)'!$R$5:$R$289,$V1194)*$AB1194))</f>
        <v/>
      </c>
      <c r="AF1194" s="222" t="str">
        <f>IF($W1194=AF$3,$AB1194,IF(NOT($W1194=0),"",SUMIFS('Val-Vol (2)'!AF$4:AF$1858,'Val-Vol (2)'!$A$4:$A$1858,$D1194,'Val-Vol (2)'!$V$4:$V$1858,$V1194)/SUMIFS('Comp2016-2017 (3)'!$G$5:$G$289,'Comp2016-2017 (3)'!$A$5:$A$289,$D1194,'Comp2016-2017 (3)'!$R$5:$R$289,$V1194)*$AB1194))</f>
        <v/>
      </c>
      <c r="AG1194" s="222" t="str">
        <f>IF($W1194=AG$3,$AB1194,IF(NOT($W1194=0),"",SUMIFS('Val-Vol (2)'!AG$4:AG$1858,'Val-Vol (2)'!$A$4:$A$1858,$D1194,'Val-Vol (2)'!$V$4:$V$1858,$V1194)/SUMIFS('Comp2016-2017 (3)'!$G$5:$G$289,'Comp2016-2017 (3)'!$A$5:$A$289,$D1194,'Comp2016-2017 (3)'!$R$5:$R$289,$V1194)*$AB1194))</f>
        <v/>
      </c>
      <c r="AH1194" s="222" t="str">
        <f>IF($W1194=AH$3,$AB1194,IF(NOT($W1194=0),"",SUMIFS('Val-Vol (2)'!AH$4:AH$1858,'Val-Vol (2)'!$A$4:$A$1858,$D1194,'Val-Vol (2)'!$V$4:$V$1858,$V1194)/SUMIFS('Comp2016-2017 (3)'!$G$5:$G$289,'Comp2016-2017 (3)'!$A$5:$A$289,$D1194,'Comp2016-2017 (3)'!$R$5:$R$289,$V1194)*$AB1194))</f>
        <v/>
      </c>
      <c r="AI1194" s="222" t="str">
        <f>IF($W1194=AI$3,$AB1194,IF(NOT($W1194=0),"",SUMIFS('Val-Vol (2)'!AI$4:AI$1858,'Val-Vol (2)'!$A$4:$A$1858,$D1194,'Val-Vol (2)'!$V$4:$V$1858,$V1194)/SUMIFS('Comp2016-2017 (3)'!$G$5:$G$289,'Comp2016-2017 (3)'!$A$5:$A$289,$D1194,'Comp2016-2017 (3)'!$R$5:$R$289,$V1194)*$AB1194))</f>
        <v/>
      </c>
      <c r="AJ1194" s="222">
        <f>IF($W1194=AJ$3,$AB1194,IF(NOT($W1194=0),"",SUMIFS('Val-Vol (2)'!AJ$4:AJ$1858,'Val-Vol (2)'!$A$4:$A$1858,$D1194,'Val-Vol (2)'!$V$4:$V$1858,$V1194)/SUMIFS('Comp2016-2017 (3)'!$G$5:$G$289,'Comp2016-2017 (3)'!$A$5:$A$289,$D1194,'Comp2016-2017 (3)'!$R$5:$R$289,$V1194)*$AB1194))</f>
        <v>0</v>
      </c>
      <c r="AK1194" s="222">
        <f t="shared" si="149"/>
        <v>0</v>
      </c>
      <c r="AL1194" s="212" t="str">
        <f t="shared" si="150"/>
        <v/>
      </c>
      <c r="AM1194" s="212" t="str">
        <f>VLOOKUP(A1194,'Table corresp.'!$M$4:$U$63,8,FALSE)</f>
        <v>Production intermédiaire</v>
      </c>
      <c r="AN1194" s="212" t="str">
        <f>VLOOKUP(D1194,'Table corresp.'!$M$4:$U$63,9,FALSE)</f>
        <v>Consommation finale française</v>
      </c>
    </row>
    <row r="1195" spans="1:40" x14ac:dyDescent="0.25">
      <c r="A1195" t="s">
        <v>4</v>
      </c>
      <c r="B1195" t="str">
        <f>VLOOKUP(LEFT(A1195,3),'Table corresp.'!$A$4:$D$63,3,FALSE)</f>
        <v>Transformation</v>
      </c>
      <c r="C1195" t="str">
        <f>VLOOKUP(A1195,'Table corresp.'!$M$4:$P$63,4,FALSE)</f>
        <v>Production et transformation de produits bois</v>
      </c>
      <c r="D1195" t="s">
        <v>53</v>
      </c>
      <c r="E1195" t="str">
        <f>VLOOKUP(LEFT(D1195,3),'Table corresp.'!$A$4:$D$63,4,FALSE)</f>
        <v>Exportation</v>
      </c>
      <c r="F1195" t="str">
        <f t="shared" si="152"/>
        <v>08  - Exp</v>
      </c>
      <c r="G1195" s="213">
        <v>110725.36600000007</v>
      </c>
      <c r="H1195" s="213">
        <v>0</v>
      </c>
      <c r="I1195" s="213">
        <v>110725.36600000007</v>
      </c>
      <c r="J1195" s="215">
        <v>432.05104612845662</v>
      </c>
      <c r="K1195" s="215">
        <v>0</v>
      </c>
      <c r="L1195" s="215">
        <v>432.05104612845662</v>
      </c>
      <c r="M1195" s="215"/>
      <c r="N1195" s="215"/>
      <c r="O1195" s="215"/>
      <c r="P1195" s="215"/>
      <c r="Q1195" s="215"/>
      <c r="R1195" s="215"/>
      <c r="S1195" s="213"/>
      <c r="T1195" s="212">
        <f>VLOOKUP(A1195,'Groupe de branches'!$Z$27:$AM$86,14,FALSE)</f>
        <v>0</v>
      </c>
      <c r="U1195" s="212">
        <f>VLOOKUP(D1195,'Groupe de branches'!$Z$27:$AM$86,14,FALSE)</f>
        <v>0</v>
      </c>
      <c r="V1195" s="212">
        <v>2019</v>
      </c>
      <c r="W1195" s="212" t="str">
        <f>VLOOKUP(D1195,'Table corresp.'!$M$4:$S$63,7,FALSE)</f>
        <v>Exportation</v>
      </c>
      <c r="X1195" s="228">
        <f>IFERROR(G1195/SUMIFS('Comp2016-2017 (3)'!$I$5:$I$289,'Comp2016-2017 (3)'!$A$5:$A$289,A1195,'Comp2016-2017 (3)'!$R$5:$R$289,V1195),0)</f>
        <v>0.22890342050045862</v>
      </c>
      <c r="Y1195" s="214" t="e">
        <f>IF(RIGHT(F1195,3)="Exp",VLOOKUP(F1195,#REF!,2,FALSE),VLOOKUP(F1195,#REF!,9,FALSE))</f>
        <v>#REF!</v>
      </c>
      <c r="Z1195" s="225" t="str">
        <f t="shared" si="151"/>
        <v/>
      </c>
      <c r="AA1195" s="225" t="e">
        <f t="shared" si="148"/>
        <v>#VALUE!</v>
      </c>
      <c r="AB1195" s="222">
        <f>IFERROR(SUMIFS('Comp2016-2017 (3)'!$G$5:$G$289,'Comp2016-2017 (3)'!$A$5:$A$289,A1195,'Comp2016-2017 (3)'!$R$5:$R$289,V1195)*AA1195/SUMIFS($AA$4:$AA$1858,$A$4:$A$1858,A1195,$V$4:$V$1858,V1195),0)</f>
        <v>0</v>
      </c>
      <c r="AC1195" s="222">
        <f>IF($W1195=AC$3,$AB1195,IF(NOT($W1195=0),"",SUMIFS('Val-Vol (2)'!AC$4:AC$1858,'Val-Vol (2)'!$A$4:$A$1858,$D1195,'Val-Vol (2)'!$V$4:$V$1858,$V1195)/SUMIFS('Comp2016-2017 (3)'!$G$5:$G$289,'Comp2016-2017 (3)'!$A$5:$A$289,$D1195,'Comp2016-2017 (3)'!$R$5:$R$289,$V1195)*$AB1195))</f>
        <v>0</v>
      </c>
      <c r="AD1195" s="222" t="str">
        <f>IF($W1195=AD$3,$AB1195,IF(NOT($W1195=0),"",SUMIFS('Val-Vol (2)'!AD$4:AD$1858,'Val-Vol (2)'!$A$4:$A$1858,$D1195,'Val-Vol (2)'!$V$4:$V$1858,$V1195)/SUMIFS('Comp2016-2017 (3)'!$G$5:$G$289,'Comp2016-2017 (3)'!$A$5:$A$289,$D1195,'Comp2016-2017 (3)'!$R$5:$R$289,$V1195)*$AB1195))</f>
        <v/>
      </c>
      <c r="AE1195" s="222" t="str">
        <f>IF($W1195=AE$3,$AB1195,IF(NOT($W1195=0),"",SUMIFS('Val-Vol (2)'!AE$4:AE$1858,'Val-Vol (2)'!$A$4:$A$1858,$D1195,'Val-Vol (2)'!$V$4:$V$1858,$V1195)/SUMIFS('Comp2016-2017 (3)'!$G$5:$G$289,'Comp2016-2017 (3)'!$A$5:$A$289,$D1195,'Comp2016-2017 (3)'!$R$5:$R$289,$V1195)*$AB1195))</f>
        <v/>
      </c>
      <c r="AF1195" s="222" t="str">
        <f>IF($W1195=AF$3,$AB1195,IF(NOT($W1195=0),"",SUMIFS('Val-Vol (2)'!AF$4:AF$1858,'Val-Vol (2)'!$A$4:$A$1858,$D1195,'Val-Vol (2)'!$V$4:$V$1858,$V1195)/SUMIFS('Comp2016-2017 (3)'!$G$5:$G$289,'Comp2016-2017 (3)'!$A$5:$A$289,$D1195,'Comp2016-2017 (3)'!$R$5:$R$289,$V1195)*$AB1195))</f>
        <v/>
      </c>
      <c r="AG1195" s="222" t="str">
        <f>IF($W1195=AG$3,$AB1195,IF(NOT($W1195=0),"",SUMIFS('Val-Vol (2)'!AG$4:AG$1858,'Val-Vol (2)'!$A$4:$A$1858,$D1195,'Val-Vol (2)'!$V$4:$V$1858,$V1195)/SUMIFS('Comp2016-2017 (3)'!$G$5:$G$289,'Comp2016-2017 (3)'!$A$5:$A$289,$D1195,'Comp2016-2017 (3)'!$R$5:$R$289,$V1195)*$AB1195))</f>
        <v/>
      </c>
      <c r="AH1195" s="222" t="str">
        <f>IF($W1195=AH$3,$AB1195,IF(NOT($W1195=0),"",SUMIFS('Val-Vol (2)'!AH$4:AH$1858,'Val-Vol (2)'!$A$4:$A$1858,$D1195,'Val-Vol (2)'!$V$4:$V$1858,$V1195)/SUMIFS('Comp2016-2017 (3)'!$G$5:$G$289,'Comp2016-2017 (3)'!$A$5:$A$289,$D1195,'Comp2016-2017 (3)'!$R$5:$R$289,$V1195)*$AB1195))</f>
        <v/>
      </c>
      <c r="AI1195" s="222" t="str">
        <f>IF($W1195=AI$3,$AB1195,IF(NOT($W1195=0),"",SUMIFS('Val-Vol (2)'!AI$4:AI$1858,'Val-Vol (2)'!$A$4:$A$1858,$D1195,'Val-Vol (2)'!$V$4:$V$1858,$V1195)/SUMIFS('Comp2016-2017 (3)'!$G$5:$G$289,'Comp2016-2017 (3)'!$A$5:$A$289,$D1195,'Comp2016-2017 (3)'!$R$5:$R$289,$V1195)*$AB1195))</f>
        <v/>
      </c>
      <c r="AJ1195" s="222" t="str">
        <f>IF($W1195=AJ$3,$AB1195,IF(NOT($W1195=0),"",SUMIFS('Val-Vol (2)'!AJ$4:AJ$1858,'Val-Vol (2)'!$A$4:$A$1858,$D1195,'Val-Vol (2)'!$V$4:$V$1858,$V1195)/SUMIFS('Comp2016-2017 (3)'!$G$5:$G$289,'Comp2016-2017 (3)'!$A$5:$A$289,$D1195,'Comp2016-2017 (3)'!$R$5:$R$289,$V1195)*$AB1195))</f>
        <v/>
      </c>
      <c r="AK1195" s="222">
        <f t="shared" si="149"/>
        <v>0</v>
      </c>
      <c r="AL1195" s="212" t="str">
        <f t="shared" si="150"/>
        <v/>
      </c>
      <c r="AM1195" s="212" t="str">
        <f>VLOOKUP(A1195,'Table corresp.'!$M$4:$U$63,8,FALSE)</f>
        <v>Production intermédiaire</v>
      </c>
      <c r="AN1195" s="212" t="str">
        <f>VLOOKUP(D1195,'Table corresp.'!$M$4:$U$63,9,FALSE)</f>
        <v>Exportation</v>
      </c>
    </row>
    <row r="1196" spans="1:40" x14ac:dyDescent="0.25">
      <c r="A1196" t="s">
        <v>5</v>
      </c>
      <c r="B1196" t="str">
        <f>VLOOKUP(LEFT(A1196,3),'Table corresp.'!$A$4:$D$63,3,FALSE)</f>
        <v>Transformation</v>
      </c>
      <c r="C1196" t="str">
        <f>VLOOKUP(A1196,'Table corresp.'!$M$4:$P$63,4,FALSE)</f>
        <v>Production et transformation de produits bois</v>
      </c>
      <c r="D1196" t="s">
        <v>14</v>
      </c>
      <c r="E1196" t="str">
        <f>VLOOKUP(LEFT(D1196,3),'Table corresp.'!$A$4:$D$63,4,FALSE)</f>
        <v>Transformation</v>
      </c>
      <c r="F1196" t="str">
        <f t="shared" si="152"/>
        <v>09  - 20b</v>
      </c>
      <c r="G1196" s="213">
        <v>576.20109697766463</v>
      </c>
      <c r="H1196" s="213">
        <v>1129.0928062643961</v>
      </c>
      <c r="I1196" s="213">
        <v>1705.2939032406916</v>
      </c>
      <c r="J1196" s="215">
        <v>5.1857623918125748</v>
      </c>
      <c r="K1196" s="215">
        <v>4.165685192725169</v>
      </c>
      <c r="L1196" s="215">
        <v>9.3514475845377447</v>
      </c>
      <c r="M1196" s="215"/>
      <c r="N1196" s="215"/>
      <c r="O1196" s="215"/>
      <c r="P1196" s="215"/>
      <c r="Q1196" s="215"/>
      <c r="R1196" s="215"/>
      <c r="S1196" s="213"/>
      <c r="T1196" s="212">
        <f>VLOOKUP(A1196,'Groupe de branches'!$Z$27:$AM$86,14,FALSE)</f>
        <v>0</v>
      </c>
      <c r="U1196" s="212">
        <f>VLOOKUP(D1196,'Groupe de branches'!$Z$27:$AM$86,14,FALSE)</f>
        <v>0</v>
      </c>
      <c r="V1196" s="212">
        <v>2019</v>
      </c>
      <c r="W1196" s="212">
        <f>VLOOKUP(D1196,'Table corresp.'!$M$4:$S$63,7,FALSE)</f>
        <v>0</v>
      </c>
      <c r="X1196" s="228">
        <f>IFERROR(G1196/SUMIFS('Comp2016-2017 (3)'!$I$5:$I$289,'Comp2016-2017 (3)'!$A$5:$A$289,A1196,'Comp2016-2017 (3)'!$R$5:$R$289,V1196),0)</f>
        <v>5.9831304092110762E-3</v>
      </c>
      <c r="Y1196" s="214" t="e">
        <f>IF(RIGHT(F1196,3)="Exp",VLOOKUP(F1196,#REF!,2,FALSE),VLOOKUP(F1196,#REF!,9,FALSE))</f>
        <v>#REF!</v>
      </c>
      <c r="Z1196" s="225" t="str">
        <f t="shared" si="151"/>
        <v/>
      </c>
      <c r="AA1196" s="225" t="e">
        <f t="shared" si="148"/>
        <v>#VALUE!</v>
      </c>
      <c r="AB1196" s="222">
        <f>IFERROR(SUMIFS('Comp2016-2017 (3)'!$G$5:$G$289,'Comp2016-2017 (3)'!$A$5:$A$289,A1196,'Comp2016-2017 (3)'!$R$5:$R$289,V1196)*AA1196/SUMIFS($AA$4:$AA$1858,$A$4:$A$1858,A1196,$V$4:$V$1858,V1196),0)</f>
        <v>0</v>
      </c>
      <c r="AC1196" s="222">
        <f>IF($W1196=AC$3,$AB1196,IF(NOT($W1196=0),"",SUMIFS('Val-Vol (2)'!AC$4:AC$1858,'Val-Vol (2)'!$A$4:$A$1858,$D1196,'Val-Vol (2)'!$V$4:$V$1858,$V1196)/SUMIFS('Comp2016-2017 (3)'!$G$5:$G$289,'Comp2016-2017 (3)'!$A$5:$A$289,$D1196,'Comp2016-2017 (3)'!$R$5:$R$289,$V1196)*$AB1196))</f>
        <v>0</v>
      </c>
      <c r="AD1196" s="222">
        <f>IF($W1196=AD$3,$AB1196,IF(NOT($W1196=0),"",SUMIFS('Val-Vol (2)'!AD$4:AD$1858,'Val-Vol (2)'!$A$4:$A$1858,$D1196,'Val-Vol (2)'!$V$4:$V$1858,$V1196)/SUMIFS('Comp2016-2017 (3)'!$G$5:$G$289,'Comp2016-2017 (3)'!$A$5:$A$289,$D1196,'Comp2016-2017 (3)'!$R$5:$R$289,$V1196)*$AB1196))</f>
        <v>0</v>
      </c>
      <c r="AE1196" s="222">
        <f>IF($W1196=AE$3,$AB1196,IF(NOT($W1196=0),"",SUMIFS('Val-Vol (2)'!AE$4:AE$1858,'Val-Vol (2)'!$A$4:$A$1858,$D1196,'Val-Vol (2)'!$V$4:$V$1858,$V1196)/SUMIFS('Comp2016-2017 (3)'!$G$5:$G$289,'Comp2016-2017 (3)'!$A$5:$A$289,$D1196,'Comp2016-2017 (3)'!$R$5:$R$289,$V1196)*$AB1196))</f>
        <v>0</v>
      </c>
      <c r="AF1196" s="222">
        <f>IF($W1196=AF$3,$AB1196,IF(NOT($W1196=0),"",SUMIFS('Val-Vol (2)'!AF$4:AF$1858,'Val-Vol (2)'!$A$4:$A$1858,$D1196,'Val-Vol (2)'!$V$4:$V$1858,$V1196)/SUMIFS('Comp2016-2017 (3)'!$G$5:$G$289,'Comp2016-2017 (3)'!$A$5:$A$289,$D1196,'Comp2016-2017 (3)'!$R$5:$R$289,$V1196)*$AB1196))</f>
        <v>0</v>
      </c>
      <c r="AG1196" s="222">
        <f>IF($W1196=AG$3,$AB1196,IF(NOT($W1196=0),"",SUMIFS('Val-Vol (2)'!AG$4:AG$1858,'Val-Vol (2)'!$A$4:$A$1858,$D1196,'Val-Vol (2)'!$V$4:$V$1858,$V1196)/SUMIFS('Comp2016-2017 (3)'!$G$5:$G$289,'Comp2016-2017 (3)'!$A$5:$A$289,$D1196,'Comp2016-2017 (3)'!$R$5:$R$289,$V1196)*$AB1196))</f>
        <v>0</v>
      </c>
      <c r="AH1196" s="222">
        <f>IF($W1196=AH$3,$AB1196,IF(NOT($W1196=0),"",SUMIFS('Val-Vol (2)'!AH$4:AH$1858,'Val-Vol (2)'!$A$4:$A$1858,$D1196,'Val-Vol (2)'!$V$4:$V$1858,$V1196)/SUMIFS('Comp2016-2017 (3)'!$G$5:$G$289,'Comp2016-2017 (3)'!$A$5:$A$289,$D1196,'Comp2016-2017 (3)'!$R$5:$R$289,$V1196)*$AB1196))</f>
        <v>0</v>
      </c>
      <c r="AI1196" s="222">
        <f>IF($W1196=AI$3,$AB1196,IF(NOT($W1196=0),"",SUMIFS('Val-Vol (2)'!AI$4:AI$1858,'Val-Vol (2)'!$A$4:$A$1858,$D1196,'Val-Vol (2)'!$V$4:$V$1858,$V1196)/SUMIFS('Comp2016-2017 (3)'!$G$5:$G$289,'Comp2016-2017 (3)'!$A$5:$A$289,$D1196,'Comp2016-2017 (3)'!$R$5:$R$289,$V1196)*$AB1196))</f>
        <v>0</v>
      </c>
      <c r="AJ1196" s="222">
        <f>IF($W1196=AJ$3,$AB1196,IF(NOT($W1196=0),"",SUMIFS('Val-Vol (2)'!AJ$4:AJ$1858,'Val-Vol (2)'!$A$4:$A$1858,$D1196,'Val-Vol (2)'!$V$4:$V$1858,$V1196)/SUMIFS('Comp2016-2017 (3)'!$G$5:$G$289,'Comp2016-2017 (3)'!$A$5:$A$289,$D1196,'Comp2016-2017 (3)'!$R$5:$R$289,$V1196)*$AB1196))</f>
        <v>0</v>
      </c>
      <c r="AK1196" s="222">
        <f t="shared" si="149"/>
        <v>0</v>
      </c>
      <c r="AL1196" s="212" t="str">
        <f t="shared" si="150"/>
        <v/>
      </c>
      <c r="AM1196" s="212" t="str">
        <f>VLOOKUP(A1196,'Table corresp.'!$M$4:$U$63,8,FALSE)</f>
        <v>Production intermédiaire</v>
      </c>
      <c r="AN1196" s="212" t="str">
        <f>VLOOKUP(D1196,'Table corresp.'!$M$4:$U$63,9,FALSE)</f>
        <v>Production intermédiaire</v>
      </c>
    </row>
    <row r="1197" spans="1:40" x14ac:dyDescent="0.25">
      <c r="A1197" t="s">
        <v>5</v>
      </c>
      <c r="B1197" t="str">
        <f>VLOOKUP(LEFT(A1197,3),'Table corresp.'!$A$4:$D$63,3,FALSE)</f>
        <v>Transformation</v>
      </c>
      <c r="C1197" t="str">
        <f>VLOOKUP(A1197,'Table corresp.'!$M$4:$P$63,4,FALSE)</f>
        <v>Production et transformation de produits bois</v>
      </c>
      <c r="D1197" t="s">
        <v>89</v>
      </c>
      <c r="E1197" t="str">
        <f>VLOOKUP(LEFT(D1197,3),'Table corresp.'!$A$4:$D$63,4,FALSE)</f>
        <v>Transformation</v>
      </c>
      <c r="F1197" t="str">
        <f t="shared" si="152"/>
        <v xml:space="preserve">09  - 33 </v>
      </c>
      <c r="G1197" s="213">
        <v>44.074191784613006</v>
      </c>
      <c r="H1197" s="213">
        <v>281.3929988057215</v>
      </c>
      <c r="I1197" s="213">
        <v>325.46719058995973</v>
      </c>
      <c r="J1197" s="215">
        <v>0.39666409419390691</v>
      </c>
      <c r="K1197" s="215">
        <v>1.038173870170807</v>
      </c>
      <c r="L1197" s="215">
        <v>1.4348379643647138</v>
      </c>
      <c r="M1197" s="215"/>
      <c r="N1197" s="215"/>
      <c r="O1197" s="215"/>
      <c r="P1197" s="215"/>
      <c r="Q1197" s="215"/>
      <c r="R1197" s="215"/>
      <c r="S1197" s="213"/>
      <c r="T1197" s="212">
        <f>VLOOKUP(A1197,'Groupe de branches'!$Z$27:$AM$86,14,FALSE)</f>
        <v>0</v>
      </c>
      <c r="U1197" s="212">
        <f>VLOOKUP(D1197,'Groupe de branches'!$Z$27:$AM$86,14,FALSE)</f>
        <v>0</v>
      </c>
      <c r="V1197" s="212">
        <v>2019</v>
      </c>
      <c r="W1197" s="212" t="str">
        <f>VLOOKUP(D1197,'Table corresp.'!$M$4:$S$63,7,FALSE)</f>
        <v>Construction</v>
      </c>
      <c r="X1197" s="228">
        <f>IFERROR(G1197/SUMIFS('Comp2016-2017 (3)'!$I$5:$I$289,'Comp2016-2017 (3)'!$A$5:$A$289,A1197,'Comp2016-2017 (3)'!$R$5:$R$289,V1197),0)</f>
        <v>4.576555624609319E-4</v>
      </c>
      <c r="Y1197" s="214" t="e">
        <f>IF(RIGHT(F1197,3)="Exp",VLOOKUP(F1197,#REF!,2,FALSE),VLOOKUP(F1197,#REF!,9,FALSE))</f>
        <v>#REF!</v>
      </c>
      <c r="Z1197" s="225" t="str">
        <f t="shared" si="151"/>
        <v/>
      </c>
      <c r="AA1197" s="225" t="e">
        <f t="shared" si="148"/>
        <v>#VALUE!</v>
      </c>
      <c r="AB1197" s="222">
        <f>IFERROR(SUMIFS('Comp2016-2017 (3)'!$G$5:$G$289,'Comp2016-2017 (3)'!$A$5:$A$289,A1197,'Comp2016-2017 (3)'!$R$5:$R$289,V1197)*AA1197/SUMIFS($AA$4:$AA$1858,$A$4:$A$1858,A1197,$V$4:$V$1858,V1197),0)</f>
        <v>0</v>
      </c>
      <c r="AC1197" s="222" t="str">
        <f>IF($W1197=AC$3,$AB1197,IF(NOT($W1197=0),"",SUMIFS('Val-Vol (2)'!AC$4:AC$1858,'Val-Vol (2)'!$A$4:$A$1858,$D1197,'Val-Vol (2)'!$V$4:$V$1858,$V1197)/SUMIFS('Comp2016-2017 (3)'!$G$5:$G$289,'Comp2016-2017 (3)'!$A$5:$A$289,$D1197,'Comp2016-2017 (3)'!$R$5:$R$289,$V1197)*$AB1197))</f>
        <v/>
      </c>
      <c r="AD1197" s="222">
        <f>IF($W1197=AD$3,$AB1197,IF(NOT($W1197=0),"",SUMIFS('Val-Vol (2)'!AD$4:AD$1858,'Val-Vol (2)'!$A$4:$A$1858,$D1197,'Val-Vol (2)'!$V$4:$V$1858,$V1197)/SUMIFS('Comp2016-2017 (3)'!$G$5:$G$289,'Comp2016-2017 (3)'!$A$5:$A$289,$D1197,'Comp2016-2017 (3)'!$R$5:$R$289,$V1197)*$AB1197))</f>
        <v>0</v>
      </c>
      <c r="AE1197" s="222" t="str">
        <f>IF($W1197=AE$3,$AB1197,IF(NOT($W1197=0),"",SUMIFS('Val-Vol (2)'!AE$4:AE$1858,'Val-Vol (2)'!$A$4:$A$1858,$D1197,'Val-Vol (2)'!$V$4:$V$1858,$V1197)/SUMIFS('Comp2016-2017 (3)'!$G$5:$G$289,'Comp2016-2017 (3)'!$A$5:$A$289,$D1197,'Comp2016-2017 (3)'!$R$5:$R$289,$V1197)*$AB1197))</f>
        <v/>
      </c>
      <c r="AF1197" s="222" t="str">
        <f>IF($W1197=AF$3,$AB1197,IF(NOT($W1197=0),"",SUMIFS('Val-Vol (2)'!AF$4:AF$1858,'Val-Vol (2)'!$A$4:$A$1858,$D1197,'Val-Vol (2)'!$V$4:$V$1858,$V1197)/SUMIFS('Comp2016-2017 (3)'!$G$5:$G$289,'Comp2016-2017 (3)'!$A$5:$A$289,$D1197,'Comp2016-2017 (3)'!$R$5:$R$289,$V1197)*$AB1197))</f>
        <v/>
      </c>
      <c r="AG1197" s="222" t="str">
        <f>IF($W1197=AG$3,$AB1197,IF(NOT($W1197=0),"",SUMIFS('Val-Vol (2)'!AG$4:AG$1858,'Val-Vol (2)'!$A$4:$A$1858,$D1197,'Val-Vol (2)'!$V$4:$V$1858,$V1197)/SUMIFS('Comp2016-2017 (3)'!$G$5:$G$289,'Comp2016-2017 (3)'!$A$5:$A$289,$D1197,'Comp2016-2017 (3)'!$R$5:$R$289,$V1197)*$AB1197))</f>
        <v/>
      </c>
      <c r="AH1197" s="222" t="str">
        <f>IF($W1197=AH$3,$AB1197,IF(NOT($W1197=0),"",SUMIFS('Val-Vol (2)'!AH$4:AH$1858,'Val-Vol (2)'!$A$4:$A$1858,$D1197,'Val-Vol (2)'!$V$4:$V$1858,$V1197)/SUMIFS('Comp2016-2017 (3)'!$G$5:$G$289,'Comp2016-2017 (3)'!$A$5:$A$289,$D1197,'Comp2016-2017 (3)'!$R$5:$R$289,$V1197)*$AB1197))</f>
        <v/>
      </c>
      <c r="AI1197" s="222" t="str">
        <f>IF($W1197=AI$3,$AB1197,IF(NOT($W1197=0),"",SUMIFS('Val-Vol (2)'!AI$4:AI$1858,'Val-Vol (2)'!$A$4:$A$1858,$D1197,'Val-Vol (2)'!$V$4:$V$1858,$V1197)/SUMIFS('Comp2016-2017 (3)'!$G$5:$G$289,'Comp2016-2017 (3)'!$A$5:$A$289,$D1197,'Comp2016-2017 (3)'!$R$5:$R$289,$V1197)*$AB1197))</f>
        <v/>
      </c>
      <c r="AJ1197" s="222" t="str">
        <f>IF($W1197=AJ$3,$AB1197,IF(NOT($W1197=0),"",SUMIFS('Val-Vol (2)'!AJ$4:AJ$1858,'Val-Vol (2)'!$A$4:$A$1858,$D1197,'Val-Vol (2)'!$V$4:$V$1858,$V1197)/SUMIFS('Comp2016-2017 (3)'!$G$5:$G$289,'Comp2016-2017 (3)'!$A$5:$A$289,$D1197,'Comp2016-2017 (3)'!$R$5:$R$289,$V1197)*$AB1197))</f>
        <v/>
      </c>
      <c r="AK1197" s="222">
        <f t="shared" si="149"/>
        <v>0</v>
      </c>
      <c r="AL1197" s="212" t="str">
        <f t="shared" si="150"/>
        <v/>
      </c>
      <c r="AM1197" s="212" t="str">
        <f>VLOOKUP(A1197,'Table corresp.'!$M$4:$U$63,8,FALSE)</f>
        <v>Production intermédiaire</v>
      </c>
      <c r="AN1197" s="212" t="str">
        <f>VLOOKUP(D1197,'Table corresp.'!$M$4:$U$63,9,FALSE)</f>
        <v>Production finale</v>
      </c>
    </row>
    <row r="1198" spans="1:40" x14ac:dyDescent="0.25">
      <c r="A1198" t="s">
        <v>5</v>
      </c>
      <c r="B1198" t="str">
        <f>VLOOKUP(LEFT(A1198,3),'Table corresp.'!$A$4:$D$63,3,FALSE)</f>
        <v>Transformation</v>
      </c>
      <c r="C1198" t="str">
        <f>VLOOKUP(A1198,'Table corresp.'!$M$4:$P$63,4,FALSE)</f>
        <v>Production et transformation de produits bois</v>
      </c>
      <c r="D1198" t="s">
        <v>16</v>
      </c>
      <c r="E1198" t="str">
        <f>VLOOKUP(LEFT(D1198,3),'Table corresp.'!$A$4:$D$63,4,FALSE)</f>
        <v>Transformation</v>
      </c>
      <c r="F1198" t="str">
        <f t="shared" si="152"/>
        <v xml:space="preserve">09  - 36 </v>
      </c>
      <c r="G1198" s="213">
        <v>1974.2435560416072</v>
      </c>
      <c r="H1198" s="213">
        <v>3229.4054651342663</v>
      </c>
      <c r="I1198" s="213">
        <v>5203.6490211720684</v>
      </c>
      <c r="J1198" s="215">
        <v>17.76802931979795</v>
      </c>
      <c r="K1198" s="215">
        <v>11.914597677691143</v>
      </c>
      <c r="L1198" s="215">
        <v>29.682626997489095</v>
      </c>
      <c r="M1198" s="215"/>
      <c r="N1198" s="215"/>
      <c r="O1198" s="215"/>
      <c r="P1198" s="215"/>
      <c r="Q1198" s="215"/>
      <c r="R1198" s="215"/>
      <c r="S1198" s="213"/>
      <c r="T1198" s="212">
        <f>VLOOKUP(A1198,'Groupe de branches'!$Z$27:$AM$86,14,FALSE)</f>
        <v>0</v>
      </c>
      <c r="U1198" s="212">
        <f>VLOOKUP(D1198,'Groupe de branches'!$Z$27:$AM$86,14,FALSE)</f>
        <v>0</v>
      </c>
      <c r="V1198" s="212">
        <v>2019</v>
      </c>
      <c r="W1198" s="212" t="str">
        <f>VLOOKUP(D1198,'Table corresp.'!$M$4:$S$63,7,FALSE)</f>
        <v>Construction</v>
      </c>
      <c r="X1198" s="228">
        <f>IFERROR(G1198/SUMIFS('Comp2016-2017 (3)'!$I$5:$I$289,'Comp2016-2017 (3)'!$A$5:$A$289,A1198,'Comp2016-2017 (3)'!$R$5:$R$289,V1198),0)</f>
        <v>2.0500059297525821E-2</v>
      </c>
      <c r="Y1198" s="214" t="e">
        <f>IF(RIGHT(F1198,3)="Exp",VLOOKUP(F1198,#REF!,2,FALSE),VLOOKUP(F1198,#REF!,9,FALSE))</f>
        <v>#REF!</v>
      </c>
      <c r="Z1198" s="225" t="str">
        <f t="shared" si="151"/>
        <v/>
      </c>
      <c r="AA1198" s="225" t="e">
        <f t="shared" si="148"/>
        <v>#VALUE!</v>
      </c>
      <c r="AB1198" s="222">
        <f>IFERROR(SUMIFS('Comp2016-2017 (3)'!$G$5:$G$289,'Comp2016-2017 (3)'!$A$5:$A$289,A1198,'Comp2016-2017 (3)'!$R$5:$R$289,V1198)*AA1198/SUMIFS($AA$4:$AA$1858,$A$4:$A$1858,A1198,$V$4:$V$1858,V1198),0)</f>
        <v>0</v>
      </c>
      <c r="AC1198" s="222" t="str">
        <f>IF($W1198=AC$3,$AB1198,IF(NOT($W1198=0),"",SUMIFS('Val-Vol (2)'!AC$4:AC$1858,'Val-Vol (2)'!$A$4:$A$1858,$D1198,'Val-Vol (2)'!$V$4:$V$1858,$V1198)/SUMIFS('Comp2016-2017 (3)'!$G$5:$G$289,'Comp2016-2017 (3)'!$A$5:$A$289,$D1198,'Comp2016-2017 (3)'!$R$5:$R$289,$V1198)*$AB1198))</f>
        <v/>
      </c>
      <c r="AD1198" s="222">
        <f>IF($W1198=AD$3,$AB1198,IF(NOT($W1198=0),"",SUMIFS('Val-Vol (2)'!AD$4:AD$1858,'Val-Vol (2)'!$A$4:$A$1858,$D1198,'Val-Vol (2)'!$V$4:$V$1858,$V1198)/SUMIFS('Comp2016-2017 (3)'!$G$5:$G$289,'Comp2016-2017 (3)'!$A$5:$A$289,$D1198,'Comp2016-2017 (3)'!$R$5:$R$289,$V1198)*$AB1198))</f>
        <v>0</v>
      </c>
      <c r="AE1198" s="222" t="str">
        <f>IF($W1198=AE$3,$AB1198,IF(NOT($W1198=0),"",SUMIFS('Val-Vol (2)'!AE$4:AE$1858,'Val-Vol (2)'!$A$4:$A$1858,$D1198,'Val-Vol (2)'!$V$4:$V$1858,$V1198)/SUMIFS('Comp2016-2017 (3)'!$G$5:$G$289,'Comp2016-2017 (3)'!$A$5:$A$289,$D1198,'Comp2016-2017 (3)'!$R$5:$R$289,$V1198)*$AB1198))</f>
        <v/>
      </c>
      <c r="AF1198" s="222" t="str">
        <f>IF($W1198=AF$3,$AB1198,IF(NOT($W1198=0),"",SUMIFS('Val-Vol (2)'!AF$4:AF$1858,'Val-Vol (2)'!$A$4:$A$1858,$D1198,'Val-Vol (2)'!$V$4:$V$1858,$V1198)/SUMIFS('Comp2016-2017 (3)'!$G$5:$G$289,'Comp2016-2017 (3)'!$A$5:$A$289,$D1198,'Comp2016-2017 (3)'!$R$5:$R$289,$V1198)*$AB1198))</f>
        <v/>
      </c>
      <c r="AG1198" s="222" t="str">
        <f>IF($W1198=AG$3,$AB1198,IF(NOT($W1198=0),"",SUMIFS('Val-Vol (2)'!AG$4:AG$1858,'Val-Vol (2)'!$A$4:$A$1858,$D1198,'Val-Vol (2)'!$V$4:$V$1858,$V1198)/SUMIFS('Comp2016-2017 (3)'!$G$5:$G$289,'Comp2016-2017 (3)'!$A$5:$A$289,$D1198,'Comp2016-2017 (3)'!$R$5:$R$289,$V1198)*$AB1198))</f>
        <v/>
      </c>
      <c r="AH1198" s="222" t="str">
        <f>IF($W1198=AH$3,$AB1198,IF(NOT($W1198=0),"",SUMIFS('Val-Vol (2)'!AH$4:AH$1858,'Val-Vol (2)'!$A$4:$A$1858,$D1198,'Val-Vol (2)'!$V$4:$V$1858,$V1198)/SUMIFS('Comp2016-2017 (3)'!$G$5:$G$289,'Comp2016-2017 (3)'!$A$5:$A$289,$D1198,'Comp2016-2017 (3)'!$R$5:$R$289,$V1198)*$AB1198))</f>
        <v/>
      </c>
      <c r="AI1198" s="222" t="str">
        <f>IF($W1198=AI$3,$AB1198,IF(NOT($W1198=0),"",SUMIFS('Val-Vol (2)'!AI$4:AI$1858,'Val-Vol (2)'!$A$4:$A$1858,$D1198,'Val-Vol (2)'!$V$4:$V$1858,$V1198)/SUMIFS('Comp2016-2017 (3)'!$G$5:$G$289,'Comp2016-2017 (3)'!$A$5:$A$289,$D1198,'Comp2016-2017 (3)'!$R$5:$R$289,$V1198)*$AB1198))</f>
        <v/>
      </c>
      <c r="AJ1198" s="222" t="str">
        <f>IF($W1198=AJ$3,$AB1198,IF(NOT($W1198=0),"",SUMIFS('Val-Vol (2)'!AJ$4:AJ$1858,'Val-Vol (2)'!$A$4:$A$1858,$D1198,'Val-Vol (2)'!$V$4:$V$1858,$V1198)/SUMIFS('Comp2016-2017 (3)'!$G$5:$G$289,'Comp2016-2017 (3)'!$A$5:$A$289,$D1198,'Comp2016-2017 (3)'!$R$5:$R$289,$V1198)*$AB1198))</f>
        <v/>
      </c>
      <c r="AK1198" s="222">
        <f t="shared" si="149"/>
        <v>0</v>
      </c>
      <c r="AL1198" s="212" t="str">
        <f t="shared" si="150"/>
        <v/>
      </c>
      <c r="AM1198" s="212" t="str">
        <f>VLOOKUP(A1198,'Table corresp.'!$M$4:$U$63,8,FALSE)</f>
        <v>Production intermédiaire</v>
      </c>
      <c r="AN1198" s="212" t="str">
        <f>VLOOKUP(D1198,'Table corresp.'!$M$4:$U$63,9,FALSE)</f>
        <v>Production finale</v>
      </c>
    </row>
    <row r="1199" spans="1:40" x14ac:dyDescent="0.25">
      <c r="A1199" t="s">
        <v>5</v>
      </c>
      <c r="B1199" t="str">
        <f>VLOOKUP(LEFT(A1199,3),'Table corresp.'!$A$4:$D$63,3,FALSE)</f>
        <v>Transformation</v>
      </c>
      <c r="C1199" t="str">
        <f>VLOOKUP(A1199,'Table corresp.'!$M$4:$P$63,4,FALSE)</f>
        <v>Production et transformation de produits bois</v>
      </c>
      <c r="D1199" t="s">
        <v>91</v>
      </c>
      <c r="E1199" t="str">
        <f>VLOOKUP(LEFT(D1199,3),'Table corresp.'!$A$4:$D$63,4,FALSE)</f>
        <v>Transformation</v>
      </c>
      <c r="F1199" t="str">
        <f t="shared" si="152"/>
        <v xml:space="preserve">09  - 37 </v>
      </c>
      <c r="G1199" s="213">
        <v>12691.527421114361</v>
      </c>
      <c r="H1199" s="213">
        <v>0</v>
      </c>
      <c r="I1199" s="213">
        <v>12691.527421118644</v>
      </c>
      <c r="J1199" s="215">
        <v>197.22453033076678</v>
      </c>
      <c r="K1199" s="215">
        <v>0</v>
      </c>
      <c r="L1199" s="215">
        <v>197.22453033076678</v>
      </c>
      <c r="M1199" s="215"/>
      <c r="N1199" s="215"/>
      <c r="O1199" s="215"/>
      <c r="P1199" s="215"/>
      <c r="Q1199" s="215"/>
      <c r="R1199" s="215"/>
      <c r="S1199" s="213"/>
      <c r="T1199" s="212">
        <f>VLOOKUP(A1199,'Groupe de branches'!$Z$27:$AM$86,14,FALSE)</f>
        <v>0</v>
      </c>
      <c r="U1199" s="212">
        <f>VLOOKUP(D1199,'Groupe de branches'!$Z$27:$AM$86,14,FALSE)</f>
        <v>0</v>
      </c>
      <c r="V1199" s="212">
        <v>2019</v>
      </c>
      <c r="W1199" s="212" t="str">
        <f>VLOOKUP(D1199,'Table corresp.'!$M$4:$S$63,7,FALSE)</f>
        <v>Emballage bois et carton</v>
      </c>
      <c r="X1199" s="228">
        <f>IFERROR(G1199/SUMIFS('Comp2016-2017 (3)'!$I$5:$I$289,'Comp2016-2017 (3)'!$A$5:$A$289,A1199,'Comp2016-2017 (3)'!$R$5:$R$289,V1199),0)</f>
        <v>0.1317856978247805</v>
      </c>
      <c r="Y1199" s="214" t="e">
        <f>IF(RIGHT(F1199,3)="Exp",VLOOKUP(F1199,#REF!,2,FALSE),VLOOKUP(F1199,#REF!,9,FALSE))</f>
        <v>#REF!</v>
      </c>
      <c r="Z1199" s="225" t="str">
        <f t="shared" si="151"/>
        <v/>
      </c>
      <c r="AA1199" s="225" t="e">
        <f t="shared" si="148"/>
        <v>#VALUE!</v>
      </c>
      <c r="AB1199" s="222">
        <f>IFERROR(SUMIFS('Comp2016-2017 (3)'!$G$5:$G$289,'Comp2016-2017 (3)'!$A$5:$A$289,A1199,'Comp2016-2017 (3)'!$R$5:$R$289,V1199)*AA1199/SUMIFS($AA$4:$AA$1858,$A$4:$A$1858,A1199,$V$4:$V$1858,V1199),0)</f>
        <v>0</v>
      </c>
      <c r="AC1199" s="222" t="str">
        <f>IF($W1199=AC$3,$AB1199,IF(NOT($W1199=0),"",SUMIFS('Val-Vol (2)'!AC$4:AC$1858,'Val-Vol (2)'!$A$4:$A$1858,$D1199,'Val-Vol (2)'!$V$4:$V$1858,$V1199)/SUMIFS('Comp2016-2017 (3)'!$G$5:$G$289,'Comp2016-2017 (3)'!$A$5:$A$289,$D1199,'Comp2016-2017 (3)'!$R$5:$R$289,$V1199)*$AB1199))</f>
        <v/>
      </c>
      <c r="AD1199" s="222" t="str">
        <f>IF($W1199=AD$3,$AB1199,IF(NOT($W1199=0),"",SUMIFS('Val-Vol (2)'!AD$4:AD$1858,'Val-Vol (2)'!$A$4:$A$1858,$D1199,'Val-Vol (2)'!$V$4:$V$1858,$V1199)/SUMIFS('Comp2016-2017 (3)'!$G$5:$G$289,'Comp2016-2017 (3)'!$A$5:$A$289,$D1199,'Comp2016-2017 (3)'!$R$5:$R$289,$V1199)*$AB1199))</f>
        <v/>
      </c>
      <c r="AE1199" s="222" t="str">
        <f>IF($W1199=AE$3,$AB1199,IF(NOT($W1199=0),"",SUMIFS('Val-Vol (2)'!AE$4:AE$1858,'Val-Vol (2)'!$A$4:$A$1858,$D1199,'Val-Vol (2)'!$V$4:$V$1858,$V1199)/SUMIFS('Comp2016-2017 (3)'!$G$5:$G$289,'Comp2016-2017 (3)'!$A$5:$A$289,$D1199,'Comp2016-2017 (3)'!$R$5:$R$289,$V1199)*$AB1199))</f>
        <v/>
      </c>
      <c r="AF1199" s="222" t="str">
        <f>IF($W1199=AF$3,$AB1199,IF(NOT($W1199=0),"",SUMIFS('Val-Vol (2)'!AF$4:AF$1858,'Val-Vol (2)'!$A$4:$A$1858,$D1199,'Val-Vol (2)'!$V$4:$V$1858,$V1199)/SUMIFS('Comp2016-2017 (3)'!$G$5:$G$289,'Comp2016-2017 (3)'!$A$5:$A$289,$D1199,'Comp2016-2017 (3)'!$R$5:$R$289,$V1199)*$AB1199))</f>
        <v/>
      </c>
      <c r="AG1199" s="222">
        <f>IF($W1199=AG$3,$AB1199,IF(NOT($W1199=0),"",SUMIFS('Val-Vol (2)'!AG$4:AG$1858,'Val-Vol (2)'!$A$4:$A$1858,$D1199,'Val-Vol (2)'!$V$4:$V$1858,$V1199)/SUMIFS('Comp2016-2017 (3)'!$G$5:$G$289,'Comp2016-2017 (3)'!$A$5:$A$289,$D1199,'Comp2016-2017 (3)'!$R$5:$R$289,$V1199)*$AB1199))</f>
        <v>0</v>
      </c>
      <c r="AH1199" s="222" t="str">
        <f>IF($W1199=AH$3,$AB1199,IF(NOT($W1199=0),"",SUMIFS('Val-Vol (2)'!AH$4:AH$1858,'Val-Vol (2)'!$A$4:$A$1858,$D1199,'Val-Vol (2)'!$V$4:$V$1858,$V1199)/SUMIFS('Comp2016-2017 (3)'!$G$5:$G$289,'Comp2016-2017 (3)'!$A$5:$A$289,$D1199,'Comp2016-2017 (3)'!$R$5:$R$289,$V1199)*$AB1199))</f>
        <v/>
      </c>
      <c r="AI1199" s="222" t="str">
        <f>IF($W1199=AI$3,$AB1199,IF(NOT($W1199=0),"",SUMIFS('Val-Vol (2)'!AI$4:AI$1858,'Val-Vol (2)'!$A$4:$A$1858,$D1199,'Val-Vol (2)'!$V$4:$V$1858,$V1199)/SUMIFS('Comp2016-2017 (3)'!$G$5:$G$289,'Comp2016-2017 (3)'!$A$5:$A$289,$D1199,'Comp2016-2017 (3)'!$R$5:$R$289,$V1199)*$AB1199))</f>
        <v/>
      </c>
      <c r="AJ1199" s="222" t="str">
        <f>IF($W1199=AJ$3,$AB1199,IF(NOT($W1199=0),"",SUMIFS('Val-Vol (2)'!AJ$4:AJ$1858,'Val-Vol (2)'!$A$4:$A$1858,$D1199,'Val-Vol (2)'!$V$4:$V$1858,$V1199)/SUMIFS('Comp2016-2017 (3)'!$G$5:$G$289,'Comp2016-2017 (3)'!$A$5:$A$289,$D1199,'Comp2016-2017 (3)'!$R$5:$R$289,$V1199)*$AB1199))</f>
        <v/>
      </c>
      <c r="AK1199" s="222">
        <f t="shared" si="149"/>
        <v>0</v>
      </c>
      <c r="AL1199" s="212" t="str">
        <f t="shared" si="150"/>
        <v/>
      </c>
      <c r="AM1199" s="212" t="str">
        <f>VLOOKUP(A1199,'Table corresp.'!$M$4:$U$63,8,FALSE)</f>
        <v>Production intermédiaire</v>
      </c>
      <c r="AN1199" s="212" t="str">
        <f>VLOOKUP(D1199,'Table corresp.'!$M$4:$U$63,9,FALSE)</f>
        <v>Production finale</v>
      </c>
    </row>
    <row r="1200" spans="1:40" x14ac:dyDescent="0.25">
      <c r="A1200" t="s">
        <v>5</v>
      </c>
      <c r="B1200" t="str">
        <f>VLOOKUP(LEFT(A1200,3),'Table corresp.'!$A$4:$D$63,3,FALSE)</f>
        <v>Transformation</v>
      </c>
      <c r="C1200" t="str">
        <f>VLOOKUP(A1200,'Table corresp.'!$M$4:$P$63,4,FALSE)</f>
        <v>Production et transformation de produits bois</v>
      </c>
      <c r="D1200" t="s">
        <v>93</v>
      </c>
      <c r="E1200" t="str">
        <f>VLOOKUP(LEFT(D1200,3),'Table corresp.'!$A$4:$D$63,4,FALSE)</f>
        <v>Transformation</v>
      </c>
      <c r="F1200" t="str">
        <f t="shared" si="152"/>
        <v xml:space="preserve">09  - 41 </v>
      </c>
      <c r="G1200" s="213">
        <v>2035.7269453497831</v>
      </c>
      <c r="H1200" s="213">
        <v>9272.7424351016289</v>
      </c>
      <c r="I1200" s="213">
        <v>11308.469380439259</v>
      </c>
      <c r="J1200" s="215">
        <v>20.631461139545266</v>
      </c>
      <c r="K1200" s="215">
        <v>38.524492913704854</v>
      </c>
      <c r="L1200" s="215">
        <v>59.15595405325012</v>
      </c>
      <c r="M1200" s="215"/>
      <c r="N1200" s="215"/>
      <c r="O1200" s="215"/>
      <c r="P1200" s="215"/>
      <c r="Q1200" s="215"/>
      <c r="R1200" s="215"/>
      <c r="S1200" s="213"/>
      <c r="T1200" s="212">
        <f>VLOOKUP(A1200,'Groupe de branches'!$Z$27:$AM$86,14,FALSE)</f>
        <v>0</v>
      </c>
      <c r="U1200" s="212">
        <f>VLOOKUP(D1200,'Groupe de branches'!$Z$27:$AM$86,14,FALSE)</f>
        <v>0</v>
      </c>
      <c r="V1200" s="212">
        <v>2019</v>
      </c>
      <c r="W1200" s="212" t="str">
        <f>VLOOKUP(D1200,'Table corresp.'!$M$4:$S$63,7,FALSE)</f>
        <v>Produits de consommation courante</v>
      </c>
      <c r="X1200" s="228">
        <f>IFERROR(G1200/SUMIFS('Comp2016-2017 (3)'!$I$5:$I$289,'Comp2016-2017 (3)'!$A$5:$A$289,A1200,'Comp2016-2017 (3)'!$R$5:$R$289,V1200),0)</f>
        <v>2.113848768331102E-2</v>
      </c>
      <c r="Y1200" s="214" t="e">
        <f>IF(RIGHT(F1200,3)="Exp",VLOOKUP(F1200,#REF!,2,FALSE),VLOOKUP(F1200,#REF!,9,FALSE))</f>
        <v>#REF!</v>
      </c>
      <c r="Z1200" s="225" t="str">
        <f t="shared" si="151"/>
        <v/>
      </c>
      <c r="AA1200" s="225" t="e">
        <f t="shared" si="148"/>
        <v>#VALUE!</v>
      </c>
      <c r="AB1200" s="222">
        <f>IFERROR(SUMIFS('Comp2016-2017 (3)'!$G$5:$G$289,'Comp2016-2017 (3)'!$A$5:$A$289,A1200,'Comp2016-2017 (3)'!$R$5:$R$289,V1200)*AA1200/SUMIFS($AA$4:$AA$1858,$A$4:$A$1858,A1200,$V$4:$V$1858,V1200),0)</f>
        <v>0</v>
      </c>
      <c r="AC1200" s="222" t="str">
        <f>IF($W1200=AC$3,$AB1200,IF(NOT($W1200=0),"",SUMIFS('Val-Vol (2)'!AC$4:AC$1858,'Val-Vol (2)'!$A$4:$A$1858,$D1200,'Val-Vol (2)'!$V$4:$V$1858,$V1200)/SUMIFS('Comp2016-2017 (3)'!$G$5:$G$289,'Comp2016-2017 (3)'!$A$5:$A$289,$D1200,'Comp2016-2017 (3)'!$R$5:$R$289,$V1200)*$AB1200))</f>
        <v/>
      </c>
      <c r="AD1200" s="222" t="str">
        <f>IF($W1200=AD$3,$AB1200,IF(NOT($W1200=0),"",SUMIFS('Val-Vol (2)'!AD$4:AD$1858,'Val-Vol (2)'!$A$4:$A$1858,$D1200,'Val-Vol (2)'!$V$4:$V$1858,$V1200)/SUMIFS('Comp2016-2017 (3)'!$G$5:$G$289,'Comp2016-2017 (3)'!$A$5:$A$289,$D1200,'Comp2016-2017 (3)'!$R$5:$R$289,$V1200)*$AB1200))</f>
        <v/>
      </c>
      <c r="AE1200" s="222" t="str">
        <f>IF($W1200=AE$3,$AB1200,IF(NOT($W1200=0),"",SUMIFS('Val-Vol (2)'!AE$4:AE$1858,'Val-Vol (2)'!$A$4:$A$1858,$D1200,'Val-Vol (2)'!$V$4:$V$1858,$V1200)/SUMIFS('Comp2016-2017 (3)'!$G$5:$G$289,'Comp2016-2017 (3)'!$A$5:$A$289,$D1200,'Comp2016-2017 (3)'!$R$5:$R$289,$V1200)*$AB1200))</f>
        <v/>
      </c>
      <c r="AF1200" s="222" t="str">
        <f>IF($W1200=AF$3,$AB1200,IF(NOT($W1200=0),"",SUMIFS('Val-Vol (2)'!AF$4:AF$1858,'Val-Vol (2)'!$A$4:$A$1858,$D1200,'Val-Vol (2)'!$V$4:$V$1858,$V1200)/SUMIFS('Comp2016-2017 (3)'!$G$5:$G$289,'Comp2016-2017 (3)'!$A$5:$A$289,$D1200,'Comp2016-2017 (3)'!$R$5:$R$289,$V1200)*$AB1200))</f>
        <v/>
      </c>
      <c r="AG1200" s="222" t="str">
        <f>IF($W1200=AG$3,$AB1200,IF(NOT($W1200=0),"",SUMIFS('Val-Vol (2)'!AG$4:AG$1858,'Val-Vol (2)'!$A$4:$A$1858,$D1200,'Val-Vol (2)'!$V$4:$V$1858,$V1200)/SUMIFS('Comp2016-2017 (3)'!$G$5:$G$289,'Comp2016-2017 (3)'!$A$5:$A$289,$D1200,'Comp2016-2017 (3)'!$R$5:$R$289,$V1200)*$AB1200))</f>
        <v/>
      </c>
      <c r="AH1200" s="222" t="str">
        <f>IF($W1200=AH$3,$AB1200,IF(NOT($W1200=0),"",SUMIFS('Val-Vol (2)'!AH$4:AH$1858,'Val-Vol (2)'!$A$4:$A$1858,$D1200,'Val-Vol (2)'!$V$4:$V$1858,$V1200)/SUMIFS('Comp2016-2017 (3)'!$G$5:$G$289,'Comp2016-2017 (3)'!$A$5:$A$289,$D1200,'Comp2016-2017 (3)'!$R$5:$R$289,$V1200)*$AB1200))</f>
        <v/>
      </c>
      <c r="AI1200" s="222">
        <f>IF($W1200=AI$3,$AB1200,IF(NOT($W1200=0),"",SUMIFS('Val-Vol (2)'!AI$4:AI$1858,'Val-Vol (2)'!$A$4:$A$1858,$D1200,'Val-Vol (2)'!$V$4:$V$1858,$V1200)/SUMIFS('Comp2016-2017 (3)'!$G$5:$G$289,'Comp2016-2017 (3)'!$A$5:$A$289,$D1200,'Comp2016-2017 (3)'!$R$5:$R$289,$V1200)*$AB1200))</f>
        <v>0</v>
      </c>
      <c r="AJ1200" s="222" t="str">
        <f>IF($W1200=AJ$3,$AB1200,IF(NOT($W1200=0),"",SUMIFS('Val-Vol (2)'!AJ$4:AJ$1858,'Val-Vol (2)'!$A$4:$A$1858,$D1200,'Val-Vol (2)'!$V$4:$V$1858,$V1200)/SUMIFS('Comp2016-2017 (3)'!$G$5:$G$289,'Comp2016-2017 (3)'!$A$5:$A$289,$D1200,'Comp2016-2017 (3)'!$R$5:$R$289,$V1200)*$AB1200))</f>
        <v/>
      </c>
      <c r="AK1200" s="222">
        <f t="shared" si="149"/>
        <v>0</v>
      </c>
      <c r="AL1200" s="212" t="str">
        <f t="shared" si="150"/>
        <v/>
      </c>
      <c r="AM1200" s="212" t="str">
        <f>VLOOKUP(A1200,'Table corresp.'!$M$4:$U$63,8,FALSE)</f>
        <v>Production intermédiaire</v>
      </c>
      <c r="AN1200" s="212" t="str">
        <f>VLOOKUP(D1200,'Table corresp.'!$M$4:$U$63,9,FALSE)</f>
        <v>Production finale</v>
      </c>
    </row>
    <row r="1201" spans="1:40" x14ac:dyDescent="0.25">
      <c r="A1201" t="s">
        <v>5</v>
      </c>
      <c r="B1201" t="str">
        <f>VLOOKUP(LEFT(A1201,3),'Table corresp.'!$A$4:$D$63,3,FALSE)</f>
        <v>Transformation</v>
      </c>
      <c r="C1201" t="str">
        <f>VLOOKUP(A1201,'Table corresp.'!$M$4:$P$63,4,FALSE)</f>
        <v>Production et transformation de produits bois</v>
      </c>
      <c r="D1201" t="s">
        <v>99</v>
      </c>
      <c r="E1201" t="str">
        <f>VLOOKUP(LEFT(D1201,3),'Table corresp.'!$A$4:$D$63,4,FALSE)</f>
        <v>Transformation</v>
      </c>
      <c r="F1201" t="str">
        <f t="shared" si="152"/>
        <v xml:space="preserve">09  - 47 </v>
      </c>
      <c r="G1201" s="213">
        <v>1084.6940464307711</v>
      </c>
      <c r="H1201" s="213">
        <v>5437.533614920103</v>
      </c>
      <c r="I1201" s="213">
        <v>6522.2276613437089</v>
      </c>
      <c r="J1201" s="215">
        <v>8.4279955738024199</v>
      </c>
      <c r="K1201" s="215">
        <v>17.319576575067064</v>
      </c>
      <c r="L1201" s="215">
        <v>25.747572148869484</v>
      </c>
      <c r="M1201" s="215"/>
      <c r="N1201" s="215"/>
      <c r="O1201" s="215"/>
      <c r="P1201" s="215"/>
      <c r="Q1201" s="215"/>
      <c r="R1201" s="215"/>
      <c r="S1201" s="213"/>
      <c r="T1201" s="212">
        <f>VLOOKUP(A1201,'Groupe de branches'!$Z$27:$AM$86,14,FALSE)</f>
        <v>0</v>
      </c>
      <c r="U1201" s="212">
        <f>VLOOKUP(D1201,'Groupe de branches'!$Z$27:$AM$86,14,FALSE)</f>
        <v>0</v>
      </c>
      <c r="V1201" s="212">
        <v>2019</v>
      </c>
      <c r="W1201" s="212" t="str">
        <f>VLOOKUP(D1201,'Table corresp.'!$M$4:$S$63,7,FALSE)</f>
        <v>Meuble</v>
      </c>
      <c r="X1201" s="228">
        <f>IFERROR(G1201/SUMIFS('Comp2016-2017 (3)'!$I$5:$I$289,'Comp2016-2017 (3)'!$A$5:$A$289,A1201,'Comp2016-2017 (3)'!$R$5:$R$289,V1201),0)</f>
        <v>1.1263196075001095E-2</v>
      </c>
      <c r="Y1201" s="214" t="e">
        <f>IF(RIGHT(F1201,3)="Exp",VLOOKUP(F1201,#REF!,2,FALSE),VLOOKUP(F1201,#REF!,9,FALSE))</f>
        <v>#REF!</v>
      </c>
      <c r="Z1201" s="225" t="str">
        <f t="shared" si="151"/>
        <v/>
      </c>
      <c r="AA1201" s="225" t="e">
        <f t="shared" si="148"/>
        <v>#VALUE!</v>
      </c>
      <c r="AB1201" s="222">
        <f>IFERROR(SUMIFS('Comp2016-2017 (3)'!$G$5:$G$289,'Comp2016-2017 (3)'!$A$5:$A$289,A1201,'Comp2016-2017 (3)'!$R$5:$R$289,V1201)*AA1201/SUMIFS($AA$4:$AA$1858,$A$4:$A$1858,A1201,$V$4:$V$1858,V1201),0)</f>
        <v>0</v>
      </c>
      <c r="AC1201" s="222" t="str">
        <f>IF($W1201=AC$3,$AB1201,IF(NOT($W1201=0),"",SUMIFS('Val-Vol (2)'!AC$4:AC$1858,'Val-Vol (2)'!$A$4:$A$1858,$D1201,'Val-Vol (2)'!$V$4:$V$1858,$V1201)/SUMIFS('Comp2016-2017 (3)'!$G$5:$G$289,'Comp2016-2017 (3)'!$A$5:$A$289,$D1201,'Comp2016-2017 (3)'!$R$5:$R$289,$V1201)*$AB1201))</f>
        <v/>
      </c>
      <c r="AD1201" s="222" t="str">
        <f>IF($W1201=AD$3,$AB1201,IF(NOT($W1201=0),"",SUMIFS('Val-Vol (2)'!AD$4:AD$1858,'Val-Vol (2)'!$A$4:$A$1858,$D1201,'Val-Vol (2)'!$V$4:$V$1858,$V1201)/SUMIFS('Comp2016-2017 (3)'!$G$5:$G$289,'Comp2016-2017 (3)'!$A$5:$A$289,$D1201,'Comp2016-2017 (3)'!$R$5:$R$289,$V1201)*$AB1201))</f>
        <v/>
      </c>
      <c r="AE1201" s="222">
        <f>IF($W1201=AE$3,$AB1201,IF(NOT($W1201=0),"",SUMIFS('Val-Vol (2)'!AE$4:AE$1858,'Val-Vol (2)'!$A$4:$A$1858,$D1201,'Val-Vol (2)'!$V$4:$V$1858,$V1201)/SUMIFS('Comp2016-2017 (3)'!$G$5:$G$289,'Comp2016-2017 (3)'!$A$5:$A$289,$D1201,'Comp2016-2017 (3)'!$R$5:$R$289,$V1201)*$AB1201))</f>
        <v>0</v>
      </c>
      <c r="AF1201" s="222" t="str">
        <f>IF($W1201=AF$3,$AB1201,IF(NOT($W1201=0),"",SUMIFS('Val-Vol (2)'!AF$4:AF$1858,'Val-Vol (2)'!$A$4:$A$1858,$D1201,'Val-Vol (2)'!$V$4:$V$1858,$V1201)/SUMIFS('Comp2016-2017 (3)'!$G$5:$G$289,'Comp2016-2017 (3)'!$A$5:$A$289,$D1201,'Comp2016-2017 (3)'!$R$5:$R$289,$V1201)*$AB1201))</f>
        <v/>
      </c>
      <c r="AG1201" s="222" t="str">
        <f>IF($W1201=AG$3,$AB1201,IF(NOT($W1201=0),"",SUMIFS('Val-Vol (2)'!AG$4:AG$1858,'Val-Vol (2)'!$A$4:$A$1858,$D1201,'Val-Vol (2)'!$V$4:$V$1858,$V1201)/SUMIFS('Comp2016-2017 (3)'!$G$5:$G$289,'Comp2016-2017 (3)'!$A$5:$A$289,$D1201,'Comp2016-2017 (3)'!$R$5:$R$289,$V1201)*$AB1201))</f>
        <v/>
      </c>
      <c r="AH1201" s="222" t="str">
        <f>IF($W1201=AH$3,$AB1201,IF(NOT($W1201=0),"",SUMIFS('Val-Vol (2)'!AH$4:AH$1858,'Val-Vol (2)'!$A$4:$A$1858,$D1201,'Val-Vol (2)'!$V$4:$V$1858,$V1201)/SUMIFS('Comp2016-2017 (3)'!$G$5:$G$289,'Comp2016-2017 (3)'!$A$5:$A$289,$D1201,'Comp2016-2017 (3)'!$R$5:$R$289,$V1201)*$AB1201))</f>
        <v/>
      </c>
      <c r="AI1201" s="222" t="str">
        <f>IF($W1201=AI$3,$AB1201,IF(NOT($W1201=0),"",SUMIFS('Val-Vol (2)'!AI$4:AI$1858,'Val-Vol (2)'!$A$4:$A$1858,$D1201,'Val-Vol (2)'!$V$4:$V$1858,$V1201)/SUMIFS('Comp2016-2017 (3)'!$G$5:$G$289,'Comp2016-2017 (3)'!$A$5:$A$289,$D1201,'Comp2016-2017 (3)'!$R$5:$R$289,$V1201)*$AB1201))</f>
        <v/>
      </c>
      <c r="AJ1201" s="222" t="str">
        <f>IF($W1201=AJ$3,$AB1201,IF(NOT($W1201=0),"",SUMIFS('Val-Vol (2)'!AJ$4:AJ$1858,'Val-Vol (2)'!$A$4:$A$1858,$D1201,'Val-Vol (2)'!$V$4:$V$1858,$V1201)/SUMIFS('Comp2016-2017 (3)'!$G$5:$G$289,'Comp2016-2017 (3)'!$A$5:$A$289,$D1201,'Comp2016-2017 (3)'!$R$5:$R$289,$V1201)*$AB1201))</f>
        <v/>
      </c>
      <c r="AK1201" s="222">
        <f t="shared" si="149"/>
        <v>0</v>
      </c>
      <c r="AL1201" s="212" t="str">
        <f t="shared" si="150"/>
        <v/>
      </c>
      <c r="AM1201" s="212" t="str">
        <f>VLOOKUP(A1201,'Table corresp.'!$M$4:$U$63,8,FALSE)</f>
        <v>Production intermédiaire</v>
      </c>
      <c r="AN1201" s="212" t="str">
        <f>VLOOKUP(D1201,'Table corresp.'!$M$4:$U$63,9,FALSE)</f>
        <v>Production finale</v>
      </c>
    </row>
    <row r="1202" spans="1:40" x14ac:dyDescent="0.25">
      <c r="A1202" t="s">
        <v>5</v>
      </c>
      <c r="B1202" t="str">
        <f>VLOOKUP(LEFT(A1202,3),'Table corresp.'!$A$4:$D$63,3,FALSE)</f>
        <v>Transformation</v>
      </c>
      <c r="C1202" t="str">
        <f>VLOOKUP(A1202,'Table corresp.'!$M$4:$P$63,4,FALSE)</f>
        <v>Production et transformation de produits bois</v>
      </c>
      <c r="D1202" t="s">
        <v>100</v>
      </c>
      <c r="E1202" t="str">
        <f>VLOOKUP(LEFT(D1202,3),'Table corresp.'!$A$4:$D$63,4,FALSE)</f>
        <v>Transformation</v>
      </c>
      <c r="F1202" t="str">
        <f t="shared" si="152"/>
        <v xml:space="preserve">09  - 48 </v>
      </c>
      <c r="G1202" s="213">
        <v>15355.434503279097</v>
      </c>
      <c r="H1202" s="213">
        <v>0</v>
      </c>
      <c r="I1202" s="213">
        <v>15355.434503284281</v>
      </c>
      <c r="J1202" s="215">
        <v>65.078527461250218</v>
      </c>
      <c r="K1202" s="215">
        <v>0</v>
      </c>
      <c r="L1202" s="215">
        <v>65.078527461250218</v>
      </c>
      <c r="M1202" s="215"/>
      <c r="N1202" s="215"/>
      <c r="O1202" s="215"/>
      <c r="P1202" s="215"/>
      <c r="Q1202" s="215"/>
      <c r="R1202" s="215"/>
      <c r="S1202" s="213"/>
      <c r="T1202" s="212">
        <f>VLOOKUP(A1202,'Groupe de branches'!$Z$27:$AM$86,14,FALSE)</f>
        <v>0</v>
      </c>
      <c r="U1202" s="212">
        <f>VLOOKUP(D1202,'Groupe de branches'!$Z$27:$AM$86,14,FALSE)</f>
        <v>0</v>
      </c>
      <c r="V1202" s="212">
        <v>2019</v>
      </c>
      <c r="W1202" s="212" t="str">
        <f>VLOOKUP(D1202,'Table corresp.'!$M$4:$S$63,7,FALSE)</f>
        <v>Produits de consommation courante</v>
      </c>
      <c r="X1202" s="228">
        <f>IFERROR(G1202/SUMIFS('Comp2016-2017 (3)'!$I$5:$I$289,'Comp2016-2017 (3)'!$A$5:$A$289,A1202,'Comp2016-2017 (3)'!$R$5:$R$289,V1202),0)</f>
        <v>0.15944705347685142</v>
      </c>
      <c r="Y1202" s="214" t="e">
        <f>IF(RIGHT(F1202,3)="Exp",VLOOKUP(F1202,#REF!,2,FALSE),VLOOKUP(F1202,#REF!,9,FALSE))</f>
        <v>#REF!</v>
      </c>
      <c r="Z1202" s="225" t="str">
        <f t="shared" si="151"/>
        <v/>
      </c>
      <c r="AA1202" s="225" t="e">
        <f t="shared" si="148"/>
        <v>#VALUE!</v>
      </c>
      <c r="AB1202" s="222">
        <f>IFERROR(SUMIFS('Comp2016-2017 (3)'!$G$5:$G$289,'Comp2016-2017 (3)'!$A$5:$A$289,A1202,'Comp2016-2017 (3)'!$R$5:$R$289,V1202)*AA1202/SUMIFS($AA$4:$AA$1858,$A$4:$A$1858,A1202,$V$4:$V$1858,V1202),0)</f>
        <v>0</v>
      </c>
      <c r="AC1202" s="222" t="str">
        <f>IF($W1202=AC$3,$AB1202,IF(NOT($W1202=0),"",SUMIFS('Val-Vol (2)'!AC$4:AC$1858,'Val-Vol (2)'!$A$4:$A$1858,$D1202,'Val-Vol (2)'!$V$4:$V$1858,$V1202)/SUMIFS('Comp2016-2017 (3)'!$G$5:$G$289,'Comp2016-2017 (3)'!$A$5:$A$289,$D1202,'Comp2016-2017 (3)'!$R$5:$R$289,$V1202)*$AB1202))</f>
        <v/>
      </c>
      <c r="AD1202" s="222" t="str">
        <f>IF($W1202=AD$3,$AB1202,IF(NOT($W1202=0),"",SUMIFS('Val-Vol (2)'!AD$4:AD$1858,'Val-Vol (2)'!$A$4:$A$1858,$D1202,'Val-Vol (2)'!$V$4:$V$1858,$V1202)/SUMIFS('Comp2016-2017 (3)'!$G$5:$G$289,'Comp2016-2017 (3)'!$A$5:$A$289,$D1202,'Comp2016-2017 (3)'!$R$5:$R$289,$V1202)*$AB1202))</f>
        <v/>
      </c>
      <c r="AE1202" s="222" t="str">
        <f>IF($W1202=AE$3,$AB1202,IF(NOT($W1202=0),"",SUMIFS('Val-Vol (2)'!AE$4:AE$1858,'Val-Vol (2)'!$A$4:$A$1858,$D1202,'Val-Vol (2)'!$V$4:$V$1858,$V1202)/SUMIFS('Comp2016-2017 (3)'!$G$5:$G$289,'Comp2016-2017 (3)'!$A$5:$A$289,$D1202,'Comp2016-2017 (3)'!$R$5:$R$289,$V1202)*$AB1202))</f>
        <v/>
      </c>
      <c r="AF1202" s="222" t="str">
        <f>IF($W1202=AF$3,$AB1202,IF(NOT($W1202=0),"",SUMIFS('Val-Vol (2)'!AF$4:AF$1858,'Val-Vol (2)'!$A$4:$A$1858,$D1202,'Val-Vol (2)'!$V$4:$V$1858,$V1202)/SUMIFS('Comp2016-2017 (3)'!$G$5:$G$289,'Comp2016-2017 (3)'!$A$5:$A$289,$D1202,'Comp2016-2017 (3)'!$R$5:$R$289,$V1202)*$AB1202))</f>
        <v/>
      </c>
      <c r="AG1202" s="222" t="str">
        <f>IF($W1202=AG$3,$AB1202,IF(NOT($W1202=0),"",SUMIFS('Val-Vol (2)'!AG$4:AG$1858,'Val-Vol (2)'!$A$4:$A$1858,$D1202,'Val-Vol (2)'!$V$4:$V$1858,$V1202)/SUMIFS('Comp2016-2017 (3)'!$G$5:$G$289,'Comp2016-2017 (3)'!$A$5:$A$289,$D1202,'Comp2016-2017 (3)'!$R$5:$R$289,$V1202)*$AB1202))</f>
        <v/>
      </c>
      <c r="AH1202" s="222" t="str">
        <f>IF($W1202=AH$3,$AB1202,IF(NOT($W1202=0),"",SUMIFS('Val-Vol (2)'!AH$4:AH$1858,'Val-Vol (2)'!$A$4:$A$1858,$D1202,'Val-Vol (2)'!$V$4:$V$1858,$V1202)/SUMIFS('Comp2016-2017 (3)'!$G$5:$G$289,'Comp2016-2017 (3)'!$A$5:$A$289,$D1202,'Comp2016-2017 (3)'!$R$5:$R$289,$V1202)*$AB1202))</f>
        <v/>
      </c>
      <c r="AI1202" s="222">
        <f>IF($W1202=AI$3,$AB1202,IF(NOT($W1202=0),"",SUMIFS('Val-Vol (2)'!AI$4:AI$1858,'Val-Vol (2)'!$A$4:$A$1858,$D1202,'Val-Vol (2)'!$V$4:$V$1858,$V1202)/SUMIFS('Comp2016-2017 (3)'!$G$5:$G$289,'Comp2016-2017 (3)'!$A$5:$A$289,$D1202,'Comp2016-2017 (3)'!$R$5:$R$289,$V1202)*$AB1202))</f>
        <v>0</v>
      </c>
      <c r="AJ1202" s="222" t="str">
        <f>IF($W1202=AJ$3,$AB1202,IF(NOT($W1202=0),"",SUMIFS('Val-Vol (2)'!AJ$4:AJ$1858,'Val-Vol (2)'!$A$4:$A$1858,$D1202,'Val-Vol (2)'!$V$4:$V$1858,$V1202)/SUMIFS('Comp2016-2017 (3)'!$G$5:$G$289,'Comp2016-2017 (3)'!$A$5:$A$289,$D1202,'Comp2016-2017 (3)'!$R$5:$R$289,$V1202)*$AB1202))</f>
        <v/>
      </c>
      <c r="AK1202" s="222">
        <f t="shared" si="149"/>
        <v>0</v>
      </c>
      <c r="AL1202" s="212" t="str">
        <f t="shared" si="150"/>
        <v/>
      </c>
      <c r="AM1202" s="212" t="str">
        <f>VLOOKUP(A1202,'Table corresp.'!$M$4:$U$63,8,FALSE)</f>
        <v>Production intermédiaire</v>
      </c>
      <c r="AN1202" s="212" t="str">
        <f>VLOOKUP(D1202,'Table corresp.'!$M$4:$U$63,9,FALSE)</f>
        <v>Production finale</v>
      </c>
    </row>
    <row r="1203" spans="1:40" x14ac:dyDescent="0.25">
      <c r="A1203" t="s">
        <v>5</v>
      </c>
      <c r="B1203" t="str">
        <f>VLOOKUP(LEFT(A1203,3),'Table corresp.'!$A$4:$D$63,3,FALSE)</f>
        <v>Transformation</v>
      </c>
      <c r="C1203" t="str">
        <f>VLOOKUP(A1203,'Table corresp.'!$M$4:$P$63,4,FALSE)</f>
        <v>Production et transformation de produits bois</v>
      </c>
      <c r="D1203" t="s">
        <v>19</v>
      </c>
      <c r="E1203" t="str">
        <f>VLOOKUP(LEFT(D1203,3),'Table corresp.'!$A$4:$D$63,4,FALSE)</f>
        <v>Transformation</v>
      </c>
      <c r="F1203" t="str">
        <f t="shared" si="152"/>
        <v xml:space="preserve">09  - 52 </v>
      </c>
      <c r="G1203" s="213">
        <v>8460.9269755196619</v>
      </c>
      <c r="H1203" s="213">
        <v>1712.2496932176505</v>
      </c>
      <c r="I1203" s="213">
        <v>10173.176668737797</v>
      </c>
      <c r="J1203" s="215">
        <v>56.349257721571362</v>
      </c>
      <c r="K1203" s="215">
        <v>4.674720212321418</v>
      </c>
      <c r="L1203" s="215">
        <v>61.02397793389278</v>
      </c>
      <c r="M1203" s="215"/>
      <c r="N1203" s="215"/>
      <c r="O1203" s="215"/>
      <c r="P1203" s="215"/>
      <c r="Q1203" s="215"/>
      <c r="R1203" s="215"/>
      <c r="S1203" s="213"/>
      <c r="T1203" s="212">
        <f>VLOOKUP(A1203,'Groupe de branches'!$Z$27:$AM$86,14,FALSE)</f>
        <v>0</v>
      </c>
      <c r="U1203" s="212">
        <f>VLOOKUP(D1203,'Groupe de branches'!$Z$27:$AM$86,14,FALSE)</f>
        <v>0</v>
      </c>
      <c r="V1203" s="212">
        <v>2019</v>
      </c>
      <c r="W1203" s="212" t="str">
        <f>VLOOKUP(D1203,'Table corresp.'!$M$4:$S$63,7,FALSE)</f>
        <v>Construction</v>
      </c>
      <c r="X1203" s="228">
        <f>IFERROR(G1203/SUMIFS('Comp2016-2017 (3)'!$I$5:$I$289,'Comp2016-2017 (3)'!$A$5:$A$289,A1203,'Comp2016-2017 (3)'!$R$5:$R$289,V1203),0)</f>
        <v>8.7856183792215672E-2</v>
      </c>
      <c r="Y1203" s="214" t="e">
        <f>IF(RIGHT(F1203,3)="Exp",VLOOKUP(F1203,#REF!,2,FALSE),VLOOKUP(F1203,#REF!,9,FALSE))</f>
        <v>#REF!</v>
      </c>
      <c r="Z1203" s="225" t="str">
        <f t="shared" si="151"/>
        <v/>
      </c>
      <c r="AA1203" s="225" t="e">
        <f t="shared" si="148"/>
        <v>#VALUE!</v>
      </c>
      <c r="AB1203" s="222">
        <f>IFERROR(SUMIFS('Comp2016-2017 (3)'!$G$5:$G$289,'Comp2016-2017 (3)'!$A$5:$A$289,A1203,'Comp2016-2017 (3)'!$R$5:$R$289,V1203)*AA1203/SUMIFS($AA$4:$AA$1858,$A$4:$A$1858,A1203,$V$4:$V$1858,V1203),0)</f>
        <v>0</v>
      </c>
      <c r="AC1203" s="222" t="str">
        <f>IF($W1203=AC$3,$AB1203,IF(NOT($W1203=0),"",SUMIFS('Val-Vol (2)'!AC$4:AC$1858,'Val-Vol (2)'!$A$4:$A$1858,$D1203,'Val-Vol (2)'!$V$4:$V$1858,$V1203)/SUMIFS('Comp2016-2017 (3)'!$G$5:$G$289,'Comp2016-2017 (3)'!$A$5:$A$289,$D1203,'Comp2016-2017 (3)'!$R$5:$R$289,$V1203)*$AB1203))</f>
        <v/>
      </c>
      <c r="AD1203" s="222">
        <f>IF($W1203=AD$3,$AB1203,IF(NOT($W1203=0),"",SUMIFS('Val-Vol (2)'!AD$4:AD$1858,'Val-Vol (2)'!$A$4:$A$1858,$D1203,'Val-Vol (2)'!$V$4:$V$1858,$V1203)/SUMIFS('Comp2016-2017 (3)'!$G$5:$G$289,'Comp2016-2017 (3)'!$A$5:$A$289,$D1203,'Comp2016-2017 (3)'!$R$5:$R$289,$V1203)*$AB1203))</f>
        <v>0</v>
      </c>
      <c r="AE1203" s="222" t="str">
        <f>IF($W1203=AE$3,$AB1203,IF(NOT($W1203=0),"",SUMIFS('Val-Vol (2)'!AE$4:AE$1858,'Val-Vol (2)'!$A$4:$A$1858,$D1203,'Val-Vol (2)'!$V$4:$V$1858,$V1203)/SUMIFS('Comp2016-2017 (3)'!$G$5:$G$289,'Comp2016-2017 (3)'!$A$5:$A$289,$D1203,'Comp2016-2017 (3)'!$R$5:$R$289,$V1203)*$AB1203))</f>
        <v/>
      </c>
      <c r="AF1203" s="222" t="str">
        <f>IF($W1203=AF$3,$AB1203,IF(NOT($W1203=0),"",SUMIFS('Val-Vol (2)'!AF$4:AF$1858,'Val-Vol (2)'!$A$4:$A$1858,$D1203,'Val-Vol (2)'!$V$4:$V$1858,$V1203)/SUMIFS('Comp2016-2017 (3)'!$G$5:$G$289,'Comp2016-2017 (3)'!$A$5:$A$289,$D1203,'Comp2016-2017 (3)'!$R$5:$R$289,$V1203)*$AB1203))</f>
        <v/>
      </c>
      <c r="AG1203" s="222" t="str">
        <f>IF($W1203=AG$3,$AB1203,IF(NOT($W1203=0),"",SUMIFS('Val-Vol (2)'!AG$4:AG$1858,'Val-Vol (2)'!$A$4:$A$1858,$D1203,'Val-Vol (2)'!$V$4:$V$1858,$V1203)/SUMIFS('Comp2016-2017 (3)'!$G$5:$G$289,'Comp2016-2017 (3)'!$A$5:$A$289,$D1203,'Comp2016-2017 (3)'!$R$5:$R$289,$V1203)*$AB1203))</f>
        <v/>
      </c>
      <c r="AH1203" s="222" t="str">
        <f>IF($W1203=AH$3,$AB1203,IF(NOT($W1203=0),"",SUMIFS('Val-Vol (2)'!AH$4:AH$1858,'Val-Vol (2)'!$A$4:$A$1858,$D1203,'Val-Vol (2)'!$V$4:$V$1858,$V1203)/SUMIFS('Comp2016-2017 (3)'!$G$5:$G$289,'Comp2016-2017 (3)'!$A$5:$A$289,$D1203,'Comp2016-2017 (3)'!$R$5:$R$289,$V1203)*$AB1203))</f>
        <v/>
      </c>
      <c r="AI1203" s="222" t="str">
        <f>IF($W1203=AI$3,$AB1203,IF(NOT($W1203=0),"",SUMIFS('Val-Vol (2)'!AI$4:AI$1858,'Val-Vol (2)'!$A$4:$A$1858,$D1203,'Val-Vol (2)'!$V$4:$V$1858,$V1203)/SUMIFS('Comp2016-2017 (3)'!$G$5:$G$289,'Comp2016-2017 (3)'!$A$5:$A$289,$D1203,'Comp2016-2017 (3)'!$R$5:$R$289,$V1203)*$AB1203))</f>
        <v/>
      </c>
      <c r="AJ1203" s="222" t="str">
        <f>IF($W1203=AJ$3,$AB1203,IF(NOT($W1203=0),"",SUMIFS('Val-Vol (2)'!AJ$4:AJ$1858,'Val-Vol (2)'!$A$4:$A$1858,$D1203,'Val-Vol (2)'!$V$4:$V$1858,$V1203)/SUMIFS('Comp2016-2017 (3)'!$G$5:$G$289,'Comp2016-2017 (3)'!$A$5:$A$289,$D1203,'Comp2016-2017 (3)'!$R$5:$R$289,$V1203)*$AB1203))</f>
        <v/>
      </c>
      <c r="AK1203" s="222">
        <f t="shared" si="149"/>
        <v>0</v>
      </c>
      <c r="AL1203" s="212" t="str">
        <f t="shared" si="150"/>
        <v/>
      </c>
      <c r="AM1203" s="212" t="str">
        <f>VLOOKUP(A1203,'Table corresp.'!$M$4:$U$63,8,FALSE)</f>
        <v>Production intermédiaire</v>
      </c>
      <c r="AN1203" s="212" t="str">
        <f>VLOOKUP(D1203,'Table corresp.'!$M$4:$U$63,9,FALSE)</f>
        <v xml:space="preserve">Mise en œuvre </v>
      </c>
    </row>
    <row r="1204" spans="1:40" x14ac:dyDescent="0.25">
      <c r="A1204" t="s">
        <v>5</v>
      </c>
      <c r="B1204" t="str">
        <f>VLOOKUP(LEFT(A1204,3),'Table corresp.'!$A$4:$D$63,3,FALSE)</f>
        <v>Transformation</v>
      </c>
      <c r="C1204" t="str">
        <f>VLOOKUP(A1204,'Table corresp.'!$M$4:$P$63,4,FALSE)</f>
        <v>Production et transformation de produits bois</v>
      </c>
      <c r="D1204" t="s">
        <v>21</v>
      </c>
      <c r="E1204" t="str">
        <f>VLOOKUP(LEFT(D1204,3),'Table corresp.'!$A$4:$D$63,4,FALSE)</f>
        <v>Transformation</v>
      </c>
      <c r="F1204" t="str">
        <f t="shared" si="152"/>
        <v xml:space="preserve">09  - 54 </v>
      </c>
      <c r="G1204" s="213">
        <v>17550.359144927254</v>
      </c>
      <c r="H1204" s="213">
        <v>1784.2536631834719</v>
      </c>
      <c r="I1204" s="213">
        <v>19334.61280811418</v>
      </c>
      <c r="J1204" s="215">
        <v>68.182520996961216</v>
      </c>
      <c r="K1204" s="215">
        <v>2.8415932789874003</v>
      </c>
      <c r="L1204" s="215">
        <v>71.024114275948619</v>
      </c>
      <c r="M1204" s="215"/>
      <c r="N1204" s="215"/>
      <c r="O1204" s="215"/>
      <c r="P1204" s="215"/>
      <c r="Q1204" s="215"/>
      <c r="R1204" s="215"/>
      <c r="S1204" s="213"/>
      <c r="T1204" s="212">
        <f>VLOOKUP(A1204,'Groupe de branches'!$Z$27:$AM$86,14,FALSE)</f>
        <v>0</v>
      </c>
      <c r="U1204" s="212">
        <f>VLOOKUP(D1204,'Groupe de branches'!$Z$27:$AM$86,14,FALSE)</f>
        <v>0</v>
      </c>
      <c r="V1204" s="212">
        <v>2019</v>
      </c>
      <c r="W1204" s="212" t="str">
        <f>VLOOKUP(D1204,'Table corresp.'!$M$4:$S$63,7,FALSE)</f>
        <v>Construction</v>
      </c>
      <c r="X1204" s="228">
        <f>IFERROR(G1204/SUMIFS('Comp2016-2017 (3)'!$I$5:$I$289,'Comp2016-2017 (3)'!$A$5:$A$289,A1204,'Comp2016-2017 (3)'!$R$5:$R$289,V1204),0)</f>
        <v>0.18223861086585247</v>
      </c>
      <c r="Y1204" s="214" t="e">
        <f>IF(RIGHT(F1204,3)="Exp",VLOOKUP(F1204,#REF!,2,FALSE),VLOOKUP(F1204,#REF!,9,FALSE))</f>
        <v>#REF!</v>
      </c>
      <c r="Z1204" s="225" t="str">
        <f t="shared" si="151"/>
        <v/>
      </c>
      <c r="AA1204" s="225" t="e">
        <f t="shared" si="148"/>
        <v>#VALUE!</v>
      </c>
      <c r="AB1204" s="222">
        <f>IFERROR(SUMIFS('Comp2016-2017 (3)'!$G$5:$G$289,'Comp2016-2017 (3)'!$A$5:$A$289,A1204,'Comp2016-2017 (3)'!$R$5:$R$289,V1204)*AA1204/SUMIFS($AA$4:$AA$1858,$A$4:$A$1858,A1204,$V$4:$V$1858,V1204),0)</f>
        <v>0</v>
      </c>
      <c r="AC1204" s="222" t="str">
        <f>IF($W1204=AC$3,$AB1204,IF(NOT($W1204=0),"",SUMIFS('Val-Vol (2)'!AC$4:AC$1858,'Val-Vol (2)'!$A$4:$A$1858,$D1204,'Val-Vol (2)'!$V$4:$V$1858,$V1204)/SUMIFS('Comp2016-2017 (3)'!$G$5:$G$289,'Comp2016-2017 (3)'!$A$5:$A$289,$D1204,'Comp2016-2017 (3)'!$R$5:$R$289,$V1204)*$AB1204))</f>
        <v/>
      </c>
      <c r="AD1204" s="222">
        <f>IF($W1204=AD$3,$AB1204,IF(NOT($W1204=0),"",SUMIFS('Val-Vol (2)'!AD$4:AD$1858,'Val-Vol (2)'!$A$4:$A$1858,$D1204,'Val-Vol (2)'!$V$4:$V$1858,$V1204)/SUMIFS('Comp2016-2017 (3)'!$G$5:$G$289,'Comp2016-2017 (3)'!$A$5:$A$289,$D1204,'Comp2016-2017 (3)'!$R$5:$R$289,$V1204)*$AB1204))</f>
        <v>0</v>
      </c>
      <c r="AE1204" s="222" t="str">
        <f>IF($W1204=AE$3,$AB1204,IF(NOT($W1204=0),"",SUMIFS('Val-Vol (2)'!AE$4:AE$1858,'Val-Vol (2)'!$A$4:$A$1858,$D1204,'Val-Vol (2)'!$V$4:$V$1858,$V1204)/SUMIFS('Comp2016-2017 (3)'!$G$5:$G$289,'Comp2016-2017 (3)'!$A$5:$A$289,$D1204,'Comp2016-2017 (3)'!$R$5:$R$289,$V1204)*$AB1204))</f>
        <v/>
      </c>
      <c r="AF1204" s="222" t="str">
        <f>IF($W1204=AF$3,$AB1204,IF(NOT($W1204=0),"",SUMIFS('Val-Vol (2)'!AF$4:AF$1858,'Val-Vol (2)'!$A$4:$A$1858,$D1204,'Val-Vol (2)'!$V$4:$V$1858,$V1204)/SUMIFS('Comp2016-2017 (3)'!$G$5:$G$289,'Comp2016-2017 (3)'!$A$5:$A$289,$D1204,'Comp2016-2017 (3)'!$R$5:$R$289,$V1204)*$AB1204))</f>
        <v/>
      </c>
      <c r="AG1204" s="222" t="str">
        <f>IF($W1204=AG$3,$AB1204,IF(NOT($W1204=0),"",SUMIFS('Val-Vol (2)'!AG$4:AG$1858,'Val-Vol (2)'!$A$4:$A$1858,$D1204,'Val-Vol (2)'!$V$4:$V$1858,$V1204)/SUMIFS('Comp2016-2017 (3)'!$G$5:$G$289,'Comp2016-2017 (3)'!$A$5:$A$289,$D1204,'Comp2016-2017 (3)'!$R$5:$R$289,$V1204)*$AB1204))</f>
        <v/>
      </c>
      <c r="AH1204" s="222" t="str">
        <f>IF($W1204=AH$3,$AB1204,IF(NOT($W1204=0),"",SUMIFS('Val-Vol (2)'!AH$4:AH$1858,'Val-Vol (2)'!$A$4:$A$1858,$D1204,'Val-Vol (2)'!$V$4:$V$1858,$V1204)/SUMIFS('Comp2016-2017 (3)'!$G$5:$G$289,'Comp2016-2017 (3)'!$A$5:$A$289,$D1204,'Comp2016-2017 (3)'!$R$5:$R$289,$V1204)*$AB1204))</f>
        <v/>
      </c>
      <c r="AI1204" s="222" t="str">
        <f>IF($W1204=AI$3,$AB1204,IF(NOT($W1204=0),"",SUMIFS('Val-Vol (2)'!AI$4:AI$1858,'Val-Vol (2)'!$A$4:$A$1858,$D1204,'Val-Vol (2)'!$V$4:$V$1858,$V1204)/SUMIFS('Comp2016-2017 (3)'!$G$5:$G$289,'Comp2016-2017 (3)'!$A$5:$A$289,$D1204,'Comp2016-2017 (3)'!$R$5:$R$289,$V1204)*$AB1204))</f>
        <v/>
      </c>
      <c r="AJ1204" s="222" t="str">
        <f>IF($W1204=AJ$3,$AB1204,IF(NOT($W1204=0),"",SUMIFS('Val-Vol (2)'!AJ$4:AJ$1858,'Val-Vol (2)'!$A$4:$A$1858,$D1204,'Val-Vol (2)'!$V$4:$V$1858,$V1204)/SUMIFS('Comp2016-2017 (3)'!$G$5:$G$289,'Comp2016-2017 (3)'!$A$5:$A$289,$D1204,'Comp2016-2017 (3)'!$R$5:$R$289,$V1204)*$AB1204))</f>
        <v/>
      </c>
      <c r="AK1204" s="222">
        <f t="shared" si="149"/>
        <v>0</v>
      </c>
      <c r="AL1204" s="212" t="str">
        <f t="shared" si="150"/>
        <v/>
      </c>
      <c r="AM1204" s="212" t="str">
        <f>VLOOKUP(A1204,'Table corresp.'!$M$4:$U$63,8,FALSE)</f>
        <v>Production intermédiaire</v>
      </c>
      <c r="AN1204" s="212" t="str">
        <f>VLOOKUP(D1204,'Table corresp.'!$M$4:$U$63,9,FALSE)</f>
        <v xml:space="preserve">Mise en œuvre </v>
      </c>
    </row>
    <row r="1205" spans="1:40" x14ac:dyDescent="0.25">
      <c r="A1205" t="s">
        <v>5</v>
      </c>
      <c r="B1205" t="str">
        <f>VLOOKUP(LEFT(A1205,3),'Table corresp.'!$A$4:$D$63,3,FALSE)</f>
        <v>Transformation</v>
      </c>
      <c r="C1205" t="str">
        <f>VLOOKUP(A1205,'Table corresp.'!$M$4:$P$63,4,FALSE)</f>
        <v>Production et transformation de produits bois</v>
      </c>
      <c r="D1205" t="s">
        <v>22</v>
      </c>
      <c r="E1205" t="str">
        <f>VLOOKUP(LEFT(D1205,3),'Table corresp.'!$A$4:$D$63,4,FALSE)</f>
        <v>Transformation</v>
      </c>
      <c r="F1205" t="str">
        <f t="shared" si="152"/>
        <v xml:space="preserve">09  - 55 </v>
      </c>
      <c r="G1205" s="213">
        <v>1623.0804266911382</v>
      </c>
      <c r="H1205" s="213">
        <v>0</v>
      </c>
      <c r="I1205" s="213">
        <v>1623.0804266916862</v>
      </c>
      <c r="J1205" s="215">
        <v>6.3056097233549808</v>
      </c>
      <c r="K1205" s="215">
        <v>0</v>
      </c>
      <c r="L1205" s="215">
        <v>6.3056097233549808</v>
      </c>
      <c r="M1205" s="215"/>
      <c r="N1205" s="215"/>
      <c r="O1205" s="215"/>
      <c r="P1205" s="215"/>
      <c r="Q1205" s="215"/>
      <c r="R1205" s="215"/>
      <c r="S1205" s="213"/>
      <c r="T1205" s="212">
        <f>VLOOKUP(A1205,'Groupe de branches'!$Z$27:$AM$86,14,FALSE)</f>
        <v>0</v>
      </c>
      <c r="U1205" s="212">
        <f>VLOOKUP(D1205,'Groupe de branches'!$Z$27:$AM$86,14,FALSE)</f>
        <v>0</v>
      </c>
      <c r="V1205" s="212">
        <v>2019</v>
      </c>
      <c r="W1205" s="212" t="str">
        <f>VLOOKUP(D1205,'Table corresp.'!$M$4:$S$63,7,FALSE)</f>
        <v>Construction</v>
      </c>
      <c r="X1205" s="228">
        <f>IFERROR(G1205/SUMIFS('Comp2016-2017 (3)'!$I$5:$I$289,'Comp2016-2017 (3)'!$A$5:$A$289,A1205,'Comp2016-2017 (3)'!$R$5:$R$289,V1205),0)</f>
        <v>1.6853667770624654E-2</v>
      </c>
      <c r="Y1205" s="214" t="e">
        <f>IF(RIGHT(F1205,3)="Exp",VLOOKUP(F1205,#REF!,2,FALSE),VLOOKUP(F1205,#REF!,9,FALSE))</f>
        <v>#REF!</v>
      </c>
      <c r="Z1205" s="225" t="str">
        <f t="shared" si="151"/>
        <v/>
      </c>
      <c r="AA1205" s="225" t="e">
        <f t="shared" si="148"/>
        <v>#VALUE!</v>
      </c>
      <c r="AB1205" s="222">
        <f>IFERROR(SUMIFS('Comp2016-2017 (3)'!$G$5:$G$289,'Comp2016-2017 (3)'!$A$5:$A$289,A1205,'Comp2016-2017 (3)'!$R$5:$R$289,V1205)*AA1205/SUMIFS($AA$4:$AA$1858,$A$4:$A$1858,A1205,$V$4:$V$1858,V1205),0)</f>
        <v>0</v>
      </c>
      <c r="AC1205" s="222" t="str">
        <f>IF($W1205=AC$3,$AB1205,IF(NOT($W1205=0),"",SUMIFS('Val-Vol (2)'!AC$4:AC$1858,'Val-Vol (2)'!$A$4:$A$1858,$D1205,'Val-Vol (2)'!$V$4:$V$1858,$V1205)/SUMIFS('Comp2016-2017 (3)'!$G$5:$G$289,'Comp2016-2017 (3)'!$A$5:$A$289,$D1205,'Comp2016-2017 (3)'!$R$5:$R$289,$V1205)*$AB1205))</f>
        <v/>
      </c>
      <c r="AD1205" s="222">
        <f>IF($W1205=AD$3,$AB1205,IF(NOT($W1205=0),"",SUMIFS('Val-Vol (2)'!AD$4:AD$1858,'Val-Vol (2)'!$A$4:$A$1858,$D1205,'Val-Vol (2)'!$V$4:$V$1858,$V1205)/SUMIFS('Comp2016-2017 (3)'!$G$5:$G$289,'Comp2016-2017 (3)'!$A$5:$A$289,$D1205,'Comp2016-2017 (3)'!$R$5:$R$289,$V1205)*$AB1205))</f>
        <v>0</v>
      </c>
      <c r="AE1205" s="222" t="str">
        <f>IF($W1205=AE$3,$AB1205,IF(NOT($W1205=0),"",SUMIFS('Val-Vol (2)'!AE$4:AE$1858,'Val-Vol (2)'!$A$4:$A$1858,$D1205,'Val-Vol (2)'!$V$4:$V$1858,$V1205)/SUMIFS('Comp2016-2017 (3)'!$G$5:$G$289,'Comp2016-2017 (3)'!$A$5:$A$289,$D1205,'Comp2016-2017 (3)'!$R$5:$R$289,$V1205)*$AB1205))</f>
        <v/>
      </c>
      <c r="AF1205" s="222" t="str">
        <f>IF($W1205=AF$3,$AB1205,IF(NOT($W1205=0),"",SUMIFS('Val-Vol (2)'!AF$4:AF$1858,'Val-Vol (2)'!$A$4:$A$1858,$D1205,'Val-Vol (2)'!$V$4:$V$1858,$V1205)/SUMIFS('Comp2016-2017 (3)'!$G$5:$G$289,'Comp2016-2017 (3)'!$A$5:$A$289,$D1205,'Comp2016-2017 (3)'!$R$5:$R$289,$V1205)*$AB1205))</f>
        <v/>
      </c>
      <c r="AG1205" s="222" t="str">
        <f>IF($W1205=AG$3,$AB1205,IF(NOT($W1205=0),"",SUMIFS('Val-Vol (2)'!AG$4:AG$1858,'Val-Vol (2)'!$A$4:$A$1858,$D1205,'Val-Vol (2)'!$V$4:$V$1858,$V1205)/SUMIFS('Comp2016-2017 (3)'!$G$5:$G$289,'Comp2016-2017 (3)'!$A$5:$A$289,$D1205,'Comp2016-2017 (3)'!$R$5:$R$289,$V1205)*$AB1205))</f>
        <v/>
      </c>
      <c r="AH1205" s="222" t="str">
        <f>IF($W1205=AH$3,$AB1205,IF(NOT($W1205=0),"",SUMIFS('Val-Vol (2)'!AH$4:AH$1858,'Val-Vol (2)'!$A$4:$A$1858,$D1205,'Val-Vol (2)'!$V$4:$V$1858,$V1205)/SUMIFS('Comp2016-2017 (3)'!$G$5:$G$289,'Comp2016-2017 (3)'!$A$5:$A$289,$D1205,'Comp2016-2017 (3)'!$R$5:$R$289,$V1205)*$AB1205))</f>
        <v/>
      </c>
      <c r="AI1205" s="222" t="str">
        <f>IF($W1205=AI$3,$AB1205,IF(NOT($W1205=0),"",SUMIFS('Val-Vol (2)'!AI$4:AI$1858,'Val-Vol (2)'!$A$4:$A$1858,$D1205,'Val-Vol (2)'!$V$4:$V$1858,$V1205)/SUMIFS('Comp2016-2017 (3)'!$G$5:$G$289,'Comp2016-2017 (3)'!$A$5:$A$289,$D1205,'Comp2016-2017 (3)'!$R$5:$R$289,$V1205)*$AB1205))</f>
        <v/>
      </c>
      <c r="AJ1205" s="222" t="str">
        <f>IF($W1205=AJ$3,$AB1205,IF(NOT($W1205=0),"",SUMIFS('Val-Vol (2)'!AJ$4:AJ$1858,'Val-Vol (2)'!$A$4:$A$1858,$D1205,'Val-Vol (2)'!$V$4:$V$1858,$V1205)/SUMIFS('Comp2016-2017 (3)'!$G$5:$G$289,'Comp2016-2017 (3)'!$A$5:$A$289,$D1205,'Comp2016-2017 (3)'!$R$5:$R$289,$V1205)*$AB1205))</f>
        <v/>
      </c>
      <c r="AK1205" s="222">
        <f t="shared" si="149"/>
        <v>0</v>
      </c>
      <c r="AL1205" s="212" t="str">
        <f t="shared" si="150"/>
        <v/>
      </c>
      <c r="AM1205" s="212" t="str">
        <f>VLOOKUP(A1205,'Table corresp.'!$M$4:$U$63,8,FALSE)</f>
        <v>Production intermédiaire</v>
      </c>
      <c r="AN1205" s="212" t="str">
        <f>VLOOKUP(D1205,'Table corresp.'!$M$4:$U$63,9,FALSE)</f>
        <v xml:space="preserve">Mise en œuvre </v>
      </c>
    </row>
    <row r="1206" spans="1:40" x14ac:dyDescent="0.25">
      <c r="A1206" t="s">
        <v>5</v>
      </c>
      <c r="B1206" t="str">
        <f>VLOOKUP(LEFT(A1206,3),'Table corresp.'!$A$4:$D$63,3,FALSE)</f>
        <v>Transformation</v>
      </c>
      <c r="C1206" t="str">
        <f>VLOOKUP(A1206,'Table corresp.'!$M$4:$P$63,4,FALSE)</f>
        <v>Production et transformation de produits bois</v>
      </c>
      <c r="D1206" t="s">
        <v>54</v>
      </c>
      <c r="E1206" t="str">
        <f>VLOOKUP(LEFT(D1206,3),'Table corresp.'!$A$4:$D$63,4,FALSE)</f>
        <v>Consommation finale</v>
      </c>
      <c r="F1206" t="str">
        <f t="shared" si="152"/>
        <v>09  - Con</v>
      </c>
      <c r="G1206" s="213">
        <v>470.80305950228416</v>
      </c>
      <c r="H1206" s="213">
        <v>607.53432337277638</v>
      </c>
      <c r="I1206" s="213">
        <v>1078.3373828743781</v>
      </c>
      <c r="J1206" s="215">
        <v>3.954320859345104</v>
      </c>
      <c r="K1206" s="215">
        <v>3.3833582467244749</v>
      </c>
      <c r="L1206" s="215">
        <v>7.3376791060695794</v>
      </c>
      <c r="M1206" s="215"/>
      <c r="N1206" s="215"/>
      <c r="O1206" s="215"/>
      <c r="P1206" s="215"/>
      <c r="Q1206" s="215"/>
      <c r="R1206" s="215"/>
      <c r="S1206" s="213"/>
      <c r="T1206" s="212">
        <f>VLOOKUP(A1206,'Groupe de branches'!$Z$27:$AM$86,14,FALSE)</f>
        <v>0</v>
      </c>
      <c r="U1206" s="212">
        <f>VLOOKUP(D1206,'Groupe de branches'!$Z$27:$AM$86,14,FALSE)</f>
        <v>0</v>
      </c>
      <c r="V1206" s="212">
        <v>2019</v>
      </c>
      <c r="W1206" s="212" t="str">
        <f>VLOOKUP(D1206,'Table corresp.'!$M$4:$S$63,7,FALSE)</f>
        <v>Consommation finale</v>
      </c>
      <c r="X1206" s="228">
        <f>IFERROR(G1206/SUMIFS('Comp2016-2017 (3)'!$I$5:$I$289,'Comp2016-2017 (3)'!$A$5:$A$289,A1206,'Comp2016-2017 (3)'!$R$5:$R$289,V1206),0)</f>
        <v>4.8887031226303255E-3</v>
      </c>
      <c r="Y1206" s="214" t="e">
        <f>IF(RIGHT(F1206,3)="Exp",VLOOKUP(F1206,#REF!,2,FALSE),VLOOKUP(F1206,#REF!,9,FALSE))</f>
        <v>#REF!</v>
      </c>
      <c r="Z1206" s="225" t="str">
        <f t="shared" si="151"/>
        <v/>
      </c>
      <c r="AA1206" s="225" t="e">
        <f t="shared" si="148"/>
        <v>#VALUE!</v>
      </c>
      <c r="AB1206" s="222">
        <f>IFERROR(SUMIFS('Comp2016-2017 (3)'!$G$5:$G$289,'Comp2016-2017 (3)'!$A$5:$A$289,A1206,'Comp2016-2017 (3)'!$R$5:$R$289,V1206)*AA1206/SUMIFS($AA$4:$AA$1858,$A$4:$A$1858,A1206,$V$4:$V$1858,V1206),0)</f>
        <v>0</v>
      </c>
      <c r="AC1206" s="222" t="str">
        <f>IF($W1206=AC$3,$AB1206,IF(NOT($W1206=0),"",SUMIFS('Val-Vol (2)'!AC$4:AC$1858,'Val-Vol (2)'!$A$4:$A$1858,$D1206,'Val-Vol (2)'!$V$4:$V$1858,$V1206)/SUMIFS('Comp2016-2017 (3)'!$G$5:$G$289,'Comp2016-2017 (3)'!$A$5:$A$289,$D1206,'Comp2016-2017 (3)'!$R$5:$R$289,$V1206)*$AB1206))</f>
        <v/>
      </c>
      <c r="AD1206" s="222" t="str">
        <f>IF($W1206=AD$3,$AB1206,IF(NOT($W1206=0),"",SUMIFS('Val-Vol (2)'!AD$4:AD$1858,'Val-Vol (2)'!$A$4:$A$1858,$D1206,'Val-Vol (2)'!$V$4:$V$1858,$V1206)/SUMIFS('Comp2016-2017 (3)'!$G$5:$G$289,'Comp2016-2017 (3)'!$A$5:$A$289,$D1206,'Comp2016-2017 (3)'!$R$5:$R$289,$V1206)*$AB1206))</f>
        <v/>
      </c>
      <c r="AE1206" s="222" t="str">
        <f>IF($W1206=AE$3,$AB1206,IF(NOT($W1206=0),"",SUMIFS('Val-Vol (2)'!AE$4:AE$1858,'Val-Vol (2)'!$A$4:$A$1858,$D1206,'Val-Vol (2)'!$V$4:$V$1858,$V1206)/SUMIFS('Comp2016-2017 (3)'!$G$5:$G$289,'Comp2016-2017 (3)'!$A$5:$A$289,$D1206,'Comp2016-2017 (3)'!$R$5:$R$289,$V1206)*$AB1206))</f>
        <v/>
      </c>
      <c r="AF1206" s="222" t="str">
        <f>IF($W1206=AF$3,$AB1206,IF(NOT($W1206=0),"",SUMIFS('Val-Vol (2)'!AF$4:AF$1858,'Val-Vol (2)'!$A$4:$A$1858,$D1206,'Val-Vol (2)'!$V$4:$V$1858,$V1206)/SUMIFS('Comp2016-2017 (3)'!$G$5:$G$289,'Comp2016-2017 (3)'!$A$5:$A$289,$D1206,'Comp2016-2017 (3)'!$R$5:$R$289,$V1206)*$AB1206))</f>
        <v/>
      </c>
      <c r="AG1206" s="222" t="str">
        <f>IF($W1206=AG$3,$AB1206,IF(NOT($W1206=0),"",SUMIFS('Val-Vol (2)'!AG$4:AG$1858,'Val-Vol (2)'!$A$4:$A$1858,$D1206,'Val-Vol (2)'!$V$4:$V$1858,$V1206)/SUMIFS('Comp2016-2017 (3)'!$G$5:$G$289,'Comp2016-2017 (3)'!$A$5:$A$289,$D1206,'Comp2016-2017 (3)'!$R$5:$R$289,$V1206)*$AB1206))</f>
        <v/>
      </c>
      <c r="AH1206" s="222" t="str">
        <f>IF($W1206=AH$3,$AB1206,IF(NOT($W1206=0),"",SUMIFS('Val-Vol (2)'!AH$4:AH$1858,'Val-Vol (2)'!$A$4:$A$1858,$D1206,'Val-Vol (2)'!$V$4:$V$1858,$V1206)/SUMIFS('Comp2016-2017 (3)'!$G$5:$G$289,'Comp2016-2017 (3)'!$A$5:$A$289,$D1206,'Comp2016-2017 (3)'!$R$5:$R$289,$V1206)*$AB1206))</f>
        <v/>
      </c>
      <c r="AI1206" s="222" t="str">
        <f>IF($W1206=AI$3,$AB1206,IF(NOT($W1206=0),"",SUMIFS('Val-Vol (2)'!AI$4:AI$1858,'Val-Vol (2)'!$A$4:$A$1858,$D1206,'Val-Vol (2)'!$V$4:$V$1858,$V1206)/SUMIFS('Comp2016-2017 (3)'!$G$5:$G$289,'Comp2016-2017 (3)'!$A$5:$A$289,$D1206,'Comp2016-2017 (3)'!$R$5:$R$289,$V1206)*$AB1206))</f>
        <v/>
      </c>
      <c r="AJ1206" s="222">
        <f>IF($W1206=AJ$3,$AB1206,IF(NOT($W1206=0),"",SUMIFS('Val-Vol (2)'!AJ$4:AJ$1858,'Val-Vol (2)'!$A$4:$A$1858,$D1206,'Val-Vol (2)'!$V$4:$V$1858,$V1206)/SUMIFS('Comp2016-2017 (3)'!$G$5:$G$289,'Comp2016-2017 (3)'!$A$5:$A$289,$D1206,'Comp2016-2017 (3)'!$R$5:$R$289,$V1206)*$AB1206))</f>
        <v>0</v>
      </c>
      <c r="AK1206" s="222">
        <f t="shared" si="149"/>
        <v>0</v>
      </c>
      <c r="AL1206" s="212" t="str">
        <f t="shared" si="150"/>
        <v/>
      </c>
      <c r="AM1206" s="212" t="str">
        <f>VLOOKUP(A1206,'Table corresp.'!$M$4:$U$63,8,FALSE)</f>
        <v>Production intermédiaire</v>
      </c>
      <c r="AN1206" s="212" t="str">
        <f>VLOOKUP(D1206,'Table corresp.'!$M$4:$U$63,9,FALSE)</f>
        <v>Consommation finale française</v>
      </c>
    </row>
    <row r="1207" spans="1:40" x14ac:dyDescent="0.25">
      <c r="A1207" t="s">
        <v>5</v>
      </c>
      <c r="B1207" t="str">
        <f>VLOOKUP(LEFT(A1207,3),'Table corresp.'!$A$4:$D$63,3,FALSE)</f>
        <v>Transformation</v>
      </c>
      <c r="C1207" t="str">
        <f>VLOOKUP(A1207,'Table corresp.'!$M$4:$P$63,4,FALSE)</f>
        <v>Production et transformation de produits bois</v>
      </c>
      <c r="D1207" t="s">
        <v>53</v>
      </c>
      <c r="E1207" t="str">
        <f>VLOOKUP(LEFT(D1207,3),'Table corresp.'!$A$4:$D$63,4,FALSE)</f>
        <v>Exportation</v>
      </c>
      <c r="F1207" t="str">
        <f t="shared" si="152"/>
        <v>09  - Exp</v>
      </c>
      <c r="G1207" s="213">
        <v>34437.254999988363</v>
      </c>
      <c r="H1207" s="213">
        <v>0</v>
      </c>
      <c r="I1207" s="213">
        <v>34437.25499999999</v>
      </c>
      <c r="J1207" s="215">
        <v>276.73050012252844</v>
      </c>
      <c r="K1207" s="215">
        <v>0</v>
      </c>
      <c r="L1207" s="215">
        <v>276.73050012252844</v>
      </c>
      <c r="M1207" s="215"/>
      <c r="N1207" s="215"/>
      <c r="O1207" s="215"/>
      <c r="P1207" s="215"/>
      <c r="Q1207" s="215"/>
      <c r="R1207" s="215"/>
      <c r="S1207" s="213"/>
      <c r="T1207" s="212">
        <f>VLOOKUP(A1207,'Groupe de branches'!$Z$27:$AM$86,14,FALSE)</f>
        <v>0</v>
      </c>
      <c r="U1207" s="212">
        <f>VLOOKUP(D1207,'Groupe de branches'!$Z$27:$AM$86,14,FALSE)</f>
        <v>0</v>
      </c>
      <c r="V1207" s="212">
        <v>2019</v>
      </c>
      <c r="W1207" s="212" t="str">
        <f>VLOOKUP(D1207,'Table corresp.'!$M$4:$S$63,7,FALSE)</f>
        <v>Exportation</v>
      </c>
      <c r="X1207" s="228">
        <f>IFERROR(G1207/SUMIFS('Comp2016-2017 (3)'!$I$5:$I$289,'Comp2016-2017 (3)'!$A$5:$A$289,A1207,'Comp2016-2017 (3)'!$R$5:$R$289,V1207),0)</f>
        <v>0.3575879821835421</v>
      </c>
      <c r="Y1207" s="214" t="e">
        <f>IF(RIGHT(F1207,3)="Exp",VLOOKUP(F1207,#REF!,2,FALSE),VLOOKUP(F1207,#REF!,9,FALSE))</f>
        <v>#REF!</v>
      </c>
      <c r="Z1207" s="225" t="str">
        <f t="shared" si="151"/>
        <v/>
      </c>
      <c r="AA1207" s="225" t="e">
        <f t="shared" si="148"/>
        <v>#VALUE!</v>
      </c>
      <c r="AB1207" s="222">
        <f>IFERROR(SUMIFS('Comp2016-2017 (3)'!$G$5:$G$289,'Comp2016-2017 (3)'!$A$5:$A$289,A1207,'Comp2016-2017 (3)'!$R$5:$R$289,V1207)*AA1207/SUMIFS($AA$4:$AA$1858,$A$4:$A$1858,A1207,$V$4:$V$1858,V1207),0)</f>
        <v>0</v>
      </c>
      <c r="AC1207" s="222">
        <f>IF($W1207=AC$3,$AB1207,IF(NOT($W1207=0),"",SUMIFS('Val-Vol (2)'!AC$4:AC$1858,'Val-Vol (2)'!$A$4:$A$1858,$D1207,'Val-Vol (2)'!$V$4:$V$1858,$V1207)/SUMIFS('Comp2016-2017 (3)'!$G$5:$G$289,'Comp2016-2017 (3)'!$A$5:$A$289,$D1207,'Comp2016-2017 (3)'!$R$5:$R$289,$V1207)*$AB1207))</f>
        <v>0</v>
      </c>
      <c r="AD1207" s="222" t="str">
        <f>IF($W1207=AD$3,$AB1207,IF(NOT($W1207=0),"",SUMIFS('Val-Vol (2)'!AD$4:AD$1858,'Val-Vol (2)'!$A$4:$A$1858,$D1207,'Val-Vol (2)'!$V$4:$V$1858,$V1207)/SUMIFS('Comp2016-2017 (3)'!$G$5:$G$289,'Comp2016-2017 (3)'!$A$5:$A$289,$D1207,'Comp2016-2017 (3)'!$R$5:$R$289,$V1207)*$AB1207))</f>
        <v/>
      </c>
      <c r="AE1207" s="222" t="str">
        <f>IF($W1207=AE$3,$AB1207,IF(NOT($W1207=0),"",SUMIFS('Val-Vol (2)'!AE$4:AE$1858,'Val-Vol (2)'!$A$4:$A$1858,$D1207,'Val-Vol (2)'!$V$4:$V$1858,$V1207)/SUMIFS('Comp2016-2017 (3)'!$G$5:$G$289,'Comp2016-2017 (3)'!$A$5:$A$289,$D1207,'Comp2016-2017 (3)'!$R$5:$R$289,$V1207)*$AB1207))</f>
        <v/>
      </c>
      <c r="AF1207" s="222" t="str">
        <f>IF($W1207=AF$3,$AB1207,IF(NOT($W1207=0),"",SUMIFS('Val-Vol (2)'!AF$4:AF$1858,'Val-Vol (2)'!$A$4:$A$1858,$D1207,'Val-Vol (2)'!$V$4:$V$1858,$V1207)/SUMIFS('Comp2016-2017 (3)'!$G$5:$G$289,'Comp2016-2017 (3)'!$A$5:$A$289,$D1207,'Comp2016-2017 (3)'!$R$5:$R$289,$V1207)*$AB1207))</f>
        <v/>
      </c>
      <c r="AG1207" s="222" t="str">
        <f>IF($W1207=AG$3,$AB1207,IF(NOT($W1207=0),"",SUMIFS('Val-Vol (2)'!AG$4:AG$1858,'Val-Vol (2)'!$A$4:$A$1858,$D1207,'Val-Vol (2)'!$V$4:$V$1858,$V1207)/SUMIFS('Comp2016-2017 (3)'!$G$5:$G$289,'Comp2016-2017 (3)'!$A$5:$A$289,$D1207,'Comp2016-2017 (3)'!$R$5:$R$289,$V1207)*$AB1207))</f>
        <v/>
      </c>
      <c r="AH1207" s="222" t="str">
        <f>IF($W1207=AH$3,$AB1207,IF(NOT($W1207=0),"",SUMIFS('Val-Vol (2)'!AH$4:AH$1858,'Val-Vol (2)'!$A$4:$A$1858,$D1207,'Val-Vol (2)'!$V$4:$V$1858,$V1207)/SUMIFS('Comp2016-2017 (3)'!$G$5:$G$289,'Comp2016-2017 (3)'!$A$5:$A$289,$D1207,'Comp2016-2017 (3)'!$R$5:$R$289,$V1207)*$AB1207))</f>
        <v/>
      </c>
      <c r="AI1207" s="222" t="str">
        <f>IF($W1207=AI$3,$AB1207,IF(NOT($W1207=0),"",SUMIFS('Val-Vol (2)'!AI$4:AI$1858,'Val-Vol (2)'!$A$4:$A$1858,$D1207,'Val-Vol (2)'!$V$4:$V$1858,$V1207)/SUMIFS('Comp2016-2017 (3)'!$G$5:$G$289,'Comp2016-2017 (3)'!$A$5:$A$289,$D1207,'Comp2016-2017 (3)'!$R$5:$R$289,$V1207)*$AB1207))</f>
        <v/>
      </c>
      <c r="AJ1207" s="222" t="str">
        <f>IF($W1207=AJ$3,$AB1207,IF(NOT($W1207=0),"",SUMIFS('Val-Vol (2)'!AJ$4:AJ$1858,'Val-Vol (2)'!$A$4:$A$1858,$D1207,'Val-Vol (2)'!$V$4:$V$1858,$V1207)/SUMIFS('Comp2016-2017 (3)'!$G$5:$G$289,'Comp2016-2017 (3)'!$A$5:$A$289,$D1207,'Comp2016-2017 (3)'!$R$5:$R$289,$V1207)*$AB1207))</f>
        <v/>
      </c>
      <c r="AK1207" s="222">
        <f t="shared" si="149"/>
        <v>0</v>
      </c>
      <c r="AL1207" s="212" t="str">
        <f t="shared" si="150"/>
        <v/>
      </c>
      <c r="AM1207" s="212" t="str">
        <f>VLOOKUP(A1207,'Table corresp.'!$M$4:$U$63,8,FALSE)</f>
        <v>Production intermédiaire</v>
      </c>
      <c r="AN1207" s="212" t="str">
        <f>VLOOKUP(D1207,'Table corresp.'!$M$4:$U$63,9,FALSE)</f>
        <v>Exportation</v>
      </c>
    </row>
    <row r="1208" spans="1:40" x14ac:dyDescent="0.25">
      <c r="A1208" t="s">
        <v>82</v>
      </c>
      <c r="B1208" t="str">
        <f>VLOOKUP(LEFT(A1208,3),'Table corresp.'!$A$4:$D$63,3,FALSE)</f>
        <v>Transformation</v>
      </c>
      <c r="C1208" t="str">
        <f>VLOOKUP(A1208,'Table corresp.'!$M$4:$P$63,4,FALSE)</f>
        <v>Production et transformation de produits bois</v>
      </c>
      <c r="D1208" t="s">
        <v>13</v>
      </c>
      <c r="E1208" t="str">
        <f>VLOOKUP(LEFT(D1208,3),'Table corresp.'!$A$4:$D$63,4,FALSE)</f>
        <v>Transformation</v>
      </c>
      <c r="F1208" t="str">
        <f t="shared" si="152"/>
        <v xml:space="preserve">10  - 20 </v>
      </c>
      <c r="G1208" s="213">
        <v>1649.2191311000661</v>
      </c>
      <c r="H1208" s="213">
        <v>828.35984345056318</v>
      </c>
      <c r="I1208" s="213">
        <v>2477.578974550629</v>
      </c>
      <c r="J1208" s="215">
        <v>9.1243284842433283</v>
      </c>
      <c r="K1208" s="215">
        <v>2.7227780259766758</v>
      </c>
      <c r="L1208" s="215">
        <v>11.847106510220005</v>
      </c>
      <c r="M1208" s="215"/>
      <c r="N1208" s="215"/>
      <c r="O1208" s="215"/>
      <c r="P1208" s="215"/>
      <c r="Q1208" s="215"/>
      <c r="R1208" s="215"/>
      <c r="S1208" s="213"/>
      <c r="T1208" s="212">
        <f>VLOOKUP(A1208,'Groupe de branches'!$Z$27:$AM$86,14,FALSE)</f>
        <v>0</v>
      </c>
      <c r="U1208" s="212">
        <f>VLOOKUP(D1208,'Groupe de branches'!$Z$27:$AM$86,14,FALSE)</f>
        <v>0</v>
      </c>
      <c r="V1208" s="212">
        <v>2019</v>
      </c>
      <c r="W1208" s="212">
        <f>VLOOKUP(D1208,'Table corresp.'!$M$4:$S$63,7,FALSE)</f>
        <v>0</v>
      </c>
      <c r="X1208" s="228">
        <f>IFERROR(G1208/SUMIFS('Comp2016-2017 (3)'!$I$5:$I$289,'Comp2016-2017 (3)'!$A$5:$A$289,A1208,'Comp2016-2017 (3)'!$R$5:$R$289,V1208),0)</f>
        <v>1.8438901138471624E-2</v>
      </c>
      <c r="Y1208" s="214" t="e">
        <f>IF(RIGHT(F1208,3)="Exp",VLOOKUP(F1208,#REF!,2,FALSE),VLOOKUP(F1208,#REF!,9,FALSE))</f>
        <v>#REF!</v>
      </c>
      <c r="Z1208" s="225" t="str">
        <f t="shared" si="151"/>
        <v/>
      </c>
      <c r="AA1208" s="225" t="e">
        <f t="shared" si="148"/>
        <v>#VALUE!</v>
      </c>
      <c r="AB1208" s="222">
        <f>IFERROR(SUMIFS('Comp2016-2017 (3)'!$G$5:$G$289,'Comp2016-2017 (3)'!$A$5:$A$289,A1208,'Comp2016-2017 (3)'!$R$5:$R$289,V1208)*AA1208/SUMIFS($AA$4:$AA$1858,$A$4:$A$1858,A1208,$V$4:$V$1858,V1208),0)</f>
        <v>0</v>
      </c>
      <c r="AC1208" s="222">
        <f>IF($W1208=AC$3,$AB1208,IF(NOT($W1208=0),"",SUMIFS('Val-Vol (2)'!AC$4:AC$1858,'Val-Vol (2)'!$A$4:$A$1858,$D1208,'Val-Vol (2)'!$V$4:$V$1858,$V1208)/SUMIFS('Comp2016-2017 (3)'!$G$5:$G$289,'Comp2016-2017 (3)'!$A$5:$A$289,$D1208,'Comp2016-2017 (3)'!$R$5:$R$289,$V1208)*$AB1208))</f>
        <v>0</v>
      </c>
      <c r="AD1208" s="222">
        <f>IF($W1208=AD$3,$AB1208,IF(NOT($W1208=0),"",SUMIFS('Val-Vol (2)'!AD$4:AD$1858,'Val-Vol (2)'!$A$4:$A$1858,$D1208,'Val-Vol (2)'!$V$4:$V$1858,$V1208)/SUMIFS('Comp2016-2017 (3)'!$G$5:$G$289,'Comp2016-2017 (3)'!$A$5:$A$289,$D1208,'Comp2016-2017 (3)'!$R$5:$R$289,$V1208)*$AB1208))</f>
        <v>0</v>
      </c>
      <c r="AE1208" s="222">
        <f>IF($W1208=AE$3,$AB1208,IF(NOT($W1208=0),"",SUMIFS('Val-Vol (2)'!AE$4:AE$1858,'Val-Vol (2)'!$A$4:$A$1858,$D1208,'Val-Vol (2)'!$V$4:$V$1858,$V1208)/SUMIFS('Comp2016-2017 (3)'!$G$5:$G$289,'Comp2016-2017 (3)'!$A$5:$A$289,$D1208,'Comp2016-2017 (3)'!$R$5:$R$289,$V1208)*$AB1208))</f>
        <v>0</v>
      </c>
      <c r="AF1208" s="222">
        <f>IF($W1208=AF$3,$AB1208,IF(NOT($W1208=0),"",SUMIFS('Val-Vol (2)'!AF$4:AF$1858,'Val-Vol (2)'!$A$4:$A$1858,$D1208,'Val-Vol (2)'!$V$4:$V$1858,$V1208)/SUMIFS('Comp2016-2017 (3)'!$G$5:$G$289,'Comp2016-2017 (3)'!$A$5:$A$289,$D1208,'Comp2016-2017 (3)'!$R$5:$R$289,$V1208)*$AB1208))</f>
        <v>0</v>
      </c>
      <c r="AG1208" s="222">
        <f>IF($W1208=AG$3,$AB1208,IF(NOT($W1208=0),"",SUMIFS('Val-Vol (2)'!AG$4:AG$1858,'Val-Vol (2)'!$A$4:$A$1858,$D1208,'Val-Vol (2)'!$V$4:$V$1858,$V1208)/SUMIFS('Comp2016-2017 (3)'!$G$5:$G$289,'Comp2016-2017 (3)'!$A$5:$A$289,$D1208,'Comp2016-2017 (3)'!$R$5:$R$289,$V1208)*$AB1208))</f>
        <v>0</v>
      </c>
      <c r="AH1208" s="222">
        <f>IF($W1208=AH$3,$AB1208,IF(NOT($W1208=0),"",SUMIFS('Val-Vol (2)'!AH$4:AH$1858,'Val-Vol (2)'!$A$4:$A$1858,$D1208,'Val-Vol (2)'!$V$4:$V$1858,$V1208)/SUMIFS('Comp2016-2017 (3)'!$G$5:$G$289,'Comp2016-2017 (3)'!$A$5:$A$289,$D1208,'Comp2016-2017 (3)'!$R$5:$R$289,$V1208)*$AB1208))</f>
        <v>0</v>
      </c>
      <c r="AI1208" s="222">
        <f>IF($W1208=AI$3,$AB1208,IF(NOT($W1208=0),"",SUMIFS('Val-Vol (2)'!AI$4:AI$1858,'Val-Vol (2)'!$A$4:$A$1858,$D1208,'Val-Vol (2)'!$V$4:$V$1858,$V1208)/SUMIFS('Comp2016-2017 (3)'!$G$5:$G$289,'Comp2016-2017 (3)'!$A$5:$A$289,$D1208,'Comp2016-2017 (3)'!$R$5:$R$289,$V1208)*$AB1208))</f>
        <v>0</v>
      </c>
      <c r="AJ1208" s="222">
        <f>IF($W1208=AJ$3,$AB1208,IF(NOT($W1208=0),"",SUMIFS('Val-Vol (2)'!AJ$4:AJ$1858,'Val-Vol (2)'!$A$4:$A$1858,$D1208,'Val-Vol (2)'!$V$4:$V$1858,$V1208)/SUMIFS('Comp2016-2017 (3)'!$G$5:$G$289,'Comp2016-2017 (3)'!$A$5:$A$289,$D1208,'Comp2016-2017 (3)'!$R$5:$R$289,$V1208)*$AB1208))</f>
        <v>0</v>
      </c>
      <c r="AK1208" s="222">
        <f t="shared" si="149"/>
        <v>0</v>
      </c>
      <c r="AL1208" s="212" t="str">
        <f t="shared" si="150"/>
        <v/>
      </c>
      <c r="AM1208" s="212" t="str">
        <f>VLOOKUP(A1208,'Table corresp.'!$M$4:$U$63,8,FALSE)</f>
        <v>Production intermédiaire</v>
      </c>
      <c r="AN1208" s="212" t="str">
        <f>VLOOKUP(D1208,'Table corresp.'!$M$4:$U$63,9,FALSE)</f>
        <v>Production intermédiaire</v>
      </c>
    </row>
    <row r="1209" spans="1:40" x14ac:dyDescent="0.25">
      <c r="A1209" t="s">
        <v>82</v>
      </c>
      <c r="B1209" t="str">
        <f>VLOOKUP(LEFT(A1209,3),'Table corresp.'!$A$4:$D$63,3,FALSE)</f>
        <v>Transformation</v>
      </c>
      <c r="C1209" t="str">
        <f>VLOOKUP(A1209,'Table corresp.'!$M$4:$P$63,4,FALSE)</f>
        <v>Production et transformation de produits bois</v>
      </c>
      <c r="D1209" t="s">
        <v>89</v>
      </c>
      <c r="E1209" t="str">
        <f>VLOOKUP(LEFT(D1209,3),'Table corresp.'!$A$4:$D$63,4,FALSE)</f>
        <v>Transformation</v>
      </c>
      <c r="F1209" t="str">
        <f t="shared" si="152"/>
        <v xml:space="preserve">10  - 33 </v>
      </c>
      <c r="G1209" s="213">
        <v>239.61802199809154</v>
      </c>
      <c r="H1209" s="213">
        <v>430.83156579853744</v>
      </c>
      <c r="I1209" s="213">
        <v>670.44958779662898</v>
      </c>
      <c r="J1209" s="215">
        <v>1.3340278154573744</v>
      </c>
      <c r="K1209" s="215">
        <v>1.4250285759103998</v>
      </c>
      <c r="L1209" s="215">
        <v>2.7590563913677739</v>
      </c>
      <c r="M1209" s="215"/>
      <c r="N1209" s="215"/>
      <c r="O1209" s="215"/>
      <c r="P1209" s="215"/>
      <c r="Q1209" s="215"/>
      <c r="R1209" s="215"/>
      <c r="S1209" s="213"/>
      <c r="T1209" s="212">
        <f>VLOOKUP(A1209,'Groupe de branches'!$Z$27:$AM$86,14,FALSE)</f>
        <v>0</v>
      </c>
      <c r="U1209" s="212">
        <f>VLOOKUP(D1209,'Groupe de branches'!$Z$27:$AM$86,14,FALSE)</f>
        <v>0</v>
      </c>
      <c r="V1209" s="212">
        <v>2019</v>
      </c>
      <c r="W1209" s="212" t="str">
        <f>VLOOKUP(D1209,'Table corresp.'!$M$4:$S$63,7,FALSE)</f>
        <v>Construction</v>
      </c>
      <c r="X1209" s="228">
        <f>IFERROR(G1209/SUMIFS('Comp2016-2017 (3)'!$I$5:$I$289,'Comp2016-2017 (3)'!$A$5:$A$289,A1209,'Comp2016-2017 (3)'!$R$5:$R$289,V1209),0)</f>
        <v>2.6790212017925282E-3</v>
      </c>
      <c r="Y1209" s="214" t="e">
        <f>IF(RIGHT(F1209,3)="Exp",VLOOKUP(F1209,#REF!,2,FALSE),VLOOKUP(F1209,#REF!,9,FALSE))</f>
        <v>#REF!</v>
      </c>
      <c r="Z1209" s="225" t="str">
        <f t="shared" si="151"/>
        <v/>
      </c>
      <c r="AA1209" s="225" t="e">
        <f t="shared" si="148"/>
        <v>#VALUE!</v>
      </c>
      <c r="AB1209" s="222">
        <f>IFERROR(SUMIFS('Comp2016-2017 (3)'!$G$5:$G$289,'Comp2016-2017 (3)'!$A$5:$A$289,A1209,'Comp2016-2017 (3)'!$R$5:$R$289,V1209)*AA1209/SUMIFS($AA$4:$AA$1858,$A$4:$A$1858,A1209,$V$4:$V$1858,V1209),0)</f>
        <v>0</v>
      </c>
      <c r="AC1209" s="222" t="str">
        <f>IF($W1209=AC$3,$AB1209,IF(NOT($W1209=0),"",SUMIFS('Val-Vol (2)'!AC$4:AC$1858,'Val-Vol (2)'!$A$4:$A$1858,$D1209,'Val-Vol (2)'!$V$4:$V$1858,$V1209)/SUMIFS('Comp2016-2017 (3)'!$G$5:$G$289,'Comp2016-2017 (3)'!$A$5:$A$289,$D1209,'Comp2016-2017 (3)'!$R$5:$R$289,$V1209)*$AB1209))</f>
        <v/>
      </c>
      <c r="AD1209" s="222">
        <f>IF($W1209=AD$3,$AB1209,IF(NOT($W1209=0),"",SUMIFS('Val-Vol (2)'!AD$4:AD$1858,'Val-Vol (2)'!$A$4:$A$1858,$D1209,'Val-Vol (2)'!$V$4:$V$1858,$V1209)/SUMIFS('Comp2016-2017 (3)'!$G$5:$G$289,'Comp2016-2017 (3)'!$A$5:$A$289,$D1209,'Comp2016-2017 (3)'!$R$5:$R$289,$V1209)*$AB1209))</f>
        <v>0</v>
      </c>
      <c r="AE1209" s="222" t="str">
        <f>IF($W1209=AE$3,$AB1209,IF(NOT($W1209=0),"",SUMIFS('Val-Vol (2)'!AE$4:AE$1858,'Val-Vol (2)'!$A$4:$A$1858,$D1209,'Val-Vol (2)'!$V$4:$V$1858,$V1209)/SUMIFS('Comp2016-2017 (3)'!$G$5:$G$289,'Comp2016-2017 (3)'!$A$5:$A$289,$D1209,'Comp2016-2017 (3)'!$R$5:$R$289,$V1209)*$AB1209))</f>
        <v/>
      </c>
      <c r="AF1209" s="222" t="str">
        <f>IF($W1209=AF$3,$AB1209,IF(NOT($W1209=0),"",SUMIFS('Val-Vol (2)'!AF$4:AF$1858,'Val-Vol (2)'!$A$4:$A$1858,$D1209,'Val-Vol (2)'!$V$4:$V$1858,$V1209)/SUMIFS('Comp2016-2017 (3)'!$G$5:$G$289,'Comp2016-2017 (3)'!$A$5:$A$289,$D1209,'Comp2016-2017 (3)'!$R$5:$R$289,$V1209)*$AB1209))</f>
        <v/>
      </c>
      <c r="AG1209" s="222" t="str">
        <f>IF($W1209=AG$3,$AB1209,IF(NOT($W1209=0),"",SUMIFS('Val-Vol (2)'!AG$4:AG$1858,'Val-Vol (2)'!$A$4:$A$1858,$D1209,'Val-Vol (2)'!$V$4:$V$1858,$V1209)/SUMIFS('Comp2016-2017 (3)'!$G$5:$G$289,'Comp2016-2017 (3)'!$A$5:$A$289,$D1209,'Comp2016-2017 (3)'!$R$5:$R$289,$V1209)*$AB1209))</f>
        <v/>
      </c>
      <c r="AH1209" s="222" t="str">
        <f>IF($W1209=AH$3,$AB1209,IF(NOT($W1209=0),"",SUMIFS('Val-Vol (2)'!AH$4:AH$1858,'Val-Vol (2)'!$A$4:$A$1858,$D1209,'Val-Vol (2)'!$V$4:$V$1858,$V1209)/SUMIFS('Comp2016-2017 (3)'!$G$5:$G$289,'Comp2016-2017 (3)'!$A$5:$A$289,$D1209,'Comp2016-2017 (3)'!$R$5:$R$289,$V1209)*$AB1209))</f>
        <v/>
      </c>
      <c r="AI1209" s="222" t="str">
        <f>IF($W1209=AI$3,$AB1209,IF(NOT($W1209=0),"",SUMIFS('Val-Vol (2)'!AI$4:AI$1858,'Val-Vol (2)'!$A$4:$A$1858,$D1209,'Val-Vol (2)'!$V$4:$V$1858,$V1209)/SUMIFS('Comp2016-2017 (3)'!$G$5:$G$289,'Comp2016-2017 (3)'!$A$5:$A$289,$D1209,'Comp2016-2017 (3)'!$R$5:$R$289,$V1209)*$AB1209))</f>
        <v/>
      </c>
      <c r="AJ1209" s="222" t="str">
        <f>IF($W1209=AJ$3,$AB1209,IF(NOT($W1209=0),"",SUMIFS('Val-Vol (2)'!AJ$4:AJ$1858,'Val-Vol (2)'!$A$4:$A$1858,$D1209,'Val-Vol (2)'!$V$4:$V$1858,$V1209)/SUMIFS('Comp2016-2017 (3)'!$G$5:$G$289,'Comp2016-2017 (3)'!$A$5:$A$289,$D1209,'Comp2016-2017 (3)'!$R$5:$R$289,$V1209)*$AB1209))</f>
        <v/>
      </c>
      <c r="AK1209" s="222">
        <f t="shared" si="149"/>
        <v>0</v>
      </c>
      <c r="AL1209" s="212" t="str">
        <f t="shared" si="150"/>
        <v/>
      </c>
      <c r="AM1209" s="212" t="str">
        <f>VLOOKUP(A1209,'Table corresp.'!$M$4:$U$63,8,FALSE)</f>
        <v>Production intermédiaire</v>
      </c>
      <c r="AN1209" s="212" t="str">
        <f>VLOOKUP(D1209,'Table corresp.'!$M$4:$U$63,9,FALSE)</f>
        <v>Production finale</v>
      </c>
    </row>
    <row r="1210" spans="1:40" x14ac:dyDescent="0.25">
      <c r="A1210" t="s">
        <v>82</v>
      </c>
      <c r="B1210" t="str">
        <f>VLOOKUP(LEFT(A1210,3),'Table corresp.'!$A$4:$D$63,3,FALSE)</f>
        <v>Transformation</v>
      </c>
      <c r="C1210" t="str">
        <f>VLOOKUP(A1210,'Table corresp.'!$M$4:$P$63,4,FALSE)</f>
        <v>Production et transformation de produits bois</v>
      </c>
      <c r="D1210" t="s">
        <v>91</v>
      </c>
      <c r="E1210" t="str">
        <f>VLOOKUP(LEFT(D1210,3),'Table corresp.'!$A$4:$D$63,4,FALSE)</f>
        <v>Transformation</v>
      </c>
      <c r="F1210" t="str">
        <f t="shared" si="152"/>
        <v xml:space="preserve">10  - 37 </v>
      </c>
      <c r="G1210" s="213">
        <v>18485.101708320046</v>
      </c>
      <c r="H1210" s="213">
        <v>0</v>
      </c>
      <c r="I1210" s="213">
        <v>18485.101708320046</v>
      </c>
      <c r="J1210" s="215">
        <v>251.73929891402696</v>
      </c>
      <c r="K1210" s="215">
        <v>0</v>
      </c>
      <c r="L1210" s="215">
        <v>251.73929891402696</v>
      </c>
      <c r="M1210" s="215"/>
      <c r="N1210" s="215"/>
      <c r="O1210" s="215"/>
      <c r="P1210" s="215"/>
      <c r="Q1210" s="215"/>
      <c r="R1210" s="215"/>
      <c r="S1210" s="213"/>
      <c r="T1210" s="212">
        <f>VLOOKUP(A1210,'Groupe de branches'!$Z$27:$AM$86,14,FALSE)</f>
        <v>0</v>
      </c>
      <c r="U1210" s="212">
        <f>VLOOKUP(D1210,'Groupe de branches'!$Z$27:$AM$86,14,FALSE)</f>
        <v>0</v>
      </c>
      <c r="V1210" s="212">
        <v>2019</v>
      </c>
      <c r="W1210" s="212" t="str">
        <f>VLOOKUP(D1210,'Table corresp.'!$M$4:$S$63,7,FALSE)</f>
        <v>Emballage bois et carton</v>
      </c>
      <c r="X1210" s="228">
        <f>IFERROR(G1210/SUMIFS('Comp2016-2017 (3)'!$I$5:$I$289,'Comp2016-2017 (3)'!$A$5:$A$289,A1210,'Comp2016-2017 (3)'!$R$5:$R$289,V1210),0)</f>
        <v>0.20667051243030088</v>
      </c>
      <c r="Y1210" s="214" t="e">
        <f>IF(RIGHT(F1210,3)="Exp",VLOOKUP(F1210,#REF!,2,FALSE),VLOOKUP(F1210,#REF!,9,FALSE))</f>
        <v>#REF!</v>
      </c>
      <c r="Z1210" s="225" t="str">
        <f t="shared" si="151"/>
        <v/>
      </c>
      <c r="AA1210" s="225" t="e">
        <f t="shared" si="148"/>
        <v>#VALUE!</v>
      </c>
      <c r="AB1210" s="222">
        <f>IFERROR(SUMIFS('Comp2016-2017 (3)'!$G$5:$G$289,'Comp2016-2017 (3)'!$A$5:$A$289,A1210,'Comp2016-2017 (3)'!$R$5:$R$289,V1210)*AA1210/SUMIFS($AA$4:$AA$1858,$A$4:$A$1858,A1210,$V$4:$V$1858,V1210),0)</f>
        <v>0</v>
      </c>
      <c r="AC1210" s="222" t="str">
        <f>IF($W1210=AC$3,$AB1210,IF(NOT($W1210=0),"",SUMIFS('Val-Vol (2)'!AC$4:AC$1858,'Val-Vol (2)'!$A$4:$A$1858,$D1210,'Val-Vol (2)'!$V$4:$V$1858,$V1210)/SUMIFS('Comp2016-2017 (3)'!$G$5:$G$289,'Comp2016-2017 (3)'!$A$5:$A$289,$D1210,'Comp2016-2017 (3)'!$R$5:$R$289,$V1210)*$AB1210))</f>
        <v/>
      </c>
      <c r="AD1210" s="222" t="str">
        <f>IF($W1210=AD$3,$AB1210,IF(NOT($W1210=0),"",SUMIFS('Val-Vol (2)'!AD$4:AD$1858,'Val-Vol (2)'!$A$4:$A$1858,$D1210,'Val-Vol (2)'!$V$4:$V$1858,$V1210)/SUMIFS('Comp2016-2017 (3)'!$G$5:$G$289,'Comp2016-2017 (3)'!$A$5:$A$289,$D1210,'Comp2016-2017 (3)'!$R$5:$R$289,$V1210)*$AB1210))</f>
        <v/>
      </c>
      <c r="AE1210" s="222" t="str">
        <f>IF($W1210=AE$3,$AB1210,IF(NOT($W1210=0),"",SUMIFS('Val-Vol (2)'!AE$4:AE$1858,'Val-Vol (2)'!$A$4:$A$1858,$D1210,'Val-Vol (2)'!$V$4:$V$1858,$V1210)/SUMIFS('Comp2016-2017 (3)'!$G$5:$G$289,'Comp2016-2017 (3)'!$A$5:$A$289,$D1210,'Comp2016-2017 (3)'!$R$5:$R$289,$V1210)*$AB1210))</f>
        <v/>
      </c>
      <c r="AF1210" s="222" t="str">
        <f>IF($W1210=AF$3,$AB1210,IF(NOT($W1210=0),"",SUMIFS('Val-Vol (2)'!AF$4:AF$1858,'Val-Vol (2)'!$A$4:$A$1858,$D1210,'Val-Vol (2)'!$V$4:$V$1858,$V1210)/SUMIFS('Comp2016-2017 (3)'!$G$5:$G$289,'Comp2016-2017 (3)'!$A$5:$A$289,$D1210,'Comp2016-2017 (3)'!$R$5:$R$289,$V1210)*$AB1210))</f>
        <v/>
      </c>
      <c r="AG1210" s="222">
        <f>IF($W1210=AG$3,$AB1210,IF(NOT($W1210=0),"",SUMIFS('Val-Vol (2)'!AG$4:AG$1858,'Val-Vol (2)'!$A$4:$A$1858,$D1210,'Val-Vol (2)'!$V$4:$V$1858,$V1210)/SUMIFS('Comp2016-2017 (3)'!$G$5:$G$289,'Comp2016-2017 (3)'!$A$5:$A$289,$D1210,'Comp2016-2017 (3)'!$R$5:$R$289,$V1210)*$AB1210))</f>
        <v>0</v>
      </c>
      <c r="AH1210" s="222" t="str">
        <f>IF($W1210=AH$3,$AB1210,IF(NOT($W1210=0),"",SUMIFS('Val-Vol (2)'!AH$4:AH$1858,'Val-Vol (2)'!$A$4:$A$1858,$D1210,'Val-Vol (2)'!$V$4:$V$1858,$V1210)/SUMIFS('Comp2016-2017 (3)'!$G$5:$G$289,'Comp2016-2017 (3)'!$A$5:$A$289,$D1210,'Comp2016-2017 (3)'!$R$5:$R$289,$V1210)*$AB1210))</f>
        <v/>
      </c>
      <c r="AI1210" s="222" t="str">
        <f>IF($W1210=AI$3,$AB1210,IF(NOT($W1210=0),"",SUMIFS('Val-Vol (2)'!AI$4:AI$1858,'Val-Vol (2)'!$A$4:$A$1858,$D1210,'Val-Vol (2)'!$V$4:$V$1858,$V1210)/SUMIFS('Comp2016-2017 (3)'!$G$5:$G$289,'Comp2016-2017 (3)'!$A$5:$A$289,$D1210,'Comp2016-2017 (3)'!$R$5:$R$289,$V1210)*$AB1210))</f>
        <v/>
      </c>
      <c r="AJ1210" s="222" t="str">
        <f>IF($W1210=AJ$3,$AB1210,IF(NOT($W1210=0),"",SUMIFS('Val-Vol (2)'!AJ$4:AJ$1858,'Val-Vol (2)'!$A$4:$A$1858,$D1210,'Val-Vol (2)'!$V$4:$V$1858,$V1210)/SUMIFS('Comp2016-2017 (3)'!$G$5:$G$289,'Comp2016-2017 (3)'!$A$5:$A$289,$D1210,'Comp2016-2017 (3)'!$R$5:$R$289,$V1210)*$AB1210))</f>
        <v/>
      </c>
      <c r="AK1210" s="222">
        <f t="shared" si="149"/>
        <v>0</v>
      </c>
      <c r="AL1210" s="212" t="str">
        <f t="shared" si="150"/>
        <v/>
      </c>
      <c r="AM1210" s="212" t="str">
        <f>VLOOKUP(A1210,'Table corresp.'!$M$4:$U$63,8,FALSE)</f>
        <v>Production intermédiaire</v>
      </c>
      <c r="AN1210" s="212" t="str">
        <f>VLOOKUP(D1210,'Table corresp.'!$M$4:$U$63,9,FALSE)</f>
        <v>Production finale</v>
      </c>
    </row>
    <row r="1211" spans="1:40" x14ac:dyDescent="0.25">
      <c r="A1211" t="s">
        <v>82</v>
      </c>
      <c r="B1211" t="str">
        <f>VLOOKUP(LEFT(A1211,3),'Table corresp.'!$A$4:$D$63,3,FALSE)</f>
        <v>Transformation</v>
      </c>
      <c r="C1211" t="str">
        <f>VLOOKUP(A1211,'Table corresp.'!$M$4:$P$63,4,FALSE)</f>
        <v>Production et transformation de produits bois</v>
      </c>
      <c r="D1211" t="s">
        <v>92</v>
      </c>
      <c r="E1211" t="str">
        <f>VLOOKUP(LEFT(D1211,3),'Table corresp.'!$A$4:$D$63,4,FALSE)</f>
        <v>Transformation</v>
      </c>
      <c r="F1211" t="str">
        <f t="shared" si="152"/>
        <v xml:space="preserve">10  - 40 </v>
      </c>
      <c r="G1211" s="213">
        <v>6204.7873379143275</v>
      </c>
      <c r="H1211" s="213">
        <v>0</v>
      </c>
      <c r="I1211" s="213">
        <v>6204.7873379143275</v>
      </c>
      <c r="J1211" s="215">
        <v>49.931745297703081</v>
      </c>
      <c r="K1211" s="215">
        <v>0</v>
      </c>
      <c r="L1211" s="215">
        <v>49.931745297703081</v>
      </c>
      <c r="M1211" s="215"/>
      <c r="N1211" s="215"/>
      <c r="O1211" s="215"/>
      <c r="P1211" s="215"/>
      <c r="Q1211" s="215"/>
      <c r="R1211" s="215"/>
      <c r="S1211" s="213"/>
      <c r="T1211" s="212">
        <f>VLOOKUP(A1211,'Groupe de branches'!$Z$27:$AM$86,14,FALSE)</f>
        <v>0</v>
      </c>
      <c r="U1211" s="212">
        <f>VLOOKUP(D1211,'Groupe de branches'!$Z$27:$AM$86,14,FALSE)</f>
        <v>0</v>
      </c>
      <c r="V1211" s="212">
        <v>2019</v>
      </c>
      <c r="W1211" s="212" t="str">
        <f>VLOOKUP(D1211,'Table corresp.'!$M$4:$S$63,7,FALSE)</f>
        <v>Construction</v>
      </c>
      <c r="X1211" s="228">
        <f>IFERROR(G1211/SUMIFS('Comp2016-2017 (3)'!$I$5:$I$289,'Comp2016-2017 (3)'!$A$5:$A$289,A1211,'Comp2016-2017 (3)'!$R$5:$R$289,V1211),0)</f>
        <v>6.9371897373473421E-2</v>
      </c>
      <c r="Y1211" s="214" t="e">
        <f>IF(RIGHT(F1211,3)="Exp",VLOOKUP(F1211,#REF!,2,FALSE),VLOOKUP(F1211,#REF!,9,FALSE))</f>
        <v>#REF!</v>
      </c>
      <c r="Z1211" s="225" t="str">
        <f t="shared" si="151"/>
        <v/>
      </c>
      <c r="AA1211" s="225" t="e">
        <f t="shared" si="148"/>
        <v>#VALUE!</v>
      </c>
      <c r="AB1211" s="222">
        <f>IFERROR(SUMIFS('Comp2016-2017 (3)'!$G$5:$G$289,'Comp2016-2017 (3)'!$A$5:$A$289,A1211,'Comp2016-2017 (3)'!$R$5:$R$289,V1211)*AA1211/SUMIFS($AA$4:$AA$1858,$A$4:$A$1858,A1211,$V$4:$V$1858,V1211),0)</f>
        <v>0</v>
      </c>
      <c r="AC1211" s="222" t="str">
        <f>IF($W1211=AC$3,$AB1211,IF(NOT($W1211=0),"",SUMIFS('Val-Vol (2)'!AC$4:AC$1858,'Val-Vol (2)'!$A$4:$A$1858,$D1211,'Val-Vol (2)'!$V$4:$V$1858,$V1211)/SUMIFS('Comp2016-2017 (3)'!$G$5:$G$289,'Comp2016-2017 (3)'!$A$5:$A$289,$D1211,'Comp2016-2017 (3)'!$R$5:$R$289,$V1211)*$AB1211))</f>
        <v/>
      </c>
      <c r="AD1211" s="222">
        <f>IF($W1211=AD$3,$AB1211,IF(NOT($W1211=0),"",SUMIFS('Val-Vol (2)'!AD$4:AD$1858,'Val-Vol (2)'!$A$4:$A$1858,$D1211,'Val-Vol (2)'!$V$4:$V$1858,$V1211)/SUMIFS('Comp2016-2017 (3)'!$G$5:$G$289,'Comp2016-2017 (3)'!$A$5:$A$289,$D1211,'Comp2016-2017 (3)'!$R$5:$R$289,$V1211)*$AB1211))</f>
        <v>0</v>
      </c>
      <c r="AE1211" s="222" t="str">
        <f>IF($W1211=AE$3,$AB1211,IF(NOT($W1211=0),"",SUMIFS('Val-Vol (2)'!AE$4:AE$1858,'Val-Vol (2)'!$A$4:$A$1858,$D1211,'Val-Vol (2)'!$V$4:$V$1858,$V1211)/SUMIFS('Comp2016-2017 (3)'!$G$5:$G$289,'Comp2016-2017 (3)'!$A$5:$A$289,$D1211,'Comp2016-2017 (3)'!$R$5:$R$289,$V1211)*$AB1211))</f>
        <v/>
      </c>
      <c r="AF1211" s="222" t="str">
        <f>IF($W1211=AF$3,$AB1211,IF(NOT($W1211=0),"",SUMIFS('Val-Vol (2)'!AF$4:AF$1858,'Val-Vol (2)'!$A$4:$A$1858,$D1211,'Val-Vol (2)'!$V$4:$V$1858,$V1211)/SUMIFS('Comp2016-2017 (3)'!$G$5:$G$289,'Comp2016-2017 (3)'!$A$5:$A$289,$D1211,'Comp2016-2017 (3)'!$R$5:$R$289,$V1211)*$AB1211))</f>
        <v/>
      </c>
      <c r="AG1211" s="222" t="str">
        <f>IF($W1211=AG$3,$AB1211,IF(NOT($W1211=0),"",SUMIFS('Val-Vol (2)'!AG$4:AG$1858,'Val-Vol (2)'!$A$4:$A$1858,$D1211,'Val-Vol (2)'!$V$4:$V$1858,$V1211)/SUMIFS('Comp2016-2017 (3)'!$G$5:$G$289,'Comp2016-2017 (3)'!$A$5:$A$289,$D1211,'Comp2016-2017 (3)'!$R$5:$R$289,$V1211)*$AB1211))</f>
        <v/>
      </c>
      <c r="AH1211" s="222" t="str">
        <f>IF($W1211=AH$3,$AB1211,IF(NOT($W1211=0),"",SUMIFS('Val-Vol (2)'!AH$4:AH$1858,'Val-Vol (2)'!$A$4:$A$1858,$D1211,'Val-Vol (2)'!$V$4:$V$1858,$V1211)/SUMIFS('Comp2016-2017 (3)'!$G$5:$G$289,'Comp2016-2017 (3)'!$A$5:$A$289,$D1211,'Comp2016-2017 (3)'!$R$5:$R$289,$V1211)*$AB1211))</f>
        <v/>
      </c>
      <c r="AI1211" s="222" t="str">
        <f>IF($W1211=AI$3,$AB1211,IF(NOT($W1211=0),"",SUMIFS('Val-Vol (2)'!AI$4:AI$1858,'Val-Vol (2)'!$A$4:$A$1858,$D1211,'Val-Vol (2)'!$V$4:$V$1858,$V1211)/SUMIFS('Comp2016-2017 (3)'!$G$5:$G$289,'Comp2016-2017 (3)'!$A$5:$A$289,$D1211,'Comp2016-2017 (3)'!$R$5:$R$289,$V1211)*$AB1211))</f>
        <v/>
      </c>
      <c r="AJ1211" s="222" t="str">
        <f>IF($W1211=AJ$3,$AB1211,IF(NOT($W1211=0),"",SUMIFS('Val-Vol (2)'!AJ$4:AJ$1858,'Val-Vol (2)'!$A$4:$A$1858,$D1211,'Val-Vol (2)'!$V$4:$V$1858,$V1211)/SUMIFS('Comp2016-2017 (3)'!$G$5:$G$289,'Comp2016-2017 (3)'!$A$5:$A$289,$D1211,'Comp2016-2017 (3)'!$R$5:$R$289,$V1211)*$AB1211))</f>
        <v/>
      </c>
      <c r="AK1211" s="222">
        <f t="shared" si="149"/>
        <v>0</v>
      </c>
      <c r="AL1211" s="212" t="str">
        <f t="shared" si="150"/>
        <v/>
      </c>
      <c r="AM1211" s="212" t="str">
        <f>VLOOKUP(A1211,'Table corresp.'!$M$4:$U$63,8,FALSE)</f>
        <v>Production intermédiaire</v>
      </c>
      <c r="AN1211" s="212" t="str">
        <f>VLOOKUP(D1211,'Table corresp.'!$M$4:$U$63,9,FALSE)</f>
        <v>Production finale</v>
      </c>
    </row>
    <row r="1212" spans="1:40" x14ac:dyDescent="0.25">
      <c r="A1212" t="s">
        <v>82</v>
      </c>
      <c r="B1212" t="str">
        <f>VLOOKUP(LEFT(A1212,3),'Table corresp.'!$A$4:$D$63,3,FALSE)</f>
        <v>Transformation</v>
      </c>
      <c r="C1212" t="str">
        <f>VLOOKUP(A1212,'Table corresp.'!$M$4:$P$63,4,FALSE)</f>
        <v>Production et transformation de produits bois</v>
      </c>
      <c r="D1212" t="s">
        <v>93</v>
      </c>
      <c r="E1212" t="str">
        <f>VLOOKUP(LEFT(D1212,3),'Table corresp.'!$A$4:$D$63,4,FALSE)</f>
        <v>Transformation</v>
      </c>
      <c r="F1212" t="str">
        <f t="shared" si="152"/>
        <v xml:space="preserve">10  - 41 </v>
      </c>
      <c r="G1212" s="213">
        <v>10534.038431942969</v>
      </c>
      <c r="H1212" s="213">
        <v>1196.6855187899191</v>
      </c>
      <c r="I1212" s="213">
        <v>11730.723950732889</v>
      </c>
      <c r="J1212" s="215">
        <v>74.598039845597668</v>
      </c>
      <c r="K1212" s="215">
        <v>5.0348113772284631</v>
      </c>
      <c r="L1212" s="215">
        <v>79.632851222826133</v>
      </c>
      <c r="M1212" s="215"/>
      <c r="N1212" s="215"/>
      <c r="O1212" s="215"/>
      <c r="P1212" s="215"/>
      <c r="Q1212" s="215"/>
      <c r="R1212" s="215"/>
      <c r="S1212" s="213"/>
      <c r="T1212" s="212">
        <f>VLOOKUP(A1212,'Groupe de branches'!$Z$27:$AM$86,14,FALSE)</f>
        <v>0</v>
      </c>
      <c r="U1212" s="212">
        <f>VLOOKUP(D1212,'Groupe de branches'!$Z$27:$AM$86,14,FALSE)</f>
        <v>0</v>
      </c>
      <c r="V1212" s="212">
        <v>2019</v>
      </c>
      <c r="W1212" s="212" t="str">
        <f>VLOOKUP(D1212,'Table corresp.'!$M$4:$S$63,7,FALSE)</f>
        <v>Produits de consommation courante</v>
      </c>
      <c r="X1212" s="228">
        <f>IFERROR(G1212/SUMIFS('Comp2016-2017 (3)'!$I$5:$I$289,'Comp2016-2017 (3)'!$A$5:$A$289,A1212,'Comp2016-2017 (3)'!$R$5:$R$289,V1212),0)</f>
        <v>0.11777458166271526</v>
      </c>
      <c r="Y1212" s="214" t="e">
        <f>IF(RIGHT(F1212,3)="Exp",VLOOKUP(F1212,#REF!,2,FALSE),VLOOKUP(F1212,#REF!,9,FALSE))</f>
        <v>#REF!</v>
      </c>
      <c r="Z1212" s="225" t="str">
        <f t="shared" si="151"/>
        <v/>
      </c>
      <c r="AA1212" s="225" t="e">
        <f t="shared" si="148"/>
        <v>#VALUE!</v>
      </c>
      <c r="AB1212" s="222">
        <f>IFERROR(SUMIFS('Comp2016-2017 (3)'!$G$5:$G$289,'Comp2016-2017 (3)'!$A$5:$A$289,A1212,'Comp2016-2017 (3)'!$R$5:$R$289,V1212)*AA1212/SUMIFS($AA$4:$AA$1858,$A$4:$A$1858,A1212,$V$4:$V$1858,V1212),0)</f>
        <v>0</v>
      </c>
      <c r="AC1212" s="222" t="str">
        <f>IF($W1212=AC$3,$AB1212,IF(NOT($W1212=0),"",SUMIFS('Val-Vol (2)'!AC$4:AC$1858,'Val-Vol (2)'!$A$4:$A$1858,$D1212,'Val-Vol (2)'!$V$4:$V$1858,$V1212)/SUMIFS('Comp2016-2017 (3)'!$G$5:$G$289,'Comp2016-2017 (3)'!$A$5:$A$289,$D1212,'Comp2016-2017 (3)'!$R$5:$R$289,$V1212)*$AB1212))</f>
        <v/>
      </c>
      <c r="AD1212" s="222" t="str">
        <f>IF($W1212=AD$3,$AB1212,IF(NOT($W1212=0),"",SUMIFS('Val-Vol (2)'!AD$4:AD$1858,'Val-Vol (2)'!$A$4:$A$1858,$D1212,'Val-Vol (2)'!$V$4:$V$1858,$V1212)/SUMIFS('Comp2016-2017 (3)'!$G$5:$G$289,'Comp2016-2017 (3)'!$A$5:$A$289,$D1212,'Comp2016-2017 (3)'!$R$5:$R$289,$V1212)*$AB1212))</f>
        <v/>
      </c>
      <c r="AE1212" s="222" t="str">
        <f>IF($W1212=AE$3,$AB1212,IF(NOT($W1212=0),"",SUMIFS('Val-Vol (2)'!AE$4:AE$1858,'Val-Vol (2)'!$A$4:$A$1858,$D1212,'Val-Vol (2)'!$V$4:$V$1858,$V1212)/SUMIFS('Comp2016-2017 (3)'!$G$5:$G$289,'Comp2016-2017 (3)'!$A$5:$A$289,$D1212,'Comp2016-2017 (3)'!$R$5:$R$289,$V1212)*$AB1212))</f>
        <v/>
      </c>
      <c r="AF1212" s="222" t="str">
        <f>IF($W1212=AF$3,$AB1212,IF(NOT($W1212=0),"",SUMIFS('Val-Vol (2)'!AF$4:AF$1858,'Val-Vol (2)'!$A$4:$A$1858,$D1212,'Val-Vol (2)'!$V$4:$V$1858,$V1212)/SUMIFS('Comp2016-2017 (3)'!$G$5:$G$289,'Comp2016-2017 (3)'!$A$5:$A$289,$D1212,'Comp2016-2017 (3)'!$R$5:$R$289,$V1212)*$AB1212))</f>
        <v/>
      </c>
      <c r="AG1212" s="222" t="str">
        <f>IF($W1212=AG$3,$AB1212,IF(NOT($W1212=0),"",SUMIFS('Val-Vol (2)'!AG$4:AG$1858,'Val-Vol (2)'!$A$4:$A$1858,$D1212,'Val-Vol (2)'!$V$4:$V$1858,$V1212)/SUMIFS('Comp2016-2017 (3)'!$G$5:$G$289,'Comp2016-2017 (3)'!$A$5:$A$289,$D1212,'Comp2016-2017 (3)'!$R$5:$R$289,$V1212)*$AB1212))</f>
        <v/>
      </c>
      <c r="AH1212" s="222" t="str">
        <f>IF($W1212=AH$3,$AB1212,IF(NOT($W1212=0),"",SUMIFS('Val-Vol (2)'!AH$4:AH$1858,'Val-Vol (2)'!$A$4:$A$1858,$D1212,'Val-Vol (2)'!$V$4:$V$1858,$V1212)/SUMIFS('Comp2016-2017 (3)'!$G$5:$G$289,'Comp2016-2017 (3)'!$A$5:$A$289,$D1212,'Comp2016-2017 (3)'!$R$5:$R$289,$V1212)*$AB1212))</f>
        <v/>
      </c>
      <c r="AI1212" s="222">
        <f>IF($W1212=AI$3,$AB1212,IF(NOT($W1212=0),"",SUMIFS('Val-Vol (2)'!AI$4:AI$1858,'Val-Vol (2)'!$A$4:$A$1858,$D1212,'Val-Vol (2)'!$V$4:$V$1858,$V1212)/SUMIFS('Comp2016-2017 (3)'!$G$5:$G$289,'Comp2016-2017 (3)'!$A$5:$A$289,$D1212,'Comp2016-2017 (3)'!$R$5:$R$289,$V1212)*$AB1212))</f>
        <v>0</v>
      </c>
      <c r="AJ1212" s="222" t="str">
        <f>IF($W1212=AJ$3,$AB1212,IF(NOT($W1212=0),"",SUMIFS('Val-Vol (2)'!AJ$4:AJ$1858,'Val-Vol (2)'!$A$4:$A$1858,$D1212,'Val-Vol (2)'!$V$4:$V$1858,$V1212)/SUMIFS('Comp2016-2017 (3)'!$G$5:$G$289,'Comp2016-2017 (3)'!$A$5:$A$289,$D1212,'Comp2016-2017 (3)'!$R$5:$R$289,$V1212)*$AB1212))</f>
        <v/>
      </c>
      <c r="AK1212" s="222">
        <f t="shared" si="149"/>
        <v>0</v>
      </c>
      <c r="AL1212" s="212" t="str">
        <f t="shared" si="150"/>
        <v/>
      </c>
      <c r="AM1212" s="212" t="str">
        <f>VLOOKUP(A1212,'Table corresp.'!$M$4:$U$63,8,FALSE)</f>
        <v>Production intermédiaire</v>
      </c>
      <c r="AN1212" s="212" t="str">
        <f>VLOOKUP(D1212,'Table corresp.'!$M$4:$U$63,9,FALSE)</f>
        <v>Production finale</v>
      </c>
    </row>
    <row r="1213" spans="1:40" x14ac:dyDescent="0.25">
      <c r="A1213" t="s">
        <v>82</v>
      </c>
      <c r="B1213" t="str">
        <f>VLOOKUP(LEFT(A1213,3),'Table corresp.'!$A$4:$D$63,3,FALSE)</f>
        <v>Transformation</v>
      </c>
      <c r="C1213" t="str">
        <f>VLOOKUP(A1213,'Table corresp.'!$M$4:$P$63,4,FALSE)</f>
        <v>Production et transformation de produits bois</v>
      </c>
      <c r="D1213" t="s">
        <v>99</v>
      </c>
      <c r="E1213" t="str">
        <f>VLOOKUP(LEFT(D1213,3),'Table corresp.'!$A$4:$D$63,4,FALSE)</f>
        <v>Transformation</v>
      </c>
      <c r="F1213" t="str">
        <f t="shared" si="152"/>
        <v xml:space="preserve">10  - 47 </v>
      </c>
      <c r="G1213" s="213">
        <v>7882.1404115595287</v>
      </c>
      <c r="H1213" s="213">
        <v>8440.2570719609794</v>
      </c>
      <c r="I1213" s="213">
        <v>16322.397483520508</v>
      </c>
      <c r="J1213" s="215">
        <v>48.11923290134412</v>
      </c>
      <c r="K1213" s="215">
        <v>30.612644953282196</v>
      </c>
      <c r="L1213" s="215">
        <v>78.731877854626319</v>
      </c>
      <c r="M1213" s="215"/>
      <c r="N1213" s="215"/>
      <c r="O1213" s="215"/>
      <c r="P1213" s="215"/>
      <c r="Q1213" s="215"/>
      <c r="R1213" s="215"/>
      <c r="S1213" s="213"/>
      <c r="T1213" s="212">
        <f>VLOOKUP(A1213,'Groupe de branches'!$Z$27:$AM$86,14,FALSE)</f>
        <v>0</v>
      </c>
      <c r="U1213" s="212">
        <f>VLOOKUP(D1213,'Groupe de branches'!$Z$27:$AM$86,14,FALSE)</f>
        <v>0</v>
      </c>
      <c r="V1213" s="212">
        <v>2019</v>
      </c>
      <c r="W1213" s="212" t="str">
        <f>VLOOKUP(D1213,'Table corresp.'!$M$4:$S$63,7,FALSE)</f>
        <v>Meuble</v>
      </c>
      <c r="X1213" s="228">
        <f>IFERROR(G1213/SUMIFS('Comp2016-2017 (3)'!$I$5:$I$289,'Comp2016-2017 (3)'!$A$5:$A$289,A1213,'Comp2016-2017 (3)'!$R$5:$R$289,V1213),0)</f>
        <v>8.8125346758107556E-2</v>
      </c>
      <c r="Y1213" s="214" t="e">
        <f>IF(RIGHT(F1213,3)="Exp",VLOOKUP(F1213,#REF!,2,FALSE),VLOOKUP(F1213,#REF!,9,FALSE))</f>
        <v>#REF!</v>
      </c>
      <c r="Z1213" s="225" t="str">
        <f t="shared" si="151"/>
        <v/>
      </c>
      <c r="AA1213" s="225" t="e">
        <f t="shared" si="148"/>
        <v>#VALUE!</v>
      </c>
      <c r="AB1213" s="222">
        <f>IFERROR(SUMIFS('Comp2016-2017 (3)'!$G$5:$G$289,'Comp2016-2017 (3)'!$A$5:$A$289,A1213,'Comp2016-2017 (3)'!$R$5:$R$289,V1213)*AA1213/SUMIFS($AA$4:$AA$1858,$A$4:$A$1858,A1213,$V$4:$V$1858,V1213),0)</f>
        <v>0</v>
      </c>
      <c r="AC1213" s="222" t="str">
        <f>IF($W1213=AC$3,$AB1213,IF(NOT($W1213=0),"",SUMIFS('Val-Vol (2)'!AC$4:AC$1858,'Val-Vol (2)'!$A$4:$A$1858,$D1213,'Val-Vol (2)'!$V$4:$V$1858,$V1213)/SUMIFS('Comp2016-2017 (3)'!$G$5:$G$289,'Comp2016-2017 (3)'!$A$5:$A$289,$D1213,'Comp2016-2017 (3)'!$R$5:$R$289,$V1213)*$AB1213))</f>
        <v/>
      </c>
      <c r="AD1213" s="222" t="str">
        <f>IF($W1213=AD$3,$AB1213,IF(NOT($W1213=0),"",SUMIFS('Val-Vol (2)'!AD$4:AD$1858,'Val-Vol (2)'!$A$4:$A$1858,$D1213,'Val-Vol (2)'!$V$4:$V$1858,$V1213)/SUMIFS('Comp2016-2017 (3)'!$G$5:$G$289,'Comp2016-2017 (3)'!$A$5:$A$289,$D1213,'Comp2016-2017 (3)'!$R$5:$R$289,$V1213)*$AB1213))</f>
        <v/>
      </c>
      <c r="AE1213" s="222">
        <f>IF($W1213=AE$3,$AB1213,IF(NOT($W1213=0),"",SUMIFS('Val-Vol (2)'!AE$4:AE$1858,'Val-Vol (2)'!$A$4:$A$1858,$D1213,'Val-Vol (2)'!$V$4:$V$1858,$V1213)/SUMIFS('Comp2016-2017 (3)'!$G$5:$G$289,'Comp2016-2017 (3)'!$A$5:$A$289,$D1213,'Comp2016-2017 (3)'!$R$5:$R$289,$V1213)*$AB1213))</f>
        <v>0</v>
      </c>
      <c r="AF1213" s="222" t="str">
        <f>IF($W1213=AF$3,$AB1213,IF(NOT($W1213=0),"",SUMIFS('Val-Vol (2)'!AF$4:AF$1858,'Val-Vol (2)'!$A$4:$A$1858,$D1213,'Val-Vol (2)'!$V$4:$V$1858,$V1213)/SUMIFS('Comp2016-2017 (3)'!$G$5:$G$289,'Comp2016-2017 (3)'!$A$5:$A$289,$D1213,'Comp2016-2017 (3)'!$R$5:$R$289,$V1213)*$AB1213))</f>
        <v/>
      </c>
      <c r="AG1213" s="222" t="str">
        <f>IF($W1213=AG$3,$AB1213,IF(NOT($W1213=0),"",SUMIFS('Val-Vol (2)'!AG$4:AG$1858,'Val-Vol (2)'!$A$4:$A$1858,$D1213,'Val-Vol (2)'!$V$4:$V$1858,$V1213)/SUMIFS('Comp2016-2017 (3)'!$G$5:$G$289,'Comp2016-2017 (3)'!$A$5:$A$289,$D1213,'Comp2016-2017 (3)'!$R$5:$R$289,$V1213)*$AB1213))</f>
        <v/>
      </c>
      <c r="AH1213" s="222" t="str">
        <f>IF($W1213=AH$3,$AB1213,IF(NOT($W1213=0),"",SUMIFS('Val-Vol (2)'!AH$4:AH$1858,'Val-Vol (2)'!$A$4:$A$1858,$D1213,'Val-Vol (2)'!$V$4:$V$1858,$V1213)/SUMIFS('Comp2016-2017 (3)'!$G$5:$G$289,'Comp2016-2017 (3)'!$A$5:$A$289,$D1213,'Comp2016-2017 (3)'!$R$5:$R$289,$V1213)*$AB1213))</f>
        <v/>
      </c>
      <c r="AI1213" s="222" t="str">
        <f>IF($W1213=AI$3,$AB1213,IF(NOT($W1213=0),"",SUMIFS('Val-Vol (2)'!AI$4:AI$1858,'Val-Vol (2)'!$A$4:$A$1858,$D1213,'Val-Vol (2)'!$V$4:$V$1858,$V1213)/SUMIFS('Comp2016-2017 (3)'!$G$5:$G$289,'Comp2016-2017 (3)'!$A$5:$A$289,$D1213,'Comp2016-2017 (3)'!$R$5:$R$289,$V1213)*$AB1213))</f>
        <v/>
      </c>
      <c r="AJ1213" s="222" t="str">
        <f>IF($W1213=AJ$3,$AB1213,IF(NOT($W1213=0),"",SUMIFS('Val-Vol (2)'!AJ$4:AJ$1858,'Val-Vol (2)'!$A$4:$A$1858,$D1213,'Val-Vol (2)'!$V$4:$V$1858,$V1213)/SUMIFS('Comp2016-2017 (3)'!$G$5:$G$289,'Comp2016-2017 (3)'!$A$5:$A$289,$D1213,'Comp2016-2017 (3)'!$R$5:$R$289,$V1213)*$AB1213))</f>
        <v/>
      </c>
      <c r="AK1213" s="222">
        <f t="shared" si="149"/>
        <v>0</v>
      </c>
      <c r="AL1213" s="212" t="str">
        <f t="shared" si="150"/>
        <v/>
      </c>
      <c r="AM1213" s="212" t="str">
        <f>VLOOKUP(A1213,'Table corresp.'!$M$4:$U$63,8,FALSE)</f>
        <v>Production intermédiaire</v>
      </c>
      <c r="AN1213" s="212" t="str">
        <f>VLOOKUP(D1213,'Table corresp.'!$M$4:$U$63,9,FALSE)</f>
        <v>Production finale</v>
      </c>
    </row>
    <row r="1214" spans="1:40" x14ac:dyDescent="0.25">
      <c r="A1214" t="s">
        <v>82</v>
      </c>
      <c r="B1214" t="str">
        <f>VLOOKUP(LEFT(A1214,3),'Table corresp.'!$A$4:$D$63,3,FALSE)</f>
        <v>Transformation</v>
      </c>
      <c r="C1214" t="str">
        <f>VLOOKUP(A1214,'Table corresp.'!$M$4:$P$63,4,FALSE)</f>
        <v>Production et transformation de produits bois</v>
      </c>
      <c r="D1214" t="s">
        <v>100</v>
      </c>
      <c r="E1214" t="str">
        <f>VLOOKUP(LEFT(D1214,3),'Table corresp.'!$A$4:$D$63,4,FALSE)</f>
        <v>Transformation</v>
      </c>
      <c r="F1214" t="str">
        <f t="shared" si="152"/>
        <v xml:space="preserve">10  - 48 </v>
      </c>
      <c r="G1214" s="213">
        <v>8692.3596431007081</v>
      </c>
      <c r="H1214" s="213">
        <v>0</v>
      </c>
      <c r="I1214" s="213">
        <v>8692.3596431007081</v>
      </c>
      <c r="J1214" s="215">
        <v>38.472483463821142</v>
      </c>
      <c r="K1214" s="215">
        <v>0</v>
      </c>
      <c r="L1214" s="215">
        <v>38.472483463821142</v>
      </c>
      <c r="M1214" s="215"/>
      <c r="N1214" s="215"/>
      <c r="O1214" s="215"/>
      <c r="P1214" s="215"/>
      <c r="Q1214" s="215"/>
      <c r="R1214" s="215"/>
      <c r="S1214" s="213"/>
      <c r="T1214" s="212">
        <f>VLOOKUP(A1214,'Groupe de branches'!$Z$27:$AM$86,14,FALSE)</f>
        <v>0</v>
      </c>
      <c r="U1214" s="212">
        <f>VLOOKUP(D1214,'Groupe de branches'!$Z$27:$AM$86,14,FALSE)</f>
        <v>0</v>
      </c>
      <c r="V1214" s="212">
        <v>2019</v>
      </c>
      <c r="W1214" s="212" t="str">
        <f>VLOOKUP(D1214,'Table corresp.'!$M$4:$S$63,7,FALSE)</f>
        <v>Produits de consommation courante</v>
      </c>
      <c r="X1214" s="228">
        <f>IFERROR(G1214/SUMIFS('Comp2016-2017 (3)'!$I$5:$I$289,'Comp2016-2017 (3)'!$A$5:$A$289,A1214,'Comp2016-2017 (3)'!$R$5:$R$289,V1214),0)</f>
        <v>9.7183907885100576E-2</v>
      </c>
      <c r="Y1214" s="214" t="e">
        <f>IF(RIGHT(F1214,3)="Exp",VLOOKUP(F1214,#REF!,2,FALSE),VLOOKUP(F1214,#REF!,9,FALSE))</f>
        <v>#REF!</v>
      </c>
      <c r="Z1214" s="225" t="str">
        <f t="shared" si="151"/>
        <v/>
      </c>
      <c r="AA1214" s="225" t="e">
        <f t="shared" si="148"/>
        <v>#VALUE!</v>
      </c>
      <c r="AB1214" s="222">
        <f>IFERROR(SUMIFS('Comp2016-2017 (3)'!$G$5:$G$289,'Comp2016-2017 (3)'!$A$5:$A$289,A1214,'Comp2016-2017 (3)'!$R$5:$R$289,V1214)*AA1214/SUMIFS($AA$4:$AA$1858,$A$4:$A$1858,A1214,$V$4:$V$1858,V1214),0)</f>
        <v>0</v>
      </c>
      <c r="AC1214" s="222" t="str">
        <f>IF($W1214=AC$3,$AB1214,IF(NOT($W1214=0),"",SUMIFS('Val-Vol (2)'!AC$4:AC$1858,'Val-Vol (2)'!$A$4:$A$1858,$D1214,'Val-Vol (2)'!$V$4:$V$1858,$V1214)/SUMIFS('Comp2016-2017 (3)'!$G$5:$G$289,'Comp2016-2017 (3)'!$A$5:$A$289,$D1214,'Comp2016-2017 (3)'!$R$5:$R$289,$V1214)*$AB1214))</f>
        <v/>
      </c>
      <c r="AD1214" s="222" t="str">
        <f>IF($W1214=AD$3,$AB1214,IF(NOT($W1214=0),"",SUMIFS('Val-Vol (2)'!AD$4:AD$1858,'Val-Vol (2)'!$A$4:$A$1858,$D1214,'Val-Vol (2)'!$V$4:$V$1858,$V1214)/SUMIFS('Comp2016-2017 (3)'!$G$5:$G$289,'Comp2016-2017 (3)'!$A$5:$A$289,$D1214,'Comp2016-2017 (3)'!$R$5:$R$289,$V1214)*$AB1214))</f>
        <v/>
      </c>
      <c r="AE1214" s="222" t="str">
        <f>IF($W1214=AE$3,$AB1214,IF(NOT($W1214=0),"",SUMIFS('Val-Vol (2)'!AE$4:AE$1858,'Val-Vol (2)'!$A$4:$A$1858,$D1214,'Val-Vol (2)'!$V$4:$V$1858,$V1214)/SUMIFS('Comp2016-2017 (3)'!$G$5:$G$289,'Comp2016-2017 (3)'!$A$5:$A$289,$D1214,'Comp2016-2017 (3)'!$R$5:$R$289,$V1214)*$AB1214))</f>
        <v/>
      </c>
      <c r="AF1214" s="222" t="str">
        <f>IF($W1214=AF$3,$AB1214,IF(NOT($W1214=0),"",SUMIFS('Val-Vol (2)'!AF$4:AF$1858,'Val-Vol (2)'!$A$4:$A$1858,$D1214,'Val-Vol (2)'!$V$4:$V$1858,$V1214)/SUMIFS('Comp2016-2017 (3)'!$G$5:$G$289,'Comp2016-2017 (3)'!$A$5:$A$289,$D1214,'Comp2016-2017 (3)'!$R$5:$R$289,$V1214)*$AB1214))</f>
        <v/>
      </c>
      <c r="AG1214" s="222" t="str">
        <f>IF($W1214=AG$3,$AB1214,IF(NOT($W1214=0),"",SUMIFS('Val-Vol (2)'!AG$4:AG$1858,'Val-Vol (2)'!$A$4:$A$1858,$D1214,'Val-Vol (2)'!$V$4:$V$1858,$V1214)/SUMIFS('Comp2016-2017 (3)'!$G$5:$G$289,'Comp2016-2017 (3)'!$A$5:$A$289,$D1214,'Comp2016-2017 (3)'!$R$5:$R$289,$V1214)*$AB1214))</f>
        <v/>
      </c>
      <c r="AH1214" s="222" t="str">
        <f>IF($W1214=AH$3,$AB1214,IF(NOT($W1214=0),"",SUMIFS('Val-Vol (2)'!AH$4:AH$1858,'Val-Vol (2)'!$A$4:$A$1858,$D1214,'Val-Vol (2)'!$V$4:$V$1858,$V1214)/SUMIFS('Comp2016-2017 (3)'!$G$5:$G$289,'Comp2016-2017 (3)'!$A$5:$A$289,$D1214,'Comp2016-2017 (3)'!$R$5:$R$289,$V1214)*$AB1214))</f>
        <v/>
      </c>
      <c r="AI1214" s="222">
        <f>IF($W1214=AI$3,$AB1214,IF(NOT($W1214=0),"",SUMIFS('Val-Vol (2)'!AI$4:AI$1858,'Val-Vol (2)'!$A$4:$A$1858,$D1214,'Val-Vol (2)'!$V$4:$V$1858,$V1214)/SUMIFS('Comp2016-2017 (3)'!$G$5:$G$289,'Comp2016-2017 (3)'!$A$5:$A$289,$D1214,'Comp2016-2017 (3)'!$R$5:$R$289,$V1214)*$AB1214))</f>
        <v>0</v>
      </c>
      <c r="AJ1214" s="222" t="str">
        <f>IF($W1214=AJ$3,$AB1214,IF(NOT($W1214=0),"",SUMIFS('Val-Vol (2)'!AJ$4:AJ$1858,'Val-Vol (2)'!$A$4:$A$1858,$D1214,'Val-Vol (2)'!$V$4:$V$1858,$V1214)/SUMIFS('Comp2016-2017 (3)'!$G$5:$G$289,'Comp2016-2017 (3)'!$A$5:$A$289,$D1214,'Comp2016-2017 (3)'!$R$5:$R$289,$V1214)*$AB1214))</f>
        <v/>
      </c>
      <c r="AK1214" s="222">
        <f t="shared" si="149"/>
        <v>0</v>
      </c>
      <c r="AL1214" s="212" t="str">
        <f t="shared" si="150"/>
        <v/>
      </c>
      <c r="AM1214" s="212" t="str">
        <f>VLOOKUP(A1214,'Table corresp.'!$M$4:$U$63,8,FALSE)</f>
        <v>Production intermédiaire</v>
      </c>
      <c r="AN1214" s="212" t="str">
        <f>VLOOKUP(D1214,'Table corresp.'!$M$4:$U$63,9,FALSE)</f>
        <v>Production finale</v>
      </c>
    </row>
    <row r="1215" spans="1:40" x14ac:dyDescent="0.25">
      <c r="A1215" t="s">
        <v>82</v>
      </c>
      <c r="B1215" t="str">
        <f>VLOOKUP(LEFT(A1215,3),'Table corresp.'!$A$4:$D$63,3,FALSE)</f>
        <v>Transformation</v>
      </c>
      <c r="C1215" t="str">
        <f>VLOOKUP(A1215,'Table corresp.'!$M$4:$P$63,4,FALSE)</f>
        <v>Production et transformation de produits bois</v>
      </c>
      <c r="D1215" t="s">
        <v>21</v>
      </c>
      <c r="E1215" t="str">
        <f>VLOOKUP(LEFT(D1215,3),'Table corresp.'!$A$4:$D$63,4,FALSE)</f>
        <v>Transformation</v>
      </c>
      <c r="F1215" t="str">
        <f t="shared" si="152"/>
        <v xml:space="preserve">10  - 54 </v>
      </c>
      <c r="G1215" s="213">
        <v>12234.626600479764</v>
      </c>
      <c r="H1215" s="213">
        <v>0</v>
      </c>
      <c r="I1215" s="213">
        <v>12234.626600479764</v>
      </c>
      <c r="J1215" s="215">
        <v>61.886397302497365</v>
      </c>
      <c r="K1215" s="215">
        <v>0</v>
      </c>
      <c r="L1215" s="215">
        <v>61.886397302497365</v>
      </c>
      <c r="M1215" s="215"/>
      <c r="N1215" s="215"/>
      <c r="O1215" s="215"/>
      <c r="P1215" s="215"/>
      <c r="Q1215" s="215"/>
      <c r="R1215" s="215"/>
      <c r="S1215" s="213"/>
      <c r="T1215" s="212">
        <f>VLOOKUP(A1215,'Groupe de branches'!$Z$27:$AM$86,14,FALSE)</f>
        <v>0</v>
      </c>
      <c r="U1215" s="212">
        <f>VLOOKUP(D1215,'Groupe de branches'!$Z$27:$AM$86,14,FALSE)</f>
        <v>0</v>
      </c>
      <c r="V1215" s="212">
        <v>2019</v>
      </c>
      <c r="W1215" s="212" t="str">
        <f>VLOOKUP(D1215,'Table corresp.'!$M$4:$S$63,7,FALSE)</f>
        <v>Construction</v>
      </c>
      <c r="X1215" s="228">
        <f>IFERROR(G1215/SUMIFS('Comp2016-2017 (3)'!$I$5:$I$289,'Comp2016-2017 (3)'!$A$5:$A$289,A1215,'Comp2016-2017 (3)'!$R$5:$R$289,V1215),0)</f>
        <v>0.13678780830166934</v>
      </c>
      <c r="Y1215" s="214" t="e">
        <f>IF(RIGHT(F1215,3)="Exp",VLOOKUP(F1215,#REF!,2,FALSE),VLOOKUP(F1215,#REF!,9,FALSE))</f>
        <v>#REF!</v>
      </c>
      <c r="Z1215" s="225" t="str">
        <f t="shared" si="151"/>
        <v/>
      </c>
      <c r="AA1215" s="225" t="e">
        <f t="shared" si="148"/>
        <v>#VALUE!</v>
      </c>
      <c r="AB1215" s="222">
        <f>IFERROR(SUMIFS('Comp2016-2017 (3)'!$G$5:$G$289,'Comp2016-2017 (3)'!$A$5:$A$289,A1215,'Comp2016-2017 (3)'!$R$5:$R$289,V1215)*AA1215/SUMIFS($AA$4:$AA$1858,$A$4:$A$1858,A1215,$V$4:$V$1858,V1215),0)</f>
        <v>0</v>
      </c>
      <c r="AC1215" s="222" t="str">
        <f>IF($W1215=AC$3,$AB1215,IF(NOT($W1215=0),"",SUMIFS('Val-Vol (2)'!AC$4:AC$1858,'Val-Vol (2)'!$A$4:$A$1858,$D1215,'Val-Vol (2)'!$V$4:$V$1858,$V1215)/SUMIFS('Comp2016-2017 (3)'!$G$5:$G$289,'Comp2016-2017 (3)'!$A$5:$A$289,$D1215,'Comp2016-2017 (3)'!$R$5:$R$289,$V1215)*$AB1215))</f>
        <v/>
      </c>
      <c r="AD1215" s="222">
        <f>IF($W1215=AD$3,$AB1215,IF(NOT($W1215=0),"",SUMIFS('Val-Vol (2)'!AD$4:AD$1858,'Val-Vol (2)'!$A$4:$A$1858,$D1215,'Val-Vol (2)'!$V$4:$V$1858,$V1215)/SUMIFS('Comp2016-2017 (3)'!$G$5:$G$289,'Comp2016-2017 (3)'!$A$5:$A$289,$D1215,'Comp2016-2017 (3)'!$R$5:$R$289,$V1215)*$AB1215))</f>
        <v>0</v>
      </c>
      <c r="AE1215" s="222" t="str">
        <f>IF($W1215=AE$3,$AB1215,IF(NOT($W1215=0),"",SUMIFS('Val-Vol (2)'!AE$4:AE$1858,'Val-Vol (2)'!$A$4:$A$1858,$D1215,'Val-Vol (2)'!$V$4:$V$1858,$V1215)/SUMIFS('Comp2016-2017 (3)'!$G$5:$G$289,'Comp2016-2017 (3)'!$A$5:$A$289,$D1215,'Comp2016-2017 (3)'!$R$5:$R$289,$V1215)*$AB1215))</f>
        <v/>
      </c>
      <c r="AF1215" s="222" t="str">
        <f>IF($W1215=AF$3,$AB1215,IF(NOT($W1215=0),"",SUMIFS('Val-Vol (2)'!AF$4:AF$1858,'Val-Vol (2)'!$A$4:$A$1858,$D1215,'Val-Vol (2)'!$V$4:$V$1858,$V1215)/SUMIFS('Comp2016-2017 (3)'!$G$5:$G$289,'Comp2016-2017 (3)'!$A$5:$A$289,$D1215,'Comp2016-2017 (3)'!$R$5:$R$289,$V1215)*$AB1215))</f>
        <v/>
      </c>
      <c r="AG1215" s="222" t="str">
        <f>IF($W1215=AG$3,$AB1215,IF(NOT($W1215=0),"",SUMIFS('Val-Vol (2)'!AG$4:AG$1858,'Val-Vol (2)'!$A$4:$A$1858,$D1215,'Val-Vol (2)'!$V$4:$V$1858,$V1215)/SUMIFS('Comp2016-2017 (3)'!$G$5:$G$289,'Comp2016-2017 (3)'!$A$5:$A$289,$D1215,'Comp2016-2017 (3)'!$R$5:$R$289,$V1215)*$AB1215))</f>
        <v/>
      </c>
      <c r="AH1215" s="222" t="str">
        <f>IF($W1215=AH$3,$AB1215,IF(NOT($W1215=0),"",SUMIFS('Val-Vol (2)'!AH$4:AH$1858,'Val-Vol (2)'!$A$4:$A$1858,$D1215,'Val-Vol (2)'!$V$4:$V$1858,$V1215)/SUMIFS('Comp2016-2017 (3)'!$G$5:$G$289,'Comp2016-2017 (3)'!$A$5:$A$289,$D1215,'Comp2016-2017 (3)'!$R$5:$R$289,$V1215)*$AB1215))</f>
        <v/>
      </c>
      <c r="AI1215" s="222" t="str">
        <f>IF($W1215=AI$3,$AB1215,IF(NOT($W1215=0),"",SUMIFS('Val-Vol (2)'!AI$4:AI$1858,'Val-Vol (2)'!$A$4:$A$1858,$D1215,'Val-Vol (2)'!$V$4:$V$1858,$V1215)/SUMIFS('Comp2016-2017 (3)'!$G$5:$G$289,'Comp2016-2017 (3)'!$A$5:$A$289,$D1215,'Comp2016-2017 (3)'!$R$5:$R$289,$V1215)*$AB1215))</f>
        <v/>
      </c>
      <c r="AJ1215" s="222" t="str">
        <f>IF($W1215=AJ$3,$AB1215,IF(NOT($W1215=0),"",SUMIFS('Val-Vol (2)'!AJ$4:AJ$1858,'Val-Vol (2)'!$A$4:$A$1858,$D1215,'Val-Vol (2)'!$V$4:$V$1858,$V1215)/SUMIFS('Comp2016-2017 (3)'!$G$5:$G$289,'Comp2016-2017 (3)'!$A$5:$A$289,$D1215,'Comp2016-2017 (3)'!$R$5:$R$289,$V1215)*$AB1215))</f>
        <v/>
      </c>
      <c r="AK1215" s="222">
        <f t="shared" si="149"/>
        <v>0</v>
      </c>
      <c r="AL1215" s="212" t="str">
        <f t="shared" si="150"/>
        <v/>
      </c>
      <c r="AM1215" s="212" t="str">
        <f>VLOOKUP(A1215,'Table corresp.'!$M$4:$U$63,8,FALSE)</f>
        <v>Production intermédiaire</v>
      </c>
      <c r="AN1215" s="212" t="str">
        <f>VLOOKUP(D1215,'Table corresp.'!$M$4:$U$63,9,FALSE)</f>
        <v xml:space="preserve">Mise en œuvre </v>
      </c>
    </row>
    <row r="1216" spans="1:40" x14ac:dyDescent="0.25">
      <c r="A1216" t="s">
        <v>82</v>
      </c>
      <c r="B1216" t="str">
        <f>VLOOKUP(LEFT(A1216,3),'Table corresp.'!$A$4:$D$63,3,FALSE)</f>
        <v>Transformation</v>
      </c>
      <c r="C1216" t="str">
        <f>VLOOKUP(A1216,'Table corresp.'!$M$4:$P$63,4,FALSE)</f>
        <v>Production et transformation de produits bois</v>
      </c>
      <c r="D1216" t="s">
        <v>22</v>
      </c>
      <c r="E1216" t="str">
        <f>VLOOKUP(LEFT(D1216,3),'Table corresp.'!$A$4:$D$63,4,FALSE)</f>
        <v>Transformation</v>
      </c>
      <c r="F1216" t="str">
        <f t="shared" si="152"/>
        <v xml:space="preserve">10  - 55 </v>
      </c>
      <c r="G1216" s="213">
        <v>2101.5851629993558</v>
      </c>
      <c r="H1216" s="213">
        <v>0</v>
      </c>
      <c r="I1216" s="213">
        <v>2101.5851629993558</v>
      </c>
      <c r="J1216" s="215">
        <v>9.3016400322873576</v>
      </c>
      <c r="K1216" s="215">
        <v>0</v>
      </c>
      <c r="L1216" s="215">
        <v>9.3016400322873576</v>
      </c>
      <c r="M1216" s="215"/>
      <c r="N1216" s="215"/>
      <c r="O1216" s="215"/>
      <c r="P1216" s="215"/>
      <c r="Q1216" s="215"/>
      <c r="R1216" s="215"/>
      <c r="S1216" s="213"/>
      <c r="T1216" s="212">
        <f>VLOOKUP(A1216,'Groupe de branches'!$Z$27:$AM$86,14,FALSE)</f>
        <v>0</v>
      </c>
      <c r="U1216" s="212">
        <f>VLOOKUP(D1216,'Groupe de branches'!$Z$27:$AM$86,14,FALSE)</f>
        <v>0</v>
      </c>
      <c r="V1216" s="212">
        <v>2019</v>
      </c>
      <c r="W1216" s="212" t="str">
        <f>VLOOKUP(D1216,'Table corresp.'!$M$4:$S$63,7,FALSE)</f>
        <v>Construction</v>
      </c>
      <c r="X1216" s="228">
        <f>IFERROR(G1216/SUMIFS('Comp2016-2017 (3)'!$I$5:$I$289,'Comp2016-2017 (3)'!$A$5:$A$289,A1216,'Comp2016-2017 (3)'!$R$5:$R$289,V1216),0)</f>
        <v>2.3496526522085736E-2</v>
      </c>
      <c r="Y1216" s="214" t="e">
        <f>IF(RIGHT(F1216,3)="Exp",VLOOKUP(F1216,#REF!,2,FALSE),VLOOKUP(F1216,#REF!,9,FALSE))</f>
        <v>#REF!</v>
      </c>
      <c r="Z1216" s="225" t="str">
        <f t="shared" si="151"/>
        <v/>
      </c>
      <c r="AA1216" s="225" t="e">
        <f t="shared" si="148"/>
        <v>#VALUE!</v>
      </c>
      <c r="AB1216" s="222">
        <f>IFERROR(SUMIFS('Comp2016-2017 (3)'!$G$5:$G$289,'Comp2016-2017 (3)'!$A$5:$A$289,A1216,'Comp2016-2017 (3)'!$R$5:$R$289,V1216)*AA1216/SUMIFS($AA$4:$AA$1858,$A$4:$A$1858,A1216,$V$4:$V$1858,V1216),0)</f>
        <v>0</v>
      </c>
      <c r="AC1216" s="222" t="str">
        <f>IF($W1216=AC$3,$AB1216,IF(NOT($W1216=0),"",SUMIFS('Val-Vol (2)'!AC$4:AC$1858,'Val-Vol (2)'!$A$4:$A$1858,$D1216,'Val-Vol (2)'!$V$4:$V$1858,$V1216)/SUMIFS('Comp2016-2017 (3)'!$G$5:$G$289,'Comp2016-2017 (3)'!$A$5:$A$289,$D1216,'Comp2016-2017 (3)'!$R$5:$R$289,$V1216)*$AB1216))</f>
        <v/>
      </c>
      <c r="AD1216" s="222">
        <f>IF($W1216=AD$3,$AB1216,IF(NOT($W1216=0),"",SUMIFS('Val-Vol (2)'!AD$4:AD$1858,'Val-Vol (2)'!$A$4:$A$1858,$D1216,'Val-Vol (2)'!$V$4:$V$1858,$V1216)/SUMIFS('Comp2016-2017 (3)'!$G$5:$G$289,'Comp2016-2017 (3)'!$A$5:$A$289,$D1216,'Comp2016-2017 (3)'!$R$5:$R$289,$V1216)*$AB1216))</f>
        <v>0</v>
      </c>
      <c r="AE1216" s="222" t="str">
        <f>IF($W1216=AE$3,$AB1216,IF(NOT($W1216=0),"",SUMIFS('Val-Vol (2)'!AE$4:AE$1858,'Val-Vol (2)'!$A$4:$A$1858,$D1216,'Val-Vol (2)'!$V$4:$V$1858,$V1216)/SUMIFS('Comp2016-2017 (3)'!$G$5:$G$289,'Comp2016-2017 (3)'!$A$5:$A$289,$D1216,'Comp2016-2017 (3)'!$R$5:$R$289,$V1216)*$AB1216))</f>
        <v/>
      </c>
      <c r="AF1216" s="222" t="str">
        <f>IF($W1216=AF$3,$AB1216,IF(NOT($W1216=0),"",SUMIFS('Val-Vol (2)'!AF$4:AF$1858,'Val-Vol (2)'!$A$4:$A$1858,$D1216,'Val-Vol (2)'!$V$4:$V$1858,$V1216)/SUMIFS('Comp2016-2017 (3)'!$G$5:$G$289,'Comp2016-2017 (3)'!$A$5:$A$289,$D1216,'Comp2016-2017 (3)'!$R$5:$R$289,$V1216)*$AB1216))</f>
        <v/>
      </c>
      <c r="AG1216" s="222" t="str">
        <f>IF($W1216=AG$3,$AB1216,IF(NOT($W1216=0),"",SUMIFS('Val-Vol (2)'!AG$4:AG$1858,'Val-Vol (2)'!$A$4:$A$1858,$D1216,'Val-Vol (2)'!$V$4:$V$1858,$V1216)/SUMIFS('Comp2016-2017 (3)'!$G$5:$G$289,'Comp2016-2017 (3)'!$A$5:$A$289,$D1216,'Comp2016-2017 (3)'!$R$5:$R$289,$V1216)*$AB1216))</f>
        <v/>
      </c>
      <c r="AH1216" s="222" t="str">
        <f>IF($W1216=AH$3,$AB1216,IF(NOT($W1216=0),"",SUMIFS('Val-Vol (2)'!AH$4:AH$1858,'Val-Vol (2)'!$A$4:$A$1858,$D1216,'Val-Vol (2)'!$V$4:$V$1858,$V1216)/SUMIFS('Comp2016-2017 (3)'!$G$5:$G$289,'Comp2016-2017 (3)'!$A$5:$A$289,$D1216,'Comp2016-2017 (3)'!$R$5:$R$289,$V1216)*$AB1216))</f>
        <v/>
      </c>
      <c r="AI1216" s="222" t="str">
        <f>IF($W1216=AI$3,$AB1216,IF(NOT($W1216=0),"",SUMIFS('Val-Vol (2)'!AI$4:AI$1858,'Val-Vol (2)'!$A$4:$A$1858,$D1216,'Val-Vol (2)'!$V$4:$V$1858,$V1216)/SUMIFS('Comp2016-2017 (3)'!$G$5:$G$289,'Comp2016-2017 (3)'!$A$5:$A$289,$D1216,'Comp2016-2017 (3)'!$R$5:$R$289,$V1216)*$AB1216))</f>
        <v/>
      </c>
      <c r="AJ1216" s="222" t="str">
        <f>IF($W1216=AJ$3,$AB1216,IF(NOT($W1216=0),"",SUMIFS('Val-Vol (2)'!AJ$4:AJ$1858,'Val-Vol (2)'!$A$4:$A$1858,$D1216,'Val-Vol (2)'!$V$4:$V$1858,$V1216)/SUMIFS('Comp2016-2017 (3)'!$G$5:$G$289,'Comp2016-2017 (3)'!$A$5:$A$289,$D1216,'Comp2016-2017 (3)'!$R$5:$R$289,$V1216)*$AB1216))</f>
        <v/>
      </c>
      <c r="AK1216" s="222">
        <f t="shared" si="149"/>
        <v>0</v>
      </c>
      <c r="AL1216" s="212" t="str">
        <f t="shared" si="150"/>
        <v/>
      </c>
      <c r="AM1216" s="212" t="str">
        <f>VLOOKUP(A1216,'Table corresp.'!$M$4:$U$63,8,FALSE)</f>
        <v>Production intermédiaire</v>
      </c>
      <c r="AN1216" s="212" t="str">
        <f>VLOOKUP(D1216,'Table corresp.'!$M$4:$U$63,9,FALSE)</f>
        <v xml:space="preserve">Mise en œuvre </v>
      </c>
    </row>
    <row r="1217" spans="1:40" x14ac:dyDescent="0.25">
      <c r="A1217" t="s">
        <v>82</v>
      </c>
      <c r="B1217" t="str">
        <f>VLOOKUP(LEFT(A1217,3),'Table corresp.'!$A$4:$D$63,3,FALSE)</f>
        <v>Transformation</v>
      </c>
      <c r="C1217" t="str">
        <f>VLOOKUP(A1217,'Table corresp.'!$M$4:$P$63,4,FALSE)</f>
        <v>Production et transformation de produits bois</v>
      </c>
      <c r="D1217" t="s">
        <v>24</v>
      </c>
      <c r="E1217" t="str">
        <f>VLOOKUP(LEFT(D1217,3),'Table corresp.'!$A$4:$D$63,4,FALSE)</f>
        <v>Transformation</v>
      </c>
      <c r="F1217" t="str">
        <f t="shared" si="152"/>
        <v xml:space="preserve">10  - 57 </v>
      </c>
      <c r="G1217" s="213">
        <v>4204.0092326903932</v>
      </c>
      <c r="H1217" s="213">
        <v>0</v>
      </c>
      <c r="I1217" s="213">
        <v>4204.0092326903932</v>
      </c>
      <c r="J1217" s="215">
        <v>21.265134943100147</v>
      </c>
      <c r="K1217" s="215">
        <v>0</v>
      </c>
      <c r="L1217" s="215">
        <v>21.265134943100147</v>
      </c>
      <c r="M1217" s="215"/>
      <c r="N1217" s="215"/>
      <c r="O1217" s="215"/>
      <c r="P1217" s="215"/>
      <c r="Q1217" s="215"/>
      <c r="R1217" s="215"/>
      <c r="S1217" s="213"/>
      <c r="T1217" s="212">
        <f>VLOOKUP(A1217,'Groupe de branches'!$Z$27:$AM$86,14,FALSE)</f>
        <v>0</v>
      </c>
      <c r="U1217" s="212">
        <f>VLOOKUP(D1217,'Groupe de branches'!$Z$27:$AM$86,14,FALSE)</f>
        <v>0</v>
      </c>
      <c r="V1217" s="212">
        <v>2019</v>
      </c>
      <c r="W1217" s="212" t="str">
        <f>VLOOKUP(D1217,'Table corresp.'!$M$4:$S$63,7,FALSE)</f>
        <v>Construction</v>
      </c>
      <c r="X1217" s="228">
        <f>IFERROR(G1217/SUMIFS('Comp2016-2017 (3)'!$I$5:$I$289,'Comp2016-2017 (3)'!$A$5:$A$289,A1217,'Comp2016-2017 (3)'!$R$5:$R$289,V1217),0)</f>
        <v>4.7002432342083206E-2</v>
      </c>
      <c r="Y1217" s="214" t="e">
        <f>IF(RIGHT(F1217,3)="Exp",VLOOKUP(F1217,#REF!,2,FALSE),VLOOKUP(F1217,#REF!,9,FALSE))</f>
        <v>#REF!</v>
      </c>
      <c r="Z1217" s="225" t="str">
        <f t="shared" si="151"/>
        <v/>
      </c>
      <c r="AA1217" s="225" t="e">
        <f t="shared" si="148"/>
        <v>#VALUE!</v>
      </c>
      <c r="AB1217" s="222">
        <f>IFERROR(SUMIFS('Comp2016-2017 (3)'!$G$5:$G$289,'Comp2016-2017 (3)'!$A$5:$A$289,A1217,'Comp2016-2017 (3)'!$R$5:$R$289,V1217)*AA1217/SUMIFS($AA$4:$AA$1858,$A$4:$A$1858,A1217,$V$4:$V$1858,V1217),0)</f>
        <v>0</v>
      </c>
      <c r="AC1217" s="222" t="str">
        <f>IF($W1217=AC$3,$AB1217,IF(NOT($W1217=0),"",SUMIFS('Val-Vol (2)'!AC$4:AC$1858,'Val-Vol (2)'!$A$4:$A$1858,$D1217,'Val-Vol (2)'!$V$4:$V$1858,$V1217)/SUMIFS('Comp2016-2017 (3)'!$G$5:$G$289,'Comp2016-2017 (3)'!$A$5:$A$289,$D1217,'Comp2016-2017 (3)'!$R$5:$R$289,$V1217)*$AB1217))</f>
        <v/>
      </c>
      <c r="AD1217" s="222">
        <f>IF($W1217=AD$3,$AB1217,IF(NOT($W1217=0),"",SUMIFS('Val-Vol (2)'!AD$4:AD$1858,'Val-Vol (2)'!$A$4:$A$1858,$D1217,'Val-Vol (2)'!$V$4:$V$1858,$V1217)/SUMIFS('Comp2016-2017 (3)'!$G$5:$G$289,'Comp2016-2017 (3)'!$A$5:$A$289,$D1217,'Comp2016-2017 (3)'!$R$5:$R$289,$V1217)*$AB1217))</f>
        <v>0</v>
      </c>
      <c r="AE1217" s="222" t="str">
        <f>IF($W1217=AE$3,$AB1217,IF(NOT($W1217=0),"",SUMIFS('Val-Vol (2)'!AE$4:AE$1858,'Val-Vol (2)'!$A$4:$A$1858,$D1217,'Val-Vol (2)'!$V$4:$V$1858,$V1217)/SUMIFS('Comp2016-2017 (3)'!$G$5:$G$289,'Comp2016-2017 (3)'!$A$5:$A$289,$D1217,'Comp2016-2017 (3)'!$R$5:$R$289,$V1217)*$AB1217))</f>
        <v/>
      </c>
      <c r="AF1217" s="222" t="str">
        <f>IF($W1217=AF$3,$AB1217,IF(NOT($W1217=0),"",SUMIFS('Val-Vol (2)'!AF$4:AF$1858,'Val-Vol (2)'!$A$4:$A$1858,$D1217,'Val-Vol (2)'!$V$4:$V$1858,$V1217)/SUMIFS('Comp2016-2017 (3)'!$G$5:$G$289,'Comp2016-2017 (3)'!$A$5:$A$289,$D1217,'Comp2016-2017 (3)'!$R$5:$R$289,$V1217)*$AB1217))</f>
        <v/>
      </c>
      <c r="AG1217" s="222" t="str">
        <f>IF($W1217=AG$3,$AB1217,IF(NOT($W1217=0),"",SUMIFS('Val-Vol (2)'!AG$4:AG$1858,'Val-Vol (2)'!$A$4:$A$1858,$D1217,'Val-Vol (2)'!$V$4:$V$1858,$V1217)/SUMIFS('Comp2016-2017 (3)'!$G$5:$G$289,'Comp2016-2017 (3)'!$A$5:$A$289,$D1217,'Comp2016-2017 (3)'!$R$5:$R$289,$V1217)*$AB1217))</f>
        <v/>
      </c>
      <c r="AH1217" s="222" t="str">
        <f>IF($W1217=AH$3,$AB1217,IF(NOT($W1217=0),"",SUMIFS('Val-Vol (2)'!AH$4:AH$1858,'Val-Vol (2)'!$A$4:$A$1858,$D1217,'Val-Vol (2)'!$V$4:$V$1858,$V1217)/SUMIFS('Comp2016-2017 (3)'!$G$5:$G$289,'Comp2016-2017 (3)'!$A$5:$A$289,$D1217,'Comp2016-2017 (3)'!$R$5:$R$289,$V1217)*$AB1217))</f>
        <v/>
      </c>
      <c r="AI1217" s="222" t="str">
        <f>IF($W1217=AI$3,$AB1217,IF(NOT($W1217=0),"",SUMIFS('Val-Vol (2)'!AI$4:AI$1858,'Val-Vol (2)'!$A$4:$A$1858,$D1217,'Val-Vol (2)'!$V$4:$V$1858,$V1217)/SUMIFS('Comp2016-2017 (3)'!$G$5:$G$289,'Comp2016-2017 (3)'!$A$5:$A$289,$D1217,'Comp2016-2017 (3)'!$R$5:$R$289,$V1217)*$AB1217))</f>
        <v/>
      </c>
      <c r="AJ1217" s="222" t="str">
        <f>IF($W1217=AJ$3,$AB1217,IF(NOT($W1217=0),"",SUMIFS('Val-Vol (2)'!AJ$4:AJ$1858,'Val-Vol (2)'!$A$4:$A$1858,$D1217,'Val-Vol (2)'!$V$4:$V$1858,$V1217)/SUMIFS('Comp2016-2017 (3)'!$G$5:$G$289,'Comp2016-2017 (3)'!$A$5:$A$289,$D1217,'Comp2016-2017 (3)'!$R$5:$R$289,$V1217)*$AB1217))</f>
        <v/>
      </c>
      <c r="AK1217" s="222">
        <f t="shared" si="149"/>
        <v>0</v>
      </c>
      <c r="AL1217" s="212" t="str">
        <f t="shared" si="150"/>
        <v/>
      </c>
      <c r="AM1217" s="212" t="str">
        <f>VLOOKUP(A1217,'Table corresp.'!$M$4:$U$63,8,FALSE)</f>
        <v>Production intermédiaire</v>
      </c>
      <c r="AN1217" s="212" t="str">
        <f>VLOOKUP(D1217,'Table corresp.'!$M$4:$U$63,9,FALSE)</f>
        <v xml:space="preserve">Mise en œuvre </v>
      </c>
    </row>
    <row r="1218" spans="1:40" x14ac:dyDescent="0.25">
      <c r="A1218" t="s">
        <v>82</v>
      </c>
      <c r="B1218" t="str">
        <f>VLOOKUP(LEFT(A1218,3),'Table corresp.'!$A$4:$D$63,3,FALSE)</f>
        <v>Transformation</v>
      </c>
      <c r="C1218" t="str">
        <f>VLOOKUP(A1218,'Table corresp.'!$M$4:$P$63,4,FALSE)</f>
        <v>Production et transformation de produits bois</v>
      </c>
      <c r="D1218" t="s">
        <v>25</v>
      </c>
      <c r="E1218" t="str">
        <f>VLOOKUP(LEFT(D1218,3),'Table corresp.'!$A$4:$D$63,4,FALSE)</f>
        <v>Transformation</v>
      </c>
      <c r="F1218" t="str">
        <f t="shared" si="152"/>
        <v xml:space="preserve">10  - 58 </v>
      </c>
      <c r="G1218" s="213">
        <v>891.74084709701788</v>
      </c>
      <c r="H1218" s="213">
        <v>0</v>
      </c>
      <c r="I1218" s="213">
        <v>891.74084709701788</v>
      </c>
      <c r="J1218" s="215">
        <v>7.8937104313635684</v>
      </c>
      <c r="K1218" s="215">
        <v>0</v>
      </c>
      <c r="L1218" s="215">
        <v>7.8937104313635684</v>
      </c>
      <c r="M1218" s="215"/>
      <c r="N1218" s="215"/>
      <c r="O1218" s="215"/>
      <c r="P1218" s="215"/>
      <c r="Q1218" s="215"/>
      <c r="R1218" s="215"/>
      <c r="S1218" s="213"/>
      <c r="T1218" s="212">
        <f>VLOOKUP(A1218,'Groupe de branches'!$Z$27:$AM$86,14,FALSE)</f>
        <v>0</v>
      </c>
      <c r="U1218" s="212">
        <f>VLOOKUP(D1218,'Groupe de branches'!$Z$27:$AM$86,14,FALSE)</f>
        <v>0</v>
      </c>
      <c r="V1218" s="212">
        <v>2019</v>
      </c>
      <c r="W1218" s="212" t="str">
        <f>VLOOKUP(D1218,'Table corresp.'!$M$4:$S$63,7,FALSE)</f>
        <v>Construction</v>
      </c>
      <c r="X1218" s="228">
        <f>IFERROR(G1218/SUMIFS('Comp2016-2017 (3)'!$I$5:$I$289,'Comp2016-2017 (3)'!$A$5:$A$289,A1218,'Comp2016-2017 (3)'!$R$5:$R$289,V1218),0)</f>
        <v>9.9700039920051064E-3</v>
      </c>
      <c r="Y1218" s="214" t="e">
        <f>IF(RIGHT(F1218,3)="Exp",VLOOKUP(F1218,#REF!,2,FALSE),VLOOKUP(F1218,#REF!,9,FALSE))</f>
        <v>#REF!</v>
      </c>
      <c r="Z1218" s="225" t="str">
        <f t="shared" si="151"/>
        <v/>
      </c>
      <c r="AA1218" s="225" t="e">
        <f t="shared" si="148"/>
        <v>#VALUE!</v>
      </c>
      <c r="AB1218" s="222">
        <f>IFERROR(SUMIFS('Comp2016-2017 (3)'!$G$5:$G$289,'Comp2016-2017 (3)'!$A$5:$A$289,A1218,'Comp2016-2017 (3)'!$R$5:$R$289,V1218)*AA1218/SUMIFS($AA$4:$AA$1858,$A$4:$A$1858,A1218,$V$4:$V$1858,V1218),0)</f>
        <v>0</v>
      </c>
      <c r="AC1218" s="222" t="str">
        <f>IF($W1218=AC$3,$AB1218,IF(NOT($W1218=0),"",SUMIFS('Val-Vol (2)'!AC$4:AC$1858,'Val-Vol (2)'!$A$4:$A$1858,$D1218,'Val-Vol (2)'!$V$4:$V$1858,$V1218)/SUMIFS('Comp2016-2017 (3)'!$G$5:$G$289,'Comp2016-2017 (3)'!$A$5:$A$289,$D1218,'Comp2016-2017 (3)'!$R$5:$R$289,$V1218)*$AB1218))</f>
        <v/>
      </c>
      <c r="AD1218" s="222">
        <f>IF($W1218=AD$3,$AB1218,IF(NOT($W1218=0),"",SUMIFS('Val-Vol (2)'!AD$4:AD$1858,'Val-Vol (2)'!$A$4:$A$1858,$D1218,'Val-Vol (2)'!$V$4:$V$1858,$V1218)/SUMIFS('Comp2016-2017 (3)'!$G$5:$G$289,'Comp2016-2017 (3)'!$A$5:$A$289,$D1218,'Comp2016-2017 (3)'!$R$5:$R$289,$V1218)*$AB1218))</f>
        <v>0</v>
      </c>
      <c r="AE1218" s="222" t="str">
        <f>IF($W1218=AE$3,$AB1218,IF(NOT($W1218=0),"",SUMIFS('Val-Vol (2)'!AE$4:AE$1858,'Val-Vol (2)'!$A$4:$A$1858,$D1218,'Val-Vol (2)'!$V$4:$V$1858,$V1218)/SUMIFS('Comp2016-2017 (3)'!$G$5:$G$289,'Comp2016-2017 (3)'!$A$5:$A$289,$D1218,'Comp2016-2017 (3)'!$R$5:$R$289,$V1218)*$AB1218))</f>
        <v/>
      </c>
      <c r="AF1218" s="222" t="str">
        <f>IF($W1218=AF$3,$AB1218,IF(NOT($W1218=0),"",SUMIFS('Val-Vol (2)'!AF$4:AF$1858,'Val-Vol (2)'!$A$4:$A$1858,$D1218,'Val-Vol (2)'!$V$4:$V$1858,$V1218)/SUMIFS('Comp2016-2017 (3)'!$G$5:$G$289,'Comp2016-2017 (3)'!$A$5:$A$289,$D1218,'Comp2016-2017 (3)'!$R$5:$R$289,$V1218)*$AB1218))</f>
        <v/>
      </c>
      <c r="AG1218" s="222" t="str">
        <f>IF($W1218=AG$3,$AB1218,IF(NOT($W1218=0),"",SUMIFS('Val-Vol (2)'!AG$4:AG$1858,'Val-Vol (2)'!$A$4:$A$1858,$D1218,'Val-Vol (2)'!$V$4:$V$1858,$V1218)/SUMIFS('Comp2016-2017 (3)'!$G$5:$G$289,'Comp2016-2017 (3)'!$A$5:$A$289,$D1218,'Comp2016-2017 (3)'!$R$5:$R$289,$V1218)*$AB1218))</f>
        <v/>
      </c>
      <c r="AH1218" s="222" t="str">
        <f>IF($W1218=AH$3,$AB1218,IF(NOT($W1218=0),"",SUMIFS('Val-Vol (2)'!AH$4:AH$1858,'Val-Vol (2)'!$A$4:$A$1858,$D1218,'Val-Vol (2)'!$V$4:$V$1858,$V1218)/SUMIFS('Comp2016-2017 (3)'!$G$5:$G$289,'Comp2016-2017 (3)'!$A$5:$A$289,$D1218,'Comp2016-2017 (3)'!$R$5:$R$289,$V1218)*$AB1218))</f>
        <v/>
      </c>
      <c r="AI1218" s="222" t="str">
        <f>IF($W1218=AI$3,$AB1218,IF(NOT($W1218=0),"",SUMIFS('Val-Vol (2)'!AI$4:AI$1858,'Val-Vol (2)'!$A$4:$A$1858,$D1218,'Val-Vol (2)'!$V$4:$V$1858,$V1218)/SUMIFS('Comp2016-2017 (3)'!$G$5:$G$289,'Comp2016-2017 (3)'!$A$5:$A$289,$D1218,'Comp2016-2017 (3)'!$R$5:$R$289,$V1218)*$AB1218))</f>
        <v/>
      </c>
      <c r="AJ1218" s="222" t="str">
        <f>IF($W1218=AJ$3,$AB1218,IF(NOT($W1218=0),"",SUMIFS('Val-Vol (2)'!AJ$4:AJ$1858,'Val-Vol (2)'!$A$4:$A$1858,$D1218,'Val-Vol (2)'!$V$4:$V$1858,$V1218)/SUMIFS('Comp2016-2017 (3)'!$G$5:$G$289,'Comp2016-2017 (3)'!$A$5:$A$289,$D1218,'Comp2016-2017 (3)'!$R$5:$R$289,$V1218)*$AB1218))</f>
        <v/>
      </c>
      <c r="AK1218" s="222">
        <f t="shared" si="149"/>
        <v>0</v>
      </c>
      <c r="AL1218" s="212" t="str">
        <f t="shared" si="150"/>
        <v/>
      </c>
      <c r="AM1218" s="212" t="str">
        <f>VLOOKUP(A1218,'Table corresp.'!$M$4:$U$63,8,FALSE)</f>
        <v>Production intermédiaire</v>
      </c>
      <c r="AN1218" s="212" t="str">
        <f>VLOOKUP(D1218,'Table corresp.'!$M$4:$U$63,9,FALSE)</f>
        <v xml:space="preserve">Mise en œuvre </v>
      </c>
    </row>
    <row r="1219" spans="1:40" x14ac:dyDescent="0.25">
      <c r="A1219" t="s">
        <v>82</v>
      </c>
      <c r="B1219" t="str">
        <f>VLOOKUP(LEFT(A1219,3),'Table corresp.'!$A$4:$D$63,3,FALSE)</f>
        <v>Transformation</v>
      </c>
      <c r="C1219" t="str">
        <f>VLOOKUP(A1219,'Table corresp.'!$M$4:$P$63,4,FALSE)</f>
        <v>Production et transformation de produits bois</v>
      </c>
      <c r="D1219" t="s">
        <v>54</v>
      </c>
      <c r="E1219" t="str">
        <f>VLOOKUP(LEFT(D1219,3),'Table corresp.'!$A$4:$D$63,4,FALSE)</f>
        <v>Consommation finale</v>
      </c>
      <c r="F1219" t="str">
        <f t="shared" si="152"/>
        <v>10  - Con</v>
      </c>
      <c r="G1219" s="213">
        <v>1224.5804468179197</v>
      </c>
      <c r="H1219" s="213">
        <v>0</v>
      </c>
      <c r="I1219" s="213">
        <v>1224.5804468179197</v>
      </c>
      <c r="J1219" s="215">
        <v>8.7908652464683446</v>
      </c>
      <c r="K1219" s="215">
        <v>0</v>
      </c>
      <c r="L1219" s="215">
        <v>8.7908652464683446</v>
      </c>
      <c r="M1219" s="215"/>
      <c r="N1219" s="215"/>
      <c r="O1219" s="215"/>
      <c r="P1219" s="215"/>
      <c r="Q1219" s="215"/>
      <c r="R1219" s="215"/>
      <c r="S1219" s="213"/>
      <c r="T1219" s="212">
        <f>VLOOKUP(A1219,'Groupe de branches'!$Z$27:$AM$86,14,FALSE)</f>
        <v>0</v>
      </c>
      <c r="U1219" s="212">
        <f>VLOOKUP(D1219,'Groupe de branches'!$Z$27:$AM$86,14,FALSE)</f>
        <v>0</v>
      </c>
      <c r="V1219" s="212">
        <v>2019</v>
      </c>
      <c r="W1219" s="212" t="str">
        <f>VLOOKUP(D1219,'Table corresp.'!$M$4:$S$63,7,FALSE)</f>
        <v>Consommation finale</v>
      </c>
      <c r="X1219" s="228">
        <f>IFERROR(G1219/SUMIFS('Comp2016-2017 (3)'!$I$5:$I$289,'Comp2016-2017 (3)'!$A$5:$A$289,A1219,'Comp2016-2017 (3)'!$R$5:$R$289,V1219),0)</f>
        <v>1.3691278114097377E-2</v>
      </c>
      <c r="Y1219" s="214" t="e">
        <f>IF(RIGHT(F1219,3)="Exp",VLOOKUP(F1219,#REF!,2,FALSE),VLOOKUP(F1219,#REF!,9,FALSE))</f>
        <v>#REF!</v>
      </c>
      <c r="Z1219" s="225" t="str">
        <f t="shared" si="151"/>
        <v/>
      </c>
      <c r="AA1219" s="225" t="e">
        <f t="shared" si="148"/>
        <v>#VALUE!</v>
      </c>
      <c r="AB1219" s="222">
        <f>IFERROR(SUMIFS('Comp2016-2017 (3)'!$G$5:$G$289,'Comp2016-2017 (3)'!$A$5:$A$289,A1219,'Comp2016-2017 (3)'!$R$5:$R$289,V1219)*AA1219/SUMIFS($AA$4:$AA$1858,$A$4:$A$1858,A1219,$V$4:$V$1858,V1219),0)</f>
        <v>0</v>
      </c>
      <c r="AC1219" s="222" t="str">
        <f>IF($W1219=AC$3,$AB1219,IF(NOT($W1219=0),"",SUMIFS('Val-Vol (2)'!AC$4:AC$1858,'Val-Vol (2)'!$A$4:$A$1858,$D1219,'Val-Vol (2)'!$V$4:$V$1858,$V1219)/SUMIFS('Comp2016-2017 (3)'!$G$5:$G$289,'Comp2016-2017 (3)'!$A$5:$A$289,$D1219,'Comp2016-2017 (3)'!$R$5:$R$289,$V1219)*$AB1219))</f>
        <v/>
      </c>
      <c r="AD1219" s="222" t="str">
        <f>IF($W1219=AD$3,$AB1219,IF(NOT($W1219=0),"",SUMIFS('Val-Vol (2)'!AD$4:AD$1858,'Val-Vol (2)'!$A$4:$A$1858,$D1219,'Val-Vol (2)'!$V$4:$V$1858,$V1219)/SUMIFS('Comp2016-2017 (3)'!$G$5:$G$289,'Comp2016-2017 (3)'!$A$5:$A$289,$D1219,'Comp2016-2017 (3)'!$R$5:$R$289,$V1219)*$AB1219))</f>
        <v/>
      </c>
      <c r="AE1219" s="222" t="str">
        <f>IF($W1219=AE$3,$AB1219,IF(NOT($W1219=0),"",SUMIFS('Val-Vol (2)'!AE$4:AE$1858,'Val-Vol (2)'!$A$4:$A$1858,$D1219,'Val-Vol (2)'!$V$4:$V$1858,$V1219)/SUMIFS('Comp2016-2017 (3)'!$G$5:$G$289,'Comp2016-2017 (3)'!$A$5:$A$289,$D1219,'Comp2016-2017 (3)'!$R$5:$R$289,$V1219)*$AB1219))</f>
        <v/>
      </c>
      <c r="AF1219" s="222" t="str">
        <f>IF($W1219=AF$3,$AB1219,IF(NOT($W1219=0),"",SUMIFS('Val-Vol (2)'!AF$4:AF$1858,'Val-Vol (2)'!$A$4:$A$1858,$D1219,'Val-Vol (2)'!$V$4:$V$1858,$V1219)/SUMIFS('Comp2016-2017 (3)'!$G$5:$G$289,'Comp2016-2017 (3)'!$A$5:$A$289,$D1219,'Comp2016-2017 (3)'!$R$5:$R$289,$V1219)*$AB1219))</f>
        <v/>
      </c>
      <c r="AG1219" s="222" t="str">
        <f>IF($W1219=AG$3,$AB1219,IF(NOT($W1219=0),"",SUMIFS('Val-Vol (2)'!AG$4:AG$1858,'Val-Vol (2)'!$A$4:$A$1858,$D1219,'Val-Vol (2)'!$V$4:$V$1858,$V1219)/SUMIFS('Comp2016-2017 (3)'!$G$5:$G$289,'Comp2016-2017 (3)'!$A$5:$A$289,$D1219,'Comp2016-2017 (3)'!$R$5:$R$289,$V1219)*$AB1219))</f>
        <v/>
      </c>
      <c r="AH1219" s="222" t="str">
        <f>IF($W1219=AH$3,$AB1219,IF(NOT($W1219=0),"",SUMIFS('Val-Vol (2)'!AH$4:AH$1858,'Val-Vol (2)'!$A$4:$A$1858,$D1219,'Val-Vol (2)'!$V$4:$V$1858,$V1219)/SUMIFS('Comp2016-2017 (3)'!$G$5:$G$289,'Comp2016-2017 (3)'!$A$5:$A$289,$D1219,'Comp2016-2017 (3)'!$R$5:$R$289,$V1219)*$AB1219))</f>
        <v/>
      </c>
      <c r="AI1219" s="222" t="str">
        <f>IF($W1219=AI$3,$AB1219,IF(NOT($W1219=0),"",SUMIFS('Val-Vol (2)'!AI$4:AI$1858,'Val-Vol (2)'!$A$4:$A$1858,$D1219,'Val-Vol (2)'!$V$4:$V$1858,$V1219)/SUMIFS('Comp2016-2017 (3)'!$G$5:$G$289,'Comp2016-2017 (3)'!$A$5:$A$289,$D1219,'Comp2016-2017 (3)'!$R$5:$R$289,$V1219)*$AB1219))</f>
        <v/>
      </c>
      <c r="AJ1219" s="222">
        <f>IF($W1219=AJ$3,$AB1219,IF(NOT($W1219=0),"",SUMIFS('Val-Vol (2)'!AJ$4:AJ$1858,'Val-Vol (2)'!$A$4:$A$1858,$D1219,'Val-Vol (2)'!$V$4:$V$1858,$V1219)/SUMIFS('Comp2016-2017 (3)'!$G$5:$G$289,'Comp2016-2017 (3)'!$A$5:$A$289,$D1219,'Comp2016-2017 (3)'!$R$5:$R$289,$V1219)*$AB1219))</f>
        <v>0</v>
      </c>
      <c r="AK1219" s="222">
        <f t="shared" si="149"/>
        <v>0</v>
      </c>
      <c r="AL1219" s="212" t="str">
        <f t="shared" si="150"/>
        <v/>
      </c>
      <c r="AM1219" s="212" t="str">
        <f>VLOOKUP(A1219,'Table corresp.'!$M$4:$U$63,8,FALSE)</f>
        <v>Production intermédiaire</v>
      </c>
      <c r="AN1219" s="212" t="str">
        <f>VLOOKUP(D1219,'Table corresp.'!$M$4:$U$63,9,FALSE)</f>
        <v>Consommation finale française</v>
      </c>
    </row>
    <row r="1220" spans="1:40" x14ac:dyDescent="0.25">
      <c r="A1220" t="s">
        <v>82</v>
      </c>
      <c r="B1220" t="str">
        <f>VLOOKUP(LEFT(A1220,3),'Table corresp.'!$A$4:$D$63,3,FALSE)</f>
        <v>Transformation</v>
      </c>
      <c r="C1220" t="str">
        <f>VLOOKUP(A1220,'Table corresp.'!$M$4:$P$63,4,FALSE)</f>
        <v>Production et transformation de produits bois</v>
      </c>
      <c r="D1220" t="s">
        <v>53</v>
      </c>
      <c r="E1220" t="str">
        <f>VLOOKUP(LEFT(D1220,3),'Table corresp.'!$A$4:$D$63,4,FALSE)</f>
        <v>Exportation</v>
      </c>
      <c r="F1220" t="str">
        <f t="shared" si="152"/>
        <v>10  - Exp</v>
      </c>
      <c r="G1220" s="213">
        <v>15098.605999999989</v>
      </c>
      <c r="H1220" s="213">
        <v>0</v>
      </c>
      <c r="I1220" s="213">
        <v>15098.605999999987</v>
      </c>
      <c r="J1220" s="215">
        <v>55.108418212279865</v>
      </c>
      <c r="K1220" s="215">
        <v>0</v>
      </c>
      <c r="L1220" s="215">
        <v>55.108418212279865</v>
      </c>
      <c r="M1220" s="215"/>
      <c r="N1220" s="215"/>
      <c r="O1220" s="215"/>
      <c r="P1220" s="215"/>
      <c r="Q1220" s="215"/>
      <c r="R1220" s="215"/>
      <c r="S1220" s="213"/>
      <c r="T1220" s="212">
        <f>VLOOKUP(A1220,'Groupe de branches'!$Z$27:$AM$86,14,FALSE)</f>
        <v>0</v>
      </c>
      <c r="U1220" s="212">
        <f>VLOOKUP(D1220,'Groupe de branches'!$Z$27:$AM$86,14,FALSE)</f>
        <v>0</v>
      </c>
      <c r="V1220" s="212">
        <v>2019</v>
      </c>
      <c r="W1220" s="212" t="str">
        <f>VLOOKUP(D1220,'Table corresp.'!$M$4:$S$63,7,FALSE)</f>
        <v>Exportation</v>
      </c>
      <c r="X1220" s="228">
        <f>IFERROR(G1220/SUMIFS('Comp2016-2017 (3)'!$I$5:$I$289,'Comp2016-2017 (3)'!$A$5:$A$289,A1220,'Comp2016-2017 (3)'!$R$5:$R$289,V1220),0)</f>
        <v>0.16880819420099383</v>
      </c>
      <c r="Y1220" s="214" t="e">
        <f>IF(RIGHT(F1220,3)="Exp",VLOOKUP(F1220,#REF!,2,FALSE),VLOOKUP(F1220,#REF!,9,FALSE))</f>
        <v>#REF!</v>
      </c>
      <c r="Z1220" s="225" t="str">
        <f t="shared" si="151"/>
        <v/>
      </c>
      <c r="AA1220" s="225" t="e">
        <f t="shared" si="148"/>
        <v>#VALUE!</v>
      </c>
      <c r="AB1220" s="222">
        <f>IFERROR(SUMIFS('Comp2016-2017 (3)'!$G$5:$G$289,'Comp2016-2017 (3)'!$A$5:$A$289,A1220,'Comp2016-2017 (3)'!$R$5:$R$289,V1220)*AA1220/SUMIFS($AA$4:$AA$1858,$A$4:$A$1858,A1220,$V$4:$V$1858,V1220),0)</f>
        <v>0</v>
      </c>
      <c r="AC1220" s="222">
        <f>IF($W1220=AC$3,$AB1220,IF(NOT($W1220=0),"",SUMIFS('Val-Vol (2)'!AC$4:AC$1858,'Val-Vol (2)'!$A$4:$A$1858,$D1220,'Val-Vol (2)'!$V$4:$V$1858,$V1220)/SUMIFS('Comp2016-2017 (3)'!$G$5:$G$289,'Comp2016-2017 (3)'!$A$5:$A$289,$D1220,'Comp2016-2017 (3)'!$R$5:$R$289,$V1220)*$AB1220))</f>
        <v>0</v>
      </c>
      <c r="AD1220" s="222" t="str">
        <f>IF($W1220=AD$3,$AB1220,IF(NOT($W1220=0),"",SUMIFS('Val-Vol (2)'!AD$4:AD$1858,'Val-Vol (2)'!$A$4:$A$1858,$D1220,'Val-Vol (2)'!$V$4:$V$1858,$V1220)/SUMIFS('Comp2016-2017 (3)'!$G$5:$G$289,'Comp2016-2017 (3)'!$A$5:$A$289,$D1220,'Comp2016-2017 (3)'!$R$5:$R$289,$V1220)*$AB1220))</f>
        <v/>
      </c>
      <c r="AE1220" s="222" t="str">
        <f>IF($W1220=AE$3,$AB1220,IF(NOT($W1220=0),"",SUMIFS('Val-Vol (2)'!AE$4:AE$1858,'Val-Vol (2)'!$A$4:$A$1858,$D1220,'Val-Vol (2)'!$V$4:$V$1858,$V1220)/SUMIFS('Comp2016-2017 (3)'!$G$5:$G$289,'Comp2016-2017 (3)'!$A$5:$A$289,$D1220,'Comp2016-2017 (3)'!$R$5:$R$289,$V1220)*$AB1220))</f>
        <v/>
      </c>
      <c r="AF1220" s="222" t="str">
        <f>IF($W1220=AF$3,$AB1220,IF(NOT($W1220=0),"",SUMIFS('Val-Vol (2)'!AF$4:AF$1858,'Val-Vol (2)'!$A$4:$A$1858,$D1220,'Val-Vol (2)'!$V$4:$V$1858,$V1220)/SUMIFS('Comp2016-2017 (3)'!$G$5:$G$289,'Comp2016-2017 (3)'!$A$5:$A$289,$D1220,'Comp2016-2017 (3)'!$R$5:$R$289,$V1220)*$AB1220))</f>
        <v/>
      </c>
      <c r="AG1220" s="222" t="str">
        <f>IF($W1220=AG$3,$AB1220,IF(NOT($W1220=0),"",SUMIFS('Val-Vol (2)'!AG$4:AG$1858,'Val-Vol (2)'!$A$4:$A$1858,$D1220,'Val-Vol (2)'!$V$4:$V$1858,$V1220)/SUMIFS('Comp2016-2017 (3)'!$G$5:$G$289,'Comp2016-2017 (3)'!$A$5:$A$289,$D1220,'Comp2016-2017 (3)'!$R$5:$R$289,$V1220)*$AB1220))</f>
        <v/>
      </c>
      <c r="AH1220" s="222" t="str">
        <f>IF($W1220=AH$3,$AB1220,IF(NOT($W1220=0),"",SUMIFS('Val-Vol (2)'!AH$4:AH$1858,'Val-Vol (2)'!$A$4:$A$1858,$D1220,'Val-Vol (2)'!$V$4:$V$1858,$V1220)/SUMIFS('Comp2016-2017 (3)'!$G$5:$G$289,'Comp2016-2017 (3)'!$A$5:$A$289,$D1220,'Comp2016-2017 (3)'!$R$5:$R$289,$V1220)*$AB1220))</f>
        <v/>
      </c>
      <c r="AI1220" s="222" t="str">
        <f>IF($W1220=AI$3,$AB1220,IF(NOT($W1220=0),"",SUMIFS('Val-Vol (2)'!AI$4:AI$1858,'Val-Vol (2)'!$A$4:$A$1858,$D1220,'Val-Vol (2)'!$V$4:$V$1858,$V1220)/SUMIFS('Comp2016-2017 (3)'!$G$5:$G$289,'Comp2016-2017 (3)'!$A$5:$A$289,$D1220,'Comp2016-2017 (3)'!$R$5:$R$289,$V1220)*$AB1220))</f>
        <v/>
      </c>
      <c r="AJ1220" s="222" t="str">
        <f>IF($W1220=AJ$3,$AB1220,IF(NOT($W1220=0),"",SUMIFS('Val-Vol (2)'!AJ$4:AJ$1858,'Val-Vol (2)'!$A$4:$A$1858,$D1220,'Val-Vol (2)'!$V$4:$V$1858,$V1220)/SUMIFS('Comp2016-2017 (3)'!$G$5:$G$289,'Comp2016-2017 (3)'!$A$5:$A$289,$D1220,'Comp2016-2017 (3)'!$R$5:$R$289,$V1220)*$AB1220))</f>
        <v/>
      </c>
      <c r="AK1220" s="222">
        <f t="shared" si="149"/>
        <v>0</v>
      </c>
      <c r="AL1220" s="212" t="str">
        <f t="shared" si="150"/>
        <v/>
      </c>
      <c r="AM1220" s="212" t="str">
        <f>VLOOKUP(A1220,'Table corresp.'!$M$4:$U$63,8,FALSE)</f>
        <v>Production intermédiaire</v>
      </c>
      <c r="AN1220" s="212" t="str">
        <f>VLOOKUP(D1220,'Table corresp.'!$M$4:$U$63,9,FALSE)</f>
        <v>Exportation</v>
      </c>
    </row>
    <row r="1221" spans="1:40" x14ac:dyDescent="0.25">
      <c r="A1221" t="s">
        <v>6</v>
      </c>
      <c r="B1221" t="str">
        <f>VLOOKUP(LEFT(A1221,3),'Table corresp.'!$A$4:$D$63,3,FALSE)</f>
        <v>Transformation</v>
      </c>
      <c r="C1221" t="str">
        <f>VLOOKUP(A1221,'Table corresp.'!$M$4:$P$63,4,FALSE)</f>
        <v>Production et transformation de produits bois</v>
      </c>
      <c r="D1221" t="s">
        <v>13</v>
      </c>
      <c r="E1221" t="str">
        <f>VLOOKUP(LEFT(D1221,3),'Table corresp.'!$A$4:$D$63,4,FALSE)</f>
        <v>Transformation</v>
      </c>
      <c r="F1221" t="str">
        <f t="shared" si="152"/>
        <v xml:space="preserve">11  - 20 </v>
      </c>
      <c r="G1221" s="213">
        <v>36.962121251308893</v>
      </c>
      <c r="H1221" s="213">
        <v>2296.3368963856688</v>
      </c>
      <c r="I1221" s="213">
        <v>2333.2868979605046</v>
      </c>
      <c r="J1221" s="215">
        <v>0.13817289990658926</v>
      </c>
      <c r="K1221" s="215">
        <v>7.9810576884866578</v>
      </c>
      <c r="L1221" s="215">
        <v>8.119230588393247</v>
      </c>
      <c r="M1221" s="215"/>
      <c r="N1221" s="215"/>
      <c r="O1221" s="215"/>
      <c r="P1221" s="215"/>
      <c r="Q1221" s="215"/>
      <c r="R1221" s="215"/>
      <c r="S1221" s="213"/>
      <c r="T1221" s="212">
        <f>VLOOKUP(A1221,'Groupe de branches'!$Z$27:$AM$86,14,FALSE)</f>
        <v>0</v>
      </c>
      <c r="U1221" s="212">
        <f>VLOOKUP(D1221,'Groupe de branches'!$Z$27:$AM$86,14,FALSE)</f>
        <v>0</v>
      </c>
      <c r="V1221" s="212">
        <v>2019</v>
      </c>
      <c r="W1221" s="212">
        <f>VLOOKUP(D1221,'Table corresp.'!$M$4:$S$63,7,FALSE)</f>
        <v>0</v>
      </c>
      <c r="X1221" s="228">
        <f>IFERROR(G1221/SUMIFS('Comp2016-2017 (3)'!$I$5:$I$289,'Comp2016-2017 (3)'!$A$5:$A$289,A1221,'Comp2016-2017 (3)'!$R$5:$R$289,V1221),0)</f>
        <v>3.3484043848190296E-3</v>
      </c>
      <c r="Y1221" s="214" t="e">
        <f>IF(RIGHT(F1221,3)="Exp",VLOOKUP(F1221,#REF!,2,FALSE),VLOOKUP(F1221,#REF!,9,FALSE))</f>
        <v>#REF!</v>
      </c>
      <c r="Z1221" s="225" t="str">
        <f t="shared" si="151"/>
        <v/>
      </c>
      <c r="AA1221" s="225" t="e">
        <f t="shared" si="148"/>
        <v>#VALUE!</v>
      </c>
      <c r="AB1221" s="222">
        <f>IFERROR(SUMIFS('Comp2016-2017 (3)'!$G$5:$G$289,'Comp2016-2017 (3)'!$A$5:$A$289,A1221,'Comp2016-2017 (3)'!$R$5:$R$289,V1221)*AA1221/SUMIFS($AA$4:$AA$1858,$A$4:$A$1858,A1221,$V$4:$V$1858,V1221),0)</f>
        <v>0</v>
      </c>
      <c r="AC1221" s="222">
        <f>IF($W1221=AC$3,$AB1221,IF(NOT($W1221=0),"",SUMIFS('Val-Vol (2)'!AC$4:AC$1858,'Val-Vol (2)'!$A$4:$A$1858,$D1221,'Val-Vol (2)'!$V$4:$V$1858,$V1221)/SUMIFS('Comp2016-2017 (3)'!$G$5:$G$289,'Comp2016-2017 (3)'!$A$5:$A$289,$D1221,'Comp2016-2017 (3)'!$R$5:$R$289,$V1221)*$AB1221))</f>
        <v>0</v>
      </c>
      <c r="AD1221" s="222">
        <f>IF($W1221=AD$3,$AB1221,IF(NOT($W1221=0),"",SUMIFS('Val-Vol (2)'!AD$4:AD$1858,'Val-Vol (2)'!$A$4:$A$1858,$D1221,'Val-Vol (2)'!$V$4:$V$1858,$V1221)/SUMIFS('Comp2016-2017 (3)'!$G$5:$G$289,'Comp2016-2017 (3)'!$A$5:$A$289,$D1221,'Comp2016-2017 (3)'!$R$5:$R$289,$V1221)*$AB1221))</f>
        <v>0</v>
      </c>
      <c r="AE1221" s="222">
        <f>IF($W1221=AE$3,$AB1221,IF(NOT($W1221=0),"",SUMIFS('Val-Vol (2)'!AE$4:AE$1858,'Val-Vol (2)'!$A$4:$A$1858,$D1221,'Val-Vol (2)'!$V$4:$V$1858,$V1221)/SUMIFS('Comp2016-2017 (3)'!$G$5:$G$289,'Comp2016-2017 (3)'!$A$5:$A$289,$D1221,'Comp2016-2017 (3)'!$R$5:$R$289,$V1221)*$AB1221))</f>
        <v>0</v>
      </c>
      <c r="AF1221" s="222">
        <f>IF($W1221=AF$3,$AB1221,IF(NOT($W1221=0),"",SUMIFS('Val-Vol (2)'!AF$4:AF$1858,'Val-Vol (2)'!$A$4:$A$1858,$D1221,'Val-Vol (2)'!$V$4:$V$1858,$V1221)/SUMIFS('Comp2016-2017 (3)'!$G$5:$G$289,'Comp2016-2017 (3)'!$A$5:$A$289,$D1221,'Comp2016-2017 (3)'!$R$5:$R$289,$V1221)*$AB1221))</f>
        <v>0</v>
      </c>
      <c r="AG1221" s="222">
        <f>IF($W1221=AG$3,$AB1221,IF(NOT($W1221=0),"",SUMIFS('Val-Vol (2)'!AG$4:AG$1858,'Val-Vol (2)'!$A$4:$A$1858,$D1221,'Val-Vol (2)'!$V$4:$V$1858,$V1221)/SUMIFS('Comp2016-2017 (3)'!$G$5:$G$289,'Comp2016-2017 (3)'!$A$5:$A$289,$D1221,'Comp2016-2017 (3)'!$R$5:$R$289,$V1221)*$AB1221))</f>
        <v>0</v>
      </c>
      <c r="AH1221" s="222">
        <f>IF($W1221=AH$3,$AB1221,IF(NOT($W1221=0),"",SUMIFS('Val-Vol (2)'!AH$4:AH$1858,'Val-Vol (2)'!$A$4:$A$1858,$D1221,'Val-Vol (2)'!$V$4:$V$1858,$V1221)/SUMIFS('Comp2016-2017 (3)'!$G$5:$G$289,'Comp2016-2017 (3)'!$A$5:$A$289,$D1221,'Comp2016-2017 (3)'!$R$5:$R$289,$V1221)*$AB1221))</f>
        <v>0</v>
      </c>
      <c r="AI1221" s="222">
        <f>IF($W1221=AI$3,$AB1221,IF(NOT($W1221=0),"",SUMIFS('Val-Vol (2)'!AI$4:AI$1858,'Val-Vol (2)'!$A$4:$A$1858,$D1221,'Val-Vol (2)'!$V$4:$V$1858,$V1221)/SUMIFS('Comp2016-2017 (3)'!$G$5:$G$289,'Comp2016-2017 (3)'!$A$5:$A$289,$D1221,'Comp2016-2017 (3)'!$R$5:$R$289,$V1221)*$AB1221))</f>
        <v>0</v>
      </c>
      <c r="AJ1221" s="222">
        <f>IF($W1221=AJ$3,$AB1221,IF(NOT($W1221=0),"",SUMIFS('Val-Vol (2)'!AJ$4:AJ$1858,'Val-Vol (2)'!$A$4:$A$1858,$D1221,'Val-Vol (2)'!$V$4:$V$1858,$V1221)/SUMIFS('Comp2016-2017 (3)'!$G$5:$G$289,'Comp2016-2017 (3)'!$A$5:$A$289,$D1221,'Comp2016-2017 (3)'!$R$5:$R$289,$V1221)*$AB1221))</f>
        <v>0</v>
      </c>
      <c r="AK1221" s="222">
        <f t="shared" si="149"/>
        <v>0</v>
      </c>
      <c r="AL1221" s="212" t="str">
        <f t="shared" si="150"/>
        <v/>
      </c>
      <c r="AM1221" s="212" t="str">
        <f>VLOOKUP(A1221,'Table corresp.'!$M$4:$U$63,8,FALSE)</f>
        <v>Production intermédiaire</v>
      </c>
      <c r="AN1221" s="212" t="str">
        <f>VLOOKUP(D1221,'Table corresp.'!$M$4:$U$63,9,FALSE)</f>
        <v>Production intermédiaire</v>
      </c>
    </row>
    <row r="1222" spans="1:40" x14ac:dyDescent="0.25">
      <c r="A1222" t="s">
        <v>6</v>
      </c>
      <c r="B1222" t="str">
        <f>VLOOKUP(LEFT(A1222,3),'Table corresp.'!$A$4:$D$63,3,FALSE)</f>
        <v>Transformation</v>
      </c>
      <c r="C1222" t="str">
        <f>VLOOKUP(A1222,'Table corresp.'!$M$4:$P$63,4,FALSE)</f>
        <v>Production et transformation de produits bois</v>
      </c>
      <c r="D1222" t="s">
        <v>89</v>
      </c>
      <c r="E1222" t="str">
        <f>VLOOKUP(LEFT(D1222,3),'Table corresp.'!$A$4:$D$63,4,FALSE)</f>
        <v>Transformation</v>
      </c>
      <c r="F1222" t="str">
        <f t="shared" si="152"/>
        <v xml:space="preserve">11  - 33 </v>
      </c>
      <c r="G1222" s="213">
        <v>35.481134539099607</v>
      </c>
      <c r="H1222" s="213">
        <v>2570.8148159300235</v>
      </c>
      <c r="I1222" s="213">
        <v>2606.2821467265535</v>
      </c>
      <c r="J1222" s="215">
        <v>0.13263663137487355</v>
      </c>
      <c r="K1222" s="215">
        <v>8.9350222890412372</v>
      </c>
      <c r="L1222" s="215">
        <v>9.0676589204161111</v>
      </c>
      <c r="M1222" s="215"/>
      <c r="N1222" s="215"/>
      <c r="O1222" s="215"/>
      <c r="P1222" s="215"/>
      <c r="Q1222" s="215"/>
      <c r="R1222" s="215"/>
      <c r="S1222" s="213"/>
      <c r="T1222" s="212">
        <f>VLOOKUP(A1222,'Groupe de branches'!$Z$27:$AM$86,14,FALSE)</f>
        <v>0</v>
      </c>
      <c r="U1222" s="212">
        <f>VLOOKUP(D1222,'Groupe de branches'!$Z$27:$AM$86,14,FALSE)</f>
        <v>0</v>
      </c>
      <c r="V1222" s="212">
        <v>2019</v>
      </c>
      <c r="W1222" s="212" t="str">
        <f>VLOOKUP(D1222,'Table corresp.'!$M$4:$S$63,7,FALSE)</f>
        <v>Construction</v>
      </c>
      <c r="X1222" s="228">
        <f>IFERROR(G1222/SUMIFS('Comp2016-2017 (3)'!$I$5:$I$289,'Comp2016-2017 (3)'!$A$5:$A$289,A1222,'Comp2016-2017 (3)'!$R$5:$R$289,V1222),0)</f>
        <v>3.214241565339488E-3</v>
      </c>
      <c r="Y1222" s="214" t="e">
        <f>IF(RIGHT(F1222,3)="Exp",VLOOKUP(F1222,#REF!,2,FALSE),VLOOKUP(F1222,#REF!,9,FALSE))</f>
        <v>#REF!</v>
      </c>
      <c r="Z1222" s="225" t="str">
        <f t="shared" si="151"/>
        <v/>
      </c>
      <c r="AA1222" s="225" t="e">
        <f t="shared" si="148"/>
        <v>#VALUE!</v>
      </c>
      <c r="AB1222" s="222">
        <f>IFERROR(SUMIFS('Comp2016-2017 (3)'!$G$5:$G$289,'Comp2016-2017 (3)'!$A$5:$A$289,A1222,'Comp2016-2017 (3)'!$R$5:$R$289,V1222)*AA1222/SUMIFS($AA$4:$AA$1858,$A$4:$A$1858,A1222,$V$4:$V$1858,V1222),0)</f>
        <v>0</v>
      </c>
      <c r="AC1222" s="222" t="str">
        <f>IF($W1222=AC$3,$AB1222,IF(NOT($W1222=0),"",SUMIFS('Val-Vol (2)'!AC$4:AC$1858,'Val-Vol (2)'!$A$4:$A$1858,$D1222,'Val-Vol (2)'!$V$4:$V$1858,$V1222)/SUMIFS('Comp2016-2017 (3)'!$G$5:$G$289,'Comp2016-2017 (3)'!$A$5:$A$289,$D1222,'Comp2016-2017 (3)'!$R$5:$R$289,$V1222)*$AB1222))</f>
        <v/>
      </c>
      <c r="AD1222" s="222">
        <f>IF($W1222=AD$3,$AB1222,IF(NOT($W1222=0),"",SUMIFS('Val-Vol (2)'!AD$4:AD$1858,'Val-Vol (2)'!$A$4:$A$1858,$D1222,'Val-Vol (2)'!$V$4:$V$1858,$V1222)/SUMIFS('Comp2016-2017 (3)'!$G$5:$G$289,'Comp2016-2017 (3)'!$A$5:$A$289,$D1222,'Comp2016-2017 (3)'!$R$5:$R$289,$V1222)*$AB1222))</f>
        <v>0</v>
      </c>
      <c r="AE1222" s="222" t="str">
        <f>IF($W1222=AE$3,$AB1222,IF(NOT($W1222=0),"",SUMIFS('Val-Vol (2)'!AE$4:AE$1858,'Val-Vol (2)'!$A$4:$A$1858,$D1222,'Val-Vol (2)'!$V$4:$V$1858,$V1222)/SUMIFS('Comp2016-2017 (3)'!$G$5:$G$289,'Comp2016-2017 (3)'!$A$5:$A$289,$D1222,'Comp2016-2017 (3)'!$R$5:$R$289,$V1222)*$AB1222))</f>
        <v/>
      </c>
      <c r="AF1222" s="222" t="str">
        <f>IF($W1222=AF$3,$AB1222,IF(NOT($W1222=0),"",SUMIFS('Val-Vol (2)'!AF$4:AF$1858,'Val-Vol (2)'!$A$4:$A$1858,$D1222,'Val-Vol (2)'!$V$4:$V$1858,$V1222)/SUMIFS('Comp2016-2017 (3)'!$G$5:$G$289,'Comp2016-2017 (3)'!$A$5:$A$289,$D1222,'Comp2016-2017 (3)'!$R$5:$R$289,$V1222)*$AB1222))</f>
        <v/>
      </c>
      <c r="AG1222" s="222" t="str">
        <f>IF($W1222=AG$3,$AB1222,IF(NOT($W1222=0),"",SUMIFS('Val-Vol (2)'!AG$4:AG$1858,'Val-Vol (2)'!$A$4:$A$1858,$D1222,'Val-Vol (2)'!$V$4:$V$1858,$V1222)/SUMIFS('Comp2016-2017 (3)'!$G$5:$G$289,'Comp2016-2017 (3)'!$A$5:$A$289,$D1222,'Comp2016-2017 (3)'!$R$5:$R$289,$V1222)*$AB1222))</f>
        <v/>
      </c>
      <c r="AH1222" s="222" t="str">
        <f>IF($W1222=AH$3,$AB1222,IF(NOT($W1222=0),"",SUMIFS('Val-Vol (2)'!AH$4:AH$1858,'Val-Vol (2)'!$A$4:$A$1858,$D1222,'Val-Vol (2)'!$V$4:$V$1858,$V1222)/SUMIFS('Comp2016-2017 (3)'!$G$5:$G$289,'Comp2016-2017 (3)'!$A$5:$A$289,$D1222,'Comp2016-2017 (3)'!$R$5:$R$289,$V1222)*$AB1222))</f>
        <v/>
      </c>
      <c r="AI1222" s="222" t="str">
        <f>IF($W1222=AI$3,$AB1222,IF(NOT($W1222=0),"",SUMIFS('Val-Vol (2)'!AI$4:AI$1858,'Val-Vol (2)'!$A$4:$A$1858,$D1222,'Val-Vol (2)'!$V$4:$V$1858,$V1222)/SUMIFS('Comp2016-2017 (3)'!$G$5:$G$289,'Comp2016-2017 (3)'!$A$5:$A$289,$D1222,'Comp2016-2017 (3)'!$R$5:$R$289,$V1222)*$AB1222))</f>
        <v/>
      </c>
      <c r="AJ1222" s="222" t="str">
        <f>IF($W1222=AJ$3,$AB1222,IF(NOT($W1222=0),"",SUMIFS('Val-Vol (2)'!AJ$4:AJ$1858,'Val-Vol (2)'!$A$4:$A$1858,$D1222,'Val-Vol (2)'!$V$4:$V$1858,$V1222)/SUMIFS('Comp2016-2017 (3)'!$G$5:$G$289,'Comp2016-2017 (3)'!$A$5:$A$289,$D1222,'Comp2016-2017 (3)'!$R$5:$R$289,$V1222)*$AB1222))</f>
        <v/>
      </c>
      <c r="AK1222" s="222">
        <f t="shared" si="149"/>
        <v>0</v>
      </c>
      <c r="AL1222" s="212" t="str">
        <f t="shared" si="150"/>
        <v/>
      </c>
      <c r="AM1222" s="212" t="str">
        <f>VLOOKUP(A1222,'Table corresp.'!$M$4:$U$63,8,FALSE)</f>
        <v>Production intermédiaire</v>
      </c>
      <c r="AN1222" s="212" t="str">
        <f>VLOOKUP(D1222,'Table corresp.'!$M$4:$U$63,9,FALSE)</f>
        <v>Production finale</v>
      </c>
    </row>
    <row r="1223" spans="1:40" x14ac:dyDescent="0.25">
      <c r="A1223" t="s">
        <v>6</v>
      </c>
      <c r="B1223" t="str">
        <f>VLOOKUP(LEFT(A1223,3),'Table corresp.'!$A$4:$D$63,3,FALSE)</f>
        <v>Transformation</v>
      </c>
      <c r="C1223" t="str">
        <f>VLOOKUP(A1223,'Table corresp.'!$M$4:$P$63,4,FALSE)</f>
        <v>Production et transformation de produits bois</v>
      </c>
      <c r="D1223" t="s">
        <v>15</v>
      </c>
      <c r="E1223" t="str">
        <f>VLOOKUP(LEFT(D1223,3),'Table corresp.'!$A$4:$D$63,4,FALSE)</f>
        <v>Transformation</v>
      </c>
      <c r="F1223" t="str">
        <f t="shared" si="152"/>
        <v xml:space="preserve">11  - 35 </v>
      </c>
      <c r="G1223" s="213">
        <v>471.42144713442218</v>
      </c>
      <c r="H1223" s="213">
        <v>29559.994188015298</v>
      </c>
      <c r="I1223" s="213">
        <v>30031.259447724933</v>
      </c>
      <c r="J1223" s="215">
        <v>1.7622816608886411</v>
      </c>
      <c r="K1223" s="215">
        <v>102.73754659310136</v>
      </c>
      <c r="L1223" s="215">
        <v>104.49982825399</v>
      </c>
      <c r="M1223" s="215"/>
      <c r="N1223" s="215"/>
      <c r="O1223" s="215"/>
      <c r="P1223" s="215"/>
      <c r="Q1223" s="215"/>
      <c r="R1223" s="215"/>
      <c r="S1223" s="213"/>
      <c r="T1223" s="212">
        <f>VLOOKUP(A1223,'Groupe de branches'!$Z$27:$AM$86,14,FALSE)</f>
        <v>0</v>
      </c>
      <c r="U1223" s="212">
        <f>VLOOKUP(D1223,'Groupe de branches'!$Z$27:$AM$86,14,FALSE)</f>
        <v>0</v>
      </c>
      <c r="V1223" s="212">
        <v>2019</v>
      </c>
      <c r="W1223" s="212" t="str">
        <f>VLOOKUP(D1223,'Table corresp.'!$M$4:$S$63,7,FALSE)</f>
        <v>Construction</v>
      </c>
      <c r="X1223" s="228">
        <f>IFERROR(G1223/SUMIFS('Comp2016-2017 (3)'!$I$5:$I$289,'Comp2016-2017 (3)'!$A$5:$A$289,A1223,'Comp2016-2017 (3)'!$R$5:$R$289,V1223),0)</f>
        <v>4.2706143133674553E-2</v>
      </c>
      <c r="Y1223" s="214" t="e">
        <f>IF(RIGHT(F1223,3)="Exp",VLOOKUP(F1223,#REF!,2,FALSE),VLOOKUP(F1223,#REF!,9,FALSE))</f>
        <v>#REF!</v>
      </c>
      <c r="Z1223" s="225" t="str">
        <f t="shared" si="151"/>
        <v/>
      </c>
      <c r="AA1223" s="225" t="e">
        <f t="shared" si="148"/>
        <v>#VALUE!</v>
      </c>
      <c r="AB1223" s="222">
        <f>IFERROR(SUMIFS('Comp2016-2017 (3)'!$G$5:$G$289,'Comp2016-2017 (3)'!$A$5:$A$289,A1223,'Comp2016-2017 (3)'!$R$5:$R$289,V1223)*AA1223/SUMIFS($AA$4:$AA$1858,$A$4:$A$1858,A1223,$V$4:$V$1858,V1223),0)</f>
        <v>0</v>
      </c>
      <c r="AC1223" s="222" t="str">
        <f>IF($W1223=AC$3,$AB1223,IF(NOT($W1223=0),"",SUMIFS('Val-Vol (2)'!AC$4:AC$1858,'Val-Vol (2)'!$A$4:$A$1858,$D1223,'Val-Vol (2)'!$V$4:$V$1858,$V1223)/SUMIFS('Comp2016-2017 (3)'!$G$5:$G$289,'Comp2016-2017 (3)'!$A$5:$A$289,$D1223,'Comp2016-2017 (3)'!$R$5:$R$289,$V1223)*$AB1223))</f>
        <v/>
      </c>
      <c r="AD1223" s="222">
        <f>IF($W1223=AD$3,$AB1223,IF(NOT($W1223=0),"",SUMIFS('Val-Vol (2)'!AD$4:AD$1858,'Val-Vol (2)'!$A$4:$A$1858,$D1223,'Val-Vol (2)'!$V$4:$V$1858,$V1223)/SUMIFS('Comp2016-2017 (3)'!$G$5:$G$289,'Comp2016-2017 (3)'!$A$5:$A$289,$D1223,'Comp2016-2017 (3)'!$R$5:$R$289,$V1223)*$AB1223))</f>
        <v>0</v>
      </c>
      <c r="AE1223" s="222" t="str">
        <f>IF($W1223=AE$3,$AB1223,IF(NOT($W1223=0),"",SUMIFS('Val-Vol (2)'!AE$4:AE$1858,'Val-Vol (2)'!$A$4:$A$1858,$D1223,'Val-Vol (2)'!$V$4:$V$1858,$V1223)/SUMIFS('Comp2016-2017 (3)'!$G$5:$G$289,'Comp2016-2017 (3)'!$A$5:$A$289,$D1223,'Comp2016-2017 (3)'!$R$5:$R$289,$V1223)*$AB1223))</f>
        <v/>
      </c>
      <c r="AF1223" s="222" t="str">
        <f>IF($W1223=AF$3,$AB1223,IF(NOT($W1223=0),"",SUMIFS('Val-Vol (2)'!AF$4:AF$1858,'Val-Vol (2)'!$A$4:$A$1858,$D1223,'Val-Vol (2)'!$V$4:$V$1858,$V1223)/SUMIFS('Comp2016-2017 (3)'!$G$5:$G$289,'Comp2016-2017 (3)'!$A$5:$A$289,$D1223,'Comp2016-2017 (3)'!$R$5:$R$289,$V1223)*$AB1223))</f>
        <v/>
      </c>
      <c r="AG1223" s="222" t="str">
        <f>IF($W1223=AG$3,$AB1223,IF(NOT($W1223=0),"",SUMIFS('Val-Vol (2)'!AG$4:AG$1858,'Val-Vol (2)'!$A$4:$A$1858,$D1223,'Val-Vol (2)'!$V$4:$V$1858,$V1223)/SUMIFS('Comp2016-2017 (3)'!$G$5:$G$289,'Comp2016-2017 (3)'!$A$5:$A$289,$D1223,'Comp2016-2017 (3)'!$R$5:$R$289,$V1223)*$AB1223))</f>
        <v/>
      </c>
      <c r="AH1223" s="222" t="str">
        <f>IF($W1223=AH$3,$AB1223,IF(NOT($W1223=0),"",SUMIFS('Val-Vol (2)'!AH$4:AH$1858,'Val-Vol (2)'!$A$4:$A$1858,$D1223,'Val-Vol (2)'!$V$4:$V$1858,$V1223)/SUMIFS('Comp2016-2017 (3)'!$G$5:$G$289,'Comp2016-2017 (3)'!$A$5:$A$289,$D1223,'Comp2016-2017 (3)'!$R$5:$R$289,$V1223)*$AB1223))</f>
        <v/>
      </c>
      <c r="AI1223" s="222" t="str">
        <f>IF($W1223=AI$3,$AB1223,IF(NOT($W1223=0),"",SUMIFS('Val-Vol (2)'!AI$4:AI$1858,'Val-Vol (2)'!$A$4:$A$1858,$D1223,'Val-Vol (2)'!$V$4:$V$1858,$V1223)/SUMIFS('Comp2016-2017 (3)'!$G$5:$G$289,'Comp2016-2017 (3)'!$A$5:$A$289,$D1223,'Comp2016-2017 (3)'!$R$5:$R$289,$V1223)*$AB1223))</f>
        <v/>
      </c>
      <c r="AJ1223" s="222" t="str">
        <f>IF($W1223=AJ$3,$AB1223,IF(NOT($W1223=0),"",SUMIFS('Val-Vol (2)'!AJ$4:AJ$1858,'Val-Vol (2)'!$A$4:$A$1858,$D1223,'Val-Vol (2)'!$V$4:$V$1858,$V1223)/SUMIFS('Comp2016-2017 (3)'!$G$5:$G$289,'Comp2016-2017 (3)'!$A$5:$A$289,$D1223,'Comp2016-2017 (3)'!$R$5:$R$289,$V1223)*$AB1223))</f>
        <v/>
      </c>
      <c r="AK1223" s="222">
        <f t="shared" si="149"/>
        <v>0</v>
      </c>
      <c r="AL1223" s="212" t="str">
        <f t="shared" si="150"/>
        <v/>
      </c>
      <c r="AM1223" s="212" t="str">
        <f>VLOOKUP(A1223,'Table corresp.'!$M$4:$U$63,8,FALSE)</f>
        <v>Production intermédiaire</v>
      </c>
      <c r="AN1223" s="212" t="str">
        <f>VLOOKUP(D1223,'Table corresp.'!$M$4:$U$63,9,FALSE)</f>
        <v>Production finale</v>
      </c>
    </row>
    <row r="1224" spans="1:40" x14ac:dyDescent="0.25">
      <c r="A1224" t="s">
        <v>6</v>
      </c>
      <c r="B1224" t="str">
        <f>VLOOKUP(LEFT(A1224,3),'Table corresp.'!$A$4:$D$63,3,FALSE)</f>
        <v>Transformation</v>
      </c>
      <c r="C1224" t="str">
        <f>VLOOKUP(A1224,'Table corresp.'!$M$4:$P$63,4,FALSE)</f>
        <v>Production et transformation de produits bois</v>
      </c>
      <c r="D1224" t="s">
        <v>16</v>
      </c>
      <c r="E1224" t="str">
        <f>VLOOKUP(LEFT(D1224,3),'Table corresp.'!$A$4:$D$63,4,FALSE)</f>
        <v>Transformation</v>
      </c>
      <c r="F1224" t="str">
        <f t="shared" si="152"/>
        <v xml:space="preserve">11  - 36 </v>
      </c>
      <c r="G1224" s="213">
        <v>26.454538206859059</v>
      </c>
      <c r="H1224" s="213">
        <v>1538.1076934765717</v>
      </c>
      <c r="I1224" s="213">
        <v>1564.5541815346746</v>
      </c>
      <c r="J1224" s="215">
        <v>9.8893140761014561E-2</v>
      </c>
      <c r="K1224" s="215">
        <v>5.3457862616165404</v>
      </c>
      <c r="L1224" s="215">
        <v>5.4446794023775551</v>
      </c>
      <c r="M1224" s="215"/>
      <c r="N1224" s="215"/>
      <c r="O1224" s="215"/>
      <c r="P1224" s="215"/>
      <c r="Q1224" s="215"/>
      <c r="R1224" s="215"/>
      <c r="S1224" s="213"/>
      <c r="T1224" s="212">
        <f>VLOOKUP(A1224,'Groupe de branches'!$Z$27:$AM$86,14,FALSE)</f>
        <v>0</v>
      </c>
      <c r="U1224" s="212">
        <f>VLOOKUP(D1224,'Groupe de branches'!$Z$27:$AM$86,14,FALSE)</f>
        <v>0</v>
      </c>
      <c r="V1224" s="212">
        <v>2019</v>
      </c>
      <c r="W1224" s="212" t="str">
        <f>VLOOKUP(D1224,'Table corresp.'!$M$4:$S$63,7,FALSE)</f>
        <v>Construction</v>
      </c>
      <c r="X1224" s="228">
        <f>IFERROR(G1224/SUMIFS('Comp2016-2017 (3)'!$I$5:$I$289,'Comp2016-2017 (3)'!$A$5:$A$289,A1224,'Comp2016-2017 (3)'!$R$5:$R$289,V1224),0)</f>
        <v>2.3965207821256373E-3</v>
      </c>
      <c r="Y1224" s="214" t="e">
        <f>IF(RIGHT(F1224,3)="Exp",VLOOKUP(F1224,#REF!,2,FALSE),VLOOKUP(F1224,#REF!,9,FALSE))</f>
        <v>#REF!</v>
      </c>
      <c r="Z1224" s="225" t="str">
        <f t="shared" si="151"/>
        <v/>
      </c>
      <c r="AA1224" s="225" t="e">
        <f t="shared" si="148"/>
        <v>#VALUE!</v>
      </c>
      <c r="AB1224" s="222">
        <f>IFERROR(SUMIFS('Comp2016-2017 (3)'!$G$5:$G$289,'Comp2016-2017 (3)'!$A$5:$A$289,A1224,'Comp2016-2017 (3)'!$R$5:$R$289,V1224)*AA1224/SUMIFS($AA$4:$AA$1858,$A$4:$A$1858,A1224,$V$4:$V$1858,V1224),0)</f>
        <v>0</v>
      </c>
      <c r="AC1224" s="222" t="str">
        <f>IF($W1224=AC$3,$AB1224,IF(NOT($W1224=0),"",SUMIFS('Val-Vol (2)'!AC$4:AC$1858,'Val-Vol (2)'!$A$4:$A$1858,$D1224,'Val-Vol (2)'!$V$4:$V$1858,$V1224)/SUMIFS('Comp2016-2017 (3)'!$G$5:$G$289,'Comp2016-2017 (3)'!$A$5:$A$289,$D1224,'Comp2016-2017 (3)'!$R$5:$R$289,$V1224)*$AB1224))</f>
        <v/>
      </c>
      <c r="AD1224" s="222">
        <f>IF($W1224=AD$3,$AB1224,IF(NOT($W1224=0),"",SUMIFS('Val-Vol (2)'!AD$4:AD$1858,'Val-Vol (2)'!$A$4:$A$1858,$D1224,'Val-Vol (2)'!$V$4:$V$1858,$V1224)/SUMIFS('Comp2016-2017 (3)'!$G$5:$G$289,'Comp2016-2017 (3)'!$A$5:$A$289,$D1224,'Comp2016-2017 (3)'!$R$5:$R$289,$V1224)*$AB1224))</f>
        <v>0</v>
      </c>
      <c r="AE1224" s="222" t="str">
        <f>IF($W1224=AE$3,$AB1224,IF(NOT($W1224=0),"",SUMIFS('Val-Vol (2)'!AE$4:AE$1858,'Val-Vol (2)'!$A$4:$A$1858,$D1224,'Val-Vol (2)'!$V$4:$V$1858,$V1224)/SUMIFS('Comp2016-2017 (3)'!$G$5:$G$289,'Comp2016-2017 (3)'!$A$5:$A$289,$D1224,'Comp2016-2017 (3)'!$R$5:$R$289,$V1224)*$AB1224))</f>
        <v/>
      </c>
      <c r="AF1224" s="222" t="str">
        <f>IF($W1224=AF$3,$AB1224,IF(NOT($W1224=0),"",SUMIFS('Val-Vol (2)'!AF$4:AF$1858,'Val-Vol (2)'!$A$4:$A$1858,$D1224,'Val-Vol (2)'!$V$4:$V$1858,$V1224)/SUMIFS('Comp2016-2017 (3)'!$G$5:$G$289,'Comp2016-2017 (3)'!$A$5:$A$289,$D1224,'Comp2016-2017 (3)'!$R$5:$R$289,$V1224)*$AB1224))</f>
        <v/>
      </c>
      <c r="AG1224" s="222" t="str">
        <f>IF($W1224=AG$3,$AB1224,IF(NOT($W1224=0),"",SUMIFS('Val-Vol (2)'!AG$4:AG$1858,'Val-Vol (2)'!$A$4:$A$1858,$D1224,'Val-Vol (2)'!$V$4:$V$1858,$V1224)/SUMIFS('Comp2016-2017 (3)'!$G$5:$G$289,'Comp2016-2017 (3)'!$A$5:$A$289,$D1224,'Comp2016-2017 (3)'!$R$5:$R$289,$V1224)*$AB1224))</f>
        <v/>
      </c>
      <c r="AH1224" s="222" t="str">
        <f>IF($W1224=AH$3,$AB1224,IF(NOT($W1224=0),"",SUMIFS('Val-Vol (2)'!AH$4:AH$1858,'Val-Vol (2)'!$A$4:$A$1858,$D1224,'Val-Vol (2)'!$V$4:$V$1858,$V1224)/SUMIFS('Comp2016-2017 (3)'!$G$5:$G$289,'Comp2016-2017 (3)'!$A$5:$A$289,$D1224,'Comp2016-2017 (3)'!$R$5:$R$289,$V1224)*$AB1224))</f>
        <v/>
      </c>
      <c r="AI1224" s="222" t="str">
        <f>IF($W1224=AI$3,$AB1224,IF(NOT($W1224=0),"",SUMIFS('Val-Vol (2)'!AI$4:AI$1858,'Val-Vol (2)'!$A$4:$A$1858,$D1224,'Val-Vol (2)'!$V$4:$V$1858,$V1224)/SUMIFS('Comp2016-2017 (3)'!$G$5:$G$289,'Comp2016-2017 (3)'!$A$5:$A$289,$D1224,'Comp2016-2017 (3)'!$R$5:$R$289,$V1224)*$AB1224))</f>
        <v/>
      </c>
      <c r="AJ1224" s="222" t="str">
        <f>IF($W1224=AJ$3,$AB1224,IF(NOT($W1224=0),"",SUMIFS('Val-Vol (2)'!AJ$4:AJ$1858,'Val-Vol (2)'!$A$4:$A$1858,$D1224,'Val-Vol (2)'!$V$4:$V$1858,$V1224)/SUMIFS('Comp2016-2017 (3)'!$G$5:$G$289,'Comp2016-2017 (3)'!$A$5:$A$289,$D1224,'Comp2016-2017 (3)'!$R$5:$R$289,$V1224)*$AB1224))</f>
        <v/>
      </c>
      <c r="AK1224" s="222">
        <f t="shared" si="149"/>
        <v>0</v>
      </c>
      <c r="AL1224" s="212" t="str">
        <f t="shared" si="150"/>
        <v/>
      </c>
      <c r="AM1224" s="212" t="str">
        <f>VLOOKUP(A1224,'Table corresp.'!$M$4:$U$63,8,FALSE)</f>
        <v>Production intermédiaire</v>
      </c>
      <c r="AN1224" s="212" t="str">
        <f>VLOOKUP(D1224,'Table corresp.'!$M$4:$U$63,9,FALSE)</f>
        <v>Production finale</v>
      </c>
    </row>
    <row r="1225" spans="1:40" x14ac:dyDescent="0.25">
      <c r="A1225" t="s">
        <v>6</v>
      </c>
      <c r="B1225" t="str">
        <f>VLOOKUP(LEFT(A1225,3),'Table corresp.'!$A$4:$D$63,3,FALSE)</f>
        <v>Transformation</v>
      </c>
      <c r="C1225" t="str">
        <f>VLOOKUP(A1225,'Table corresp.'!$M$4:$P$63,4,FALSE)</f>
        <v>Production et transformation de produits bois</v>
      </c>
      <c r="D1225" t="s">
        <v>93</v>
      </c>
      <c r="E1225" t="str">
        <f>VLOOKUP(LEFT(D1225,3),'Table corresp.'!$A$4:$D$63,4,FALSE)</f>
        <v>Transformation</v>
      </c>
      <c r="F1225" t="str">
        <f t="shared" si="152"/>
        <v xml:space="preserve">11  - 41 </v>
      </c>
      <c r="G1225" s="213">
        <v>136.39560035288642</v>
      </c>
      <c r="H1225" s="213">
        <v>5335.1588353763464</v>
      </c>
      <c r="I1225" s="213">
        <v>5471.5282938295086</v>
      </c>
      <c r="J1225" s="215">
        <v>0.5098780859226566</v>
      </c>
      <c r="K1225" s="215">
        <v>18.542667023030138</v>
      </c>
      <c r="L1225" s="215">
        <v>19.052545108952796</v>
      </c>
      <c r="M1225" s="215"/>
      <c r="N1225" s="215"/>
      <c r="O1225" s="215"/>
      <c r="P1225" s="215"/>
      <c r="Q1225" s="215"/>
      <c r="R1225" s="215"/>
      <c r="S1225" s="213"/>
      <c r="T1225" s="212">
        <f>VLOOKUP(A1225,'Groupe de branches'!$Z$27:$AM$86,14,FALSE)</f>
        <v>0</v>
      </c>
      <c r="U1225" s="212">
        <f>VLOOKUP(D1225,'Groupe de branches'!$Z$27:$AM$86,14,FALSE)</f>
        <v>0</v>
      </c>
      <c r="V1225" s="212">
        <v>2019</v>
      </c>
      <c r="W1225" s="212" t="str">
        <f>VLOOKUP(D1225,'Table corresp.'!$M$4:$S$63,7,FALSE)</f>
        <v>Produits de consommation courante</v>
      </c>
      <c r="X1225" s="228">
        <f>IFERROR(G1225/SUMIFS('Comp2016-2017 (3)'!$I$5:$I$289,'Comp2016-2017 (3)'!$A$5:$A$289,A1225,'Comp2016-2017 (3)'!$R$5:$R$289,V1225),0)</f>
        <v>1.2356098915060404E-2</v>
      </c>
      <c r="Y1225" s="214" t="e">
        <f>IF(RIGHT(F1225,3)="Exp",VLOOKUP(F1225,#REF!,2,FALSE),VLOOKUP(F1225,#REF!,9,FALSE))</f>
        <v>#REF!</v>
      </c>
      <c r="Z1225" s="225" t="str">
        <f t="shared" si="151"/>
        <v/>
      </c>
      <c r="AA1225" s="225" t="e">
        <f t="shared" si="148"/>
        <v>#VALUE!</v>
      </c>
      <c r="AB1225" s="222">
        <f>IFERROR(SUMIFS('Comp2016-2017 (3)'!$G$5:$G$289,'Comp2016-2017 (3)'!$A$5:$A$289,A1225,'Comp2016-2017 (3)'!$R$5:$R$289,V1225)*AA1225/SUMIFS($AA$4:$AA$1858,$A$4:$A$1858,A1225,$V$4:$V$1858,V1225),0)</f>
        <v>0</v>
      </c>
      <c r="AC1225" s="222" t="str">
        <f>IF($W1225=AC$3,$AB1225,IF(NOT($W1225=0),"",SUMIFS('Val-Vol (2)'!AC$4:AC$1858,'Val-Vol (2)'!$A$4:$A$1858,$D1225,'Val-Vol (2)'!$V$4:$V$1858,$V1225)/SUMIFS('Comp2016-2017 (3)'!$G$5:$G$289,'Comp2016-2017 (3)'!$A$5:$A$289,$D1225,'Comp2016-2017 (3)'!$R$5:$R$289,$V1225)*$AB1225))</f>
        <v/>
      </c>
      <c r="AD1225" s="222" t="str">
        <f>IF($W1225=AD$3,$AB1225,IF(NOT($W1225=0),"",SUMIFS('Val-Vol (2)'!AD$4:AD$1858,'Val-Vol (2)'!$A$4:$A$1858,$D1225,'Val-Vol (2)'!$V$4:$V$1858,$V1225)/SUMIFS('Comp2016-2017 (3)'!$G$5:$G$289,'Comp2016-2017 (3)'!$A$5:$A$289,$D1225,'Comp2016-2017 (3)'!$R$5:$R$289,$V1225)*$AB1225))</f>
        <v/>
      </c>
      <c r="AE1225" s="222" t="str">
        <f>IF($W1225=AE$3,$AB1225,IF(NOT($W1225=0),"",SUMIFS('Val-Vol (2)'!AE$4:AE$1858,'Val-Vol (2)'!$A$4:$A$1858,$D1225,'Val-Vol (2)'!$V$4:$V$1858,$V1225)/SUMIFS('Comp2016-2017 (3)'!$G$5:$G$289,'Comp2016-2017 (3)'!$A$5:$A$289,$D1225,'Comp2016-2017 (3)'!$R$5:$R$289,$V1225)*$AB1225))</f>
        <v/>
      </c>
      <c r="AF1225" s="222" t="str">
        <f>IF($W1225=AF$3,$AB1225,IF(NOT($W1225=0),"",SUMIFS('Val-Vol (2)'!AF$4:AF$1858,'Val-Vol (2)'!$A$4:$A$1858,$D1225,'Val-Vol (2)'!$V$4:$V$1858,$V1225)/SUMIFS('Comp2016-2017 (3)'!$G$5:$G$289,'Comp2016-2017 (3)'!$A$5:$A$289,$D1225,'Comp2016-2017 (3)'!$R$5:$R$289,$V1225)*$AB1225))</f>
        <v/>
      </c>
      <c r="AG1225" s="222" t="str">
        <f>IF($W1225=AG$3,$AB1225,IF(NOT($W1225=0),"",SUMIFS('Val-Vol (2)'!AG$4:AG$1858,'Val-Vol (2)'!$A$4:$A$1858,$D1225,'Val-Vol (2)'!$V$4:$V$1858,$V1225)/SUMIFS('Comp2016-2017 (3)'!$G$5:$G$289,'Comp2016-2017 (3)'!$A$5:$A$289,$D1225,'Comp2016-2017 (3)'!$R$5:$R$289,$V1225)*$AB1225))</f>
        <v/>
      </c>
      <c r="AH1225" s="222" t="str">
        <f>IF($W1225=AH$3,$AB1225,IF(NOT($W1225=0),"",SUMIFS('Val-Vol (2)'!AH$4:AH$1858,'Val-Vol (2)'!$A$4:$A$1858,$D1225,'Val-Vol (2)'!$V$4:$V$1858,$V1225)/SUMIFS('Comp2016-2017 (3)'!$G$5:$G$289,'Comp2016-2017 (3)'!$A$5:$A$289,$D1225,'Comp2016-2017 (3)'!$R$5:$R$289,$V1225)*$AB1225))</f>
        <v/>
      </c>
      <c r="AI1225" s="222">
        <f>IF($W1225=AI$3,$AB1225,IF(NOT($W1225=0),"",SUMIFS('Val-Vol (2)'!AI$4:AI$1858,'Val-Vol (2)'!$A$4:$A$1858,$D1225,'Val-Vol (2)'!$V$4:$V$1858,$V1225)/SUMIFS('Comp2016-2017 (3)'!$G$5:$G$289,'Comp2016-2017 (3)'!$A$5:$A$289,$D1225,'Comp2016-2017 (3)'!$R$5:$R$289,$V1225)*$AB1225))</f>
        <v>0</v>
      </c>
      <c r="AJ1225" s="222" t="str">
        <f>IF($W1225=AJ$3,$AB1225,IF(NOT($W1225=0),"",SUMIFS('Val-Vol (2)'!AJ$4:AJ$1858,'Val-Vol (2)'!$A$4:$A$1858,$D1225,'Val-Vol (2)'!$V$4:$V$1858,$V1225)/SUMIFS('Comp2016-2017 (3)'!$G$5:$G$289,'Comp2016-2017 (3)'!$A$5:$A$289,$D1225,'Comp2016-2017 (3)'!$R$5:$R$289,$V1225)*$AB1225))</f>
        <v/>
      </c>
      <c r="AK1225" s="222">
        <f t="shared" si="149"/>
        <v>0</v>
      </c>
      <c r="AL1225" s="212" t="str">
        <f t="shared" si="150"/>
        <v/>
      </c>
      <c r="AM1225" s="212" t="str">
        <f>VLOOKUP(A1225,'Table corresp.'!$M$4:$U$63,8,FALSE)</f>
        <v>Production intermédiaire</v>
      </c>
      <c r="AN1225" s="212" t="str">
        <f>VLOOKUP(D1225,'Table corresp.'!$M$4:$U$63,9,FALSE)</f>
        <v>Production finale</v>
      </c>
    </row>
    <row r="1226" spans="1:40" x14ac:dyDescent="0.25">
      <c r="A1226" t="s">
        <v>6</v>
      </c>
      <c r="B1226" t="str">
        <f>VLOOKUP(LEFT(A1226,3),'Table corresp.'!$A$4:$D$63,3,FALSE)</f>
        <v>Transformation</v>
      </c>
      <c r="C1226" t="str">
        <f>VLOOKUP(A1226,'Table corresp.'!$M$4:$P$63,4,FALSE)</f>
        <v>Production et transformation de produits bois</v>
      </c>
      <c r="D1226" t="s">
        <v>99</v>
      </c>
      <c r="E1226" t="str">
        <f>VLOOKUP(LEFT(D1226,3),'Table corresp.'!$A$4:$D$63,4,FALSE)</f>
        <v>Transformation</v>
      </c>
      <c r="F1226" t="str">
        <f t="shared" si="152"/>
        <v xml:space="preserve">11  - 47 </v>
      </c>
      <c r="G1226" s="213">
        <v>175.42643568436364</v>
      </c>
      <c r="H1226" s="213">
        <v>10938.087962876976</v>
      </c>
      <c r="I1226" s="213">
        <v>11113.456643872531</v>
      </c>
      <c r="J1226" s="215">
        <v>0.65578431427084138</v>
      </c>
      <c r="K1226" s="215">
        <v>38.015985882065053</v>
      </c>
      <c r="L1226" s="215">
        <v>38.671770196335892</v>
      </c>
      <c r="M1226" s="215"/>
      <c r="N1226" s="215"/>
      <c r="O1226" s="215"/>
      <c r="P1226" s="215"/>
      <c r="Q1226" s="215"/>
      <c r="R1226" s="215"/>
      <c r="S1226" s="213"/>
      <c r="T1226" s="212">
        <f>VLOOKUP(A1226,'Groupe de branches'!$Z$27:$AM$86,14,FALSE)</f>
        <v>0</v>
      </c>
      <c r="U1226" s="212">
        <f>VLOOKUP(D1226,'Groupe de branches'!$Z$27:$AM$86,14,FALSE)</f>
        <v>0</v>
      </c>
      <c r="V1226" s="212">
        <v>2019</v>
      </c>
      <c r="W1226" s="212" t="str">
        <f>VLOOKUP(D1226,'Table corresp.'!$M$4:$S$63,7,FALSE)</f>
        <v>Meuble</v>
      </c>
      <c r="X1226" s="228">
        <f>IFERROR(G1226/SUMIFS('Comp2016-2017 (3)'!$I$5:$I$289,'Comp2016-2017 (3)'!$A$5:$A$289,A1226,'Comp2016-2017 (3)'!$R$5:$R$289,V1226),0)</f>
        <v>1.5891908434175595E-2</v>
      </c>
      <c r="Y1226" s="214" t="e">
        <f>IF(RIGHT(F1226,3)="Exp",VLOOKUP(F1226,#REF!,2,FALSE),VLOOKUP(F1226,#REF!,9,FALSE))</f>
        <v>#REF!</v>
      </c>
      <c r="Z1226" s="225" t="str">
        <f t="shared" si="151"/>
        <v/>
      </c>
      <c r="AA1226" s="225" t="e">
        <f t="shared" si="148"/>
        <v>#VALUE!</v>
      </c>
      <c r="AB1226" s="222">
        <f>IFERROR(SUMIFS('Comp2016-2017 (3)'!$G$5:$G$289,'Comp2016-2017 (3)'!$A$5:$A$289,A1226,'Comp2016-2017 (3)'!$R$5:$R$289,V1226)*AA1226/SUMIFS($AA$4:$AA$1858,$A$4:$A$1858,A1226,$V$4:$V$1858,V1226),0)</f>
        <v>0</v>
      </c>
      <c r="AC1226" s="222" t="str">
        <f>IF($W1226=AC$3,$AB1226,IF(NOT($W1226=0),"",SUMIFS('Val-Vol (2)'!AC$4:AC$1858,'Val-Vol (2)'!$A$4:$A$1858,$D1226,'Val-Vol (2)'!$V$4:$V$1858,$V1226)/SUMIFS('Comp2016-2017 (3)'!$G$5:$G$289,'Comp2016-2017 (3)'!$A$5:$A$289,$D1226,'Comp2016-2017 (3)'!$R$5:$R$289,$V1226)*$AB1226))</f>
        <v/>
      </c>
      <c r="AD1226" s="222" t="str">
        <f>IF($W1226=AD$3,$AB1226,IF(NOT($W1226=0),"",SUMIFS('Val-Vol (2)'!AD$4:AD$1858,'Val-Vol (2)'!$A$4:$A$1858,$D1226,'Val-Vol (2)'!$V$4:$V$1858,$V1226)/SUMIFS('Comp2016-2017 (3)'!$G$5:$G$289,'Comp2016-2017 (3)'!$A$5:$A$289,$D1226,'Comp2016-2017 (3)'!$R$5:$R$289,$V1226)*$AB1226))</f>
        <v/>
      </c>
      <c r="AE1226" s="222">
        <f>IF($W1226=AE$3,$AB1226,IF(NOT($W1226=0),"",SUMIFS('Val-Vol (2)'!AE$4:AE$1858,'Val-Vol (2)'!$A$4:$A$1858,$D1226,'Val-Vol (2)'!$V$4:$V$1858,$V1226)/SUMIFS('Comp2016-2017 (3)'!$G$5:$G$289,'Comp2016-2017 (3)'!$A$5:$A$289,$D1226,'Comp2016-2017 (3)'!$R$5:$R$289,$V1226)*$AB1226))</f>
        <v>0</v>
      </c>
      <c r="AF1226" s="222" t="str">
        <f>IF($W1226=AF$3,$AB1226,IF(NOT($W1226=0),"",SUMIFS('Val-Vol (2)'!AF$4:AF$1858,'Val-Vol (2)'!$A$4:$A$1858,$D1226,'Val-Vol (2)'!$V$4:$V$1858,$V1226)/SUMIFS('Comp2016-2017 (3)'!$G$5:$G$289,'Comp2016-2017 (3)'!$A$5:$A$289,$D1226,'Comp2016-2017 (3)'!$R$5:$R$289,$V1226)*$AB1226))</f>
        <v/>
      </c>
      <c r="AG1226" s="222" t="str">
        <f>IF($W1226=AG$3,$AB1226,IF(NOT($W1226=0),"",SUMIFS('Val-Vol (2)'!AG$4:AG$1858,'Val-Vol (2)'!$A$4:$A$1858,$D1226,'Val-Vol (2)'!$V$4:$V$1858,$V1226)/SUMIFS('Comp2016-2017 (3)'!$G$5:$G$289,'Comp2016-2017 (3)'!$A$5:$A$289,$D1226,'Comp2016-2017 (3)'!$R$5:$R$289,$V1226)*$AB1226))</f>
        <v/>
      </c>
      <c r="AH1226" s="222" t="str">
        <f>IF($W1226=AH$3,$AB1226,IF(NOT($W1226=0),"",SUMIFS('Val-Vol (2)'!AH$4:AH$1858,'Val-Vol (2)'!$A$4:$A$1858,$D1226,'Val-Vol (2)'!$V$4:$V$1858,$V1226)/SUMIFS('Comp2016-2017 (3)'!$G$5:$G$289,'Comp2016-2017 (3)'!$A$5:$A$289,$D1226,'Comp2016-2017 (3)'!$R$5:$R$289,$V1226)*$AB1226))</f>
        <v/>
      </c>
      <c r="AI1226" s="222" t="str">
        <f>IF($W1226=AI$3,$AB1226,IF(NOT($W1226=0),"",SUMIFS('Val-Vol (2)'!AI$4:AI$1858,'Val-Vol (2)'!$A$4:$A$1858,$D1226,'Val-Vol (2)'!$V$4:$V$1858,$V1226)/SUMIFS('Comp2016-2017 (3)'!$G$5:$G$289,'Comp2016-2017 (3)'!$A$5:$A$289,$D1226,'Comp2016-2017 (3)'!$R$5:$R$289,$V1226)*$AB1226))</f>
        <v/>
      </c>
      <c r="AJ1226" s="222" t="str">
        <f>IF($W1226=AJ$3,$AB1226,IF(NOT($W1226=0),"",SUMIFS('Val-Vol (2)'!AJ$4:AJ$1858,'Val-Vol (2)'!$A$4:$A$1858,$D1226,'Val-Vol (2)'!$V$4:$V$1858,$V1226)/SUMIFS('Comp2016-2017 (3)'!$G$5:$G$289,'Comp2016-2017 (3)'!$A$5:$A$289,$D1226,'Comp2016-2017 (3)'!$R$5:$R$289,$V1226)*$AB1226))</f>
        <v/>
      </c>
      <c r="AK1226" s="222">
        <f t="shared" si="149"/>
        <v>0</v>
      </c>
      <c r="AL1226" s="212" t="str">
        <f t="shared" si="150"/>
        <v/>
      </c>
      <c r="AM1226" s="212" t="str">
        <f>VLOOKUP(A1226,'Table corresp.'!$M$4:$U$63,8,FALSE)</f>
        <v>Production intermédiaire</v>
      </c>
      <c r="AN1226" s="212" t="str">
        <f>VLOOKUP(D1226,'Table corresp.'!$M$4:$U$63,9,FALSE)</f>
        <v>Production finale</v>
      </c>
    </row>
    <row r="1227" spans="1:40" x14ac:dyDescent="0.25">
      <c r="A1227" t="s">
        <v>6</v>
      </c>
      <c r="B1227" t="str">
        <f>VLOOKUP(LEFT(A1227,3),'Table corresp.'!$A$4:$D$63,3,FALSE)</f>
        <v>Transformation</v>
      </c>
      <c r="C1227" t="str">
        <f>VLOOKUP(A1227,'Table corresp.'!$M$4:$P$63,4,FALSE)</f>
        <v>Production et transformation de produits bois</v>
      </c>
      <c r="D1227" t="s">
        <v>100</v>
      </c>
      <c r="E1227" t="str">
        <f>VLOOKUP(LEFT(D1227,3),'Table corresp.'!$A$4:$D$63,4,FALSE)</f>
        <v>Transformation</v>
      </c>
      <c r="F1227" t="str">
        <f t="shared" si="152"/>
        <v xml:space="preserve">11  - 48 </v>
      </c>
      <c r="G1227" s="213">
        <v>7223.9059890186991</v>
      </c>
      <c r="H1227" s="213">
        <v>0</v>
      </c>
      <c r="I1227" s="213">
        <v>7224.1942809528673</v>
      </c>
      <c r="J1227" s="215">
        <v>27.004620010004032</v>
      </c>
      <c r="K1227" s="215">
        <v>0</v>
      </c>
      <c r="L1227" s="215">
        <v>27.004620010004032</v>
      </c>
      <c r="M1227" s="215"/>
      <c r="N1227" s="215"/>
      <c r="O1227" s="215"/>
      <c r="P1227" s="215"/>
      <c r="Q1227" s="215"/>
      <c r="R1227" s="215"/>
      <c r="S1227" s="213"/>
      <c r="T1227" s="212">
        <f>VLOOKUP(A1227,'Groupe de branches'!$Z$27:$AM$86,14,FALSE)</f>
        <v>0</v>
      </c>
      <c r="U1227" s="212">
        <f>VLOOKUP(D1227,'Groupe de branches'!$Z$27:$AM$86,14,FALSE)</f>
        <v>0</v>
      </c>
      <c r="V1227" s="212">
        <v>2019</v>
      </c>
      <c r="W1227" s="212" t="str">
        <f>VLOOKUP(D1227,'Table corresp.'!$M$4:$S$63,7,FALSE)</f>
        <v>Produits de consommation courante</v>
      </c>
      <c r="X1227" s="228">
        <f>IFERROR(G1227/SUMIFS('Comp2016-2017 (3)'!$I$5:$I$289,'Comp2016-2017 (3)'!$A$5:$A$289,A1227,'Comp2016-2017 (3)'!$R$5:$R$289,V1227),0)</f>
        <v>0.65441478114014096</v>
      </c>
      <c r="Y1227" s="214" t="e">
        <f>IF(RIGHT(F1227,3)="Exp",VLOOKUP(F1227,#REF!,2,FALSE),VLOOKUP(F1227,#REF!,9,FALSE))</f>
        <v>#REF!</v>
      </c>
      <c r="Z1227" s="225" t="str">
        <f t="shared" si="151"/>
        <v/>
      </c>
      <c r="AA1227" s="225" t="e">
        <f t="shared" si="148"/>
        <v>#VALUE!</v>
      </c>
      <c r="AB1227" s="222">
        <f>IFERROR(SUMIFS('Comp2016-2017 (3)'!$G$5:$G$289,'Comp2016-2017 (3)'!$A$5:$A$289,A1227,'Comp2016-2017 (3)'!$R$5:$R$289,V1227)*AA1227/SUMIFS($AA$4:$AA$1858,$A$4:$A$1858,A1227,$V$4:$V$1858,V1227),0)</f>
        <v>0</v>
      </c>
      <c r="AC1227" s="222" t="str">
        <f>IF($W1227=AC$3,$AB1227,IF(NOT($W1227=0),"",SUMIFS('Val-Vol (2)'!AC$4:AC$1858,'Val-Vol (2)'!$A$4:$A$1858,$D1227,'Val-Vol (2)'!$V$4:$V$1858,$V1227)/SUMIFS('Comp2016-2017 (3)'!$G$5:$G$289,'Comp2016-2017 (3)'!$A$5:$A$289,$D1227,'Comp2016-2017 (3)'!$R$5:$R$289,$V1227)*$AB1227))</f>
        <v/>
      </c>
      <c r="AD1227" s="222" t="str">
        <f>IF($W1227=AD$3,$AB1227,IF(NOT($W1227=0),"",SUMIFS('Val-Vol (2)'!AD$4:AD$1858,'Val-Vol (2)'!$A$4:$A$1858,$D1227,'Val-Vol (2)'!$V$4:$V$1858,$V1227)/SUMIFS('Comp2016-2017 (3)'!$G$5:$G$289,'Comp2016-2017 (3)'!$A$5:$A$289,$D1227,'Comp2016-2017 (3)'!$R$5:$R$289,$V1227)*$AB1227))</f>
        <v/>
      </c>
      <c r="AE1227" s="222" t="str">
        <f>IF($W1227=AE$3,$AB1227,IF(NOT($W1227=0),"",SUMIFS('Val-Vol (2)'!AE$4:AE$1858,'Val-Vol (2)'!$A$4:$A$1858,$D1227,'Val-Vol (2)'!$V$4:$V$1858,$V1227)/SUMIFS('Comp2016-2017 (3)'!$G$5:$G$289,'Comp2016-2017 (3)'!$A$5:$A$289,$D1227,'Comp2016-2017 (3)'!$R$5:$R$289,$V1227)*$AB1227))</f>
        <v/>
      </c>
      <c r="AF1227" s="222" t="str">
        <f>IF($W1227=AF$3,$AB1227,IF(NOT($W1227=0),"",SUMIFS('Val-Vol (2)'!AF$4:AF$1858,'Val-Vol (2)'!$A$4:$A$1858,$D1227,'Val-Vol (2)'!$V$4:$V$1858,$V1227)/SUMIFS('Comp2016-2017 (3)'!$G$5:$G$289,'Comp2016-2017 (3)'!$A$5:$A$289,$D1227,'Comp2016-2017 (3)'!$R$5:$R$289,$V1227)*$AB1227))</f>
        <v/>
      </c>
      <c r="AG1227" s="222" t="str">
        <f>IF($W1227=AG$3,$AB1227,IF(NOT($W1227=0),"",SUMIFS('Val-Vol (2)'!AG$4:AG$1858,'Val-Vol (2)'!$A$4:$A$1858,$D1227,'Val-Vol (2)'!$V$4:$V$1858,$V1227)/SUMIFS('Comp2016-2017 (3)'!$G$5:$G$289,'Comp2016-2017 (3)'!$A$5:$A$289,$D1227,'Comp2016-2017 (3)'!$R$5:$R$289,$V1227)*$AB1227))</f>
        <v/>
      </c>
      <c r="AH1227" s="222" t="str">
        <f>IF($W1227=AH$3,$AB1227,IF(NOT($W1227=0),"",SUMIFS('Val-Vol (2)'!AH$4:AH$1858,'Val-Vol (2)'!$A$4:$A$1858,$D1227,'Val-Vol (2)'!$V$4:$V$1858,$V1227)/SUMIFS('Comp2016-2017 (3)'!$G$5:$G$289,'Comp2016-2017 (3)'!$A$5:$A$289,$D1227,'Comp2016-2017 (3)'!$R$5:$R$289,$V1227)*$AB1227))</f>
        <v/>
      </c>
      <c r="AI1227" s="222">
        <f>IF($W1227=AI$3,$AB1227,IF(NOT($W1227=0),"",SUMIFS('Val-Vol (2)'!AI$4:AI$1858,'Val-Vol (2)'!$A$4:$A$1858,$D1227,'Val-Vol (2)'!$V$4:$V$1858,$V1227)/SUMIFS('Comp2016-2017 (3)'!$G$5:$G$289,'Comp2016-2017 (3)'!$A$5:$A$289,$D1227,'Comp2016-2017 (3)'!$R$5:$R$289,$V1227)*$AB1227))</f>
        <v>0</v>
      </c>
      <c r="AJ1227" s="222" t="str">
        <f>IF($W1227=AJ$3,$AB1227,IF(NOT($W1227=0),"",SUMIFS('Val-Vol (2)'!AJ$4:AJ$1858,'Val-Vol (2)'!$A$4:$A$1858,$D1227,'Val-Vol (2)'!$V$4:$V$1858,$V1227)/SUMIFS('Comp2016-2017 (3)'!$G$5:$G$289,'Comp2016-2017 (3)'!$A$5:$A$289,$D1227,'Comp2016-2017 (3)'!$R$5:$R$289,$V1227)*$AB1227))</f>
        <v/>
      </c>
      <c r="AK1227" s="222">
        <f t="shared" si="149"/>
        <v>0</v>
      </c>
      <c r="AL1227" s="212" t="str">
        <f t="shared" si="150"/>
        <v/>
      </c>
      <c r="AM1227" s="212" t="str">
        <f>VLOOKUP(A1227,'Table corresp.'!$M$4:$U$63,8,FALSE)</f>
        <v>Production intermédiaire</v>
      </c>
      <c r="AN1227" s="212" t="str">
        <f>VLOOKUP(D1227,'Table corresp.'!$M$4:$U$63,9,FALSE)</f>
        <v>Production finale</v>
      </c>
    </row>
    <row r="1228" spans="1:40" x14ac:dyDescent="0.25">
      <c r="A1228" t="s">
        <v>6</v>
      </c>
      <c r="B1228" t="str">
        <f>VLOOKUP(LEFT(A1228,3),'Table corresp.'!$A$4:$D$63,3,FALSE)</f>
        <v>Transformation</v>
      </c>
      <c r="C1228" t="str">
        <f>VLOOKUP(A1228,'Table corresp.'!$M$4:$P$63,4,FALSE)</f>
        <v>Production et transformation de produits bois</v>
      </c>
      <c r="D1228" t="s">
        <v>21</v>
      </c>
      <c r="E1228" t="str">
        <f>VLOOKUP(LEFT(D1228,3),'Table corresp.'!$A$4:$D$63,4,FALSE)</f>
        <v>Transformation</v>
      </c>
      <c r="F1228" t="str">
        <f t="shared" si="152"/>
        <v xml:space="preserve">11  - 54 </v>
      </c>
      <c r="G1228" s="213">
        <v>489.36454019865141</v>
      </c>
      <c r="H1228" s="213">
        <v>17103.485619926261</v>
      </c>
      <c r="I1228" s="213">
        <v>17592.768433734105</v>
      </c>
      <c r="J1228" s="215">
        <v>1.8293570645193398</v>
      </c>
      <c r="K1228" s="215">
        <v>59.44419811469497</v>
      </c>
      <c r="L1228" s="215">
        <v>61.273555179214313</v>
      </c>
      <c r="M1228" s="215"/>
      <c r="N1228" s="215"/>
      <c r="O1228" s="215"/>
      <c r="P1228" s="215"/>
      <c r="Q1228" s="215"/>
      <c r="R1228" s="215"/>
      <c r="S1228" s="213"/>
      <c r="T1228" s="212">
        <f>VLOOKUP(A1228,'Groupe de branches'!$Z$27:$AM$86,14,FALSE)</f>
        <v>0</v>
      </c>
      <c r="U1228" s="212">
        <f>VLOOKUP(D1228,'Groupe de branches'!$Z$27:$AM$86,14,FALSE)</f>
        <v>0</v>
      </c>
      <c r="V1228" s="212">
        <v>2019</v>
      </c>
      <c r="W1228" s="212" t="str">
        <f>VLOOKUP(D1228,'Table corresp.'!$M$4:$S$63,7,FALSE)</f>
        <v>Construction</v>
      </c>
      <c r="X1228" s="228">
        <f>IFERROR(G1228/SUMIFS('Comp2016-2017 (3)'!$I$5:$I$289,'Comp2016-2017 (3)'!$A$5:$A$289,A1228,'Comp2016-2017 (3)'!$R$5:$R$289,V1228),0)</f>
        <v>4.4331610759977345E-2</v>
      </c>
      <c r="Y1228" s="214" t="e">
        <f>IF(RIGHT(F1228,3)="Exp",VLOOKUP(F1228,#REF!,2,FALSE),VLOOKUP(F1228,#REF!,9,FALSE))</f>
        <v>#REF!</v>
      </c>
      <c r="Z1228" s="225" t="str">
        <f t="shared" si="151"/>
        <v/>
      </c>
      <c r="AA1228" s="225" t="e">
        <f t="shared" si="148"/>
        <v>#VALUE!</v>
      </c>
      <c r="AB1228" s="222">
        <f>IFERROR(SUMIFS('Comp2016-2017 (3)'!$G$5:$G$289,'Comp2016-2017 (3)'!$A$5:$A$289,A1228,'Comp2016-2017 (3)'!$R$5:$R$289,V1228)*AA1228/SUMIFS($AA$4:$AA$1858,$A$4:$A$1858,A1228,$V$4:$V$1858,V1228),0)</f>
        <v>0</v>
      </c>
      <c r="AC1228" s="222" t="str">
        <f>IF($W1228=AC$3,$AB1228,IF(NOT($W1228=0),"",SUMIFS('Val-Vol (2)'!AC$4:AC$1858,'Val-Vol (2)'!$A$4:$A$1858,$D1228,'Val-Vol (2)'!$V$4:$V$1858,$V1228)/SUMIFS('Comp2016-2017 (3)'!$G$5:$G$289,'Comp2016-2017 (3)'!$A$5:$A$289,$D1228,'Comp2016-2017 (3)'!$R$5:$R$289,$V1228)*$AB1228))</f>
        <v/>
      </c>
      <c r="AD1228" s="222">
        <f>IF($W1228=AD$3,$AB1228,IF(NOT($W1228=0),"",SUMIFS('Val-Vol (2)'!AD$4:AD$1858,'Val-Vol (2)'!$A$4:$A$1858,$D1228,'Val-Vol (2)'!$V$4:$V$1858,$V1228)/SUMIFS('Comp2016-2017 (3)'!$G$5:$G$289,'Comp2016-2017 (3)'!$A$5:$A$289,$D1228,'Comp2016-2017 (3)'!$R$5:$R$289,$V1228)*$AB1228))</f>
        <v>0</v>
      </c>
      <c r="AE1228" s="222" t="str">
        <f>IF($W1228=AE$3,$AB1228,IF(NOT($W1228=0),"",SUMIFS('Val-Vol (2)'!AE$4:AE$1858,'Val-Vol (2)'!$A$4:$A$1858,$D1228,'Val-Vol (2)'!$V$4:$V$1858,$V1228)/SUMIFS('Comp2016-2017 (3)'!$G$5:$G$289,'Comp2016-2017 (3)'!$A$5:$A$289,$D1228,'Comp2016-2017 (3)'!$R$5:$R$289,$V1228)*$AB1228))</f>
        <v/>
      </c>
      <c r="AF1228" s="222" t="str">
        <f>IF($W1228=AF$3,$AB1228,IF(NOT($W1228=0),"",SUMIFS('Val-Vol (2)'!AF$4:AF$1858,'Val-Vol (2)'!$A$4:$A$1858,$D1228,'Val-Vol (2)'!$V$4:$V$1858,$V1228)/SUMIFS('Comp2016-2017 (3)'!$G$5:$G$289,'Comp2016-2017 (3)'!$A$5:$A$289,$D1228,'Comp2016-2017 (3)'!$R$5:$R$289,$V1228)*$AB1228))</f>
        <v/>
      </c>
      <c r="AG1228" s="222" t="str">
        <f>IF($W1228=AG$3,$AB1228,IF(NOT($W1228=0),"",SUMIFS('Val-Vol (2)'!AG$4:AG$1858,'Val-Vol (2)'!$A$4:$A$1858,$D1228,'Val-Vol (2)'!$V$4:$V$1858,$V1228)/SUMIFS('Comp2016-2017 (3)'!$G$5:$G$289,'Comp2016-2017 (3)'!$A$5:$A$289,$D1228,'Comp2016-2017 (3)'!$R$5:$R$289,$V1228)*$AB1228))</f>
        <v/>
      </c>
      <c r="AH1228" s="222" t="str">
        <f>IF($W1228=AH$3,$AB1228,IF(NOT($W1228=0),"",SUMIFS('Val-Vol (2)'!AH$4:AH$1858,'Val-Vol (2)'!$A$4:$A$1858,$D1228,'Val-Vol (2)'!$V$4:$V$1858,$V1228)/SUMIFS('Comp2016-2017 (3)'!$G$5:$G$289,'Comp2016-2017 (3)'!$A$5:$A$289,$D1228,'Comp2016-2017 (3)'!$R$5:$R$289,$V1228)*$AB1228))</f>
        <v/>
      </c>
      <c r="AI1228" s="222" t="str">
        <f>IF($W1228=AI$3,$AB1228,IF(NOT($W1228=0),"",SUMIFS('Val-Vol (2)'!AI$4:AI$1858,'Val-Vol (2)'!$A$4:$A$1858,$D1228,'Val-Vol (2)'!$V$4:$V$1858,$V1228)/SUMIFS('Comp2016-2017 (3)'!$G$5:$G$289,'Comp2016-2017 (3)'!$A$5:$A$289,$D1228,'Comp2016-2017 (3)'!$R$5:$R$289,$V1228)*$AB1228))</f>
        <v/>
      </c>
      <c r="AJ1228" s="222" t="str">
        <f>IF($W1228=AJ$3,$AB1228,IF(NOT($W1228=0),"",SUMIFS('Val-Vol (2)'!AJ$4:AJ$1858,'Val-Vol (2)'!$A$4:$A$1858,$D1228,'Val-Vol (2)'!$V$4:$V$1858,$V1228)/SUMIFS('Comp2016-2017 (3)'!$G$5:$G$289,'Comp2016-2017 (3)'!$A$5:$A$289,$D1228,'Comp2016-2017 (3)'!$R$5:$R$289,$V1228)*$AB1228))</f>
        <v/>
      </c>
      <c r="AK1228" s="222">
        <f t="shared" si="149"/>
        <v>0</v>
      </c>
      <c r="AL1228" s="212" t="str">
        <f t="shared" si="150"/>
        <v/>
      </c>
      <c r="AM1228" s="212" t="str">
        <f>VLOOKUP(A1228,'Table corresp.'!$M$4:$U$63,8,FALSE)</f>
        <v>Production intermédiaire</v>
      </c>
      <c r="AN1228" s="212" t="str">
        <f>VLOOKUP(D1228,'Table corresp.'!$M$4:$U$63,9,FALSE)</f>
        <v xml:space="preserve">Mise en œuvre </v>
      </c>
    </row>
    <row r="1229" spans="1:40" x14ac:dyDescent="0.25">
      <c r="A1229" t="s">
        <v>6</v>
      </c>
      <c r="B1229" t="str">
        <f>VLOOKUP(LEFT(A1229,3),'Table corresp.'!$A$4:$D$63,3,FALSE)</f>
        <v>Transformation</v>
      </c>
      <c r="C1229" t="str">
        <f>VLOOKUP(A1229,'Table corresp.'!$M$4:$P$63,4,FALSE)</f>
        <v>Production et transformation de produits bois</v>
      </c>
      <c r="D1229" t="s">
        <v>22</v>
      </c>
      <c r="E1229" t="str">
        <f>VLOOKUP(LEFT(D1229,3),'Table corresp.'!$A$4:$D$63,4,FALSE)</f>
        <v>Transformation</v>
      </c>
      <c r="F1229" t="str">
        <f t="shared" si="152"/>
        <v xml:space="preserve">11  - 55 </v>
      </c>
      <c r="G1229" s="213">
        <v>2.819576065848636</v>
      </c>
      <c r="H1229" s="213">
        <v>161.7874095413564</v>
      </c>
      <c r="I1229" s="213">
        <v>164.60614031794137</v>
      </c>
      <c r="J1229" s="215">
        <v>1.0540223026613288E-2</v>
      </c>
      <c r="K1229" s="215">
        <v>0.56230192131334367</v>
      </c>
      <c r="L1229" s="215">
        <v>0.57284214433995695</v>
      </c>
      <c r="M1229" s="215"/>
      <c r="N1229" s="215"/>
      <c r="O1229" s="215"/>
      <c r="P1229" s="215"/>
      <c r="Q1229" s="215"/>
      <c r="R1229" s="215"/>
      <c r="S1229" s="213"/>
      <c r="T1229" s="212">
        <f>VLOOKUP(A1229,'Groupe de branches'!$Z$27:$AM$86,14,FALSE)</f>
        <v>0</v>
      </c>
      <c r="U1229" s="212">
        <f>VLOOKUP(D1229,'Groupe de branches'!$Z$27:$AM$86,14,FALSE)</f>
        <v>0</v>
      </c>
      <c r="V1229" s="212">
        <v>2019</v>
      </c>
      <c r="W1229" s="212" t="str">
        <f>VLOOKUP(D1229,'Table corresp.'!$M$4:$S$63,7,FALSE)</f>
        <v>Construction</v>
      </c>
      <c r="X1229" s="228">
        <f>IFERROR(G1229/SUMIFS('Comp2016-2017 (3)'!$I$5:$I$289,'Comp2016-2017 (3)'!$A$5:$A$289,A1229,'Comp2016-2017 (3)'!$R$5:$R$289,V1229),0)</f>
        <v>2.5542583982200528E-4</v>
      </c>
      <c r="Y1229" s="214" t="e">
        <f>IF(RIGHT(F1229,3)="Exp",VLOOKUP(F1229,#REF!,2,FALSE),VLOOKUP(F1229,#REF!,9,FALSE))</f>
        <v>#REF!</v>
      </c>
      <c r="Z1229" s="225" t="str">
        <f t="shared" si="151"/>
        <v/>
      </c>
      <c r="AA1229" s="225" t="e">
        <f t="shared" si="148"/>
        <v>#VALUE!</v>
      </c>
      <c r="AB1229" s="222">
        <f>IFERROR(SUMIFS('Comp2016-2017 (3)'!$G$5:$G$289,'Comp2016-2017 (3)'!$A$5:$A$289,A1229,'Comp2016-2017 (3)'!$R$5:$R$289,V1229)*AA1229/SUMIFS($AA$4:$AA$1858,$A$4:$A$1858,A1229,$V$4:$V$1858,V1229),0)</f>
        <v>0</v>
      </c>
      <c r="AC1229" s="222" t="str">
        <f>IF($W1229=AC$3,$AB1229,IF(NOT($W1229=0),"",SUMIFS('Val-Vol (2)'!AC$4:AC$1858,'Val-Vol (2)'!$A$4:$A$1858,$D1229,'Val-Vol (2)'!$V$4:$V$1858,$V1229)/SUMIFS('Comp2016-2017 (3)'!$G$5:$G$289,'Comp2016-2017 (3)'!$A$5:$A$289,$D1229,'Comp2016-2017 (3)'!$R$5:$R$289,$V1229)*$AB1229))</f>
        <v/>
      </c>
      <c r="AD1229" s="222">
        <f>IF($W1229=AD$3,$AB1229,IF(NOT($W1229=0),"",SUMIFS('Val-Vol (2)'!AD$4:AD$1858,'Val-Vol (2)'!$A$4:$A$1858,$D1229,'Val-Vol (2)'!$V$4:$V$1858,$V1229)/SUMIFS('Comp2016-2017 (3)'!$G$5:$G$289,'Comp2016-2017 (3)'!$A$5:$A$289,$D1229,'Comp2016-2017 (3)'!$R$5:$R$289,$V1229)*$AB1229))</f>
        <v>0</v>
      </c>
      <c r="AE1229" s="222" t="str">
        <f>IF($W1229=AE$3,$AB1229,IF(NOT($W1229=0),"",SUMIFS('Val-Vol (2)'!AE$4:AE$1858,'Val-Vol (2)'!$A$4:$A$1858,$D1229,'Val-Vol (2)'!$V$4:$V$1858,$V1229)/SUMIFS('Comp2016-2017 (3)'!$G$5:$G$289,'Comp2016-2017 (3)'!$A$5:$A$289,$D1229,'Comp2016-2017 (3)'!$R$5:$R$289,$V1229)*$AB1229))</f>
        <v/>
      </c>
      <c r="AF1229" s="222" t="str">
        <f>IF($W1229=AF$3,$AB1229,IF(NOT($W1229=0),"",SUMIFS('Val-Vol (2)'!AF$4:AF$1858,'Val-Vol (2)'!$A$4:$A$1858,$D1229,'Val-Vol (2)'!$V$4:$V$1858,$V1229)/SUMIFS('Comp2016-2017 (3)'!$G$5:$G$289,'Comp2016-2017 (3)'!$A$5:$A$289,$D1229,'Comp2016-2017 (3)'!$R$5:$R$289,$V1229)*$AB1229))</f>
        <v/>
      </c>
      <c r="AG1229" s="222" t="str">
        <f>IF($W1229=AG$3,$AB1229,IF(NOT($W1229=0),"",SUMIFS('Val-Vol (2)'!AG$4:AG$1858,'Val-Vol (2)'!$A$4:$A$1858,$D1229,'Val-Vol (2)'!$V$4:$V$1858,$V1229)/SUMIFS('Comp2016-2017 (3)'!$G$5:$G$289,'Comp2016-2017 (3)'!$A$5:$A$289,$D1229,'Comp2016-2017 (3)'!$R$5:$R$289,$V1229)*$AB1229))</f>
        <v/>
      </c>
      <c r="AH1229" s="222" t="str">
        <f>IF($W1229=AH$3,$AB1229,IF(NOT($W1229=0),"",SUMIFS('Val-Vol (2)'!AH$4:AH$1858,'Val-Vol (2)'!$A$4:$A$1858,$D1229,'Val-Vol (2)'!$V$4:$V$1858,$V1229)/SUMIFS('Comp2016-2017 (3)'!$G$5:$G$289,'Comp2016-2017 (3)'!$A$5:$A$289,$D1229,'Comp2016-2017 (3)'!$R$5:$R$289,$V1229)*$AB1229))</f>
        <v/>
      </c>
      <c r="AI1229" s="222" t="str">
        <f>IF($W1229=AI$3,$AB1229,IF(NOT($W1229=0),"",SUMIFS('Val-Vol (2)'!AI$4:AI$1858,'Val-Vol (2)'!$A$4:$A$1858,$D1229,'Val-Vol (2)'!$V$4:$V$1858,$V1229)/SUMIFS('Comp2016-2017 (3)'!$G$5:$G$289,'Comp2016-2017 (3)'!$A$5:$A$289,$D1229,'Comp2016-2017 (3)'!$R$5:$R$289,$V1229)*$AB1229))</f>
        <v/>
      </c>
      <c r="AJ1229" s="222" t="str">
        <f>IF($W1229=AJ$3,$AB1229,IF(NOT($W1229=0),"",SUMIFS('Val-Vol (2)'!AJ$4:AJ$1858,'Val-Vol (2)'!$A$4:$A$1858,$D1229,'Val-Vol (2)'!$V$4:$V$1858,$V1229)/SUMIFS('Comp2016-2017 (3)'!$G$5:$G$289,'Comp2016-2017 (3)'!$A$5:$A$289,$D1229,'Comp2016-2017 (3)'!$R$5:$R$289,$V1229)*$AB1229))</f>
        <v/>
      </c>
      <c r="AK1229" s="222">
        <f t="shared" si="149"/>
        <v>0</v>
      </c>
      <c r="AL1229" s="212" t="str">
        <f t="shared" si="150"/>
        <v/>
      </c>
      <c r="AM1229" s="212" t="str">
        <f>VLOOKUP(A1229,'Table corresp.'!$M$4:$U$63,8,FALSE)</f>
        <v>Production intermédiaire</v>
      </c>
      <c r="AN1229" s="212" t="str">
        <f>VLOOKUP(D1229,'Table corresp.'!$M$4:$U$63,9,FALSE)</f>
        <v xml:space="preserve">Mise en œuvre </v>
      </c>
    </row>
    <row r="1230" spans="1:40" x14ac:dyDescent="0.25">
      <c r="A1230" t="s">
        <v>6</v>
      </c>
      <c r="B1230" t="str">
        <f>VLOOKUP(LEFT(A1230,3),'Table corresp.'!$A$4:$D$63,3,FALSE)</f>
        <v>Transformation</v>
      </c>
      <c r="C1230" t="str">
        <f>VLOOKUP(A1230,'Table corresp.'!$M$4:$P$63,4,FALSE)</f>
        <v>Production et transformation de produits bois</v>
      </c>
      <c r="D1230" t="s">
        <v>54</v>
      </c>
      <c r="E1230" t="str">
        <f>VLOOKUP(LEFT(D1230,3),'Table corresp.'!$A$4:$D$63,4,FALSE)</f>
        <v>Consommation finale</v>
      </c>
      <c r="F1230" t="str">
        <f t="shared" si="152"/>
        <v>11  - Con</v>
      </c>
      <c r="G1230" s="213">
        <v>77.409009150329666</v>
      </c>
      <c r="H1230" s="213">
        <v>4908.3305784715012</v>
      </c>
      <c r="I1230" s="213">
        <v>4985.713618589356</v>
      </c>
      <c r="J1230" s="215">
        <v>0.28937265803753071</v>
      </c>
      <c r="K1230" s="215">
        <v>17.059199615963031</v>
      </c>
      <c r="L1230" s="215">
        <v>17.348572274000563</v>
      </c>
      <c r="M1230" s="215"/>
      <c r="N1230" s="215"/>
      <c r="O1230" s="215"/>
      <c r="P1230" s="215"/>
      <c r="Q1230" s="215"/>
      <c r="R1230" s="215"/>
      <c r="S1230" s="213"/>
      <c r="T1230" s="212">
        <f>VLOOKUP(A1230,'Groupe de branches'!$Z$27:$AM$86,14,FALSE)</f>
        <v>0</v>
      </c>
      <c r="U1230" s="212">
        <f>VLOOKUP(D1230,'Groupe de branches'!$Z$27:$AM$86,14,FALSE)</f>
        <v>0</v>
      </c>
      <c r="V1230" s="212">
        <v>2019</v>
      </c>
      <c r="W1230" s="212" t="str">
        <f>VLOOKUP(D1230,'Table corresp.'!$M$4:$S$63,7,FALSE)</f>
        <v>Consommation finale</v>
      </c>
      <c r="X1230" s="228">
        <f>IFERROR(G1230/SUMIFS('Comp2016-2017 (3)'!$I$5:$I$289,'Comp2016-2017 (3)'!$A$5:$A$289,A1230,'Comp2016-2017 (3)'!$R$5:$R$289,V1230),0)</f>
        <v>7.0124943290228951E-3</v>
      </c>
      <c r="Y1230" s="214" t="e">
        <f>IF(RIGHT(F1230,3)="Exp",VLOOKUP(F1230,#REF!,2,FALSE),VLOOKUP(F1230,#REF!,9,FALSE))</f>
        <v>#REF!</v>
      </c>
      <c r="Z1230" s="225" t="str">
        <f t="shared" si="151"/>
        <v/>
      </c>
      <c r="AA1230" s="225" t="e">
        <f t="shared" si="148"/>
        <v>#VALUE!</v>
      </c>
      <c r="AB1230" s="222">
        <f>IFERROR(SUMIFS('Comp2016-2017 (3)'!$G$5:$G$289,'Comp2016-2017 (3)'!$A$5:$A$289,A1230,'Comp2016-2017 (3)'!$R$5:$R$289,V1230)*AA1230/SUMIFS($AA$4:$AA$1858,$A$4:$A$1858,A1230,$V$4:$V$1858,V1230),0)</f>
        <v>0</v>
      </c>
      <c r="AC1230" s="222" t="str">
        <f>IF($W1230=AC$3,$AB1230,IF(NOT($W1230=0),"",SUMIFS('Val-Vol (2)'!AC$4:AC$1858,'Val-Vol (2)'!$A$4:$A$1858,$D1230,'Val-Vol (2)'!$V$4:$V$1858,$V1230)/SUMIFS('Comp2016-2017 (3)'!$G$5:$G$289,'Comp2016-2017 (3)'!$A$5:$A$289,$D1230,'Comp2016-2017 (3)'!$R$5:$R$289,$V1230)*$AB1230))</f>
        <v/>
      </c>
      <c r="AD1230" s="222" t="str">
        <f>IF($W1230=AD$3,$AB1230,IF(NOT($W1230=0),"",SUMIFS('Val-Vol (2)'!AD$4:AD$1858,'Val-Vol (2)'!$A$4:$A$1858,$D1230,'Val-Vol (2)'!$V$4:$V$1858,$V1230)/SUMIFS('Comp2016-2017 (3)'!$G$5:$G$289,'Comp2016-2017 (3)'!$A$5:$A$289,$D1230,'Comp2016-2017 (3)'!$R$5:$R$289,$V1230)*$AB1230))</f>
        <v/>
      </c>
      <c r="AE1230" s="222" t="str">
        <f>IF($W1230=AE$3,$AB1230,IF(NOT($W1230=0),"",SUMIFS('Val-Vol (2)'!AE$4:AE$1858,'Val-Vol (2)'!$A$4:$A$1858,$D1230,'Val-Vol (2)'!$V$4:$V$1858,$V1230)/SUMIFS('Comp2016-2017 (3)'!$G$5:$G$289,'Comp2016-2017 (3)'!$A$5:$A$289,$D1230,'Comp2016-2017 (3)'!$R$5:$R$289,$V1230)*$AB1230))</f>
        <v/>
      </c>
      <c r="AF1230" s="222" t="str">
        <f>IF($W1230=AF$3,$AB1230,IF(NOT($W1230=0),"",SUMIFS('Val-Vol (2)'!AF$4:AF$1858,'Val-Vol (2)'!$A$4:$A$1858,$D1230,'Val-Vol (2)'!$V$4:$V$1858,$V1230)/SUMIFS('Comp2016-2017 (3)'!$G$5:$G$289,'Comp2016-2017 (3)'!$A$5:$A$289,$D1230,'Comp2016-2017 (3)'!$R$5:$R$289,$V1230)*$AB1230))</f>
        <v/>
      </c>
      <c r="AG1230" s="222" t="str">
        <f>IF($W1230=AG$3,$AB1230,IF(NOT($W1230=0),"",SUMIFS('Val-Vol (2)'!AG$4:AG$1858,'Val-Vol (2)'!$A$4:$A$1858,$D1230,'Val-Vol (2)'!$V$4:$V$1858,$V1230)/SUMIFS('Comp2016-2017 (3)'!$G$5:$G$289,'Comp2016-2017 (3)'!$A$5:$A$289,$D1230,'Comp2016-2017 (3)'!$R$5:$R$289,$V1230)*$AB1230))</f>
        <v/>
      </c>
      <c r="AH1230" s="222" t="str">
        <f>IF($W1230=AH$3,$AB1230,IF(NOT($W1230=0),"",SUMIFS('Val-Vol (2)'!AH$4:AH$1858,'Val-Vol (2)'!$A$4:$A$1858,$D1230,'Val-Vol (2)'!$V$4:$V$1858,$V1230)/SUMIFS('Comp2016-2017 (3)'!$G$5:$G$289,'Comp2016-2017 (3)'!$A$5:$A$289,$D1230,'Comp2016-2017 (3)'!$R$5:$R$289,$V1230)*$AB1230))</f>
        <v/>
      </c>
      <c r="AI1230" s="222" t="str">
        <f>IF($W1230=AI$3,$AB1230,IF(NOT($W1230=0),"",SUMIFS('Val-Vol (2)'!AI$4:AI$1858,'Val-Vol (2)'!$A$4:$A$1858,$D1230,'Val-Vol (2)'!$V$4:$V$1858,$V1230)/SUMIFS('Comp2016-2017 (3)'!$G$5:$G$289,'Comp2016-2017 (3)'!$A$5:$A$289,$D1230,'Comp2016-2017 (3)'!$R$5:$R$289,$V1230)*$AB1230))</f>
        <v/>
      </c>
      <c r="AJ1230" s="222">
        <f>IF($W1230=AJ$3,$AB1230,IF(NOT($W1230=0),"",SUMIFS('Val-Vol (2)'!AJ$4:AJ$1858,'Val-Vol (2)'!$A$4:$A$1858,$D1230,'Val-Vol (2)'!$V$4:$V$1858,$V1230)/SUMIFS('Comp2016-2017 (3)'!$G$5:$G$289,'Comp2016-2017 (3)'!$A$5:$A$289,$D1230,'Comp2016-2017 (3)'!$R$5:$R$289,$V1230)*$AB1230))</f>
        <v>0</v>
      </c>
      <c r="AK1230" s="222">
        <f t="shared" si="149"/>
        <v>0</v>
      </c>
      <c r="AL1230" s="212" t="str">
        <f t="shared" si="150"/>
        <v/>
      </c>
      <c r="AM1230" s="212" t="str">
        <f>VLOOKUP(A1230,'Table corresp.'!$M$4:$U$63,8,FALSE)</f>
        <v>Production intermédiaire</v>
      </c>
      <c r="AN1230" s="212" t="str">
        <f>VLOOKUP(D1230,'Table corresp.'!$M$4:$U$63,9,FALSE)</f>
        <v>Consommation finale française</v>
      </c>
    </row>
    <row r="1231" spans="1:40" x14ac:dyDescent="0.25">
      <c r="A1231" t="s">
        <v>6</v>
      </c>
      <c r="B1231" t="str">
        <f>VLOOKUP(LEFT(A1231,3),'Table corresp.'!$A$4:$D$63,3,FALSE)</f>
        <v>Transformation</v>
      </c>
      <c r="C1231" t="str">
        <f>VLOOKUP(A1231,'Table corresp.'!$M$4:$P$63,4,FALSE)</f>
        <v>Production et transformation de produits bois</v>
      </c>
      <c r="D1231" t="s">
        <v>53</v>
      </c>
      <c r="E1231" t="str">
        <f>VLOOKUP(LEFT(D1231,3),'Table corresp.'!$A$4:$D$63,4,FALSE)</f>
        <v>Exportation</v>
      </c>
      <c r="F1231" t="str">
        <f t="shared" si="152"/>
        <v>11  - Exp</v>
      </c>
      <c r="G1231" s="213">
        <v>2363.0916936405306</v>
      </c>
      <c r="H1231" s="213">
        <v>0</v>
      </c>
      <c r="I1231" s="213">
        <v>2363.1860000000006</v>
      </c>
      <c r="J1231" s="215">
        <v>6.6648640201948952</v>
      </c>
      <c r="K1231" s="215">
        <v>0</v>
      </c>
      <c r="L1231" s="215">
        <v>6.6648640201948952</v>
      </c>
      <c r="M1231" s="215"/>
      <c r="N1231" s="215"/>
      <c r="O1231" s="215"/>
      <c r="P1231" s="215"/>
      <c r="Q1231" s="215"/>
      <c r="R1231" s="215"/>
      <c r="S1231" s="213"/>
      <c r="T1231" s="212">
        <f>VLOOKUP(A1231,'Groupe de branches'!$Z$27:$AM$86,14,FALSE)</f>
        <v>0</v>
      </c>
      <c r="U1231" s="212">
        <f>VLOOKUP(D1231,'Groupe de branches'!$Z$27:$AM$86,14,FALSE)</f>
        <v>0</v>
      </c>
      <c r="V1231" s="212">
        <v>2019</v>
      </c>
      <c r="W1231" s="212" t="str">
        <f>VLOOKUP(D1231,'Table corresp.'!$M$4:$S$63,7,FALSE)</f>
        <v>Exportation</v>
      </c>
      <c r="X1231" s="228">
        <f>IFERROR(G1231/SUMIFS('Comp2016-2017 (3)'!$I$5:$I$289,'Comp2016-2017 (3)'!$A$5:$A$289,A1231,'Comp2016-2017 (3)'!$R$5:$R$289,V1231),0)</f>
        <v>0.21407284865814299</v>
      </c>
      <c r="Y1231" s="214" t="e">
        <f>IF(RIGHT(F1231,3)="Exp",VLOOKUP(F1231,#REF!,2,FALSE),VLOOKUP(F1231,#REF!,9,FALSE))</f>
        <v>#REF!</v>
      </c>
      <c r="Z1231" s="225" t="str">
        <f t="shared" si="151"/>
        <v/>
      </c>
      <c r="AA1231" s="225" t="e">
        <f t="shared" si="148"/>
        <v>#VALUE!</v>
      </c>
      <c r="AB1231" s="222">
        <f>IFERROR(SUMIFS('Comp2016-2017 (3)'!$G$5:$G$289,'Comp2016-2017 (3)'!$A$5:$A$289,A1231,'Comp2016-2017 (3)'!$R$5:$R$289,V1231)*AA1231/SUMIFS($AA$4:$AA$1858,$A$4:$A$1858,A1231,$V$4:$V$1858,V1231),0)</f>
        <v>0</v>
      </c>
      <c r="AC1231" s="222">
        <f>IF($W1231=AC$3,$AB1231,IF(NOT($W1231=0),"",SUMIFS('Val-Vol (2)'!AC$4:AC$1858,'Val-Vol (2)'!$A$4:$A$1858,$D1231,'Val-Vol (2)'!$V$4:$V$1858,$V1231)/SUMIFS('Comp2016-2017 (3)'!$G$5:$G$289,'Comp2016-2017 (3)'!$A$5:$A$289,$D1231,'Comp2016-2017 (3)'!$R$5:$R$289,$V1231)*$AB1231))</f>
        <v>0</v>
      </c>
      <c r="AD1231" s="222" t="str">
        <f>IF($W1231=AD$3,$AB1231,IF(NOT($W1231=0),"",SUMIFS('Val-Vol (2)'!AD$4:AD$1858,'Val-Vol (2)'!$A$4:$A$1858,$D1231,'Val-Vol (2)'!$V$4:$V$1858,$V1231)/SUMIFS('Comp2016-2017 (3)'!$G$5:$G$289,'Comp2016-2017 (3)'!$A$5:$A$289,$D1231,'Comp2016-2017 (3)'!$R$5:$R$289,$V1231)*$AB1231))</f>
        <v/>
      </c>
      <c r="AE1231" s="222" t="str">
        <f>IF($W1231=AE$3,$AB1231,IF(NOT($W1231=0),"",SUMIFS('Val-Vol (2)'!AE$4:AE$1858,'Val-Vol (2)'!$A$4:$A$1858,$D1231,'Val-Vol (2)'!$V$4:$V$1858,$V1231)/SUMIFS('Comp2016-2017 (3)'!$G$5:$G$289,'Comp2016-2017 (3)'!$A$5:$A$289,$D1231,'Comp2016-2017 (3)'!$R$5:$R$289,$V1231)*$AB1231))</f>
        <v/>
      </c>
      <c r="AF1231" s="222" t="str">
        <f>IF($W1231=AF$3,$AB1231,IF(NOT($W1231=0),"",SUMIFS('Val-Vol (2)'!AF$4:AF$1858,'Val-Vol (2)'!$A$4:$A$1858,$D1231,'Val-Vol (2)'!$V$4:$V$1858,$V1231)/SUMIFS('Comp2016-2017 (3)'!$G$5:$G$289,'Comp2016-2017 (3)'!$A$5:$A$289,$D1231,'Comp2016-2017 (3)'!$R$5:$R$289,$V1231)*$AB1231))</f>
        <v/>
      </c>
      <c r="AG1231" s="222" t="str">
        <f>IF($W1231=AG$3,$AB1231,IF(NOT($W1231=0),"",SUMIFS('Val-Vol (2)'!AG$4:AG$1858,'Val-Vol (2)'!$A$4:$A$1858,$D1231,'Val-Vol (2)'!$V$4:$V$1858,$V1231)/SUMIFS('Comp2016-2017 (3)'!$G$5:$G$289,'Comp2016-2017 (3)'!$A$5:$A$289,$D1231,'Comp2016-2017 (3)'!$R$5:$R$289,$V1231)*$AB1231))</f>
        <v/>
      </c>
      <c r="AH1231" s="222" t="str">
        <f>IF($W1231=AH$3,$AB1231,IF(NOT($W1231=0),"",SUMIFS('Val-Vol (2)'!AH$4:AH$1858,'Val-Vol (2)'!$A$4:$A$1858,$D1231,'Val-Vol (2)'!$V$4:$V$1858,$V1231)/SUMIFS('Comp2016-2017 (3)'!$G$5:$G$289,'Comp2016-2017 (3)'!$A$5:$A$289,$D1231,'Comp2016-2017 (3)'!$R$5:$R$289,$V1231)*$AB1231))</f>
        <v/>
      </c>
      <c r="AI1231" s="222" t="str">
        <f>IF($W1231=AI$3,$AB1231,IF(NOT($W1231=0),"",SUMIFS('Val-Vol (2)'!AI$4:AI$1858,'Val-Vol (2)'!$A$4:$A$1858,$D1231,'Val-Vol (2)'!$V$4:$V$1858,$V1231)/SUMIFS('Comp2016-2017 (3)'!$G$5:$G$289,'Comp2016-2017 (3)'!$A$5:$A$289,$D1231,'Comp2016-2017 (3)'!$R$5:$R$289,$V1231)*$AB1231))</f>
        <v/>
      </c>
      <c r="AJ1231" s="222" t="str">
        <f>IF($W1231=AJ$3,$AB1231,IF(NOT($W1231=0),"",SUMIFS('Val-Vol (2)'!AJ$4:AJ$1858,'Val-Vol (2)'!$A$4:$A$1858,$D1231,'Val-Vol (2)'!$V$4:$V$1858,$V1231)/SUMIFS('Comp2016-2017 (3)'!$G$5:$G$289,'Comp2016-2017 (3)'!$A$5:$A$289,$D1231,'Comp2016-2017 (3)'!$R$5:$R$289,$V1231)*$AB1231))</f>
        <v/>
      </c>
      <c r="AK1231" s="222">
        <f t="shared" si="149"/>
        <v>0</v>
      </c>
      <c r="AL1231" s="212" t="str">
        <f t="shared" si="150"/>
        <v/>
      </c>
      <c r="AM1231" s="212" t="str">
        <f>VLOOKUP(A1231,'Table corresp.'!$M$4:$U$63,8,FALSE)</f>
        <v>Production intermédiaire</v>
      </c>
      <c r="AN1231" s="212" t="str">
        <f>VLOOKUP(D1231,'Table corresp.'!$M$4:$U$63,9,FALSE)</f>
        <v>Exportation</v>
      </c>
    </row>
    <row r="1232" spans="1:40" x14ac:dyDescent="0.25">
      <c r="A1232" t="s">
        <v>7</v>
      </c>
      <c r="B1232" t="str">
        <f>VLOOKUP(LEFT(A1232,3),'Table corresp.'!$A$4:$D$63,3,FALSE)</f>
        <v>Transformation</v>
      </c>
      <c r="C1232" t="str">
        <f>VLOOKUP(A1232,'Table corresp.'!$M$4:$P$63,4,FALSE)</f>
        <v>Production et transformation de produits bois</v>
      </c>
      <c r="D1232" t="s">
        <v>13</v>
      </c>
      <c r="E1232" t="str">
        <f>VLOOKUP(LEFT(D1232,3),'Table corresp.'!$A$4:$D$63,4,FALSE)</f>
        <v>Transformation</v>
      </c>
      <c r="F1232" t="str">
        <f t="shared" si="152"/>
        <v xml:space="preserve">12  - 20 </v>
      </c>
      <c r="G1232" s="213">
        <v>49773.980152765616</v>
      </c>
      <c r="H1232" s="213">
        <v>87637.352429423539</v>
      </c>
      <c r="I1232" s="213">
        <v>137411.33258218912</v>
      </c>
      <c r="J1232" s="215">
        <v>388.39319895454548</v>
      </c>
      <c r="K1232" s="215">
        <v>731.55398958655394</v>
      </c>
      <c r="L1232" s="215">
        <v>1119.9471885410994</v>
      </c>
      <c r="M1232" s="215"/>
      <c r="N1232" s="215"/>
      <c r="O1232" s="215"/>
      <c r="P1232" s="215"/>
      <c r="Q1232" s="215"/>
      <c r="R1232" s="215"/>
      <c r="S1232" s="213"/>
      <c r="T1232" s="212">
        <f>VLOOKUP(A1232,'Groupe de branches'!$Z$27:$AM$86,14,FALSE)</f>
        <v>0</v>
      </c>
      <c r="U1232" s="212">
        <f>VLOOKUP(D1232,'Groupe de branches'!$Z$27:$AM$86,14,FALSE)</f>
        <v>0</v>
      </c>
      <c r="V1232" s="212">
        <v>2019</v>
      </c>
      <c r="W1232" s="212">
        <f>VLOOKUP(D1232,'Table corresp.'!$M$4:$S$63,7,FALSE)</f>
        <v>0</v>
      </c>
      <c r="X1232" s="228">
        <f>IFERROR(G1232/SUMIFS('Comp2016-2017 (3)'!$I$5:$I$289,'Comp2016-2017 (3)'!$A$5:$A$289,A1232,'Comp2016-2017 (3)'!$R$5:$R$289,V1232),0)</f>
        <v>6.985537933587524E-2</v>
      </c>
      <c r="Y1232" s="214" t="e">
        <f>IF(RIGHT(F1232,3)="Exp",VLOOKUP(F1232,#REF!,2,FALSE),VLOOKUP(F1232,#REF!,9,FALSE))</f>
        <v>#REF!</v>
      </c>
      <c r="Z1232" s="225" t="str">
        <f t="shared" si="151"/>
        <v/>
      </c>
      <c r="AA1232" s="225" t="e">
        <f t="shared" si="148"/>
        <v>#VALUE!</v>
      </c>
      <c r="AB1232" s="222">
        <f>IFERROR(SUMIFS('Comp2016-2017 (3)'!$G$5:$G$289,'Comp2016-2017 (3)'!$A$5:$A$289,A1232,'Comp2016-2017 (3)'!$R$5:$R$289,V1232)*AA1232/SUMIFS($AA$4:$AA$1858,$A$4:$A$1858,A1232,$V$4:$V$1858,V1232),0)</f>
        <v>0</v>
      </c>
      <c r="AC1232" s="222">
        <f>IF($W1232=AC$3,$AB1232,IF(NOT($W1232=0),"",SUMIFS('Val-Vol (2)'!AC$4:AC$1858,'Val-Vol (2)'!$A$4:$A$1858,$D1232,'Val-Vol (2)'!$V$4:$V$1858,$V1232)/SUMIFS('Comp2016-2017 (3)'!$G$5:$G$289,'Comp2016-2017 (3)'!$A$5:$A$289,$D1232,'Comp2016-2017 (3)'!$R$5:$R$289,$V1232)*$AB1232))</f>
        <v>0</v>
      </c>
      <c r="AD1232" s="222">
        <f>IF($W1232=AD$3,$AB1232,IF(NOT($W1232=0),"",SUMIFS('Val-Vol (2)'!AD$4:AD$1858,'Val-Vol (2)'!$A$4:$A$1858,$D1232,'Val-Vol (2)'!$V$4:$V$1858,$V1232)/SUMIFS('Comp2016-2017 (3)'!$G$5:$G$289,'Comp2016-2017 (3)'!$A$5:$A$289,$D1232,'Comp2016-2017 (3)'!$R$5:$R$289,$V1232)*$AB1232))</f>
        <v>0</v>
      </c>
      <c r="AE1232" s="222">
        <f>IF($W1232=AE$3,$AB1232,IF(NOT($W1232=0),"",SUMIFS('Val-Vol (2)'!AE$4:AE$1858,'Val-Vol (2)'!$A$4:$A$1858,$D1232,'Val-Vol (2)'!$V$4:$V$1858,$V1232)/SUMIFS('Comp2016-2017 (3)'!$G$5:$G$289,'Comp2016-2017 (3)'!$A$5:$A$289,$D1232,'Comp2016-2017 (3)'!$R$5:$R$289,$V1232)*$AB1232))</f>
        <v>0</v>
      </c>
      <c r="AF1232" s="222">
        <f>IF($W1232=AF$3,$AB1232,IF(NOT($W1232=0),"",SUMIFS('Val-Vol (2)'!AF$4:AF$1858,'Val-Vol (2)'!$A$4:$A$1858,$D1232,'Val-Vol (2)'!$V$4:$V$1858,$V1232)/SUMIFS('Comp2016-2017 (3)'!$G$5:$G$289,'Comp2016-2017 (3)'!$A$5:$A$289,$D1232,'Comp2016-2017 (3)'!$R$5:$R$289,$V1232)*$AB1232))</f>
        <v>0</v>
      </c>
      <c r="AG1232" s="222">
        <f>IF($W1232=AG$3,$AB1232,IF(NOT($W1232=0),"",SUMIFS('Val-Vol (2)'!AG$4:AG$1858,'Val-Vol (2)'!$A$4:$A$1858,$D1232,'Val-Vol (2)'!$V$4:$V$1858,$V1232)/SUMIFS('Comp2016-2017 (3)'!$G$5:$G$289,'Comp2016-2017 (3)'!$A$5:$A$289,$D1232,'Comp2016-2017 (3)'!$R$5:$R$289,$V1232)*$AB1232))</f>
        <v>0</v>
      </c>
      <c r="AH1232" s="222">
        <f>IF($W1232=AH$3,$AB1232,IF(NOT($W1232=0),"",SUMIFS('Val-Vol (2)'!AH$4:AH$1858,'Val-Vol (2)'!$A$4:$A$1858,$D1232,'Val-Vol (2)'!$V$4:$V$1858,$V1232)/SUMIFS('Comp2016-2017 (3)'!$G$5:$G$289,'Comp2016-2017 (3)'!$A$5:$A$289,$D1232,'Comp2016-2017 (3)'!$R$5:$R$289,$V1232)*$AB1232))</f>
        <v>0</v>
      </c>
      <c r="AI1232" s="222">
        <f>IF($W1232=AI$3,$AB1232,IF(NOT($W1232=0),"",SUMIFS('Val-Vol (2)'!AI$4:AI$1858,'Val-Vol (2)'!$A$4:$A$1858,$D1232,'Val-Vol (2)'!$V$4:$V$1858,$V1232)/SUMIFS('Comp2016-2017 (3)'!$G$5:$G$289,'Comp2016-2017 (3)'!$A$5:$A$289,$D1232,'Comp2016-2017 (3)'!$R$5:$R$289,$V1232)*$AB1232))</f>
        <v>0</v>
      </c>
      <c r="AJ1232" s="222">
        <f>IF($W1232=AJ$3,$AB1232,IF(NOT($W1232=0),"",SUMIFS('Val-Vol (2)'!AJ$4:AJ$1858,'Val-Vol (2)'!$A$4:$A$1858,$D1232,'Val-Vol (2)'!$V$4:$V$1858,$V1232)/SUMIFS('Comp2016-2017 (3)'!$G$5:$G$289,'Comp2016-2017 (3)'!$A$5:$A$289,$D1232,'Comp2016-2017 (3)'!$R$5:$R$289,$V1232)*$AB1232))</f>
        <v>0</v>
      </c>
      <c r="AK1232" s="222">
        <f t="shared" si="149"/>
        <v>0</v>
      </c>
      <c r="AL1232" s="212" t="str">
        <f t="shared" si="150"/>
        <v/>
      </c>
      <c r="AM1232" s="212" t="str">
        <f>VLOOKUP(A1232,'Table corresp.'!$M$4:$U$63,8,FALSE)</f>
        <v>Production intermédiaire</v>
      </c>
      <c r="AN1232" s="212" t="str">
        <f>VLOOKUP(D1232,'Table corresp.'!$M$4:$U$63,9,FALSE)</f>
        <v>Production intermédiaire</v>
      </c>
    </row>
    <row r="1233" spans="1:40" x14ac:dyDescent="0.25">
      <c r="A1233" t="s">
        <v>7</v>
      </c>
      <c r="B1233" t="str">
        <f>VLOOKUP(LEFT(A1233,3),'Table corresp.'!$A$4:$D$63,3,FALSE)</f>
        <v>Transformation</v>
      </c>
      <c r="C1233" t="str">
        <f>VLOOKUP(A1233,'Table corresp.'!$M$4:$P$63,4,FALSE)</f>
        <v>Production et transformation de produits bois</v>
      </c>
      <c r="D1233" t="s">
        <v>14</v>
      </c>
      <c r="E1233" t="str">
        <f>VLOOKUP(LEFT(D1233,3),'Table corresp.'!$A$4:$D$63,4,FALSE)</f>
        <v>Transformation</v>
      </c>
      <c r="F1233" t="str">
        <f t="shared" si="152"/>
        <v>12  - 20b</v>
      </c>
      <c r="G1233" s="213">
        <v>26422.757096536494</v>
      </c>
      <c r="H1233" s="213">
        <v>35395.704203886613</v>
      </c>
      <c r="I1233" s="213">
        <v>61818.461300423092</v>
      </c>
      <c r="J1233" s="215">
        <v>181.80636075624705</v>
      </c>
      <c r="K1233" s="215">
        <v>258.53285634972593</v>
      </c>
      <c r="L1233" s="215">
        <v>440.33921710597298</v>
      </c>
      <c r="M1233" s="215"/>
      <c r="N1233" s="215"/>
      <c r="O1233" s="215"/>
      <c r="P1233" s="215"/>
      <c r="Q1233" s="215"/>
      <c r="R1233" s="215"/>
      <c r="S1233" s="213"/>
      <c r="T1233" s="212">
        <f>VLOOKUP(A1233,'Groupe de branches'!$Z$27:$AM$86,14,FALSE)</f>
        <v>0</v>
      </c>
      <c r="U1233" s="212">
        <f>VLOOKUP(D1233,'Groupe de branches'!$Z$27:$AM$86,14,FALSE)</f>
        <v>0</v>
      </c>
      <c r="V1233" s="212">
        <v>2019</v>
      </c>
      <c r="W1233" s="212">
        <f>VLOOKUP(D1233,'Table corresp.'!$M$4:$S$63,7,FALSE)</f>
        <v>0</v>
      </c>
      <c r="X1233" s="228">
        <f>IFERROR(G1233/SUMIFS('Comp2016-2017 (3)'!$I$5:$I$289,'Comp2016-2017 (3)'!$A$5:$A$289,A1233,'Comp2016-2017 (3)'!$R$5:$R$289,V1233),0)</f>
        <v>3.708306457336201E-2</v>
      </c>
      <c r="Y1233" s="214" t="e">
        <f>IF(RIGHT(F1233,3)="Exp",VLOOKUP(F1233,#REF!,2,FALSE),VLOOKUP(F1233,#REF!,9,FALSE))</f>
        <v>#REF!</v>
      </c>
      <c r="Z1233" s="225" t="str">
        <f t="shared" si="151"/>
        <v/>
      </c>
      <c r="AA1233" s="225" t="e">
        <f t="shared" si="148"/>
        <v>#VALUE!</v>
      </c>
      <c r="AB1233" s="222">
        <f>IFERROR(SUMIFS('Comp2016-2017 (3)'!$G$5:$G$289,'Comp2016-2017 (3)'!$A$5:$A$289,A1233,'Comp2016-2017 (3)'!$R$5:$R$289,V1233)*AA1233/SUMIFS($AA$4:$AA$1858,$A$4:$A$1858,A1233,$V$4:$V$1858,V1233),0)</f>
        <v>0</v>
      </c>
      <c r="AC1233" s="222">
        <f>IF($W1233=AC$3,$AB1233,IF(NOT($W1233=0),"",SUMIFS('Val-Vol (2)'!AC$4:AC$1858,'Val-Vol (2)'!$A$4:$A$1858,$D1233,'Val-Vol (2)'!$V$4:$V$1858,$V1233)/SUMIFS('Comp2016-2017 (3)'!$G$5:$G$289,'Comp2016-2017 (3)'!$A$5:$A$289,$D1233,'Comp2016-2017 (3)'!$R$5:$R$289,$V1233)*$AB1233))</f>
        <v>0</v>
      </c>
      <c r="AD1233" s="222">
        <f>IF($W1233=AD$3,$AB1233,IF(NOT($W1233=0),"",SUMIFS('Val-Vol (2)'!AD$4:AD$1858,'Val-Vol (2)'!$A$4:$A$1858,$D1233,'Val-Vol (2)'!$V$4:$V$1858,$V1233)/SUMIFS('Comp2016-2017 (3)'!$G$5:$G$289,'Comp2016-2017 (3)'!$A$5:$A$289,$D1233,'Comp2016-2017 (3)'!$R$5:$R$289,$V1233)*$AB1233))</f>
        <v>0</v>
      </c>
      <c r="AE1233" s="222">
        <f>IF($W1233=AE$3,$AB1233,IF(NOT($W1233=0),"",SUMIFS('Val-Vol (2)'!AE$4:AE$1858,'Val-Vol (2)'!$A$4:$A$1858,$D1233,'Val-Vol (2)'!$V$4:$V$1858,$V1233)/SUMIFS('Comp2016-2017 (3)'!$G$5:$G$289,'Comp2016-2017 (3)'!$A$5:$A$289,$D1233,'Comp2016-2017 (3)'!$R$5:$R$289,$V1233)*$AB1233))</f>
        <v>0</v>
      </c>
      <c r="AF1233" s="222">
        <f>IF($W1233=AF$3,$AB1233,IF(NOT($W1233=0),"",SUMIFS('Val-Vol (2)'!AF$4:AF$1858,'Val-Vol (2)'!$A$4:$A$1858,$D1233,'Val-Vol (2)'!$V$4:$V$1858,$V1233)/SUMIFS('Comp2016-2017 (3)'!$G$5:$G$289,'Comp2016-2017 (3)'!$A$5:$A$289,$D1233,'Comp2016-2017 (3)'!$R$5:$R$289,$V1233)*$AB1233))</f>
        <v>0</v>
      </c>
      <c r="AG1233" s="222">
        <f>IF($W1233=AG$3,$AB1233,IF(NOT($W1233=0),"",SUMIFS('Val-Vol (2)'!AG$4:AG$1858,'Val-Vol (2)'!$A$4:$A$1858,$D1233,'Val-Vol (2)'!$V$4:$V$1858,$V1233)/SUMIFS('Comp2016-2017 (3)'!$G$5:$G$289,'Comp2016-2017 (3)'!$A$5:$A$289,$D1233,'Comp2016-2017 (3)'!$R$5:$R$289,$V1233)*$AB1233))</f>
        <v>0</v>
      </c>
      <c r="AH1233" s="222">
        <f>IF($W1233=AH$3,$AB1233,IF(NOT($W1233=0),"",SUMIFS('Val-Vol (2)'!AH$4:AH$1858,'Val-Vol (2)'!$A$4:$A$1858,$D1233,'Val-Vol (2)'!$V$4:$V$1858,$V1233)/SUMIFS('Comp2016-2017 (3)'!$G$5:$G$289,'Comp2016-2017 (3)'!$A$5:$A$289,$D1233,'Comp2016-2017 (3)'!$R$5:$R$289,$V1233)*$AB1233))</f>
        <v>0</v>
      </c>
      <c r="AI1233" s="222">
        <f>IF($W1233=AI$3,$AB1233,IF(NOT($W1233=0),"",SUMIFS('Val-Vol (2)'!AI$4:AI$1858,'Val-Vol (2)'!$A$4:$A$1858,$D1233,'Val-Vol (2)'!$V$4:$V$1858,$V1233)/SUMIFS('Comp2016-2017 (3)'!$G$5:$G$289,'Comp2016-2017 (3)'!$A$5:$A$289,$D1233,'Comp2016-2017 (3)'!$R$5:$R$289,$V1233)*$AB1233))</f>
        <v>0</v>
      </c>
      <c r="AJ1233" s="222">
        <f>IF($W1233=AJ$3,$AB1233,IF(NOT($W1233=0),"",SUMIFS('Val-Vol (2)'!AJ$4:AJ$1858,'Val-Vol (2)'!$A$4:$A$1858,$D1233,'Val-Vol (2)'!$V$4:$V$1858,$V1233)/SUMIFS('Comp2016-2017 (3)'!$G$5:$G$289,'Comp2016-2017 (3)'!$A$5:$A$289,$D1233,'Comp2016-2017 (3)'!$R$5:$R$289,$V1233)*$AB1233))</f>
        <v>0</v>
      </c>
      <c r="AK1233" s="222">
        <f t="shared" si="149"/>
        <v>0</v>
      </c>
      <c r="AL1233" s="212" t="str">
        <f t="shared" si="150"/>
        <v/>
      </c>
      <c r="AM1233" s="212" t="str">
        <f>VLOOKUP(A1233,'Table corresp.'!$M$4:$U$63,8,FALSE)</f>
        <v>Production intermédiaire</v>
      </c>
      <c r="AN1233" s="212" t="str">
        <f>VLOOKUP(D1233,'Table corresp.'!$M$4:$U$63,9,FALSE)</f>
        <v>Production intermédiaire</v>
      </c>
    </row>
    <row r="1234" spans="1:40" x14ac:dyDescent="0.25">
      <c r="A1234" t="s">
        <v>7</v>
      </c>
      <c r="B1234" t="str">
        <f>VLOOKUP(LEFT(A1234,3),'Table corresp.'!$A$4:$D$63,3,FALSE)</f>
        <v>Transformation</v>
      </c>
      <c r="C1234" t="str">
        <f>VLOOKUP(A1234,'Table corresp.'!$M$4:$P$63,4,FALSE)</f>
        <v>Production et transformation de produits bois</v>
      </c>
      <c r="D1234" t="s">
        <v>85</v>
      </c>
      <c r="E1234" t="str">
        <f>VLOOKUP(LEFT(D1234,3),'Table corresp.'!$A$4:$D$63,4,FALSE)</f>
        <v>Transformation</v>
      </c>
      <c r="F1234" t="str">
        <f t="shared" si="152"/>
        <v xml:space="preserve">12  - 29 </v>
      </c>
      <c r="G1234" s="213">
        <v>3969.5335150915726</v>
      </c>
      <c r="H1234" s="213">
        <v>0</v>
      </c>
      <c r="I1234" s="213">
        <v>3969.5335150915716</v>
      </c>
      <c r="J1234" s="215">
        <v>39.148724342187201</v>
      </c>
      <c r="K1234" s="215">
        <v>0</v>
      </c>
      <c r="L1234" s="215">
        <v>39.148724342187201</v>
      </c>
      <c r="M1234" s="215"/>
      <c r="N1234" s="215"/>
      <c r="O1234" s="215"/>
      <c r="P1234" s="215"/>
      <c r="Q1234" s="215"/>
      <c r="R1234" s="215"/>
      <c r="S1234" s="213"/>
      <c r="T1234" s="212">
        <f>VLOOKUP(A1234,'Groupe de branches'!$Z$27:$AM$86,14,FALSE)</f>
        <v>0</v>
      </c>
      <c r="U1234" s="212">
        <f>VLOOKUP(D1234,'Groupe de branches'!$Z$27:$AM$86,14,FALSE)</f>
        <v>0</v>
      </c>
      <c r="V1234" s="212">
        <v>2019</v>
      </c>
      <c r="W1234" s="212" t="str">
        <f>VLOOKUP(D1234,'Table corresp.'!$M$4:$S$63,7,FALSE)</f>
        <v>Construction</v>
      </c>
      <c r="X1234" s="228">
        <f>IFERROR(G1234/SUMIFS('Comp2016-2017 (3)'!$I$5:$I$289,'Comp2016-2017 (3)'!$A$5:$A$289,A1234,'Comp2016-2017 (3)'!$R$5:$R$289,V1234),0)</f>
        <v>5.5710487413730501E-3</v>
      </c>
      <c r="Y1234" s="214" t="e">
        <f>IF(RIGHT(F1234,3)="Exp",VLOOKUP(F1234,#REF!,2,FALSE),VLOOKUP(F1234,#REF!,9,FALSE))</f>
        <v>#REF!</v>
      </c>
      <c r="Z1234" s="225" t="str">
        <f t="shared" si="151"/>
        <v/>
      </c>
      <c r="AA1234" s="225" t="e">
        <f t="shared" si="148"/>
        <v>#VALUE!</v>
      </c>
      <c r="AB1234" s="222">
        <f>IFERROR(SUMIFS('Comp2016-2017 (3)'!$G$5:$G$289,'Comp2016-2017 (3)'!$A$5:$A$289,A1234,'Comp2016-2017 (3)'!$R$5:$R$289,V1234)*AA1234/SUMIFS($AA$4:$AA$1858,$A$4:$A$1858,A1234,$V$4:$V$1858,V1234),0)</f>
        <v>0</v>
      </c>
      <c r="AC1234" s="222" t="str">
        <f>IF($W1234=AC$3,$AB1234,IF(NOT($W1234=0),"",SUMIFS('Val-Vol (2)'!AC$4:AC$1858,'Val-Vol (2)'!$A$4:$A$1858,$D1234,'Val-Vol (2)'!$V$4:$V$1858,$V1234)/SUMIFS('Comp2016-2017 (3)'!$G$5:$G$289,'Comp2016-2017 (3)'!$A$5:$A$289,$D1234,'Comp2016-2017 (3)'!$R$5:$R$289,$V1234)*$AB1234))</f>
        <v/>
      </c>
      <c r="AD1234" s="222">
        <f>IF($W1234=AD$3,$AB1234,IF(NOT($W1234=0),"",SUMIFS('Val-Vol (2)'!AD$4:AD$1858,'Val-Vol (2)'!$A$4:$A$1858,$D1234,'Val-Vol (2)'!$V$4:$V$1858,$V1234)/SUMIFS('Comp2016-2017 (3)'!$G$5:$G$289,'Comp2016-2017 (3)'!$A$5:$A$289,$D1234,'Comp2016-2017 (3)'!$R$5:$R$289,$V1234)*$AB1234))</f>
        <v>0</v>
      </c>
      <c r="AE1234" s="222" t="str">
        <f>IF($W1234=AE$3,$AB1234,IF(NOT($W1234=0),"",SUMIFS('Val-Vol (2)'!AE$4:AE$1858,'Val-Vol (2)'!$A$4:$A$1858,$D1234,'Val-Vol (2)'!$V$4:$V$1858,$V1234)/SUMIFS('Comp2016-2017 (3)'!$G$5:$G$289,'Comp2016-2017 (3)'!$A$5:$A$289,$D1234,'Comp2016-2017 (3)'!$R$5:$R$289,$V1234)*$AB1234))</f>
        <v/>
      </c>
      <c r="AF1234" s="222" t="str">
        <f>IF($W1234=AF$3,$AB1234,IF(NOT($W1234=0),"",SUMIFS('Val-Vol (2)'!AF$4:AF$1858,'Val-Vol (2)'!$A$4:$A$1858,$D1234,'Val-Vol (2)'!$V$4:$V$1858,$V1234)/SUMIFS('Comp2016-2017 (3)'!$G$5:$G$289,'Comp2016-2017 (3)'!$A$5:$A$289,$D1234,'Comp2016-2017 (3)'!$R$5:$R$289,$V1234)*$AB1234))</f>
        <v/>
      </c>
      <c r="AG1234" s="222" t="str">
        <f>IF($W1234=AG$3,$AB1234,IF(NOT($W1234=0),"",SUMIFS('Val-Vol (2)'!AG$4:AG$1858,'Val-Vol (2)'!$A$4:$A$1858,$D1234,'Val-Vol (2)'!$V$4:$V$1858,$V1234)/SUMIFS('Comp2016-2017 (3)'!$G$5:$G$289,'Comp2016-2017 (3)'!$A$5:$A$289,$D1234,'Comp2016-2017 (3)'!$R$5:$R$289,$V1234)*$AB1234))</f>
        <v/>
      </c>
      <c r="AH1234" s="222" t="str">
        <f>IF($W1234=AH$3,$AB1234,IF(NOT($W1234=0),"",SUMIFS('Val-Vol (2)'!AH$4:AH$1858,'Val-Vol (2)'!$A$4:$A$1858,$D1234,'Val-Vol (2)'!$V$4:$V$1858,$V1234)/SUMIFS('Comp2016-2017 (3)'!$G$5:$G$289,'Comp2016-2017 (3)'!$A$5:$A$289,$D1234,'Comp2016-2017 (3)'!$R$5:$R$289,$V1234)*$AB1234))</f>
        <v/>
      </c>
      <c r="AI1234" s="222" t="str">
        <f>IF($W1234=AI$3,$AB1234,IF(NOT($W1234=0),"",SUMIFS('Val-Vol (2)'!AI$4:AI$1858,'Val-Vol (2)'!$A$4:$A$1858,$D1234,'Val-Vol (2)'!$V$4:$V$1858,$V1234)/SUMIFS('Comp2016-2017 (3)'!$G$5:$G$289,'Comp2016-2017 (3)'!$A$5:$A$289,$D1234,'Comp2016-2017 (3)'!$R$5:$R$289,$V1234)*$AB1234))</f>
        <v/>
      </c>
      <c r="AJ1234" s="222" t="str">
        <f>IF($W1234=AJ$3,$AB1234,IF(NOT($W1234=0),"",SUMIFS('Val-Vol (2)'!AJ$4:AJ$1858,'Val-Vol (2)'!$A$4:$A$1858,$D1234,'Val-Vol (2)'!$V$4:$V$1858,$V1234)/SUMIFS('Comp2016-2017 (3)'!$G$5:$G$289,'Comp2016-2017 (3)'!$A$5:$A$289,$D1234,'Comp2016-2017 (3)'!$R$5:$R$289,$V1234)*$AB1234))</f>
        <v/>
      </c>
      <c r="AK1234" s="222">
        <f t="shared" si="149"/>
        <v>0</v>
      </c>
      <c r="AL1234" s="212" t="str">
        <f t="shared" si="150"/>
        <v/>
      </c>
      <c r="AM1234" s="212" t="str">
        <f>VLOOKUP(A1234,'Table corresp.'!$M$4:$U$63,8,FALSE)</f>
        <v>Production intermédiaire</v>
      </c>
      <c r="AN1234" s="212" t="str">
        <f>VLOOKUP(D1234,'Table corresp.'!$M$4:$U$63,9,FALSE)</f>
        <v>Production intermédiaire</v>
      </c>
    </row>
    <row r="1235" spans="1:40" x14ac:dyDescent="0.25">
      <c r="A1235" t="s">
        <v>7</v>
      </c>
      <c r="B1235" t="str">
        <f>VLOOKUP(LEFT(A1235,3),'Table corresp.'!$A$4:$D$63,3,FALSE)</f>
        <v>Transformation</v>
      </c>
      <c r="C1235" t="str">
        <f>VLOOKUP(A1235,'Table corresp.'!$M$4:$P$63,4,FALSE)</f>
        <v>Production et transformation de produits bois</v>
      </c>
      <c r="D1235" t="s">
        <v>88</v>
      </c>
      <c r="E1235" t="str">
        <f>VLOOKUP(LEFT(D1235,3),'Table corresp.'!$A$4:$D$63,4,FALSE)</f>
        <v>Transformation</v>
      </c>
      <c r="F1235" t="str">
        <f t="shared" si="152"/>
        <v xml:space="preserve">12  - 32 </v>
      </c>
      <c r="G1235" s="213">
        <v>0</v>
      </c>
      <c r="H1235" s="213">
        <v>0</v>
      </c>
      <c r="I1235" s="213">
        <v>0</v>
      </c>
      <c r="J1235" s="215"/>
      <c r="K1235" s="215"/>
      <c r="L1235" s="215"/>
      <c r="M1235" s="215"/>
      <c r="N1235" s="215"/>
      <c r="O1235" s="215"/>
      <c r="P1235" s="215"/>
      <c r="Q1235" s="215"/>
      <c r="R1235" s="215"/>
      <c r="S1235" s="213"/>
      <c r="T1235" s="212">
        <f>VLOOKUP(A1235,'Groupe de branches'!$Z$27:$AM$86,14,FALSE)</f>
        <v>0</v>
      </c>
      <c r="U1235" s="212">
        <f>VLOOKUP(D1235,'Groupe de branches'!$Z$27:$AM$86,14,FALSE)</f>
        <v>0</v>
      </c>
      <c r="V1235" s="212">
        <v>2019</v>
      </c>
      <c r="W1235" s="212" t="str">
        <f>VLOOKUP(D1235,'Table corresp.'!$M$4:$S$63,7,FALSE)</f>
        <v>Construction</v>
      </c>
      <c r="X1235" s="228">
        <f>IFERROR(G1235/SUMIFS('Comp2016-2017 (3)'!$I$5:$I$289,'Comp2016-2017 (3)'!$A$5:$A$289,A1235,'Comp2016-2017 (3)'!$R$5:$R$289,V1235),0)</f>
        <v>0</v>
      </c>
      <c r="Y1235" s="232"/>
      <c r="Z1235" s="234"/>
      <c r="AA1235" s="225">
        <f t="shared" si="148"/>
        <v>0</v>
      </c>
      <c r="AB1235" s="222">
        <f>IFERROR(SUMIFS('Comp2016-2017 (3)'!$G$5:$G$289,'Comp2016-2017 (3)'!$A$5:$A$289,A1235,'Comp2016-2017 (3)'!$R$5:$R$289,V1235)*AA1235/SUMIFS($AA$4:$AA$1858,$A$4:$A$1858,A1235,$V$4:$V$1858,V1235),0)</f>
        <v>0</v>
      </c>
      <c r="AC1235" s="222" t="str">
        <f>IF($W1235=AC$3,$AB1235,IF(NOT($W1235=0),"",SUMIFS('Val-Vol (2)'!AC$4:AC$1858,'Val-Vol (2)'!$A$4:$A$1858,$D1235,'Val-Vol (2)'!$V$4:$V$1858,$V1235)/SUMIFS('Comp2016-2017 (3)'!$G$5:$G$289,'Comp2016-2017 (3)'!$A$5:$A$289,$D1235,'Comp2016-2017 (3)'!$R$5:$R$289,$V1235)*$AB1235))</f>
        <v/>
      </c>
      <c r="AD1235" s="222">
        <f>IF($W1235=AD$3,$AB1235,IF(NOT($W1235=0),"",SUMIFS('Val-Vol (2)'!AD$4:AD$1858,'Val-Vol (2)'!$A$4:$A$1858,$D1235,'Val-Vol (2)'!$V$4:$V$1858,$V1235)/SUMIFS('Comp2016-2017 (3)'!$G$5:$G$289,'Comp2016-2017 (3)'!$A$5:$A$289,$D1235,'Comp2016-2017 (3)'!$R$5:$R$289,$V1235)*$AB1235))</f>
        <v>0</v>
      </c>
      <c r="AE1235" s="222" t="str">
        <f>IF($W1235=AE$3,$AB1235,IF(NOT($W1235=0),"",SUMIFS('Val-Vol (2)'!AE$4:AE$1858,'Val-Vol (2)'!$A$4:$A$1858,$D1235,'Val-Vol (2)'!$V$4:$V$1858,$V1235)/SUMIFS('Comp2016-2017 (3)'!$G$5:$G$289,'Comp2016-2017 (3)'!$A$5:$A$289,$D1235,'Comp2016-2017 (3)'!$R$5:$R$289,$V1235)*$AB1235))</f>
        <v/>
      </c>
      <c r="AF1235" s="222" t="str">
        <f>IF($W1235=AF$3,$AB1235,IF(NOT($W1235=0),"",SUMIFS('Val-Vol (2)'!AF$4:AF$1858,'Val-Vol (2)'!$A$4:$A$1858,$D1235,'Val-Vol (2)'!$V$4:$V$1858,$V1235)/SUMIFS('Comp2016-2017 (3)'!$G$5:$G$289,'Comp2016-2017 (3)'!$A$5:$A$289,$D1235,'Comp2016-2017 (3)'!$R$5:$R$289,$V1235)*$AB1235))</f>
        <v/>
      </c>
      <c r="AG1235" s="222" t="str">
        <f>IF($W1235=AG$3,$AB1235,IF(NOT($W1235=0),"",SUMIFS('Val-Vol (2)'!AG$4:AG$1858,'Val-Vol (2)'!$A$4:$A$1858,$D1235,'Val-Vol (2)'!$V$4:$V$1858,$V1235)/SUMIFS('Comp2016-2017 (3)'!$G$5:$G$289,'Comp2016-2017 (3)'!$A$5:$A$289,$D1235,'Comp2016-2017 (3)'!$R$5:$R$289,$V1235)*$AB1235))</f>
        <v/>
      </c>
      <c r="AH1235" s="222" t="str">
        <f>IF($W1235=AH$3,$AB1235,IF(NOT($W1235=0),"",SUMIFS('Val-Vol (2)'!AH$4:AH$1858,'Val-Vol (2)'!$A$4:$A$1858,$D1235,'Val-Vol (2)'!$V$4:$V$1858,$V1235)/SUMIFS('Comp2016-2017 (3)'!$G$5:$G$289,'Comp2016-2017 (3)'!$A$5:$A$289,$D1235,'Comp2016-2017 (3)'!$R$5:$R$289,$V1235)*$AB1235))</f>
        <v/>
      </c>
      <c r="AI1235" s="222" t="str">
        <f>IF($W1235=AI$3,$AB1235,IF(NOT($W1235=0),"",SUMIFS('Val-Vol (2)'!AI$4:AI$1858,'Val-Vol (2)'!$A$4:$A$1858,$D1235,'Val-Vol (2)'!$V$4:$V$1858,$V1235)/SUMIFS('Comp2016-2017 (3)'!$G$5:$G$289,'Comp2016-2017 (3)'!$A$5:$A$289,$D1235,'Comp2016-2017 (3)'!$R$5:$R$289,$V1235)*$AB1235))</f>
        <v/>
      </c>
      <c r="AJ1235" s="222" t="str">
        <f>IF($W1235=AJ$3,$AB1235,IF(NOT($W1235=0),"",SUMIFS('Val-Vol (2)'!AJ$4:AJ$1858,'Val-Vol (2)'!$A$4:$A$1858,$D1235,'Val-Vol (2)'!$V$4:$V$1858,$V1235)/SUMIFS('Comp2016-2017 (3)'!$G$5:$G$289,'Comp2016-2017 (3)'!$A$5:$A$289,$D1235,'Comp2016-2017 (3)'!$R$5:$R$289,$V1235)*$AB1235))</f>
        <v/>
      </c>
      <c r="AK1235" s="222">
        <f t="shared" si="149"/>
        <v>0</v>
      </c>
      <c r="AL1235" s="212" t="str">
        <f t="shared" si="150"/>
        <v/>
      </c>
      <c r="AM1235" s="212" t="str">
        <f>VLOOKUP(A1235,'Table corresp.'!$M$4:$U$63,8,FALSE)</f>
        <v>Production intermédiaire</v>
      </c>
      <c r="AN1235" s="212" t="str">
        <f>VLOOKUP(D1235,'Table corresp.'!$M$4:$U$63,9,FALSE)</f>
        <v>Production finale</v>
      </c>
    </row>
    <row r="1236" spans="1:40" x14ac:dyDescent="0.25">
      <c r="A1236" t="s">
        <v>7</v>
      </c>
      <c r="B1236" t="str">
        <f>VLOOKUP(LEFT(A1236,3),'Table corresp.'!$A$4:$D$63,3,FALSE)</f>
        <v>Transformation</v>
      </c>
      <c r="C1236" t="str">
        <f>VLOOKUP(A1236,'Table corresp.'!$M$4:$P$63,4,FALSE)</f>
        <v>Production et transformation de produits bois</v>
      </c>
      <c r="D1236" t="s">
        <v>90</v>
      </c>
      <c r="E1236" t="str">
        <f>VLOOKUP(LEFT(D1236,3),'Table corresp.'!$A$4:$D$63,4,FALSE)</f>
        <v>Transformation</v>
      </c>
      <c r="F1236" t="str">
        <f t="shared" si="152"/>
        <v xml:space="preserve">12  - 34 </v>
      </c>
      <c r="G1236" s="213">
        <v>27430.07127172012</v>
      </c>
      <c r="H1236" s="213">
        <v>34921.102579877144</v>
      </c>
      <c r="I1236" s="213">
        <v>62351.173851597254</v>
      </c>
      <c r="J1236" s="215">
        <v>286.4367001484577</v>
      </c>
      <c r="K1236" s="215">
        <v>340.08844104745259</v>
      </c>
      <c r="L1236" s="215">
        <v>626.52514119591024</v>
      </c>
      <c r="M1236" s="215"/>
      <c r="N1236" s="215"/>
      <c r="O1236" s="215"/>
      <c r="P1236" s="215"/>
      <c r="Q1236" s="215"/>
      <c r="R1236" s="215"/>
      <c r="S1236" s="213"/>
      <c r="T1236" s="212">
        <f>VLOOKUP(A1236,'Groupe de branches'!$Z$27:$AM$86,14,FALSE)</f>
        <v>0</v>
      </c>
      <c r="U1236" s="212">
        <f>VLOOKUP(D1236,'Groupe de branches'!$Z$27:$AM$86,14,FALSE)</f>
        <v>0</v>
      </c>
      <c r="V1236" s="212">
        <v>2019</v>
      </c>
      <c r="W1236" s="212" t="str">
        <f>VLOOKUP(D1236,'Table corresp.'!$M$4:$S$63,7,FALSE)</f>
        <v>Construction</v>
      </c>
      <c r="X1236" s="228">
        <f>IFERROR(G1236/SUMIFS('Comp2016-2017 (3)'!$I$5:$I$289,'Comp2016-2017 (3)'!$A$5:$A$289,A1236,'Comp2016-2017 (3)'!$R$5:$R$289,V1236),0)</f>
        <v>3.8496781410992616E-2</v>
      </c>
      <c r="Y1236" s="214" t="e">
        <f>IF(RIGHT(F1236,3)="Exp",VLOOKUP(F1236,#REF!,2,FALSE),VLOOKUP(F1236,#REF!,9,FALSE))</f>
        <v>#REF!</v>
      </c>
      <c r="Z1236" s="225" t="str">
        <f t="shared" si="151"/>
        <v/>
      </c>
      <c r="AA1236" s="225" t="e">
        <f t="shared" si="148"/>
        <v>#VALUE!</v>
      </c>
      <c r="AB1236" s="222">
        <f>IFERROR(SUMIFS('Comp2016-2017 (3)'!$G$5:$G$289,'Comp2016-2017 (3)'!$A$5:$A$289,A1236,'Comp2016-2017 (3)'!$R$5:$R$289,V1236)*AA1236/SUMIFS($AA$4:$AA$1858,$A$4:$A$1858,A1236,$V$4:$V$1858,V1236),0)</f>
        <v>0</v>
      </c>
      <c r="AC1236" s="222" t="str">
        <f>IF($W1236=AC$3,$AB1236,IF(NOT($W1236=0),"",SUMIFS('Val-Vol (2)'!AC$4:AC$1858,'Val-Vol (2)'!$A$4:$A$1858,$D1236,'Val-Vol (2)'!$V$4:$V$1858,$V1236)/SUMIFS('Comp2016-2017 (3)'!$G$5:$G$289,'Comp2016-2017 (3)'!$A$5:$A$289,$D1236,'Comp2016-2017 (3)'!$R$5:$R$289,$V1236)*$AB1236))</f>
        <v/>
      </c>
      <c r="AD1236" s="222">
        <f>IF($W1236=AD$3,$AB1236,IF(NOT($W1236=0),"",SUMIFS('Val-Vol (2)'!AD$4:AD$1858,'Val-Vol (2)'!$A$4:$A$1858,$D1236,'Val-Vol (2)'!$V$4:$V$1858,$V1236)/SUMIFS('Comp2016-2017 (3)'!$G$5:$G$289,'Comp2016-2017 (3)'!$A$5:$A$289,$D1236,'Comp2016-2017 (3)'!$R$5:$R$289,$V1236)*$AB1236))</f>
        <v>0</v>
      </c>
      <c r="AE1236" s="222" t="str">
        <f>IF($W1236=AE$3,$AB1236,IF(NOT($W1236=0),"",SUMIFS('Val-Vol (2)'!AE$4:AE$1858,'Val-Vol (2)'!$A$4:$A$1858,$D1236,'Val-Vol (2)'!$V$4:$V$1858,$V1236)/SUMIFS('Comp2016-2017 (3)'!$G$5:$G$289,'Comp2016-2017 (3)'!$A$5:$A$289,$D1236,'Comp2016-2017 (3)'!$R$5:$R$289,$V1236)*$AB1236))</f>
        <v/>
      </c>
      <c r="AF1236" s="222" t="str">
        <f>IF($W1236=AF$3,$AB1236,IF(NOT($W1236=0),"",SUMIFS('Val-Vol (2)'!AF$4:AF$1858,'Val-Vol (2)'!$A$4:$A$1858,$D1236,'Val-Vol (2)'!$V$4:$V$1858,$V1236)/SUMIFS('Comp2016-2017 (3)'!$G$5:$G$289,'Comp2016-2017 (3)'!$A$5:$A$289,$D1236,'Comp2016-2017 (3)'!$R$5:$R$289,$V1236)*$AB1236))</f>
        <v/>
      </c>
      <c r="AG1236" s="222" t="str">
        <f>IF($W1236=AG$3,$AB1236,IF(NOT($W1236=0),"",SUMIFS('Val-Vol (2)'!AG$4:AG$1858,'Val-Vol (2)'!$A$4:$A$1858,$D1236,'Val-Vol (2)'!$V$4:$V$1858,$V1236)/SUMIFS('Comp2016-2017 (3)'!$G$5:$G$289,'Comp2016-2017 (3)'!$A$5:$A$289,$D1236,'Comp2016-2017 (3)'!$R$5:$R$289,$V1236)*$AB1236))</f>
        <v/>
      </c>
      <c r="AH1236" s="222" t="str">
        <f>IF($W1236=AH$3,$AB1236,IF(NOT($W1236=0),"",SUMIFS('Val-Vol (2)'!AH$4:AH$1858,'Val-Vol (2)'!$A$4:$A$1858,$D1236,'Val-Vol (2)'!$V$4:$V$1858,$V1236)/SUMIFS('Comp2016-2017 (3)'!$G$5:$G$289,'Comp2016-2017 (3)'!$A$5:$A$289,$D1236,'Comp2016-2017 (3)'!$R$5:$R$289,$V1236)*$AB1236))</f>
        <v/>
      </c>
      <c r="AI1236" s="222" t="str">
        <f>IF($W1236=AI$3,$AB1236,IF(NOT($W1236=0),"",SUMIFS('Val-Vol (2)'!AI$4:AI$1858,'Val-Vol (2)'!$A$4:$A$1858,$D1236,'Val-Vol (2)'!$V$4:$V$1858,$V1236)/SUMIFS('Comp2016-2017 (3)'!$G$5:$G$289,'Comp2016-2017 (3)'!$A$5:$A$289,$D1236,'Comp2016-2017 (3)'!$R$5:$R$289,$V1236)*$AB1236))</f>
        <v/>
      </c>
      <c r="AJ1236" s="222" t="str">
        <f>IF($W1236=AJ$3,$AB1236,IF(NOT($W1236=0),"",SUMIFS('Val-Vol (2)'!AJ$4:AJ$1858,'Val-Vol (2)'!$A$4:$A$1858,$D1236,'Val-Vol (2)'!$V$4:$V$1858,$V1236)/SUMIFS('Comp2016-2017 (3)'!$G$5:$G$289,'Comp2016-2017 (3)'!$A$5:$A$289,$D1236,'Comp2016-2017 (3)'!$R$5:$R$289,$V1236)*$AB1236))</f>
        <v/>
      </c>
      <c r="AK1236" s="222">
        <f t="shared" si="149"/>
        <v>0</v>
      </c>
      <c r="AL1236" s="212" t="str">
        <f t="shared" si="150"/>
        <v/>
      </c>
      <c r="AM1236" s="212" t="str">
        <f>VLOOKUP(A1236,'Table corresp.'!$M$4:$U$63,8,FALSE)</f>
        <v>Production intermédiaire</v>
      </c>
      <c r="AN1236" s="212" t="str">
        <f>VLOOKUP(D1236,'Table corresp.'!$M$4:$U$63,9,FALSE)</f>
        <v>Production finale</v>
      </c>
    </row>
    <row r="1237" spans="1:40" x14ac:dyDescent="0.25">
      <c r="A1237" t="s">
        <v>7</v>
      </c>
      <c r="B1237" t="str">
        <f>VLOOKUP(LEFT(A1237,3),'Table corresp.'!$A$4:$D$63,3,FALSE)</f>
        <v>Transformation</v>
      </c>
      <c r="C1237" t="str">
        <f>VLOOKUP(A1237,'Table corresp.'!$M$4:$P$63,4,FALSE)</f>
        <v>Production et transformation de produits bois</v>
      </c>
      <c r="D1237" t="s">
        <v>15</v>
      </c>
      <c r="E1237" t="str">
        <f>VLOOKUP(LEFT(D1237,3),'Table corresp.'!$A$4:$D$63,4,FALSE)</f>
        <v>Transformation</v>
      </c>
      <c r="F1237" t="str">
        <f t="shared" si="152"/>
        <v xml:space="preserve">12  - 35 </v>
      </c>
      <c r="G1237" s="213">
        <v>4267.8838100288567</v>
      </c>
      <c r="H1237" s="213">
        <v>2234.8445415312954</v>
      </c>
      <c r="I1237" s="213">
        <v>6502.7283515601512</v>
      </c>
      <c r="J1237" s="215">
        <v>25.254686401021445</v>
      </c>
      <c r="K1237" s="215">
        <v>13.991546370991619</v>
      </c>
      <c r="L1237" s="215">
        <v>39.246232772013066</v>
      </c>
      <c r="M1237" s="215"/>
      <c r="N1237" s="215"/>
      <c r="O1237" s="215"/>
      <c r="P1237" s="215"/>
      <c r="Q1237" s="215"/>
      <c r="R1237" s="215"/>
      <c r="S1237" s="213"/>
      <c r="T1237" s="212">
        <f>VLOOKUP(A1237,'Groupe de branches'!$Z$27:$AM$86,14,FALSE)</f>
        <v>0</v>
      </c>
      <c r="U1237" s="212">
        <f>VLOOKUP(D1237,'Groupe de branches'!$Z$27:$AM$86,14,FALSE)</f>
        <v>0</v>
      </c>
      <c r="V1237" s="212">
        <v>2019</v>
      </c>
      <c r="W1237" s="212" t="str">
        <f>VLOOKUP(D1237,'Table corresp.'!$M$4:$S$63,7,FALSE)</f>
        <v>Construction</v>
      </c>
      <c r="X1237" s="228">
        <f>IFERROR(G1237/SUMIFS('Comp2016-2017 (3)'!$I$5:$I$289,'Comp2016-2017 (3)'!$A$5:$A$289,A1237,'Comp2016-2017 (3)'!$R$5:$R$289,V1237),0)</f>
        <v>5.9897689836331258E-3</v>
      </c>
      <c r="Y1237" s="214" t="e">
        <f>IF(RIGHT(F1237,3)="Exp",VLOOKUP(F1237,#REF!,2,FALSE),VLOOKUP(F1237,#REF!,9,FALSE))</f>
        <v>#REF!</v>
      </c>
      <c r="Z1237" s="225" t="str">
        <f t="shared" si="151"/>
        <v/>
      </c>
      <c r="AA1237" s="225" t="e">
        <f t="shared" si="148"/>
        <v>#VALUE!</v>
      </c>
      <c r="AB1237" s="222">
        <f>IFERROR(SUMIFS('Comp2016-2017 (3)'!$G$5:$G$289,'Comp2016-2017 (3)'!$A$5:$A$289,A1237,'Comp2016-2017 (3)'!$R$5:$R$289,V1237)*AA1237/SUMIFS($AA$4:$AA$1858,$A$4:$A$1858,A1237,$V$4:$V$1858,V1237),0)</f>
        <v>0</v>
      </c>
      <c r="AC1237" s="222" t="str">
        <f>IF($W1237=AC$3,$AB1237,IF(NOT($W1237=0),"",SUMIFS('Val-Vol (2)'!AC$4:AC$1858,'Val-Vol (2)'!$A$4:$A$1858,$D1237,'Val-Vol (2)'!$V$4:$V$1858,$V1237)/SUMIFS('Comp2016-2017 (3)'!$G$5:$G$289,'Comp2016-2017 (3)'!$A$5:$A$289,$D1237,'Comp2016-2017 (3)'!$R$5:$R$289,$V1237)*$AB1237))</f>
        <v/>
      </c>
      <c r="AD1237" s="222">
        <f>IF($W1237=AD$3,$AB1237,IF(NOT($W1237=0),"",SUMIFS('Val-Vol (2)'!AD$4:AD$1858,'Val-Vol (2)'!$A$4:$A$1858,$D1237,'Val-Vol (2)'!$V$4:$V$1858,$V1237)/SUMIFS('Comp2016-2017 (3)'!$G$5:$G$289,'Comp2016-2017 (3)'!$A$5:$A$289,$D1237,'Comp2016-2017 (3)'!$R$5:$R$289,$V1237)*$AB1237))</f>
        <v>0</v>
      </c>
      <c r="AE1237" s="222" t="str">
        <f>IF($W1237=AE$3,$AB1237,IF(NOT($W1237=0),"",SUMIFS('Val-Vol (2)'!AE$4:AE$1858,'Val-Vol (2)'!$A$4:$A$1858,$D1237,'Val-Vol (2)'!$V$4:$V$1858,$V1237)/SUMIFS('Comp2016-2017 (3)'!$G$5:$G$289,'Comp2016-2017 (3)'!$A$5:$A$289,$D1237,'Comp2016-2017 (3)'!$R$5:$R$289,$V1237)*$AB1237))</f>
        <v/>
      </c>
      <c r="AF1237" s="222" t="str">
        <f>IF($W1237=AF$3,$AB1237,IF(NOT($W1237=0),"",SUMIFS('Val-Vol (2)'!AF$4:AF$1858,'Val-Vol (2)'!$A$4:$A$1858,$D1237,'Val-Vol (2)'!$V$4:$V$1858,$V1237)/SUMIFS('Comp2016-2017 (3)'!$G$5:$G$289,'Comp2016-2017 (3)'!$A$5:$A$289,$D1237,'Comp2016-2017 (3)'!$R$5:$R$289,$V1237)*$AB1237))</f>
        <v/>
      </c>
      <c r="AG1237" s="222" t="str">
        <f>IF($W1237=AG$3,$AB1237,IF(NOT($W1237=0),"",SUMIFS('Val-Vol (2)'!AG$4:AG$1858,'Val-Vol (2)'!$A$4:$A$1858,$D1237,'Val-Vol (2)'!$V$4:$V$1858,$V1237)/SUMIFS('Comp2016-2017 (3)'!$G$5:$G$289,'Comp2016-2017 (3)'!$A$5:$A$289,$D1237,'Comp2016-2017 (3)'!$R$5:$R$289,$V1237)*$AB1237))</f>
        <v/>
      </c>
      <c r="AH1237" s="222" t="str">
        <f>IF($W1237=AH$3,$AB1237,IF(NOT($W1237=0),"",SUMIFS('Val-Vol (2)'!AH$4:AH$1858,'Val-Vol (2)'!$A$4:$A$1858,$D1237,'Val-Vol (2)'!$V$4:$V$1858,$V1237)/SUMIFS('Comp2016-2017 (3)'!$G$5:$G$289,'Comp2016-2017 (3)'!$A$5:$A$289,$D1237,'Comp2016-2017 (3)'!$R$5:$R$289,$V1237)*$AB1237))</f>
        <v/>
      </c>
      <c r="AI1237" s="222" t="str">
        <f>IF($W1237=AI$3,$AB1237,IF(NOT($W1237=0),"",SUMIFS('Val-Vol (2)'!AI$4:AI$1858,'Val-Vol (2)'!$A$4:$A$1858,$D1237,'Val-Vol (2)'!$V$4:$V$1858,$V1237)/SUMIFS('Comp2016-2017 (3)'!$G$5:$G$289,'Comp2016-2017 (3)'!$A$5:$A$289,$D1237,'Comp2016-2017 (3)'!$R$5:$R$289,$V1237)*$AB1237))</f>
        <v/>
      </c>
      <c r="AJ1237" s="222" t="str">
        <f>IF($W1237=AJ$3,$AB1237,IF(NOT($W1237=0),"",SUMIFS('Val-Vol (2)'!AJ$4:AJ$1858,'Val-Vol (2)'!$A$4:$A$1858,$D1237,'Val-Vol (2)'!$V$4:$V$1858,$V1237)/SUMIFS('Comp2016-2017 (3)'!$G$5:$G$289,'Comp2016-2017 (3)'!$A$5:$A$289,$D1237,'Comp2016-2017 (3)'!$R$5:$R$289,$V1237)*$AB1237))</f>
        <v/>
      </c>
      <c r="AK1237" s="222">
        <f t="shared" si="149"/>
        <v>0</v>
      </c>
      <c r="AL1237" s="212" t="str">
        <f t="shared" si="150"/>
        <v/>
      </c>
      <c r="AM1237" s="212" t="str">
        <f>VLOOKUP(A1237,'Table corresp.'!$M$4:$U$63,8,FALSE)</f>
        <v>Production intermédiaire</v>
      </c>
      <c r="AN1237" s="212" t="str">
        <f>VLOOKUP(D1237,'Table corresp.'!$M$4:$U$63,9,FALSE)</f>
        <v>Production finale</v>
      </c>
    </row>
    <row r="1238" spans="1:40" x14ac:dyDescent="0.25">
      <c r="A1238" t="s">
        <v>7</v>
      </c>
      <c r="B1238" t="str">
        <f>VLOOKUP(LEFT(A1238,3),'Table corresp.'!$A$4:$D$63,3,FALSE)</f>
        <v>Transformation</v>
      </c>
      <c r="C1238" t="str">
        <f>VLOOKUP(A1238,'Table corresp.'!$M$4:$P$63,4,FALSE)</f>
        <v>Production et transformation de produits bois</v>
      </c>
      <c r="D1238" t="s">
        <v>16</v>
      </c>
      <c r="E1238" t="str">
        <f>VLOOKUP(LEFT(D1238,3),'Table corresp.'!$A$4:$D$63,4,FALSE)</f>
        <v>Transformation</v>
      </c>
      <c r="F1238" t="str">
        <f t="shared" si="152"/>
        <v xml:space="preserve">12  - 36 </v>
      </c>
      <c r="G1238" s="213">
        <v>9504.0902564337412</v>
      </c>
      <c r="H1238" s="213">
        <v>7873.9477394826135</v>
      </c>
      <c r="I1238" s="213">
        <v>17378.037995916351</v>
      </c>
      <c r="J1238" s="215">
        <v>67.4871659034077</v>
      </c>
      <c r="K1238" s="215">
        <v>55.211423979208355</v>
      </c>
      <c r="L1238" s="215">
        <v>122.69858988261606</v>
      </c>
      <c r="M1238" s="215"/>
      <c r="N1238" s="215"/>
      <c r="O1238" s="215"/>
      <c r="P1238" s="215"/>
      <c r="Q1238" s="215"/>
      <c r="R1238" s="215"/>
      <c r="S1238" s="213"/>
      <c r="T1238" s="212">
        <f>VLOOKUP(A1238,'Groupe de branches'!$Z$27:$AM$86,14,FALSE)</f>
        <v>0</v>
      </c>
      <c r="U1238" s="212">
        <f>VLOOKUP(D1238,'Groupe de branches'!$Z$27:$AM$86,14,FALSE)</f>
        <v>0</v>
      </c>
      <c r="V1238" s="212">
        <v>2019</v>
      </c>
      <c r="W1238" s="212" t="str">
        <f>VLOOKUP(D1238,'Table corresp.'!$M$4:$S$63,7,FALSE)</f>
        <v>Construction</v>
      </c>
      <c r="X1238" s="228">
        <f>IFERROR(G1238/SUMIFS('Comp2016-2017 (3)'!$I$5:$I$289,'Comp2016-2017 (3)'!$A$5:$A$289,A1238,'Comp2016-2017 (3)'!$R$5:$R$289,V1238),0)</f>
        <v>1.3338532061689777E-2</v>
      </c>
      <c r="Y1238" s="214" t="e">
        <f>IF(RIGHT(F1238,3)="Exp",VLOOKUP(F1238,#REF!,2,FALSE),VLOOKUP(F1238,#REF!,9,FALSE))</f>
        <v>#REF!</v>
      </c>
      <c r="Z1238" s="225" t="str">
        <f t="shared" si="151"/>
        <v/>
      </c>
      <c r="AA1238" s="225" t="e">
        <f t="shared" si="148"/>
        <v>#VALUE!</v>
      </c>
      <c r="AB1238" s="222">
        <f>IFERROR(SUMIFS('Comp2016-2017 (3)'!$G$5:$G$289,'Comp2016-2017 (3)'!$A$5:$A$289,A1238,'Comp2016-2017 (3)'!$R$5:$R$289,V1238)*AA1238/SUMIFS($AA$4:$AA$1858,$A$4:$A$1858,A1238,$V$4:$V$1858,V1238),0)</f>
        <v>0</v>
      </c>
      <c r="AC1238" s="222" t="str">
        <f>IF($W1238=AC$3,$AB1238,IF(NOT($W1238=0),"",SUMIFS('Val-Vol (2)'!AC$4:AC$1858,'Val-Vol (2)'!$A$4:$A$1858,$D1238,'Val-Vol (2)'!$V$4:$V$1858,$V1238)/SUMIFS('Comp2016-2017 (3)'!$G$5:$G$289,'Comp2016-2017 (3)'!$A$5:$A$289,$D1238,'Comp2016-2017 (3)'!$R$5:$R$289,$V1238)*$AB1238))</f>
        <v/>
      </c>
      <c r="AD1238" s="222">
        <f>IF($W1238=AD$3,$AB1238,IF(NOT($W1238=0),"",SUMIFS('Val-Vol (2)'!AD$4:AD$1858,'Val-Vol (2)'!$A$4:$A$1858,$D1238,'Val-Vol (2)'!$V$4:$V$1858,$V1238)/SUMIFS('Comp2016-2017 (3)'!$G$5:$G$289,'Comp2016-2017 (3)'!$A$5:$A$289,$D1238,'Comp2016-2017 (3)'!$R$5:$R$289,$V1238)*$AB1238))</f>
        <v>0</v>
      </c>
      <c r="AE1238" s="222" t="str">
        <f>IF($W1238=AE$3,$AB1238,IF(NOT($W1238=0),"",SUMIFS('Val-Vol (2)'!AE$4:AE$1858,'Val-Vol (2)'!$A$4:$A$1858,$D1238,'Val-Vol (2)'!$V$4:$V$1858,$V1238)/SUMIFS('Comp2016-2017 (3)'!$G$5:$G$289,'Comp2016-2017 (3)'!$A$5:$A$289,$D1238,'Comp2016-2017 (3)'!$R$5:$R$289,$V1238)*$AB1238))</f>
        <v/>
      </c>
      <c r="AF1238" s="222" t="str">
        <f>IF($W1238=AF$3,$AB1238,IF(NOT($W1238=0),"",SUMIFS('Val-Vol (2)'!AF$4:AF$1858,'Val-Vol (2)'!$A$4:$A$1858,$D1238,'Val-Vol (2)'!$V$4:$V$1858,$V1238)/SUMIFS('Comp2016-2017 (3)'!$G$5:$G$289,'Comp2016-2017 (3)'!$A$5:$A$289,$D1238,'Comp2016-2017 (3)'!$R$5:$R$289,$V1238)*$AB1238))</f>
        <v/>
      </c>
      <c r="AG1238" s="222" t="str">
        <f>IF($W1238=AG$3,$AB1238,IF(NOT($W1238=0),"",SUMIFS('Val-Vol (2)'!AG$4:AG$1858,'Val-Vol (2)'!$A$4:$A$1858,$D1238,'Val-Vol (2)'!$V$4:$V$1858,$V1238)/SUMIFS('Comp2016-2017 (3)'!$G$5:$G$289,'Comp2016-2017 (3)'!$A$5:$A$289,$D1238,'Comp2016-2017 (3)'!$R$5:$R$289,$V1238)*$AB1238))</f>
        <v/>
      </c>
      <c r="AH1238" s="222" t="str">
        <f>IF($W1238=AH$3,$AB1238,IF(NOT($W1238=0),"",SUMIFS('Val-Vol (2)'!AH$4:AH$1858,'Val-Vol (2)'!$A$4:$A$1858,$D1238,'Val-Vol (2)'!$V$4:$V$1858,$V1238)/SUMIFS('Comp2016-2017 (3)'!$G$5:$G$289,'Comp2016-2017 (3)'!$A$5:$A$289,$D1238,'Comp2016-2017 (3)'!$R$5:$R$289,$V1238)*$AB1238))</f>
        <v/>
      </c>
      <c r="AI1238" s="222" t="str">
        <f>IF($W1238=AI$3,$AB1238,IF(NOT($W1238=0),"",SUMIFS('Val-Vol (2)'!AI$4:AI$1858,'Val-Vol (2)'!$A$4:$A$1858,$D1238,'Val-Vol (2)'!$V$4:$V$1858,$V1238)/SUMIFS('Comp2016-2017 (3)'!$G$5:$G$289,'Comp2016-2017 (3)'!$A$5:$A$289,$D1238,'Comp2016-2017 (3)'!$R$5:$R$289,$V1238)*$AB1238))</f>
        <v/>
      </c>
      <c r="AJ1238" s="222" t="str">
        <f>IF($W1238=AJ$3,$AB1238,IF(NOT($W1238=0),"",SUMIFS('Val-Vol (2)'!AJ$4:AJ$1858,'Val-Vol (2)'!$A$4:$A$1858,$D1238,'Val-Vol (2)'!$V$4:$V$1858,$V1238)/SUMIFS('Comp2016-2017 (3)'!$G$5:$G$289,'Comp2016-2017 (3)'!$A$5:$A$289,$D1238,'Comp2016-2017 (3)'!$R$5:$R$289,$V1238)*$AB1238))</f>
        <v/>
      </c>
      <c r="AK1238" s="222">
        <f t="shared" si="149"/>
        <v>0</v>
      </c>
      <c r="AL1238" s="212" t="str">
        <f t="shared" si="150"/>
        <v/>
      </c>
      <c r="AM1238" s="212" t="str">
        <f>VLOOKUP(A1238,'Table corresp.'!$M$4:$U$63,8,FALSE)</f>
        <v>Production intermédiaire</v>
      </c>
      <c r="AN1238" s="212" t="str">
        <f>VLOOKUP(D1238,'Table corresp.'!$M$4:$U$63,9,FALSE)</f>
        <v>Production finale</v>
      </c>
    </row>
    <row r="1239" spans="1:40" x14ac:dyDescent="0.25">
      <c r="A1239" t="s">
        <v>7</v>
      </c>
      <c r="B1239" t="str">
        <f>VLOOKUP(LEFT(A1239,3),'Table corresp.'!$A$4:$D$63,3,FALSE)</f>
        <v>Transformation</v>
      </c>
      <c r="C1239" t="str">
        <f>VLOOKUP(A1239,'Table corresp.'!$M$4:$P$63,4,FALSE)</f>
        <v>Production et transformation de produits bois</v>
      </c>
      <c r="D1239" t="s">
        <v>91</v>
      </c>
      <c r="E1239" t="str">
        <f>VLOOKUP(LEFT(D1239,3),'Table corresp.'!$A$4:$D$63,4,FALSE)</f>
        <v>Transformation</v>
      </c>
      <c r="F1239" t="str">
        <f t="shared" si="152"/>
        <v xml:space="preserve">12  - 37 </v>
      </c>
      <c r="G1239" s="213">
        <v>77696.869728454956</v>
      </c>
      <c r="H1239" s="213">
        <v>26627.287984986182</v>
      </c>
      <c r="I1239" s="213">
        <v>104324.15771344112</v>
      </c>
      <c r="J1239" s="215">
        <v>1060.988843115389</v>
      </c>
      <c r="K1239" s="215">
        <v>311.18030730291014</v>
      </c>
      <c r="L1239" s="215">
        <v>1372.1691504182991</v>
      </c>
      <c r="M1239" s="215"/>
      <c r="N1239" s="215"/>
      <c r="O1239" s="215"/>
      <c r="P1239" s="215"/>
      <c r="Q1239" s="215"/>
      <c r="R1239" s="215"/>
      <c r="S1239" s="213"/>
      <c r="T1239" s="212">
        <f>VLOOKUP(A1239,'Groupe de branches'!$Z$27:$AM$86,14,FALSE)</f>
        <v>0</v>
      </c>
      <c r="U1239" s="212">
        <f>VLOOKUP(D1239,'Groupe de branches'!$Z$27:$AM$86,14,FALSE)</f>
        <v>0</v>
      </c>
      <c r="V1239" s="212">
        <v>2019</v>
      </c>
      <c r="W1239" s="212" t="str">
        <f>VLOOKUP(D1239,'Table corresp.'!$M$4:$S$63,7,FALSE)</f>
        <v>Emballage bois et carton</v>
      </c>
      <c r="X1239" s="228">
        <f>IFERROR(G1239/SUMIFS('Comp2016-2017 (3)'!$I$5:$I$289,'Comp2016-2017 (3)'!$A$5:$A$289,A1239,'Comp2016-2017 (3)'!$R$5:$R$289,V1239),0)</f>
        <v>0.10904380745588677</v>
      </c>
      <c r="Y1239" s="214" t="e">
        <f>IF(RIGHT(F1239,3)="Exp",VLOOKUP(F1239,#REF!,2,FALSE),VLOOKUP(F1239,#REF!,9,FALSE))</f>
        <v>#REF!</v>
      </c>
      <c r="Z1239" s="225" t="str">
        <f t="shared" si="151"/>
        <v/>
      </c>
      <c r="AA1239" s="225" t="e">
        <f t="shared" si="148"/>
        <v>#VALUE!</v>
      </c>
      <c r="AB1239" s="222">
        <f>IFERROR(SUMIFS('Comp2016-2017 (3)'!$G$5:$G$289,'Comp2016-2017 (3)'!$A$5:$A$289,A1239,'Comp2016-2017 (3)'!$R$5:$R$289,V1239)*AA1239/SUMIFS($AA$4:$AA$1858,$A$4:$A$1858,A1239,$V$4:$V$1858,V1239),0)</f>
        <v>0</v>
      </c>
      <c r="AC1239" s="222" t="str">
        <f>IF($W1239=AC$3,$AB1239,IF(NOT($W1239=0),"",SUMIFS('Val-Vol (2)'!AC$4:AC$1858,'Val-Vol (2)'!$A$4:$A$1858,$D1239,'Val-Vol (2)'!$V$4:$V$1858,$V1239)/SUMIFS('Comp2016-2017 (3)'!$G$5:$G$289,'Comp2016-2017 (3)'!$A$5:$A$289,$D1239,'Comp2016-2017 (3)'!$R$5:$R$289,$V1239)*$AB1239))</f>
        <v/>
      </c>
      <c r="AD1239" s="222" t="str">
        <f>IF($W1239=AD$3,$AB1239,IF(NOT($W1239=0),"",SUMIFS('Val-Vol (2)'!AD$4:AD$1858,'Val-Vol (2)'!$A$4:$A$1858,$D1239,'Val-Vol (2)'!$V$4:$V$1858,$V1239)/SUMIFS('Comp2016-2017 (3)'!$G$5:$G$289,'Comp2016-2017 (3)'!$A$5:$A$289,$D1239,'Comp2016-2017 (3)'!$R$5:$R$289,$V1239)*$AB1239))</f>
        <v/>
      </c>
      <c r="AE1239" s="222" t="str">
        <f>IF($W1239=AE$3,$AB1239,IF(NOT($W1239=0),"",SUMIFS('Val-Vol (2)'!AE$4:AE$1858,'Val-Vol (2)'!$A$4:$A$1858,$D1239,'Val-Vol (2)'!$V$4:$V$1858,$V1239)/SUMIFS('Comp2016-2017 (3)'!$G$5:$G$289,'Comp2016-2017 (3)'!$A$5:$A$289,$D1239,'Comp2016-2017 (3)'!$R$5:$R$289,$V1239)*$AB1239))</f>
        <v/>
      </c>
      <c r="AF1239" s="222" t="str">
        <f>IF($W1239=AF$3,$AB1239,IF(NOT($W1239=0),"",SUMIFS('Val-Vol (2)'!AF$4:AF$1858,'Val-Vol (2)'!$A$4:$A$1858,$D1239,'Val-Vol (2)'!$V$4:$V$1858,$V1239)/SUMIFS('Comp2016-2017 (3)'!$G$5:$G$289,'Comp2016-2017 (3)'!$A$5:$A$289,$D1239,'Comp2016-2017 (3)'!$R$5:$R$289,$V1239)*$AB1239))</f>
        <v/>
      </c>
      <c r="AG1239" s="222">
        <f>IF($W1239=AG$3,$AB1239,IF(NOT($W1239=0),"",SUMIFS('Val-Vol (2)'!AG$4:AG$1858,'Val-Vol (2)'!$A$4:$A$1858,$D1239,'Val-Vol (2)'!$V$4:$V$1858,$V1239)/SUMIFS('Comp2016-2017 (3)'!$G$5:$G$289,'Comp2016-2017 (3)'!$A$5:$A$289,$D1239,'Comp2016-2017 (3)'!$R$5:$R$289,$V1239)*$AB1239))</f>
        <v>0</v>
      </c>
      <c r="AH1239" s="222" t="str">
        <f>IF($W1239=AH$3,$AB1239,IF(NOT($W1239=0),"",SUMIFS('Val-Vol (2)'!AH$4:AH$1858,'Val-Vol (2)'!$A$4:$A$1858,$D1239,'Val-Vol (2)'!$V$4:$V$1858,$V1239)/SUMIFS('Comp2016-2017 (3)'!$G$5:$G$289,'Comp2016-2017 (3)'!$A$5:$A$289,$D1239,'Comp2016-2017 (3)'!$R$5:$R$289,$V1239)*$AB1239))</f>
        <v/>
      </c>
      <c r="AI1239" s="222" t="str">
        <f>IF($W1239=AI$3,$AB1239,IF(NOT($W1239=0),"",SUMIFS('Val-Vol (2)'!AI$4:AI$1858,'Val-Vol (2)'!$A$4:$A$1858,$D1239,'Val-Vol (2)'!$V$4:$V$1858,$V1239)/SUMIFS('Comp2016-2017 (3)'!$G$5:$G$289,'Comp2016-2017 (3)'!$A$5:$A$289,$D1239,'Comp2016-2017 (3)'!$R$5:$R$289,$V1239)*$AB1239))</f>
        <v/>
      </c>
      <c r="AJ1239" s="222" t="str">
        <f>IF($W1239=AJ$3,$AB1239,IF(NOT($W1239=0),"",SUMIFS('Val-Vol (2)'!AJ$4:AJ$1858,'Val-Vol (2)'!$A$4:$A$1858,$D1239,'Val-Vol (2)'!$V$4:$V$1858,$V1239)/SUMIFS('Comp2016-2017 (3)'!$G$5:$G$289,'Comp2016-2017 (3)'!$A$5:$A$289,$D1239,'Comp2016-2017 (3)'!$R$5:$R$289,$V1239)*$AB1239))</f>
        <v/>
      </c>
      <c r="AK1239" s="222">
        <f t="shared" si="149"/>
        <v>0</v>
      </c>
      <c r="AL1239" s="212" t="str">
        <f t="shared" si="150"/>
        <v/>
      </c>
      <c r="AM1239" s="212" t="str">
        <f>VLOOKUP(A1239,'Table corresp.'!$M$4:$U$63,8,FALSE)</f>
        <v>Production intermédiaire</v>
      </c>
      <c r="AN1239" s="212" t="str">
        <f>VLOOKUP(D1239,'Table corresp.'!$M$4:$U$63,9,FALSE)</f>
        <v>Production finale</v>
      </c>
    </row>
    <row r="1240" spans="1:40" x14ac:dyDescent="0.25">
      <c r="A1240" t="s">
        <v>7</v>
      </c>
      <c r="B1240" t="str">
        <f>VLOOKUP(LEFT(A1240,3),'Table corresp.'!$A$4:$D$63,3,FALSE)</f>
        <v>Transformation</v>
      </c>
      <c r="C1240" t="str">
        <f>VLOOKUP(A1240,'Table corresp.'!$M$4:$P$63,4,FALSE)</f>
        <v>Production et transformation de produits bois</v>
      </c>
      <c r="D1240" t="s">
        <v>18</v>
      </c>
      <c r="E1240" t="str">
        <f>VLOOKUP(LEFT(D1240,3),'Table corresp.'!$A$4:$D$63,4,FALSE)</f>
        <v>Transformation</v>
      </c>
      <c r="F1240" t="str">
        <f t="shared" si="152"/>
        <v xml:space="preserve">12  - 39 </v>
      </c>
      <c r="G1240" s="213">
        <v>1488.0963606142616</v>
      </c>
      <c r="H1240" s="213">
        <v>0</v>
      </c>
      <c r="I1240" s="213">
        <v>1488.0963606142614</v>
      </c>
      <c r="J1240" s="215">
        <v>18.869207749234995</v>
      </c>
      <c r="K1240" s="215">
        <v>0</v>
      </c>
      <c r="L1240" s="215">
        <v>18.869207749234995</v>
      </c>
      <c r="M1240" s="215"/>
      <c r="N1240" s="215"/>
      <c r="O1240" s="215"/>
      <c r="P1240" s="215"/>
      <c r="Q1240" s="215"/>
      <c r="R1240" s="215"/>
      <c r="S1240" s="213"/>
      <c r="T1240" s="212">
        <f>VLOOKUP(A1240,'Groupe de branches'!$Z$27:$AM$86,14,FALSE)</f>
        <v>0</v>
      </c>
      <c r="U1240" s="212">
        <f>VLOOKUP(D1240,'Groupe de branches'!$Z$27:$AM$86,14,FALSE)</f>
        <v>0</v>
      </c>
      <c r="V1240" s="212">
        <v>2019</v>
      </c>
      <c r="W1240" s="212" t="str">
        <f>VLOOKUP(D1240,'Table corresp.'!$M$4:$S$63,7,FALSE)</f>
        <v>Construction</v>
      </c>
      <c r="X1240" s="228">
        <f>IFERROR(G1240/SUMIFS('Comp2016-2017 (3)'!$I$5:$I$289,'Comp2016-2017 (3)'!$A$5:$A$289,A1240,'Comp2016-2017 (3)'!$R$5:$R$289,V1240),0)</f>
        <v>2.0884714350750738E-3</v>
      </c>
      <c r="Y1240" s="214" t="e">
        <f>IF(RIGHT(F1240,3)="Exp",VLOOKUP(F1240,#REF!,2,FALSE),VLOOKUP(F1240,#REF!,9,FALSE))</f>
        <v>#REF!</v>
      </c>
      <c r="Z1240" s="225" t="str">
        <f t="shared" si="151"/>
        <v/>
      </c>
      <c r="AA1240" s="225" t="e">
        <f t="shared" si="148"/>
        <v>#VALUE!</v>
      </c>
      <c r="AB1240" s="222">
        <f>IFERROR(SUMIFS('Comp2016-2017 (3)'!$G$5:$G$289,'Comp2016-2017 (3)'!$A$5:$A$289,A1240,'Comp2016-2017 (3)'!$R$5:$R$289,V1240)*AA1240/SUMIFS($AA$4:$AA$1858,$A$4:$A$1858,A1240,$V$4:$V$1858,V1240),0)</f>
        <v>0</v>
      </c>
      <c r="AC1240" s="222" t="str">
        <f>IF($W1240=AC$3,$AB1240,IF(NOT($W1240=0),"",SUMIFS('Val-Vol (2)'!AC$4:AC$1858,'Val-Vol (2)'!$A$4:$A$1858,$D1240,'Val-Vol (2)'!$V$4:$V$1858,$V1240)/SUMIFS('Comp2016-2017 (3)'!$G$5:$G$289,'Comp2016-2017 (3)'!$A$5:$A$289,$D1240,'Comp2016-2017 (3)'!$R$5:$R$289,$V1240)*$AB1240))</f>
        <v/>
      </c>
      <c r="AD1240" s="222">
        <f>IF($W1240=AD$3,$AB1240,IF(NOT($W1240=0),"",SUMIFS('Val-Vol (2)'!AD$4:AD$1858,'Val-Vol (2)'!$A$4:$A$1858,$D1240,'Val-Vol (2)'!$V$4:$V$1858,$V1240)/SUMIFS('Comp2016-2017 (3)'!$G$5:$G$289,'Comp2016-2017 (3)'!$A$5:$A$289,$D1240,'Comp2016-2017 (3)'!$R$5:$R$289,$V1240)*$AB1240))</f>
        <v>0</v>
      </c>
      <c r="AE1240" s="222" t="str">
        <f>IF($W1240=AE$3,$AB1240,IF(NOT($W1240=0),"",SUMIFS('Val-Vol (2)'!AE$4:AE$1858,'Val-Vol (2)'!$A$4:$A$1858,$D1240,'Val-Vol (2)'!$V$4:$V$1858,$V1240)/SUMIFS('Comp2016-2017 (3)'!$G$5:$G$289,'Comp2016-2017 (3)'!$A$5:$A$289,$D1240,'Comp2016-2017 (3)'!$R$5:$R$289,$V1240)*$AB1240))</f>
        <v/>
      </c>
      <c r="AF1240" s="222" t="str">
        <f>IF($W1240=AF$3,$AB1240,IF(NOT($W1240=0),"",SUMIFS('Val-Vol (2)'!AF$4:AF$1858,'Val-Vol (2)'!$A$4:$A$1858,$D1240,'Val-Vol (2)'!$V$4:$V$1858,$V1240)/SUMIFS('Comp2016-2017 (3)'!$G$5:$G$289,'Comp2016-2017 (3)'!$A$5:$A$289,$D1240,'Comp2016-2017 (3)'!$R$5:$R$289,$V1240)*$AB1240))</f>
        <v/>
      </c>
      <c r="AG1240" s="222" t="str">
        <f>IF($W1240=AG$3,$AB1240,IF(NOT($W1240=0),"",SUMIFS('Val-Vol (2)'!AG$4:AG$1858,'Val-Vol (2)'!$A$4:$A$1858,$D1240,'Val-Vol (2)'!$V$4:$V$1858,$V1240)/SUMIFS('Comp2016-2017 (3)'!$G$5:$G$289,'Comp2016-2017 (3)'!$A$5:$A$289,$D1240,'Comp2016-2017 (3)'!$R$5:$R$289,$V1240)*$AB1240))</f>
        <v/>
      </c>
      <c r="AH1240" s="222" t="str">
        <f>IF($W1240=AH$3,$AB1240,IF(NOT($W1240=0),"",SUMIFS('Val-Vol (2)'!AH$4:AH$1858,'Val-Vol (2)'!$A$4:$A$1858,$D1240,'Val-Vol (2)'!$V$4:$V$1858,$V1240)/SUMIFS('Comp2016-2017 (3)'!$G$5:$G$289,'Comp2016-2017 (3)'!$A$5:$A$289,$D1240,'Comp2016-2017 (3)'!$R$5:$R$289,$V1240)*$AB1240))</f>
        <v/>
      </c>
      <c r="AI1240" s="222" t="str">
        <f>IF($W1240=AI$3,$AB1240,IF(NOT($W1240=0),"",SUMIFS('Val-Vol (2)'!AI$4:AI$1858,'Val-Vol (2)'!$A$4:$A$1858,$D1240,'Val-Vol (2)'!$V$4:$V$1858,$V1240)/SUMIFS('Comp2016-2017 (3)'!$G$5:$G$289,'Comp2016-2017 (3)'!$A$5:$A$289,$D1240,'Comp2016-2017 (3)'!$R$5:$R$289,$V1240)*$AB1240))</f>
        <v/>
      </c>
      <c r="AJ1240" s="222" t="str">
        <f>IF($W1240=AJ$3,$AB1240,IF(NOT($W1240=0),"",SUMIFS('Val-Vol (2)'!AJ$4:AJ$1858,'Val-Vol (2)'!$A$4:$A$1858,$D1240,'Val-Vol (2)'!$V$4:$V$1858,$V1240)/SUMIFS('Comp2016-2017 (3)'!$G$5:$G$289,'Comp2016-2017 (3)'!$A$5:$A$289,$D1240,'Comp2016-2017 (3)'!$R$5:$R$289,$V1240)*$AB1240))</f>
        <v/>
      </c>
      <c r="AK1240" s="222">
        <f t="shared" si="149"/>
        <v>0</v>
      </c>
      <c r="AL1240" s="212" t="str">
        <f t="shared" si="150"/>
        <v/>
      </c>
      <c r="AM1240" s="212" t="str">
        <f>VLOOKUP(A1240,'Table corresp.'!$M$4:$U$63,8,FALSE)</f>
        <v>Production intermédiaire</v>
      </c>
      <c r="AN1240" s="212" t="str">
        <f>VLOOKUP(D1240,'Table corresp.'!$M$4:$U$63,9,FALSE)</f>
        <v>Production finale</v>
      </c>
    </row>
    <row r="1241" spans="1:40" x14ac:dyDescent="0.25">
      <c r="A1241" t="s">
        <v>7</v>
      </c>
      <c r="B1241" t="str">
        <f>VLOOKUP(LEFT(A1241,3),'Table corresp.'!$A$4:$D$63,3,FALSE)</f>
        <v>Transformation</v>
      </c>
      <c r="C1241" t="str">
        <f>VLOOKUP(A1241,'Table corresp.'!$M$4:$P$63,4,FALSE)</f>
        <v>Production et transformation de produits bois</v>
      </c>
      <c r="D1241" t="s">
        <v>92</v>
      </c>
      <c r="E1241" t="str">
        <f>VLOOKUP(LEFT(D1241,3),'Table corresp.'!$A$4:$D$63,4,FALSE)</f>
        <v>Transformation</v>
      </c>
      <c r="F1241" t="str">
        <f t="shared" si="152"/>
        <v xml:space="preserve">12  - 40 </v>
      </c>
      <c r="G1241" s="213">
        <v>569.57367001279158</v>
      </c>
      <c r="H1241" s="213">
        <v>0</v>
      </c>
      <c r="I1241" s="213">
        <v>569.57367001279147</v>
      </c>
      <c r="J1241" s="215">
        <v>5.0555749847210576</v>
      </c>
      <c r="K1241" s="215">
        <v>0</v>
      </c>
      <c r="L1241" s="215">
        <v>5.0555749847210576</v>
      </c>
      <c r="M1241" s="215"/>
      <c r="N1241" s="215"/>
      <c r="O1241" s="215"/>
      <c r="P1241" s="215"/>
      <c r="Q1241" s="215"/>
      <c r="R1241" s="215"/>
      <c r="S1241" s="213"/>
      <c r="T1241" s="212">
        <f>VLOOKUP(A1241,'Groupe de branches'!$Z$27:$AM$86,14,FALSE)</f>
        <v>0</v>
      </c>
      <c r="U1241" s="212">
        <f>VLOOKUP(D1241,'Groupe de branches'!$Z$27:$AM$86,14,FALSE)</f>
        <v>0</v>
      </c>
      <c r="V1241" s="212">
        <v>2019</v>
      </c>
      <c r="W1241" s="212" t="str">
        <f>VLOOKUP(D1241,'Table corresp.'!$M$4:$S$63,7,FALSE)</f>
        <v>Construction</v>
      </c>
      <c r="X1241" s="228">
        <f>IFERROR(G1241/SUMIFS('Comp2016-2017 (3)'!$I$5:$I$289,'Comp2016-2017 (3)'!$A$5:$A$289,A1241,'Comp2016-2017 (3)'!$R$5:$R$289,V1241),0)</f>
        <v>7.9936916148465645E-4</v>
      </c>
      <c r="Y1241" s="214" t="e">
        <f>IF(RIGHT(F1241,3)="Exp",VLOOKUP(F1241,#REF!,2,FALSE),VLOOKUP(F1241,#REF!,9,FALSE))</f>
        <v>#REF!</v>
      </c>
      <c r="Z1241" s="225" t="str">
        <f t="shared" si="151"/>
        <v/>
      </c>
      <c r="AA1241" s="225" t="e">
        <f t="shared" si="148"/>
        <v>#VALUE!</v>
      </c>
      <c r="AB1241" s="222">
        <f>IFERROR(SUMIFS('Comp2016-2017 (3)'!$G$5:$G$289,'Comp2016-2017 (3)'!$A$5:$A$289,A1241,'Comp2016-2017 (3)'!$R$5:$R$289,V1241)*AA1241/SUMIFS($AA$4:$AA$1858,$A$4:$A$1858,A1241,$V$4:$V$1858,V1241),0)</f>
        <v>0</v>
      </c>
      <c r="AC1241" s="222" t="str">
        <f>IF($W1241=AC$3,$AB1241,IF(NOT($W1241=0),"",SUMIFS('Val-Vol (2)'!AC$4:AC$1858,'Val-Vol (2)'!$A$4:$A$1858,$D1241,'Val-Vol (2)'!$V$4:$V$1858,$V1241)/SUMIFS('Comp2016-2017 (3)'!$G$5:$G$289,'Comp2016-2017 (3)'!$A$5:$A$289,$D1241,'Comp2016-2017 (3)'!$R$5:$R$289,$V1241)*$AB1241))</f>
        <v/>
      </c>
      <c r="AD1241" s="222">
        <f>IF($W1241=AD$3,$AB1241,IF(NOT($W1241=0),"",SUMIFS('Val-Vol (2)'!AD$4:AD$1858,'Val-Vol (2)'!$A$4:$A$1858,$D1241,'Val-Vol (2)'!$V$4:$V$1858,$V1241)/SUMIFS('Comp2016-2017 (3)'!$G$5:$G$289,'Comp2016-2017 (3)'!$A$5:$A$289,$D1241,'Comp2016-2017 (3)'!$R$5:$R$289,$V1241)*$AB1241))</f>
        <v>0</v>
      </c>
      <c r="AE1241" s="222" t="str">
        <f>IF($W1241=AE$3,$AB1241,IF(NOT($W1241=0),"",SUMIFS('Val-Vol (2)'!AE$4:AE$1858,'Val-Vol (2)'!$A$4:$A$1858,$D1241,'Val-Vol (2)'!$V$4:$V$1858,$V1241)/SUMIFS('Comp2016-2017 (3)'!$G$5:$G$289,'Comp2016-2017 (3)'!$A$5:$A$289,$D1241,'Comp2016-2017 (3)'!$R$5:$R$289,$V1241)*$AB1241))</f>
        <v/>
      </c>
      <c r="AF1241" s="222" t="str">
        <f>IF($W1241=AF$3,$AB1241,IF(NOT($W1241=0),"",SUMIFS('Val-Vol (2)'!AF$4:AF$1858,'Val-Vol (2)'!$A$4:$A$1858,$D1241,'Val-Vol (2)'!$V$4:$V$1858,$V1241)/SUMIFS('Comp2016-2017 (3)'!$G$5:$G$289,'Comp2016-2017 (3)'!$A$5:$A$289,$D1241,'Comp2016-2017 (3)'!$R$5:$R$289,$V1241)*$AB1241))</f>
        <v/>
      </c>
      <c r="AG1241" s="222" t="str">
        <f>IF($W1241=AG$3,$AB1241,IF(NOT($W1241=0),"",SUMIFS('Val-Vol (2)'!AG$4:AG$1858,'Val-Vol (2)'!$A$4:$A$1858,$D1241,'Val-Vol (2)'!$V$4:$V$1858,$V1241)/SUMIFS('Comp2016-2017 (3)'!$G$5:$G$289,'Comp2016-2017 (3)'!$A$5:$A$289,$D1241,'Comp2016-2017 (3)'!$R$5:$R$289,$V1241)*$AB1241))</f>
        <v/>
      </c>
      <c r="AH1241" s="222" t="str">
        <f>IF($W1241=AH$3,$AB1241,IF(NOT($W1241=0),"",SUMIFS('Val-Vol (2)'!AH$4:AH$1858,'Val-Vol (2)'!$A$4:$A$1858,$D1241,'Val-Vol (2)'!$V$4:$V$1858,$V1241)/SUMIFS('Comp2016-2017 (3)'!$G$5:$G$289,'Comp2016-2017 (3)'!$A$5:$A$289,$D1241,'Comp2016-2017 (3)'!$R$5:$R$289,$V1241)*$AB1241))</f>
        <v/>
      </c>
      <c r="AI1241" s="222" t="str">
        <f>IF($W1241=AI$3,$AB1241,IF(NOT($W1241=0),"",SUMIFS('Val-Vol (2)'!AI$4:AI$1858,'Val-Vol (2)'!$A$4:$A$1858,$D1241,'Val-Vol (2)'!$V$4:$V$1858,$V1241)/SUMIFS('Comp2016-2017 (3)'!$G$5:$G$289,'Comp2016-2017 (3)'!$A$5:$A$289,$D1241,'Comp2016-2017 (3)'!$R$5:$R$289,$V1241)*$AB1241))</f>
        <v/>
      </c>
      <c r="AJ1241" s="222" t="str">
        <f>IF($W1241=AJ$3,$AB1241,IF(NOT($W1241=0),"",SUMIFS('Val-Vol (2)'!AJ$4:AJ$1858,'Val-Vol (2)'!$A$4:$A$1858,$D1241,'Val-Vol (2)'!$V$4:$V$1858,$V1241)/SUMIFS('Comp2016-2017 (3)'!$G$5:$G$289,'Comp2016-2017 (3)'!$A$5:$A$289,$D1241,'Comp2016-2017 (3)'!$R$5:$R$289,$V1241)*$AB1241))</f>
        <v/>
      </c>
      <c r="AK1241" s="222">
        <f t="shared" si="149"/>
        <v>0</v>
      </c>
      <c r="AL1241" s="212" t="str">
        <f t="shared" si="150"/>
        <v/>
      </c>
      <c r="AM1241" s="212" t="str">
        <f>VLOOKUP(A1241,'Table corresp.'!$M$4:$U$63,8,FALSE)</f>
        <v>Production intermédiaire</v>
      </c>
      <c r="AN1241" s="212" t="str">
        <f>VLOOKUP(D1241,'Table corresp.'!$M$4:$U$63,9,FALSE)</f>
        <v>Production finale</v>
      </c>
    </row>
    <row r="1242" spans="1:40" x14ac:dyDescent="0.25">
      <c r="A1242" t="s">
        <v>7</v>
      </c>
      <c r="B1242" t="str">
        <f>VLOOKUP(LEFT(A1242,3),'Table corresp.'!$A$4:$D$63,3,FALSE)</f>
        <v>Transformation</v>
      </c>
      <c r="C1242" t="str">
        <f>VLOOKUP(A1242,'Table corresp.'!$M$4:$P$63,4,FALSE)</f>
        <v>Production et transformation de produits bois</v>
      </c>
      <c r="D1242" t="s">
        <v>93</v>
      </c>
      <c r="E1242" t="str">
        <f>VLOOKUP(LEFT(D1242,3),'Table corresp.'!$A$4:$D$63,4,FALSE)</f>
        <v>Transformation</v>
      </c>
      <c r="F1242" t="str">
        <f t="shared" si="152"/>
        <v xml:space="preserve">12  - 41 </v>
      </c>
      <c r="G1242" s="213">
        <v>14472.746137767432</v>
      </c>
      <c r="H1242" s="213">
        <v>0</v>
      </c>
      <c r="I1242" s="213">
        <v>14472.74613776743</v>
      </c>
      <c r="J1242" s="215">
        <v>102.76887038359358</v>
      </c>
      <c r="K1242" s="215">
        <v>0</v>
      </c>
      <c r="L1242" s="215">
        <v>102.76887038359358</v>
      </c>
      <c r="M1242" s="215"/>
      <c r="N1242" s="215"/>
      <c r="O1242" s="215"/>
      <c r="P1242" s="215"/>
      <c r="Q1242" s="215"/>
      <c r="R1242" s="215"/>
      <c r="S1242" s="213"/>
      <c r="T1242" s="212">
        <f>VLOOKUP(A1242,'Groupe de branches'!$Z$27:$AM$86,14,FALSE)</f>
        <v>0</v>
      </c>
      <c r="U1242" s="212">
        <f>VLOOKUP(D1242,'Groupe de branches'!$Z$27:$AM$86,14,FALSE)</f>
        <v>0</v>
      </c>
      <c r="V1242" s="212">
        <v>2019</v>
      </c>
      <c r="W1242" s="212" t="str">
        <f>VLOOKUP(D1242,'Table corresp.'!$M$4:$S$63,7,FALSE)</f>
        <v>Produits de consommation courante</v>
      </c>
      <c r="X1242" s="228">
        <f>IFERROR(G1242/SUMIFS('Comp2016-2017 (3)'!$I$5:$I$289,'Comp2016-2017 (3)'!$A$5:$A$289,A1242,'Comp2016-2017 (3)'!$R$5:$R$289,V1242),0)</f>
        <v>2.031180083213403E-2</v>
      </c>
      <c r="Y1242" s="214" t="e">
        <f>IF(RIGHT(F1242,3)="Exp",VLOOKUP(F1242,#REF!,2,FALSE),VLOOKUP(F1242,#REF!,9,FALSE))</f>
        <v>#REF!</v>
      </c>
      <c r="Z1242" s="225" t="str">
        <f t="shared" si="151"/>
        <v/>
      </c>
      <c r="AA1242" s="225" t="e">
        <f t="shared" si="148"/>
        <v>#VALUE!</v>
      </c>
      <c r="AB1242" s="222">
        <f>IFERROR(SUMIFS('Comp2016-2017 (3)'!$G$5:$G$289,'Comp2016-2017 (3)'!$A$5:$A$289,A1242,'Comp2016-2017 (3)'!$R$5:$R$289,V1242)*AA1242/SUMIFS($AA$4:$AA$1858,$A$4:$A$1858,A1242,$V$4:$V$1858,V1242),0)</f>
        <v>0</v>
      </c>
      <c r="AC1242" s="222" t="str">
        <f>IF($W1242=AC$3,$AB1242,IF(NOT($W1242=0),"",SUMIFS('Val-Vol (2)'!AC$4:AC$1858,'Val-Vol (2)'!$A$4:$A$1858,$D1242,'Val-Vol (2)'!$V$4:$V$1858,$V1242)/SUMIFS('Comp2016-2017 (3)'!$G$5:$G$289,'Comp2016-2017 (3)'!$A$5:$A$289,$D1242,'Comp2016-2017 (3)'!$R$5:$R$289,$V1242)*$AB1242))</f>
        <v/>
      </c>
      <c r="AD1242" s="222" t="str">
        <f>IF($W1242=AD$3,$AB1242,IF(NOT($W1242=0),"",SUMIFS('Val-Vol (2)'!AD$4:AD$1858,'Val-Vol (2)'!$A$4:$A$1858,$D1242,'Val-Vol (2)'!$V$4:$V$1858,$V1242)/SUMIFS('Comp2016-2017 (3)'!$G$5:$G$289,'Comp2016-2017 (3)'!$A$5:$A$289,$D1242,'Comp2016-2017 (3)'!$R$5:$R$289,$V1242)*$AB1242))</f>
        <v/>
      </c>
      <c r="AE1242" s="222" t="str">
        <f>IF($W1242=AE$3,$AB1242,IF(NOT($W1242=0),"",SUMIFS('Val-Vol (2)'!AE$4:AE$1858,'Val-Vol (2)'!$A$4:$A$1858,$D1242,'Val-Vol (2)'!$V$4:$V$1858,$V1242)/SUMIFS('Comp2016-2017 (3)'!$G$5:$G$289,'Comp2016-2017 (3)'!$A$5:$A$289,$D1242,'Comp2016-2017 (3)'!$R$5:$R$289,$V1242)*$AB1242))</f>
        <v/>
      </c>
      <c r="AF1242" s="222" t="str">
        <f>IF($W1242=AF$3,$AB1242,IF(NOT($W1242=0),"",SUMIFS('Val-Vol (2)'!AF$4:AF$1858,'Val-Vol (2)'!$A$4:$A$1858,$D1242,'Val-Vol (2)'!$V$4:$V$1858,$V1242)/SUMIFS('Comp2016-2017 (3)'!$G$5:$G$289,'Comp2016-2017 (3)'!$A$5:$A$289,$D1242,'Comp2016-2017 (3)'!$R$5:$R$289,$V1242)*$AB1242))</f>
        <v/>
      </c>
      <c r="AG1242" s="222" t="str">
        <f>IF($W1242=AG$3,$AB1242,IF(NOT($W1242=0),"",SUMIFS('Val-Vol (2)'!AG$4:AG$1858,'Val-Vol (2)'!$A$4:$A$1858,$D1242,'Val-Vol (2)'!$V$4:$V$1858,$V1242)/SUMIFS('Comp2016-2017 (3)'!$G$5:$G$289,'Comp2016-2017 (3)'!$A$5:$A$289,$D1242,'Comp2016-2017 (3)'!$R$5:$R$289,$V1242)*$AB1242))</f>
        <v/>
      </c>
      <c r="AH1242" s="222" t="str">
        <f>IF($W1242=AH$3,$AB1242,IF(NOT($W1242=0),"",SUMIFS('Val-Vol (2)'!AH$4:AH$1858,'Val-Vol (2)'!$A$4:$A$1858,$D1242,'Val-Vol (2)'!$V$4:$V$1858,$V1242)/SUMIFS('Comp2016-2017 (3)'!$G$5:$G$289,'Comp2016-2017 (3)'!$A$5:$A$289,$D1242,'Comp2016-2017 (3)'!$R$5:$R$289,$V1242)*$AB1242))</f>
        <v/>
      </c>
      <c r="AI1242" s="222">
        <f>IF($W1242=AI$3,$AB1242,IF(NOT($W1242=0),"",SUMIFS('Val-Vol (2)'!AI$4:AI$1858,'Val-Vol (2)'!$A$4:$A$1858,$D1242,'Val-Vol (2)'!$V$4:$V$1858,$V1242)/SUMIFS('Comp2016-2017 (3)'!$G$5:$G$289,'Comp2016-2017 (3)'!$A$5:$A$289,$D1242,'Comp2016-2017 (3)'!$R$5:$R$289,$V1242)*$AB1242))</f>
        <v>0</v>
      </c>
      <c r="AJ1242" s="222" t="str">
        <f>IF($W1242=AJ$3,$AB1242,IF(NOT($W1242=0),"",SUMIFS('Val-Vol (2)'!AJ$4:AJ$1858,'Val-Vol (2)'!$A$4:$A$1858,$D1242,'Val-Vol (2)'!$V$4:$V$1858,$V1242)/SUMIFS('Comp2016-2017 (3)'!$G$5:$G$289,'Comp2016-2017 (3)'!$A$5:$A$289,$D1242,'Comp2016-2017 (3)'!$R$5:$R$289,$V1242)*$AB1242))</f>
        <v/>
      </c>
      <c r="AK1242" s="222">
        <f t="shared" si="149"/>
        <v>0</v>
      </c>
      <c r="AL1242" s="212" t="str">
        <f t="shared" si="150"/>
        <v/>
      </c>
      <c r="AM1242" s="212" t="str">
        <f>VLOOKUP(A1242,'Table corresp.'!$M$4:$U$63,8,FALSE)</f>
        <v>Production intermédiaire</v>
      </c>
      <c r="AN1242" s="212" t="str">
        <f>VLOOKUP(D1242,'Table corresp.'!$M$4:$U$63,9,FALSE)</f>
        <v>Production finale</v>
      </c>
    </row>
    <row r="1243" spans="1:40" x14ac:dyDescent="0.25">
      <c r="A1243" t="s">
        <v>7</v>
      </c>
      <c r="B1243" t="str">
        <f>VLOOKUP(LEFT(A1243,3),'Table corresp.'!$A$4:$D$63,3,FALSE)</f>
        <v>Transformation</v>
      </c>
      <c r="C1243" t="str">
        <f>VLOOKUP(A1243,'Table corresp.'!$M$4:$P$63,4,FALSE)</f>
        <v>Production et transformation de produits bois</v>
      </c>
      <c r="D1243" t="s">
        <v>99</v>
      </c>
      <c r="E1243" t="str">
        <f>VLOOKUP(LEFT(D1243,3),'Table corresp.'!$A$4:$D$63,4,FALSE)</f>
        <v>Transformation</v>
      </c>
      <c r="F1243" t="str">
        <f t="shared" si="152"/>
        <v xml:space="preserve">12  - 47 </v>
      </c>
      <c r="G1243" s="213">
        <v>10776.921464894764</v>
      </c>
      <c r="H1243" s="213">
        <v>7654.3357294129964</v>
      </c>
      <c r="I1243" s="213">
        <v>18431.257194307756</v>
      </c>
      <c r="J1243" s="215">
        <v>63.771129693081704</v>
      </c>
      <c r="K1243" s="215">
        <v>47.921003589734553</v>
      </c>
      <c r="L1243" s="215">
        <v>111.69213328281626</v>
      </c>
      <c r="M1243" s="215"/>
      <c r="N1243" s="215"/>
      <c r="O1243" s="215"/>
      <c r="P1243" s="215"/>
      <c r="Q1243" s="215"/>
      <c r="R1243" s="215"/>
      <c r="S1243" s="213"/>
      <c r="T1243" s="212">
        <f>VLOOKUP(A1243,'Groupe de branches'!$Z$27:$AM$86,14,FALSE)</f>
        <v>0</v>
      </c>
      <c r="U1243" s="212">
        <f>VLOOKUP(D1243,'Groupe de branches'!$Z$27:$AM$86,14,FALSE)</f>
        <v>0</v>
      </c>
      <c r="V1243" s="212">
        <v>2019</v>
      </c>
      <c r="W1243" s="212" t="str">
        <f>VLOOKUP(D1243,'Table corresp.'!$M$4:$S$63,7,FALSE)</f>
        <v>Meuble</v>
      </c>
      <c r="X1243" s="228">
        <f>IFERROR(G1243/SUMIFS('Comp2016-2017 (3)'!$I$5:$I$289,'Comp2016-2017 (3)'!$A$5:$A$289,A1243,'Comp2016-2017 (3)'!$R$5:$R$289,V1243),0)</f>
        <v>1.5124889243186841E-2</v>
      </c>
      <c r="Y1243" s="214" t="e">
        <f>IF(RIGHT(F1243,3)="Exp",VLOOKUP(F1243,#REF!,2,FALSE),VLOOKUP(F1243,#REF!,9,FALSE))</f>
        <v>#REF!</v>
      </c>
      <c r="Z1243" s="225" t="str">
        <f t="shared" si="151"/>
        <v/>
      </c>
      <c r="AA1243" s="225" t="e">
        <f t="shared" si="148"/>
        <v>#VALUE!</v>
      </c>
      <c r="AB1243" s="222">
        <f>IFERROR(SUMIFS('Comp2016-2017 (3)'!$G$5:$G$289,'Comp2016-2017 (3)'!$A$5:$A$289,A1243,'Comp2016-2017 (3)'!$R$5:$R$289,V1243)*AA1243/SUMIFS($AA$4:$AA$1858,$A$4:$A$1858,A1243,$V$4:$V$1858,V1243),0)</f>
        <v>0</v>
      </c>
      <c r="AC1243" s="222" t="str">
        <f>IF($W1243=AC$3,$AB1243,IF(NOT($W1243=0),"",SUMIFS('Val-Vol (2)'!AC$4:AC$1858,'Val-Vol (2)'!$A$4:$A$1858,$D1243,'Val-Vol (2)'!$V$4:$V$1858,$V1243)/SUMIFS('Comp2016-2017 (3)'!$G$5:$G$289,'Comp2016-2017 (3)'!$A$5:$A$289,$D1243,'Comp2016-2017 (3)'!$R$5:$R$289,$V1243)*$AB1243))</f>
        <v/>
      </c>
      <c r="AD1243" s="222" t="str">
        <f>IF($W1243=AD$3,$AB1243,IF(NOT($W1243=0),"",SUMIFS('Val-Vol (2)'!AD$4:AD$1858,'Val-Vol (2)'!$A$4:$A$1858,$D1243,'Val-Vol (2)'!$V$4:$V$1858,$V1243)/SUMIFS('Comp2016-2017 (3)'!$G$5:$G$289,'Comp2016-2017 (3)'!$A$5:$A$289,$D1243,'Comp2016-2017 (3)'!$R$5:$R$289,$V1243)*$AB1243))</f>
        <v/>
      </c>
      <c r="AE1243" s="222">
        <f>IF($W1243=AE$3,$AB1243,IF(NOT($W1243=0),"",SUMIFS('Val-Vol (2)'!AE$4:AE$1858,'Val-Vol (2)'!$A$4:$A$1858,$D1243,'Val-Vol (2)'!$V$4:$V$1858,$V1243)/SUMIFS('Comp2016-2017 (3)'!$G$5:$G$289,'Comp2016-2017 (3)'!$A$5:$A$289,$D1243,'Comp2016-2017 (3)'!$R$5:$R$289,$V1243)*$AB1243))</f>
        <v>0</v>
      </c>
      <c r="AF1243" s="222" t="str">
        <f>IF($W1243=AF$3,$AB1243,IF(NOT($W1243=0),"",SUMIFS('Val-Vol (2)'!AF$4:AF$1858,'Val-Vol (2)'!$A$4:$A$1858,$D1243,'Val-Vol (2)'!$V$4:$V$1858,$V1243)/SUMIFS('Comp2016-2017 (3)'!$G$5:$G$289,'Comp2016-2017 (3)'!$A$5:$A$289,$D1243,'Comp2016-2017 (3)'!$R$5:$R$289,$V1243)*$AB1243))</f>
        <v/>
      </c>
      <c r="AG1243" s="222" t="str">
        <f>IF($W1243=AG$3,$AB1243,IF(NOT($W1243=0),"",SUMIFS('Val-Vol (2)'!AG$4:AG$1858,'Val-Vol (2)'!$A$4:$A$1858,$D1243,'Val-Vol (2)'!$V$4:$V$1858,$V1243)/SUMIFS('Comp2016-2017 (3)'!$G$5:$G$289,'Comp2016-2017 (3)'!$A$5:$A$289,$D1243,'Comp2016-2017 (3)'!$R$5:$R$289,$V1243)*$AB1243))</f>
        <v/>
      </c>
      <c r="AH1243" s="222" t="str">
        <f>IF($W1243=AH$3,$AB1243,IF(NOT($W1243=0),"",SUMIFS('Val-Vol (2)'!AH$4:AH$1858,'Val-Vol (2)'!$A$4:$A$1858,$D1243,'Val-Vol (2)'!$V$4:$V$1858,$V1243)/SUMIFS('Comp2016-2017 (3)'!$G$5:$G$289,'Comp2016-2017 (3)'!$A$5:$A$289,$D1243,'Comp2016-2017 (3)'!$R$5:$R$289,$V1243)*$AB1243))</f>
        <v/>
      </c>
      <c r="AI1243" s="222" t="str">
        <f>IF($W1243=AI$3,$AB1243,IF(NOT($W1243=0),"",SUMIFS('Val-Vol (2)'!AI$4:AI$1858,'Val-Vol (2)'!$A$4:$A$1858,$D1243,'Val-Vol (2)'!$V$4:$V$1858,$V1243)/SUMIFS('Comp2016-2017 (3)'!$G$5:$G$289,'Comp2016-2017 (3)'!$A$5:$A$289,$D1243,'Comp2016-2017 (3)'!$R$5:$R$289,$V1243)*$AB1243))</f>
        <v/>
      </c>
      <c r="AJ1243" s="222" t="str">
        <f>IF($W1243=AJ$3,$AB1243,IF(NOT($W1243=0),"",SUMIFS('Val-Vol (2)'!AJ$4:AJ$1858,'Val-Vol (2)'!$A$4:$A$1858,$D1243,'Val-Vol (2)'!$V$4:$V$1858,$V1243)/SUMIFS('Comp2016-2017 (3)'!$G$5:$G$289,'Comp2016-2017 (3)'!$A$5:$A$289,$D1243,'Comp2016-2017 (3)'!$R$5:$R$289,$V1243)*$AB1243))</f>
        <v/>
      </c>
      <c r="AK1243" s="222">
        <f t="shared" si="149"/>
        <v>0</v>
      </c>
      <c r="AL1243" s="212" t="str">
        <f t="shared" si="150"/>
        <v/>
      </c>
      <c r="AM1243" s="212" t="str">
        <f>VLOOKUP(A1243,'Table corresp.'!$M$4:$U$63,8,FALSE)</f>
        <v>Production intermédiaire</v>
      </c>
      <c r="AN1243" s="212" t="str">
        <f>VLOOKUP(D1243,'Table corresp.'!$M$4:$U$63,9,FALSE)</f>
        <v>Production finale</v>
      </c>
    </row>
    <row r="1244" spans="1:40" x14ac:dyDescent="0.25">
      <c r="A1244" t="s">
        <v>7</v>
      </c>
      <c r="B1244" t="str">
        <f>VLOOKUP(LEFT(A1244,3),'Table corresp.'!$A$4:$D$63,3,FALSE)</f>
        <v>Transformation</v>
      </c>
      <c r="C1244" t="str">
        <f>VLOOKUP(A1244,'Table corresp.'!$M$4:$P$63,4,FALSE)</f>
        <v>Production et transformation de produits bois</v>
      </c>
      <c r="D1244" t="s">
        <v>100</v>
      </c>
      <c r="E1244" t="str">
        <f>VLOOKUP(LEFT(D1244,3),'Table corresp.'!$A$4:$D$63,4,FALSE)</f>
        <v>Transformation</v>
      </c>
      <c r="F1244" t="str">
        <f t="shared" si="152"/>
        <v xml:space="preserve">12  - 48 </v>
      </c>
      <c r="G1244" s="213">
        <v>6792.2555824028714</v>
      </c>
      <c r="H1244" s="213">
        <v>0</v>
      </c>
      <c r="I1244" s="213">
        <v>6792.2555824028705</v>
      </c>
      <c r="J1244" s="215">
        <v>30.144263350039274</v>
      </c>
      <c r="K1244" s="215">
        <v>0</v>
      </c>
      <c r="L1244" s="215">
        <v>30.144263350039274</v>
      </c>
      <c r="M1244" s="215"/>
      <c r="N1244" s="215"/>
      <c r="O1244" s="215"/>
      <c r="P1244" s="215"/>
      <c r="Q1244" s="215"/>
      <c r="R1244" s="215"/>
      <c r="S1244" s="213"/>
      <c r="T1244" s="212">
        <f>VLOOKUP(A1244,'Groupe de branches'!$Z$27:$AM$86,14,FALSE)</f>
        <v>0</v>
      </c>
      <c r="U1244" s="212">
        <f>VLOOKUP(D1244,'Groupe de branches'!$Z$27:$AM$86,14,FALSE)</f>
        <v>0</v>
      </c>
      <c r="V1244" s="212">
        <v>2019</v>
      </c>
      <c r="W1244" s="212" t="str">
        <f>VLOOKUP(D1244,'Table corresp.'!$M$4:$S$63,7,FALSE)</f>
        <v>Produits de consommation courante</v>
      </c>
      <c r="X1244" s="228">
        <f>IFERROR(G1244/SUMIFS('Comp2016-2017 (3)'!$I$5:$I$289,'Comp2016-2017 (3)'!$A$5:$A$289,A1244,'Comp2016-2017 (3)'!$R$5:$R$289,V1244),0)</f>
        <v>9.5326029543692271E-3</v>
      </c>
      <c r="Y1244" s="214" t="e">
        <f>IF(RIGHT(F1244,3)="Exp",VLOOKUP(F1244,#REF!,2,FALSE),VLOOKUP(F1244,#REF!,9,FALSE))</f>
        <v>#REF!</v>
      </c>
      <c r="Z1244" s="225" t="str">
        <f t="shared" si="151"/>
        <v/>
      </c>
      <c r="AA1244" s="225" t="e">
        <f t="shared" si="148"/>
        <v>#VALUE!</v>
      </c>
      <c r="AB1244" s="222">
        <f>IFERROR(SUMIFS('Comp2016-2017 (3)'!$G$5:$G$289,'Comp2016-2017 (3)'!$A$5:$A$289,A1244,'Comp2016-2017 (3)'!$R$5:$R$289,V1244)*AA1244/SUMIFS($AA$4:$AA$1858,$A$4:$A$1858,A1244,$V$4:$V$1858,V1244),0)</f>
        <v>0</v>
      </c>
      <c r="AC1244" s="222" t="str">
        <f>IF($W1244=AC$3,$AB1244,IF(NOT($W1244=0),"",SUMIFS('Val-Vol (2)'!AC$4:AC$1858,'Val-Vol (2)'!$A$4:$A$1858,$D1244,'Val-Vol (2)'!$V$4:$V$1858,$V1244)/SUMIFS('Comp2016-2017 (3)'!$G$5:$G$289,'Comp2016-2017 (3)'!$A$5:$A$289,$D1244,'Comp2016-2017 (3)'!$R$5:$R$289,$V1244)*$AB1244))</f>
        <v/>
      </c>
      <c r="AD1244" s="222" t="str">
        <f>IF($W1244=AD$3,$AB1244,IF(NOT($W1244=0),"",SUMIFS('Val-Vol (2)'!AD$4:AD$1858,'Val-Vol (2)'!$A$4:$A$1858,$D1244,'Val-Vol (2)'!$V$4:$V$1858,$V1244)/SUMIFS('Comp2016-2017 (3)'!$G$5:$G$289,'Comp2016-2017 (3)'!$A$5:$A$289,$D1244,'Comp2016-2017 (3)'!$R$5:$R$289,$V1244)*$AB1244))</f>
        <v/>
      </c>
      <c r="AE1244" s="222" t="str">
        <f>IF($W1244=AE$3,$AB1244,IF(NOT($W1244=0),"",SUMIFS('Val-Vol (2)'!AE$4:AE$1858,'Val-Vol (2)'!$A$4:$A$1858,$D1244,'Val-Vol (2)'!$V$4:$V$1858,$V1244)/SUMIFS('Comp2016-2017 (3)'!$G$5:$G$289,'Comp2016-2017 (3)'!$A$5:$A$289,$D1244,'Comp2016-2017 (3)'!$R$5:$R$289,$V1244)*$AB1244))</f>
        <v/>
      </c>
      <c r="AF1244" s="222" t="str">
        <f>IF($W1244=AF$3,$AB1244,IF(NOT($W1244=0),"",SUMIFS('Val-Vol (2)'!AF$4:AF$1858,'Val-Vol (2)'!$A$4:$A$1858,$D1244,'Val-Vol (2)'!$V$4:$V$1858,$V1244)/SUMIFS('Comp2016-2017 (3)'!$G$5:$G$289,'Comp2016-2017 (3)'!$A$5:$A$289,$D1244,'Comp2016-2017 (3)'!$R$5:$R$289,$V1244)*$AB1244))</f>
        <v/>
      </c>
      <c r="AG1244" s="222" t="str">
        <f>IF($W1244=AG$3,$AB1244,IF(NOT($W1244=0),"",SUMIFS('Val-Vol (2)'!AG$4:AG$1858,'Val-Vol (2)'!$A$4:$A$1858,$D1244,'Val-Vol (2)'!$V$4:$V$1858,$V1244)/SUMIFS('Comp2016-2017 (3)'!$G$5:$G$289,'Comp2016-2017 (3)'!$A$5:$A$289,$D1244,'Comp2016-2017 (3)'!$R$5:$R$289,$V1244)*$AB1244))</f>
        <v/>
      </c>
      <c r="AH1244" s="222" t="str">
        <f>IF($W1244=AH$3,$AB1244,IF(NOT($W1244=0),"",SUMIFS('Val-Vol (2)'!AH$4:AH$1858,'Val-Vol (2)'!$A$4:$A$1858,$D1244,'Val-Vol (2)'!$V$4:$V$1858,$V1244)/SUMIFS('Comp2016-2017 (3)'!$G$5:$G$289,'Comp2016-2017 (3)'!$A$5:$A$289,$D1244,'Comp2016-2017 (3)'!$R$5:$R$289,$V1244)*$AB1244))</f>
        <v/>
      </c>
      <c r="AI1244" s="222">
        <f>IF($W1244=AI$3,$AB1244,IF(NOT($W1244=0),"",SUMIFS('Val-Vol (2)'!AI$4:AI$1858,'Val-Vol (2)'!$A$4:$A$1858,$D1244,'Val-Vol (2)'!$V$4:$V$1858,$V1244)/SUMIFS('Comp2016-2017 (3)'!$G$5:$G$289,'Comp2016-2017 (3)'!$A$5:$A$289,$D1244,'Comp2016-2017 (3)'!$R$5:$R$289,$V1244)*$AB1244))</f>
        <v>0</v>
      </c>
      <c r="AJ1244" s="222" t="str">
        <f>IF($W1244=AJ$3,$AB1244,IF(NOT($W1244=0),"",SUMIFS('Val-Vol (2)'!AJ$4:AJ$1858,'Val-Vol (2)'!$A$4:$A$1858,$D1244,'Val-Vol (2)'!$V$4:$V$1858,$V1244)/SUMIFS('Comp2016-2017 (3)'!$G$5:$G$289,'Comp2016-2017 (3)'!$A$5:$A$289,$D1244,'Comp2016-2017 (3)'!$R$5:$R$289,$V1244)*$AB1244))</f>
        <v/>
      </c>
      <c r="AK1244" s="222">
        <f t="shared" si="149"/>
        <v>0</v>
      </c>
      <c r="AL1244" s="212" t="str">
        <f t="shared" si="150"/>
        <v/>
      </c>
      <c r="AM1244" s="212" t="str">
        <f>VLOOKUP(A1244,'Table corresp.'!$M$4:$U$63,8,FALSE)</f>
        <v>Production intermédiaire</v>
      </c>
      <c r="AN1244" s="212" t="str">
        <f>VLOOKUP(D1244,'Table corresp.'!$M$4:$U$63,9,FALSE)</f>
        <v>Production finale</v>
      </c>
    </row>
    <row r="1245" spans="1:40" x14ac:dyDescent="0.25">
      <c r="A1245" t="s">
        <v>7</v>
      </c>
      <c r="B1245" t="str">
        <f>VLOOKUP(LEFT(A1245,3),'Table corresp.'!$A$4:$D$63,3,FALSE)</f>
        <v>Transformation</v>
      </c>
      <c r="C1245" t="str">
        <f>VLOOKUP(A1245,'Table corresp.'!$M$4:$P$63,4,FALSE)</f>
        <v>Production et transformation de produits bois</v>
      </c>
      <c r="D1245" t="s">
        <v>19</v>
      </c>
      <c r="E1245" t="str">
        <f>VLOOKUP(LEFT(D1245,3),'Table corresp.'!$A$4:$D$63,4,FALSE)</f>
        <v>Transformation</v>
      </c>
      <c r="F1245" t="str">
        <f t="shared" si="152"/>
        <v xml:space="preserve">12  - 52 </v>
      </c>
      <c r="G1245" s="213">
        <v>8943.6888016112134</v>
      </c>
      <c r="H1245" s="213">
        <v>614.82880435464836</v>
      </c>
      <c r="I1245" s="213">
        <v>9558.5176059658606</v>
      </c>
      <c r="J1245" s="215">
        <v>99.230994507567488</v>
      </c>
      <c r="K1245" s="215">
        <v>5.3889063839031701</v>
      </c>
      <c r="L1245" s="215">
        <v>104.61990089147066</v>
      </c>
      <c r="M1245" s="215"/>
      <c r="N1245" s="215"/>
      <c r="O1245" s="215"/>
      <c r="P1245" s="215"/>
      <c r="Q1245" s="215"/>
      <c r="R1245" s="215"/>
      <c r="S1245" s="213"/>
      <c r="T1245" s="212">
        <f>VLOOKUP(A1245,'Groupe de branches'!$Z$27:$AM$86,14,FALSE)</f>
        <v>0</v>
      </c>
      <c r="U1245" s="212">
        <f>VLOOKUP(D1245,'Groupe de branches'!$Z$27:$AM$86,14,FALSE)</f>
        <v>0</v>
      </c>
      <c r="V1245" s="212">
        <v>2019</v>
      </c>
      <c r="W1245" s="212" t="str">
        <f>VLOOKUP(D1245,'Table corresp.'!$M$4:$S$63,7,FALSE)</f>
        <v>Construction</v>
      </c>
      <c r="X1245" s="228">
        <f>IFERROR(G1245/SUMIFS('Comp2016-2017 (3)'!$I$5:$I$289,'Comp2016-2017 (3)'!$A$5:$A$289,A1245,'Comp2016-2017 (3)'!$R$5:$R$289,V1245),0)</f>
        <v>1.2552035661625839E-2</v>
      </c>
      <c r="Y1245" s="214" t="e">
        <f>IF(RIGHT(F1245,3)="Exp",VLOOKUP(F1245,#REF!,2,FALSE),VLOOKUP(F1245,#REF!,9,FALSE))</f>
        <v>#REF!</v>
      </c>
      <c r="Z1245" s="225" t="str">
        <f t="shared" si="151"/>
        <v/>
      </c>
      <c r="AA1245" s="225" t="e">
        <f t="shared" ref="AA1245:AA1308" si="153">X1245*Z1245</f>
        <v>#VALUE!</v>
      </c>
      <c r="AB1245" s="222">
        <f>IFERROR(SUMIFS('Comp2016-2017 (3)'!$G$5:$G$289,'Comp2016-2017 (3)'!$A$5:$A$289,A1245,'Comp2016-2017 (3)'!$R$5:$R$289,V1245)*AA1245/SUMIFS($AA$4:$AA$1858,$A$4:$A$1858,A1245,$V$4:$V$1858,V1245),0)</f>
        <v>0</v>
      </c>
      <c r="AC1245" s="222" t="str">
        <f>IF($W1245=AC$3,$AB1245,IF(NOT($W1245=0),"",SUMIFS('Val-Vol (2)'!AC$4:AC$1858,'Val-Vol (2)'!$A$4:$A$1858,$D1245,'Val-Vol (2)'!$V$4:$V$1858,$V1245)/SUMIFS('Comp2016-2017 (3)'!$G$5:$G$289,'Comp2016-2017 (3)'!$A$5:$A$289,$D1245,'Comp2016-2017 (3)'!$R$5:$R$289,$V1245)*$AB1245))</f>
        <v/>
      </c>
      <c r="AD1245" s="222">
        <f>IF($W1245=AD$3,$AB1245,IF(NOT($W1245=0),"",SUMIFS('Val-Vol (2)'!AD$4:AD$1858,'Val-Vol (2)'!$A$4:$A$1858,$D1245,'Val-Vol (2)'!$V$4:$V$1858,$V1245)/SUMIFS('Comp2016-2017 (3)'!$G$5:$G$289,'Comp2016-2017 (3)'!$A$5:$A$289,$D1245,'Comp2016-2017 (3)'!$R$5:$R$289,$V1245)*$AB1245))</f>
        <v>0</v>
      </c>
      <c r="AE1245" s="222" t="str">
        <f>IF($W1245=AE$3,$AB1245,IF(NOT($W1245=0),"",SUMIFS('Val-Vol (2)'!AE$4:AE$1858,'Val-Vol (2)'!$A$4:$A$1858,$D1245,'Val-Vol (2)'!$V$4:$V$1858,$V1245)/SUMIFS('Comp2016-2017 (3)'!$G$5:$G$289,'Comp2016-2017 (3)'!$A$5:$A$289,$D1245,'Comp2016-2017 (3)'!$R$5:$R$289,$V1245)*$AB1245))</f>
        <v/>
      </c>
      <c r="AF1245" s="222" t="str">
        <f>IF($W1245=AF$3,$AB1245,IF(NOT($W1245=0),"",SUMIFS('Val-Vol (2)'!AF$4:AF$1858,'Val-Vol (2)'!$A$4:$A$1858,$D1245,'Val-Vol (2)'!$V$4:$V$1858,$V1245)/SUMIFS('Comp2016-2017 (3)'!$G$5:$G$289,'Comp2016-2017 (3)'!$A$5:$A$289,$D1245,'Comp2016-2017 (3)'!$R$5:$R$289,$V1245)*$AB1245))</f>
        <v/>
      </c>
      <c r="AG1245" s="222" t="str">
        <f>IF($W1245=AG$3,$AB1245,IF(NOT($W1245=0),"",SUMIFS('Val-Vol (2)'!AG$4:AG$1858,'Val-Vol (2)'!$A$4:$A$1858,$D1245,'Val-Vol (2)'!$V$4:$V$1858,$V1245)/SUMIFS('Comp2016-2017 (3)'!$G$5:$G$289,'Comp2016-2017 (3)'!$A$5:$A$289,$D1245,'Comp2016-2017 (3)'!$R$5:$R$289,$V1245)*$AB1245))</f>
        <v/>
      </c>
      <c r="AH1245" s="222" t="str">
        <f>IF($W1245=AH$3,$AB1245,IF(NOT($W1245=0),"",SUMIFS('Val-Vol (2)'!AH$4:AH$1858,'Val-Vol (2)'!$A$4:$A$1858,$D1245,'Val-Vol (2)'!$V$4:$V$1858,$V1245)/SUMIFS('Comp2016-2017 (3)'!$G$5:$G$289,'Comp2016-2017 (3)'!$A$5:$A$289,$D1245,'Comp2016-2017 (3)'!$R$5:$R$289,$V1245)*$AB1245))</f>
        <v/>
      </c>
      <c r="AI1245" s="222" t="str">
        <f>IF($W1245=AI$3,$AB1245,IF(NOT($W1245=0),"",SUMIFS('Val-Vol (2)'!AI$4:AI$1858,'Val-Vol (2)'!$A$4:$A$1858,$D1245,'Val-Vol (2)'!$V$4:$V$1858,$V1245)/SUMIFS('Comp2016-2017 (3)'!$G$5:$G$289,'Comp2016-2017 (3)'!$A$5:$A$289,$D1245,'Comp2016-2017 (3)'!$R$5:$R$289,$V1245)*$AB1245))</f>
        <v/>
      </c>
      <c r="AJ1245" s="222" t="str">
        <f>IF($W1245=AJ$3,$AB1245,IF(NOT($W1245=0),"",SUMIFS('Val-Vol (2)'!AJ$4:AJ$1858,'Val-Vol (2)'!$A$4:$A$1858,$D1245,'Val-Vol (2)'!$V$4:$V$1858,$V1245)/SUMIFS('Comp2016-2017 (3)'!$G$5:$G$289,'Comp2016-2017 (3)'!$A$5:$A$289,$D1245,'Comp2016-2017 (3)'!$R$5:$R$289,$V1245)*$AB1245))</f>
        <v/>
      </c>
      <c r="AK1245" s="222">
        <f t="shared" ref="AK1245:AK1308" si="154">SUM(AC1245:AJ1245)-AB1245</f>
        <v>0</v>
      </c>
      <c r="AL1245" s="212" t="str">
        <f t="shared" si="150"/>
        <v/>
      </c>
      <c r="AM1245" s="212" t="str">
        <f>VLOOKUP(A1245,'Table corresp.'!$M$4:$U$63,8,FALSE)</f>
        <v>Production intermédiaire</v>
      </c>
      <c r="AN1245" s="212" t="str">
        <f>VLOOKUP(D1245,'Table corresp.'!$M$4:$U$63,9,FALSE)</f>
        <v xml:space="preserve">Mise en œuvre </v>
      </c>
    </row>
    <row r="1246" spans="1:40" x14ac:dyDescent="0.25">
      <c r="A1246" t="s">
        <v>7</v>
      </c>
      <c r="B1246" t="str">
        <f>VLOOKUP(LEFT(A1246,3),'Table corresp.'!$A$4:$D$63,3,FALSE)</f>
        <v>Transformation</v>
      </c>
      <c r="C1246" t="str">
        <f>VLOOKUP(A1246,'Table corresp.'!$M$4:$P$63,4,FALSE)</f>
        <v>Production et transformation de produits bois</v>
      </c>
      <c r="D1246" t="s">
        <v>20</v>
      </c>
      <c r="E1246" t="str">
        <f>VLOOKUP(LEFT(D1246,3),'Table corresp.'!$A$4:$D$63,4,FALSE)</f>
        <v>Transformation</v>
      </c>
      <c r="F1246" t="str">
        <f t="shared" si="152"/>
        <v xml:space="preserve">12  - 53 </v>
      </c>
      <c r="G1246" s="213">
        <v>159.04972362541309</v>
      </c>
      <c r="H1246" s="213">
        <v>244.56385570874872</v>
      </c>
      <c r="I1246" s="213">
        <v>403.61357933416178</v>
      </c>
      <c r="J1246" s="215">
        <v>1.5685958471542758</v>
      </c>
      <c r="K1246" s="215">
        <v>2.6794688902958312</v>
      </c>
      <c r="L1246" s="215">
        <v>4.2480647374501075</v>
      </c>
      <c r="M1246" s="215"/>
      <c r="N1246" s="215"/>
      <c r="O1246" s="215"/>
      <c r="P1246" s="215"/>
      <c r="Q1246" s="215"/>
      <c r="R1246" s="215"/>
      <c r="S1246" s="213"/>
      <c r="T1246" s="212">
        <f>VLOOKUP(A1246,'Groupe de branches'!$Z$27:$AM$86,14,FALSE)</f>
        <v>0</v>
      </c>
      <c r="U1246" s="212">
        <f>VLOOKUP(D1246,'Groupe de branches'!$Z$27:$AM$86,14,FALSE)</f>
        <v>0</v>
      </c>
      <c r="V1246" s="212">
        <v>2019</v>
      </c>
      <c r="W1246" s="212" t="str">
        <f>VLOOKUP(D1246,'Table corresp.'!$M$4:$S$63,7,FALSE)</f>
        <v>Construction</v>
      </c>
      <c r="X1246" s="228">
        <f>IFERROR(G1246/SUMIFS('Comp2016-2017 (3)'!$I$5:$I$289,'Comp2016-2017 (3)'!$A$5:$A$289,A1246,'Comp2016-2017 (3)'!$R$5:$R$289,V1246),0)</f>
        <v>2.2321861227531375E-4</v>
      </c>
      <c r="Y1246" s="214" t="e">
        <f>IF(RIGHT(F1246,3)="Exp",VLOOKUP(F1246,#REF!,2,FALSE),VLOOKUP(F1246,#REF!,9,FALSE))</f>
        <v>#REF!</v>
      </c>
      <c r="Z1246" s="225" t="str">
        <f t="shared" si="151"/>
        <v/>
      </c>
      <c r="AA1246" s="225" t="e">
        <f t="shared" si="153"/>
        <v>#VALUE!</v>
      </c>
      <c r="AB1246" s="222">
        <f>IFERROR(SUMIFS('Comp2016-2017 (3)'!$G$5:$G$289,'Comp2016-2017 (3)'!$A$5:$A$289,A1246,'Comp2016-2017 (3)'!$R$5:$R$289,V1246)*AA1246/SUMIFS($AA$4:$AA$1858,$A$4:$A$1858,A1246,$V$4:$V$1858,V1246),0)</f>
        <v>0</v>
      </c>
      <c r="AC1246" s="222" t="str">
        <f>IF($W1246=AC$3,$AB1246,IF(NOT($W1246=0),"",SUMIFS('Val-Vol (2)'!AC$4:AC$1858,'Val-Vol (2)'!$A$4:$A$1858,$D1246,'Val-Vol (2)'!$V$4:$V$1858,$V1246)/SUMIFS('Comp2016-2017 (3)'!$G$5:$G$289,'Comp2016-2017 (3)'!$A$5:$A$289,$D1246,'Comp2016-2017 (3)'!$R$5:$R$289,$V1246)*$AB1246))</f>
        <v/>
      </c>
      <c r="AD1246" s="222">
        <f>IF($W1246=AD$3,$AB1246,IF(NOT($W1246=0),"",SUMIFS('Val-Vol (2)'!AD$4:AD$1858,'Val-Vol (2)'!$A$4:$A$1858,$D1246,'Val-Vol (2)'!$V$4:$V$1858,$V1246)/SUMIFS('Comp2016-2017 (3)'!$G$5:$G$289,'Comp2016-2017 (3)'!$A$5:$A$289,$D1246,'Comp2016-2017 (3)'!$R$5:$R$289,$V1246)*$AB1246))</f>
        <v>0</v>
      </c>
      <c r="AE1246" s="222" t="str">
        <f>IF($W1246=AE$3,$AB1246,IF(NOT($W1246=0),"",SUMIFS('Val-Vol (2)'!AE$4:AE$1858,'Val-Vol (2)'!$A$4:$A$1858,$D1246,'Val-Vol (2)'!$V$4:$V$1858,$V1246)/SUMIFS('Comp2016-2017 (3)'!$G$5:$G$289,'Comp2016-2017 (3)'!$A$5:$A$289,$D1246,'Comp2016-2017 (3)'!$R$5:$R$289,$V1246)*$AB1246))</f>
        <v/>
      </c>
      <c r="AF1246" s="222" t="str">
        <f>IF($W1246=AF$3,$AB1246,IF(NOT($W1246=0),"",SUMIFS('Val-Vol (2)'!AF$4:AF$1858,'Val-Vol (2)'!$A$4:$A$1858,$D1246,'Val-Vol (2)'!$V$4:$V$1858,$V1246)/SUMIFS('Comp2016-2017 (3)'!$G$5:$G$289,'Comp2016-2017 (3)'!$A$5:$A$289,$D1246,'Comp2016-2017 (3)'!$R$5:$R$289,$V1246)*$AB1246))</f>
        <v/>
      </c>
      <c r="AG1246" s="222" t="str">
        <f>IF($W1246=AG$3,$AB1246,IF(NOT($W1246=0),"",SUMIFS('Val-Vol (2)'!AG$4:AG$1858,'Val-Vol (2)'!$A$4:$A$1858,$D1246,'Val-Vol (2)'!$V$4:$V$1858,$V1246)/SUMIFS('Comp2016-2017 (3)'!$G$5:$G$289,'Comp2016-2017 (3)'!$A$5:$A$289,$D1246,'Comp2016-2017 (3)'!$R$5:$R$289,$V1246)*$AB1246))</f>
        <v/>
      </c>
      <c r="AH1246" s="222" t="str">
        <f>IF($W1246=AH$3,$AB1246,IF(NOT($W1246=0),"",SUMIFS('Val-Vol (2)'!AH$4:AH$1858,'Val-Vol (2)'!$A$4:$A$1858,$D1246,'Val-Vol (2)'!$V$4:$V$1858,$V1246)/SUMIFS('Comp2016-2017 (3)'!$G$5:$G$289,'Comp2016-2017 (3)'!$A$5:$A$289,$D1246,'Comp2016-2017 (3)'!$R$5:$R$289,$V1246)*$AB1246))</f>
        <v/>
      </c>
      <c r="AI1246" s="222" t="str">
        <f>IF($W1246=AI$3,$AB1246,IF(NOT($W1246=0),"",SUMIFS('Val-Vol (2)'!AI$4:AI$1858,'Val-Vol (2)'!$A$4:$A$1858,$D1246,'Val-Vol (2)'!$V$4:$V$1858,$V1246)/SUMIFS('Comp2016-2017 (3)'!$G$5:$G$289,'Comp2016-2017 (3)'!$A$5:$A$289,$D1246,'Comp2016-2017 (3)'!$R$5:$R$289,$V1246)*$AB1246))</f>
        <v/>
      </c>
      <c r="AJ1246" s="222" t="str">
        <f>IF($W1246=AJ$3,$AB1246,IF(NOT($W1246=0),"",SUMIFS('Val-Vol (2)'!AJ$4:AJ$1858,'Val-Vol (2)'!$A$4:$A$1858,$D1246,'Val-Vol (2)'!$V$4:$V$1858,$V1246)/SUMIFS('Comp2016-2017 (3)'!$G$5:$G$289,'Comp2016-2017 (3)'!$A$5:$A$289,$D1246,'Comp2016-2017 (3)'!$R$5:$R$289,$V1246)*$AB1246))</f>
        <v/>
      </c>
      <c r="AK1246" s="222">
        <f t="shared" si="154"/>
        <v>0</v>
      </c>
      <c r="AL1246" s="212" t="str">
        <f t="shared" ref="AL1246:AL1309" si="155">IF(A1246=D1246,"remplir à la main","")</f>
        <v/>
      </c>
      <c r="AM1246" s="212" t="str">
        <f>VLOOKUP(A1246,'Table corresp.'!$M$4:$U$63,8,FALSE)</f>
        <v>Production intermédiaire</v>
      </c>
      <c r="AN1246" s="212" t="str">
        <f>VLOOKUP(D1246,'Table corresp.'!$M$4:$U$63,9,FALSE)</f>
        <v xml:space="preserve">Mise en œuvre </v>
      </c>
    </row>
    <row r="1247" spans="1:40" x14ac:dyDescent="0.25">
      <c r="A1247" t="s">
        <v>7</v>
      </c>
      <c r="B1247" t="str">
        <f>VLOOKUP(LEFT(A1247,3),'Table corresp.'!$A$4:$D$63,3,FALSE)</f>
        <v>Transformation</v>
      </c>
      <c r="C1247" t="str">
        <f>VLOOKUP(A1247,'Table corresp.'!$M$4:$P$63,4,FALSE)</f>
        <v>Production et transformation de produits bois</v>
      </c>
      <c r="D1247" t="s">
        <v>21</v>
      </c>
      <c r="E1247" t="str">
        <f>VLOOKUP(LEFT(D1247,3),'Table corresp.'!$A$4:$D$63,4,FALSE)</f>
        <v>Transformation</v>
      </c>
      <c r="F1247" t="str">
        <f t="shared" si="152"/>
        <v xml:space="preserve">12  - 54 </v>
      </c>
      <c r="G1247" s="213">
        <v>117241.17408012523</v>
      </c>
      <c r="H1247" s="213">
        <v>15187.86040252877</v>
      </c>
      <c r="I1247" s="213">
        <v>132429.03448265398</v>
      </c>
      <c r="J1247" s="215">
        <v>770.8449684188015</v>
      </c>
      <c r="K1247" s="215">
        <v>106.49593161716179</v>
      </c>
      <c r="L1247" s="215">
        <v>877.34090003596327</v>
      </c>
      <c r="M1247" s="215"/>
      <c r="N1247" s="215"/>
      <c r="O1247" s="215"/>
      <c r="P1247" s="215"/>
      <c r="Q1247" s="215"/>
      <c r="R1247" s="215"/>
      <c r="S1247" s="213"/>
      <c r="T1247" s="212">
        <f>VLOOKUP(A1247,'Groupe de branches'!$Z$27:$AM$86,14,FALSE)</f>
        <v>0</v>
      </c>
      <c r="U1247" s="212">
        <f>VLOOKUP(D1247,'Groupe de branches'!$Z$27:$AM$86,14,FALSE)</f>
        <v>0</v>
      </c>
      <c r="V1247" s="212">
        <v>2019</v>
      </c>
      <c r="W1247" s="212" t="str">
        <f>VLOOKUP(D1247,'Table corresp.'!$M$4:$S$63,7,FALSE)</f>
        <v>Construction</v>
      </c>
      <c r="X1247" s="228">
        <f>IFERROR(G1247/SUMIFS('Comp2016-2017 (3)'!$I$5:$I$289,'Comp2016-2017 (3)'!$A$5:$A$289,A1247,'Comp2016-2017 (3)'!$R$5:$R$289,V1247),0)</f>
        <v>0.16454233043076164</v>
      </c>
      <c r="Y1247" s="214" t="e">
        <f>IF(RIGHT(F1247,3)="Exp",VLOOKUP(F1247,#REF!,2,FALSE),VLOOKUP(F1247,#REF!,9,FALSE))</f>
        <v>#REF!</v>
      </c>
      <c r="Z1247" s="225" t="str">
        <f t="shared" ref="Z1247:Z1310" si="156">IFERROR(Y1247/SUMIFS($Y$4:$Y$1858,$V$4:$V$1858,V1247,$A$4:$A$1858,A1247),"")</f>
        <v/>
      </c>
      <c r="AA1247" s="225" t="e">
        <f t="shared" si="153"/>
        <v>#VALUE!</v>
      </c>
      <c r="AB1247" s="222">
        <f>IFERROR(SUMIFS('Comp2016-2017 (3)'!$G$5:$G$289,'Comp2016-2017 (3)'!$A$5:$A$289,A1247,'Comp2016-2017 (3)'!$R$5:$R$289,V1247)*AA1247/SUMIFS($AA$4:$AA$1858,$A$4:$A$1858,A1247,$V$4:$V$1858,V1247),0)</f>
        <v>0</v>
      </c>
      <c r="AC1247" s="222" t="str">
        <f>IF($W1247=AC$3,$AB1247,IF(NOT($W1247=0),"",SUMIFS('Val-Vol (2)'!AC$4:AC$1858,'Val-Vol (2)'!$A$4:$A$1858,$D1247,'Val-Vol (2)'!$V$4:$V$1858,$V1247)/SUMIFS('Comp2016-2017 (3)'!$G$5:$G$289,'Comp2016-2017 (3)'!$A$5:$A$289,$D1247,'Comp2016-2017 (3)'!$R$5:$R$289,$V1247)*$AB1247))</f>
        <v/>
      </c>
      <c r="AD1247" s="222">
        <f>IF($W1247=AD$3,$AB1247,IF(NOT($W1247=0),"",SUMIFS('Val-Vol (2)'!AD$4:AD$1858,'Val-Vol (2)'!$A$4:$A$1858,$D1247,'Val-Vol (2)'!$V$4:$V$1858,$V1247)/SUMIFS('Comp2016-2017 (3)'!$G$5:$G$289,'Comp2016-2017 (3)'!$A$5:$A$289,$D1247,'Comp2016-2017 (3)'!$R$5:$R$289,$V1247)*$AB1247))</f>
        <v>0</v>
      </c>
      <c r="AE1247" s="222" t="str">
        <f>IF($W1247=AE$3,$AB1247,IF(NOT($W1247=0),"",SUMIFS('Val-Vol (2)'!AE$4:AE$1858,'Val-Vol (2)'!$A$4:$A$1858,$D1247,'Val-Vol (2)'!$V$4:$V$1858,$V1247)/SUMIFS('Comp2016-2017 (3)'!$G$5:$G$289,'Comp2016-2017 (3)'!$A$5:$A$289,$D1247,'Comp2016-2017 (3)'!$R$5:$R$289,$V1247)*$AB1247))</f>
        <v/>
      </c>
      <c r="AF1247" s="222" t="str">
        <f>IF($W1247=AF$3,$AB1247,IF(NOT($W1247=0),"",SUMIFS('Val-Vol (2)'!AF$4:AF$1858,'Val-Vol (2)'!$A$4:$A$1858,$D1247,'Val-Vol (2)'!$V$4:$V$1858,$V1247)/SUMIFS('Comp2016-2017 (3)'!$G$5:$G$289,'Comp2016-2017 (3)'!$A$5:$A$289,$D1247,'Comp2016-2017 (3)'!$R$5:$R$289,$V1247)*$AB1247))</f>
        <v/>
      </c>
      <c r="AG1247" s="222" t="str">
        <f>IF($W1247=AG$3,$AB1247,IF(NOT($W1247=0),"",SUMIFS('Val-Vol (2)'!AG$4:AG$1858,'Val-Vol (2)'!$A$4:$A$1858,$D1247,'Val-Vol (2)'!$V$4:$V$1858,$V1247)/SUMIFS('Comp2016-2017 (3)'!$G$5:$G$289,'Comp2016-2017 (3)'!$A$5:$A$289,$D1247,'Comp2016-2017 (3)'!$R$5:$R$289,$V1247)*$AB1247))</f>
        <v/>
      </c>
      <c r="AH1247" s="222" t="str">
        <f>IF($W1247=AH$3,$AB1247,IF(NOT($W1247=0),"",SUMIFS('Val-Vol (2)'!AH$4:AH$1858,'Val-Vol (2)'!$A$4:$A$1858,$D1247,'Val-Vol (2)'!$V$4:$V$1858,$V1247)/SUMIFS('Comp2016-2017 (3)'!$G$5:$G$289,'Comp2016-2017 (3)'!$A$5:$A$289,$D1247,'Comp2016-2017 (3)'!$R$5:$R$289,$V1247)*$AB1247))</f>
        <v/>
      </c>
      <c r="AI1247" s="222" t="str">
        <f>IF($W1247=AI$3,$AB1247,IF(NOT($W1247=0),"",SUMIFS('Val-Vol (2)'!AI$4:AI$1858,'Val-Vol (2)'!$A$4:$A$1858,$D1247,'Val-Vol (2)'!$V$4:$V$1858,$V1247)/SUMIFS('Comp2016-2017 (3)'!$G$5:$G$289,'Comp2016-2017 (3)'!$A$5:$A$289,$D1247,'Comp2016-2017 (3)'!$R$5:$R$289,$V1247)*$AB1247))</f>
        <v/>
      </c>
      <c r="AJ1247" s="222" t="str">
        <f>IF($W1247=AJ$3,$AB1247,IF(NOT($W1247=0),"",SUMIFS('Val-Vol (2)'!AJ$4:AJ$1858,'Val-Vol (2)'!$A$4:$A$1858,$D1247,'Val-Vol (2)'!$V$4:$V$1858,$V1247)/SUMIFS('Comp2016-2017 (3)'!$G$5:$G$289,'Comp2016-2017 (3)'!$A$5:$A$289,$D1247,'Comp2016-2017 (3)'!$R$5:$R$289,$V1247)*$AB1247))</f>
        <v/>
      </c>
      <c r="AK1247" s="222">
        <f t="shared" si="154"/>
        <v>0</v>
      </c>
      <c r="AL1247" s="212" t="str">
        <f t="shared" si="155"/>
        <v/>
      </c>
      <c r="AM1247" s="212" t="str">
        <f>VLOOKUP(A1247,'Table corresp.'!$M$4:$U$63,8,FALSE)</f>
        <v>Production intermédiaire</v>
      </c>
      <c r="AN1247" s="212" t="str">
        <f>VLOOKUP(D1247,'Table corresp.'!$M$4:$U$63,9,FALSE)</f>
        <v xml:space="preserve">Mise en œuvre </v>
      </c>
    </row>
    <row r="1248" spans="1:40" x14ac:dyDescent="0.25">
      <c r="A1248" t="s">
        <v>7</v>
      </c>
      <c r="B1248" t="str">
        <f>VLOOKUP(LEFT(A1248,3),'Table corresp.'!$A$4:$D$63,3,FALSE)</f>
        <v>Transformation</v>
      </c>
      <c r="C1248" t="str">
        <f>VLOOKUP(A1248,'Table corresp.'!$M$4:$P$63,4,FALSE)</f>
        <v>Production et transformation de produits bois</v>
      </c>
      <c r="D1248" t="s">
        <v>22</v>
      </c>
      <c r="E1248" t="str">
        <f>VLOOKUP(LEFT(D1248,3),'Table corresp.'!$A$4:$D$63,4,FALSE)</f>
        <v>Transformation</v>
      </c>
      <c r="F1248" t="str">
        <f t="shared" si="152"/>
        <v xml:space="preserve">12  - 55 </v>
      </c>
      <c r="G1248" s="213">
        <v>5653.3100047459966</v>
      </c>
      <c r="H1248" s="213">
        <v>5854.2387728876838</v>
      </c>
      <c r="I1248" s="213">
        <v>11507.548777633679</v>
      </c>
      <c r="J1248" s="215">
        <v>37.169753768346659</v>
      </c>
      <c r="K1248" s="215">
        <v>41.04940363582611</v>
      </c>
      <c r="L1248" s="215">
        <v>78.219157404172762</v>
      </c>
      <c r="M1248" s="215"/>
      <c r="N1248" s="215"/>
      <c r="O1248" s="215"/>
      <c r="P1248" s="215"/>
      <c r="Q1248" s="215"/>
      <c r="R1248" s="215"/>
      <c r="S1248" s="213"/>
      <c r="T1248" s="212">
        <f>VLOOKUP(A1248,'Groupe de branches'!$Z$27:$AM$86,14,FALSE)</f>
        <v>0</v>
      </c>
      <c r="U1248" s="212">
        <f>VLOOKUP(D1248,'Groupe de branches'!$Z$27:$AM$86,14,FALSE)</f>
        <v>0</v>
      </c>
      <c r="V1248" s="212">
        <v>2019</v>
      </c>
      <c r="W1248" s="212" t="str">
        <f>VLOOKUP(D1248,'Table corresp.'!$M$4:$S$63,7,FALSE)</f>
        <v>Construction</v>
      </c>
      <c r="X1248" s="228">
        <f>IFERROR(G1248/SUMIFS('Comp2016-2017 (3)'!$I$5:$I$289,'Comp2016-2017 (3)'!$A$5:$A$289,A1248,'Comp2016-2017 (3)'!$R$5:$R$289,V1248),0)</f>
        <v>7.9341477951484947E-3</v>
      </c>
      <c r="Y1248" s="214" t="e">
        <f>IF(RIGHT(F1248,3)="Exp",VLOOKUP(F1248,#REF!,2,FALSE),VLOOKUP(F1248,#REF!,9,FALSE))</f>
        <v>#REF!</v>
      </c>
      <c r="Z1248" s="225" t="str">
        <f t="shared" si="156"/>
        <v/>
      </c>
      <c r="AA1248" s="225" t="e">
        <f t="shared" si="153"/>
        <v>#VALUE!</v>
      </c>
      <c r="AB1248" s="222">
        <f>IFERROR(SUMIFS('Comp2016-2017 (3)'!$G$5:$G$289,'Comp2016-2017 (3)'!$A$5:$A$289,A1248,'Comp2016-2017 (3)'!$R$5:$R$289,V1248)*AA1248/SUMIFS($AA$4:$AA$1858,$A$4:$A$1858,A1248,$V$4:$V$1858,V1248),0)</f>
        <v>0</v>
      </c>
      <c r="AC1248" s="222" t="str">
        <f>IF($W1248=AC$3,$AB1248,IF(NOT($W1248=0),"",SUMIFS('Val-Vol (2)'!AC$4:AC$1858,'Val-Vol (2)'!$A$4:$A$1858,$D1248,'Val-Vol (2)'!$V$4:$V$1858,$V1248)/SUMIFS('Comp2016-2017 (3)'!$G$5:$G$289,'Comp2016-2017 (3)'!$A$5:$A$289,$D1248,'Comp2016-2017 (3)'!$R$5:$R$289,$V1248)*$AB1248))</f>
        <v/>
      </c>
      <c r="AD1248" s="222">
        <f>IF($W1248=AD$3,$AB1248,IF(NOT($W1248=0),"",SUMIFS('Val-Vol (2)'!AD$4:AD$1858,'Val-Vol (2)'!$A$4:$A$1858,$D1248,'Val-Vol (2)'!$V$4:$V$1858,$V1248)/SUMIFS('Comp2016-2017 (3)'!$G$5:$G$289,'Comp2016-2017 (3)'!$A$5:$A$289,$D1248,'Comp2016-2017 (3)'!$R$5:$R$289,$V1248)*$AB1248))</f>
        <v>0</v>
      </c>
      <c r="AE1248" s="222" t="str">
        <f>IF($W1248=AE$3,$AB1248,IF(NOT($W1248=0),"",SUMIFS('Val-Vol (2)'!AE$4:AE$1858,'Val-Vol (2)'!$A$4:$A$1858,$D1248,'Val-Vol (2)'!$V$4:$V$1858,$V1248)/SUMIFS('Comp2016-2017 (3)'!$G$5:$G$289,'Comp2016-2017 (3)'!$A$5:$A$289,$D1248,'Comp2016-2017 (3)'!$R$5:$R$289,$V1248)*$AB1248))</f>
        <v/>
      </c>
      <c r="AF1248" s="222" t="str">
        <f>IF($W1248=AF$3,$AB1248,IF(NOT($W1248=0),"",SUMIFS('Val-Vol (2)'!AF$4:AF$1858,'Val-Vol (2)'!$A$4:$A$1858,$D1248,'Val-Vol (2)'!$V$4:$V$1858,$V1248)/SUMIFS('Comp2016-2017 (3)'!$G$5:$G$289,'Comp2016-2017 (3)'!$A$5:$A$289,$D1248,'Comp2016-2017 (3)'!$R$5:$R$289,$V1248)*$AB1248))</f>
        <v/>
      </c>
      <c r="AG1248" s="222" t="str">
        <f>IF($W1248=AG$3,$AB1248,IF(NOT($W1248=0),"",SUMIFS('Val-Vol (2)'!AG$4:AG$1858,'Val-Vol (2)'!$A$4:$A$1858,$D1248,'Val-Vol (2)'!$V$4:$V$1858,$V1248)/SUMIFS('Comp2016-2017 (3)'!$G$5:$G$289,'Comp2016-2017 (3)'!$A$5:$A$289,$D1248,'Comp2016-2017 (3)'!$R$5:$R$289,$V1248)*$AB1248))</f>
        <v/>
      </c>
      <c r="AH1248" s="222" t="str">
        <f>IF($W1248=AH$3,$AB1248,IF(NOT($W1248=0),"",SUMIFS('Val-Vol (2)'!AH$4:AH$1858,'Val-Vol (2)'!$A$4:$A$1858,$D1248,'Val-Vol (2)'!$V$4:$V$1858,$V1248)/SUMIFS('Comp2016-2017 (3)'!$G$5:$G$289,'Comp2016-2017 (3)'!$A$5:$A$289,$D1248,'Comp2016-2017 (3)'!$R$5:$R$289,$V1248)*$AB1248))</f>
        <v/>
      </c>
      <c r="AI1248" s="222" t="str">
        <f>IF($W1248=AI$3,$AB1248,IF(NOT($W1248=0),"",SUMIFS('Val-Vol (2)'!AI$4:AI$1858,'Val-Vol (2)'!$A$4:$A$1858,$D1248,'Val-Vol (2)'!$V$4:$V$1858,$V1248)/SUMIFS('Comp2016-2017 (3)'!$G$5:$G$289,'Comp2016-2017 (3)'!$A$5:$A$289,$D1248,'Comp2016-2017 (3)'!$R$5:$R$289,$V1248)*$AB1248))</f>
        <v/>
      </c>
      <c r="AJ1248" s="222" t="str">
        <f>IF($W1248=AJ$3,$AB1248,IF(NOT($W1248=0),"",SUMIFS('Val-Vol (2)'!AJ$4:AJ$1858,'Val-Vol (2)'!$A$4:$A$1858,$D1248,'Val-Vol (2)'!$V$4:$V$1858,$V1248)/SUMIFS('Comp2016-2017 (3)'!$G$5:$G$289,'Comp2016-2017 (3)'!$A$5:$A$289,$D1248,'Comp2016-2017 (3)'!$R$5:$R$289,$V1248)*$AB1248))</f>
        <v/>
      </c>
      <c r="AK1248" s="222">
        <f t="shared" si="154"/>
        <v>0</v>
      </c>
      <c r="AL1248" s="212" t="str">
        <f t="shared" si="155"/>
        <v/>
      </c>
      <c r="AM1248" s="212" t="str">
        <f>VLOOKUP(A1248,'Table corresp.'!$M$4:$U$63,8,FALSE)</f>
        <v>Production intermédiaire</v>
      </c>
      <c r="AN1248" s="212" t="str">
        <f>VLOOKUP(D1248,'Table corresp.'!$M$4:$U$63,9,FALSE)</f>
        <v xml:space="preserve">Mise en œuvre </v>
      </c>
    </row>
    <row r="1249" spans="1:40" x14ac:dyDescent="0.25">
      <c r="A1249" t="s">
        <v>7</v>
      </c>
      <c r="B1249" t="str">
        <f>VLOOKUP(LEFT(A1249,3),'Table corresp.'!$A$4:$D$63,3,FALSE)</f>
        <v>Transformation</v>
      </c>
      <c r="C1249" t="str">
        <f>VLOOKUP(A1249,'Table corresp.'!$M$4:$P$63,4,FALSE)</f>
        <v>Production et transformation de produits bois</v>
      </c>
      <c r="D1249" t="s">
        <v>23</v>
      </c>
      <c r="E1249" t="str">
        <f>VLOOKUP(LEFT(D1249,3),'Table corresp.'!$A$4:$D$63,4,FALSE)</f>
        <v>Transformation</v>
      </c>
      <c r="F1249" t="str">
        <f t="shared" si="152"/>
        <v xml:space="preserve">12  - 56 </v>
      </c>
      <c r="G1249" s="213">
        <v>7431.9324638498674</v>
      </c>
      <c r="H1249" s="213">
        <v>3143.2853864847384</v>
      </c>
      <c r="I1249" s="213">
        <v>10575.217850334604</v>
      </c>
      <c r="J1249" s="215">
        <v>65.966342600654116</v>
      </c>
      <c r="K1249" s="215">
        <v>29.000577183666845</v>
      </c>
      <c r="L1249" s="215">
        <v>94.966919784320964</v>
      </c>
      <c r="M1249" s="215"/>
      <c r="N1249" s="215"/>
      <c r="O1249" s="215"/>
      <c r="P1249" s="215"/>
      <c r="Q1249" s="215"/>
      <c r="R1249" s="215"/>
      <c r="S1249" s="213"/>
      <c r="T1249" s="212">
        <f>VLOOKUP(A1249,'Groupe de branches'!$Z$27:$AM$86,14,FALSE)</f>
        <v>0</v>
      </c>
      <c r="U1249" s="212">
        <f>VLOOKUP(D1249,'Groupe de branches'!$Z$27:$AM$86,14,FALSE)</f>
        <v>0</v>
      </c>
      <c r="V1249" s="212">
        <v>2019</v>
      </c>
      <c r="W1249" s="212" t="str">
        <f>VLOOKUP(D1249,'Table corresp.'!$M$4:$S$63,7,FALSE)</f>
        <v>Construction</v>
      </c>
      <c r="X1249" s="228">
        <f>IFERROR(G1249/SUMIFS('Comp2016-2017 (3)'!$I$5:$I$289,'Comp2016-2017 (3)'!$A$5:$A$289,A1249,'Comp2016-2017 (3)'!$R$5:$R$289,V1249),0)</f>
        <v>1.0430358590320449E-2</v>
      </c>
      <c r="Y1249" s="214" t="e">
        <f>IF(RIGHT(F1249,3)="Exp",VLOOKUP(F1249,#REF!,2,FALSE),VLOOKUP(F1249,#REF!,9,FALSE))</f>
        <v>#REF!</v>
      </c>
      <c r="Z1249" s="225" t="str">
        <f t="shared" si="156"/>
        <v/>
      </c>
      <c r="AA1249" s="225" t="e">
        <f t="shared" si="153"/>
        <v>#VALUE!</v>
      </c>
      <c r="AB1249" s="222">
        <f>IFERROR(SUMIFS('Comp2016-2017 (3)'!$G$5:$G$289,'Comp2016-2017 (3)'!$A$5:$A$289,A1249,'Comp2016-2017 (3)'!$R$5:$R$289,V1249)*AA1249/SUMIFS($AA$4:$AA$1858,$A$4:$A$1858,A1249,$V$4:$V$1858,V1249),0)</f>
        <v>0</v>
      </c>
      <c r="AC1249" s="222" t="str">
        <f>IF($W1249=AC$3,$AB1249,IF(NOT($W1249=0),"",SUMIFS('Val-Vol (2)'!AC$4:AC$1858,'Val-Vol (2)'!$A$4:$A$1858,$D1249,'Val-Vol (2)'!$V$4:$V$1858,$V1249)/SUMIFS('Comp2016-2017 (3)'!$G$5:$G$289,'Comp2016-2017 (3)'!$A$5:$A$289,$D1249,'Comp2016-2017 (3)'!$R$5:$R$289,$V1249)*$AB1249))</f>
        <v/>
      </c>
      <c r="AD1249" s="222">
        <f>IF($W1249=AD$3,$AB1249,IF(NOT($W1249=0),"",SUMIFS('Val-Vol (2)'!AD$4:AD$1858,'Val-Vol (2)'!$A$4:$A$1858,$D1249,'Val-Vol (2)'!$V$4:$V$1858,$V1249)/SUMIFS('Comp2016-2017 (3)'!$G$5:$G$289,'Comp2016-2017 (3)'!$A$5:$A$289,$D1249,'Comp2016-2017 (3)'!$R$5:$R$289,$V1249)*$AB1249))</f>
        <v>0</v>
      </c>
      <c r="AE1249" s="222" t="str">
        <f>IF($W1249=AE$3,$AB1249,IF(NOT($W1249=0),"",SUMIFS('Val-Vol (2)'!AE$4:AE$1858,'Val-Vol (2)'!$A$4:$A$1858,$D1249,'Val-Vol (2)'!$V$4:$V$1858,$V1249)/SUMIFS('Comp2016-2017 (3)'!$G$5:$G$289,'Comp2016-2017 (3)'!$A$5:$A$289,$D1249,'Comp2016-2017 (3)'!$R$5:$R$289,$V1249)*$AB1249))</f>
        <v/>
      </c>
      <c r="AF1249" s="222" t="str">
        <f>IF($W1249=AF$3,$AB1249,IF(NOT($W1249=0),"",SUMIFS('Val-Vol (2)'!AF$4:AF$1858,'Val-Vol (2)'!$A$4:$A$1858,$D1249,'Val-Vol (2)'!$V$4:$V$1858,$V1249)/SUMIFS('Comp2016-2017 (3)'!$G$5:$G$289,'Comp2016-2017 (3)'!$A$5:$A$289,$D1249,'Comp2016-2017 (3)'!$R$5:$R$289,$V1249)*$AB1249))</f>
        <v/>
      </c>
      <c r="AG1249" s="222" t="str">
        <f>IF($W1249=AG$3,$AB1249,IF(NOT($W1249=0),"",SUMIFS('Val-Vol (2)'!AG$4:AG$1858,'Val-Vol (2)'!$A$4:$A$1858,$D1249,'Val-Vol (2)'!$V$4:$V$1858,$V1249)/SUMIFS('Comp2016-2017 (3)'!$G$5:$G$289,'Comp2016-2017 (3)'!$A$5:$A$289,$D1249,'Comp2016-2017 (3)'!$R$5:$R$289,$V1249)*$AB1249))</f>
        <v/>
      </c>
      <c r="AH1249" s="222" t="str">
        <f>IF($W1249=AH$3,$AB1249,IF(NOT($W1249=0),"",SUMIFS('Val-Vol (2)'!AH$4:AH$1858,'Val-Vol (2)'!$A$4:$A$1858,$D1249,'Val-Vol (2)'!$V$4:$V$1858,$V1249)/SUMIFS('Comp2016-2017 (3)'!$G$5:$G$289,'Comp2016-2017 (3)'!$A$5:$A$289,$D1249,'Comp2016-2017 (3)'!$R$5:$R$289,$V1249)*$AB1249))</f>
        <v/>
      </c>
      <c r="AI1249" s="222" t="str">
        <f>IF($W1249=AI$3,$AB1249,IF(NOT($W1249=0),"",SUMIFS('Val-Vol (2)'!AI$4:AI$1858,'Val-Vol (2)'!$A$4:$A$1858,$D1249,'Val-Vol (2)'!$V$4:$V$1858,$V1249)/SUMIFS('Comp2016-2017 (3)'!$G$5:$G$289,'Comp2016-2017 (3)'!$A$5:$A$289,$D1249,'Comp2016-2017 (3)'!$R$5:$R$289,$V1249)*$AB1249))</f>
        <v/>
      </c>
      <c r="AJ1249" s="222" t="str">
        <f>IF($W1249=AJ$3,$AB1249,IF(NOT($W1249=0),"",SUMIFS('Val-Vol (2)'!AJ$4:AJ$1858,'Val-Vol (2)'!$A$4:$A$1858,$D1249,'Val-Vol (2)'!$V$4:$V$1858,$V1249)/SUMIFS('Comp2016-2017 (3)'!$G$5:$G$289,'Comp2016-2017 (3)'!$A$5:$A$289,$D1249,'Comp2016-2017 (3)'!$R$5:$R$289,$V1249)*$AB1249))</f>
        <v/>
      </c>
      <c r="AK1249" s="222">
        <f t="shared" si="154"/>
        <v>0</v>
      </c>
      <c r="AL1249" s="212" t="str">
        <f t="shared" si="155"/>
        <v/>
      </c>
      <c r="AM1249" s="212" t="str">
        <f>VLOOKUP(A1249,'Table corresp.'!$M$4:$U$63,8,FALSE)</f>
        <v>Production intermédiaire</v>
      </c>
      <c r="AN1249" s="212" t="str">
        <f>VLOOKUP(D1249,'Table corresp.'!$M$4:$U$63,9,FALSE)</f>
        <v xml:space="preserve">Mise en œuvre </v>
      </c>
    </row>
    <row r="1250" spans="1:40" x14ac:dyDescent="0.25">
      <c r="A1250" t="s">
        <v>7</v>
      </c>
      <c r="B1250" t="str">
        <f>VLOOKUP(LEFT(A1250,3),'Table corresp.'!$A$4:$D$63,3,FALSE)</f>
        <v>Transformation</v>
      </c>
      <c r="C1250" t="str">
        <f>VLOOKUP(A1250,'Table corresp.'!$M$4:$P$63,4,FALSE)</f>
        <v>Production et transformation de produits bois</v>
      </c>
      <c r="D1250" t="s">
        <v>24</v>
      </c>
      <c r="E1250" t="str">
        <f>VLOOKUP(LEFT(D1250,3),'Table corresp.'!$A$4:$D$63,4,FALSE)</f>
        <v>Transformation</v>
      </c>
      <c r="F1250" t="str">
        <f t="shared" si="152"/>
        <v xml:space="preserve">12  - 57 </v>
      </c>
      <c r="G1250" s="213">
        <v>129755.02873248911</v>
      </c>
      <c r="H1250" s="213">
        <v>50843.36498734785</v>
      </c>
      <c r="I1250" s="213">
        <v>180598.39371983692</v>
      </c>
      <c r="J1250" s="215">
        <v>1354.9582824496904</v>
      </c>
      <c r="K1250" s="215">
        <v>557.04557963706259</v>
      </c>
      <c r="L1250" s="215">
        <v>1912.0038620867531</v>
      </c>
      <c r="M1250" s="215"/>
      <c r="N1250" s="215"/>
      <c r="O1250" s="215"/>
      <c r="P1250" s="215"/>
      <c r="Q1250" s="215"/>
      <c r="R1250" s="215"/>
      <c r="S1250" s="213"/>
      <c r="T1250" s="212">
        <f>VLOOKUP(A1250,'Groupe de branches'!$Z$27:$AM$86,14,FALSE)</f>
        <v>0</v>
      </c>
      <c r="U1250" s="212">
        <f>VLOOKUP(D1250,'Groupe de branches'!$Z$27:$AM$86,14,FALSE)</f>
        <v>0</v>
      </c>
      <c r="V1250" s="212">
        <v>2019</v>
      </c>
      <c r="W1250" s="212" t="str">
        <f>VLOOKUP(D1250,'Table corresp.'!$M$4:$S$63,7,FALSE)</f>
        <v>Construction</v>
      </c>
      <c r="X1250" s="228">
        <f>IFERROR(G1250/SUMIFS('Comp2016-2017 (3)'!$I$5:$I$289,'Comp2016-2017 (3)'!$A$5:$A$289,A1250,'Comp2016-2017 (3)'!$R$5:$R$289,V1250),0)</f>
        <v>0.18210492158806765</v>
      </c>
      <c r="Y1250" s="214" t="e">
        <f>IF(RIGHT(F1250,3)="Exp",VLOOKUP(F1250,#REF!,2,FALSE),VLOOKUP(F1250,#REF!,9,FALSE))</f>
        <v>#REF!</v>
      </c>
      <c r="Z1250" s="225" t="str">
        <f t="shared" si="156"/>
        <v/>
      </c>
      <c r="AA1250" s="225" t="e">
        <f t="shared" si="153"/>
        <v>#VALUE!</v>
      </c>
      <c r="AB1250" s="222">
        <f>IFERROR(SUMIFS('Comp2016-2017 (3)'!$G$5:$G$289,'Comp2016-2017 (3)'!$A$5:$A$289,A1250,'Comp2016-2017 (3)'!$R$5:$R$289,V1250)*AA1250/SUMIFS($AA$4:$AA$1858,$A$4:$A$1858,A1250,$V$4:$V$1858,V1250),0)</f>
        <v>0</v>
      </c>
      <c r="AC1250" s="222" t="str">
        <f>IF($W1250=AC$3,$AB1250,IF(NOT($W1250=0),"",SUMIFS('Val-Vol (2)'!AC$4:AC$1858,'Val-Vol (2)'!$A$4:$A$1858,$D1250,'Val-Vol (2)'!$V$4:$V$1858,$V1250)/SUMIFS('Comp2016-2017 (3)'!$G$5:$G$289,'Comp2016-2017 (3)'!$A$5:$A$289,$D1250,'Comp2016-2017 (3)'!$R$5:$R$289,$V1250)*$AB1250))</f>
        <v/>
      </c>
      <c r="AD1250" s="222">
        <f>IF($W1250=AD$3,$AB1250,IF(NOT($W1250=0),"",SUMIFS('Val-Vol (2)'!AD$4:AD$1858,'Val-Vol (2)'!$A$4:$A$1858,$D1250,'Val-Vol (2)'!$V$4:$V$1858,$V1250)/SUMIFS('Comp2016-2017 (3)'!$G$5:$G$289,'Comp2016-2017 (3)'!$A$5:$A$289,$D1250,'Comp2016-2017 (3)'!$R$5:$R$289,$V1250)*$AB1250))</f>
        <v>0</v>
      </c>
      <c r="AE1250" s="222" t="str">
        <f>IF($W1250=AE$3,$AB1250,IF(NOT($W1250=0),"",SUMIFS('Val-Vol (2)'!AE$4:AE$1858,'Val-Vol (2)'!$A$4:$A$1858,$D1250,'Val-Vol (2)'!$V$4:$V$1858,$V1250)/SUMIFS('Comp2016-2017 (3)'!$G$5:$G$289,'Comp2016-2017 (3)'!$A$5:$A$289,$D1250,'Comp2016-2017 (3)'!$R$5:$R$289,$V1250)*$AB1250))</f>
        <v/>
      </c>
      <c r="AF1250" s="222" t="str">
        <f>IF($W1250=AF$3,$AB1250,IF(NOT($W1250=0),"",SUMIFS('Val-Vol (2)'!AF$4:AF$1858,'Val-Vol (2)'!$A$4:$A$1858,$D1250,'Val-Vol (2)'!$V$4:$V$1858,$V1250)/SUMIFS('Comp2016-2017 (3)'!$G$5:$G$289,'Comp2016-2017 (3)'!$A$5:$A$289,$D1250,'Comp2016-2017 (3)'!$R$5:$R$289,$V1250)*$AB1250))</f>
        <v/>
      </c>
      <c r="AG1250" s="222" t="str">
        <f>IF($W1250=AG$3,$AB1250,IF(NOT($W1250=0),"",SUMIFS('Val-Vol (2)'!AG$4:AG$1858,'Val-Vol (2)'!$A$4:$A$1858,$D1250,'Val-Vol (2)'!$V$4:$V$1858,$V1250)/SUMIFS('Comp2016-2017 (3)'!$G$5:$G$289,'Comp2016-2017 (3)'!$A$5:$A$289,$D1250,'Comp2016-2017 (3)'!$R$5:$R$289,$V1250)*$AB1250))</f>
        <v/>
      </c>
      <c r="AH1250" s="222" t="str">
        <f>IF($W1250=AH$3,$AB1250,IF(NOT($W1250=0),"",SUMIFS('Val-Vol (2)'!AH$4:AH$1858,'Val-Vol (2)'!$A$4:$A$1858,$D1250,'Val-Vol (2)'!$V$4:$V$1858,$V1250)/SUMIFS('Comp2016-2017 (3)'!$G$5:$G$289,'Comp2016-2017 (3)'!$A$5:$A$289,$D1250,'Comp2016-2017 (3)'!$R$5:$R$289,$V1250)*$AB1250))</f>
        <v/>
      </c>
      <c r="AI1250" s="222" t="str">
        <f>IF($W1250=AI$3,$AB1250,IF(NOT($W1250=0),"",SUMIFS('Val-Vol (2)'!AI$4:AI$1858,'Val-Vol (2)'!$A$4:$A$1858,$D1250,'Val-Vol (2)'!$V$4:$V$1858,$V1250)/SUMIFS('Comp2016-2017 (3)'!$G$5:$G$289,'Comp2016-2017 (3)'!$A$5:$A$289,$D1250,'Comp2016-2017 (3)'!$R$5:$R$289,$V1250)*$AB1250))</f>
        <v/>
      </c>
      <c r="AJ1250" s="222" t="str">
        <f>IF($W1250=AJ$3,$AB1250,IF(NOT($W1250=0),"",SUMIFS('Val-Vol (2)'!AJ$4:AJ$1858,'Val-Vol (2)'!$A$4:$A$1858,$D1250,'Val-Vol (2)'!$V$4:$V$1858,$V1250)/SUMIFS('Comp2016-2017 (3)'!$G$5:$G$289,'Comp2016-2017 (3)'!$A$5:$A$289,$D1250,'Comp2016-2017 (3)'!$R$5:$R$289,$V1250)*$AB1250))</f>
        <v/>
      </c>
      <c r="AK1250" s="222">
        <f t="shared" si="154"/>
        <v>0</v>
      </c>
      <c r="AL1250" s="212" t="str">
        <f t="shared" si="155"/>
        <v/>
      </c>
      <c r="AM1250" s="212" t="str">
        <f>VLOOKUP(A1250,'Table corresp.'!$M$4:$U$63,8,FALSE)</f>
        <v>Production intermédiaire</v>
      </c>
      <c r="AN1250" s="212" t="str">
        <f>VLOOKUP(D1250,'Table corresp.'!$M$4:$U$63,9,FALSE)</f>
        <v xml:space="preserve">Mise en œuvre </v>
      </c>
    </row>
    <row r="1251" spans="1:40" x14ac:dyDescent="0.25">
      <c r="A1251" t="s">
        <v>7</v>
      </c>
      <c r="B1251" t="str">
        <f>VLOOKUP(LEFT(A1251,3),'Table corresp.'!$A$4:$D$63,3,FALSE)</f>
        <v>Transformation</v>
      </c>
      <c r="C1251" t="str">
        <f>VLOOKUP(A1251,'Table corresp.'!$M$4:$P$63,4,FALSE)</f>
        <v>Production et transformation de produits bois</v>
      </c>
      <c r="D1251" t="s">
        <v>25</v>
      </c>
      <c r="E1251" t="str">
        <f>VLOOKUP(LEFT(D1251,3),'Table corresp.'!$A$4:$D$63,4,FALSE)</f>
        <v>Transformation</v>
      </c>
      <c r="F1251" t="str">
        <f t="shared" si="152"/>
        <v xml:space="preserve">12  - 58 </v>
      </c>
      <c r="G1251" s="213">
        <v>90240.540682487772</v>
      </c>
      <c r="H1251" s="213">
        <v>8965.5182047643975</v>
      </c>
      <c r="I1251" s="213">
        <v>99206.058887252162</v>
      </c>
      <c r="J1251" s="215">
        <v>667.48436023479678</v>
      </c>
      <c r="K1251" s="215">
        <v>68.331977583889255</v>
      </c>
      <c r="L1251" s="215">
        <v>735.81633781868607</v>
      </c>
      <c r="M1251" s="215"/>
      <c r="N1251" s="215"/>
      <c r="O1251" s="215"/>
      <c r="P1251" s="215"/>
      <c r="Q1251" s="215"/>
      <c r="R1251" s="215"/>
      <c r="S1251" s="213"/>
      <c r="T1251" s="212">
        <f>VLOOKUP(A1251,'Groupe de branches'!$Z$27:$AM$86,14,FALSE)</f>
        <v>0</v>
      </c>
      <c r="U1251" s="212">
        <f>VLOOKUP(D1251,'Groupe de branches'!$Z$27:$AM$86,14,FALSE)</f>
        <v>0</v>
      </c>
      <c r="V1251" s="212">
        <v>2019</v>
      </c>
      <c r="W1251" s="212" t="str">
        <f>VLOOKUP(D1251,'Table corresp.'!$M$4:$S$63,7,FALSE)</f>
        <v>Construction</v>
      </c>
      <c r="X1251" s="228">
        <f>IFERROR(G1251/SUMIFS('Comp2016-2017 (3)'!$I$5:$I$289,'Comp2016-2017 (3)'!$A$5:$A$289,A1251,'Comp2016-2017 (3)'!$R$5:$R$289,V1251),0)</f>
        <v>0.12664824435382038</v>
      </c>
      <c r="Y1251" s="214" t="e">
        <f>IF(RIGHT(F1251,3)="Exp",VLOOKUP(F1251,#REF!,2,FALSE),VLOOKUP(F1251,#REF!,9,FALSE))</f>
        <v>#REF!</v>
      </c>
      <c r="Z1251" s="225" t="str">
        <f t="shared" si="156"/>
        <v/>
      </c>
      <c r="AA1251" s="225" t="e">
        <f t="shared" si="153"/>
        <v>#VALUE!</v>
      </c>
      <c r="AB1251" s="222">
        <f>IFERROR(SUMIFS('Comp2016-2017 (3)'!$G$5:$G$289,'Comp2016-2017 (3)'!$A$5:$A$289,A1251,'Comp2016-2017 (3)'!$R$5:$R$289,V1251)*AA1251/SUMIFS($AA$4:$AA$1858,$A$4:$A$1858,A1251,$V$4:$V$1858,V1251),0)</f>
        <v>0</v>
      </c>
      <c r="AC1251" s="222" t="str">
        <f>IF($W1251=AC$3,$AB1251,IF(NOT($W1251=0),"",SUMIFS('Val-Vol (2)'!AC$4:AC$1858,'Val-Vol (2)'!$A$4:$A$1858,$D1251,'Val-Vol (2)'!$V$4:$V$1858,$V1251)/SUMIFS('Comp2016-2017 (3)'!$G$5:$G$289,'Comp2016-2017 (3)'!$A$5:$A$289,$D1251,'Comp2016-2017 (3)'!$R$5:$R$289,$V1251)*$AB1251))</f>
        <v/>
      </c>
      <c r="AD1251" s="222">
        <f>IF($W1251=AD$3,$AB1251,IF(NOT($W1251=0),"",SUMIFS('Val-Vol (2)'!AD$4:AD$1858,'Val-Vol (2)'!$A$4:$A$1858,$D1251,'Val-Vol (2)'!$V$4:$V$1858,$V1251)/SUMIFS('Comp2016-2017 (3)'!$G$5:$G$289,'Comp2016-2017 (3)'!$A$5:$A$289,$D1251,'Comp2016-2017 (3)'!$R$5:$R$289,$V1251)*$AB1251))</f>
        <v>0</v>
      </c>
      <c r="AE1251" s="222" t="str">
        <f>IF($W1251=AE$3,$AB1251,IF(NOT($W1251=0),"",SUMIFS('Val-Vol (2)'!AE$4:AE$1858,'Val-Vol (2)'!$A$4:$A$1858,$D1251,'Val-Vol (2)'!$V$4:$V$1858,$V1251)/SUMIFS('Comp2016-2017 (3)'!$G$5:$G$289,'Comp2016-2017 (3)'!$A$5:$A$289,$D1251,'Comp2016-2017 (3)'!$R$5:$R$289,$V1251)*$AB1251))</f>
        <v/>
      </c>
      <c r="AF1251" s="222" t="str">
        <f>IF($W1251=AF$3,$AB1251,IF(NOT($W1251=0),"",SUMIFS('Val-Vol (2)'!AF$4:AF$1858,'Val-Vol (2)'!$A$4:$A$1858,$D1251,'Val-Vol (2)'!$V$4:$V$1858,$V1251)/SUMIFS('Comp2016-2017 (3)'!$G$5:$G$289,'Comp2016-2017 (3)'!$A$5:$A$289,$D1251,'Comp2016-2017 (3)'!$R$5:$R$289,$V1251)*$AB1251))</f>
        <v/>
      </c>
      <c r="AG1251" s="222" t="str">
        <f>IF($W1251=AG$3,$AB1251,IF(NOT($W1251=0),"",SUMIFS('Val-Vol (2)'!AG$4:AG$1858,'Val-Vol (2)'!$A$4:$A$1858,$D1251,'Val-Vol (2)'!$V$4:$V$1858,$V1251)/SUMIFS('Comp2016-2017 (3)'!$G$5:$G$289,'Comp2016-2017 (3)'!$A$5:$A$289,$D1251,'Comp2016-2017 (3)'!$R$5:$R$289,$V1251)*$AB1251))</f>
        <v/>
      </c>
      <c r="AH1251" s="222" t="str">
        <f>IF($W1251=AH$3,$AB1251,IF(NOT($W1251=0),"",SUMIFS('Val-Vol (2)'!AH$4:AH$1858,'Val-Vol (2)'!$A$4:$A$1858,$D1251,'Val-Vol (2)'!$V$4:$V$1858,$V1251)/SUMIFS('Comp2016-2017 (3)'!$G$5:$G$289,'Comp2016-2017 (3)'!$A$5:$A$289,$D1251,'Comp2016-2017 (3)'!$R$5:$R$289,$V1251)*$AB1251))</f>
        <v/>
      </c>
      <c r="AI1251" s="222" t="str">
        <f>IF($W1251=AI$3,$AB1251,IF(NOT($W1251=0),"",SUMIFS('Val-Vol (2)'!AI$4:AI$1858,'Val-Vol (2)'!$A$4:$A$1858,$D1251,'Val-Vol (2)'!$V$4:$V$1858,$V1251)/SUMIFS('Comp2016-2017 (3)'!$G$5:$G$289,'Comp2016-2017 (3)'!$A$5:$A$289,$D1251,'Comp2016-2017 (3)'!$R$5:$R$289,$V1251)*$AB1251))</f>
        <v/>
      </c>
      <c r="AJ1251" s="222" t="str">
        <f>IF($W1251=AJ$3,$AB1251,IF(NOT($W1251=0),"",SUMIFS('Val-Vol (2)'!AJ$4:AJ$1858,'Val-Vol (2)'!$A$4:$A$1858,$D1251,'Val-Vol (2)'!$V$4:$V$1858,$V1251)/SUMIFS('Comp2016-2017 (3)'!$G$5:$G$289,'Comp2016-2017 (3)'!$A$5:$A$289,$D1251,'Comp2016-2017 (3)'!$R$5:$R$289,$V1251)*$AB1251))</f>
        <v/>
      </c>
      <c r="AK1251" s="222">
        <f t="shared" si="154"/>
        <v>0</v>
      </c>
      <c r="AL1251" s="212" t="str">
        <f t="shared" si="155"/>
        <v/>
      </c>
      <c r="AM1251" s="212" t="str">
        <f>VLOOKUP(A1251,'Table corresp.'!$M$4:$U$63,8,FALSE)</f>
        <v>Production intermédiaire</v>
      </c>
      <c r="AN1251" s="212" t="str">
        <f>VLOOKUP(D1251,'Table corresp.'!$M$4:$U$63,9,FALSE)</f>
        <v xml:space="preserve">Mise en œuvre </v>
      </c>
    </row>
    <row r="1252" spans="1:40" x14ac:dyDescent="0.25">
      <c r="A1252" t="s">
        <v>7</v>
      </c>
      <c r="B1252" t="str">
        <f>VLOOKUP(LEFT(A1252,3),'Table corresp.'!$A$4:$D$63,3,FALSE)</f>
        <v>Transformation</v>
      </c>
      <c r="C1252" t="str">
        <f>VLOOKUP(A1252,'Table corresp.'!$M$4:$P$63,4,FALSE)</f>
        <v>Production et transformation de produits bois</v>
      </c>
      <c r="D1252" t="s">
        <v>26</v>
      </c>
      <c r="E1252" t="str">
        <f>VLOOKUP(LEFT(D1252,3),'Table corresp.'!$A$4:$D$63,4,FALSE)</f>
        <v>Transformation</v>
      </c>
      <c r="F1252" t="str">
        <f t="shared" si="152"/>
        <v xml:space="preserve">12  - 59 </v>
      </c>
      <c r="G1252" s="213">
        <v>4186.0214281511317</v>
      </c>
      <c r="H1252" s="213">
        <v>5302.303853323172</v>
      </c>
      <c r="I1252" s="213">
        <v>9488.3252814743028</v>
      </c>
      <c r="J1252" s="215">
        <v>57.162174587372725</v>
      </c>
      <c r="K1252" s="215">
        <v>71.498624763359359</v>
      </c>
      <c r="L1252" s="215">
        <v>128.66079935073208</v>
      </c>
      <c r="M1252" s="215"/>
      <c r="N1252" s="215"/>
      <c r="O1252" s="215"/>
      <c r="P1252" s="215"/>
      <c r="Q1252" s="215"/>
      <c r="R1252" s="215"/>
      <c r="S1252" s="213"/>
      <c r="T1252" s="212">
        <f>VLOOKUP(A1252,'Groupe de branches'!$Z$27:$AM$86,14,FALSE)</f>
        <v>0</v>
      </c>
      <c r="U1252" s="212">
        <f>VLOOKUP(D1252,'Groupe de branches'!$Z$27:$AM$86,14,FALSE)</f>
        <v>0</v>
      </c>
      <c r="V1252" s="212">
        <v>2019</v>
      </c>
      <c r="W1252" s="212" t="str">
        <f>VLOOKUP(D1252,'Table corresp.'!$M$4:$S$63,7,FALSE)</f>
        <v>Construction</v>
      </c>
      <c r="X1252" s="228">
        <f>IFERROR(G1252/SUMIFS('Comp2016-2017 (3)'!$I$5:$I$289,'Comp2016-2017 (3)'!$A$5:$A$289,A1252,'Comp2016-2017 (3)'!$R$5:$R$289,V1252),0)</f>
        <v>5.8748790808796081E-3</v>
      </c>
      <c r="Y1252" s="214" t="e">
        <f>IF(RIGHT(F1252,3)="Exp",VLOOKUP(F1252,#REF!,2,FALSE),VLOOKUP(F1252,#REF!,9,FALSE))</f>
        <v>#REF!</v>
      </c>
      <c r="Z1252" s="225" t="str">
        <f t="shared" si="156"/>
        <v/>
      </c>
      <c r="AA1252" s="225" t="e">
        <f t="shared" si="153"/>
        <v>#VALUE!</v>
      </c>
      <c r="AB1252" s="222">
        <f>IFERROR(SUMIFS('Comp2016-2017 (3)'!$G$5:$G$289,'Comp2016-2017 (3)'!$A$5:$A$289,A1252,'Comp2016-2017 (3)'!$R$5:$R$289,V1252)*AA1252/SUMIFS($AA$4:$AA$1858,$A$4:$A$1858,A1252,$V$4:$V$1858,V1252),0)</f>
        <v>0</v>
      </c>
      <c r="AC1252" s="222" t="str">
        <f>IF($W1252=AC$3,$AB1252,IF(NOT($W1252=0),"",SUMIFS('Val-Vol (2)'!AC$4:AC$1858,'Val-Vol (2)'!$A$4:$A$1858,$D1252,'Val-Vol (2)'!$V$4:$V$1858,$V1252)/SUMIFS('Comp2016-2017 (3)'!$G$5:$G$289,'Comp2016-2017 (3)'!$A$5:$A$289,$D1252,'Comp2016-2017 (3)'!$R$5:$R$289,$V1252)*$AB1252))</f>
        <v/>
      </c>
      <c r="AD1252" s="222">
        <f>IF($W1252=AD$3,$AB1252,IF(NOT($W1252=0),"",SUMIFS('Val-Vol (2)'!AD$4:AD$1858,'Val-Vol (2)'!$A$4:$A$1858,$D1252,'Val-Vol (2)'!$V$4:$V$1858,$V1252)/SUMIFS('Comp2016-2017 (3)'!$G$5:$G$289,'Comp2016-2017 (3)'!$A$5:$A$289,$D1252,'Comp2016-2017 (3)'!$R$5:$R$289,$V1252)*$AB1252))</f>
        <v>0</v>
      </c>
      <c r="AE1252" s="222" t="str">
        <f>IF($W1252=AE$3,$AB1252,IF(NOT($W1252=0),"",SUMIFS('Val-Vol (2)'!AE$4:AE$1858,'Val-Vol (2)'!$A$4:$A$1858,$D1252,'Val-Vol (2)'!$V$4:$V$1858,$V1252)/SUMIFS('Comp2016-2017 (3)'!$G$5:$G$289,'Comp2016-2017 (3)'!$A$5:$A$289,$D1252,'Comp2016-2017 (3)'!$R$5:$R$289,$V1252)*$AB1252))</f>
        <v/>
      </c>
      <c r="AF1252" s="222" t="str">
        <f>IF($W1252=AF$3,$AB1252,IF(NOT($W1252=0),"",SUMIFS('Val-Vol (2)'!AF$4:AF$1858,'Val-Vol (2)'!$A$4:$A$1858,$D1252,'Val-Vol (2)'!$V$4:$V$1858,$V1252)/SUMIFS('Comp2016-2017 (3)'!$G$5:$G$289,'Comp2016-2017 (3)'!$A$5:$A$289,$D1252,'Comp2016-2017 (3)'!$R$5:$R$289,$V1252)*$AB1252))</f>
        <v/>
      </c>
      <c r="AG1252" s="222" t="str">
        <f>IF($W1252=AG$3,$AB1252,IF(NOT($W1252=0),"",SUMIFS('Val-Vol (2)'!AG$4:AG$1858,'Val-Vol (2)'!$A$4:$A$1858,$D1252,'Val-Vol (2)'!$V$4:$V$1858,$V1252)/SUMIFS('Comp2016-2017 (3)'!$G$5:$G$289,'Comp2016-2017 (3)'!$A$5:$A$289,$D1252,'Comp2016-2017 (3)'!$R$5:$R$289,$V1252)*$AB1252))</f>
        <v/>
      </c>
      <c r="AH1252" s="222" t="str">
        <f>IF($W1252=AH$3,$AB1252,IF(NOT($W1252=0),"",SUMIFS('Val-Vol (2)'!AH$4:AH$1858,'Val-Vol (2)'!$A$4:$A$1858,$D1252,'Val-Vol (2)'!$V$4:$V$1858,$V1252)/SUMIFS('Comp2016-2017 (3)'!$G$5:$G$289,'Comp2016-2017 (3)'!$A$5:$A$289,$D1252,'Comp2016-2017 (3)'!$R$5:$R$289,$V1252)*$AB1252))</f>
        <v/>
      </c>
      <c r="AI1252" s="222" t="str">
        <f>IF($W1252=AI$3,$AB1252,IF(NOT($W1252=0),"",SUMIFS('Val-Vol (2)'!AI$4:AI$1858,'Val-Vol (2)'!$A$4:$A$1858,$D1252,'Val-Vol (2)'!$V$4:$V$1858,$V1252)/SUMIFS('Comp2016-2017 (3)'!$G$5:$G$289,'Comp2016-2017 (3)'!$A$5:$A$289,$D1252,'Comp2016-2017 (3)'!$R$5:$R$289,$V1252)*$AB1252))</f>
        <v/>
      </c>
      <c r="AJ1252" s="222" t="str">
        <f>IF($W1252=AJ$3,$AB1252,IF(NOT($W1252=0),"",SUMIFS('Val-Vol (2)'!AJ$4:AJ$1858,'Val-Vol (2)'!$A$4:$A$1858,$D1252,'Val-Vol (2)'!$V$4:$V$1858,$V1252)/SUMIFS('Comp2016-2017 (3)'!$G$5:$G$289,'Comp2016-2017 (3)'!$A$5:$A$289,$D1252,'Comp2016-2017 (3)'!$R$5:$R$289,$V1252)*$AB1252))</f>
        <v/>
      </c>
      <c r="AK1252" s="222">
        <f t="shared" si="154"/>
        <v>0</v>
      </c>
      <c r="AL1252" s="212" t="str">
        <f t="shared" si="155"/>
        <v/>
      </c>
      <c r="AM1252" s="212" t="str">
        <f>VLOOKUP(A1252,'Table corresp.'!$M$4:$U$63,8,FALSE)</f>
        <v>Production intermédiaire</v>
      </c>
      <c r="AN1252" s="212" t="str">
        <f>VLOOKUP(D1252,'Table corresp.'!$M$4:$U$63,9,FALSE)</f>
        <v xml:space="preserve">Mise en œuvre </v>
      </c>
    </row>
    <row r="1253" spans="1:40" x14ac:dyDescent="0.25">
      <c r="A1253" t="s">
        <v>7</v>
      </c>
      <c r="B1253" t="str">
        <f>VLOOKUP(LEFT(A1253,3),'Table corresp.'!$A$4:$D$63,3,FALSE)</f>
        <v>Transformation</v>
      </c>
      <c r="C1253" t="str">
        <f>VLOOKUP(A1253,'Table corresp.'!$M$4:$P$63,4,FALSE)</f>
        <v>Production et transformation de produits bois</v>
      </c>
      <c r="D1253" t="s">
        <v>54</v>
      </c>
      <c r="E1253" t="str">
        <f>VLOOKUP(LEFT(D1253,3),'Table corresp.'!$A$4:$D$63,4,FALSE)</f>
        <v>Consommation finale</v>
      </c>
      <c r="F1253" t="str">
        <f t="shared" si="152"/>
        <v>12  - Con</v>
      </c>
      <c r="G1253" s="213">
        <v>70079.056788138958</v>
      </c>
      <c r="H1253" s="213">
        <v>15446.365523999526</v>
      </c>
      <c r="I1253" s="213">
        <v>85525.422312138471</v>
      </c>
      <c r="J1253" s="215">
        <v>622.02651755830823</v>
      </c>
      <c r="K1253" s="215">
        <v>136.91673619071929</v>
      </c>
      <c r="L1253" s="215">
        <v>758.94325374902746</v>
      </c>
      <c r="M1253" s="215"/>
      <c r="N1253" s="215"/>
      <c r="O1253" s="215"/>
      <c r="P1253" s="215"/>
      <c r="Q1253" s="215"/>
      <c r="R1253" s="215"/>
      <c r="S1253" s="213"/>
      <c r="T1253" s="212">
        <f>VLOOKUP(A1253,'Groupe de branches'!$Z$27:$AM$86,14,FALSE)</f>
        <v>0</v>
      </c>
      <c r="U1253" s="212">
        <f>VLOOKUP(D1253,'Groupe de branches'!$Z$27:$AM$86,14,FALSE)</f>
        <v>0</v>
      </c>
      <c r="V1253" s="212">
        <v>2019</v>
      </c>
      <c r="W1253" s="212" t="str">
        <f>VLOOKUP(D1253,'Table corresp.'!$M$4:$S$63,7,FALSE)</f>
        <v>Consommation finale</v>
      </c>
      <c r="X1253" s="228">
        <f>IFERROR(G1253/SUMIFS('Comp2016-2017 (3)'!$I$5:$I$289,'Comp2016-2017 (3)'!$A$5:$A$289,A1253,'Comp2016-2017 (3)'!$R$5:$R$289,V1253),0)</f>
        <v>9.8352574586378222E-2</v>
      </c>
      <c r="Y1253" s="214" t="e">
        <f>IF(RIGHT(F1253,3)="Exp",VLOOKUP(F1253,#REF!,2,FALSE),VLOOKUP(F1253,#REF!,9,FALSE))</f>
        <v>#REF!</v>
      </c>
      <c r="Z1253" s="225" t="str">
        <f t="shared" si="156"/>
        <v/>
      </c>
      <c r="AA1253" s="225" t="e">
        <f t="shared" si="153"/>
        <v>#VALUE!</v>
      </c>
      <c r="AB1253" s="222">
        <f>IFERROR(SUMIFS('Comp2016-2017 (3)'!$G$5:$G$289,'Comp2016-2017 (3)'!$A$5:$A$289,A1253,'Comp2016-2017 (3)'!$R$5:$R$289,V1253)*AA1253/SUMIFS($AA$4:$AA$1858,$A$4:$A$1858,A1253,$V$4:$V$1858,V1253),0)</f>
        <v>0</v>
      </c>
      <c r="AC1253" s="222" t="str">
        <f>IF($W1253=AC$3,$AB1253,IF(NOT($W1253=0),"",SUMIFS('Val-Vol (2)'!AC$4:AC$1858,'Val-Vol (2)'!$A$4:$A$1858,$D1253,'Val-Vol (2)'!$V$4:$V$1858,$V1253)/SUMIFS('Comp2016-2017 (3)'!$G$5:$G$289,'Comp2016-2017 (3)'!$A$5:$A$289,$D1253,'Comp2016-2017 (3)'!$R$5:$R$289,$V1253)*$AB1253))</f>
        <v/>
      </c>
      <c r="AD1253" s="222" t="str">
        <f>IF($W1253=AD$3,$AB1253,IF(NOT($W1253=0),"",SUMIFS('Val-Vol (2)'!AD$4:AD$1858,'Val-Vol (2)'!$A$4:$A$1858,$D1253,'Val-Vol (2)'!$V$4:$V$1858,$V1253)/SUMIFS('Comp2016-2017 (3)'!$G$5:$G$289,'Comp2016-2017 (3)'!$A$5:$A$289,$D1253,'Comp2016-2017 (3)'!$R$5:$R$289,$V1253)*$AB1253))</f>
        <v/>
      </c>
      <c r="AE1253" s="222" t="str">
        <f>IF($W1253=AE$3,$AB1253,IF(NOT($W1253=0),"",SUMIFS('Val-Vol (2)'!AE$4:AE$1858,'Val-Vol (2)'!$A$4:$A$1858,$D1253,'Val-Vol (2)'!$V$4:$V$1858,$V1253)/SUMIFS('Comp2016-2017 (3)'!$G$5:$G$289,'Comp2016-2017 (3)'!$A$5:$A$289,$D1253,'Comp2016-2017 (3)'!$R$5:$R$289,$V1253)*$AB1253))</f>
        <v/>
      </c>
      <c r="AF1253" s="222" t="str">
        <f>IF($W1253=AF$3,$AB1253,IF(NOT($W1253=0),"",SUMIFS('Val-Vol (2)'!AF$4:AF$1858,'Val-Vol (2)'!$A$4:$A$1858,$D1253,'Val-Vol (2)'!$V$4:$V$1858,$V1253)/SUMIFS('Comp2016-2017 (3)'!$G$5:$G$289,'Comp2016-2017 (3)'!$A$5:$A$289,$D1253,'Comp2016-2017 (3)'!$R$5:$R$289,$V1253)*$AB1253))</f>
        <v/>
      </c>
      <c r="AG1253" s="222" t="str">
        <f>IF($W1253=AG$3,$AB1253,IF(NOT($W1253=0),"",SUMIFS('Val-Vol (2)'!AG$4:AG$1858,'Val-Vol (2)'!$A$4:$A$1858,$D1253,'Val-Vol (2)'!$V$4:$V$1858,$V1253)/SUMIFS('Comp2016-2017 (3)'!$G$5:$G$289,'Comp2016-2017 (3)'!$A$5:$A$289,$D1253,'Comp2016-2017 (3)'!$R$5:$R$289,$V1253)*$AB1253))</f>
        <v/>
      </c>
      <c r="AH1253" s="222" t="str">
        <f>IF($W1253=AH$3,$AB1253,IF(NOT($W1253=0),"",SUMIFS('Val-Vol (2)'!AH$4:AH$1858,'Val-Vol (2)'!$A$4:$A$1858,$D1253,'Val-Vol (2)'!$V$4:$V$1858,$V1253)/SUMIFS('Comp2016-2017 (3)'!$G$5:$G$289,'Comp2016-2017 (3)'!$A$5:$A$289,$D1253,'Comp2016-2017 (3)'!$R$5:$R$289,$V1253)*$AB1253))</f>
        <v/>
      </c>
      <c r="AI1253" s="222" t="str">
        <f>IF($W1253=AI$3,$AB1253,IF(NOT($W1253=0),"",SUMIFS('Val-Vol (2)'!AI$4:AI$1858,'Val-Vol (2)'!$A$4:$A$1858,$D1253,'Val-Vol (2)'!$V$4:$V$1858,$V1253)/SUMIFS('Comp2016-2017 (3)'!$G$5:$G$289,'Comp2016-2017 (3)'!$A$5:$A$289,$D1253,'Comp2016-2017 (3)'!$R$5:$R$289,$V1253)*$AB1253))</f>
        <v/>
      </c>
      <c r="AJ1253" s="222">
        <f>IF($W1253=AJ$3,$AB1253,IF(NOT($W1253=0),"",SUMIFS('Val-Vol (2)'!AJ$4:AJ$1858,'Val-Vol (2)'!$A$4:$A$1858,$D1253,'Val-Vol (2)'!$V$4:$V$1858,$V1253)/SUMIFS('Comp2016-2017 (3)'!$G$5:$G$289,'Comp2016-2017 (3)'!$A$5:$A$289,$D1253,'Comp2016-2017 (3)'!$R$5:$R$289,$V1253)*$AB1253))</f>
        <v>0</v>
      </c>
      <c r="AK1253" s="222">
        <f t="shared" si="154"/>
        <v>0</v>
      </c>
      <c r="AL1253" s="212" t="str">
        <f t="shared" si="155"/>
        <v/>
      </c>
      <c r="AM1253" s="212" t="str">
        <f>VLOOKUP(A1253,'Table corresp.'!$M$4:$U$63,8,FALSE)</f>
        <v>Production intermédiaire</v>
      </c>
      <c r="AN1253" s="212" t="str">
        <f>VLOOKUP(D1253,'Table corresp.'!$M$4:$U$63,9,FALSE)</f>
        <v>Consommation finale française</v>
      </c>
    </row>
    <row r="1254" spans="1:40" x14ac:dyDescent="0.25">
      <c r="A1254" t="s">
        <v>7</v>
      </c>
      <c r="B1254" t="str">
        <f>VLOOKUP(LEFT(A1254,3),'Table corresp.'!$A$4:$D$63,3,FALSE)</f>
        <v>Transformation</v>
      </c>
      <c r="C1254" t="str">
        <f>VLOOKUP(A1254,'Table corresp.'!$M$4:$P$63,4,FALSE)</f>
        <v>Production et transformation de produits bois</v>
      </c>
      <c r="D1254" t="s">
        <v>53</v>
      </c>
      <c r="E1254" t="str">
        <f>VLOOKUP(LEFT(D1254,3),'Table corresp.'!$A$4:$D$63,4,FALSE)</f>
        <v>Exportation</v>
      </c>
      <c r="F1254" t="str">
        <f t="shared" si="152"/>
        <v>12  - Exp</v>
      </c>
      <c r="G1254" s="213">
        <v>45674.38100000003</v>
      </c>
      <c r="H1254" s="213">
        <v>0</v>
      </c>
      <c r="I1254" s="213">
        <v>45674.381000000023</v>
      </c>
      <c r="J1254" s="215">
        <v>521.29761333810222</v>
      </c>
      <c r="K1254" s="215">
        <v>0</v>
      </c>
      <c r="L1254" s="215">
        <v>521.29761333810222</v>
      </c>
      <c r="M1254" s="215"/>
      <c r="N1254" s="215"/>
      <c r="O1254" s="215"/>
      <c r="P1254" s="215"/>
      <c r="Q1254" s="215"/>
      <c r="R1254" s="215"/>
      <c r="S1254" s="213"/>
      <c r="T1254" s="212">
        <f>VLOOKUP(A1254,'Groupe de branches'!$Z$27:$AM$86,14,FALSE)</f>
        <v>0</v>
      </c>
      <c r="U1254" s="212">
        <f>VLOOKUP(D1254,'Groupe de branches'!$Z$27:$AM$86,14,FALSE)</f>
        <v>0</v>
      </c>
      <c r="V1254" s="212">
        <v>2019</v>
      </c>
      <c r="W1254" s="212" t="str">
        <f>VLOOKUP(D1254,'Table corresp.'!$M$4:$S$63,7,FALSE)</f>
        <v>Exportation</v>
      </c>
      <c r="X1254" s="228">
        <f>IFERROR(G1254/SUMIFS('Comp2016-2017 (3)'!$I$5:$I$289,'Comp2016-2017 (3)'!$A$5:$A$289,A1254,'Comp2016-2017 (3)'!$R$5:$R$289,V1254),0)</f>
        <v>6.410178974825291E-2</v>
      </c>
      <c r="Y1254" s="214" t="e">
        <f>IF(RIGHT(F1254,3)="Exp",VLOOKUP(F1254,#REF!,2,FALSE),VLOOKUP(F1254,#REF!,9,FALSE))</f>
        <v>#REF!</v>
      </c>
      <c r="Z1254" s="225" t="str">
        <f t="shared" si="156"/>
        <v/>
      </c>
      <c r="AA1254" s="225" t="e">
        <f t="shared" si="153"/>
        <v>#VALUE!</v>
      </c>
      <c r="AB1254" s="222">
        <f>IFERROR(SUMIFS('Comp2016-2017 (3)'!$G$5:$G$289,'Comp2016-2017 (3)'!$A$5:$A$289,A1254,'Comp2016-2017 (3)'!$R$5:$R$289,V1254)*AA1254/SUMIFS($AA$4:$AA$1858,$A$4:$A$1858,A1254,$V$4:$V$1858,V1254),0)</f>
        <v>0</v>
      </c>
      <c r="AC1254" s="222">
        <f>IF($W1254=AC$3,$AB1254,IF(NOT($W1254=0),"",SUMIFS('Val-Vol (2)'!AC$4:AC$1858,'Val-Vol (2)'!$A$4:$A$1858,$D1254,'Val-Vol (2)'!$V$4:$V$1858,$V1254)/SUMIFS('Comp2016-2017 (3)'!$G$5:$G$289,'Comp2016-2017 (3)'!$A$5:$A$289,$D1254,'Comp2016-2017 (3)'!$R$5:$R$289,$V1254)*$AB1254))</f>
        <v>0</v>
      </c>
      <c r="AD1254" s="222" t="str">
        <f>IF($W1254=AD$3,$AB1254,IF(NOT($W1254=0),"",SUMIFS('Val-Vol (2)'!AD$4:AD$1858,'Val-Vol (2)'!$A$4:$A$1858,$D1254,'Val-Vol (2)'!$V$4:$V$1858,$V1254)/SUMIFS('Comp2016-2017 (3)'!$G$5:$G$289,'Comp2016-2017 (3)'!$A$5:$A$289,$D1254,'Comp2016-2017 (3)'!$R$5:$R$289,$V1254)*$AB1254))</f>
        <v/>
      </c>
      <c r="AE1254" s="222" t="str">
        <f>IF($W1254=AE$3,$AB1254,IF(NOT($W1254=0),"",SUMIFS('Val-Vol (2)'!AE$4:AE$1858,'Val-Vol (2)'!$A$4:$A$1858,$D1254,'Val-Vol (2)'!$V$4:$V$1858,$V1254)/SUMIFS('Comp2016-2017 (3)'!$G$5:$G$289,'Comp2016-2017 (3)'!$A$5:$A$289,$D1254,'Comp2016-2017 (3)'!$R$5:$R$289,$V1254)*$AB1254))</f>
        <v/>
      </c>
      <c r="AF1254" s="222" t="str">
        <f>IF($W1254=AF$3,$AB1254,IF(NOT($W1254=0),"",SUMIFS('Val-Vol (2)'!AF$4:AF$1858,'Val-Vol (2)'!$A$4:$A$1858,$D1254,'Val-Vol (2)'!$V$4:$V$1858,$V1254)/SUMIFS('Comp2016-2017 (3)'!$G$5:$G$289,'Comp2016-2017 (3)'!$A$5:$A$289,$D1254,'Comp2016-2017 (3)'!$R$5:$R$289,$V1254)*$AB1254))</f>
        <v/>
      </c>
      <c r="AG1254" s="222" t="str">
        <f>IF($W1254=AG$3,$AB1254,IF(NOT($W1254=0),"",SUMIFS('Val-Vol (2)'!AG$4:AG$1858,'Val-Vol (2)'!$A$4:$A$1858,$D1254,'Val-Vol (2)'!$V$4:$V$1858,$V1254)/SUMIFS('Comp2016-2017 (3)'!$G$5:$G$289,'Comp2016-2017 (3)'!$A$5:$A$289,$D1254,'Comp2016-2017 (3)'!$R$5:$R$289,$V1254)*$AB1254))</f>
        <v/>
      </c>
      <c r="AH1254" s="222" t="str">
        <f>IF($W1254=AH$3,$AB1254,IF(NOT($W1254=0),"",SUMIFS('Val-Vol (2)'!AH$4:AH$1858,'Val-Vol (2)'!$A$4:$A$1858,$D1254,'Val-Vol (2)'!$V$4:$V$1858,$V1254)/SUMIFS('Comp2016-2017 (3)'!$G$5:$G$289,'Comp2016-2017 (3)'!$A$5:$A$289,$D1254,'Comp2016-2017 (3)'!$R$5:$R$289,$V1254)*$AB1254))</f>
        <v/>
      </c>
      <c r="AI1254" s="222" t="str">
        <f>IF($W1254=AI$3,$AB1254,IF(NOT($W1254=0),"",SUMIFS('Val-Vol (2)'!AI$4:AI$1858,'Val-Vol (2)'!$A$4:$A$1858,$D1254,'Val-Vol (2)'!$V$4:$V$1858,$V1254)/SUMIFS('Comp2016-2017 (3)'!$G$5:$G$289,'Comp2016-2017 (3)'!$A$5:$A$289,$D1254,'Comp2016-2017 (3)'!$R$5:$R$289,$V1254)*$AB1254))</f>
        <v/>
      </c>
      <c r="AJ1254" s="222" t="str">
        <f>IF($W1254=AJ$3,$AB1254,IF(NOT($W1254=0),"",SUMIFS('Val-Vol (2)'!AJ$4:AJ$1858,'Val-Vol (2)'!$A$4:$A$1858,$D1254,'Val-Vol (2)'!$V$4:$V$1858,$V1254)/SUMIFS('Comp2016-2017 (3)'!$G$5:$G$289,'Comp2016-2017 (3)'!$A$5:$A$289,$D1254,'Comp2016-2017 (3)'!$R$5:$R$289,$V1254)*$AB1254))</f>
        <v/>
      </c>
      <c r="AK1254" s="222">
        <f t="shared" si="154"/>
        <v>0</v>
      </c>
      <c r="AL1254" s="212" t="str">
        <f t="shared" si="155"/>
        <v/>
      </c>
      <c r="AM1254" s="212" t="str">
        <f>VLOOKUP(A1254,'Table corresp.'!$M$4:$U$63,8,FALSE)</f>
        <v>Production intermédiaire</v>
      </c>
      <c r="AN1254" s="212" t="str">
        <f>VLOOKUP(D1254,'Table corresp.'!$M$4:$U$63,9,FALSE)</f>
        <v>Exportation</v>
      </c>
    </row>
    <row r="1255" spans="1:40" x14ac:dyDescent="0.25">
      <c r="A1255" t="s">
        <v>8</v>
      </c>
      <c r="B1255" t="str">
        <f>VLOOKUP(LEFT(A1255,3),'Table corresp.'!$A$4:$D$63,3,FALSE)</f>
        <v>Transformation</v>
      </c>
      <c r="C1255" t="str">
        <f>VLOOKUP(A1255,'Table corresp.'!$M$4:$P$63,4,FALSE)</f>
        <v>Production et transformation de produits bois</v>
      </c>
      <c r="D1255" t="s">
        <v>13</v>
      </c>
      <c r="E1255" t="str">
        <f>VLOOKUP(LEFT(D1255,3),'Table corresp.'!$A$4:$D$63,4,FALSE)</f>
        <v>Transformation</v>
      </c>
      <c r="F1255" t="str">
        <f t="shared" si="152"/>
        <v xml:space="preserve">13  - 20 </v>
      </c>
      <c r="G1255" s="213">
        <v>68776.033780806785</v>
      </c>
      <c r="H1255" s="213">
        <v>0</v>
      </c>
      <c r="I1255" s="213">
        <v>68776.033780806785</v>
      </c>
      <c r="J1255" s="215">
        <v>369.39010152900795</v>
      </c>
      <c r="K1255" s="215">
        <v>0</v>
      </c>
      <c r="L1255" s="215">
        <v>369.39010152900795</v>
      </c>
      <c r="M1255" s="215"/>
      <c r="N1255" s="215"/>
      <c r="O1255" s="215"/>
      <c r="P1255" s="215"/>
      <c r="Q1255" s="215"/>
      <c r="R1255" s="215"/>
      <c r="S1255" s="213"/>
      <c r="T1255" s="212">
        <f>VLOOKUP(A1255,'Groupe de branches'!$Z$27:$AM$86,14,FALSE)</f>
        <v>0</v>
      </c>
      <c r="U1255" s="212">
        <f>VLOOKUP(D1255,'Groupe de branches'!$Z$27:$AM$86,14,FALSE)</f>
        <v>0</v>
      </c>
      <c r="V1255" s="212">
        <v>2019</v>
      </c>
      <c r="W1255" s="212">
        <f>VLOOKUP(D1255,'Table corresp.'!$M$4:$S$63,7,FALSE)</f>
        <v>0</v>
      </c>
      <c r="X1255" s="228">
        <f>IFERROR(G1255/SUMIFS('Comp2016-2017 (3)'!$I$5:$I$289,'Comp2016-2017 (3)'!$A$5:$A$289,A1255,'Comp2016-2017 (3)'!$R$5:$R$289,V1255),0)</f>
        <v>0.22277416455027182</v>
      </c>
      <c r="Y1255" s="214" t="e">
        <f>IF(RIGHT(F1255,3)="Exp",VLOOKUP(F1255,#REF!,2,FALSE),VLOOKUP(F1255,#REF!,9,FALSE))</f>
        <v>#REF!</v>
      </c>
      <c r="Z1255" s="225" t="str">
        <f t="shared" si="156"/>
        <v/>
      </c>
      <c r="AA1255" s="225" t="e">
        <f t="shared" si="153"/>
        <v>#VALUE!</v>
      </c>
      <c r="AB1255" s="222">
        <f>IFERROR(SUMIFS('Comp2016-2017 (3)'!$G$5:$G$289,'Comp2016-2017 (3)'!$A$5:$A$289,A1255,'Comp2016-2017 (3)'!$R$5:$R$289,V1255)*AA1255/SUMIFS($AA$4:$AA$1858,$A$4:$A$1858,A1255,$V$4:$V$1858,V1255),0)</f>
        <v>0</v>
      </c>
      <c r="AC1255" s="222">
        <f>IF($W1255=AC$3,$AB1255,IF(NOT($W1255=0),"",SUMIFS('Val-Vol (2)'!AC$4:AC$1858,'Val-Vol (2)'!$A$4:$A$1858,$D1255,'Val-Vol (2)'!$V$4:$V$1858,$V1255)/SUMIFS('Comp2016-2017 (3)'!$G$5:$G$289,'Comp2016-2017 (3)'!$A$5:$A$289,$D1255,'Comp2016-2017 (3)'!$R$5:$R$289,$V1255)*$AB1255))</f>
        <v>0</v>
      </c>
      <c r="AD1255" s="222">
        <f>IF($W1255=AD$3,$AB1255,IF(NOT($W1255=0),"",SUMIFS('Val-Vol (2)'!AD$4:AD$1858,'Val-Vol (2)'!$A$4:$A$1858,$D1255,'Val-Vol (2)'!$V$4:$V$1858,$V1255)/SUMIFS('Comp2016-2017 (3)'!$G$5:$G$289,'Comp2016-2017 (3)'!$A$5:$A$289,$D1255,'Comp2016-2017 (3)'!$R$5:$R$289,$V1255)*$AB1255))</f>
        <v>0</v>
      </c>
      <c r="AE1255" s="222">
        <f>IF($W1255=AE$3,$AB1255,IF(NOT($W1255=0),"",SUMIFS('Val-Vol (2)'!AE$4:AE$1858,'Val-Vol (2)'!$A$4:$A$1858,$D1255,'Val-Vol (2)'!$V$4:$V$1858,$V1255)/SUMIFS('Comp2016-2017 (3)'!$G$5:$G$289,'Comp2016-2017 (3)'!$A$5:$A$289,$D1255,'Comp2016-2017 (3)'!$R$5:$R$289,$V1255)*$AB1255))</f>
        <v>0</v>
      </c>
      <c r="AF1255" s="222">
        <f>IF($W1255=AF$3,$AB1255,IF(NOT($W1255=0),"",SUMIFS('Val-Vol (2)'!AF$4:AF$1858,'Val-Vol (2)'!$A$4:$A$1858,$D1255,'Val-Vol (2)'!$V$4:$V$1858,$V1255)/SUMIFS('Comp2016-2017 (3)'!$G$5:$G$289,'Comp2016-2017 (3)'!$A$5:$A$289,$D1255,'Comp2016-2017 (3)'!$R$5:$R$289,$V1255)*$AB1255))</f>
        <v>0</v>
      </c>
      <c r="AG1255" s="222">
        <f>IF($W1255=AG$3,$AB1255,IF(NOT($W1255=0),"",SUMIFS('Val-Vol (2)'!AG$4:AG$1858,'Val-Vol (2)'!$A$4:$A$1858,$D1255,'Val-Vol (2)'!$V$4:$V$1858,$V1255)/SUMIFS('Comp2016-2017 (3)'!$G$5:$G$289,'Comp2016-2017 (3)'!$A$5:$A$289,$D1255,'Comp2016-2017 (3)'!$R$5:$R$289,$V1255)*$AB1255))</f>
        <v>0</v>
      </c>
      <c r="AH1255" s="222">
        <f>IF($W1255=AH$3,$AB1255,IF(NOT($W1255=0),"",SUMIFS('Val-Vol (2)'!AH$4:AH$1858,'Val-Vol (2)'!$A$4:$A$1858,$D1255,'Val-Vol (2)'!$V$4:$V$1858,$V1255)/SUMIFS('Comp2016-2017 (3)'!$G$5:$G$289,'Comp2016-2017 (3)'!$A$5:$A$289,$D1255,'Comp2016-2017 (3)'!$R$5:$R$289,$V1255)*$AB1255))</f>
        <v>0</v>
      </c>
      <c r="AI1255" s="222">
        <f>IF($W1255=AI$3,$AB1255,IF(NOT($W1255=0),"",SUMIFS('Val-Vol (2)'!AI$4:AI$1858,'Val-Vol (2)'!$A$4:$A$1858,$D1255,'Val-Vol (2)'!$V$4:$V$1858,$V1255)/SUMIFS('Comp2016-2017 (3)'!$G$5:$G$289,'Comp2016-2017 (3)'!$A$5:$A$289,$D1255,'Comp2016-2017 (3)'!$R$5:$R$289,$V1255)*$AB1255))</f>
        <v>0</v>
      </c>
      <c r="AJ1255" s="222">
        <f>IF($W1255=AJ$3,$AB1255,IF(NOT($W1255=0),"",SUMIFS('Val-Vol (2)'!AJ$4:AJ$1858,'Val-Vol (2)'!$A$4:$A$1858,$D1255,'Val-Vol (2)'!$V$4:$V$1858,$V1255)/SUMIFS('Comp2016-2017 (3)'!$G$5:$G$289,'Comp2016-2017 (3)'!$A$5:$A$289,$D1255,'Comp2016-2017 (3)'!$R$5:$R$289,$V1255)*$AB1255))</f>
        <v>0</v>
      </c>
      <c r="AK1255" s="222">
        <f t="shared" si="154"/>
        <v>0</v>
      </c>
      <c r="AL1255" s="212" t="str">
        <f t="shared" si="155"/>
        <v/>
      </c>
      <c r="AM1255" s="212" t="str">
        <f>VLOOKUP(A1255,'Table corresp.'!$M$4:$U$63,8,FALSE)</f>
        <v>Production intermédiaire</v>
      </c>
      <c r="AN1255" s="212" t="str">
        <f>VLOOKUP(D1255,'Table corresp.'!$M$4:$U$63,9,FALSE)</f>
        <v>Production intermédiaire</v>
      </c>
    </row>
    <row r="1256" spans="1:40" x14ac:dyDescent="0.25">
      <c r="A1256" t="s">
        <v>8</v>
      </c>
      <c r="B1256" t="str">
        <f>VLOOKUP(LEFT(A1256,3),'Table corresp.'!$A$4:$D$63,3,FALSE)</f>
        <v>Transformation</v>
      </c>
      <c r="C1256" t="str">
        <f>VLOOKUP(A1256,'Table corresp.'!$M$4:$P$63,4,FALSE)</f>
        <v>Production et transformation de produits bois</v>
      </c>
      <c r="D1256" t="s">
        <v>14</v>
      </c>
      <c r="E1256" t="str">
        <f>VLOOKUP(LEFT(D1256,3),'Table corresp.'!$A$4:$D$63,4,FALSE)</f>
        <v>Transformation</v>
      </c>
      <c r="F1256" t="str">
        <f t="shared" si="152"/>
        <v>13  - 20b</v>
      </c>
      <c r="G1256" s="213">
        <v>7944.5940739240477</v>
      </c>
      <c r="H1256" s="213">
        <v>0</v>
      </c>
      <c r="I1256" s="213">
        <v>7944.5940739240477</v>
      </c>
      <c r="J1256" s="215">
        <v>58.337513923969695</v>
      </c>
      <c r="K1256" s="215">
        <v>0</v>
      </c>
      <c r="L1256" s="215">
        <v>58.337513923969695</v>
      </c>
      <c r="M1256" s="215"/>
      <c r="N1256" s="215"/>
      <c r="O1256" s="215"/>
      <c r="P1256" s="215"/>
      <c r="Q1256" s="215"/>
      <c r="R1256" s="215"/>
      <c r="S1256" s="213"/>
      <c r="T1256" s="212">
        <f>VLOOKUP(A1256,'Groupe de branches'!$Z$27:$AM$86,14,FALSE)</f>
        <v>0</v>
      </c>
      <c r="U1256" s="212">
        <f>VLOOKUP(D1256,'Groupe de branches'!$Z$27:$AM$86,14,FALSE)</f>
        <v>0</v>
      </c>
      <c r="V1256" s="212">
        <v>2019</v>
      </c>
      <c r="W1256" s="212">
        <f>VLOOKUP(D1256,'Table corresp.'!$M$4:$S$63,7,FALSE)</f>
        <v>0</v>
      </c>
      <c r="X1256" s="228">
        <f>IFERROR(G1256/SUMIFS('Comp2016-2017 (3)'!$I$5:$I$289,'Comp2016-2017 (3)'!$A$5:$A$289,A1256,'Comp2016-2017 (3)'!$R$5:$R$289,V1256),0)</f>
        <v>2.5733532601633965E-2</v>
      </c>
      <c r="Y1256" s="214" t="e">
        <f>IF(RIGHT(F1256,3)="Exp",VLOOKUP(F1256,#REF!,2,FALSE),VLOOKUP(F1256,#REF!,9,FALSE))</f>
        <v>#REF!</v>
      </c>
      <c r="Z1256" s="225" t="str">
        <f t="shared" si="156"/>
        <v/>
      </c>
      <c r="AA1256" s="225" t="e">
        <f t="shared" si="153"/>
        <v>#VALUE!</v>
      </c>
      <c r="AB1256" s="222">
        <f>IFERROR(SUMIFS('Comp2016-2017 (3)'!$G$5:$G$289,'Comp2016-2017 (3)'!$A$5:$A$289,A1256,'Comp2016-2017 (3)'!$R$5:$R$289,V1256)*AA1256/SUMIFS($AA$4:$AA$1858,$A$4:$A$1858,A1256,$V$4:$V$1858,V1256),0)</f>
        <v>0</v>
      </c>
      <c r="AC1256" s="222">
        <f>IF($W1256=AC$3,$AB1256,IF(NOT($W1256=0),"",SUMIFS('Val-Vol (2)'!AC$4:AC$1858,'Val-Vol (2)'!$A$4:$A$1858,$D1256,'Val-Vol (2)'!$V$4:$V$1858,$V1256)/SUMIFS('Comp2016-2017 (3)'!$G$5:$G$289,'Comp2016-2017 (3)'!$A$5:$A$289,$D1256,'Comp2016-2017 (3)'!$R$5:$R$289,$V1256)*$AB1256))</f>
        <v>0</v>
      </c>
      <c r="AD1256" s="222">
        <f>IF($W1256=AD$3,$AB1256,IF(NOT($W1256=0),"",SUMIFS('Val-Vol (2)'!AD$4:AD$1858,'Val-Vol (2)'!$A$4:$A$1858,$D1256,'Val-Vol (2)'!$V$4:$V$1858,$V1256)/SUMIFS('Comp2016-2017 (3)'!$G$5:$G$289,'Comp2016-2017 (3)'!$A$5:$A$289,$D1256,'Comp2016-2017 (3)'!$R$5:$R$289,$V1256)*$AB1256))</f>
        <v>0</v>
      </c>
      <c r="AE1256" s="222">
        <f>IF($W1256=AE$3,$AB1256,IF(NOT($W1256=0),"",SUMIFS('Val-Vol (2)'!AE$4:AE$1858,'Val-Vol (2)'!$A$4:$A$1858,$D1256,'Val-Vol (2)'!$V$4:$V$1858,$V1256)/SUMIFS('Comp2016-2017 (3)'!$G$5:$G$289,'Comp2016-2017 (3)'!$A$5:$A$289,$D1256,'Comp2016-2017 (3)'!$R$5:$R$289,$V1256)*$AB1256))</f>
        <v>0</v>
      </c>
      <c r="AF1256" s="222">
        <f>IF($W1256=AF$3,$AB1256,IF(NOT($W1256=0),"",SUMIFS('Val-Vol (2)'!AF$4:AF$1858,'Val-Vol (2)'!$A$4:$A$1858,$D1256,'Val-Vol (2)'!$V$4:$V$1858,$V1256)/SUMIFS('Comp2016-2017 (3)'!$G$5:$G$289,'Comp2016-2017 (3)'!$A$5:$A$289,$D1256,'Comp2016-2017 (3)'!$R$5:$R$289,$V1256)*$AB1256))</f>
        <v>0</v>
      </c>
      <c r="AG1256" s="222">
        <f>IF($W1256=AG$3,$AB1256,IF(NOT($W1256=0),"",SUMIFS('Val-Vol (2)'!AG$4:AG$1858,'Val-Vol (2)'!$A$4:$A$1858,$D1256,'Val-Vol (2)'!$V$4:$V$1858,$V1256)/SUMIFS('Comp2016-2017 (3)'!$G$5:$G$289,'Comp2016-2017 (3)'!$A$5:$A$289,$D1256,'Comp2016-2017 (3)'!$R$5:$R$289,$V1256)*$AB1256))</f>
        <v>0</v>
      </c>
      <c r="AH1256" s="222">
        <f>IF($W1256=AH$3,$AB1256,IF(NOT($W1256=0),"",SUMIFS('Val-Vol (2)'!AH$4:AH$1858,'Val-Vol (2)'!$A$4:$A$1858,$D1256,'Val-Vol (2)'!$V$4:$V$1858,$V1256)/SUMIFS('Comp2016-2017 (3)'!$G$5:$G$289,'Comp2016-2017 (3)'!$A$5:$A$289,$D1256,'Comp2016-2017 (3)'!$R$5:$R$289,$V1256)*$AB1256))</f>
        <v>0</v>
      </c>
      <c r="AI1256" s="222">
        <f>IF($W1256=AI$3,$AB1256,IF(NOT($W1256=0),"",SUMIFS('Val-Vol (2)'!AI$4:AI$1858,'Val-Vol (2)'!$A$4:$A$1858,$D1256,'Val-Vol (2)'!$V$4:$V$1858,$V1256)/SUMIFS('Comp2016-2017 (3)'!$G$5:$G$289,'Comp2016-2017 (3)'!$A$5:$A$289,$D1256,'Comp2016-2017 (3)'!$R$5:$R$289,$V1256)*$AB1256))</f>
        <v>0</v>
      </c>
      <c r="AJ1256" s="222">
        <f>IF($W1256=AJ$3,$AB1256,IF(NOT($W1256=0),"",SUMIFS('Val-Vol (2)'!AJ$4:AJ$1858,'Val-Vol (2)'!$A$4:$A$1858,$D1256,'Val-Vol (2)'!$V$4:$V$1858,$V1256)/SUMIFS('Comp2016-2017 (3)'!$G$5:$G$289,'Comp2016-2017 (3)'!$A$5:$A$289,$D1256,'Comp2016-2017 (3)'!$R$5:$R$289,$V1256)*$AB1256))</f>
        <v>0</v>
      </c>
      <c r="AK1256" s="222">
        <f t="shared" si="154"/>
        <v>0</v>
      </c>
      <c r="AL1256" s="212" t="str">
        <f t="shared" si="155"/>
        <v/>
      </c>
      <c r="AM1256" s="212" t="str">
        <f>VLOOKUP(A1256,'Table corresp.'!$M$4:$U$63,8,FALSE)</f>
        <v>Production intermédiaire</v>
      </c>
      <c r="AN1256" s="212" t="str">
        <f>VLOOKUP(D1256,'Table corresp.'!$M$4:$U$63,9,FALSE)</f>
        <v>Production intermédiaire</v>
      </c>
    </row>
    <row r="1257" spans="1:40" x14ac:dyDescent="0.25">
      <c r="A1257" t="s">
        <v>8</v>
      </c>
      <c r="B1257" t="str">
        <f>VLOOKUP(LEFT(A1257,3),'Table corresp.'!$A$4:$D$63,3,FALSE)</f>
        <v>Transformation</v>
      </c>
      <c r="C1257" t="str">
        <f>VLOOKUP(A1257,'Table corresp.'!$M$4:$P$63,4,FALSE)</f>
        <v>Production et transformation de produits bois</v>
      </c>
      <c r="D1257" t="s">
        <v>85</v>
      </c>
      <c r="E1257" t="str">
        <f>VLOOKUP(LEFT(D1257,3),'Table corresp.'!$A$4:$D$63,4,FALSE)</f>
        <v>Transformation</v>
      </c>
      <c r="F1257" t="str">
        <f t="shared" si="152"/>
        <v xml:space="preserve">13  - 29 </v>
      </c>
      <c r="G1257" s="213">
        <v>423.10641782817669</v>
      </c>
      <c r="H1257" s="213">
        <v>0</v>
      </c>
      <c r="I1257" s="213">
        <v>423.10641782817669</v>
      </c>
      <c r="J1257" s="215">
        <v>3.314015551431774</v>
      </c>
      <c r="K1257" s="215">
        <v>0</v>
      </c>
      <c r="L1257" s="215">
        <v>3.314015551431774</v>
      </c>
      <c r="M1257" s="215"/>
      <c r="N1257" s="215"/>
      <c r="O1257" s="215"/>
      <c r="P1257" s="215"/>
      <c r="Q1257" s="215"/>
      <c r="R1257" s="215"/>
      <c r="S1257" s="213"/>
      <c r="T1257" s="212">
        <f>VLOOKUP(A1257,'Groupe de branches'!$Z$27:$AM$86,14,FALSE)</f>
        <v>0</v>
      </c>
      <c r="U1257" s="212">
        <f>VLOOKUP(D1257,'Groupe de branches'!$Z$27:$AM$86,14,FALSE)</f>
        <v>0</v>
      </c>
      <c r="V1257" s="212">
        <v>2019</v>
      </c>
      <c r="W1257" s="212" t="str">
        <f>VLOOKUP(D1257,'Table corresp.'!$M$4:$S$63,7,FALSE)</f>
        <v>Construction</v>
      </c>
      <c r="X1257" s="228">
        <f>IFERROR(G1257/SUMIFS('Comp2016-2017 (3)'!$I$5:$I$289,'Comp2016-2017 (3)'!$A$5:$A$289,A1257,'Comp2016-2017 (3)'!$R$5:$R$289,V1257),0)</f>
        <v>1.3704945395358709E-3</v>
      </c>
      <c r="Y1257" s="214" t="e">
        <f>IF(RIGHT(F1257,3)="Exp",VLOOKUP(F1257,#REF!,2,FALSE),VLOOKUP(F1257,#REF!,9,FALSE))</f>
        <v>#REF!</v>
      </c>
      <c r="Z1257" s="225" t="str">
        <f t="shared" si="156"/>
        <v/>
      </c>
      <c r="AA1257" s="225" t="e">
        <f t="shared" si="153"/>
        <v>#VALUE!</v>
      </c>
      <c r="AB1257" s="222">
        <f>IFERROR(SUMIFS('Comp2016-2017 (3)'!$G$5:$G$289,'Comp2016-2017 (3)'!$A$5:$A$289,A1257,'Comp2016-2017 (3)'!$R$5:$R$289,V1257)*AA1257/SUMIFS($AA$4:$AA$1858,$A$4:$A$1858,A1257,$V$4:$V$1858,V1257),0)</f>
        <v>0</v>
      </c>
      <c r="AC1257" s="222" t="str">
        <f>IF($W1257=AC$3,$AB1257,IF(NOT($W1257=0),"",SUMIFS('Val-Vol (2)'!AC$4:AC$1858,'Val-Vol (2)'!$A$4:$A$1858,$D1257,'Val-Vol (2)'!$V$4:$V$1858,$V1257)/SUMIFS('Comp2016-2017 (3)'!$G$5:$G$289,'Comp2016-2017 (3)'!$A$5:$A$289,$D1257,'Comp2016-2017 (3)'!$R$5:$R$289,$V1257)*$AB1257))</f>
        <v/>
      </c>
      <c r="AD1257" s="222">
        <f>IF($W1257=AD$3,$AB1257,IF(NOT($W1257=0),"",SUMIFS('Val-Vol (2)'!AD$4:AD$1858,'Val-Vol (2)'!$A$4:$A$1858,$D1257,'Val-Vol (2)'!$V$4:$V$1858,$V1257)/SUMIFS('Comp2016-2017 (3)'!$G$5:$G$289,'Comp2016-2017 (3)'!$A$5:$A$289,$D1257,'Comp2016-2017 (3)'!$R$5:$R$289,$V1257)*$AB1257))</f>
        <v>0</v>
      </c>
      <c r="AE1257" s="222" t="str">
        <f>IF($W1257=AE$3,$AB1257,IF(NOT($W1257=0),"",SUMIFS('Val-Vol (2)'!AE$4:AE$1858,'Val-Vol (2)'!$A$4:$A$1858,$D1257,'Val-Vol (2)'!$V$4:$V$1858,$V1257)/SUMIFS('Comp2016-2017 (3)'!$G$5:$G$289,'Comp2016-2017 (3)'!$A$5:$A$289,$D1257,'Comp2016-2017 (3)'!$R$5:$R$289,$V1257)*$AB1257))</f>
        <v/>
      </c>
      <c r="AF1257" s="222" t="str">
        <f>IF($W1257=AF$3,$AB1257,IF(NOT($W1257=0),"",SUMIFS('Val-Vol (2)'!AF$4:AF$1858,'Val-Vol (2)'!$A$4:$A$1858,$D1257,'Val-Vol (2)'!$V$4:$V$1858,$V1257)/SUMIFS('Comp2016-2017 (3)'!$G$5:$G$289,'Comp2016-2017 (3)'!$A$5:$A$289,$D1257,'Comp2016-2017 (3)'!$R$5:$R$289,$V1257)*$AB1257))</f>
        <v/>
      </c>
      <c r="AG1257" s="222" t="str">
        <f>IF($W1257=AG$3,$AB1257,IF(NOT($W1257=0),"",SUMIFS('Val-Vol (2)'!AG$4:AG$1858,'Val-Vol (2)'!$A$4:$A$1858,$D1257,'Val-Vol (2)'!$V$4:$V$1858,$V1257)/SUMIFS('Comp2016-2017 (3)'!$G$5:$G$289,'Comp2016-2017 (3)'!$A$5:$A$289,$D1257,'Comp2016-2017 (3)'!$R$5:$R$289,$V1257)*$AB1257))</f>
        <v/>
      </c>
      <c r="AH1257" s="222" t="str">
        <f>IF($W1257=AH$3,$AB1257,IF(NOT($W1257=0),"",SUMIFS('Val-Vol (2)'!AH$4:AH$1858,'Val-Vol (2)'!$A$4:$A$1858,$D1257,'Val-Vol (2)'!$V$4:$V$1858,$V1257)/SUMIFS('Comp2016-2017 (3)'!$G$5:$G$289,'Comp2016-2017 (3)'!$A$5:$A$289,$D1257,'Comp2016-2017 (3)'!$R$5:$R$289,$V1257)*$AB1257))</f>
        <v/>
      </c>
      <c r="AI1257" s="222" t="str">
        <f>IF($W1257=AI$3,$AB1257,IF(NOT($W1257=0),"",SUMIFS('Val-Vol (2)'!AI$4:AI$1858,'Val-Vol (2)'!$A$4:$A$1858,$D1257,'Val-Vol (2)'!$V$4:$V$1858,$V1257)/SUMIFS('Comp2016-2017 (3)'!$G$5:$G$289,'Comp2016-2017 (3)'!$A$5:$A$289,$D1257,'Comp2016-2017 (3)'!$R$5:$R$289,$V1257)*$AB1257))</f>
        <v/>
      </c>
      <c r="AJ1257" s="222" t="str">
        <f>IF($W1257=AJ$3,$AB1257,IF(NOT($W1257=0),"",SUMIFS('Val-Vol (2)'!AJ$4:AJ$1858,'Val-Vol (2)'!$A$4:$A$1858,$D1257,'Val-Vol (2)'!$V$4:$V$1858,$V1257)/SUMIFS('Comp2016-2017 (3)'!$G$5:$G$289,'Comp2016-2017 (3)'!$A$5:$A$289,$D1257,'Comp2016-2017 (3)'!$R$5:$R$289,$V1257)*$AB1257))</f>
        <v/>
      </c>
      <c r="AK1257" s="222">
        <f t="shared" si="154"/>
        <v>0</v>
      </c>
      <c r="AL1257" s="212" t="str">
        <f t="shared" si="155"/>
        <v/>
      </c>
      <c r="AM1257" s="212" t="str">
        <f>VLOOKUP(A1257,'Table corresp.'!$M$4:$U$63,8,FALSE)</f>
        <v>Production intermédiaire</v>
      </c>
      <c r="AN1257" s="212" t="str">
        <f>VLOOKUP(D1257,'Table corresp.'!$M$4:$U$63,9,FALSE)</f>
        <v>Production intermédiaire</v>
      </c>
    </row>
    <row r="1258" spans="1:40" x14ac:dyDescent="0.25">
      <c r="A1258" t="s">
        <v>8</v>
      </c>
      <c r="B1258" t="str">
        <f>VLOOKUP(LEFT(A1258,3),'Table corresp.'!$A$4:$D$63,3,FALSE)</f>
        <v>Transformation</v>
      </c>
      <c r="C1258" t="str">
        <f>VLOOKUP(A1258,'Table corresp.'!$M$4:$P$63,4,FALSE)</f>
        <v>Production et transformation de produits bois</v>
      </c>
      <c r="D1258" t="s">
        <v>91</v>
      </c>
      <c r="E1258" t="str">
        <f>VLOOKUP(LEFT(D1258,3),'Table corresp.'!$A$4:$D$63,4,FALSE)</f>
        <v>Transformation</v>
      </c>
      <c r="F1258" t="str">
        <f t="shared" ref="F1258:F1321" si="157">LEFT(A1258,3)&amp;" - "&amp;LEFT(D1258,3)</f>
        <v xml:space="preserve">13  - 37 </v>
      </c>
      <c r="G1258" s="213">
        <v>59164.966997856856</v>
      </c>
      <c r="H1258" s="213">
        <v>0</v>
      </c>
      <c r="I1258" s="213">
        <v>59164.966997856871</v>
      </c>
      <c r="J1258" s="215">
        <v>617.88591071185533</v>
      </c>
      <c r="K1258" s="215">
        <v>0</v>
      </c>
      <c r="L1258" s="215">
        <v>617.88591071185533</v>
      </c>
      <c r="M1258" s="215"/>
      <c r="N1258" s="215"/>
      <c r="O1258" s="215"/>
      <c r="P1258" s="215"/>
      <c r="Q1258" s="215"/>
      <c r="R1258" s="215"/>
      <c r="S1258" s="213"/>
      <c r="T1258" s="212">
        <f>VLOOKUP(A1258,'Groupe de branches'!$Z$27:$AM$86,14,FALSE)</f>
        <v>0</v>
      </c>
      <c r="U1258" s="212">
        <f>VLOOKUP(D1258,'Groupe de branches'!$Z$27:$AM$86,14,FALSE)</f>
        <v>0</v>
      </c>
      <c r="V1258" s="212">
        <v>2019</v>
      </c>
      <c r="W1258" s="212" t="str">
        <f>VLOOKUP(D1258,'Table corresp.'!$M$4:$S$63,7,FALSE)</f>
        <v>Emballage bois et carton</v>
      </c>
      <c r="X1258" s="228">
        <f>IFERROR(G1258/SUMIFS('Comp2016-2017 (3)'!$I$5:$I$289,'Comp2016-2017 (3)'!$A$5:$A$289,A1258,'Comp2016-2017 (3)'!$R$5:$R$289,V1258),0)</f>
        <v>0.19164271867724661</v>
      </c>
      <c r="Y1258" s="214" t="e">
        <f>IF(RIGHT(F1258,3)="Exp",VLOOKUP(F1258,#REF!,2,FALSE),VLOOKUP(F1258,#REF!,9,FALSE))</f>
        <v>#REF!</v>
      </c>
      <c r="Z1258" s="225" t="str">
        <f t="shared" si="156"/>
        <v/>
      </c>
      <c r="AA1258" s="225" t="e">
        <f t="shared" si="153"/>
        <v>#VALUE!</v>
      </c>
      <c r="AB1258" s="222">
        <f>IFERROR(SUMIFS('Comp2016-2017 (3)'!$G$5:$G$289,'Comp2016-2017 (3)'!$A$5:$A$289,A1258,'Comp2016-2017 (3)'!$R$5:$R$289,V1258)*AA1258/SUMIFS($AA$4:$AA$1858,$A$4:$A$1858,A1258,$V$4:$V$1858,V1258),0)</f>
        <v>0</v>
      </c>
      <c r="AC1258" s="222" t="str">
        <f>IF($W1258=AC$3,$AB1258,IF(NOT($W1258=0),"",SUMIFS('Val-Vol (2)'!AC$4:AC$1858,'Val-Vol (2)'!$A$4:$A$1858,$D1258,'Val-Vol (2)'!$V$4:$V$1858,$V1258)/SUMIFS('Comp2016-2017 (3)'!$G$5:$G$289,'Comp2016-2017 (3)'!$A$5:$A$289,$D1258,'Comp2016-2017 (3)'!$R$5:$R$289,$V1258)*$AB1258))</f>
        <v/>
      </c>
      <c r="AD1258" s="222" t="str">
        <f>IF($W1258=AD$3,$AB1258,IF(NOT($W1258=0),"",SUMIFS('Val-Vol (2)'!AD$4:AD$1858,'Val-Vol (2)'!$A$4:$A$1858,$D1258,'Val-Vol (2)'!$V$4:$V$1858,$V1258)/SUMIFS('Comp2016-2017 (3)'!$G$5:$G$289,'Comp2016-2017 (3)'!$A$5:$A$289,$D1258,'Comp2016-2017 (3)'!$R$5:$R$289,$V1258)*$AB1258))</f>
        <v/>
      </c>
      <c r="AE1258" s="222" t="str">
        <f>IF($W1258=AE$3,$AB1258,IF(NOT($W1258=0),"",SUMIFS('Val-Vol (2)'!AE$4:AE$1858,'Val-Vol (2)'!$A$4:$A$1858,$D1258,'Val-Vol (2)'!$V$4:$V$1858,$V1258)/SUMIFS('Comp2016-2017 (3)'!$G$5:$G$289,'Comp2016-2017 (3)'!$A$5:$A$289,$D1258,'Comp2016-2017 (3)'!$R$5:$R$289,$V1258)*$AB1258))</f>
        <v/>
      </c>
      <c r="AF1258" s="222" t="str">
        <f>IF($W1258=AF$3,$AB1258,IF(NOT($W1258=0),"",SUMIFS('Val-Vol (2)'!AF$4:AF$1858,'Val-Vol (2)'!$A$4:$A$1858,$D1258,'Val-Vol (2)'!$V$4:$V$1858,$V1258)/SUMIFS('Comp2016-2017 (3)'!$G$5:$G$289,'Comp2016-2017 (3)'!$A$5:$A$289,$D1258,'Comp2016-2017 (3)'!$R$5:$R$289,$V1258)*$AB1258))</f>
        <v/>
      </c>
      <c r="AG1258" s="222">
        <f>IF($W1258=AG$3,$AB1258,IF(NOT($W1258=0),"",SUMIFS('Val-Vol (2)'!AG$4:AG$1858,'Val-Vol (2)'!$A$4:$A$1858,$D1258,'Val-Vol (2)'!$V$4:$V$1858,$V1258)/SUMIFS('Comp2016-2017 (3)'!$G$5:$G$289,'Comp2016-2017 (3)'!$A$5:$A$289,$D1258,'Comp2016-2017 (3)'!$R$5:$R$289,$V1258)*$AB1258))</f>
        <v>0</v>
      </c>
      <c r="AH1258" s="222" t="str">
        <f>IF($W1258=AH$3,$AB1258,IF(NOT($W1258=0),"",SUMIFS('Val-Vol (2)'!AH$4:AH$1858,'Val-Vol (2)'!$A$4:$A$1858,$D1258,'Val-Vol (2)'!$V$4:$V$1858,$V1258)/SUMIFS('Comp2016-2017 (3)'!$G$5:$G$289,'Comp2016-2017 (3)'!$A$5:$A$289,$D1258,'Comp2016-2017 (3)'!$R$5:$R$289,$V1258)*$AB1258))</f>
        <v/>
      </c>
      <c r="AI1258" s="222" t="str">
        <f>IF($W1258=AI$3,$AB1258,IF(NOT($W1258=0),"",SUMIFS('Val-Vol (2)'!AI$4:AI$1858,'Val-Vol (2)'!$A$4:$A$1858,$D1258,'Val-Vol (2)'!$V$4:$V$1858,$V1258)/SUMIFS('Comp2016-2017 (3)'!$G$5:$G$289,'Comp2016-2017 (3)'!$A$5:$A$289,$D1258,'Comp2016-2017 (3)'!$R$5:$R$289,$V1258)*$AB1258))</f>
        <v/>
      </c>
      <c r="AJ1258" s="222" t="str">
        <f>IF($W1258=AJ$3,$AB1258,IF(NOT($W1258=0),"",SUMIFS('Val-Vol (2)'!AJ$4:AJ$1858,'Val-Vol (2)'!$A$4:$A$1858,$D1258,'Val-Vol (2)'!$V$4:$V$1858,$V1258)/SUMIFS('Comp2016-2017 (3)'!$G$5:$G$289,'Comp2016-2017 (3)'!$A$5:$A$289,$D1258,'Comp2016-2017 (3)'!$R$5:$R$289,$V1258)*$AB1258))</f>
        <v/>
      </c>
      <c r="AK1258" s="222">
        <f t="shared" si="154"/>
        <v>0</v>
      </c>
      <c r="AL1258" s="212" t="str">
        <f t="shared" si="155"/>
        <v/>
      </c>
      <c r="AM1258" s="212" t="str">
        <f>VLOOKUP(A1258,'Table corresp.'!$M$4:$U$63,8,FALSE)</f>
        <v>Production intermédiaire</v>
      </c>
      <c r="AN1258" s="212" t="str">
        <f>VLOOKUP(D1258,'Table corresp.'!$M$4:$U$63,9,FALSE)</f>
        <v>Production finale</v>
      </c>
    </row>
    <row r="1259" spans="1:40" x14ac:dyDescent="0.25">
      <c r="A1259" t="s">
        <v>8</v>
      </c>
      <c r="B1259" t="str">
        <f>VLOOKUP(LEFT(A1259,3),'Table corresp.'!$A$4:$D$63,3,FALSE)</f>
        <v>Transformation</v>
      </c>
      <c r="C1259" t="str">
        <f>VLOOKUP(A1259,'Table corresp.'!$M$4:$P$63,4,FALSE)</f>
        <v>Production et transformation de produits bois</v>
      </c>
      <c r="D1259" t="s">
        <v>92</v>
      </c>
      <c r="E1259" t="str">
        <f>VLOOKUP(LEFT(D1259,3),'Table corresp.'!$A$4:$D$63,4,FALSE)</f>
        <v>Transformation</v>
      </c>
      <c r="F1259" t="str">
        <f t="shared" si="157"/>
        <v xml:space="preserve">13  - 40 </v>
      </c>
      <c r="G1259" s="213">
        <v>15125.750804757583</v>
      </c>
      <c r="H1259" s="213">
        <v>0</v>
      </c>
      <c r="I1259" s="213">
        <v>15125.750804757583</v>
      </c>
      <c r="J1259" s="215">
        <v>138.83634109753842</v>
      </c>
      <c r="K1259" s="215">
        <v>0</v>
      </c>
      <c r="L1259" s="215">
        <v>138.83634109753842</v>
      </c>
      <c r="M1259" s="215"/>
      <c r="N1259" s="215"/>
      <c r="O1259" s="215"/>
      <c r="P1259" s="215"/>
      <c r="Q1259" s="215"/>
      <c r="R1259" s="215"/>
      <c r="S1259" s="213"/>
      <c r="T1259" s="212">
        <f>VLOOKUP(A1259,'Groupe de branches'!$Z$27:$AM$86,14,FALSE)</f>
        <v>0</v>
      </c>
      <c r="U1259" s="212">
        <f>VLOOKUP(D1259,'Groupe de branches'!$Z$27:$AM$86,14,FALSE)</f>
        <v>0</v>
      </c>
      <c r="V1259" s="212">
        <v>2019</v>
      </c>
      <c r="W1259" s="212" t="str">
        <f>VLOOKUP(D1259,'Table corresp.'!$M$4:$S$63,7,FALSE)</f>
        <v>Construction</v>
      </c>
      <c r="X1259" s="228">
        <f>IFERROR(G1259/SUMIFS('Comp2016-2017 (3)'!$I$5:$I$289,'Comp2016-2017 (3)'!$A$5:$A$289,A1259,'Comp2016-2017 (3)'!$R$5:$R$289,V1259),0)</f>
        <v>4.8994196284488686E-2</v>
      </c>
      <c r="Y1259" s="214" t="e">
        <f>IF(RIGHT(F1259,3)="Exp",VLOOKUP(F1259,#REF!,2,FALSE),VLOOKUP(F1259,#REF!,9,FALSE))</f>
        <v>#REF!</v>
      </c>
      <c r="Z1259" s="225" t="str">
        <f t="shared" si="156"/>
        <v/>
      </c>
      <c r="AA1259" s="225" t="e">
        <f t="shared" si="153"/>
        <v>#VALUE!</v>
      </c>
      <c r="AB1259" s="222">
        <f>IFERROR(SUMIFS('Comp2016-2017 (3)'!$G$5:$G$289,'Comp2016-2017 (3)'!$A$5:$A$289,A1259,'Comp2016-2017 (3)'!$R$5:$R$289,V1259)*AA1259/SUMIFS($AA$4:$AA$1858,$A$4:$A$1858,A1259,$V$4:$V$1858,V1259),0)</f>
        <v>0</v>
      </c>
      <c r="AC1259" s="222" t="str">
        <f>IF($W1259=AC$3,$AB1259,IF(NOT($W1259=0),"",SUMIFS('Val-Vol (2)'!AC$4:AC$1858,'Val-Vol (2)'!$A$4:$A$1858,$D1259,'Val-Vol (2)'!$V$4:$V$1858,$V1259)/SUMIFS('Comp2016-2017 (3)'!$G$5:$G$289,'Comp2016-2017 (3)'!$A$5:$A$289,$D1259,'Comp2016-2017 (3)'!$R$5:$R$289,$V1259)*$AB1259))</f>
        <v/>
      </c>
      <c r="AD1259" s="222">
        <f>IF($W1259=AD$3,$AB1259,IF(NOT($W1259=0),"",SUMIFS('Val-Vol (2)'!AD$4:AD$1858,'Val-Vol (2)'!$A$4:$A$1858,$D1259,'Val-Vol (2)'!$V$4:$V$1858,$V1259)/SUMIFS('Comp2016-2017 (3)'!$G$5:$G$289,'Comp2016-2017 (3)'!$A$5:$A$289,$D1259,'Comp2016-2017 (3)'!$R$5:$R$289,$V1259)*$AB1259))</f>
        <v>0</v>
      </c>
      <c r="AE1259" s="222" t="str">
        <f>IF($W1259=AE$3,$AB1259,IF(NOT($W1259=0),"",SUMIFS('Val-Vol (2)'!AE$4:AE$1858,'Val-Vol (2)'!$A$4:$A$1858,$D1259,'Val-Vol (2)'!$V$4:$V$1858,$V1259)/SUMIFS('Comp2016-2017 (3)'!$G$5:$G$289,'Comp2016-2017 (3)'!$A$5:$A$289,$D1259,'Comp2016-2017 (3)'!$R$5:$R$289,$V1259)*$AB1259))</f>
        <v/>
      </c>
      <c r="AF1259" s="222" t="str">
        <f>IF($W1259=AF$3,$AB1259,IF(NOT($W1259=0),"",SUMIFS('Val-Vol (2)'!AF$4:AF$1858,'Val-Vol (2)'!$A$4:$A$1858,$D1259,'Val-Vol (2)'!$V$4:$V$1858,$V1259)/SUMIFS('Comp2016-2017 (3)'!$G$5:$G$289,'Comp2016-2017 (3)'!$A$5:$A$289,$D1259,'Comp2016-2017 (3)'!$R$5:$R$289,$V1259)*$AB1259))</f>
        <v/>
      </c>
      <c r="AG1259" s="222" t="str">
        <f>IF($W1259=AG$3,$AB1259,IF(NOT($W1259=0),"",SUMIFS('Val-Vol (2)'!AG$4:AG$1858,'Val-Vol (2)'!$A$4:$A$1858,$D1259,'Val-Vol (2)'!$V$4:$V$1858,$V1259)/SUMIFS('Comp2016-2017 (3)'!$G$5:$G$289,'Comp2016-2017 (3)'!$A$5:$A$289,$D1259,'Comp2016-2017 (3)'!$R$5:$R$289,$V1259)*$AB1259))</f>
        <v/>
      </c>
      <c r="AH1259" s="222" t="str">
        <f>IF($W1259=AH$3,$AB1259,IF(NOT($W1259=0),"",SUMIFS('Val-Vol (2)'!AH$4:AH$1858,'Val-Vol (2)'!$A$4:$A$1858,$D1259,'Val-Vol (2)'!$V$4:$V$1858,$V1259)/SUMIFS('Comp2016-2017 (3)'!$G$5:$G$289,'Comp2016-2017 (3)'!$A$5:$A$289,$D1259,'Comp2016-2017 (3)'!$R$5:$R$289,$V1259)*$AB1259))</f>
        <v/>
      </c>
      <c r="AI1259" s="222" t="str">
        <f>IF($W1259=AI$3,$AB1259,IF(NOT($W1259=0),"",SUMIFS('Val-Vol (2)'!AI$4:AI$1858,'Val-Vol (2)'!$A$4:$A$1858,$D1259,'Val-Vol (2)'!$V$4:$V$1858,$V1259)/SUMIFS('Comp2016-2017 (3)'!$G$5:$G$289,'Comp2016-2017 (3)'!$A$5:$A$289,$D1259,'Comp2016-2017 (3)'!$R$5:$R$289,$V1259)*$AB1259))</f>
        <v/>
      </c>
      <c r="AJ1259" s="222" t="str">
        <f>IF($W1259=AJ$3,$AB1259,IF(NOT($W1259=0),"",SUMIFS('Val-Vol (2)'!AJ$4:AJ$1858,'Val-Vol (2)'!$A$4:$A$1858,$D1259,'Val-Vol (2)'!$V$4:$V$1858,$V1259)/SUMIFS('Comp2016-2017 (3)'!$G$5:$G$289,'Comp2016-2017 (3)'!$A$5:$A$289,$D1259,'Comp2016-2017 (3)'!$R$5:$R$289,$V1259)*$AB1259))</f>
        <v/>
      </c>
      <c r="AK1259" s="222">
        <f t="shared" si="154"/>
        <v>0</v>
      </c>
      <c r="AL1259" s="212" t="str">
        <f t="shared" si="155"/>
        <v/>
      </c>
      <c r="AM1259" s="212" t="str">
        <f>VLOOKUP(A1259,'Table corresp.'!$M$4:$U$63,8,FALSE)</f>
        <v>Production intermédiaire</v>
      </c>
      <c r="AN1259" s="212" t="str">
        <f>VLOOKUP(D1259,'Table corresp.'!$M$4:$U$63,9,FALSE)</f>
        <v>Production finale</v>
      </c>
    </row>
    <row r="1260" spans="1:40" x14ac:dyDescent="0.25">
      <c r="A1260" t="s">
        <v>8</v>
      </c>
      <c r="B1260" t="str">
        <f>VLOOKUP(LEFT(A1260,3),'Table corresp.'!$A$4:$D$63,3,FALSE)</f>
        <v>Transformation</v>
      </c>
      <c r="C1260" t="str">
        <f>VLOOKUP(A1260,'Table corresp.'!$M$4:$P$63,4,FALSE)</f>
        <v>Production et transformation de produits bois</v>
      </c>
      <c r="D1260" t="s">
        <v>19</v>
      </c>
      <c r="E1260" t="str">
        <f>VLOOKUP(LEFT(D1260,3),'Table corresp.'!$A$4:$D$63,4,FALSE)</f>
        <v>Transformation</v>
      </c>
      <c r="F1260" t="str">
        <f t="shared" si="157"/>
        <v xml:space="preserve">13  - 52 </v>
      </c>
      <c r="G1260" s="213">
        <v>2074.5030002693529</v>
      </c>
      <c r="H1260" s="213">
        <v>0</v>
      </c>
      <c r="I1260" s="213">
        <v>2074.5030002693529</v>
      </c>
      <c r="J1260" s="215">
        <v>21.664952093057643</v>
      </c>
      <c r="K1260" s="215">
        <v>0</v>
      </c>
      <c r="L1260" s="215">
        <v>21.664952093057643</v>
      </c>
      <c r="M1260" s="215"/>
      <c r="N1260" s="215"/>
      <c r="O1260" s="215"/>
      <c r="P1260" s="215"/>
      <c r="Q1260" s="215"/>
      <c r="R1260" s="215"/>
      <c r="S1260" s="213"/>
      <c r="T1260" s="212">
        <f>VLOOKUP(A1260,'Groupe de branches'!$Z$27:$AM$86,14,FALSE)</f>
        <v>0</v>
      </c>
      <c r="U1260" s="212">
        <f>VLOOKUP(D1260,'Groupe de branches'!$Z$27:$AM$86,14,FALSE)</f>
        <v>0</v>
      </c>
      <c r="V1260" s="212">
        <v>2019</v>
      </c>
      <c r="W1260" s="212" t="str">
        <f>VLOOKUP(D1260,'Table corresp.'!$M$4:$S$63,7,FALSE)</f>
        <v>Construction</v>
      </c>
      <c r="X1260" s="228">
        <f>IFERROR(G1260/SUMIFS('Comp2016-2017 (3)'!$I$5:$I$289,'Comp2016-2017 (3)'!$A$5:$A$289,A1260,'Comp2016-2017 (3)'!$R$5:$R$289,V1260),0)</f>
        <v>6.7195743536901604E-3</v>
      </c>
      <c r="Y1260" s="214" t="e">
        <f>IF(RIGHT(F1260,3)="Exp",VLOOKUP(F1260,#REF!,2,FALSE),VLOOKUP(F1260,#REF!,9,FALSE))</f>
        <v>#REF!</v>
      </c>
      <c r="Z1260" s="225" t="str">
        <f t="shared" si="156"/>
        <v/>
      </c>
      <c r="AA1260" s="225" t="e">
        <f t="shared" si="153"/>
        <v>#VALUE!</v>
      </c>
      <c r="AB1260" s="222">
        <f>IFERROR(SUMIFS('Comp2016-2017 (3)'!$G$5:$G$289,'Comp2016-2017 (3)'!$A$5:$A$289,A1260,'Comp2016-2017 (3)'!$R$5:$R$289,V1260)*AA1260/SUMIFS($AA$4:$AA$1858,$A$4:$A$1858,A1260,$V$4:$V$1858,V1260),0)</f>
        <v>0</v>
      </c>
      <c r="AC1260" s="222" t="str">
        <f>IF($W1260=AC$3,$AB1260,IF(NOT($W1260=0),"",SUMIFS('Val-Vol (2)'!AC$4:AC$1858,'Val-Vol (2)'!$A$4:$A$1858,$D1260,'Val-Vol (2)'!$V$4:$V$1858,$V1260)/SUMIFS('Comp2016-2017 (3)'!$G$5:$G$289,'Comp2016-2017 (3)'!$A$5:$A$289,$D1260,'Comp2016-2017 (3)'!$R$5:$R$289,$V1260)*$AB1260))</f>
        <v/>
      </c>
      <c r="AD1260" s="222">
        <f>IF($W1260=AD$3,$AB1260,IF(NOT($W1260=0),"",SUMIFS('Val-Vol (2)'!AD$4:AD$1858,'Val-Vol (2)'!$A$4:$A$1858,$D1260,'Val-Vol (2)'!$V$4:$V$1858,$V1260)/SUMIFS('Comp2016-2017 (3)'!$G$5:$G$289,'Comp2016-2017 (3)'!$A$5:$A$289,$D1260,'Comp2016-2017 (3)'!$R$5:$R$289,$V1260)*$AB1260))</f>
        <v>0</v>
      </c>
      <c r="AE1260" s="222" t="str">
        <f>IF($W1260=AE$3,$AB1260,IF(NOT($W1260=0),"",SUMIFS('Val-Vol (2)'!AE$4:AE$1858,'Val-Vol (2)'!$A$4:$A$1858,$D1260,'Val-Vol (2)'!$V$4:$V$1858,$V1260)/SUMIFS('Comp2016-2017 (3)'!$G$5:$G$289,'Comp2016-2017 (3)'!$A$5:$A$289,$D1260,'Comp2016-2017 (3)'!$R$5:$R$289,$V1260)*$AB1260))</f>
        <v/>
      </c>
      <c r="AF1260" s="222" t="str">
        <f>IF($W1260=AF$3,$AB1260,IF(NOT($W1260=0),"",SUMIFS('Val-Vol (2)'!AF$4:AF$1858,'Val-Vol (2)'!$A$4:$A$1858,$D1260,'Val-Vol (2)'!$V$4:$V$1858,$V1260)/SUMIFS('Comp2016-2017 (3)'!$G$5:$G$289,'Comp2016-2017 (3)'!$A$5:$A$289,$D1260,'Comp2016-2017 (3)'!$R$5:$R$289,$V1260)*$AB1260))</f>
        <v/>
      </c>
      <c r="AG1260" s="222" t="str">
        <f>IF($W1260=AG$3,$AB1260,IF(NOT($W1260=0),"",SUMIFS('Val-Vol (2)'!AG$4:AG$1858,'Val-Vol (2)'!$A$4:$A$1858,$D1260,'Val-Vol (2)'!$V$4:$V$1858,$V1260)/SUMIFS('Comp2016-2017 (3)'!$G$5:$G$289,'Comp2016-2017 (3)'!$A$5:$A$289,$D1260,'Comp2016-2017 (3)'!$R$5:$R$289,$V1260)*$AB1260))</f>
        <v/>
      </c>
      <c r="AH1260" s="222" t="str">
        <f>IF($W1260=AH$3,$AB1260,IF(NOT($W1260=0),"",SUMIFS('Val-Vol (2)'!AH$4:AH$1858,'Val-Vol (2)'!$A$4:$A$1858,$D1260,'Val-Vol (2)'!$V$4:$V$1858,$V1260)/SUMIFS('Comp2016-2017 (3)'!$G$5:$G$289,'Comp2016-2017 (3)'!$A$5:$A$289,$D1260,'Comp2016-2017 (3)'!$R$5:$R$289,$V1260)*$AB1260))</f>
        <v/>
      </c>
      <c r="AI1260" s="222" t="str">
        <f>IF($W1260=AI$3,$AB1260,IF(NOT($W1260=0),"",SUMIFS('Val-Vol (2)'!AI$4:AI$1858,'Val-Vol (2)'!$A$4:$A$1858,$D1260,'Val-Vol (2)'!$V$4:$V$1858,$V1260)/SUMIFS('Comp2016-2017 (3)'!$G$5:$G$289,'Comp2016-2017 (3)'!$A$5:$A$289,$D1260,'Comp2016-2017 (3)'!$R$5:$R$289,$V1260)*$AB1260))</f>
        <v/>
      </c>
      <c r="AJ1260" s="222" t="str">
        <f>IF($W1260=AJ$3,$AB1260,IF(NOT($W1260=0),"",SUMIFS('Val-Vol (2)'!AJ$4:AJ$1858,'Val-Vol (2)'!$A$4:$A$1858,$D1260,'Val-Vol (2)'!$V$4:$V$1858,$V1260)/SUMIFS('Comp2016-2017 (3)'!$G$5:$G$289,'Comp2016-2017 (3)'!$A$5:$A$289,$D1260,'Comp2016-2017 (3)'!$R$5:$R$289,$V1260)*$AB1260))</f>
        <v/>
      </c>
      <c r="AK1260" s="222">
        <f t="shared" si="154"/>
        <v>0</v>
      </c>
      <c r="AL1260" s="212" t="str">
        <f t="shared" si="155"/>
        <v/>
      </c>
      <c r="AM1260" s="212" t="str">
        <f>VLOOKUP(A1260,'Table corresp.'!$M$4:$U$63,8,FALSE)</f>
        <v>Production intermédiaire</v>
      </c>
      <c r="AN1260" s="212" t="str">
        <f>VLOOKUP(D1260,'Table corresp.'!$M$4:$U$63,9,FALSE)</f>
        <v xml:space="preserve">Mise en œuvre </v>
      </c>
    </row>
    <row r="1261" spans="1:40" x14ac:dyDescent="0.25">
      <c r="A1261" t="s">
        <v>8</v>
      </c>
      <c r="B1261" t="str">
        <f>VLOOKUP(LEFT(A1261,3),'Table corresp.'!$A$4:$D$63,3,FALSE)</f>
        <v>Transformation</v>
      </c>
      <c r="C1261" t="str">
        <f>VLOOKUP(A1261,'Table corresp.'!$M$4:$P$63,4,FALSE)</f>
        <v>Production et transformation de produits bois</v>
      </c>
      <c r="D1261" t="s">
        <v>21</v>
      </c>
      <c r="E1261" t="str">
        <f>VLOOKUP(LEFT(D1261,3),'Table corresp.'!$A$4:$D$63,4,FALSE)</f>
        <v>Transformation</v>
      </c>
      <c r="F1261" t="str">
        <f t="shared" si="157"/>
        <v xml:space="preserve">13  - 54 </v>
      </c>
      <c r="G1261" s="213">
        <v>5515.0061907165118</v>
      </c>
      <c r="H1261" s="213">
        <v>0</v>
      </c>
      <c r="I1261" s="213">
        <v>5515.0061907165118</v>
      </c>
      <c r="J1261" s="215">
        <v>20.734433338365555</v>
      </c>
      <c r="K1261" s="215">
        <v>0</v>
      </c>
      <c r="L1261" s="215">
        <v>20.734433338365555</v>
      </c>
      <c r="M1261" s="215"/>
      <c r="N1261" s="215"/>
      <c r="O1261" s="215"/>
      <c r="P1261" s="215"/>
      <c r="Q1261" s="215"/>
      <c r="R1261" s="215"/>
      <c r="S1261" s="213"/>
      <c r="T1261" s="212">
        <f>VLOOKUP(A1261,'Groupe de branches'!$Z$27:$AM$86,14,FALSE)</f>
        <v>0</v>
      </c>
      <c r="U1261" s="212">
        <f>VLOOKUP(D1261,'Groupe de branches'!$Z$27:$AM$86,14,FALSE)</f>
        <v>0</v>
      </c>
      <c r="V1261" s="212">
        <v>2019</v>
      </c>
      <c r="W1261" s="212" t="str">
        <f>VLOOKUP(D1261,'Table corresp.'!$M$4:$S$63,7,FALSE)</f>
        <v>Construction</v>
      </c>
      <c r="X1261" s="228">
        <f>IFERROR(G1261/SUMIFS('Comp2016-2017 (3)'!$I$5:$I$289,'Comp2016-2017 (3)'!$A$5:$A$289,A1261,'Comp2016-2017 (3)'!$R$5:$R$289,V1261),0)</f>
        <v>1.7863793956802893E-2</v>
      </c>
      <c r="Y1261" s="214" t="e">
        <f>IF(RIGHT(F1261,3)="Exp",VLOOKUP(F1261,#REF!,2,FALSE),VLOOKUP(F1261,#REF!,9,FALSE))</f>
        <v>#REF!</v>
      </c>
      <c r="Z1261" s="225" t="str">
        <f t="shared" si="156"/>
        <v/>
      </c>
      <c r="AA1261" s="225" t="e">
        <f t="shared" si="153"/>
        <v>#VALUE!</v>
      </c>
      <c r="AB1261" s="222">
        <f>IFERROR(SUMIFS('Comp2016-2017 (3)'!$G$5:$G$289,'Comp2016-2017 (3)'!$A$5:$A$289,A1261,'Comp2016-2017 (3)'!$R$5:$R$289,V1261)*AA1261/SUMIFS($AA$4:$AA$1858,$A$4:$A$1858,A1261,$V$4:$V$1858,V1261),0)</f>
        <v>0</v>
      </c>
      <c r="AC1261" s="222" t="str">
        <f>IF($W1261=AC$3,$AB1261,IF(NOT($W1261=0),"",SUMIFS('Val-Vol (2)'!AC$4:AC$1858,'Val-Vol (2)'!$A$4:$A$1858,$D1261,'Val-Vol (2)'!$V$4:$V$1858,$V1261)/SUMIFS('Comp2016-2017 (3)'!$G$5:$G$289,'Comp2016-2017 (3)'!$A$5:$A$289,$D1261,'Comp2016-2017 (3)'!$R$5:$R$289,$V1261)*$AB1261))</f>
        <v/>
      </c>
      <c r="AD1261" s="222">
        <f>IF($W1261=AD$3,$AB1261,IF(NOT($W1261=0),"",SUMIFS('Val-Vol (2)'!AD$4:AD$1858,'Val-Vol (2)'!$A$4:$A$1858,$D1261,'Val-Vol (2)'!$V$4:$V$1858,$V1261)/SUMIFS('Comp2016-2017 (3)'!$G$5:$G$289,'Comp2016-2017 (3)'!$A$5:$A$289,$D1261,'Comp2016-2017 (3)'!$R$5:$R$289,$V1261)*$AB1261))</f>
        <v>0</v>
      </c>
      <c r="AE1261" s="222" t="str">
        <f>IF($W1261=AE$3,$AB1261,IF(NOT($W1261=0),"",SUMIFS('Val-Vol (2)'!AE$4:AE$1858,'Val-Vol (2)'!$A$4:$A$1858,$D1261,'Val-Vol (2)'!$V$4:$V$1858,$V1261)/SUMIFS('Comp2016-2017 (3)'!$G$5:$G$289,'Comp2016-2017 (3)'!$A$5:$A$289,$D1261,'Comp2016-2017 (3)'!$R$5:$R$289,$V1261)*$AB1261))</f>
        <v/>
      </c>
      <c r="AF1261" s="222" t="str">
        <f>IF($W1261=AF$3,$AB1261,IF(NOT($W1261=0),"",SUMIFS('Val-Vol (2)'!AF$4:AF$1858,'Val-Vol (2)'!$A$4:$A$1858,$D1261,'Val-Vol (2)'!$V$4:$V$1858,$V1261)/SUMIFS('Comp2016-2017 (3)'!$G$5:$G$289,'Comp2016-2017 (3)'!$A$5:$A$289,$D1261,'Comp2016-2017 (3)'!$R$5:$R$289,$V1261)*$AB1261))</f>
        <v/>
      </c>
      <c r="AG1261" s="222" t="str">
        <f>IF($W1261=AG$3,$AB1261,IF(NOT($W1261=0),"",SUMIFS('Val-Vol (2)'!AG$4:AG$1858,'Val-Vol (2)'!$A$4:$A$1858,$D1261,'Val-Vol (2)'!$V$4:$V$1858,$V1261)/SUMIFS('Comp2016-2017 (3)'!$G$5:$G$289,'Comp2016-2017 (3)'!$A$5:$A$289,$D1261,'Comp2016-2017 (3)'!$R$5:$R$289,$V1261)*$AB1261))</f>
        <v/>
      </c>
      <c r="AH1261" s="222" t="str">
        <f>IF($W1261=AH$3,$AB1261,IF(NOT($W1261=0),"",SUMIFS('Val-Vol (2)'!AH$4:AH$1858,'Val-Vol (2)'!$A$4:$A$1858,$D1261,'Val-Vol (2)'!$V$4:$V$1858,$V1261)/SUMIFS('Comp2016-2017 (3)'!$G$5:$G$289,'Comp2016-2017 (3)'!$A$5:$A$289,$D1261,'Comp2016-2017 (3)'!$R$5:$R$289,$V1261)*$AB1261))</f>
        <v/>
      </c>
      <c r="AI1261" s="222" t="str">
        <f>IF($W1261=AI$3,$AB1261,IF(NOT($W1261=0),"",SUMIFS('Val-Vol (2)'!AI$4:AI$1858,'Val-Vol (2)'!$A$4:$A$1858,$D1261,'Val-Vol (2)'!$V$4:$V$1858,$V1261)/SUMIFS('Comp2016-2017 (3)'!$G$5:$G$289,'Comp2016-2017 (3)'!$A$5:$A$289,$D1261,'Comp2016-2017 (3)'!$R$5:$R$289,$V1261)*$AB1261))</f>
        <v/>
      </c>
      <c r="AJ1261" s="222" t="str">
        <f>IF($W1261=AJ$3,$AB1261,IF(NOT($W1261=0),"",SUMIFS('Val-Vol (2)'!AJ$4:AJ$1858,'Val-Vol (2)'!$A$4:$A$1858,$D1261,'Val-Vol (2)'!$V$4:$V$1858,$V1261)/SUMIFS('Comp2016-2017 (3)'!$G$5:$G$289,'Comp2016-2017 (3)'!$A$5:$A$289,$D1261,'Comp2016-2017 (3)'!$R$5:$R$289,$V1261)*$AB1261))</f>
        <v/>
      </c>
      <c r="AK1261" s="222">
        <f t="shared" si="154"/>
        <v>0</v>
      </c>
      <c r="AL1261" s="212" t="str">
        <f t="shared" si="155"/>
        <v/>
      </c>
      <c r="AM1261" s="212" t="str">
        <f>VLOOKUP(A1261,'Table corresp.'!$M$4:$U$63,8,FALSE)</f>
        <v>Production intermédiaire</v>
      </c>
      <c r="AN1261" s="212" t="str">
        <f>VLOOKUP(D1261,'Table corresp.'!$M$4:$U$63,9,FALSE)</f>
        <v xml:space="preserve">Mise en œuvre </v>
      </c>
    </row>
    <row r="1262" spans="1:40" x14ac:dyDescent="0.25">
      <c r="A1262" t="s">
        <v>8</v>
      </c>
      <c r="B1262" t="str">
        <f>VLOOKUP(LEFT(A1262,3),'Table corresp.'!$A$4:$D$63,3,FALSE)</f>
        <v>Transformation</v>
      </c>
      <c r="C1262" t="str">
        <f>VLOOKUP(A1262,'Table corresp.'!$M$4:$P$63,4,FALSE)</f>
        <v>Production et transformation de produits bois</v>
      </c>
      <c r="D1262" t="s">
        <v>22</v>
      </c>
      <c r="E1262" t="str">
        <f>VLOOKUP(LEFT(D1262,3),'Table corresp.'!$A$4:$D$63,4,FALSE)</f>
        <v>Transformation</v>
      </c>
      <c r="F1262" t="str">
        <f t="shared" si="157"/>
        <v xml:space="preserve">13  - 55 </v>
      </c>
      <c r="G1262" s="213">
        <v>510.06111331287048</v>
      </c>
      <c r="H1262" s="213">
        <v>0</v>
      </c>
      <c r="I1262" s="213">
        <v>510.06111331287048</v>
      </c>
      <c r="J1262" s="215">
        <v>1.9176457444926671</v>
      </c>
      <c r="K1262" s="215">
        <v>0</v>
      </c>
      <c r="L1262" s="215">
        <v>1.9176457444926671</v>
      </c>
      <c r="M1262" s="215"/>
      <c r="N1262" s="215"/>
      <c r="O1262" s="215"/>
      <c r="P1262" s="215"/>
      <c r="Q1262" s="215"/>
      <c r="R1262" s="215"/>
      <c r="S1262" s="213"/>
      <c r="T1262" s="212">
        <f>VLOOKUP(A1262,'Groupe de branches'!$Z$27:$AM$86,14,FALSE)</f>
        <v>0</v>
      </c>
      <c r="U1262" s="212">
        <f>VLOOKUP(D1262,'Groupe de branches'!$Z$27:$AM$86,14,FALSE)</f>
        <v>0</v>
      </c>
      <c r="V1262" s="212">
        <v>2019</v>
      </c>
      <c r="W1262" s="212" t="str">
        <f>VLOOKUP(D1262,'Table corresp.'!$M$4:$S$63,7,FALSE)</f>
        <v>Construction</v>
      </c>
      <c r="X1262" s="228">
        <f>IFERROR(G1262/SUMIFS('Comp2016-2017 (3)'!$I$5:$I$289,'Comp2016-2017 (3)'!$A$5:$A$289,A1262,'Comp2016-2017 (3)'!$R$5:$R$289,V1262),0)</f>
        <v>1.6521516601262103E-3</v>
      </c>
      <c r="Y1262" s="214" t="e">
        <f>IF(RIGHT(F1262,3)="Exp",VLOOKUP(F1262,#REF!,2,FALSE),VLOOKUP(F1262,#REF!,9,FALSE))</f>
        <v>#REF!</v>
      </c>
      <c r="Z1262" s="225" t="str">
        <f t="shared" si="156"/>
        <v/>
      </c>
      <c r="AA1262" s="225" t="e">
        <f t="shared" si="153"/>
        <v>#VALUE!</v>
      </c>
      <c r="AB1262" s="222">
        <f>IFERROR(SUMIFS('Comp2016-2017 (3)'!$G$5:$G$289,'Comp2016-2017 (3)'!$A$5:$A$289,A1262,'Comp2016-2017 (3)'!$R$5:$R$289,V1262)*AA1262/SUMIFS($AA$4:$AA$1858,$A$4:$A$1858,A1262,$V$4:$V$1858,V1262),0)</f>
        <v>0</v>
      </c>
      <c r="AC1262" s="222" t="str">
        <f>IF($W1262=AC$3,$AB1262,IF(NOT($W1262=0),"",SUMIFS('Val-Vol (2)'!AC$4:AC$1858,'Val-Vol (2)'!$A$4:$A$1858,$D1262,'Val-Vol (2)'!$V$4:$V$1858,$V1262)/SUMIFS('Comp2016-2017 (3)'!$G$5:$G$289,'Comp2016-2017 (3)'!$A$5:$A$289,$D1262,'Comp2016-2017 (3)'!$R$5:$R$289,$V1262)*$AB1262))</f>
        <v/>
      </c>
      <c r="AD1262" s="222">
        <f>IF($W1262=AD$3,$AB1262,IF(NOT($W1262=0),"",SUMIFS('Val-Vol (2)'!AD$4:AD$1858,'Val-Vol (2)'!$A$4:$A$1858,$D1262,'Val-Vol (2)'!$V$4:$V$1858,$V1262)/SUMIFS('Comp2016-2017 (3)'!$G$5:$G$289,'Comp2016-2017 (3)'!$A$5:$A$289,$D1262,'Comp2016-2017 (3)'!$R$5:$R$289,$V1262)*$AB1262))</f>
        <v>0</v>
      </c>
      <c r="AE1262" s="222" t="str">
        <f>IF($W1262=AE$3,$AB1262,IF(NOT($W1262=0),"",SUMIFS('Val-Vol (2)'!AE$4:AE$1858,'Val-Vol (2)'!$A$4:$A$1858,$D1262,'Val-Vol (2)'!$V$4:$V$1858,$V1262)/SUMIFS('Comp2016-2017 (3)'!$G$5:$G$289,'Comp2016-2017 (3)'!$A$5:$A$289,$D1262,'Comp2016-2017 (3)'!$R$5:$R$289,$V1262)*$AB1262))</f>
        <v/>
      </c>
      <c r="AF1262" s="222" t="str">
        <f>IF($W1262=AF$3,$AB1262,IF(NOT($W1262=0),"",SUMIFS('Val-Vol (2)'!AF$4:AF$1858,'Val-Vol (2)'!$A$4:$A$1858,$D1262,'Val-Vol (2)'!$V$4:$V$1858,$V1262)/SUMIFS('Comp2016-2017 (3)'!$G$5:$G$289,'Comp2016-2017 (3)'!$A$5:$A$289,$D1262,'Comp2016-2017 (3)'!$R$5:$R$289,$V1262)*$AB1262))</f>
        <v/>
      </c>
      <c r="AG1262" s="222" t="str">
        <f>IF($W1262=AG$3,$AB1262,IF(NOT($W1262=0),"",SUMIFS('Val-Vol (2)'!AG$4:AG$1858,'Val-Vol (2)'!$A$4:$A$1858,$D1262,'Val-Vol (2)'!$V$4:$V$1858,$V1262)/SUMIFS('Comp2016-2017 (3)'!$G$5:$G$289,'Comp2016-2017 (3)'!$A$5:$A$289,$D1262,'Comp2016-2017 (3)'!$R$5:$R$289,$V1262)*$AB1262))</f>
        <v/>
      </c>
      <c r="AH1262" s="222" t="str">
        <f>IF($W1262=AH$3,$AB1262,IF(NOT($W1262=0),"",SUMIFS('Val-Vol (2)'!AH$4:AH$1858,'Val-Vol (2)'!$A$4:$A$1858,$D1262,'Val-Vol (2)'!$V$4:$V$1858,$V1262)/SUMIFS('Comp2016-2017 (3)'!$G$5:$G$289,'Comp2016-2017 (3)'!$A$5:$A$289,$D1262,'Comp2016-2017 (3)'!$R$5:$R$289,$V1262)*$AB1262))</f>
        <v/>
      </c>
      <c r="AI1262" s="222" t="str">
        <f>IF($W1262=AI$3,$AB1262,IF(NOT($W1262=0),"",SUMIFS('Val-Vol (2)'!AI$4:AI$1858,'Val-Vol (2)'!$A$4:$A$1858,$D1262,'Val-Vol (2)'!$V$4:$V$1858,$V1262)/SUMIFS('Comp2016-2017 (3)'!$G$5:$G$289,'Comp2016-2017 (3)'!$A$5:$A$289,$D1262,'Comp2016-2017 (3)'!$R$5:$R$289,$V1262)*$AB1262))</f>
        <v/>
      </c>
      <c r="AJ1262" s="222" t="str">
        <f>IF($W1262=AJ$3,$AB1262,IF(NOT($W1262=0),"",SUMIFS('Val-Vol (2)'!AJ$4:AJ$1858,'Val-Vol (2)'!$A$4:$A$1858,$D1262,'Val-Vol (2)'!$V$4:$V$1858,$V1262)/SUMIFS('Comp2016-2017 (3)'!$G$5:$G$289,'Comp2016-2017 (3)'!$A$5:$A$289,$D1262,'Comp2016-2017 (3)'!$R$5:$R$289,$V1262)*$AB1262))</f>
        <v/>
      </c>
      <c r="AK1262" s="222">
        <f t="shared" si="154"/>
        <v>0</v>
      </c>
      <c r="AL1262" s="212" t="str">
        <f t="shared" si="155"/>
        <v/>
      </c>
      <c r="AM1262" s="212" t="str">
        <f>VLOOKUP(A1262,'Table corresp.'!$M$4:$U$63,8,FALSE)</f>
        <v>Production intermédiaire</v>
      </c>
      <c r="AN1262" s="212" t="str">
        <f>VLOOKUP(D1262,'Table corresp.'!$M$4:$U$63,9,FALSE)</f>
        <v xml:space="preserve">Mise en œuvre </v>
      </c>
    </row>
    <row r="1263" spans="1:40" x14ac:dyDescent="0.25">
      <c r="A1263" t="s">
        <v>8</v>
      </c>
      <c r="B1263" t="str">
        <f>VLOOKUP(LEFT(A1263,3),'Table corresp.'!$A$4:$D$63,3,FALSE)</f>
        <v>Transformation</v>
      </c>
      <c r="C1263" t="str">
        <f>VLOOKUP(A1263,'Table corresp.'!$M$4:$P$63,4,FALSE)</f>
        <v>Production et transformation de produits bois</v>
      </c>
      <c r="D1263" t="s">
        <v>24</v>
      </c>
      <c r="E1263" t="str">
        <f>VLOOKUP(LEFT(D1263,3),'Table corresp.'!$A$4:$D$63,4,FALSE)</f>
        <v>Transformation</v>
      </c>
      <c r="F1263" t="str">
        <f t="shared" si="157"/>
        <v xml:space="preserve">13  - 57 </v>
      </c>
      <c r="G1263" s="213">
        <v>12332.16082000391</v>
      </c>
      <c r="H1263" s="213">
        <v>0</v>
      </c>
      <c r="I1263" s="213">
        <v>12332.16082000391</v>
      </c>
      <c r="J1263" s="215">
        <v>105.37380673001479</v>
      </c>
      <c r="K1263" s="215">
        <v>0</v>
      </c>
      <c r="L1263" s="215">
        <v>105.37380673001479</v>
      </c>
      <c r="M1263" s="215"/>
      <c r="N1263" s="215"/>
      <c r="O1263" s="215"/>
      <c r="P1263" s="215"/>
      <c r="Q1263" s="215"/>
      <c r="R1263" s="215"/>
      <c r="S1263" s="213"/>
      <c r="T1263" s="212">
        <f>VLOOKUP(A1263,'Groupe de branches'!$Z$27:$AM$86,14,FALSE)</f>
        <v>0</v>
      </c>
      <c r="U1263" s="212">
        <f>VLOOKUP(D1263,'Groupe de branches'!$Z$27:$AM$86,14,FALSE)</f>
        <v>0</v>
      </c>
      <c r="V1263" s="212">
        <v>2019</v>
      </c>
      <c r="W1263" s="212" t="str">
        <f>VLOOKUP(D1263,'Table corresp.'!$M$4:$S$63,7,FALSE)</f>
        <v>Construction</v>
      </c>
      <c r="X1263" s="228">
        <f>IFERROR(G1263/SUMIFS('Comp2016-2017 (3)'!$I$5:$I$289,'Comp2016-2017 (3)'!$A$5:$A$289,A1263,'Comp2016-2017 (3)'!$R$5:$R$289,V1263),0)</f>
        <v>3.9945409363554299E-2</v>
      </c>
      <c r="Y1263" s="214" t="e">
        <f>IF(RIGHT(F1263,3)="Exp",VLOOKUP(F1263,#REF!,2,FALSE),VLOOKUP(F1263,#REF!,9,FALSE))</f>
        <v>#REF!</v>
      </c>
      <c r="Z1263" s="225" t="str">
        <f t="shared" si="156"/>
        <v/>
      </c>
      <c r="AA1263" s="225" t="e">
        <f t="shared" si="153"/>
        <v>#VALUE!</v>
      </c>
      <c r="AB1263" s="222">
        <f>IFERROR(SUMIFS('Comp2016-2017 (3)'!$G$5:$G$289,'Comp2016-2017 (3)'!$A$5:$A$289,A1263,'Comp2016-2017 (3)'!$R$5:$R$289,V1263)*AA1263/SUMIFS($AA$4:$AA$1858,$A$4:$A$1858,A1263,$V$4:$V$1858,V1263),0)</f>
        <v>0</v>
      </c>
      <c r="AC1263" s="222" t="str">
        <f>IF($W1263=AC$3,$AB1263,IF(NOT($W1263=0),"",SUMIFS('Val-Vol (2)'!AC$4:AC$1858,'Val-Vol (2)'!$A$4:$A$1858,$D1263,'Val-Vol (2)'!$V$4:$V$1858,$V1263)/SUMIFS('Comp2016-2017 (3)'!$G$5:$G$289,'Comp2016-2017 (3)'!$A$5:$A$289,$D1263,'Comp2016-2017 (3)'!$R$5:$R$289,$V1263)*$AB1263))</f>
        <v/>
      </c>
      <c r="AD1263" s="222">
        <f>IF($W1263=AD$3,$AB1263,IF(NOT($W1263=0),"",SUMIFS('Val-Vol (2)'!AD$4:AD$1858,'Val-Vol (2)'!$A$4:$A$1858,$D1263,'Val-Vol (2)'!$V$4:$V$1858,$V1263)/SUMIFS('Comp2016-2017 (3)'!$G$5:$G$289,'Comp2016-2017 (3)'!$A$5:$A$289,$D1263,'Comp2016-2017 (3)'!$R$5:$R$289,$V1263)*$AB1263))</f>
        <v>0</v>
      </c>
      <c r="AE1263" s="222" t="str">
        <f>IF($W1263=AE$3,$AB1263,IF(NOT($W1263=0),"",SUMIFS('Val-Vol (2)'!AE$4:AE$1858,'Val-Vol (2)'!$A$4:$A$1858,$D1263,'Val-Vol (2)'!$V$4:$V$1858,$V1263)/SUMIFS('Comp2016-2017 (3)'!$G$5:$G$289,'Comp2016-2017 (3)'!$A$5:$A$289,$D1263,'Comp2016-2017 (3)'!$R$5:$R$289,$V1263)*$AB1263))</f>
        <v/>
      </c>
      <c r="AF1263" s="222" t="str">
        <f>IF($W1263=AF$3,$AB1263,IF(NOT($W1263=0),"",SUMIFS('Val-Vol (2)'!AF$4:AF$1858,'Val-Vol (2)'!$A$4:$A$1858,$D1263,'Val-Vol (2)'!$V$4:$V$1858,$V1263)/SUMIFS('Comp2016-2017 (3)'!$G$5:$G$289,'Comp2016-2017 (3)'!$A$5:$A$289,$D1263,'Comp2016-2017 (3)'!$R$5:$R$289,$V1263)*$AB1263))</f>
        <v/>
      </c>
      <c r="AG1263" s="222" t="str">
        <f>IF($W1263=AG$3,$AB1263,IF(NOT($W1263=0),"",SUMIFS('Val-Vol (2)'!AG$4:AG$1858,'Val-Vol (2)'!$A$4:$A$1858,$D1263,'Val-Vol (2)'!$V$4:$V$1858,$V1263)/SUMIFS('Comp2016-2017 (3)'!$G$5:$G$289,'Comp2016-2017 (3)'!$A$5:$A$289,$D1263,'Comp2016-2017 (3)'!$R$5:$R$289,$V1263)*$AB1263))</f>
        <v/>
      </c>
      <c r="AH1263" s="222" t="str">
        <f>IF($W1263=AH$3,$AB1263,IF(NOT($W1263=0),"",SUMIFS('Val-Vol (2)'!AH$4:AH$1858,'Val-Vol (2)'!$A$4:$A$1858,$D1263,'Val-Vol (2)'!$V$4:$V$1858,$V1263)/SUMIFS('Comp2016-2017 (3)'!$G$5:$G$289,'Comp2016-2017 (3)'!$A$5:$A$289,$D1263,'Comp2016-2017 (3)'!$R$5:$R$289,$V1263)*$AB1263))</f>
        <v/>
      </c>
      <c r="AI1263" s="222" t="str">
        <f>IF($W1263=AI$3,$AB1263,IF(NOT($W1263=0),"",SUMIFS('Val-Vol (2)'!AI$4:AI$1858,'Val-Vol (2)'!$A$4:$A$1858,$D1263,'Val-Vol (2)'!$V$4:$V$1858,$V1263)/SUMIFS('Comp2016-2017 (3)'!$G$5:$G$289,'Comp2016-2017 (3)'!$A$5:$A$289,$D1263,'Comp2016-2017 (3)'!$R$5:$R$289,$V1263)*$AB1263))</f>
        <v/>
      </c>
      <c r="AJ1263" s="222" t="str">
        <f>IF($W1263=AJ$3,$AB1263,IF(NOT($W1263=0),"",SUMIFS('Val-Vol (2)'!AJ$4:AJ$1858,'Val-Vol (2)'!$A$4:$A$1858,$D1263,'Val-Vol (2)'!$V$4:$V$1858,$V1263)/SUMIFS('Comp2016-2017 (3)'!$G$5:$G$289,'Comp2016-2017 (3)'!$A$5:$A$289,$D1263,'Comp2016-2017 (3)'!$R$5:$R$289,$V1263)*$AB1263))</f>
        <v/>
      </c>
      <c r="AK1263" s="222">
        <f t="shared" si="154"/>
        <v>0</v>
      </c>
      <c r="AL1263" s="212" t="str">
        <f t="shared" si="155"/>
        <v/>
      </c>
      <c r="AM1263" s="212" t="str">
        <f>VLOOKUP(A1263,'Table corresp.'!$M$4:$U$63,8,FALSE)</f>
        <v>Production intermédiaire</v>
      </c>
      <c r="AN1263" s="212" t="str">
        <f>VLOOKUP(D1263,'Table corresp.'!$M$4:$U$63,9,FALSE)</f>
        <v xml:space="preserve">Mise en œuvre </v>
      </c>
    </row>
    <row r="1264" spans="1:40" x14ac:dyDescent="0.25">
      <c r="A1264" t="s">
        <v>8</v>
      </c>
      <c r="B1264" t="str">
        <f>VLOOKUP(LEFT(A1264,3),'Table corresp.'!$A$4:$D$63,3,FALSE)</f>
        <v>Transformation</v>
      </c>
      <c r="C1264" t="str">
        <f>VLOOKUP(A1264,'Table corresp.'!$M$4:$P$63,4,FALSE)</f>
        <v>Production et transformation de produits bois</v>
      </c>
      <c r="D1264" t="s">
        <v>26</v>
      </c>
      <c r="E1264" t="str">
        <f>VLOOKUP(LEFT(D1264,3),'Table corresp.'!$A$4:$D$63,4,FALSE)</f>
        <v>Transformation</v>
      </c>
      <c r="F1264" t="str">
        <f t="shared" si="157"/>
        <v xml:space="preserve">13  - 59 </v>
      </c>
      <c r="G1264" s="213">
        <v>2242.4718212143016</v>
      </c>
      <c r="H1264" s="213">
        <v>0</v>
      </c>
      <c r="I1264" s="213">
        <v>2242.4718212143016</v>
      </c>
      <c r="J1264" s="215">
        <v>23.4191247591985</v>
      </c>
      <c r="K1264" s="215">
        <v>0</v>
      </c>
      <c r="L1264" s="215">
        <v>23.4191247591985</v>
      </c>
      <c r="M1264" s="215"/>
      <c r="N1264" s="215"/>
      <c r="O1264" s="215"/>
      <c r="P1264" s="215"/>
      <c r="Q1264" s="215"/>
      <c r="R1264" s="215"/>
      <c r="S1264" s="213"/>
      <c r="T1264" s="212">
        <f>VLOOKUP(A1264,'Groupe de branches'!$Z$27:$AM$86,14,FALSE)</f>
        <v>0</v>
      </c>
      <c r="U1264" s="212">
        <f>VLOOKUP(D1264,'Groupe de branches'!$Z$27:$AM$86,14,FALSE)</f>
        <v>0</v>
      </c>
      <c r="V1264" s="212">
        <v>2019</v>
      </c>
      <c r="W1264" s="212" t="str">
        <f>VLOOKUP(D1264,'Table corresp.'!$M$4:$S$63,7,FALSE)</f>
        <v>Construction</v>
      </c>
      <c r="X1264" s="228">
        <f>IFERROR(G1264/SUMIFS('Comp2016-2017 (3)'!$I$5:$I$289,'Comp2016-2017 (3)'!$A$5:$A$289,A1264,'Comp2016-2017 (3)'!$R$5:$R$289,V1264),0)</f>
        <v>7.2636463464974517E-3</v>
      </c>
      <c r="Y1264" s="214" t="e">
        <f>IF(RIGHT(F1264,3)="Exp",VLOOKUP(F1264,#REF!,2,FALSE),VLOOKUP(F1264,#REF!,9,FALSE))</f>
        <v>#REF!</v>
      </c>
      <c r="Z1264" s="225" t="str">
        <f t="shared" si="156"/>
        <v/>
      </c>
      <c r="AA1264" s="225" t="e">
        <f t="shared" si="153"/>
        <v>#VALUE!</v>
      </c>
      <c r="AB1264" s="222">
        <f>IFERROR(SUMIFS('Comp2016-2017 (3)'!$G$5:$G$289,'Comp2016-2017 (3)'!$A$5:$A$289,A1264,'Comp2016-2017 (3)'!$R$5:$R$289,V1264)*AA1264/SUMIFS($AA$4:$AA$1858,$A$4:$A$1858,A1264,$V$4:$V$1858,V1264),0)</f>
        <v>0</v>
      </c>
      <c r="AC1264" s="222" t="str">
        <f>IF($W1264=AC$3,$AB1264,IF(NOT($W1264=0),"",SUMIFS('Val-Vol (2)'!AC$4:AC$1858,'Val-Vol (2)'!$A$4:$A$1858,$D1264,'Val-Vol (2)'!$V$4:$V$1858,$V1264)/SUMIFS('Comp2016-2017 (3)'!$G$5:$G$289,'Comp2016-2017 (3)'!$A$5:$A$289,$D1264,'Comp2016-2017 (3)'!$R$5:$R$289,$V1264)*$AB1264))</f>
        <v/>
      </c>
      <c r="AD1264" s="222">
        <f>IF($W1264=AD$3,$AB1264,IF(NOT($W1264=0),"",SUMIFS('Val-Vol (2)'!AD$4:AD$1858,'Val-Vol (2)'!$A$4:$A$1858,$D1264,'Val-Vol (2)'!$V$4:$V$1858,$V1264)/SUMIFS('Comp2016-2017 (3)'!$G$5:$G$289,'Comp2016-2017 (3)'!$A$5:$A$289,$D1264,'Comp2016-2017 (3)'!$R$5:$R$289,$V1264)*$AB1264))</f>
        <v>0</v>
      </c>
      <c r="AE1264" s="222" t="str">
        <f>IF($W1264=AE$3,$AB1264,IF(NOT($W1264=0),"",SUMIFS('Val-Vol (2)'!AE$4:AE$1858,'Val-Vol (2)'!$A$4:$A$1858,$D1264,'Val-Vol (2)'!$V$4:$V$1858,$V1264)/SUMIFS('Comp2016-2017 (3)'!$G$5:$G$289,'Comp2016-2017 (3)'!$A$5:$A$289,$D1264,'Comp2016-2017 (3)'!$R$5:$R$289,$V1264)*$AB1264))</f>
        <v/>
      </c>
      <c r="AF1264" s="222" t="str">
        <f>IF($W1264=AF$3,$AB1264,IF(NOT($W1264=0),"",SUMIFS('Val-Vol (2)'!AF$4:AF$1858,'Val-Vol (2)'!$A$4:$A$1858,$D1264,'Val-Vol (2)'!$V$4:$V$1858,$V1264)/SUMIFS('Comp2016-2017 (3)'!$G$5:$G$289,'Comp2016-2017 (3)'!$A$5:$A$289,$D1264,'Comp2016-2017 (3)'!$R$5:$R$289,$V1264)*$AB1264))</f>
        <v/>
      </c>
      <c r="AG1264" s="222" t="str">
        <f>IF($W1264=AG$3,$AB1264,IF(NOT($W1264=0),"",SUMIFS('Val-Vol (2)'!AG$4:AG$1858,'Val-Vol (2)'!$A$4:$A$1858,$D1264,'Val-Vol (2)'!$V$4:$V$1858,$V1264)/SUMIFS('Comp2016-2017 (3)'!$G$5:$G$289,'Comp2016-2017 (3)'!$A$5:$A$289,$D1264,'Comp2016-2017 (3)'!$R$5:$R$289,$V1264)*$AB1264))</f>
        <v/>
      </c>
      <c r="AH1264" s="222" t="str">
        <f>IF($W1264=AH$3,$AB1264,IF(NOT($W1264=0),"",SUMIFS('Val-Vol (2)'!AH$4:AH$1858,'Val-Vol (2)'!$A$4:$A$1858,$D1264,'Val-Vol (2)'!$V$4:$V$1858,$V1264)/SUMIFS('Comp2016-2017 (3)'!$G$5:$G$289,'Comp2016-2017 (3)'!$A$5:$A$289,$D1264,'Comp2016-2017 (3)'!$R$5:$R$289,$V1264)*$AB1264))</f>
        <v/>
      </c>
      <c r="AI1264" s="222" t="str">
        <f>IF($W1264=AI$3,$AB1264,IF(NOT($W1264=0),"",SUMIFS('Val-Vol (2)'!AI$4:AI$1858,'Val-Vol (2)'!$A$4:$A$1858,$D1264,'Val-Vol (2)'!$V$4:$V$1858,$V1264)/SUMIFS('Comp2016-2017 (3)'!$G$5:$G$289,'Comp2016-2017 (3)'!$A$5:$A$289,$D1264,'Comp2016-2017 (3)'!$R$5:$R$289,$V1264)*$AB1264))</f>
        <v/>
      </c>
      <c r="AJ1264" s="222" t="str">
        <f>IF($W1264=AJ$3,$AB1264,IF(NOT($W1264=0),"",SUMIFS('Val-Vol (2)'!AJ$4:AJ$1858,'Val-Vol (2)'!$A$4:$A$1858,$D1264,'Val-Vol (2)'!$V$4:$V$1858,$V1264)/SUMIFS('Comp2016-2017 (3)'!$G$5:$G$289,'Comp2016-2017 (3)'!$A$5:$A$289,$D1264,'Comp2016-2017 (3)'!$R$5:$R$289,$V1264)*$AB1264))</f>
        <v/>
      </c>
      <c r="AK1264" s="222">
        <f t="shared" si="154"/>
        <v>0</v>
      </c>
      <c r="AL1264" s="212" t="str">
        <f t="shared" si="155"/>
        <v/>
      </c>
      <c r="AM1264" s="212" t="str">
        <f>VLOOKUP(A1264,'Table corresp.'!$M$4:$U$63,8,FALSE)</f>
        <v>Production intermédiaire</v>
      </c>
      <c r="AN1264" s="212" t="str">
        <f>VLOOKUP(D1264,'Table corresp.'!$M$4:$U$63,9,FALSE)</f>
        <v xml:space="preserve">Mise en œuvre </v>
      </c>
    </row>
    <row r="1265" spans="1:40" x14ac:dyDescent="0.25">
      <c r="A1265" t="s">
        <v>8</v>
      </c>
      <c r="B1265" t="str">
        <f>VLOOKUP(LEFT(A1265,3),'Table corresp.'!$A$4:$D$63,3,FALSE)</f>
        <v>Transformation</v>
      </c>
      <c r="C1265" t="str">
        <f>VLOOKUP(A1265,'Table corresp.'!$M$4:$P$63,4,FALSE)</f>
        <v>Production et transformation de produits bois</v>
      </c>
      <c r="D1265" t="s">
        <v>54</v>
      </c>
      <c r="E1265" t="str">
        <f>VLOOKUP(LEFT(D1265,3),'Table corresp.'!$A$4:$D$63,4,FALSE)</f>
        <v>Consommation finale</v>
      </c>
      <c r="F1265" t="str">
        <f t="shared" si="157"/>
        <v>13  - Con</v>
      </c>
      <c r="G1265" s="213">
        <v>102586.21534190247</v>
      </c>
      <c r="H1265" s="213">
        <v>0</v>
      </c>
      <c r="I1265" s="213">
        <v>102586.21534190247</v>
      </c>
      <c r="J1265" s="215">
        <v>833.48682266098626</v>
      </c>
      <c r="K1265" s="215">
        <v>0</v>
      </c>
      <c r="L1265" s="215">
        <v>833.48682266098626</v>
      </c>
      <c r="M1265" s="215"/>
      <c r="N1265" s="215"/>
      <c r="O1265" s="215"/>
      <c r="P1265" s="215"/>
      <c r="Q1265" s="215"/>
      <c r="R1265" s="215"/>
      <c r="S1265" s="213"/>
      <c r="T1265" s="212">
        <f>VLOOKUP(A1265,'Groupe de branches'!$Z$27:$AM$86,14,FALSE)</f>
        <v>0</v>
      </c>
      <c r="U1265" s="212">
        <f>VLOOKUP(D1265,'Groupe de branches'!$Z$27:$AM$86,14,FALSE)</f>
        <v>0</v>
      </c>
      <c r="V1265" s="212">
        <v>2019</v>
      </c>
      <c r="W1265" s="212" t="str">
        <f>VLOOKUP(D1265,'Table corresp.'!$M$4:$S$63,7,FALSE)</f>
        <v>Consommation finale</v>
      </c>
      <c r="X1265" s="228">
        <f>IFERROR(G1265/SUMIFS('Comp2016-2017 (3)'!$I$5:$I$289,'Comp2016-2017 (3)'!$A$5:$A$289,A1265,'Comp2016-2017 (3)'!$R$5:$R$289,V1265),0)</f>
        <v>0.3322895660136817</v>
      </c>
      <c r="Y1265" s="214" t="e">
        <f>IF(RIGHT(F1265,3)="Exp",VLOOKUP(F1265,#REF!,2,FALSE),VLOOKUP(F1265,#REF!,9,FALSE))</f>
        <v>#REF!</v>
      </c>
      <c r="Z1265" s="225" t="str">
        <f t="shared" si="156"/>
        <v/>
      </c>
      <c r="AA1265" s="225" t="e">
        <f t="shared" si="153"/>
        <v>#VALUE!</v>
      </c>
      <c r="AB1265" s="222">
        <f>IFERROR(SUMIFS('Comp2016-2017 (3)'!$G$5:$G$289,'Comp2016-2017 (3)'!$A$5:$A$289,A1265,'Comp2016-2017 (3)'!$R$5:$R$289,V1265)*AA1265/SUMIFS($AA$4:$AA$1858,$A$4:$A$1858,A1265,$V$4:$V$1858,V1265),0)</f>
        <v>0</v>
      </c>
      <c r="AC1265" s="222" t="str">
        <f>IF($W1265=AC$3,$AB1265,IF(NOT($W1265=0),"",SUMIFS('Val-Vol (2)'!AC$4:AC$1858,'Val-Vol (2)'!$A$4:$A$1858,$D1265,'Val-Vol (2)'!$V$4:$V$1858,$V1265)/SUMIFS('Comp2016-2017 (3)'!$G$5:$G$289,'Comp2016-2017 (3)'!$A$5:$A$289,$D1265,'Comp2016-2017 (3)'!$R$5:$R$289,$V1265)*$AB1265))</f>
        <v/>
      </c>
      <c r="AD1265" s="222" t="str">
        <f>IF($W1265=AD$3,$AB1265,IF(NOT($W1265=0),"",SUMIFS('Val-Vol (2)'!AD$4:AD$1858,'Val-Vol (2)'!$A$4:$A$1858,$D1265,'Val-Vol (2)'!$V$4:$V$1858,$V1265)/SUMIFS('Comp2016-2017 (3)'!$G$5:$G$289,'Comp2016-2017 (3)'!$A$5:$A$289,$D1265,'Comp2016-2017 (3)'!$R$5:$R$289,$V1265)*$AB1265))</f>
        <v/>
      </c>
      <c r="AE1265" s="222" t="str">
        <f>IF($W1265=AE$3,$AB1265,IF(NOT($W1265=0),"",SUMIFS('Val-Vol (2)'!AE$4:AE$1858,'Val-Vol (2)'!$A$4:$A$1858,$D1265,'Val-Vol (2)'!$V$4:$V$1858,$V1265)/SUMIFS('Comp2016-2017 (3)'!$G$5:$G$289,'Comp2016-2017 (3)'!$A$5:$A$289,$D1265,'Comp2016-2017 (3)'!$R$5:$R$289,$V1265)*$AB1265))</f>
        <v/>
      </c>
      <c r="AF1265" s="222" t="str">
        <f>IF($W1265=AF$3,$AB1265,IF(NOT($W1265=0),"",SUMIFS('Val-Vol (2)'!AF$4:AF$1858,'Val-Vol (2)'!$A$4:$A$1858,$D1265,'Val-Vol (2)'!$V$4:$V$1858,$V1265)/SUMIFS('Comp2016-2017 (3)'!$G$5:$G$289,'Comp2016-2017 (3)'!$A$5:$A$289,$D1265,'Comp2016-2017 (3)'!$R$5:$R$289,$V1265)*$AB1265))</f>
        <v/>
      </c>
      <c r="AG1265" s="222" t="str">
        <f>IF($W1265=AG$3,$AB1265,IF(NOT($W1265=0),"",SUMIFS('Val-Vol (2)'!AG$4:AG$1858,'Val-Vol (2)'!$A$4:$A$1858,$D1265,'Val-Vol (2)'!$V$4:$V$1858,$V1265)/SUMIFS('Comp2016-2017 (3)'!$G$5:$G$289,'Comp2016-2017 (3)'!$A$5:$A$289,$D1265,'Comp2016-2017 (3)'!$R$5:$R$289,$V1265)*$AB1265))</f>
        <v/>
      </c>
      <c r="AH1265" s="222" t="str">
        <f>IF($W1265=AH$3,$AB1265,IF(NOT($W1265=0),"",SUMIFS('Val-Vol (2)'!AH$4:AH$1858,'Val-Vol (2)'!$A$4:$A$1858,$D1265,'Val-Vol (2)'!$V$4:$V$1858,$V1265)/SUMIFS('Comp2016-2017 (3)'!$G$5:$G$289,'Comp2016-2017 (3)'!$A$5:$A$289,$D1265,'Comp2016-2017 (3)'!$R$5:$R$289,$V1265)*$AB1265))</f>
        <v/>
      </c>
      <c r="AI1265" s="222" t="str">
        <f>IF($W1265=AI$3,$AB1265,IF(NOT($W1265=0),"",SUMIFS('Val-Vol (2)'!AI$4:AI$1858,'Val-Vol (2)'!$A$4:$A$1858,$D1265,'Val-Vol (2)'!$V$4:$V$1858,$V1265)/SUMIFS('Comp2016-2017 (3)'!$G$5:$G$289,'Comp2016-2017 (3)'!$A$5:$A$289,$D1265,'Comp2016-2017 (3)'!$R$5:$R$289,$V1265)*$AB1265))</f>
        <v/>
      </c>
      <c r="AJ1265" s="222">
        <f>IF($W1265=AJ$3,$AB1265,IF(NOT($W1265=0),"",SUMIFS('Val-Vol (2)'!AJ$4:AJ$1858,'Val-Vol (2)'!$A$4:$A$1858,$D1265,'Val-Vol (2)'!$V$4:$V$1858,$V1265)/SUMIFS('Comp2016-2017 (3)'!$G$5:$G$289,'Comp2016-2017 (3)'!$A$5:$A$289,$D1265,'Comp2016-2017 (3)'!$R$5:$R$289,$V1265)*$AB1265))</f>
        <v>0</v>
      </c>
      <c r="AK1265" s="222">
        <f t="shared" si="154"/>
        <v>0</v>
      </c>
      <c r="AL1265" s="212" t="str">
        <f t="shared" si="155"/>
        <v/>
      </c>
      <c r="AM1265" s="212" t="str">
        <f>VLOOKUP(A1265,'Table corresp.'!$M$4:$U$63,8,FALSE)</f>
        <v>Production intermédiaire</v>
      </c>
      <c r="AN1265" s="212" t="str">
        <f>VLOOKUP(D1265,'Table corresp.'!$M$4:$U$63,9,FALSE)</f>
        <v>Consommation finale française</v>
      </c>
    </row>
    <row r="1266" spans="1:40" x14ac:dyDescent="0.25">
      <c r="A1266" t="s">
        <v>8</v>
      </c>
      <c r="B1266" t="str">
        <f>VLOOKUP(LEFT(A1266,3),'Table corresp.'!$A$4:$D$63,3,FALSE)</f>
        <v>Transformation</v>
      </c>
      <c r="C1266" t="str">
        <f>VLOOKUP(A1266,'Table corresp.'!$M$4:$P$63,4,FALSE)</f>
        <v>Production et transformation de produits bois</v>
      </c>
      <c r="D1266" t="s">
        <v>53</v>
      </c>
      <c r="E1266" t="str">
        <f>VLOOKUP(LEFT(D1266,3),'Table corresp.'!$A$4:$D$63,4,FALSE)</f>
        <v>Exportation</v>
      </c>
      <c r="F1266" t="str">
        <f t="shared" si="157"/>
        <v>13  - Exp</v>
      </c>
      <c r="G1266" s="213">
        <v>32030.493367714043</v>
      </c>
      <c r="H1266" s="213">
        <v>0</v>
      </c>
      <c r="I1266" s="213">
        <v>32030.493367714043</v>
      </c>
      <c r="J1266" s="215">
        <v>260.23958537063891</v>
      </c>
      <c r="K1266" s="215">
        <v>0</v>
      </c>
      <c r="L1266" s="215">
        <v>260.23958537063891</v>
      </c>
      <c r="M1266" s="215"/>
      <c r="N1266" s="215"/>
      <c r="O1266" s="215"/>
      <c r="P1266" s="215"/>
      <c r="Q1266" s="215"/>
      <c r="R1266" s="215"/>
      <c r="S1266" s="213"/>
      <c r="T1266" s="212">
        <f>VLOOKUP(A1266,'Groupe de branches'!$Z$27:$AM$86,14,FALSE)</f>
        <v>0</v>
      </c>
      <c r="U1266" s="212">
        <f>VLOOKUP(D1266,'Groupe de branches'!$Z$27:$AM$86,14,FALSE)</f>
        <v>0</v>
      </c>
      <c r="V1266" s="212">
        <v>2019</v>
      </c>
      <c r="W1266" s="212" t="str">
        <f>VLOOKUP(D1266,'Table corresp.'!$M$4:$S$63,7,FALSE)</f>
        <v>Exportation</v>
      </c>
      <c r="X1266" s="228">
        <f>IFERROR(G1266/SUMIFS('Comp2016-2017 (3)'!$I$5:$I$289,'Comp2016-2017 (3)'!$A$5:$A$289,A1266,'Comp2016-2017 (3)'!$R$5:$R$289,V1266),0)</f>
        <v>0.10375076909591767</v>
      </c>
      <c r="Y1266" s="214" t="e">
        <f>IF(RIGHT(F1266,3)="Exp",VLOOKUP(F1266,#REF!,2,FALSE),VLOOKUP(F1266,#REF!,9,FALSE))</f>
        <v>#REF!</v>
      </c>
      <c r="Z1266" s="225" t="str">
        <f t="shared" si="156"/>
        <v/>
      </c>
      <c r="AA1266" s="225" t="e">
        <f t="shared" si="153"/>
        <v>#VALUE!</v>
      </c>
      <c r="AB1266" s="222">
        <f>IFERROR(SUMIFS('Comp2016-2017 (3)'!$G$5:$G$289,'Comp2016-2017 (3)'!$A$5:$A$289,A1266,'Comp2016-2017 (3)'!$R$5:$R$289,V1266)*AA1266/SUMIFS($AA$4:$AA$1858,$A$4:$A$1858,A1266,$V$4:$V$1858,V1266),0)</f>
        <v>0</v>
      </c>
      <c r="AC1266" s="222">
        <f>IF($W1266=AC$3,$AB1266,IF(NOT($W1266=0),"",SUMIFS('Val-Vol (2)'!AC$4:AC$1858,'Val-Vol (2)'!$A$4:$A$1858,$D1266,'Val-Vol (2)'!$V$4:$V$1858,$V1266)/SUMIFS('Comp2016-2017 (3)'!$G$5:$G$289,'Comp2016-2017 (3)'!$A$5:$A$289,$D1266,'Comp2016-2017 (3)'!$R$5:$R$289,$V1266)*$AB1266))</f>
        <v>0</v>
      </c>
      <c r="AD1266" s="222" t="str">
        <f>IF($W1266=AD$3,$AB1266,IF(NOT($W1266=0),"",SUMIFS('Val-Vol (2)'!AD$4:AD$1858,'Val-Vol (2)'!$A$4:$A$1858,$D1266,'Val-Vol (2)'!$V$4:$V$1858,$V1266)/SUMIFS('Comp2016-2017 (3)'!$G$5:$G$289,'Comp2016-2017 (3)'!$A$5:$A$289,$D1266,'Comp2016-2017 (3)'!$R$5:$R$289,$V1266)*$AB1266))</f>
        <v/>
      </c>
      <c r="AE1266" s="222" t="str">
        <f>IF($W1266=AE$3,$AB1266,IF(NOT($W1266=0),"",SUMIFS('Val-Vol (2)'!AE$4:AE$1858,'Val-Vol (2)'!$A$4:$A$1858,$D1266,'Val-Vol (2)'!$V$4:$V$1858,$V1266)/SUMIFS('Comp2016-2017 (3)'!$G$5:$G$289,'Comp2016-2017 (3)'!$A$5:$A$289,$D1266,'Comp2016-2017 (3)'!$R$5:$R$289,$V1266)*$AB1266))</f>
        <v/>
      </c>
      <c r="AF1266" s="222" t="str">
        <f>IF($W1266=AF$3,$AB1266,IF(NOT($W1266=0),"",SUMIFS('Val-Vol (2)'!AF$4:AF$1858,'Val-Vol (2)'!$A$4:$A$1858,$D1266,'Val-Vol (2)'!$V$4:$V$1858,$V1266)/SUMIFS('Comp2016-2017 (3)'!$G$5:$G$289,'Comp2016-2017 (3)'!$A$5:$A$289,$D1266,'Comp2016-2017 (3)'!$R$5:$R$289,$V1266)*$AB1266))</f>
        <v/>
      </c>
      <c r="AG1266" s="222" t="str">
        <f>IF($W1266=AG$3,$AB1266,IF(NOT($W1266=0),"",SUMIFS('Val-Vol (2)'!AG$4:AG$1858,'Val-Vol (2)'!$A$4:$A$1858,$D1266,'Val-Vol (2)'!$V$4:$V$1858,$V1266)/SUMIFS('Comp2016-2017 (3)'!$G$5:$G$289,'Comp2016-2017 (3)'!$A$5:$A$289,$D1266,'Comp2016-2017 (3)'!$R$5:$R$289,$V1266)*$AB1266))</f>
        <v/>
      </c>
      <c r="AH1266" s="222" t="str">
        <f>IF($W1266=AH$3,$AB1266,IF(NOT($W1266=0),"",SUMIFS('Val-Vol (2)'!AH$4:AH$1858,'Val-Vol (2)'!$A$4:$A$1858,$D1266,'Val-Vol (2)'!$V$4:$V$1858,$V1266)/SUMIFS('Comp2016-2017 (3)'!$G$5:$G$289,'Comp2016-2017 (3)'!$A$5:$A$289,$D1266,'Comp2016-2017 (3)'!$R$5:$R$289,$V1266)*$AB1266))</f>
        <v/>
      </c>
      <c r="AI1266" s="222" t="str">
        <f>IF($W1266=AI$3,$AB1266,IF(NOT($W1266=0),"",SUMIFS('Val-Vol (2)'!AI$4:AI$1858,'Val-Vol (2)'!$A$4:$A$1858,$D1266,'Val-Vol (2)'!$V$4:$V$1858,$V1266)/SUMIFS('Comp2016-2017 (3)'!$G$5:$G$289,'Comp2016-2017 (3)'!$A$5:$A$289,$D1266,'Comp2016-2017 (3)'!$R$5:$R$289,$V1266)*$AB1266))</f>
        <v/>
      </c>
      <c r="AJ1266" s="222" t="str">
        <f>IF($W1266=AJ$3,$AB1266,IF(NOT($W1266=0),"",SUMIFS('Val-Vol (2)'!AJ$4:AJ$1858,'Val-Vol (2)'!$A$4:$A$1858,$D1266,'Val-Vol (2)'!$V$4:$V$1858,$V1266)/SUMIFS('Comp2016-2017 (3)'!$G$5:$G$289,'Comp2016-2017 (3)'!$A$5:$A$289,$D1266,'Comp2016-2017 (3)'!$R$5:$R$289,$V1266)*$AB1266))</f>
        <v/>
      </c>
      <c r="AK1266" s="222">
        <f t="shared" si="154"/>
        <v>0</v>
      </c>
      <c r="AL1266" s="212" t="str">
        <f t="shared" si="155"/>
        <v/>
      </c>
      <c r="AM1266" s="212" t="str">
        <f>VLOOKUP(A1266,'Table corresp.'!$M$4:$U$63,8,FALSE)</f>
        <v>Production intermédiaire</v>
      </c>
      <c r="AN1266" s="212" t="str">
        <f>VLOOKUP(D1266,'Table corresp.'!$M$4:$U$63,9,FALSE)</f>
        <v>Exportation</v>
      </c>
    </row>
    <row r="1267" spans="1:40" x14ac:dyDescent="0.25">
      <c r="A1267" t="s">
        <v>83</v>
      </c>
      <c r="B1267" t="str">
        <f>VLOOKUP(LEFT(A1267,3),'Table corresp.'!$A$4:$D$63,3,FALSE)</f>
        <v>Transformation</v>
      </c>
      <c r="C1267" t="str">
        <f>VLOOKUP(A1267,'Table corresp.'!$M$4:$P$63,4,FALSE)</f>
        <v>Production et transformation de produits bois</v>
      </c>
      <c r="D1267" t="s">
        <v>13</v>
      </c>
      <c r="E1267" t="str">
        <f>VLOOKUP(LEFT(D1267,3),'Table corresp.'!$A$4:$D$63,4,FALSE)</f>
        <v>Transformation</v>
      </c>
      <c r="F1267" t="str">
        <f t="shared" si="157"/>
        <v xml:space="preserve">14  - 20 </v>
      </c>
      <c r="G1267" s="213">
        <v>4359.4256458485324</v>
      </c>
      <c r="H1267" s="213">
        <v>44369.905834635654</v>
      </c>
      <c r="I1267" s="213">
        <v>48729.331478749737</v>
      </c>
      <c r="J1267" s="215">
        <v>35.458865113588566</v>
      </c>
      <c r="K1267" s="215">
        <v>136.22176652124395</v>
      </c>
      <c r="L1267" s="215">
        <v>171.68063163483251</v>
      </c>
      <c r="M1267" s="215"/>
      <c r="N1267" s="215"/>
      <c r="O1267" s="215"/>
      <c r="P1267" s="215"/>
      <c r="Q1267" s="215"/>
      <c r="R1267" s="215"/>
      <c r="S1267" s="213"/>
      <c r="T1267" s="212">
        <f>VLOOKUP(A1267,'Groupe de branches'!$Z$27:$AM$86,14,FALSE)</f>
        <v>0</v>
      </c>
      <c r="U1267" s="212">
        <f>VLOOKUP(D1267,'Groupe de branches'!$Z$27:$AM$86,14,FALSE)</f>
        <v>0</v>
      </c>
      <c r="V1267" s="212">
        <v>2019</v>
      </c>
      <c r="W1267" s="212">
        <f>VLOOKUP(D1267,'Table corresp.'!$M$4:$S$63,7,FALSE)</f>
        <v>0</v>
      </c>
      <c r="X1267" s="228">
        <f>IFERROR(G1267/SUMIFS('Comp2016-2017 (3)'!$I$5:$I$289,'Comp2016-2017 (3)'!$A$5:$A$289,A1267,'Comp2016-2017 (3)'!$R$5:$R$289,V1267),0)</f>
        <v>4.2327736375754238E-2</v>
      </c>
      <c r="Y1267" s="214" t="e">
        <f>IF(RIGHT(F1267,3)="Exp",VLOOKUP(F1267,#REF!,2,FALSE),VLOOKUP(F1267,#REF!,9,FALSE))</f>
        <v>#REF!</v>
      </c>
      <c r="Z1267" s="225" t="str">
        <f t="shared" si="156"/>
        <v/>
      </c>
      <c r="AA1267" s="225" t="e">
        <f t="shared" si="153"/>
        <v>#VALUE!</v>
      </c>
      <c r="AB1267" s="222">
        <f>IFERROR(SUMIFS('Comp2016-2017 (3)'!$G$5:$G$289,'Comp2016-2017 (3)'!$A$5:$A$289,A1267,'Comp2016-2017 (3)'!$R$5:$R$289,V1267)*AA1267/SUMIFS($AA$4:$AA$1858,$A$4:$A$1858,A1267,$V$4:$V$1858,V1267),0)</f>
        <v>0</v>
      </c>
      <c r="AC1267" s="222">
        <f>IF($W1267=AC$3,$AB1267,IF(NOT($W1267=0),"",SUMIFS('Val-Vol (2)'!AC$4:AC$1858,'Val-Vol (2)'!$A$4:$A$1858,$D1267,'Val-Vol (2)'!$V$4:$V$1858,$V1267)/SUMIFS('Comp2016-2017 (3)'!$G$5:$G$289,'Comp2016-2017 (3)'!$A$5:$A$289,$D1267,'Comp2016-2017 (3)'!$R$5:$R$289,$V1267)*$AB1267))</f>
        <v>0</v>
      </c>
      <c r="AD1267" s="222">
        <f>IF($W1267=AD$3,$AB1267,IF(NOT($W1267=0),"",SUMIFS('Val-Vol (2)'!AD$4:AD$1858,'Val-Vol (2)'!$A$4:$A$1858,$D1267,'Val-Vol (2)'!$V$4:$V$1858,$V1267)/SUMIFS('Comp2016-2017 (3)'!$G$5:$G$289,'Comp2016-2017 (3)'!$A$5:$A$289,$D1267,'Comp2016-2017 (3)'!$R$5:$R$289,$V1267)*$AB1267))</f>
        <v>0</v>
      </c>
      <c r="AE1267" s="222">
        <f>IF($W1267=AE$3,$AB1267,IF(NOT($W1267=0),"",SUMIFS('Val-Vol (2)'!AE$4:AE$1858,'Val-Vol (2)'!$A$4:$A$1858,$D1267,'Val-Vol (2)'!$V$4:$V$1858,$V1267)/SUMIFS('Comp2016-2017 (3)'!$G$5:$G$289,'Comp2016-2017 (3)'!$A$5:$A$289,$D1267,'Comp2016-2017 (3)'!$R$5:$R$289,$V1267)*$AB1267))</f>
        <v>0</v>
      </c>
      <c r="AF1267" s="222">
        <f>IF($W1267=AF$3,$AB1267,IF(NOT($W1267=0),"",SUMIFS('Val-Vol (2)'!AF$4:AF$1858,'Val-Vol (2)'!$A$4:$A$1858,$D1267,'Val-Vol (2)'!$V$4:$V$1858,$V1267)/SUMIFS('Comp2016-2017 (3)'!$G$5:$G$289,'Comp2016-2017 (3)'!$A$5:$A$289,$D1267,'Comp2016-2017 (3)'!$R$5:$R$289,$V1267)*$AB1267))</f>
        <v>0</v>
      </c>
      <c r="AG1267" s="222">
        <f>IF($W1267=AG$3,$AB1267,IF(NOT($W1267=0),"",SUMIFS('Val-Vol (2)'!AG$4:AG$1858,'Val-Vol (2)'!$A$4:$A$1858,$D1267,'Val-Vol (2)'!$V$4:$V$1858,$V1267)/SUMIFS('Comp2016-2017 (3)'!$G$5:$G$289,'Comp2016-2017 (3)'!$A$5:$A$289,$D1267,'Comp2016-2017 (3)'!$R$5:$R$289,$V1267)*$AB1267))</f>
        <v>0</v>
      </c>
      <c r="AH1267" s="222">
        <f>IF($W1267=AH$3,$AB1267,IF(NOT($W1267=0),"",SUMIFS('Val-Vol (2)'!AH$4:AH$1858,'Val-Vol (2)'!$A$4:$A$1858,$D1267,'Val-Vol (2)'!$V$4:$V$1858,$V1267)/SUMIFS('Comp2016-2017 (3)'!$G$5:$G$289,'Comp2016-2017 (3)'!$A$5:$A$289,$D1267,'Comp2016-2017 (3)'!$R$5:$R$289,$V1267)*$AB1267))</f>
        <v>0</v>
      </c>
      <c r="AI1267" s="222">
        <f>IF($W1267=AI$3,$AB1267,IF(NOT($W1267=0),"",SUMIFS('Val-Vol (2)'!AI$4:AI$1858,'Val-Vol (2)'!$A$4:$A$1858,$D1267,'Val-Vol (2)'!$V$4:$V$1858,$V1267)/SUMIFS('Comp2016-2017 (3)'!$G$5:$G$289,'Comp2016-2017 (3)'!$A$5:$A$289,$D1267,'Comp2016-2017 (3)'!$R$5:$R$289,$V1267)*$AB1267))</f>
        <v>0</v>
      </c>
      <c r="AJ1267" s="222">
        <f>IF($W1267=AJ$3,$AB1267,IF(NOT($W1267=0),"",SUMIFS('Val-Vol (2)'!AJ$4:AJ$1858,'Val-Vol (2)'!$A$4:$A$1858,$D1267,'Val-Vol (2)'!$V$4:$V$1858,$V1267)/SUMIFS('Comp2016-2017 (3)'!$G$5:$G$289,'Comp2016-2017 (3)'!$A$5:$A$289,$D1267,'Comp2016-2017 (3)'!$R$5:$R$289,$V1267)*$AB1267))</f>
        <v>0</v>
      </c>
      <c r="AK1267" s="222">
        <f t="shared" si="154"/>
        <v>0</v>
      </c>
      <c r="AL1267" s="212" t="str">
        <f t="shared" si="155"/>
        <v/>
      </c>
      <c r="AM1267" s="212" t="str">
        <f>VLOOKUP(A1267,'Table corresp.'!$M$4:$U$63,8,FALSE)</f>
        <v>Production intermédiaire</v>
      </c>
      <c r="AN1267" s="212" t="str">
        <f>VLOOKUP(D1267,'Table corresp.'!$M$4:$U$63,9,FALSE)</f>
        <v>Production intermédiaire</v>
      </c>
    </row>
    <row r="1268" spans="1:40" x14ac:dyDescent="0.25">
      <c r="A1268" t="s">
        <v>83</v>
      </c>
      <c r="B1268" t="str">
        <f>VLOOKUP(LEFT(A1268,3),'Table corresp.'!$A$4:$D$63,3,FALSE)</f>
        <v>Transformation</v>
      </c>
      <c r="C1268" t="str">
        <f>VLOOKUP(A1268,'Table corresp.'!$M$4:$P$63,4,FALSE)</f>
        <v>Production et transformation de produits bois</v>
      </c>
      <c r="D1268" t="s">
        <v>14</v>
      </c>
      <c r="E1268" t="str">
        <f>VLOOKUP(LEFT(D1268,3),'Table corresp.'!$A$4:$D$63,4,FALSE)</f>
        <v>Transformation</v>
      </c>
      <c r="F1268" t="str">
        <f t="shared" si="157"/>
        <v>14  - 20b</v>
      </c>
      <c r="G1268" s="213">
        <v>234.43880678550738</v>
      </c>
      <c r="H1268" s="213">
        <v>2158.0131530791714</v>
      </c>
      <c r="I1268" s="213">
        <v>2392.4519597816702</v>
      </c>
      <c r="J1268" s="215">
        <v>2.3921527075492697</v>
      </c>
      <c r="K1268" s="215">
        <v>8.3114334025700831</v>
      </c>
      <c r="L1268" s="215">
        <v>10.703586110119353</v>
      </c>
      <c r="M1268" s="215"/>
      <c r="N1268" s="215"/>
      <c r="O1268" s="215"/>
      <c r="P1268" s="215"/>
      <c r="Q1268" s="215"/>
      <c r="R1268" s="215"/>
      <c r="S1268" s="213"/>
      <c r="T1268" s="212">
        <f>VLOOKUP(A1268,'Groupe de branches'!$Z$27:$AM$86,14,FALSE)</f>
        <v>0</v>
      </c>
      <c r="U1268" s="212">
        <f>VLOOKUP(D1268,'Groupe de branches'!$Z$27:$AM$86,14,FALSE)</f>
        <v>0</v>
      </c>
      <c r="V1268" s="212">
        <v>2019</v>
      </c>
      <c r="W1268" s="212">
        <f>VLOOKUP(D1268,'Table corresp.'!$M$4:$S$63,7,FALSE)</f>
        <v>0</v>
      </c>
      <c r="X1268" s="228">
        <f>IFERROR(G1268/SUMIFS('Comp2016-2017 (3)'!$I$5:$I$289,'Comp2016-2017 (3)'!$A$5:$A$289,A1268,'Comp2016-2017 (3)'!$R$5:$R$289,V1268),0)</f>
        <v>2.2762778439203877E-3</v>
      </c>
      <c r="Y1268" s="214" t="e">
        <f>IF(RIGHT(F1268,3)="Exp",VLOOKUP(F1268,#REF!,2,FALSE),VLOOKUP(F1268,#REF!,9,FALSE))</f>
        <v>#REF!</v>
      </c>
      <c r="Z1268" s="225" t="str">
        <f t="shared" si="156"/>
        <v/>
      </c>
      <c r="AA1268" s="225" t="e">
        <f t="shared" si="153"/>
        <v>#VALUE!</v>
      </c>
      <c r="AB1268" s="222">
        <f>IFERROR(SUMIFS('Comp2016-2017 (3)'!$G$5:$G$289,'Comp2016-2017 (3)'!$A$5:$A$289,A1268,'Comp2016-2017 (3)'!$R$5:$R$289,V1268)*AA1268/SUMIFS($AA$4:$AA$1858,$A$4:$A$1858,A1268,$V$4:$V$1858,V1268),0)</f>
        <v>0</v>
      </c>
      <c r="AC1268" s="222">
        <f>IF($W1268=AC$3,$AB1268,IF(NOT($W1268=0),"",SUMIFS('Val-Vol (2)'!AC$4:AC$1858,'Val-Vol (2)'!$A$4:$A$1858,$D1268,'Val-Vol (2)'!$V$4:$V$1858,$V1268)/SUMIFS('Comp2016-2017 (3)'!$G$5:$G$289,'Comp2016-2017 (3)'!$A$5:$A$289,$D1268,'Comp2016-2017 (3)'!$R$5:$R$289,$V1268)*$AB1268))</f>
        <v>0</v>
      </c>
      <c r="AD1268" s="222">
        <f>IF($W1268=AD$3,$AB1268,IF(NOT($W1268=0),"",SUMIFS('Val-Vol (2)'!AD$4:AD$1858,'Val-Vol (2)'!$A$4:$A$1858,$D1268,'Val-Vol (2)'!$V$4:$V$1858,$V1268)/SUMIFS('Comp2016-2017 (3)'!$G$5:$G$289,'Comp2016-2017 (3)'!$A$5:$A$289,$D1268,'Comp2016-2017 (3)'!$R$5:$R$289,$V1268)*$AB1268))</f>
        <v>0</v>
      </c>
      <c r="AE1268" s="222">
        <f>IF($W1268=AE$3,$AB1268,IF(NOT($W1268=0),"",SUMIFS('Val-Vol (2)'!AE$4:AE$1858,'Val-Vol (2)'!$A$4:$A$1858,$D1268,'Val-Vol (2)'!$V$4:$V$1858,$V1268)/SUMIFS('Comp2016-2017 (3)'!$G$5:$G$289,'Comp2016-2017 (3)'!$A$5:$A$289,$D1268,'Comp2016-2017 (3)'!$R$5:$R$289,$V1268)*$AB1268))</f>
        <v>0</v>
      </c>
      <c r="AF1268" s="222">
        <f>IF($W1268=AF$3,$AB1268,IF(NOT($W1268=0),"",SUMIFS('Val-Vol (2)'!AF$4:AF$1858,'Val-Vol (2)'!$A$4:$A$1858,$D1268,'Val-Vol (2)'!$V$4:$V$1858,$V1268)/SUMIFS('Comp2016-2017 (3)'!$G$5:$G$289,'Comp2016-2017 (3)'!$A$5:$A$289,$D1268,'Comp2016-2017 (3)'!$R$5:$R$289,$V1268)*$AB1268))</f>
        <v>0</v>
      </c>
      <c r="AG1268" s="222">
        <f>IF($W1268=AG$3,$AB1268,IF(NOT($W1268=0),"",SUMIFS('Val-Vol (2)'!AG$4:AG$1858,'Val-Vol (2)'!$A$4:$A$1858,$D1268,'Val-Vol (2)'!$V$4:$V$1858,$V1268)/SUMIFS('Comp2016-2017 (3)'!$G$5:$G$289,'Comp2016-2017 (3)'!$A$5:$A$289,$D1268,'Comp2016-2017 (3)'!$R$5:$R$289,$V1268)*$AB1268))</f>
        <v>0</v>
      </c>
      <c r="AH1268" s="222">
        <f>IF($W1268=AH$3,$AB1268,IF(NOT($W1268=0),"",SUMIFS('Val-Vol (2)'!AH$4:AH$1858,'Val-Vol (2)'!$A$4:$A$1858,$D1268,'Val-Vol (2)'!$V$4:$V$1858,$V1268)/SUMIFS('Comp2016-2017 (3)'!$G$5:$G$289,'Comp2016-2017 (3)'!$A$5:$A$289,$D1268,'Comp2016-2017 (3)'!$R$5:$R$289,$V1268)*$AB1268))</f>
        <v>0</v>
      </c>
      <c r="AI1268" s="222">
        <f>IF($W1268=AI$3,$AB1268,IF(NOT($W1268=0),"",SUMIFS('Val-Vol (2)'!AI$4:AI$1858,'Val-Vol (2)'!$A$4:$A$1858,$D1268,'Val-Vol (2)'!$V$4:$V$1858,$V1268)/SUMIFS('Comp2016-2017 (3)'!$G$5:$G$289,'Comp2016-2017 (3)'!$A$5:$A$289,$D1268,'Comp2016-2017 (3)'!$R$5:$R$289,$V1268)*$AB1268))</f>
        <v>0</v>
      </c>
      <c r="AJ1268" s="222">
        <f>IF($W1268=AJ$3,$AB1268,IF(NOT($W1268=0),"",SUMIFS('Val-Vol (2)'!AJ$4:AJ$1858,'Val-Vol (2)'!$A$4:$A$1858,$D1268,'Val-Vol (2)'!$V$4:$V$1858,$V1268)/SUMIFS('Comp2016-2017 (3)'!$G$5:$G$289,'Comp2016-2017 (3)'!$A$5:$A$289,$D1268,'Comp2016-2017 (3)'!$R$5:$R$289,$V1268)*$AB1268))</f>
        <v>0</v>
      </c>
      <c r="AK1268" s="222">
        <f t="shared" si="154"/>
        <v>0</v>
      </c>
      <c r="AL1268" s="212" t="str">
        <f t="shared" si="155"/>
        <v/>
      </c>
      <c r="AM1268" s="212" t="str">
        <f>VLOOKUP(A1268,'Table corresp.'!$M$4:$U$63,8,FALSE)</f>
        <v>Production intermédiaire</v>
      </c>
      <c r="AN1268" s="212" t="str">
        <f>VLOOKUP(D1268,'Table corresp.'!$M$4:$U$63,9,FALSE)</f>
        <v>Production intermédiaire</v>
      </c>
    </row>
    <row r="1269" spans="1:40" x14ac:dyDescent="0.25">
      <c r="A1269" t="s">
        <v>83</v>
      </c>
      <c r="B1269" t="str">
        <f>VLOOKUP(LEFT(A1269,3),'Table corresp.'!$A$4:$D$63,3,FALSE)</f>
        <v>Transformation</v>
      </c>
      <c r="C1269" t="str">
        <f>VLOOKUP(A1269,'Table corresp.'!$M$4:$P$63,4,FALSE)</f>
        <v>Production et transformation de produits bois</v>
      </c>
      <c r="D1269" t="s">
        <v>85</v>
      </c>
      <c r="E1269" t="str">
        <f>VLOOKUP(LEFT(D1269,3),'Table corresp.'!$A$4:$D$63,4,FALSE)</f>
        <v>Transformation</v>
      </c>
      <c r="F1269" t="str">
        <f t="shared" si="157"/>
        <v xml:space="preserve">14  - 29 </v>
      </c>
      <c r="G1269" s="213">
        <v>646.68294749201254</v>
      </c>
      <c r="H1269" s="213">
        <v>6932.2088231875814</v>
      </c>
      <c r="I1269" s="213">
        <v>7578.8917704065379</v>
      </c>
      <c r="J1269" s="215">
        <v>7.4234079805411497</v>
      </c>
      <c r="K1269" s="215">
        <v>30.036270107980823</v>
      </c>
      <c r="L1269" s="215">
        <v>37.459678088521969</v>
      </c>
      <c r="M1269" s="215"/>
      <c r="N1269" s="215"/>
      <c r="O1269" s="215"/>
      <c r="P1269" s="215"/>
      <c r="Q1269" s="215"/>
      <c r="R1269" s="215"/>
      <c r="S1269" s="213"/>
      <c r="T1269" s="212">
        <f>VLOOKUP(A1269,'Groupe de branches'!$Z$27:$AM$86,14,FALSE)</f>
        <v>0</v>
      </c>
      <c r="U1269" s="212">
        <f>VLOOKUP(D1269,'Groupe de branches'!$Z$27:$AM$86,14,FALSE)</f>
        <v>0</v>
      </c>
      <c r="V1269" s="212">
        <v>2019</v>
      </c>
      <c r="W1269" s="212" t="str">
        <f>VLOOKUP(D1269,'Table corresp.'!$M$4:$S$63,7,FALSE)</f>
        <v>Construction</v>
      </c>
      <c r="X1269" s="228">
        <f>IFERROR(G1269/SUMIFS('Comp2016-2017 (3)'!$I$5:$I$289,'Comp2016-2017 (3)'!$A$5:$A$289,A1269,'Comp2016-2017 (3)'!$R$5:$R$289,V1269),0)</f>
        <v>6.2789522161490457E-3</v>
      </c>
      <c r="Y1269" s="214" t="e">
        <f>IF(RIGHT(F1269,3)="Exp",VLOOKUP(F1269,#REF!,2,FALSE),VLOOKUP(F1269,#REF!,9,FALSE))</f>
        <v>#REF!</v>
      </c>
      <c r="Z1269" s="225" t="str">
        <f t="shared" si="156"/>
        <v/>
      </c>
      <c r="AA1269" s="225" t="e">
        <f t="shared" si="153"/>
        <v>#VALUE!</v>
      </c>
      <c r="AB1269" s="222">
        <f>IFERROR(SUMIFS('Comp2016-2017 (3)'!$G$5:$G$289,'Comp2016-2017 (3)'!$A$5:$A$289,A1269,'Comp2016-2017 (3)'!$R$5:$R$289,V1269)*AA1269/SUMIFS($AA$4:$AA$1858,$A$4:$A$1858,A1269,$V$4:$V$1858,V1269),0)</f>
        <v>0</v>
      </c>
      <c r="AC1269" s="222" t="str">
        <f>IF($W1269=AC$3,$AB1269,IF(NOT($W1269=0),"",SUMIFS('Val-Vol (2)'!AC$4:AC$1858,'Val-Vol (2)'!$A$4:$A$1858,$D1269,'Val-Vol (2)'!$V$4:$V$1858,$V1269)/SUMIFS('Comp2016-2017 (3)'!$G$5:$G$289,'Comp2016-2017 (3)'!$A$5:$A$289,$D1269,'Comp2016-2017 (3)'!$R$5:$R$289,$V1269)*$AB1269))</f>
        <v/>
      </c>
      <c r="AD1269" s="222">
        <f>IF($W1269=AD$3,$AB1269,IF(NOT($W1269=0),"",SUMIFS('Val-Vol (2)'!AD$4:AD$1858,'Val-Vol (2)'!$A$4:$A$1858,$D1269,'Val-Vol (2)'!$V$4:$V$1858,$V1269)/SUMIFS('Comp2016-2017 (3)'!$G$5:$G$289,'Comp2016-2017 (3)'!$A$5:$A$289,$D1269,'Comp2016-2017 (3)'!$R$5:$R$289,$V1269)*$AB1269))</f>
        <v>0</v>
      </c>
      <c r="AE1269" s="222" t="str">
        <f>IF($W1269=AE$3,$AB1269,IF(NOT($W1269=0),"",SUMIFS('Val-Vol (2)'!AE$4:AE$1858,'Val-Vol (2)'!$A$4:$A$1858,$D1269,'Val-Vol (2)'!$V$4:$V$1858,$V1269)/SUMIFS('Comp2016-2017 (3)'!$G$5:$G$289,'Comp2016-2017 (3)'!$A$5:$A$289,$D1269,'Comp2016-2017 (3)'!$R$5:$R$289,$V1269)*$AB1269))</f>
        <v/>
      </c>
      <c r="AF1269" s="222" t="str">
        <f>IF($W1269=AF$3,$AB1269,IF(NOT($W1269=0),"",SUMIFS('Val-Vol (2)'!AF$4:AF$1858,'Val-Vol (2)'!$A$4:$A$1858,$D1269,'Val-Vol (2)'!$V$4:$V$1858,$V1269)/SUMIFS('Comp2016-2017 (3)'!$G$5:$G$289,'Comp2016-2017 (3)'!$A$5:$A$289,$D1269,'Comp2016-2017 (3)'!$R$5:$R$289,$V1269)*$AB1269))</f>
        <v/>
      </c>
      <c r="AG1269" s="222" t="str">
        <f>IF($W1269=AG$3,$AB1269,IF(NOT($W1269=0),"",SUMIFS('Val-Vol (2)'!AG$4:AG$1858,'Val-Vol (2)'!$A$4:$A$1858,$D1269,'Val-Vol (2)'!$V$4:$V$1858,$V1269)/SUMIFS('Comp2016-2017 (3)'!$G$5:$G$289,'Comp2016-2017 (3)'!$A$5:$A$289,$D1269,'Comp2016-2017 (3)'!$R$5:$R$289,$V1269)*$AB1269))</f>
        <v/>
      </c>
      <c r="AH1269" s="222" t="str">
        <f>IF($W1269=AH$3,$AB1269,IF(NOT($W1269=0),"",SUMIFS('Val-Vol (2)'!AH$4:AH$1858,'Val-Vol (2)'!$A$4:$A$1858,$D1269,'Val-Vol (2)'!$V$4:$V$1858,$V1269)/SUMIFS('Comp2016-2017 (3)'!$G$5:$G$289,'Comp2016-2017 (3)'!$A$5:$A$289,$D1269,'Comp2016-2017 (3)'!$R$5:$R$289,$V1269)*$AB1269))</f>
        <v/>
      </c>
      <c r="AI1269" s="222" t="str">
        <f>IF($W1269=AI$3,$AB1269,IF(NOT($W1269=0),"",SUMIFS('Val-Vol (2)'!AI$4:AI$1858,'Val-Vol (2)'!$A$4:$A$1858,$D1269,'Val-Vol (2)'!$V$4:$V$1858,$V1269)/SUMIFS('Comp2016-2017 (3)'!$G$5:$G$289,'Comp2016-2017 (3)'!$A$5:$A$289,$D1269,'Comp2016-2017 (3)'!$R$5:$R$289,$V1269)*$AB1269))</f>
        <v/>
      </c>
      <c r="AJ1269" s="222" t="str">
        <f>IF($W1269=AJ$3,$AB1269,IF(NOT($W1269=0),"",SUMIFS('Val-Vol (2)'!AJ$4:AJ$1858,'Val-Vol (2)'!$A$4:$A$1858,$D1269,'Val-Vol (2)'!$V$4:$V$1858,$V1269)/SUMIFS('Comp2016-2017 (3)'!$G$5:$G$289,'Comp2016-2017 (3)'!$A$5:$A$289,$D1269,'Comp2016-2017 (3)'!$R$5:$R$289,$V1269)*$AB1269))</f>
        <v/>
      </c>
      <c r="AK1269" s="222">
        <f t="shared" si="154"/>
        <v>0</v>
      </c>
      <c r="AL1269" s="212" t="str">
        <f t="shared" si="155"/>
        <v/>
      </c>
      <c r="AM1269" s="212" t="str">
        <f>VLOOKUP(A1269,'Table corresp.'!$M$4:$U$63,8,FALSE)</f>
        <v>Production intermédiaire</v>
      </c>
      <c r="AN1269" s="212" t="str">
        <f>VLOOKUP(D1269,'Table corresp.'!$M$4:$U$63,9,FALSE)</f>
        <v>Production intermédiaire</v>
      </c>
    </row>
    <row r="1270" spans="1:40" x14ac:dyDescent="0.25">
      <c r="A1270" t="s">
        <v>83</v>
      </c>
      <c r="B1270" t="str">
        <f>VLOOKUP(LEFT(A1270,3),'Table corresp.'!$A$4:$D$63,3,FALSE)</f>
        <v>Transformation</v>
      </c>
      <c r="C1270" t="str">
        <f>VLOOKUP(A1270,'Table corresp.'!$M$4:$P$63,4,FALSE)</f>
        <v>Production et transformation de produits bois</v>
      </c>
      <c r="D1270" t="s">
        <v>15</v>
      </c>
      <c r="E1270" t="str">
        <f>VLOOKUP(LEFT(D1270,3),'Table corresp.'!$A$4:$D$63,4,FALSE)</f>
        <v>Transformation</v>
      </c>
      <c r="F1270" t="str">
        <f t="shared" si="157"/>
        <v xml:space="preserve">14  - 35 </v>
      </c>
      <c r="G1270" s="213">
        <v>166.27588201773634</v>
      </c>
      <c r="H1270" s="213">
        <v>1669.6785209695163</v>
      </c>
      <c r="I1270" s="213">
        <v>1835.9544029221179</v>
      </c>
      <c r="J1270" s="215">
        <v>1.6100728658308732</v>
      </c>
      <c r="K1270" s="215">
        <v>6.1025532146969956</v>
      </c>
      <c r="L1270" s="215">
        <v>7.712626080527869</v>
      </c>
      <c r="M1270" s="215"/>
      <c r="N1270" s="215"/>
      <c r="O1270" s="215"/>
      <c r="P1270" s="215"/>
      <c r="Q1270" s="215"/>
      <c r="R1270" s="215"/>
      <c r="S1270" s="213"/>
      <c r="T1270" s="212">
        <f>VLOOKUP(A1270,'Groupe de branches'!$Z$27:$AM$86,14,FALSE)</f>
        <v>0</v>
      </c>
      <c r="U1270" s="212">
        <f>VLOOKUP(D1270,'Groupe de branches'!$Z$27:$AM$86,14,FALSE)</f>
        <v>0</v>
      </c>
      <c r="V1270" s="212">
        <v>2019</v>
      </c>
      <c r="W1270" s="212" t="str">
        <f>VLOOKUP(D1270,'Table corresp.'!$M$4:$S$63,7,FALSE)</f>
        <v>Construction</v>
      </c>
      <c r="X1270" s="228">
        <f>IFERROR(G1270/SUMIFS('Comp2016-2017 (3)'!$I$5:$I$289,'Comp2016-2017 (3)'!$A$5:$A$289,A1270,'Comp2016-2017 (3)'!$R$5:$R$289,V1270),0)</f>
        <v>1.6144515978601681E-3</v>
      </c>
      <c r="Y1270" s="214" t="e">
        <f>IF(RIGHT(F1270,3)="Exp",VLOOKUP(F1270,#REF!,2,FALSE),VLOOKUP(F1270,#REF!,9,FALSE))</f>
        <v>#REF!</v>
      </c>
      <c r="Z1270" s="225" t="str">
        <f t="shared" si="156"/>
        <v/>
      </c>
      <c r="AA1270" s="225" t="e">
        <f t="shared" si="153"/>
        <v>#VALUE!</v>
      </c>
      <c r="AB1270" s="222">
        <f>IFERROR(SUMIFS('Comp2016-2017 (3)'!$G$5:$G$289,'Comp2016-2017 (3)'!$A$5:$A$289,A1270,'Comp2016-2017 (3)'!$R$5:$R$289,V1270)*AA1270/SUMIFS($AA$4:$AA$1858,$A$4:$A$1858,A1270,$V$4:$V$1858,V1270),0)</f>
        <v>0</v>
      </c>
      <c r="AC1270" s="222" t="str">
        <f>IF($W1270=AC$3,$AB1270,IF(NOT($W1270=0),"",SUMIFS('Val-Vol (2)'!AC$4:AC$1858,'Val-Vol (2)'!$A$4:$A$1858,$D1270,'Val-Vol (2)'!$V$4:$V$1858,$V1270)/SUMIFS('Comp2016-2017 (3)'!$G$5:$G$289,'Comp2016-2017 (3)'!$A$5:$A$289,$D1270,'Comp2016-2017 (3)'!$R$5:$R$289,$V1270)*$AB1270))</f>
        <v/>
      </c>
      <c r="AD1270" s="222">
        <f>IF($W1270=AD$3,$AB1270,IF(NOT($W1270=0),"",SUMIFS('Val-Vol (2)'!AD$4:AD$1858,'Val-Vol (2)'!$A$4:$A$1858,$D1270,'Val-Vol (2)'!$V$4:$V$1858,$V1270)/SUMIFS('Comp2016-2017 (3)'!$G$5:$G$289,'Comp2016-2017 (3)'!$A$5:$A$289,$D1270,'Comp2016-2017 (3)'!$R$5:$R$289,$V1270)*$AB1270))</f>
        <v>0</v>
      </c>
      <c r="AE1270" s="222" t="str">
        <f>IF($W1270=AE$3,$AB1270,IF(NOT($W1270=0),"",SUMIFS('Val-Vol (2)'!AE$4:AE$1858,'Val-Vol (2)'!$A$4:$A$1858,$D1270,'Val-Vol (2)'!$V$4:$V$1858,$V1270)/SUMIFS('Comp2016-2017 (3)'!$G$5:$G$289,'Comp2016-2017 (3)'!$A$5:$A$289,$D1270,'Comp2016-2017 (3)'!$R$5:$R$289,$V1270)*$AB1270))</f>
        <v/>
      </c>
      <c r="AF1270" s="222" t="str">
        <f>IF($W1270=AF$3,$AB1270,IF(NOT($W1270=0),"",SUMIFS('Val-Vol (2)'!AF$4:AF$1858,'Val-Vol (2)'!$A$4:$A$1858,$D1270,'Val-Vol (2)'!$V$4:$V$1858,$V1270)/SUMIFS('Comp2016-2017 (3)'!$G$5:$G$289,'Comp2016-2017 (3)'!$A$5:$A$289,$D1270,'Comp2016-2017 (3)'!$R$5:$R$289,$V1270)*$AB1270))</f>
        <v/>
      </c>
      <c r="AG1270" s="222" t="str">
        <f>IF($W1270=AG$3,$AB1270,IF(NOT($W1270=0),"",SUMIFS('Val-Vol (2)'!AG$4:AG$1858,'Val-Vol (2)'!$A$4:$A$1858,$D1270,'Val-Vol (2)'!$V$4:$V$1858,$V1270)/SUMIFS('Comp2016-2017 (3)'!$G$5:$G$289,'Comp2016-2017 (3)'!$A$5:$A$289,$D1270,'Comp2016-2017 (3)'!$R$5:$R$289,$V1270)*$AB1270))</f>
        <v/>
      </c>
      <c r="AH1270" s="222" t="str">
        <f>IF($W1270=AH$3,$AB1270,IF(NOT($W1270=0),"",SUMIFS('Val-Vol (2)'!AH$4:AH$1858,'Val-Vol (2)'!$A$4:$A$1858,$D1270,'Val-Vol (2)'!$V$4:$V$1858,$V1270)/SUMIFS('Comp2016-2017 (3)'!$G$5:$G$289,'Comp2016-2017 (3)'!$A$5:$A$289,$D1270,'Comp2016-2017 (3)'!$R$5:$R$289,$V1270)*$AB1270))</f>
        <v/>
      </c>
      <c r="AI1270" s="222" t="str">
        <f>IF($W1270=AI$3,$AB1270,IF(NOT($W1270=0),"",SUMIFS('Val-Vol (2)'!AI$4:AI$1858,'Val-Vol (2)'!$A$4:$A$1858,$D1270,'Val-Vol (2)'!$V$4:$V$1858,$V1270)/SUMIFS('Comp2016-2017 (3)'!$G$5:$G$289,'Comp2016-2017 (3)'!$A$5:$A$289,$D1270,'Comp2016-2017 (3)'!$R$5:$R$289,$V1270)*$AB1270))</f>
        <v/>
      </c>
      <c r="AJ1270" s="222" t="str">
        <f>IF($W1270=AJ$3,$AB1270,IF(NOT($W1270=0),"",SUMIFS('Val-Vol (2)'!AJ$4:AJ$1858,'Val-Vol (2)'!$A$4:$A$1858,$D1270,'Val-Vol (2)'!$V$4:$V$1858,$V1270)/SUMIFS('Comp2016-2017 (3)'!$G$5:$G$289,'Comp2016-2017 (3)'!$A$5:$A$289,$D1270,'Comp2016-2017 (3)'!$R$5:$R$289,$V1270)*$AB1270))</f>
        <v/>
      </c>
      <c r="AK1270" s="222">
        <f t="shared" si="154"/>
        <v>0</v>
      </c>
      <c r="AL1270" s="212" t="str">
        <f t="shared" si="155"/>
        <v/>
      </c>
      <c r="AM1270" s="212" t="str">
        <f>VLOOKUP(A1270,'Table corresp.'!$M$4:$U$63,8,FALSE)</f>
        <v>Production intermédiaire</v>
      </c>
      <c r="AN1270" s="212" t="str">
        <f>VLOOKUP(D1270,'Table corresp.'!$M$4:$U$63,9,FALSE)</f>
        <v>Production finale</v>
      </c>
    </row>
    <row r="1271" spans="1:40" x14ac:dyDescent="0.25">
      <c r="A1271" t="s">
        <v>83</v>
      </c>
      <c r="B1271" t="str">
        <f>VLOOKUP(LEFT(A1271,3),'Table corresp.'!$A$4:$D$63,3,FALSE)</f>
        <v>Transformation</v>
      </c>
      <c r="C1271" t="str">
        <f>VLOOKUP(A1271,'Table corresp.'!$M$4:$P$63,4,FALSE)</f>
        <v>Production et transformation de produits bois</v>
      </c>
      <c r="D1271" t="s">
        <v>91</v>
      </c>
      <c r="E1271" t="str">
        <f>VLOOKUP(LEFT(D1271,3),'Table corresp.'!$A$4:$D$63,4,FALSE)</f>
        <v>Transformation</v>
      </c>
      <c r="F1271" t="str">
        <f t="shared" si="157"/>
        <v xml:space="preserve">14  - 37 </v>
      </c>
      <c r="G1271" s="213">
        <v>9732.4304167124246</v>
      </c>
      <c r="H1271" s="213">
        <v>27063.871716140809</v>
      </c>
      <c r="I1271" s="213">
        <v>36796.302132221128</v>
      </c>
      <c r="J1271" s="215">
        <v>190.81753977875752</v>
      </c>
      <c r="K1271" s="215">
        <v>200.28542903243493</v>
      </c>
      <c r="L1271" s="215">
        <v>391.10296881119245</v>
      </c>
      <c r="M1271" s="215"/>
      <c r="N1271" s="215"/>
      <c r="O1271" s="215"/>
      <c r="P1271" s="215"/>
      <c r="Q1271" s="215"/>
      <c r="R1271" s="215"/>
      <c r="S1271" s="213"/>
      <c r="T1271" s="212">
        <f>VLOOKUP(A1271,'Groupe de branches'!$Z$27:$AM$86,14,FALSE)</f>
        <v>0</v>
      </c>
      <c r="U1271" s="212">
        <f>VLOOKUP(D1271,'Groupe de branches'!$Z$27:$AM$86,14,FALSE)</f>
        <v>0</v>
      </c>
      <c r="V1271" s="212">
        <v>2019</v>
      </c>
      <c r="W1271" s="212" t="str">
        <f>VLOOKUP(D1271,'Table corresp.'!$M$4:$S$63,7,FALSE)</f>
        <v>Emballage bois et carton</v>
      </c>
      <c r="X1271" s="228">
        <f>IFERROR(G1271/SUMIFS('Comp2016-2017 (3)'!$I$5:$I$289,'Comp2016-2017 (3)'!$A$5:$A$289,A1271,'Comp2016-2017 (3)'!$R$5:$R$289,V1271),0)</f>
        <v>9.4496794403702206E-2</v>
      </c>
      <c r="Y1271" s="214" t="e">
        <f>IF(RIGHT(F1271,3)="Exp",VLOOKUP(F1271,#REF!,2,FALSE),VLOOKUP(F1271,#REF!,9,FALSE))</f>
        <v>#REF!</v>
      </c>
      <c r="Z1271" s="225" t="str">
        <f t="shared" si="156"/>
        <v/>
      </c>
      <c r="AA1271" s="225" t="e">
        <f t="shared" si="153"/>
        <v>#VALUE!</v>
      </c>
      <c r="AB1271" s="222">
        <f>IFERROR(SUMIFS('Comp2016-2017 (3)'!$G$5:$G$289,'Comp2016-2017 (3)'!$A$5:$A$289,A1271,'Comp2016-2017 (3)'!$R$5:$R$289,V1271)*AA1271/SUMIFS($AA$4:$AA$1858,$A$4:$A$1858,A1271,$V$4:$V$1858,V1271),0)</f>
        <v>0</v>
      </c>
      <c r="AC1271" s="222" t="str">
        <f>IF($W1271=AC$3,$AB1271,IF(NOT($W1271=0),"",SUMIFS('Val-Vol (2)'!AC$4:AC$1858,'Val-Vol (2)'!$A$4:$A$1858,$D1271,'Val-Vol (2)'!$V$4:$V$1858,$V1271)/SUMIFS('Comp2016-2017 (3)'!$G$5:$G$289,'Comp2016-2017 (3)'!$A$5:$A$289,$D1271,'Comp2016-2017 (3)'!$R$5:$R$289,$V1271)*$AB1271))</f>
        <v/>
      </c>
      <c r="AD1271" s="222" t="str">
        <f>IF($W1271=AD$3,$AB1271,IF(NOT($W1271=0),"",SUMIFS('Val-Vol (2)'!AD$4:AD$1858,'Val-Vol (2)'!$A$4:$A$1858,$D1271,'Val-Vol (2)'!$V$4:$V$1858,$V1271)/SUMIFS('Comp2016-2017 (3)'!$G$5:$G$289,'Comp2016-2017 (3)'!$A$5:$A$289,$D1271,'Comp2016-2017 (3)'!$R$5:$R$289,$V1271)*$AB1271))</f>
        <v/>
      </c>
      <c r="AE1271" s="222" t="str">
        <f>IF($W1271=AE$3,$AB1271,IF(NOT($W1271=0),"",SUMIFS('Val-Vol (2)'!AE$4:AE$1858,'Val-Vol (2)'!$A$4:$A$1858,$D1271,'Val-Vol (2)'!$V$4:$V$1858,$V1271)/SUMIFS('Comp2016-2017 (3)'!$G$5:$G$289,'Comp2016-2017 (3)'!$A$5:$A$289,$D1271,'Comp2016-2017 (3)'!$R$5:$R$289,$V1271)*$AB1271))</f>
        <v/>
      </c>
      <c r="AF1271" s="222" t="str">
        <f>IF($W1271=AF$3,$AB1271,IF(NOT($W1271=0),"",SUMIFS('Val-Vol (2)'!AF$4:AF$1858,'Val-Vol (2)'!$A$4:$A$1858,$D1271,'Val-Vol (2)'!$V$4:$V$1858,$V1271)/SUMIFS('Comp2016-2017 (3)'!$G$5:$G$289,'Comp2016-2017 (3)'!$A$5:$A$289,$D1271,'Comp2016-2017 (3)'!$R$5:$R$289,$V1271)*$AB1271))</f>
        <v/>
      </c>
      <c r="AG1271" s="222">
        <f>IF($W1271=AG$3,$AB1271,IF(NOT($W1271=0),"",SUMIFS('Val-Vol (2)'!AG$4:AG$1858,'Val-Vol (2)'!$A$4:$A$1858,$D1271,'Val-Vol (2)'!$V$4:$V$1858,$V1271)/SUMIFS('Comp2016-2017 (3)'!$G$5:$G$289,'Comp2016-2017 (3)'!$A$5:$A$289,$D1271,'Comp2016-2017 (3)'!$R$5:$R$289,$V1271)*$AB1271))</f>
        <v>0</v>
      </c>
      <c r="AH1271" s="222" t="str">
        <f>IF($W1271=AH$3,$AB1271,IF(NOT($W1271=0),"",SUMIFS('Val-Vol (2)'!AH$4:AH$1858,'Val-Vol (2)'!$A$4:$A$1858,$D1271,'Val-Vol (2)'!$V$4:$V$1858,$V1271)/SUMIFS('Comp2016-2017 (3)'!$G$5:$G$289,'Comp2016-2017 (3)'!$A$5:$A$289,$D1271,'Comp2016-2017 (3)'!$R$5:$R$289,$V1271)*$AB1271))</f>
        <v/>
      </c>
      <c r="AI1271" s="222" t="str">
        <f>IF($W1271=AI$3,$AB1271,IF(NOT($W1271=0),"",SUMIFS('Val-Vol (2)'!AI$4:AI$1858,'Val-Vol (2)'!$A$4:$A$1858,$D1271,'Val-Vol (2)'!$V$4:$V$1858,$V1271)/SUMIFS('Comp2016-2017 (3)'!$G$5:$G$289,'Comp2016-2017 (3)'!$A$5:$A$289,$D1271,'Comp2016-2017 (3)'!$R$5:$R$289,$V1271)*$AB1271))</f>
        <v/>
      </c>
      <c r="AJ1271" s="222" t="str">
        <f>IF($W1271=AJ$3,$AB1271,IF(NOT($W1271=0),"",SUMIFS('Val-Vol (2)'!AJ$4:AJ$1858,'Val-Vol (2)'!$A$4:$A$1858,$D1271,'Val-Vol (2)'!$V$4:$V$1858,$V1271)/SUMIFS('Comp2016-2017 (3)'!$G$5:$G$289,'Comp2016-2017 (3)'!$A$5:$A$289,$D1271,'Comp2016-2017 (3)'!$R$5:$R$289,$V1271)*$AB1271))</f>
        <v/>
      </c>
      <c r="AK1271" s="222">
        <f t="shared" si="154"/>
        <v>0</v>
      </c>
      <c r="AL1271" s="212" t="str">
        <f t="shared" si="155"/>
        <v/>
      </c>
      <c r="AM1271" s="212" t="str">
        <f>VLOOKUP(A1271,'Table corresp.'!$M$4:$U$63,8,FALSE)</f>
        <v>Production intermédiaire</v>
      </c>
      <c r="AN1271" s="212" t="str">
        <f>VLOOKUP(D1271,'Table corresp.'!$M$4:$U$63,9,FALSE)</f>
        <v>Production finale</v>
      </c>
    </row>
    <row r="1272" spans="1:40" x14ac:dyDescent="0.25">
      <c r="A1272" t="s">
        <v>83</v>
      </c>
      <c r="B1272" t="str">
        <f>VLOOKUP(LEFT(A1272,3),'Table corresp.'!$A$4:$D$63,3,FALSE)</f>
        <v>Transformation</v>
      </c>
      <c r="C1272" t="str">
        <f>VLOOKUP(A1272,'Table corresp.'!$M$4:$P$63,4,FALSE)</f>
        <v>Production et transformation de produits bois</v>
      </c>
      <c r="D1272" t="s">
        <v>92</v>
      </c>
      <c r="E1272" t="str">
        <f>VLOOKUP(LEFT(D1272,3),'Table corresp.'!$A$4:$D$63,4,FALSE)</f>
        <v>Transformation</v>
      </c>
      <c r="F1272" t="str">
        <f t="shared" si="157"/>
        <v xml:space="preserve">14  - 40 </v>
      </c>
      <c r="G1272" s="213">
        <v>4128.2518244487546</v>
      </c>
      <c r="H1272" s="213">
        <v>30355.337175293986</v>
      </c>
      <c r="I1272" s="213">
        <v>34483.588998625113</v>
      </c>
      <c r="J1272" s="215">
        <v>52.654512038270965</v>
      </c>
      <c r="K1272" s="215">
        <v>146.13926413343773</v>
      </c>
      <c r="L1272" s="215">
        <v>198.79377617170871</v>
      </c>
      <c r="M1272" s="215"/>
      <c r="N1272" s="215"/>
      <c r="O1272" s="215"/>
      <c r="P1272" s="215"/>
      <c r="Q1272" s="215"/>
      <c r="R1272" s="215"/>
      <c r="S1272" s="213"/>
      <c r="T1272" s="212">
        <f>VLOOKUP(A1272,'Groupe de branches'!$Z$27:$AM$86,14,FALSE)</f>
        <v>0</v>
      </c>
      <c r="U1272" s="212">
        <f>VLOOKUP(D1272,'Groupe de branches'!$Z$27:$AM$86,14,FALSE)</f>
        <v>0</v>
      </c>
      <c r="V1272" s="212">
        <v>2019</v>
      </c>
      <c r="W1272" s="212" t="str">
        <f>VLOOKUP(D1272,'Table corresp.'!$M$4:$S$63,7,FALSE)</f>
        <v>Construction</v>
      </c>
      <c r="X1272" s="228">
        <f>IFERROR(G1272/SUMIFS('Comp2016-2017 (3)'!$I$5:$I$289,'Comp2016-2017 (3)'!$A$5:$A$289,A1272,'Comp2016-2017 (3)'!$R$5:$R$289,V1272),0)</f>
        <v>4.0083159827349571E-2</v>
      </c>
      <c r="Y1272" s="214" t="e">
        <f>IF(RIGHT(F1272,3)="Exp",VLOOKUP(F1272,#REF!,2,FALSE),VLOOKUP(F1272,#REF!,9,FALSE))</f>
        <v>#REF!</v>
      </c>
      <c r="Z1272" s="225" t="str">
        <f t="shared" si="156"/>
        <v/>
      </c>
      <c r="AA1272" s="225" t="e">
        <f t="shared" si="153"/>
        <v>#VALUE!</v>
      </c>
      <c r="AB1272" s="222">
        <f>IFERROR(SUMIFS('Comp2016-2017 (3)'!$G$5:$G$289,'Comp2016-2017 (3)'!$A$5:$A$289,A1272,'Comp2016-2017 (3)'!$R$5:$R$289,V1272)*AA1272/SUMIFS($AA$4:$AA$1858,$A$4:$A$1858,A1272,$V$4:$V$1858,V1272),0)</f>
        <v>0</v>
      </c>
      <c r="AC1272" s="222" t="str">
        <f>IF($W1272=AC$3,$AB1272,IF(NOT($W1272=0),"",SUMIFS('Val-Vol (2)'!AC$4:AC$1858,'Val-Vol (2)'!$A$4:$A$1858,$D1272,'Val-Vol (2)'!$V$4:$V$1858,$V1272)/SUMIFS('Comp2016-2017 (3)'!$G$5:$G$289,'Comp2016-2017 (3)'!$A$5:$A$289,$D1272,'Comp2016-2017 (3)'!$R$5:$R$289,$V1272)*$AB1272))</f>
        <v/>
      </c>
      <c r="AD1272" s="222">
        <f>IF($W1272=AD$3,$AB1272,IF(NOT($W1272=0),"",SUMIFS('Val-Vol (2)'!AD$4:AD$1858,'Val-Vol (2)'!$A$4:$A$1858,$D1272,'Val-Vol (2)'!$V$4:$V$1858,$V1272)/SUMIFS('Comp2016-2017 (3)'!$G$5:$G$289,'Comp2016-2017 (3)'!$A$5:$A$289,$D1272,'Comp2016-2017 (3)'!$R$5:$R$289,$V1272)*$AB1272))</f>
        <v>0</v>
      </c>
      <c r="AE1272" s="222" t="str">
        <f>IF($W1272=AE$3,$AB1272,IF(NOT($W1272=0),"",SUMIFS('Val-Vol (2)'!AE$4:AE$1858,'Val-Vol (2)'!$A$4:$A$1858,$D1272,'Val-Vol (2)'!$V$4:$V$1858,$V1272)/SUMIFS('Comp2016-2017 (3)'!$G$5:$G$289,'Comp2016-2017 (3)'!$A$5:$A$289,$D1272,'Comp2016-2017 (3)'!$R$5:$R$289,$V1272)*$AB1272))</f>
        <v/>
      </c>
      <c r="AF1272" s="222" t="str">
        <f>IF($W1272=AF$3,$AB1272,IF(NOT($W1272=0),"",SUMIFS('Val-Vol (2)'!AF$4:AF$1858,'Val-Vol (2)'!$A$4:$A$1858,$D1272,'Val-Vol (2)'!$V$4:$V$1858,$V1272)/SUMIFS('Comp2016-2017 (3)'!$G$5:$G$289,'Comp2016-2017 (3)'!$A$5:$A$289,$D1272,'Comp2016-2017 (3)'!$R$5:$R$289,$V1272)*$AB1272))</f>
        <v/>
      </c>
      <c r="AG1272" s="222" t="str">
        <f>IF($W1272=AG$3,$AB1272,IF(NOT($W1272=0),"",SUMIFS('Val-Vol (2)'!AG$4:AG$1858,'Val-Vol (2)'!$A$4:$A$1858,$D1272,'Val-Vol (2)'!$V$4:$V$1858,$V1272)/SUMIFS('Comp2016-2017 (3)'!$G$5:$G$289,'Comp2016-2017 (3)'!$A$5:$A$289,$D1272,'Comp2016-2017 (3)'!$R$5:$R$289,$V1272)*$AB1272))</f>
        <v/>
      </c>
      <c r="AH1272" s="222" t="str">
        <f>IF($W1272=AH$3,$AB1272,IF(NOT($W1272=0),"",SUMIFS('Val-Vol (2)'!AH$4:AH$1858,'Val-Vol (2)'!$A$4:$A$1858,$D1272,'Val-Vol (2)'!$V$4:$V$1858,$V1272)/SUMIFS('Comp2016-2017 (3)'!$G$5:$G$289,'Comp2016-2017 (3)'!$A$5:$A$289,$D1272,'Comp2016-2017 (3)'!$R$5:$R$289,$V1272)*$AB1272))</f>
        <v/>
      </c>
      <c r="AI1272" s="222" t="str">
        <f>IF($W1272=AI$3,$AB1272,IF(NOT($W1272=0),"",SUMIFS('Val-Vol (2)'!AI$4:AI$1858,'Val-Vol (2)'!$A$4:$A$1858,$D1272,'Val-Vol (2)'!$V$4:$V$1858,$V1272)/SUMIFS('Comp2016-2017 (3)'!$G$5:$G$289,'Comp2016-2017 (3)'!$A$5:$A$289,$D1272,'Comp2016-2017 (3)'!$R$5:$R$289,$V1272)*$AB1272))</f>
        <v/>
      </c>
      <c r="AJ1272" s="222" t="str">
        <f>IF($W1272=AJ$3,$AB1272,IF(NOT($W1272=0),"",SUMIFS('Val-Vol (2)'!AJ$4:AJ$1858,'Val-Vol (2)'!$A$4:$A$1858,$D1272,'Val-Vol (2)'!$V$4:$V$1858,$V1272)/SUMIFS('Comp2016-2017 (3)'!$G$5:$G$289,'Comp2016-2017 (3)'!$A$5:$A$289,$D1272,'Comp2016-2017 (3)'!$R$5:$R$289,$V1272)*$AB1272))</f>
        <v/>
      </c>
      <c r="AK1272" s="222">
        <f t="shared" si="154"/>
        <v>0</v>
      </c>
      <c r="AL1272" s="212" t="str">
        <f t="shared" si="155"/>
        <v/>
      </c>
      <c r="AM1272" s="212" t="str">
        <f>VLOOKUP(A1272,'Table corresp.'!$M$4:$U$63,8,FALSE)</f>
        <v>Production intermédiaire</v>
      </c>
      <c r="AN1272" s="212" t="str">
        <f>VLOOKUP(D1272,'Table corresp.'!$M$4:$U$63,9,FALSE)</f>
        <v>Production finale</v>
      </c>
    </row>
    <row r="1273" spans="1:40" x14ac:dyDescent="0.25">
      <c r="A1273" t="s">
        <v>83</v>
      </c>
      <c r="B1273" t="str">
        <f>VLOOKUP(LEFT(A1273,3),'Table corresp.'!$A$4:$D$63,3,FALSE)</f>
        <v>Transformation</v>
      </c>
      <c r="C1273" t="str">
        <f>VLOOKUP(A1273,'Table corresp.'!$M$4:$P$63,4,FALSE)</f>
        <v>Production et transformation de produits bois</v>
      </c>
      <c r="D1273" t="s">
        <v>99</v>
      </c>
      <c r="E1273" t="str">
        <f>VLOOKUP(LEFT(D1273,3),'Table corresp.'!$A$4:$D$63,4,FALSE)</f>
        <v>Transformation</v>
      </c>
      <c r="F1273" t="str">
        <f t="shared" si="157"/>
        <v xml:space="preserve">14  - 47 </v>
      </c>
      <c r="G1273" s="213">
        <v>262.69138969370044</v>
      </c>
      <c r="H1273" s="213">
        <v>1077.7839480716243</v>
      </c>
      <c r="I1273" s="213">
        <v>1340.4753377326333</v>
      </c>
      <c r="J1273" s="215">
        <v>2.9913651555288321</v>
      </c>
      <c r="K1273" s="215">
        <v>4.6325247440108326</v>
      </c>
      <c r="L1273" s="215">
        <v>7.6238898995396642</v>
      </c>
      <c r="M1273" s="215"/>
      <c r="N1273" s="215"/>
      <c r="O1273" s="215"/>
      <c r="P1273" s="215"/>
      <c r="Q1273" s="215"/>
      <c r="R1273" s="215"/>
      <c r="S1273" s="213"/>
      <c r="T1273" s="212">
        <f>VLOOKUP(A1273,'Groupe de branches'!$Z$27:$AM$86,14,FALSE)</f>
        <v>0</v>
      </c>
      <c r="U1273" s="212">
        <f>VLOOKUP(D1273,'Groupe de branches'!$Z$27:$AM$86,14,FALSE)</f>
        <v>0</v>
      </c>
      <c r="V1273" s="212">
        <v>2019</v>
      </c>
      <c r="W1273" s="212" t="str">
        <f>VLOOKUP(D1273,'Table corresp.'!$M$4:$S$63,7,FALSE)</f>
        <v>Meuble</v>
      </c>
      <c r="X1273" s="228">
        <f>IFERROR(G1273/SUMIFS('Comp2016-2017 (3)'!$I$5:$I$289,'Comp2016-2017 (3)'!$A$5:$A$289,A1273,'Comp2016-2017 (3)'!$R$5:$R$289,V1273),0)</f>
        <v>2.5505956046581943E-3</v>
      </c>
      <c r="Y1273" s="214" t="e">
        <f>IF(RIGHT(F1273,3)="Exp",VLOOKUP(F1273,#REF!,2,FALSE),VLOOKUP(F1273,#REF!,9,FALSE))</f>
        <v>#REF!</v>
      </c>
      <c r="Z1273" s="225" t="str">
        <f t="shared" si="156"/>
        <v/>
      </c>
      <c r="AA1273" s="225" t="e">
        <f t="shared" si="153"/>
        <v>#VALUE!</v>
      </c>
      <c r="AB1273" s="222">
        <f>IFERROR(SUMIFS('Comp2016-2017 (3)'!$G$5:$G$289,'Comp2016-2017 (3)'!$A$5:$A$289,A1273,'Comp2016-2017 (3)'!$R$5:$R$289,V1273)*AA1273/SUMIFS($AA$4:$AA$1858,$A$4:$A$1858,A1273,$V$4:$V$1858,V1273),0)</f>
        <v>0</v>
      </c>
      <c r="AC1273" s="222" t="str">
        <f>IF($W1273=AC$3,$AB1273,IF(NOT($W1273=0),"",SUMIFS('Val-Vol (2)'!AC$4:AC$1858,'Val-Vol (2)'!$A$4:$A$1858,$D1273,'Val-Vol (2)'!$V$4:$V$1858,$V1273)/SUMIFS('Comp2016-2017 (3)'!$G$5:$G$289,'Comp2016-2017 (3)'!$A$5:$A$289,$D1273,'Comp2016-2017 (3)'!$R$5:$R$289,$V1273)*$AB1273))</f>
        <v/>
      </c>
      <c r="AD1273" s="222" t="str">
        <f>IF($W1273=AD$3,$AB1273,IF(NOT($W1273=0),"",SUMIFS('Val-Vol (2)'!AD$4:AD$1858,'Val-Vol (2)'!$A$4:$A$1858,$D1273,'Val-Vol (2)'!$V$4:$V$1858,$V1273)/SUMIFS('Comp2016-2017 (3)'!$G$5:$G$289,'Comp2016-2017 (3)'!$A$5:$A$289,$D1273,'Comp2016-2017 (3)'!$R$5:$R$289,$V1273)*$AB1273))</f>
        <v/>
      </c>
      <c r="AE1273" s="222">
        <f>IF($W1273=AE$3,$AB1273,IF(NOT($W1273=0),"",SUMIFS('Val-Vol (2)'!AE$4:AE$1858,'Val-Vol (2)'!$A$4:$A$1858,$D1273,'Val-Vol (2)'!$V$4:$V$1858,$V1273)/SUMIFS('Comp2016-2017 (3)'!$G$5:$G$289,'Comp2016-2017 (3)'!$A$5:$A$289,$D1273,'Comp2016-2017 (3)'!$R$5:$R$289,$V1273)*$AB1273))</f>
        <v>0</v>
      </c>
      <c r="AF1273" s="222" t="str">
        <f>IF($W1273=AF$3,$AB1273,IF(NOT($W1273=0),"",SUMIFS('Val-Vol (2)'!AF$4:AF$1858,'Val-Vol (2)'!$A$4:$A$1858,$D1273,'Val-Vol (2)'!$V$4:$V$1858,$V1273)/SUMIFS('Comp2016-2017 (3)'!$G$5:$G$289,'Comp2016-2017 (3)'!$A$5:$A$289,$D1273,'Comp2016-2017 (3)'!$R$5:$R$289,$V1273)*$AB1273))</f>
        <v/>
      </c>
      <c r="AG1273" s="222" t="str">
        <f>IF($W1273=AG$3,$AB1273,IF(NOT($W1273=0),"",SUMIFS('Val-Vol (2)'!AG$4:AG$1858,'Val-Vol (2)'!$A$4:$A$1858,$D1273,'Val-Vol (2)'!$V$4:$V$1858,$V1273)/SUMIFS('Comp2016-2017 (3)'!$G$5:$G$289,'Comp2016-2017 (3)'!$A$5:$A$289,$D1273,'Comp2016-2017 (3)'!$R$5:$R$289,$V1273)*$AB1273))</f>
        <v/>
      </c>
      <c r="AH1273" s="222" t="str">
        <f>IF($W1273=AH$3,$AB1273,IF(NOT($W1273=0),"",SUMIFS('Val-Vol (2)'!AH$4:AH$1858,'Val-Vol (2)'!$A$4:$A$1858,$D1273,'Val-Vol (2)'!$V$4:$V$1858,$V1273)/SUMIFS('Comp2016-2017 (3)'!$G$5:$G$289,'Comp2016-2017 (3)'!$A$5:$A$289,$D1273,'Comp2016-2017 (3)'!$R$5:$R$289,$V1273)*$AB1273))</f>
        <v/>
      </c>
      <c r="AI1273" s="222" t="str">
        <f>IF($W1273=AI$3,$AB1273,IF(NOT($W1273=0),"",SUMIFS('Val-Vol (2)'!AI$4:AI$1858,'Val-Vol (2)'!$A$4:$A$1858,$D1273,'Val-Vol (2)'!$V$4:$V$1858,$V1273)/SUMIFS('Comp2016-2017 (3)'!$G$5:$G$289,'Comp2016-2017 (3)'!$A$5:$A$289,$D1273,'Comp2016-2017 (3)'!$R$5:$R$289,$V1273)*$AB1273))</f>
        <v/>
      </c>
      <c r="AJ1273" s="222" t="str">
        <f>IF($W1273=AJ$3,$AB1273,IF(NOT($W1273=0),"",SUMIFS('Val-Vol (2)'!AJ$4:AJ$1858,'Val-Vol (2)'!$A$4:$A$1858,$D1273,'Val-Vol (2)'!$V$4:$V$1858,$V1273)/SUMIFS('Comp2016-2017 (3)'!$G$5:$G$289,'Comp2016-2017 (3)'!$A$5:$A$289,$D1273,'Comp2016-2017 (3)'!$R$5:$R$289,$V1273)*$AB1273))</f>
        <v/>
      </c>
      <c r="AK1273" s="222">
        <f t="shared" si="154"/>
        <v>0</v>
      </c>
      <c r="AL1273" s="212" t="str">
        <f t="shared" si="155"/>
        <v/>
      </c>
      <c r="AM1273" s="212" t="str">
        <f>VLOOKUP(A1273,'Table corresp.'!$M$4:$U$63,8,FALSE)</f>
        <v>Production intermédiaire</v>
      </c>
      <c r="AN1273" s="212" t="str">
        <f>VLOOKUP(D1273,'Table corresp.'!$M$4:$U$63,9,FALSE)</f>
        <v>Production finale</v>
      </c>
    </row>
    <row r="1274" spans="1:40" x14ac:dyDescent="0.25">
      <c r="A1274" t="s">
        <v>83</v>
      </c>
      <c r="B1274" t="str">
        <f>VLOOKUP(LEFT(A1274,3),'Table corresp.'!$A$4:$D$63,3,FALSE)</f>
        <v>Transformation</v>
      </c>
      <c r="C1274" t="str">
        <f>VLOOKUP(A1274,'Table corresp.'!$M$4:$P$63,4,FALSE)</f>
        <v>Production et transformation de produits bois</v>
      </c>
      <c r="D1274" t="s">
        <v>19</v>
      </c>
      <c r="E1274" t="str">
        <f>VLOOKUP(LEFT(D1274,3),'Table corresp.'!$A$4:$D$63,4,FALSE)</f>
        <v>Transformation</v>
      </c>
      <c r="F1274" t="str">
        <f t="shared" si="157"/>
        <v xml:space="preserve">14  - 52 </v>
      </c>
      <c r="G1274" s="213">
        <v>491.76778303940074</v>
      </c>
      <c r="H1274" s="213">
        <v>1053.6082376854647</v>
      </c>
      <c r="I1274" s="213">
        <v>1545.3760207070529</v>
      </c>
      <c r="J1274" s="215">
        <v>6.9999297108242988</v>
      </c>
      <c r="K1274" s="215">
        <v>5.6607660564814823</v>
      </c>
      <c r="L1274" s="215">
        <v>12.660695767305782</v>
      </c>
      <c r="M1274" s="215"/>
      <c r="N1274" s="215"/>
      <c r="O1274" s="215"/>
      <c r="P1274" s="215"/>
      <c r="Q1274" s="215"/>
      <c r="R1274" s="215"/>
      <c r="S1274" s="213"/>
      <c r="T1274" s="212">
        <f>VLOOKUP(A1274,'Groupe de branches'!$Z$27:$AM$86,14,FALSE)</f>
        <v>0</v>
      </c>
      <c r="U1274" s="212">
        <f>VLOOKUP(D1274,'Groupe de branches'!$Z$27:$AM$86,14,FALSE)</f>
        <v>0</v>
      </c>
      <c r="V1274" s="212">
        <v>2019</v>
      </c>
      <c r="W1274" s="212" t="str">
        <f>VLOOKUP(D1274,'Table corresp.'!$M$4:$S$63,7,FALSE)</f>
        <v>Construction</v>
      </c>
      <c r="X1274" s="228">
        <f>IFERROR(G1274/SUMIFS('Comp2016-2017 (3)'!$I$5:$I$289,'Comp2016-2017 (3)'!$A$5:$A$289,A1274,'Comp2016-2017 (3)'!$R$5:$R$289,V1274),0)</f>
        <v>4.7748072268197347E-3</v>
      </c>
      <c r="Y1274" s="214" t="e">
        <f>IF(RIGHT(F1274,3)="Exp",VLOOKUP(F1274,#REF!,2,FALSE),VLOOKUP(F1274,#REF!,9,FALSE))</f>
        <v>#REF!</v>
      </c>
      <c r="Z1274" s="225" t="str">
        <f t="shared" si="156"/>
        <v/>
      </c>
      <c r="AA1274" s="225" t="e">
        <f t="shared" si="153"/>
        <v>#VALUE!</v>
      </c>
      <c r="AB1274" s="222">
        <f>IFERROR(SUMIFS('Comp2016-2017 (3)'!$G$5:$G$289,'Comp2016-2017 (3)'!$A$5:$A$289,A1274,'Comp2016-2017 (3)'!$R$5:$R$289,V1274)*AA1274/SUMIFS($AA$4:$AA$1858,$A$4:$A$1858,A1274,$V$4:$V$1858,V1274),0)</f>
        <v>0</v>
      </c>
      <c r="AC1274" s="222" t="str">
        <f>IF($W1274=AC$3,$AB1274,IF(NOT($W1274=0),"",SUMIFS('Val-Vol (2)'!AC$4:AC$1858,'Val-Vol (2)'!$A$4:$A$1858,$D1274,'Val-Vol (2)'!$V$4:$V$1858,$V1274)/SUMIFS('Comp2016-2017 (3)'!$G$5:$G$289,'Comp2016-2017 (3)'!$A$5:$A$289,$D1274,'Comp2016-2017 (3)'!$R$5:$R$289,$V1274)*$AB1274))</f>
        <v/>
      </c>
      <c r="AD1274" s="222">
        <f>IF($W1274=AD$3,$AB1274,IF(NOT($W1274=0),"",SUMIFS('Val-Vol (2)'!AD$4:AD$1858,'Val-Vol (2)'!$A$4:$A$1858,$D1274,'Val-Vol (2)'!$V$4:$V$1858,$V1274)/SUMIFS('Comp2016-2017 (3)'!$G$5:$G$289,'Comp2016-2017 (3)'!$A$5:$A$289,$D1274,'Comp2016-2017 (3)'!$R$5:$R$289,$V1274)*$AB1274))</f>
        <v>0</v>
      </c>
      <c r="AE1274" s="222" t="str">
        <f>IF($W1274=AE$3,$AB1274,IF(NOT($W1274=0),"",SUMIFS('Val-Vol (2)'!AE$4:AE$1858,'Val-Vol (2)'!$A$4:$A$1858,$D1274,'Val-Vol (2)'!$V$4:$V$1858,$V1274)/SUMIFS('Comp2016-2017 (3)'!$G$5:$G$289,'Comp2016-2017 (3)'!$A$5:$A$289,$D1274,'Comp2016-2017 (3)'!$R$5:$R$289,$V1274)*$AB1274))</f>
        <v/>
      </c>
      <c r="AF1274" s="222" t="str">
        <f>IF($W1274=AF$3,$AB1274,IF(NOT($W1274=0),"",SUMIFS('Val-Vol (2)'!AF$4:AF$1858,'Val-Vol (2)'!$A$4:$A$1858,$D1274,'Val-Vol (2)'!$V$4:$V$1858,$V1274)/SUMIFS('Comp2016-2017 (3)'!$G$5:$G$289,'Comp2016-2017 (3)'!$A$5:$A$289,$D1274,'Comp2016-2017 (3)'!$R$5:$R$289,$V1274)*$AB1274))</f>
        <v/>
      </c>
      <c r="AG1274" s="222" t="str">
        <f>IF($W1274=AG$3,$AB1274,IF(NOT($W1274=0),"",SUMIFS('Val-Vol (2)'!AG$4:AG$1858,'Val-Vol (2)'!$A$4:$A$1858,$D1274,'Val-Vol (2)'!$V$4:$V$1858,$V1274)/SUMIFS('Comp2016-2017 (3)'!$G$5:$G$289,'Comp2016-2017 (3)'!$A$5:$A$289,$D1274,'Comp2016-2017 (3)'!$R$5:$R$289,$V1274)*$AB1274))</f>
        <v/>
      </c>
      <c r="AH1274" s="222" t="str">
        <f>IF($W1274=AH$3,$AB1274,IF(NOT($W1274=0),"",SUMIFS('Val-Vol (2)'!AH$4:AH$1858,'Val-Vol (2)'!$A$4:$A$1858,$D1274,'Val-Vol (2)'!$V$4:$V$1858,$V1274)/SUMIFS('Comp2016-2017 (3)'!$G$5:$G$289,'Comp2016-2017 (3)'!$A$5:$A$289,$D1274,'Comp2016-2017 (3)'!$R$5:$R$289,$V1274)*$AB1274))</f>
        <v/>
      </c>
      <c r="AI1274" s="222" t="str">
        <f>IF($W1274=AI$3,$AB1274,IF(NOT($W1274=0),"",SUMIFS('Val-Vol (2)'!AI$4:AI$1858,'Val-Vol (2)'!$A$4:$A$1858,$D1274,'Val-Vol (2)'!$V$4:$V$1858,$V1274)/SUMIFS('Comp2016-2017 (3)'!$G$5:$G$289,'Comp2016-2017 (3)'!$A$5:$A$289,$D1274,'Comp2016-2017 (3)'!$R$5:$R$289,$V1274)*$AB1274))</f>
        <v/>
      </c>
      <c r="AJ1274" s="222" t="str">
        <f>IF($W1274=AJ$3,$AB1274,IF(NOT($W1274=0),"",SUMIFS('Val-Vol (2)'!AJ$4:AJ$1858,'Val-Vol (2)'!$A$4:$A$1858,$D1274,'Val-Vol (2)'!$V$4:$V$1858,$V1274)/SUMIFS('Comp2016-2017 (3)'!$G$5:$G$289,'Comp2016-2017 (3)'!$A$5:$A$289,$D1274,'Comp2016-2017 (3)'!$R$5:$R$289,$V1274)*$AB1274))</f>
        <v/>
      </c>
      <c r="AK1274" s="222">
        <f t="shared" si="154"/>
        <v>0</v>
      </c>
      <c r="AL1274" s="212" t="str">
        <f t="shared" si="155"/>
        <v/>
      </c>
      <c r="AM1274" s="212" t="str">
        <f>VLOOKUP(A1274,'Table corresp.'!$M$4:$U$63,8,FALSE)</f>
        <v>Production intermédiaire</v>
      </c>
      <c r="AN1274" s="212" t="str">
        <f>VLOOKUP(D1274,'Table corresp.'!$M$4:$U$63,9,FALSE)</f>
        <v xml:space="preserve">Mise en œuvre </v>
      </c>
    </row>
    <row r="1275" spans="1:40" x14ac:dyDescent="0.25">
      <c r="A1275" t="s">
        <v>83</v>
      </c>
      <c r="B1275" t="str">
        <f>VLOOKUP(LEFT(A1275,3),'Table corresp.'!$A$4:$D$63,3,FALSE)</f>
        <v>Transformation</v>
      </c>
      <c r="C1275" t="str">
        <f>VLOOKUP(A1275,'Table corresp.'!$M$4:$P$63,4,FALSE)</f>
        <v>Production et transformation de produits bois</v>
      </c>
      <c r="D1275" t="s">
        <v>21</v>
      </c>
      <c r="E1275" t="str">
        <f>VLOOKUP(LEFT(D1275,3),'Table corresp.'!$A$4:$D$63,4,FALSE)</f>
        <v>Transformation</v>
      </c>
      <c r="F1275" t="str">
        <f t="shared" si="157"/>
        <v xml:space="preserve">14  - 54 </v>
      </c>
      <c r="G1275" s="213">
        <v>2698.2140595820533</v>
      </c>
      <c r="H1275" s="213">
        <v>12998.891638420811</v>
      </c>
      <c r="I1275" s="213">
        <v>15697.105697580282</v>
      </c>
      <c r="J1275" s="215">
        <v>15.362786594191347</v>
      </c>
      <c r="K1275" s="215">
        <v>27.935880501579959</v>
      </c>
      <c r="L1275" s="215">
        <v>43.298667095771307</v>
      </c>
      <c r="M1275" s="215"/>
      <c r="N1275" s="215"/>
      <c r="O1275" s="215"/>
      <c r="P1275" s="215"/>
      <c r="Q1275" s="215"/>
      <c r="R1275" s="215"/>
      <c r="S1275" s="213"/>
      <c r="T1275" s="212">
        <f>VLOOKUP(A1275,'Groupe de branches'!$Z$27:$AM$86,14,FALSE)</f>
        <v>0</v>
      </c>
      <c r="U1275" s="212">
        <f>VLOOKUP(D1275,'Groupe de branches'!$Z$27:$AM$86,14,FALSE)</f>
        <v>0</v>
      </c>
      <c r="V1275" s="212">
        <v>2019</v>
      </c>
      <c r="W1275" s="212" t="str">
        <f>VLOOKUP(D1275,'Table corresp.'!$M$4:$S$63,7,FALSE)</f>
        <v>Construction</v>
      </c>
      <c r="X1275" s="228">
        <f>IFERROR(G1275/SUMIFS('Comp2016-2017 (3)'!$I$5:$I$289,'Comp2016-2017 (3)'!$A$5:$A$289,A1275,'Comp2016-2017 (3)'!$R$5:$R$289,V1275),0)</f>
        <v>2.6198243226858094E-2</v>
      </c>
      <c r="Y1275" s="214" t="e">
        <f>IF(RIGHT(F1275,3)="Exp",VLOOKUP(F1275,#REF!,2,FALSE),VLOOKUP(F1275,#REF!,9,FALSE))</f>
        <v>#REF!</v>
      </c>
      <c r="Z1275" s="225" t="str">
        <f t="shared" si="156"/>
        <v/>
      </c>
      <c r="AA1275" s="225" t="e">
        <f t="shared" si="153"/>
        <v>#VALUE!</v>
      </c>
      <c r="AB1275" s="222">
        <f>IFERROR(SUMIFS('Comp2016-2017 (3)'!$G$5:$G$289,'Comp2016-2017 (3)'!$A$5:$A$289,A1275,'Comp2016-2017 (3)'!$R$5:$R$289,V1275)*AA1275/SUMIFS($AA$4:$AA$1858,$A$4:$A$1858,A1275,$V$4:$V$1858,V1275),0)</f>
        <v>0</v>
      </c>
      <c r="AC1275" s="222" t="str">
        <f>IF($W1275=AC$3,$AB1275,IF(NOT($W1275=0),"",SUMIFS('Val-Vol (2)'!AC$4:AC$1858,'Val-Vol (2)'!$A$4:$A$1858,$D1275,'Val-Vol (2)'!$V$4:$V$1858,$V1275)/SUMIFS('Comp2016-2017 (3)'!$G$5:$G$289,'Comp2016-2017 (3)'!$A$5:$A$289,$D1275,'Comp2016-2017 (3)'!$R$5:$R$289,$V1275)*$AB1275))</f>
        <v/>
      </c>
      <c r="AD1275" s="222">
        <f>IF($W1275=AD$3,$AB1275,IF(NOT($W1275=0),"",SUMIFS('Val-Vol (2)'!AD$4:AD$1858,'Val-Vol (2)'!$A$4:$A$1858,$D1275,'Val-Vol (2)'!$V$4:$V$1858,$V1275)/SUMIFS('Comp2016-2017 (3)'!$G$5:$G$289,'Comp2016-2017 (3)'!$A$5:$A$289,$D1275,'Comp2016-2017 (3)'!$R$5:$R$289,$V1275)*$AB1275))</f>
        <v>0</v>
      </c>
      <c r="AE1275" s="222" t="str">
        <f>IF($W1275=AE$3,$AB1275,IF(NOT($W1275=0),"",SUMIFS('Val-Vol (2)'!AE$4:AE$1858,'Val-Vol (2)'!$A$4:$A$1858,$D1275,'Val-Vol (2)'!$V$4:$V$1858,$V1275)/SUMIFS('Comp2016-2017 (3)'!$G$5:$G$289,'Comp2016-2017 (3)'!$A$5:$A$289,$D1275,'Comp2016-2017 (3)'!$R$5:$R$289,$V1275)*$AB1275))</f>
        <v/>
      </c>
      <c r="AF1275" s="222" t="str">
        <f>IF($W1275=AF$3,$AB1275,IF(NOT($W1275=0),"",SUMIFS('Val-Vol (2)'!AF$4:AF$1858,'Val-Vol (2)'!$A$4:$A$1858,$D1275,'Val-Vol (2)'!$V$4:$V$1858,$V1275)/SUMIFS('Comp2016-2017 (3)'!$G$5:$G$289,'Comp2016-2017 (3)'!$A$5:$A$289,$D1275,'Comp2016-2017 (3)'!$R$5:$R$289,$V1275)*$AB1275))</f>
        <v/>
      </c>
      <c r="AG1275" s="222" t="str">
        <f>IF($W1275=AG$3,$AB1275,IF(NOT($W1275=0),"",SUMIFS('Val-Vol (2)'!AG$4:AG$1858,'Val-Vol (2)'!$A$4:$A$1858,$D1275,'Val-Vol (2)'!$V$4:$V$1858,$V1275)/SUMIFS('Comp2016-2017 (3)'!$G$5:$G$289,'Comp2016-2017 (3)'!$A$5:$A$289,$D1275,'Comp2016-2017 (3)'!$R$5:$R$289,$V1275)*$AB1275))</f>
        <v/>
      </c>
      <c r="AH1275" s="222" t="str">
        <f>IF($W1275=AH$3,$AB1275,IF(NOT($W1275=0),"",SUMIFS('Val-Vol (2)'!AH$4:AH$1858,'Val-Vol (2)'!$A$4:$A$1858,$D1275,'Val-Vol (2)'!$V$4:$V$1858,$V1275)/SUMIFS('Comp2016-2017 (3)'!$G$5:$G$289,'Comp2016-2017 (3)'!$A$5:$A$289,$D1275,'Comp2016-2017 (3)'!$R$5:$R$289,$V1275)*$AB1275))</f>
        <v/>
      </c>
      <c r="AI1275" s="222" t="str">
        <f>IF($W1275=AI$3,$AB1275,IF(NOT($W1275=0),"",SUMIFS('Val-Vol (2)'!AI$4:AI$1858,'Val-Vol (2)'!$A$4:$A$1858,$D1275,'Val-Vol (2)'!$V$4:$V$1858,$V1275)/SUMIFS('Comp2016-2017 (3)'!$G$5:$G$289,'Comp2016-2017 (3)'!$A$5:$A$289,$D1275,'Comp2016-2017 (3)'!$R$5:$R$289,$V1275)*$AB1275))</f>
        <v/>
      </c>
      <c r="AJ1275" s="222" t="str">
        <f>IF($W1275=AJ$3,$AB1275,IF(NOT($W1275=0),"",SUMIFS('Val-Vol (2)'!AJ$4:AJ$1858,'Val-Vol (2)'!$A$4:$A$1858,$D1275,'Val-Vol (2)'!$V$4:$V$1858,$V1275)/SUMIFS('Comp2016-2017 (3)'!$G$5:$G$289,'Comp2016-2017 (3)'!$A$5:$A$289,$D1275,'Comp2016-2017 (3)'!$R$5:$R$289,$V1275)*$AB1275))</f>
        <v/>
      </c>
      <c r="AK1275" s="222">
        <f t="shared" si="154"/>
        <v>0</v>
      </c>
      <c r="AL1275" s="212" t="str">
        <f t="shared" si="155"/>
        <v/>
      </c>
      <c r="AM1275" s="212" t="str">
        <f>VLOOKUP(A1275,'Table corresp.'!$M$4:$U$63,8,FALSE)</f>
        <v>Production intermédiaire</v>
      </c>
      <c r="AN1275" s="212" t="str">
        <f>VLOOKUP(D1275,'Table corresp.'!$M$4:$U$63,9,FALSE)</f>
        <v xml:space="preserve">Mise en œuvre </v>
      </c>
    </row>
    <row r="1276" spans="1:40" x14ac:dyDescent="0.25">
      <c r="A1276" t="s">
        <v>83</v>
      </c>
      <c r="B1276" t="str">
        <f>VLOOKUP(LEFT(A1276,3),'Table corresp.'!$A$4:$D$63,3,FALSE)</f>
        <v>Transformation</v>
      </c>
      <c r="C1276" t="str">
        <f>VLOOKUP(A1276,'Table corresp.'!$M$4:$P$63,4,FALSE)</f>
        <v>Production et transformation de produits bois</v>
      </c>
      <c r="D1276" t="s">
        <v>22</v>
      </c>
      <c r="E1276" t="str">
        <f>VLOOKUP(LEFT(D1276,3),'Table corresp.'!$A$4:$D$63,4,FALSE)</f>
        <v>Transformation</v>
      </c>
      <c r="F1276" t="str">
        <f t="shared" si="157"/>
        <v xml:space="preserve">14  - 55 </v>
      </c>
      <c r="G1276" s="213">
        <v>402.08137454074603</v>
      </c>
      <c r="H1276" s="213">
        <v>1115.8030747976534</v>
      </c>
      <c r="I1276" s="213">
        <v>1517.8844493123886</v>
      </c>
      <c r="J1276" s="215">
        <v>2.2893255368795384</v>
      </c>
      <c r="K1276" s="215">
        <v>2.3979691675181609</v>
      </c>
      <c r="L1276" s="215">
        <v>4.6872947043976989</v>
      </c>
      <c r="M1276" s="215"/>
      <c r="N1276" s="215"/>
      <c r="O1276" s="215"/>
      <c r="P1276" s="215"/>
      <c r="Q1276" s="215"/>
      <c r="R1276" s="215"/>
      <c r="S1276" s="213"/>
      <c r="T1276" s="212">
        <f>VLOOKUP(A1276,'Groupe de branches'!$Z$27:$AM$86,14,FALSE)</f>
        <v>0</v>
      </c>
      <c r="U1276" s="212">
        <f>VLOOKUP(D1276,'Groupe de branches'!$Z$27:$AM$86,14,FALSE)</f>
        <v>0</v>
      </c>
      <c r="V1276" s="212">
        <v>2019</v>
      </c>
      <c r="W1276" s="212" t="str">
        <f>VLOOKUP(D1276,'Table corresp.'!$M$4:$S$63,7,FALSE)</f>
        <v>Construction</v>
      </c>
      <c r="X1276" s="228">
        <f>IFERROR(G1276/SUMIFS('Comp2016-2017 (3)'!$I$5:$I$289,'Comp2016-2017 (3)'!$A$5:$A$289,A1276,'Comp2016-2017 (3)'!$R$5:$R$289,V1276),0)</f>
        <v>3.9039992434253181E-3</v>
      </c>
      <c r="Y1276" s="214" t="e">
        <f>IF(RIGHT(F1276,3)="Exp",VLOOKUP(F1276,#REF!,2,FALSE),VLOOKUP(F1276,#REF!,9,FALSE))</f>
        <v>#REF!</v>
      </c>
      <c r="Z1276" s="225" t="str">
        <f t="shared" si="156"/>
        <v/>
      </c>
      <c r="AA1276" s="225" t="e">
        <f t="shared" si="153"/>
        <v>#VALUE!</v>
      </c>
      <c r="AB1276" s="222">
        <f>IFERROR(SUMIFS('Comp2016-2017 (3)'!$G$5:$G$289,'Comp2016-2017 (3)'!$A$5:$A$289,A1276,'Comp2016-2017 (3)'!$R$5:$R$289,V1276)*AA1276/SUMIFS($AA$4:$AA$1858,$A$4:$A$1858,A1276,$V$4:$V$1858,V1276),0)</f>
        <v>0</v>
      </c>
      <c r="AC1276" s="222" t="str">
        <f>IF($W1276=AC$3,$AB1276,IF(NOT($W1276=0),"",SUMIFS('Val-Vol (2)'!AC$4:AC$1858,'Val-Vol (2)'!$A$4:$A$1858,$D1276,'Val-Vol (2)'!$V$4:$V$1858,$V1276)/SUMIFS('Comp2016-2017 (3)'!$G$5:$G$289,'Comp2016-2017 (3)'!$A$5:$A$289,$D1276,'Comp2016-2017 (3)'!$R$5:$R$289,$V1276)*$AB1276))</f>
        <v/>
      </c>
      <c r="AD1276" s="222">
        <f>IF($W1276=AD$3,$AB1276,IF(NOT($W1276=0),"",SUMIFS('Val-Vol (2)'!AD$4:AD$1858,'Val-Vol (2)'!$A$4:$A$1858,$D1276,'Val-Vol (2)'!$V$4:$V$1858,$V1276)/SUMIFS('Comp2016-2017 (3)'!$G$5:$G$289,'Comp2016-2017 (3)'!$A$5:$A$289,$D1276,'Comp2016-2017 (3)'!$R$5:$R$289,$V1276)*$AB1276))</f>
        <v>0</v>
      </c>
      <c r="AE1276" s="222" t="str">
        <f>IF($W1276=AE$3,$AB1276,IF(NOT($W1276=0),"",SUMIFS('Val-Vol (2)'!AE$4:AE$1858,'Val-Vol (2)'!$A$4:$A$1858,$D1276,'Val-Vol (2)'!$V$4:$V$1858,$V1276)/SUMIFS('Comp2016-2017 (3)'!$G$5:$G$289,'Comp2016-2017 (3)'!$A$5:$A$289,$D1276,'Comp2016-2017 (3)'!$R$5:$R$289,$V1276)*$AB1276))</f>
        <v/>
      </c>
      <c r="AF1276" s="222" t="str">
        <f>IF($W1276=AF$3,$AB1276,IF(NOT($W1276=0),"",SUMIFS('Val-Vol (2)'!AF$4:AF$1858,'Val-Vol (2)'!$A$4:$A$1858,$D1276,'Val-Vol (2)'!$V$4:$V$1858,$V1276)/SUMIFS('Comp2016-2017 (3)'!$G$5:$G$289,'Comp2016-2017 (3)'!$A$5:$A$289,$D1276,'Comp2016-2017 (3)'!$R$5:$R$289,$V1276)*$AB1276))</f>
        <v/>
      </c>
      <c r="AG1276" s="222" t="str">
        <f>IF($W1276=AG$3,$AB1276,IF(NOT($W1276=0),"",SUMIFS('Val-Vol (2)'!AG$4:AG$1858,'Val-Vol (2)'!$A$4:$A$1858,$D1276,'Val-Vol (2)'!$V$4:$V$1858,$V1276)/SUMIFS('Comp2016-2017 (3)'!$G$5:$G$289,'Comp2016-2017 (3)'!$A$5:$A$289,$D1276,'Comp2016-2017 (3)'!$R$5:$R$289,$V1276)*$AB1276))</f>
        <v/>
      </c>
      <c r="AH1276" s="222" t="str">
        <f>IF($W1276=AH$3,$AB1276,IF(NOT($W1276=0),"",SUMIFS('Val-Vol (2)'!AH$4:AH$1858,'Val-Vol (2)'!$A$4:$A$1858,$D1276,'Val-Vol (2)'!$V$4:$V$1858,$V1276)/SUMIFS('Comp2016-2017 (3)'!$G$5:$G$289,'Comp2016-2017 (3)'!$A$5:$A$289,$D1276,'Comp2016-2017 (3)'!$R$5:$R$289,$V1276)*$AB1276))</f>
        <v/>
      </c>
      <c r="AI1276" s="222" t="str">
        <f>IF($W1276=AI$3,$AB1276,IF(NOT($W1276=0),"",SUMIFS('Val-Vol (2)'!AI$4:AI$1858,'Val-Vol (2)'!$A$4:$A$1858,$D1276,'Val-Vol (2)'!$V$4:$V$1858,$V1276)/SUMIFS('Comp2016-2017 (3)'!$G$5:$G$289,'Comp2016-2017 (3)'!$A$5:$A$289,$D1276,'Comp2016-2017 (3)'!$R$5:$R$289,$V1276)*$AB1276))</f>
        <v/>
      </c>
      <c r="AJ1276" s="222" t="str">
        <f>IF($W1276=AJ$3,$AB1276,IF(NOT($W1276=0),"",SUMIFS('Val-Vol (2)'!AJ$4:AJ$1858,'Val-Vol (2)'!$A$4:$A$1858,$D1276,'Val-Vol (2)'!$V$4:$V$1858,$V1276)/SUMIFS('Comp2016-2017 (3)'!$G$5:$G$289,'Comp2016-2017 (3)'!$A$5:$A$289,$D1276,'Comp2016-2017 (3)'!$R$5:$R$289,$V1276)*$AB1276))</f>
        <v/>
      </c>
      <c r="AK1276" s="222">
        <f t="shared" si="154"/>
        <v>0</v>
      </c>
      <c r="AL1276" s="212" t="str">
        <f t="shared" si="155"/>
        <v/>
      </c>
      <c r="AM1276" s="212" t="str">
        <f>VLOOKUP(A1276,'Table corresp.'!$M$4:$U$63,8,FALSE)</f>
        <v>Production intermédiaire</v>
      </c>
      <c r="AN1276" s="212" t="str">
        <f>VLOOKUP(D1276,'Table corresp.'!$M$4:$U$63,9,FALSE)</f>
        <v xml:space="preserve">Mise en œuvre </v>
      </c>
    </row>
    <row r="1277" spans="1:40" x14ac:dyDescent="0.25">
      <c r="A1277" t="s">
        <v>83</v>
      </c>
      <c r="B1277" t="str">
        <f>VLOOKUP(LEFT(A1277,3),'Table corresp.'!$A$4:$D$63,3,FALSE)</f>
        <v>Transformation</v>
      </c>
      <c r="C1277" t="str">
        <f>VLOOKUP(A1277,'Table corresp.'!$M$4:$P$63,4,FALSE)</f>
        <v>Production et transformation de produits bois</v>
      </c>
      <c r="D1277" t="s">
        <v>24</v>
      </c>
      <c r="E1277" t="str">
        <f>VLOOKUP(LEFT(D1277,3),'Table corresp.'!$A$4:$D$63,4,FALSE)</f>
        <v>Transformation</v>
      </c>
      <c r="F1277" t="str">
        <f t="shared" si="157"/>
        <v xml:space="preserve">14  - 57 </v>
      </c>
      <c r="G1277" s="213">
        <v>2541.673129421275</v>
      </c>
      <c r="H1277" s="213">
        <v>6875.584147880204</v>
      </c>
      <c r="I1277" s="213">
        <v>9417.2572771450541</v>
      </c>
      <c r="J1277" s="215">
        <v>32.889753452105346</v>
      </c>
      <c r="K1277" s="215">
        <v>33.582495562023972</v>
      </c>
      <c r="L1277" s="215">
        <v>66.472249014129318</v>
      </c>
      <c r="M1277" s="215"/>
      <c r="N1277" s="215"/>
      <c r="O1277" s="215"/>
      <c r="P1277" s="215"/>
      <c r="Q1277" s="215"/>
      <c r="R1277" s="215"/>
      <c r="S1277" s="213"/>
      <c r="T1277" s="212">
        <f>VLOOKUP(A1277,'Groupe de branches'!$Z$27:$AM$86,14,FALSE)</f>
        <v>0</v>
      </c>
      <c r="U1277" s="212">
        <f>VLOOKUP(D1277,'Groupe de branches'!$Z$27:$AM$86,14,FALSE)</f>
        <v>0</v>
      </c>
      <c r="V1277" s="212">
        <v>2019</v>
      </c>
      <c r="W1277" s="212" t="str">
        <f>VLOOKUP(D1277,'Table corresp.'!$M$4:$S$63,7,FALSE)</f>
        <v>Construction</v>
      </c>
      <c r="X1277" s="228">
        <f>IFERROR(G1277/SUMIFS('Comp2016-2017 (3)'!$I$5:$I$289,'Comp2016-2017 (3)'!$A$5:$A$289,A1277,'Comp2016-2017 (3)'!$R$5:$R$289,V1277),0)</f>
        <v>2.4678312905263847E-2</v>
      </c>
      <c r="Y1277" s="214" t="e">
        <f>IF(RIGHT(F1277,3)="Exp",VLOOKUP(F1277,#REF!,2,FALSE),VLOOKUP(F1277,#REF!,9,FALSE))</f>
        <v>#REF!</v>
      </c>
      <c r="Z1277" s="225" t="str">
        <f t="shared" si="156"/>
        <v/>
      </c>
      <c r="AA1277" s="225" t="e">
        <f t="shared" si="153"/>
        <v>#VALUE!</v>
      </c>
      <c r="AB1277" s="222">
        <f>IFERROR(SUMIFS('Comp2016-2017 (3)'!$G$5:$G$289,'Comp2016-2017 (3)'!$A$5:$A$289,A1277,'Comp2016-2017 (3)'!$R$5:$R$289,V1277)*AA1277/SUMIFS($AA$4:$AA$1858,$A$4:$A$1858,A1277,$V$4:$V$1858,V1277),0)</f>
        <v>0</v>
      </c>
      <c r="AC1277" s="222" t="str">
        <f>IF($W1277=AC$3,$AB1277,IF(NOT($W1277=0),"",SUMIFS('Val-Vol (2)'!AC$4:AC$1858,'Val-Vol (2)'!$A$4:$A$1858,$D1277,'Val-Vol (2)'!$V$4:$V$1858,$V1277)/SUMIFS('Comp2016-2017 (3)'!$G$5:$G$289,'Comp2016-2017 (3)'!$A$5:$A$289,$D1277,'Comp2016-2017 (3)'!$R$5:$R$289,$V1277)*$AB1277))</f>
        <v/>
      </c>
      <c r="AD1277" s="222">
        <f>IF($W1277=AD$3,$AB1277,IF(NOT($W1277=0),"",SUMIFS('Val-Vol (2)'!AD$4:AD$1858,'Val-Vol (2)'!$A$4:$A$1858,$D1277,'Val-Vol (2)'!$V$4:$V$1858,$V1277)/SUMIFS('Comp2016-2017 (3)'!$G$5:$G$289,'Comp2016-2017 (3)'!$A$5:$A$289,$D1277,'Comp2016-2017 (3)'!$R$5:$R$289,$V1277)*$AB1277))</f>
        <v>0</v>
      </c>
      <c r="AE1277" s="222" t="str">
        <f>IF($W1277=AE$3,$AB1277,IF(NOT($W1277=0),"",SUMIFS('Val-Vol (2)'!AE$4:AE$1858,'Val-Vol (2)'!$A$4:$A$1858,$D1277,'Val-Vol (2)'!$V$4:$V$1858,$V1277)/SUMIFS('Comp2016-2017 (3)'!$G$5:$G$289,'Comp2016-2017 (3)'!$A$5:$A$289,$D1277,'Comp2016-2017 (3)'!$R$5:$R$289,$V1277)*$AB1277))</f>
        <v/>
      </c>
      <c r="AF1277" s="222" t="str">
        <f>IF($W1277=AF$3,$AB1277,IF(NOT($W1277=0),"",SUMIFS('Val-Vol (2)'!AF$4:AF$1858,'Val-Vol (2)'!$A$4:$A$1858,$D1277,'Val-Vol (2)'!$V$4:$V$1858,$V1277)/SUMIFS('Comp2016-2017 (3)'!$G$5:$G$289,'Comp2016-2017 (3)'!$A$5:$A$289,$D1277,'Comp2016-2017 (3)'!$R$5:$R$289,$V1277)*$AB1277))</f>
        <v/>
      </c>
      <c r="AG1277" s="222" t="str">
        <f>IF($W1277=AG$3,$AB1277,IF(NOT($W1277=0),"",SUMIFS('Val-Vol (2)'!AG$4:AG$1858,'Val-Vol (2)'!$A$4:$A$1858,$D1277,'Val-Vol (2)'!$V$4:$V$1858,$V1277)/SUMIFS('Comp2016-2017 (3)'!$G$5:$G$289,'Comp2016-2017 (3)'!$A$5:$A$289,$D1277,'Comp2016-2017 (3)'!$R$5:$R$289,$V1277)*$AB1277))</f>
        <v/>
      </c>
      <c r="AH1277" s="222" t="str">
        <f>IF($W1277=AH$3,$AB1277,IF(NOT($W1277=0),"",SUMIFS('Val-Vol (2)'!AH$4:AH$1858,'Val-Vol (2)'!$A$4:$A$1858,$D1277,'Val-Vol (2)'!$V$4:$V$1858,$V1277)/SUMIFS('Comp2016-2017 (3)'!$G$5:$G$289,'Comp2016-2017 (3)'!$A$5:$A$289,$D1277,'Comp2016-2017 (3)'!$R$5:$R$289,$V1277)*$AB1277))</f>
        <v/>
      </c>
      <c r="AI1277" s="222" t="str">
        <f>IF($W1277=AI$3,$AB1277,IF(NOT($W1277=0),"",SUMIFS('Val-Vol (2)'!AI$4:AI$1858,'Val-Vol (2)'!$A$4:$A$1858,$D1277,'Val-Vol (2)'!$V$4:$V$1858,$V1277)/SUMIFS('Comp2016-2017 (3)'!$G$5:$G$289,'Comp2016-2017 (3)'!$A$5:$A$289,$D1277,'Comp2016-2017 (3)'!$R$5:$R$289,$V1277)*$AB1277))</f>
        <v/>
      </c>
      <c r="AJ1277" s="222" t="str">
        <f>IF($W1277=AJ$3,$AB1277,IF(NOT($W1277=0),"",SUMIFS('Val-Vol (2)'!AJ$4:AJ$1858,'Val-Vol (2)'!$A$4:$A$1858,$D1277,'Val-Vol (2)'!$V$4:$V$1858,$V1277)/SUMIFS('Comp2016-2017 (3)'!$G$5:$G$289,'Comp2016-2017 (3)'!$A$5:$A$289,$D1277,'Comp2016-2017 (3)'!$R$5:$R$289,$V1277)*$AB1277))</f>
        <v/>
      </c>
      <c r="AK1277" s="222">
        <f t="shared" si="154"/>
        <v>0</v>
      </c>
      <c r="AL1277" s="212" t="str">
        <f t="shared" si="155"/>
        <v/>
      </c>
      <c r="AM1277" s="212" t="str">
        <f>VLOOKUP(A1277,'Table corresp.'!$M$4:$U$63,8,FALSE)</f>
        <v>Production intermédiaire</v>
      </c>
      <c r="AN1277" s="212" t="str">
        <f>VLOOKUP(D1277,'Table corresp.'!$M$4:$U$63,9,FALSE)</f>
        <v xml:space="preserve">Mise en œuvre </v>
      </c>
    </row>
    <row r="1278" spans="1:40" x14ac:dyDescent="0.25">
      <c r="A1278" t="s">
        <v>83</v>
      </c>
      <c r="B1278" t="str">
        <f>VLOOKUP(LEFT(A1278,3),'Table corresp.'!$A$4:$D$63,3,FALSE)</f>
        <v>Transformation</v>
      </c>
      <c r="C1278" t="str">
        <f>VLOOKUP(A1278,'Table corresp.'!$M$4:$P$63,4,FALSE)</f>
        <v>Production et transformation de produits bois</v>
      </c>
      <c r="D1278" t="s">
        <v>26</v>
      </c>
      <c r="E1278" t="str">
        <f>VLOOKUP(LEFT(D1278,3),'Table corresp.'!$A$4:$D$63,4,FALSE)</f>
        <v>Transformation</v>
      </c>
      <c r="F1278" t="str">
        <f t="shared" si="157"/>
        <v xml:space="preserve">14  - 59 </v>
      </c>
      <c r="G1278" s="213">
        <v>404.22923859856849</v>
      </c>
      <c r="H1278" s="213">
        <v>1131.2933031286614</v>
      </c>
      <c r="I1278" s="213">
        <v>1535.5225417006511</v>
      </c>
      <c r="J1278" s="215">
        <v>5.7538870069154093</v>
      </c>
      <c r="K1278" s="215">
        <v>6.078147931287659</v>
      </c>
      <c r="L1278" s="215">
        <v>11.832034938203069</v>
      </c>
      <c r="M1278" s="215"/>
      <c r="N1278" s="215"/>
      <c r="O1278" s="215"/>
      <c r="P1278" s="215"/>
      <c r="Q1278" s="215"/>
      <c r="R1278" s="215"/>
      <c r="S1278" s="213"/>
      <c r="T1278" s="212">
        <f>VLOOKUP(A1278,'Groupe de branches'!$Z$27:$AM$86,14,FALSE)</f>
        <v>0</v>
      </c>
      <c r="U1278" s="212">
        <f>VLOOKUP(D1278,'Groupe de branches'!$Z$27:$AM$86,14,FALSE)</f>
        <v>0</v>
      </c>
      <c r="V1278" s="212">
        <v>2019</v>
      </c>
      <c r="W1278" s="212" t="str">
        <f>VLOOKUP(D1278,'Table corresp.'!$M$4:$S$63,7,FALSE)</f>
        <v>Construction</v>
      </c>
      <c r="X1278" s="228">
        <f>IFERROR(G1278/SUMIFS('Comp2016-2017 (3)'!$I$5:$I$289,'Comp2016-2017 (3)'!$A$5:$A$289,A1278,'Comp2016-2017 (3)'!$R$5:$R$289,V1278),0)</f>
        <v>3.9248538768096594E-3</v>
      </c>
      <c r="Y1278" s="214" t="e">
        <f>IF(RIGHT(F1278,3)="Exp",VLOOKUP(F1278,#REF!,2,FALSE),VLOOKUP(F1278,#REF!,9,FALSE))</f>
        <v>#REF!</v>
      </c>
      <c r="Z1278" s="225" t="str">
        <f t="shared" si="156"/>
        <v/>
      </c>
      <c r="AA1278" s="225" t="e">
        <f t="shared" si="153"/>
        <v>#VALUE!</v>
      </c>
      <c r="AB1278" s="222">
        <f>IFERROR(SUMIFS('Comp2016-2017 (3)'!$G$5:$G$289,'Comp2016-2017 (3)'!$A$5:$A$289,A1278,'Comp2016-2017 (3)'!$R$5:$R$289,V1278)*AA1278/SUMIFS($AA$4:$AA$1858,$A$4:$A$1858,A1278,$V$4:$V$1858,V1278),0)</f>
        <v>0</v>
      </c>
      <c r="AC1278" s="222" t="str">
        <f>IF($W1278=AC$3,$AB1278,IF(NOT($W1278=0),"",SUMIFS('Val-Vol (2)'!AC$4:AC$1858,'Val-Vol (2)'!$A$4:$A$1858,$D1278,'Val-Vol (2)'!$V$4:$V$1858,$V1278)/SUMIFS('Comp2016-2017 (3)'!$G$5:$G$289,'Comp2016-2017 (3)'!$A$5:$A$289,$D1278,'Comp2016-2017 (3)'!$R$5:$R$289,$V1278)*$AB1278))</f>
        <v/>
      </c>
      <c r="AD1278" s="222">
        <f>IF($W1278=AD$3,$AB1278,IF(NOT($W1278=0),"",SUMIFS('Val-Vol (2)'!AD$4:AD$1858,'Val-Vol (2)'!$A$4:$A$1858,$D1278,'Val-Vol (2)'!$V$4:$V$1858,$V1278)/SUMIFS('Comp2016-2017 (3)'!$G$5:$G$289,'Comp2016-2017 (3)'!$A$5:$A$289,$D1278,'Comp2016-2017 (3)'!$R$5:$R$289,$V1278)*$AB1278))</f>
        <v>0</v>
      </c>
      <c r="AE1278" s="222" t="str">
        <f>IF($W1278=AE$3,$AB1278,IF(NOT($W1278=0),"",SUMIFS('Val-Vol (2)'!AE$4:AE$1858,'Val-Vol (2)'!$A$4:$A$1858,$D1278,'Val-Vol (2)'!$V$4:$V$1858,$V1278)/SUMIFS('Comp2016-2017 (3)'!$G$5:$G$289,'Comp2016-2017 (3)'!$A$5:$A$289,$D1278,'Comp2016-2017 (3)'!$R$5:$R$289,$V1278)*$AB1278))</f>
        <v/>
      </c>
      <c r="AF1278" s="222" t="str">
        <f>IF($W1278=AF$3,$AB1278,IF(NOT($W1278=0),"",SUMIFS('Val-Vol (2)'!AF$4:AF$1858,'Val-Vol (2)'!$A$4:$A$1858,$D1278,'Val-Vol (2)'!$V$4:$V$1858,$V1278)/SUMIFS('Comp2016-2017 (3)'!$G$5:$G$289,'Comp2016-2017 (3)'!$A$5:$A$289,$D1278,'Comp2016-2017 (3)'!$R$5:$R$289,$V1278)*$AB1278))</f>
        <v/>
      </c>
      <c r="AG1278" s="222" t="str">
        <f>IF($W1278=AG$3,$AB1278,IF(NOT($W1278=0),"",SUMIFS('Val-Vol (2)'!AG$4:AG$1858,'Val-Vol (2)'!$A$4:$A$1858,$D1278,'Val-Vol (2)'!$V$4:$V$1858,$V1278)/SUMIFS('Comp2016-2017 (3)'!$G$5:$G$289,'Comp2016-2017 (3)'!$A$5:$A$289,$D1278,'Comp2016-2017 (3)'!$R$5:$R$289,$V1278)*$AB1278))</f>
        <v/>
      </c>
      <c r="AH1278" s="222" t="str">
        <f>IF($W1278=AH$3,$AB1278,IF(NOT($W1278=0),"",SUMIFS('Val-Vol (2)'!AH$4:AH$1858,'Val-Vol (2)'!$A$4:$A$1858,$D1278,'Val-Vol (2)'!$V$4:$V$1858,$V1278)/SUMIFS('Comp2016-2017 (3)'!$G$5:$G$289,'Comp2016-2017 (3)'!$A$5:$A$289,$D1278,'Comp2016-2017 (3)'!$R$5:$R$289,$V1278)*$AB1278))</f>
        <v/>
      </c>
      <c r="AI1278" s="222" t="str">
        <f>IF($W1278=AI$3,$AB1278,IF(NOT($W1278=0),"",SUMIFS('Val-Vol (2)'!AI$4:AI$1858,'Val-Vol (2)'!$A$4:$A$1858,$D1278,'Val-Vol (2)'!$V$4:$V$1858,$V1278)/SUMIFS('Comp2016-2017 (3)'!$G$5:$G$289,'Comp2016-2017 (3)'!$A$5:$A$289,$D1278,'Comp2016-2017 (3)'!$R$5:$R$289,$V1278)*$AB1278))</f>
        <v/>
      </c>
      <c r="AJ1278" s="222" t="str">
        <f>IF($W1278=AJ$3,$AB1278,IF(NOT($W1278=0),"",SUMIFS('Val-Vol (2)'!AJ$4:AJ$1858,'Val-Vol (2)'!$A$4:$A$1858,$D1278,'Val-Vol (2)'!$V$4:$V$1858,$V1278)/SUMIFS('Comp2016-2017 (3)'!$G$5:$G$289,'Comp2016-2017 (3)'!$A$5:$A$289,$D1278,'Comp2016-2017 (3)'!$R$5:$R$289,$V1278)*$AB1278))</f>
        <v/>
      </c>
      <c r="AK1278" s="222">
        <f t="shared" si="154"/>
        <v>0</v>
      </c>
      <c r="AL1278" s="212" t="str">
        <f t="shared" si="155"/>
        <v/>
      </c>
      <c r="AM1278" s="212" t="str">
        <f>VLOOKUP(A1278,'Table corresp.'!$M$4:$U$63,8,FALSE)</f>
        <v>Production intermédiaire</v>
      </c>
      <c r="AN1278" s="212" t="str">
        <f>VLOOKUP(D1278,'Table corresp.'!$M$4:$U$63,9,FALSE)</f>
        <v xml:space="preserve">Mise en œuvre </v>
      </c>
    </row>
    <row r="1279" spans="1:40" x14ac:dyDescent="0.25">
      <c r="A1279" t="s">
        <v>83</v>
      </c>
      <c r="B1279" t="str">
        <f>VLOOKUP(LEFT(A1279,3),'Table corresp.'!$A$4:$D$63,3,FALSE)</f>
        <v>Transformation</v>
      </c>
      <c r="C1279" t="str">
        <f>VLOOKUP(A1279,'Table corresp.'!$M$4:$P$63,4,FALSE)</f>
        <v>Production et transformation de produits bois</v>
      </c>
      <c r="D1279" t="s">
        <v>54</v>
      </c>
      <c r="E1279" t="str">
        <f>VLOOKUP(LEFT(D1279,3),'Table corresp.'!$A$4:$D$63,4,FALSE)</f>
        <v>Consommation finale</v>
      </c>
      <c r="F1279" t="str">
        <f t="shared" si="157"/>
        <v>14  - Con</v>
      </c>
      <c r="G1279" s="213">
        <v>237.49586118120197</v>
      </c>
      <c r="H1279" s="213">
        <v>966.83242670895538</v>
      </c>
      <c r="I1279" s="213">
        <v>1204.3282878609425</v>
      </c>
      <c r="J1279" s="215">
        <v>2.7044542440014245</v>
      </c>
      <c r="K1279" s="215">
        <v>3.6566259946318884</v>
      </c>
      <c r="L1279" s="215">
        <v>6.3610802386333134</v>
      </c>
      <c r="M1279" s="215"/>
      <c r="N1279" s="215"/>
      <c r="O1279" s="215"/>
      <c r="P1279" s="215"/>
      <c r="Q1279" s="215"/>
      <c r="R1279" s="215"/>
      <c r="S1279" s="213"/>
      <c r="T1279" s="212">
        <f>VLOOKUP(A1279,'Groupe de branches'!$Z$27:$AM$86,14,FALSE)</f>
        <v>0</v>
      </c>
      <c r="U1279" s="212">
        <f>VLOOKUP(D1279,'Groupe de branches'!$Z$27:$AM$86,14,FALSE)</f>
        <v>0</v>
      </c>
      <c r="V1279" s="212">
        <v>2019</v>
      </c>
      <c r="W1279" s="212" t="str">
        <f>VLOOKUP(D1279,'Table corresp.'!$M$4:$S$63,7,FALSE)</f>
        <v>Consommation finale</v>
      </c>
      <c r="X1279" s="228">
        <f>IFERROR(G1279/SUMIFS('Comp2016-2017 (3)'!$I$5:$I$289,'Comp2016-2017 (3)'!$A$5:$A$289,A1279,'Comp2016-2017 (3)'!$R$5:$R$289,V1279),0)</f>
        <v>2.3059602385887145E-3</v>
      </c>
      <c r="Y1279" s="214" t="e">
        <f>IF(RIGHT(F1279,3)="Exp",VLOOKUP(F1279,#REF!,2,FALSE),VLOOKUP(F1279,#REF!,9,FALSE))</f>
        <v>#REF!</v>
      </c>
      <c r="Z1279" s="225" t="str">
        <f t="shared" si="156"/>
        <v/>
      </c>
      <c r="AA1279" s="225" t="e">
        <f t="shared" si="153"/>
        <v>#VALUE!</v>
      </c>
      <c r="AB1279" s="222">
        <f>IFERROR(SUMIFS('Comp2016-2017 (3)'!$G$5:$G$289,'Comp2016-2017 (3)'!$A$5:$A$289,A1279,'Comp2016-2017 (3)'!$R$5:$R$289,V1279)*AA1279/SUMIFS($AA$4:$AA$1858,$A$4:$A$1858,A1279,$V$4:$V$1858,V1279),0)</f>
        <v>0</v>
      </c>
      <c r="AC1279" s="222" t="str">
        <f>IF($W1279=AC$3,$AB1279,IF(NOT($W1279=0),"",SUMIFS('Val-Vol (2)'!AC$4:AC$1858,'Val-Vol (2)'!$A$4:$A$1858,$D1279,'Val-Vol (2)'!$V$4:$V$1858,$V1279)/SUMIFS('Comp2016-2017 (3)'!$G$5:$G$289,'Comp2016-2017 (3)'!$A$5:$A$289,$D1279,'Comp2016-2017 (3)'!$R$5:$R$289,$V1279)*$AB1279))</f>
        <v/>
      </c>
      <c r="AD1279" s="222" t="str">
        <f>IF($W1279=AD$3,$AB1279,IF(NOT($W1279=0),"",SUMIFS('Val-Vol (2)'!AD$4:AD$1858,'Val-Vol (2)'!$A$4:$A$1858,$D1279,'Val-Vol (2)'!$V$4:$V$1858,$V1279)/SUMIFS('Comp2016-2017 (3)'!$G$5:$G$289,'Comp2016-2017 (3)'!$A$5:$A$289,$D1279,'Comp2016-2017 (3)'!$R$5:$R$289,$V1279)*$AB1279))</f>
        <v/>
      </c>
      <c r="AE1279" s="222" t="str">
        <f>IF($W1279=AE$3,$AB1279,IF(NOT($W1279=0),"",SUMIFS('Val-Vol (2)'!AE$4:AE$1858,'Val-Vol (2)'!$A$4:$A$1858,$D1279,'Val-Vol (2)'!$V$4:$V$1858,$V1279)/SUMIFS('Comp2016-2017 (3)'!$G$5:$G$289,'Comp2016-2017 (3)'!$A$5:$A$289,$D1279,'Comp2016-2017 (3)'!$R$5:$R$289,$V1279)*$AB1279))</f>
        <v/>
      </c>
      <c r="AF1279" s="222" t="str">
        <f>IF($W1279=AF$3,$AB1279,IF(NOT($W1279=0),"",SUMIFS('Val-Vol (2)'!AF$4:AF$1858,'Val-Vol (2)'!$A$4:$A$1858,$D1279,'Val-Vol (2)'!$V$4:$V$1858,$V1279)/SUMIFS('Comp2016-2017 (3)'!$G$5:$G$289,'Comp2016-2017 (3)'!$A$5:$A$289,$D1279,'Comp2016-2017 (3)'!$R$5:$R$289,$V1279)*$AB1279))</f>
        <v/>
      </c>
      <c r="AG1279" s="222" t="str">
        <f>IF($W1279=AG$3,$AB1279,IF(NOT($W1279=0),"",SUMIFS('Val-Vol (2)'!AG$4:AG$1858,'Val-Vol (2)'!$A$4:$A$1858,$D1279,'Val-Vol (2)'!$V$4:$V$1858,$V1279)/SUMIFS('Comp2016-2017 (3)'!$G$5:$G$289,'Comp2016-2017 (3)'!$A$5:$A$289,$D1279,'Comp2016-2017 (3)'!$R$5:$R$289,$V1279)*$AB1279))</f>
        <v/>
      </c>
      <c r="AH1279" s="222" t="str">
        <f>IF($W1279=AH$3,$AB1279,IF(NOT($W1279=0),"",SUMIFS('Val-Vol (2)'!AH$4:AH$1858,'Val-Vol (2)'!$A$4:$A$1858,$D1279,'Val-Vol (2)'!$V$4:$V$1858,$V1279)/SUMIFS('Comp2016-2017 (3)'!$G$5:$G$289,'Comp2016-2017 (3)'!$A$5:$A$289,$D1279,'Comp2016-2017 (3)'!$R$5:$R$289,$V1279)*$AB1279))</f>
        <v/>
      </c>
      <c r="AI1279" s="222" t="str">
        <f>IF($W1279=AI$3,$AB1279,IF(NOT($W1279=0),"",SUMIFS('Val-Vol (2)'!AI$4:AI$1858,'Val-Vol (2)'!$A$4:$A$1858,$D1279,'Val-Vol (2)'!$V$4:$V$1858,$V1279)/SUMIFS('Comp2016-2017 (3)'!$G$5:$G$289,'Comp2016-2017 (3)'!$A$5:$A$289,$D1279,'Comp2016-2017 (3)'!$R$5:$R$289,$V1279)*$AB1279))</f>
        <v/>
      </c>
      <c r="AJ1279" s="222">
        <f>IF($W1279=AJ$3,$AB1279,IF(NOT($W1279=0),"",SUMIFS('Val-Vol (2)'!AJ$4:AJ$1858,'Val-Vol (2)'!$A$4:$A$1858,$D1279,'Val-Vol (2)'!$V$4:$V$1858,$V1279)/SUMIFS('Comp2016-2017 (3)'!$G$5:$G$289,'Comp2016-2017 (3)'!$A$5:$A$289,$D1279,'Comp2016-2017 (3)'!$R$5:$R$289,$V1279)*$AB1279))</f>
        <v>0</v>
      </c>
      <c r="AK1279" s="222">
        <f t="shared" si="154"/>
        <v>0</v>
      </c>
      <c r="AL1279" s="212" t="str">
        <f t="shared" si="155"/>
        <v/>
      </c>
      <c r="AM1279" s="212" t="str">
        <f>VLOOKUP(A1279,'Table corresp.'!$M$4:$U$63,8,FALSE)</f>
        <v>Production intermédiaire</v>
      </c>
      <c r="AN1279" s="212" t="str">
        <f>VLOOKUP(D1279,'Table corresp.'!$M$4:$U$63,9,FALSE)</f>
        <v>Consommation finale française</v>
      </c>
    </row>
    <row r="1280" spans="1:40" x14ac:dyDescent="0.25">
      <c r="A1280" t="s">
        <v>83</v>
      </c>
      <c r="B1280" t="str">
        <f>VLOOKUP(LEFT(A1280,3),'Table corresp.'!$A$4:$D$63,3,FALSE)</f>
        <v>Transformation</v>
      </c>
      <c r="C1280" t="str">
        <f>VLOOKUP(A1280,'Table corresp.'!$M$4:$P$63,4,FALSE)</f>
        <v>Production et transformation de produits bois</v>
      </c>
      <c r="D1280" t="s">
        <v>53</v>
      </c>
      <c r="E1280" t="str">
        <f>VLOOKUP(LEFT(D1280,3),'Table corresp.'!$A$4:$D$63,4,FALSE)</f>
        <v>Exportation</v>
      </c>
      <c r="F1280" t="str">
        <f t="shared" si="157"/>
        <v>14  - Exp</v>
      </c>
      <c r="G1280" s="213">
        <v>76686.603995383222</v>
      </c>
      <c r="H1280" s="213">
        <v>0</v>
      </c>
      <c r="I1280" s="213">
        <v>76686.603999999978</v>
      </c>
      <c r="J1280" s="215">
        <v>558.42539078387426</v>
      </c>
      <c r="K1280" s="215">
        <v>0</v>
      </c>
      <c r="L1280" s="215">
        <v>558.42539078387426</v>
      </c>
      <c r="M1280" s="215"/>
      <c r="N1280" s="215"/>
      <c r="O1280" s="215"/>
      <c r="P1280" s="215"/>
      <c r="Q1280" s="215"/>
      <c r="R1280" s="215"/>
      <c r="S1280" s="213"/>
      <c r="T1280" s="212">
        <f>VLOOKUP(A1280,'Groupe de branches'!$Z$27:$AM$86,14,FALSE)</f>
        <v>0</v>
      </c>
      <c r="U1280" s="212">
        <f>VLOOKUP(D1280,'Groupe de branches'!$Z$27:$AM$86,14,FALSE)</f>
        <v>0</v>
      </c>
      <c r="V1280" s="212">
        <v>2019</v>
      </c>
      <c r="W1280" s="212" t="str">
        <f>VLOOKUP(D1280,'Table corresp.'!$M$4:$S$63,7,FALSE)</f>
        <v>Exportation</v>
      </c>
      <c r="X1280" s="228">
        <f>IFERROR(G1280/SUMIFS('Comp2016-2017 (3)'!$I$5:$I$289,'Comp2016-2017 (3)'!$A$5:$A$289,A1280,'Comp2016-2017 (3)'!$R$5:$R$289,V1280),0)</f>
        <v>0.744586700442883</v>
      </c>
      <c r="Y1280" s="214" t="e">
        <f>IF(RIGHT(F1280,3)="Exp",VLOOKUP(F1280,#REF!,2,FALSE),VLOOKUP(F1280,#REF!,9,FALSE))</f>
        <v>#REF!</v>
      </c>
      <c r="Z1280" s="225" t="str">
        <f t="shared" si="156"/>
        <v/>
      </c>
      <c r="AA1280" s="225" t="e">
        <f t="shared" si="153"/>
        <v>#VALUE!</v>
      </c>
      <c r="AB1280" s="222">
        <f>IFERROR(SUMIFS('Comp2016-2017 (3)'!$G$5:$G$289,'Comp2016-2017 (3)'!$A$5:$A$289,A1280,'Comp2016-2017 (3)'!$R$5:$R$289,V1280)*AA1280/SUMIFS($AA$4:$AA$1858,$A$4:$A$1858,A1280,$V$4:$V$1858,V1280),0)</f>
        <v>0</v>
      </c>
      <c r="AC1280" s="222">
        <f>IF($W1280=AC$3,$AB1280,IF(NOT($W1280=0),"",SUMIFS('Val-Vol (2)'!AC$4:AC$1858,'Val-Vol (2)'!$A$4:$A$1858,$D1280,'Val-Vol (2)'!$V$4:$V$1858,$V1280)/SUMIFS('Comp2016-2017 (3)'!$G$5:$G$289,'Comp2016-2017 (3)'!$A$5:$A$289,$D1280,'Comp2016-2017 (3)'!$R$5:$R$289,$V1280)*$AB1280))</f>
        <v>0</v>
      </c>
      <c r="AD1280" s="222" t="str">
        <f>IF($W1280=AD$3,$AB1280,IF(NOT($W1280=0),"",SUMIFS('Val-Vol (2)'!AD$4:AD$1858,'Val-Vol (2)'!$A$4:$A$1858,$D1280,'Val-Vol (2)'!$V$4:$V$1858,$V1280)/SUMIFS('Comp2016-2017 (3)'!$G$5:$G$289,'Comp2016-2017 (3)'!$A$5:$A$289,$D1280,'Comp2016-2017 (3)'!$R$5:$R$289,$V1280)*$AB1280))</f>
        <v/>
      </c>
      <c r="AE1280" s="222" t="str">
        <f>IF($W1280=AE$3,$AB1280,IF(NOT($W1280=0),"",SUMIFS('Val-Vol (2)'!AE$4:AE$1858,'Val-Vol (2)'!$A$4:$A$1858,$D1280,'Val-Vol (2)'!$V$4:$V$1858,$V1280)/SUMIFS('Comp2016-2017 (3)'!$G$5:$G$289,'Comp2016-2017 (3)'!$A$5:$A$289,$D1280,'Comp2016-2017 (3)'!$R$5:$R$289,$V1280)*$AB1280))</f>
        <v/>
      </c>
      <c r="AF1280" s="222" t="str">
        <f>IF($W1280=AF$3,$AB1280,IF(NOT($W1280=0),"",SUMIFS('Val-Vol (2)'!AF$4:AF$1858,'Val-Vol (2)'!$A$4:$A$1858,$D1280,'Val-Vol (2)'!$V$4:$V$1858,$V1280)/SUMIFS('Comp2016-2017 (3)'!$G$5:$G$289,'Comp2016-2017 (3)'!$A$5:$A$289,$D1280,'Comp2016-2017 (3)'!$R$5:$R$289,$V1280)*$AB1280))</f>
        <v/>
      </c>
      <c r="AG1280" s="222" t="str">
        <f>IF($W1280=AG$3,$AB1280,IF(NOT($W1280=0),"",SUMIFS('Val-Vol (2)'!AG$4:AG$1858,'Val-Vol (2)'!$A$4:$A$1858,$D1280,'Val-Vol (2)'!$V$4:$V$1858,$V1280)/SUMIFS('Comp2016-2017 (3)'!$G$5:$G$289,'Comp2016-2017 (3)'!$A$5:$A$289,$D1280,'Comp2016-2017 (3)'!$R$5:$R$289,$V1280)*$AB1280))</f>
        <v/>
      </c>
      <c r="AH1280" s="222" t="str">
        <f>IF($W1280=AH$3,$AB1280,IF(NOT($W1280=0),"",SUMIFS('Val-Vol (2)'!AH$4:AH$1858,'Val-Vol (2)'!$A$4:$A$1858,$D1280,'Val-Vol (2)'!$V$4:$V$1858,$V1280)/SUMIFS('Comp2016-2017 (3)'!$G$5:$G$289,'Comp2016-2017 (3)'!$A$5:$A$289,$D1280,'Comp2016-2017 (3)'!$R$5:$R$289,$V1280)*$AB1280))</f>
        <v/>
      </c>
      <c r="AI1280" s="222" t="str">
        <f>IF($W1280=AI$3,$AB1280,IF(NOT($W1280=0),"",SUMIFS('Val-Vol (2)'!AI$4:AI$1858,'Val-Vol (2)'!$A$4:$A$1858,$D1280,'Val-Vol (2)'!$V$4:$V$1858,$V1280)/SUMIFS('Comp2016-2017 (3)'!$G$5:$G$289,'Comp2016-2017 (3)'!$A$5:$A$289,$D1280,'Comp2016-2017 (3)'!$R$5:$R$289,$V1280)*$AB1280))</f>
        <v/>
      </c>
      <c r="AJ1280" s="222" t="str">
        <f>IF($W1280=AJ$3,$AB1280,IF(NOT($W1280=0),"",SUMIFS('Val-Vol (2)'!AJ$4:AJ$1858,'Val-Vol (2)'!$A$4:$A$1858,$D1280,'Val-Vol (2)'!$V$4:$V$1858,$V1280)/SUMIFS('Comp2016-2017 (3)'!$G$5:$G$289,'Comp2016-2017 (3)'!$A$5:$A$289,$D1280,'Comp2016-2017 (3)'!$R$5:$R$289,$V1280)*$AB1280))</f>
        <v/>
      </c>
      <c r="AK1280" s="222">
        <f t="shared" si="154"/>
        <v>0</v>
      </c>
      <c r="AL1280" s="212" t="str">
        <f t="shared" si="155"/>
        <v/>
      </c>
      <c r="AM1280" s="212" t="str">
        <f>VLOOKUP(A1280,'Table corresp.'!$M$4:$U$63,8,FALSE)</f>
        <v>Production intermédiaire</v>
      </c>
      <c r="AN1280" s="212" t="str">
        <f>VLOOKUP(D1280,'Table corresp.'!$M$4:$U$63,9,FALSE)</f>
        <v>Exportation</v>
      </c>
    </row>
    <row r="1281" spans="1:40" x14ac:dyDescent="0.25">
      <c r="A1281" t="s">
        <v>9</v>
      </c>
      <c r="B1281" t="str">
        <f>VLOOKUP(LEFT(A1281,3),'Table corresp.'!$A$4:$D$63,3,FALSE)</f>
        <v>Transformation</v>
      </c>
      <c r="C1281" t="str">
        <f>VLOOKUP(A1281,'Table corresp.'!$M$4:$P$63,4,FALSE)</f>
        <v>Production et transformation de produits bois</v>
      </c>
      <c r="D1281" t="s">
        <v>13</v>
      </c>
      <c r="E1281" t="str">
        <f>VLOOKUP(LEFT(D1281,3),'Table corresp.'!$A$4:$D$63,4,FALSE)</f>
        <v>Transformation</v>
      </c>
      <c r="F1281" t="str">
        <f t="shared" si="157"/>
        <v xml:space="preserve">15  - 20 </v>
      </c>
      <c r="G1281" s="213">
        <v>63242.09367876537</v>
      </c>
      <c r="H1281" s="213">
        <v>0</v>
      </c>
      <c r="I1281" s="213">
        <v>63242.09367876537</v>
      </c>
      <c r="J1281" s="215">
        <v>476.45889222894908</v>
      </c>
      <c r="K1281" s="215">
        <v>0</v>
      </c>
      <c r="L1281" s="215">
        <v>476.45889222894908</v>
      </c>
      <c r="M1281" s="215"/>
      <c r="N1281" s="215"/>
      <c r="O1281" s="215"/>
      <c r="P1281" s="215"/>
      <c r="Q1281" s="215"/>
      <c r="R1281" s="215"/>
      <c r="S1281" s="213"/>
      <c r="T1281" s="212">
        <f>VLOOKUP(A1281,'Groupe de branches'!$Z$27:$AM$86,14,FALSE)</f>
        <v>0</v>
      </c>
      <c r="U1281" s="212">
        <f>VLOOKUP(D1281,'Groupe de branches'!$Z$27:$AM$86,14,FALSE)</f>
        <v>0</v>
      </c>
      <c r="V1281" s="212">
        <v>2019</v>
      </c>
      <c r="W1281" s="212">
        <f>VLOOKUP(D1281,'Table corresp.'!$M$4:$S$63,7,FALSE)</f>
        <v>0</v>
      </c>
      <c r="X1281" s="228">
        <f>IFERROR(G1281/SUMIFS('Comp2016-2017 (3)'!$I$5:$I$289,'Comp2016-2017 (3)'!$A$5:$A$289,A1281,'Comp2016-2017 (3)'!$R$5:$R$289,V1281),0)</f>
        <v>0.27806630137616883</v>
      </c>
      <c r="Y1281" s="214" t="e">
        <f>IF(RIGHT(F1281,3)="Exp",VLOOKUP(F1281,#REF!,2,FALSE),VLOOKUP(F1281,#REF!,9,FALSE))</f>
        <v>#REF!</v>
      </c>
      <c r="Z1281" s="225" t="str">
        <f t="shared" si="156"/>
        <v/>
      </c>
      <c r="AA1281" s="225" t="e">
        <f t="shared" si="153"/>
        <v>#VALUE!</v>
      </c>
      <c r="AB1281" s="222">
        <f>IFERROR(SUMIFS('Comp2016-2017 (3)'!$G$5:$G$289,'Comp2016-2017 (3)'!$A$5:$A$289,A1281,'Comp2016-2017 (3)'!$R$5:$R$289,V1281)*AA1281/SUMIFS($AA$4:$AA$1858,$A$4:$A$1858,A1281,$V$4:$V$1858,V1281),0)</f>
        <v>0</v>
      </c>
      <c r="AC1281" s="222">
        <f>IF($W1281=AC$3,$AB1281,IF(NOT($W1281=0),"",SUMIFS('Val-Vol (2)'!AC$4:AC$1858,'Val-Vol (2)'!$A$4:$A$1858,$D1281,'Val-Vol (2)'!$V$4:$V$1858,$V1281)/SUMIFS('Comp2016-2017 (3)'!$G$5:$G$289,'Comp2016-2017 (3)'!$A$5:$A$289,$D1281,'Comp2016-2017 (3)'!$R$5:$R$289,$V1281)*$AB1281))</f>
        <v>0</v>
      </c>
      <c r="AD1281" s="222">
        <f>IF($W1281=AD$3,$AB1281,IF(NOT($W1281=0),"",SUMIFS('Val-Vol (2)'!AD$4:AD$1858,'Val-Vol (2)'!$A$4:$A$1858,$D1281,'Val-Vol (2)'!$V$4:$V$1858,$V1281)/SUMIFS('Comp2016-2017 (3)'!$G$5:$G$289,'Comp2016-2017 (3)'!$A$5:$A$289,$D1281,'Comp2016-2017 (3)'!$R$5:$R$289,$V1281)*$AB1281))</f>
        <v>0</v>
      </c>
      <c r="AE1281" s="222">
        <f>IF($W1281=AE$3,$AB1281,IF(NOT($W1281=0),"",SUMIFS('Val-Vol (2)'!AE$4:AE$1858,'Val-Vol (2)'!$A$4:$A$1858,$D1281,'Val-Vol (2)'!$V$4:$V$1858,$V1281)/SUMIFS('Comp2016-2017 (3)'!$G$5:$G$289,'Comp2016-2017 (3)'!$A$5:$A$289,$D1281,'Comp2016-2017 (3)'!$R$5:$R$289,$V1281)*$AB1281))</f>
        <v>0</v>
      </c>
      <c r="AF1281" s="222">
        <f>IF($W1281=AF$3,$AB1281,IF(NOT($W1281=0),"",SUMIFS('Val-Vol (2)'!AF$4:AF$1858,'Val-Vol (2)'!$A$4:$A$1858,$D1281,'Val-Vol (2)'!$V$4:$V$1858,$V1281)/SUMIFS('Comp2016-2017 (3)'!$G$5:$G$289,'Comp2016-2017 (3)'!$A$5:$A$289,$D1281,'Comp2016-2017 (3)'!$R$5:$R$289,$V1281)*$AB1281))</f>
        <v>0</v>
      </c>
      <c r="AG1281" s="222">
        <f>IF($W1281=AG$3,$AB1281,IF(NOT($W1281=0),"",SUMIFS('Val-Vol (2)'!AG$4:AG$1858,'Val-Vol (2)'!$A$4:$A$1858,$D1281,'Val-Vol (2)'!$V$4:$V$1858,$V1281)/SUMIFS('Comp2016-2017 (3)'!$G$5:$G$289,'Comp2016-2017 (3)'!$A$5:$A$289,$D1281,'Comp2016-2017 (3)'!$R$5:$R$289,$V1281)*$AB1281))</f>
        <v>0</v>
      </c>
      <c r="AH1281" s="222">
        <f>IF($W1281=AH$3,$AB1281,IF(NOT($W1281=0),"",SUMIFS('Val-Vol (2)'!AH$4:AH$1858,'Val-Vol (2)'!$A$4:$A$1858,$D1281,'Val-Vol (2)'!$V$4:$V$1858,$V1281)/SUMIFS('Comp2016-2017 (3)'!$G$5:$G$289,'Comp2016-2017 (3)'!$A$5:$A$289,$D1281,'Comp2016-2017 (3)'!$R$5:$R$289,$V1281)*$AB1281))</f>
        <v>0</v>
      </c>
      <c r="AI1281" s="222">
        <f>IF($W1281=AI$3,$AB1281,IF(NOT($W1281=0),"",SUMIFS('Val-Vol (2)'!AI$4:AI$1858,'Val-Vol (2)'!$A$4:$A$1858,$D1281,'Val-Vol (2)'!$V$4:$V$1858,$V1281)/SUMIFS('Comp2016-2017 (3)'!$G$5:$G$289,'Comp2016-2017 (3)'!$A$5:$A$289,$D1281,'Comp2016-2017 (3)'!$R$5:$R$289,$V1281)*$AB1281))</f>
        <v>0</v>
      </c>
      <c r="AJ1281" s="222">
        <f>IF($W1281=AJ$3,$AB1281,IF(NOT($W1281=0),"",SUMIFS('Val-Vol (2)'!AJ$4:AJ$1858,'Val-Vol (2)'!$A$4:$A$1858,$D1281,'Val-Vol (2)'!$V$4:$V$1858,$V1281)/SUMIFS('Comp2016-2017 (3)'!$G$5:$G$289,'Comp2016-2017 (3)'!$A$5:$A$289,$D1281,'Comp2016-2017 (3)'!$R$5:$R$289,$V1281)*$AB1281))</f>
        <v>0</v>
      </c>
      <c r="AK1281" s="222">
        <f t="shared" si="154"/>
        <v>0</v>
      </c>
      <c r="AL1281" s="212" t="str">
        <f t="shared" si="155"/>
        <v/>
      </c>
      <c r="AM1281" s="212" t="str">
        <f>VLOOKUP(A1281,'Table corresp.'!$M$4:$U$63,8,FALSE)</f>
        <v>Production intermédiaire</v>
      </c>
      <c r="AN1281" s="212" t="str">
        <f>VLOOKUP(D1281,'Table corresp.'!$M$4:$U$63,9,FALSE)</f>
        <v>Production intermédiaire</v>
      </c>
    </row>
    <row r="1282" spans="1:40" x14ac:dyDescent="0.25">
      <c r="A1282" t="s">
        <v>9</v>
      </c>
      <c r="B1282" t="str">
        <f>VLOOKUP(LEFT(A1282,3),'Table corresp.'!$A$4:$D$63,3,FALSE)</f>
        <v>Transformation</v>
      </c>
      <c r="C1282" t="str">
        <f>VLOOKUP(A1282,'Table corresp.'!$M$4:$P$63,4,FALSE)</f>
        <v>Production et transformation de produits bois</v>
      </c>
      <c r="D1282" t="s">
        <v>14</v>
      </c>
      <c r="E1282" t="str">
        <f>VLOOKUP(LEFT(D1282,3),'Table corresp.'!$A$4:$D$63,4,FALSE)</f>
        <v>Transformation</v>
      </c>
      <c r="F1282" t="str">
        <f t="shared" si="157"/>
        <v>15  - 20b</v>
      </c>
      <c r="G1282" s="213">
        <v>2374.7366529265983</v>
      </c>
      <c r="H1282" s="213">
        <v>0</v>
      </c>
      <c r="I1282" s="213">
        <v>2374.7366529265983</v>
      </c>
      <c r="J1282" s="215">
        <v>20.027240522580776</v>
      </c>
      <c r="K1282" s="215">
        <v>0</v>
      </c>
      <c r="L1282" s="215">
        <v>20.027240522580776</v>
      </c>
      <c r="M1282" s="215"/>
      <c r="N1282" s="215"/>
      <c r="O1282" s="215"/>
      <c r="P1282" s="215"/>
      <c r="Q1282" s="215"/>
      <c r="R1282" s="215"/>
      <c r="S1282" s="213"/>
      <c r="T1282" s="212">
        <f>VLOOKUP(A1282,'Groupe de branches'!$Z$27:$AM$86,14,FALSE)</f>
        <v>0</v>
      </c>
      <c r="U1282" s="212">
        <f>VLOOKUP(D1282,'Groupe de branches'!$Z$27:$AM$86,14,FALSE)</f>
        <v>0</v>
      </c>
      <c r="V1282" s="212">
        <v>2019</v>
      </c>
      <c r="W1282" s="212">
        <f>VLOOKUP(D1282,'Table corresp.'!$M$4:$S$63,7,FALSE)</f>
        <v>0</v>
      </c>
      <c r="X1282" s="228">
        <f>IFERROR(G1282/SUMIFS('Comp2016-2017 (3)'!$I$5:$I$289,'Comp2016-2017 (3)'!$A$5:$A$289,A1282,'Comp2016-2017 (3)'!$R$5:$R$289,V1282),0)</f>
        <v>1.0441372184416479E-2</v>
      </c>
      <c r="Y1282" s="214" t="e">
        <f>IF(RIGHT(F1282,3)="Exp",VLOOKUP(F1282,#REF!,2,FALSE),VLOOKUP(F1282,#REF!,9,FALSE))</f>
        <v>#REF!</v>
      </c>
      <c r="Z1282" s="225" t="str">
        <f t="shared" si="156"/>
        <v/>
      </c>
      <c r="AA1282" s="225" t="e">
        <f t="shared" si="153"/>
        <v>#VALUE!</v>
      </c>
      <c r="AB1282" s="222">
        <f>IFERROR(SUMIFS('Comp2016-2017 (3)'!$G$5:$G$289,'Comp2016-2017 (3)'!$A$5:$A$289,A1282,'Comp2016-2017 (3)'!$R$5:$R$289,V1282)*AA1282/SUMIFS($AA$4:$AA$1858,$A$4:$A$1858,A1282,$V$4:$V$1858,V1282),0)</f>
        <v>0</v>
      </c>
      <c r="AC1282" s="222">
        <f>IF($W1282=AC$3,$AB1282,IF(NOT($W1282=0),"",SUMIFS('Val-Vol (2)'!AC$4:AC$1858,'Val-Vol (2)'!$A$4:$A$1858,$D1282,'Val-Vol (2)'!$V$4:$V$1858,$V1282)/SUMIFS('Comp2016-2017 (3)'!$G$5:$G$289,'Comp2016-2017 (3)'!$A$5:$A$289,$D1282,'Comp2016-2017 (3)'!$R$5:$R$289,$V1282)*$AB1282))</f>
        <v>0</v>
      </c>
      <c r="AD1282" s="222">
        <f>IF($W1282=AD$3,$AB1282,IF(NOT($W1282=0),"",SUMIFS('Val-Vol (2)'!AD$4:AD$1858,'Val-Vol (2)'!$A$4:$A$1858,$D1282,'Val-Vol (2)'!$V$4:$V$1858,$V1282)/SUMIFS('Comp2016-2017 (3)'!$G$5:$G$289,'Comp2016-2017 (3)'!$A$5:$A$289,$D1282,'Comp2016-2017 (3)'!$R$5:$R$289,$V1282)*$AB1282))</f>
        <v>0</v>
      </c>
      <c r="AE1282" s="222">
        <f>IF($W1282=AE$3,$AB1282,IF(NOT($W1282=0),"",SUMIFS('Val-Vol (2)'!AE$4:AE$1858,'Val-Vol (2)'!$A$4:$A$1858,$D1282,'Val-Vol (2)'!$V$4:$V$1858,$V1282)/SUMIFS('Comp2016-2017 (3)'!$G$5:$G$289,'Comp2016-2017 (3)'!$A$5:$A$289,$D1282,'Comp2016-2017 (3)'!$R$5:$R$289,$V1282)*$AB1282))</f>
        <v>0</v>
      </c>
      <c r="AF1282" s="222">
        <f>IF($W1282=AF$3,$AB1282,IF(NOT($W1282=0),"",SUMIFS('Val-Vol (2)'!AF$4:AF$1858,'Val-Vol (2)'!$A$4:$A$1858,$D1282,'Val-Vol (2)'!$V$4:$V$1858,$V1282)/SUMIFS('Comp2016-2017 (3)'!$G$5:$G$289,'Comp2016-2017 (3)'!$A$5:$A$289,$D1282,'Comp2016-2017 (3)'!$R$5:$R$289,$V1282)*$AB1282))</f>
        <v>0</v>
      </c>
      <c r="AG1282" s="222">
        <f>IF($W1282=AG$3,$AB1282,IF(NOT($W1282=0),"",SUMIFS('Val-Vol (2)'!AG$4:AG$1858,'Val-Vol (2)'!$A$4:$A$1858,$D1282,'Val-Vol (2)'!$V$4:$V$1858,$V1282)/SUMIFS('Comp2016-2017 (3)'!$G$5:$G$289,'Comp2016-2017 (3)'!$A$5:$A$289,$D1282,'Comp2016-2017 (3)'!$R$5:$R$289,$V1282)*$AB1282))</f>
        <v>0</v>
      </c>
      <c r="AH1282" s="222">
        <f>IF($W1282=AH$3,$AB1282,IF(NOT($W1282=0),"",SUMIFS('Val-Vol (2)'!AH$4:AH$1858,'Val-Vol (2)'!$A$4:$A$1858,$D1282,'Val-Vol (2)'!$V$4:$V$1858,$V1282)/SUMIFS('Comp2016-2017 (3)'!$G$5:$G$289,'Comp2016-2017 (3)'!$A$5:$A$289,$D1282,'Comp2016-2017 (3)'!$R$5:$R$289,$V1282)*$AB1282))</f>
        <v>0</v>
      </c>
      <c r="AI1282" s="222">
        <f>IF($W1282=AI$3,$AB1282,IF(NOT($W1282=0),"",SUMIFS('Val-Vol (2)'!AI$4:AI$1858,'Val-Vol (2)'!$A$4:$A$1858,$D1282,'Val-Vol (2)'!$V$4:$V$1858,$V1282)/SUMIFS('Comp2016-2017 (3)'!$G$5:$G$289,'Comp2016-2017 (3)'!$A$5:$A$289,$D1282,'Comp2016-2017 (3)'!$R$5:$R$289,$V1282)*$AB1282))</f>
        <v>0</v>
      </c>
      <c r="AJ1282" s="222">
        <f>IF($W1282=AJ$3,$AB1282,IF(NOT($W1282=0),"",SUMIFS('Val-Vol (2)'!AJ$4:AJ$1858,'Val-Vol (2)'!$A$4:$A$1858,$D1282,'Val-Vol (2)'!$V$4:$V$1858,$V1282)/SUMIFS('Comp2016-2017 (3)'!$G$5:$G$289,'Comp2016-2017 (3)'!$A$5:$A$289,$D1282,'Comp2016-2017 (3)'!$R$5:$R$289,$V1282)*$AB1282))</f>
        <v>0</v>
      </c>
      <c r="AK1282" s="222">
        <f t="shared" si="154"/>
        <v>0</v>
      </c>
      <c r="AL1282" s="212" t="str">
        <f t="shared" si="155"/>
        <v/>
      </c>
      <c r="AM1282" s="212" t="str">
        <f>VLOOKUP(A1282,'Table corresp.'!$M$4:$U$63,8,FALSE)</f>
        <v>Production intermédiaire</v>
      </c>
      <c r="AN1282" s="212" t="str">
        <f>VLOOKUP(D1282,'Table corresp.'!$M$4:$U$63,9,FALSE)</f>
        <v>Production intermédiaire</v>
      </c>
    </row>
    <row r="1283" spans="1:40" x14ac:dyDescent="0.25">
      <c r="A1283" t="s">
        <v>9</v>
      </c>
      <c r="B1283" t="str">
        <f>VLOOKUP(LEFT(A1283,3),'Table corresp.'!$A$4:$D$63,3,FALSE)</f>
        <v>Transformation</v>
      </c>
      <c r="C1283" t="str">
        <f>VLOOKUP(A1283,'Table corresp.'!$M$4:$P$63,4,FALSE)</f>
        <v>Production et transformation de produits bois</v>
      </c>
      <c r="D1283" t="s">
        <v>85</v>
      </c>
      <c r="E1283" t="str">
        <f>VLOOKUP(LEFT(D1283,3),'Table corresp.'!$A$4:$D$63,4,FALSE)</f>
        <v>Transformation</v>
      </c>
      <c r="F1283" t="str">
        <f t="shared" si="157"/>
        <v xml:space="preserve">15  - 29 </v>
      </c>
      <c r="G1283" s="213">
        <v>1017.4212623329148</v>
      </c>
      <c r="H1283" s="213">
        <v>0</v>
      </c>
      <c r="I1283" s="213">
        <v>1017.4212623329148</v>
      </c>
      <c r="J1283" s="215">
        <v>10.358295281031332</v>
      </c>
      <c r="K1283" s="215">
        <v>0</v>
      </c>
      <c r="L1283" s="215">
        <v>10.358295281031332</v>
      </c>
      <c r="M1283" s="215"/>
      <c r="N1283" s="215"/>
      <c r="O1283" s="215"/>
      <c r="P1283" s="215"/>
      <c r="Q1283" s="215"/>
      <c r="R1283" s="215"/>
      <c r="S1283" s="213"/>
      <c r="T1283" s="212">
        <f>VLOOKUP(A1283,'Groupe de branches'!$Z$27:$AM$86,14,FALSE)</f>
        <v>0</v>
      </c>
      <c r="U1283" s="212">
        <f>VLOOKUP(D1283,'Groupe de branches'!$Z$27:$AM$86,14,FALSE)</f>
        <v>0</v>
      </c>
      <c r="V1283" s="212">
        <v>2019</v>
      </c>
      <c r="W1283" s="212" t="str">
        <f>VLOOKUP(D1283,'Table corresp.'!$M$4:$S$63,7,FALSE)</f>
        <v>Construction</v>
      </c>
      <c r="X1283" s="228">
        <f>IFERROR(G1283/SUMIFS('Comp2016-2017 (3)'!$I$5:$I$289,'Comp2016-2017 (3)'!$A$5:$A$289,A1283,'Comp2016-2017 (3)'!$R$5:$R$289,V1283),0)</f>
        <v>4.473453532316856E-3</v>
      </c>
      <c r="Y1283" s="214" t="e">
        <f>IF(RIGHT(F1283,3)="Exp",VLOOKUP(F1283,#REF!,2,FALSE),VLOOKUP(F1283,#REF!,9,FALSE))</f>
        <v>#REF!</v>
      </c>
      <c r="Z1283" s="225" t="str">
        <f t="shared" si="156"/>
        <v/>
      </c>
      <c r="AA1283" s="225" t="e">
        <f t="shared" si="153"/>
        <v>#VALUE!</v>
      </c>
      <c r="AB1283" s="222">
        <f>IFERROR(SUMIFS('Comp2016-2017 (3)'!$G$5:$G$289,'Comp2016-2017 (3)'!$A$5:$A$289,A1283,'Comp2016-2017 (3)'!$R$5:$R$289,V1283)*AA1283/SUMIFS($AA$4:$AA$1858,$A$4:$A$1858,A1283,$V$4:$V$1858,V1283),0)</f>
        <v>0</v>
      </c>
      <c r="AC1283" s="222" t="str">
        <f>IF($W1283=AC$3,$AB1283,IF(NOT($W1283=0),"",SUMIFS('Val-Vol (2)'!AC$4:AC$1858,'Val-Vol (2)'!$A$4:$A$1858,$D1283,'Val-Vol (2)'!$V$4:$V$1858,$V1283)/SUMIFS('Comp2016-2017 (3)'!$G$5:$G$289,'Comp2016-2017 (3)'!$A$5:$A$289,$D1283,'Comp2016-2017 (3)'!$R$5:$R$289,$V1283)*$AB1283))</f>
        <v/>
      </c>
      <c r="AD1283" s="222">
        <f>IF($W1283=AD$3,$AB1283,IF(NOT($W1283=0),"",SUMIFS('Val-Vol (2)'!AD$4:AD$1858,'Val-Vol (2)'!$A$4:$A$1858,$D1283,'Val-Vol (2)'!$V$4:$V$1858,$V1283)/SUMIFS('Comp2016-2017 (3)'!$G$5:$G$289,'Comp2016-2017 (3)'!$A$5:$A$289,$D1283,'Comp2016-2017 (3)'!$R$5:$R$289,$V1283)*$AB1283))</f>
        <v>0</v>
      </c>
      <c r="AE1283" s="222" t="str">
        <f>IF($W1283=AE$3,$AB1283,IF(NOT($W1283=0),"",SUMIFS('Val-Vol (2)'!AE$4:AE$1858,'Val-Vol (2)'!$A$4:$A$1858,$D1283,'Val-Vol (2)'!$V$4:$V$1858,$V1283)/SUMIFS('Comp2016-2017 (3)'!$G$5:$G$289,'Comp2016-2017 (3)'!$A$5:$A$289,$D1283,'Comp2016-2017 (3)'!$R$5:$R$289,$V1283)*$AB1283))</f>
        <v/>
      </c>
      <c r="AF1283" s="222" t="str">
        <f>IF($W1283=AF$3,$AB1283,IF(NOT($W1283=0),"",SUMIFS('Val-Vol (2)'!AF$4:AF$1858,'Val-Vol (2)'!$A$4:$A$1858,$D1283,'Val-Vol (2)'!$V$4:$V$1858,$V1283)/SUMIFS('Comp2016-2017 (3)'!$G$5:$G$289,'Comp2016-2017 (3)'!$A$5:$A$289,$D1283,'Comp2016-2017 (3)'!$R$5:$R$289,$V1283)*$AB1283))</f>
        <v/>
      </c>
      <c r="AG1283" s="222" t="str">
        <f>IF($W1283=AG$3,$AB1283,IF(NOT($W1283=0),"",SUMIFS('Val-Vol (2)'!AG$4:AG$1858,'Val-Vol (2)'!$A$4:$A$1858,$D1283,'Val-Vol (2)'!$V$4:$V$1858,$V1283)/SUMIFS('Comp2016-2017 (3)'!$G$5:$G$289,'Comp2016-2017 (3)'!$A$5:$A$289,$D1283,'Comp2016-2017 (3)'!$R$5:$R$289,$V1283)*$AB1283))</f>
        <v/>
      </c>
      <c r="AH1283" s="222" t="str">
        <f>IF($W1283=AH$3,$AB1283,IF(NOT($W1283=0),"",SUMIFS('Val-Vol (2)'!AH$4:AH$1858,'Val-Vol (2)'!$A$4:$A$1858,$D1283,'Val-Vol (2)'!$V$4:$V$1858,$V1283)/SUMIFS('Comp2016-2017 (3)'!$G$5:$G$289,'Comp2016-2017 (3)'!$A$5:$A$289,$D1283,'Comp2016-2017 (3)'!$R$5:$R$289,$V1283)*$AB1283))</f>
        <v/>
      </c>
      <c r="AI1283" s="222" t="str">
        <f>IF($W1283=AI$3,$AB1283,IF(NOT($W1283=0),"",SUMIFS('Val-Vol (2)'!AI$4:AI$1858,'Val-Vol (2)'!$A$4:$A$1858,$D1283,'Val-Vol (2)'!$V$4:$V$1858,$V1283)/SUMIFS('Comp2016-2017 (3)'!$G$5:$G$289,'Comp2016-2017 (3)'!$A$5:$A$289,$D1283,'Comp2016-2017 (3)'!$R$5:$R$289,$V1283)*$AB1283))</f>
        <v/>
      </c>
      <c r="AJ1283" s="222" t="str">
        <f>IF($W1283=AJ$3,$AB1283,IF(NOT($W1283=0),"",SUMIFS('Val-Vol (2)'!AJ$4:AJ$1858,'Val-Vol (2)'!$A$4:$A$1858,$D1283,'Val-Vol (2)'!$V$4:$V$1858,$V1283)/SUMIFS('Comp2016-2017 (3)'!$G$5:$G$289,'Comp2016-2017 (3)'!$A$5:$A$289,$D1283,'Comp2016-2017 (3)'!$R$5:$R$289,$V1283)*$AB1283))</f>
        <v/>
      </c>
      <c r="AK1283" s="222">
        <f t="shared" si="154"/>
        <v>0</v>
      </c>
      <c r="AL1283" s="212" t="str">
        <f t="shared" si="155"/>
        <v/>
      </c>
      <c r="AM1283" s="212" t="str">
        <f>VLOOKUP(A1283,'Table corresp.'!$M$4:$U$63,8,FALSE)</f>
        <v>Production intermédiaire</v>
      </c>
      <c r="AN1283" s="212" t="str">
        <f>VLOOKUP(D1283,'Table corresp.'!$M$4:$U$63,9,FALSE)</f>
        <v>Production intermédiaire</v>
      </c>
    </row>
    <row r="1284" spans="1:40" x14ac:dyDescent="0.25">
      <c r="A1284" t="s">
        <v>9</v>
      </c>
      <c r="B1284" t="str">
        <f>VLOOKUP(LEFT(A1284,3),'Table corresp.'!$A$4:$D$63,3,FALSE)</f>
        <v>Transformation</v>
      </c>
      <c r="C1284" t="str">
        <f>VLOOKUP(A1284,'Table corresp.'!$M$4:$P$63,4,FALSE)</f>
        <v>Production et transformation de produits bois</v>
      </c>
      <c r="D1284" t="s">
        <v>91</v>
      </c>
      <c r="E1284" t="str">
        <f>VLOOKUP(LEFT(D1284,3),'Table corresp.'!$A$4:$D$63,4,FALSE)</f>
        <v>Transformation</v>
      </c>
      <c r="F1284" t="str">
        <f t="shared" si="157"/>
        <v xml:space="preserve">15  - 37 </v>
      </c>
      <c r="G1284" s="213">
        <v>119449.10813964541</v>
      </c>
      <c r="H1284" s="213">
        <v>0</v>
      </c>
      <c r="I1284" s="213">
        <v>119449.10813964541</v>
      </c>
      <c r="J1284" s="215">
        <v>1687.3430267535398</v>
      </c>
      <c r="K1284" s="215">
        <v>0</v>
      </c>
      <c r="L1284" s="215">
        <v>1687.3430267535398</v>
      </c>
      <c r="M1284" s="215"/>
      <c r="N1284" s="215"/>
      <c r="O1284" s="215"/>
      <c r="P1284" s="215"/>
      <c r="Q1284" s="215"/>
      <c r="R1284" s="215"/>
      <c r="S1284" s="213"/>
      <c r="T1284" s="212">
        <f>VLOOKUP(A1284,'Groupe de branches'!$Z$27:$AM$86,14,FALSE)</f>
        <v>0</v>
      </c>
      <c r="U1284" s="212">
        <f>VLOOKUP(D1284,'Groupe de branches'!$Z$27:$AM$86,14,FALSE)</f>
        <v>0</v>
      </c>
      <c r="V1284" s="212">
        <v>2019</v>
      </c>
      <c r="W1284" s="212" t="str">
        <f>VLOOKUP(D1284,'Table corresp.'!$M$4:$S$63,7,FALSE)</f>
        <v>Emballage bois et carton</v>
      </c>
      <c r="X1284" s="228">
        <f>IFERROR(G1284/SUMIFS('Comp2016-2017 (3)'!$I$5:$I$289,'Comp2016-2017 (3)'!$A$5:$A$289,A1284,'Comp2016-2017 (3)'!$R$5:$R$289,V1284),0)</f>
        <v>0.52520038112251277</v>
      </c>
      <c r="Y1284" s="214" t="e">
        <f>IF(RIGHT(F1284,3)="Exp",VLOOKUP(F1284,#REF!,2,FALSE),VLOOKUP(F1284,#REF!,9,FALSE))</f>
        <v>#REF!</v>
      </c>
      <c r="Z1284" s="225" t="str">
        <f t="shared" si="156"/>
        <v/>
      </c>
      <c r="AA1284" s="225" t="e">
        <f t="shared" si="153"/>
        <v>#VALUE!</v>
      </c>
      <c r="AB1284" s="222">
        <f>IFERROR(SUMIFS('Comp2016-2017 (3)'!$G$5:$G$289,'Comp2016-2017 (3)'!$A$5:$A$289,A1284,'Comp2016-2017 (3)'!$R$5:$R$289,V1284)*AA1284/SUMIFS($AA$4:$AA$1858,$A$4:$A$1858,A1284,$V$4:$V$1858,V1284),0)</f>
        <v>0</v>
      </c>
      <c r="AC1284" s="222" t="str">
        <f>IF($W1284=AC$3,$AB1284,IF(NOT($W1284=0),"",SUMIFS('Val-Vol (2)'!AC$4:AC$1858,'Val-Vol (2)'!$A$4:$A$1858,$D1284,'Val-Vol (2)'!$V$4:$V$1858,$V1284)/SUMIFS('Comp2016-2017 (3)'!$G$5:$G$289,'Comp2016-2017 (3)'!$A$5:$A$289,$D1284,'Comp2016-2017 (3)'!$R$5:$R$289,$V1284)*$AB1284))</f>
        <v/>
      </c>
      <c r="AD1284" s="222" t="str">
        <f>IF($W1284=AD$3,$AB1284,IF(NOT($W1284=0),"",SUMIFS('Val-Vol (2)'!AD$4:AD$1858,'Val-Vol (2)'!$A$4:$A$1858,$D1284,'Val-Vol (2)'!$V$4:$V$1858,$V1284)/SUMIFS('Comp2016-2017 (3)'!$G$5:$G$289,'Comp2016-2017 (3)'!$A$5:$A$289,$D1284,'Comp2016-2017 (3)'!$R$5:$R$289,$V1284)*$AB1284))</f>
        <v/>
      </c>
      <c r="AE1284" s="222" t="str">
        <f>IF($W1284=AE$3,$AB1284,IF(NOT($W1284=0),"",SUMIFS('Val-Vol (2)'!AE$4:AE$1858,'Val-Vol (2)'!$A$4:$A$1858,$D1284,'Val-Vol (2)'!$V$4:$V$1858,$V1284)/SUMIFS('Comp2016-2017 (3)'!$G$5:$G$289,'Comp2016-2017 (3)'!$A$5:$A$289,$D1284,'Comp2016-2017 (3)'!$R$5:$R$289,$V1284)*$AB1284))</f>
        <v/>
      </c>
      <c r="AF1284" s="222" t="str">
        <f>IF($W1284=AF$3,$AB1284,IF(NOT($W1284=0),"",SUMIFS('Val-Vol (2)'!AF$4:AF$1858,'Val-Vol (2)'!$A$4:$A$1858,$D1284,'Val-Vol (2)'!$V$4:$V$1858,$V1284)/SUMIFS('Comp2016-2017 (3)'!$G$5:$G$289,'Comp2016-2017 (3)'!$A$5:$A$289,$D1284,'Comp2016-2017 (3)'!$R$5:$R$289,$V1284)*$AB1284))</f>
        <v/>
      </c>
      <c r="AG1284" s="222">
        <f>IF($W1284=AG$3,$AB1284,IF(NOT($W1284=0),"",SUMIFS('Val-Vol (2)'!AG$4:AG$1858,'Val-Vol (2)'!$A$4:$A$1858,$D1284,'Val-Vol (2)'!$V$4:$V$1858,$V1284)/SUMIFS('Comp2016-2017 (3)'!$G$5:$G$289,'Comp2016-2017 (3)'!$A$5:$A$289,$D1284,'Comp2016-2017 (3)'!$R$5:$R$289,$V1284)*$AB1284))</f>
        <v>0</v>
      </c>
      <c r="AH1284" s="222" t="str">
        <f>IF($W1284=AH$3,$AB1284,IF(NOT($W1284=0),"",SUMIFS('Val-Vol (2)'!AH$4:AH$1858,'Val-Vol (2)'!$A$4:$A$1858,$D1284,'Val-Vol (2)'!$V$4:$V$1858,$V1284)/SUMIFS('Comp2016-2017 (3)'!$G$5:$G$289,'Comp2016-2017 (3)'!$A$5:$A$289,$D1284,'Comp2016-2017 (3)'!$R$5:$R$289,$V1284)*$AB1284))</f>
        <v/>
      </c>
      <c r="AI1284" s="222" t="str">
        <f>IF($W1284=AI$3,$AB1284,IF(NOT($W1284=0),"",SUMIFS('Val-Vol (2)'!AI$4:AI$1858,'Val-Vol (2)'!$A$4:$A$1858,$D1284,'Val-Vol (2)'!$V$4:$V$1858,$V1284)/SUMIFS('Comp2016-2017 (3)'!$G$5:$G$289,'Comp2016-2017 (3)'!$A$5:$A$289,$D1284,'Comp2016-2017 (3)'!$R$5:$R$289,$V1284)*$AB1284))</f>
        <v/>
      </c>
      <c r="AJ1284" s="222" t="str">
        <f>IF($W1284=AJ$3,$AB1284,IF(NOT($W1284=0),"",SUMIFS('Val-Vol (2)'!AJ$4:AJ$1858,'Val-Vol (2)'!$A$4:$A$1858,$D1284,'Val-Vol (2)'!$V$4:$V$1858,$V1284)/SUMIFS('Comp2016-2017 (3)'!$G$5:$G$289,'Comp2016-2017 (3)'!$A$5:$A$289,$D1284,'Comp2016-2017 (3)'!$R$5:$R$289,$V1284)*$AB1284))</f>
        <v/>
      </c>
      <c r="AK1284" s="222">
        <f t="shared" si="154"/>
        <v>0</v>
      </c>
      <c r="AL1284" s="212" t="str">
        <f t="shared" si="155"/>
        <v/>
      </c>
      <c r="AM1284" s="212" t="str">
        <f>VLOOKUP(A1284,'Table corresp.'!$M$4:$U$63,8,FALSE)</f>
        <v>Production intermédiaire</v>
      </c>
      <c r="AN1284" s="212" t="str">
        <f>VLOOKUP(D1284,'Table corresp.'!$M$4:$U$63,9,FALSE)</f>
        <v>Production finale</v>
      </c>
    </row>
    <row r="1285" spans="1:40" x14ac:dyDescent="0.25">
      <c r="A1285" t="s">
        <v>9</v>
      </c>
      <c r="B1285" t="str">
        <f>VLOOKUP(LEFT(A1285,3),'Table corresp.'!$A$4:$D$63,3,FALSE)</f>
        <v>Transformation</v>
      </c>
      <c r="C1285" t="str">
        <f>VLOOKUP(A1285,'Table corresp.'!$M$4:$P$63,4,FALSE)</f>
        <v>Production et transformation de produits bois</v>
      </c>
      <c r="D1285" t="s">
        <v>92</v>
      </c>
      <c r="E1285" t="str">
        <f>VLOOKUP(LEFT(D1285,3),'Table corresp.'!$A$4:$D$63,4,FALSE)</f>
        <v>Transformation</v>
      </c>
      <c r="F1285" t="str">
        <f t="shared" si="157"/>
        <v xml:space="preserve">15  - 40 </v>
      </c>
      <c r="G1285" s="213">
        <v>2208.4933416605277</v>
      </c>
      <c r="H1285" s="213">
        <v>0</v>
      </c>
      <c r="I1285" s="213">
        <v>2208.4933416605277</v>
      </c>
      <c r="J1285" s="215">
        <v>23.281543287886773</v>
      </c>
      <c r="K1285" s="215">
        <v>0</v>
      </c>
      <c r="L1285" s="215">
        <v>23.281543287886773</v>
      </c>
      <c r="M1285" s="215"/>
      <c r="N1285" s="215"/>
      <c r="O1285" s="215"/>
      <c r="P1285" s="215"/>
      <c r="Q1285" s="215"/>
      <c r="R1285" s="215"/>
      <c r="S1285" s="213"/>
      <c r="T1285" s="212">
        <f>VLOOKUP(A1285,'Groupe de branches'!$Z$27:$AM$86,14,FALSE)</f>
        <v>0</v>
      </c>
      <c r="U1285" s="212">
        <f>VLOOKUP(D1285,'Groupe de branches'!$Z$27:$AM$86,14,FALSE)</f>
        <v>0</v>
      </c>
      <c r="V1285" s="212">
        <v>2019</v>
      </c>
      <c r="W1285" s="212" t="str">
        <f>VLOOKUP(D1285,'Table corresp.'!$M$4:$S$63,7,FALSE)</f>
        <v>Construction</v>
      </c>
      <c r="X1285" s="228">
        <f>IFERROR(G1285/SUMIFS('Comp2016-2017 (3)'!$I$5:$I$289,'Comp2016-2017 (3)'!$A$5:$A$289,A1285,'Comp2016-2017 (3)'!$R$5:$R$289,V1285),0)</f>
        <v>9.710424487980476E-3</v>
      </c>
      <c r="Y1285" s="214" t="e">
        <f>IF(RIGHT(F1285,3)="Exp",VLOOKUP(F1285,#REF!,2,FALSE),VLOOKUP(F1285,#REF!,9,FALSE))</f>
        <v>#REF!</v>
      </c>
      <c r="Z1285" s="225" t="str">
        <f t="shared" si="156"/>
        <v/>
      </c>
      <c r="AA1285" s="225" t="e">
        <f t="shared" si="153"/>
        <v>#VALUE!</v>
      </c>
      <c r="AB1285" s="222">
        <f>IFERROR(SUMIFS('Comp2016-2017 (3)'!$G$5:$G$289,'Comp2016-2017 (3)'!$A$5:$A$289,A1285,'Comp2016-2017 (3)'!$R$5:$R$289,V1285)*AA1285/SUMIFS($AA$4:$AA$1858,$A$4:$A$1858,A1285,$V$4:$V$1858,V1285),0)</f>
        <v>0</v>
      </c>
      <c r="AC1285" s="222" t="str">
        <f>IF($W1285=AC$3,$AB1285,IF(NOT($W1285=0),"",SUMIFS('Val-Vol (2)'!AC$4:AC$1858,'Val-Vol (2)'!$A$4:$A$1858,$D1285,'Val-Vol (2)'!$V$4:$V$1858,$V1285)/SUMIFS('Comp2016-2017 (3)'!$G$5:$G$289,'Comp2016-2017 (3)'!$A$5:$A$289,$D1285,'Comp2016-2017 (3)'!$R$5:$R$289,$V1285)*$AB1285))</f>
        <v/>
      </c>
      <c r="AD1285" s="222">
        <f>IF($W1285=AD$3,$AB1285,IF(NOT($W1285=0),"",SUMIFS('Val-Vol (2)'!AD$4:AD$1858,'Val-Vol (2)'!$A$4:$A$1858,$D1285,'Val-Vol (2)'!$V$4:$V$1858,$V1285)/SUMIFS('Comp2016-2017 (3)'!$G$5:$G$289,'Comp2016-2017 (3)'!$A$5:$A$289,$D1285,'Comp2016-2017 (3)'!$R$5:$R$289,$V1285)*$AB1285))</f>
        <v>0</v>
      </c>
      <c r="AE1285" s="222" t="str">
        <f>IF($W1285=AE$3,$AB1285,IF(NOT($W1285=0),"",SUMIFS('Val-Vol (2)'!AE$4:AE$1858,'Val-Vol (2)'!$A$4:$A$1858,$D1285,'Val-Vol (2)'!$V$4:$V$1858,$V1285)/SUMIFS('Comp2016-2017 (3)'!$G$5:$G$289,'Comp2016-2017 (3)'!$A$5:$A$289,$D1285,'Comp2016-2017 (3)'!$R$5:$R$289,$V1285)*$AB1285))</f>
        <v/>
      </c>
      <c r="AF1285" s="222" t="str">
        <f>IF($W1285=AF$3,$AB1285,IF(NOT($W1285=0),"",SUMIFS('Val-Vol (2)'!AF$4:AF$1858,'Val-Vol (2)'!$A$4:$A$1858,$D1285,'Val-Vol (2)'!$V$4:$V$1858,$V1285)/SUMIFS('Comp2016-2017 (3)'!$G$5:$G$289,'Comp2016-2017 (3)'!$A$5:$A$289,$D1285,'Comp2016-2017 (3)'!$R$5:$R$289,$V1285)*$AB1285))</f>
        <v/>
      </c>
      <c r="AG1285" s="222" t="str">
        <f>IF($W1285=AG$3,$AB1285,IF(NOT($W1285=0),"",SUMIFS('Val-Vol (2)'!AG$4:AG$1858,'Val-Vol (2)'!$A$4:$A$1858,$D1285,'Val-Vol (2)'!$V$4:$V$1858,$V1285)/SUMIFS('Comp2016-2017 (3)'!$G$5:$G$289,'Comp2016-2017 (3)'!$A$5:$A$289,$D1285,'Comp2016-2017 (3)'!$R$5:$R$289,$V1285)*$AB1285))</f>
        <v/>
      </c>
      <c r="AH1285" s="222" t="str">
        <f>IF($W1285=AH$3,$AB1285,IF(NOT($W1285=0),"",SUMIFS('Val-Vol (2)'!AH$4:AH$1858,'Val-Vol (2)'!$A$4:$A$1858,$D1285,'Val-Vol (2)'!$V$4:$V$1858,$V1285)/SUMIFS('Comp2016-2017 (3)'!$G$5:$G$289,'Comp2016-2017 (3)'!$A$5:$A$289,$D1285,'Comp2016-2017 (3)'!$R$5:$R$289,$V1285)*$AB1285))</f>
        <v/>
      </c>
      <c r="AI1285" s="222" t="str">
        <f>IF($W1285=AI$3,$AB1285,IF(NOT($W1285=0),"",SUMIFS('Val-Vol (2)'!AI$4:AI$1858,'Val-Vol (2)'!$A$4:$A$1858,$D1285,'Val-Vol (2)'!$V$4:$V$1858,$V1285)/SUMIFS('Comp2016-2017 (3)'!$G$5:$G$289,'Comp2016-2017 (3)'!$A$5:$A$289,$D1285,'Comp2016-2017 (3)'!$R$5:$R$289,$V1285)*$AB1285))</f>
        <v/>
      </c>
      <c r="AJ1285" s="222" t="str">
        <f>IF($W1285=AJ$3,$AB1285,IF(NOT($W1285=0),"",SUMIFS('Val-Vol (2)'!AJ$4:AJ$1858,'Val-Vol (2)'!$A$4:$A$1858,$D1285,'Val-Vol (2)'!$V$4:$V$1858,$V1285)/SUMIFS('Comp2016-2017 (3)'!$G$5:$G$289,'Comp2016-2017 (3)'!$A$5:$A$289,$D1285,'Comp2016-2017 (3)'!$R$5:$R$289,$V1285)*$AB1285))</f>
        <v/>
      </c>
      <c r="AK1285" s="222">
        <f t="shared" si="154"/>
        <v>0</v>
      </c>
      <c r="AL1285" s="212" t="str">
        <f t="shared" si="155"/>
        <v/>
      </c>
      <c r="AM1285" s="212" t="str">
        <f>VLOOKUP(A1285,'Table corresp.'!$M$4:$U$63,8,FALSE)</f>
        <v>Production intermédiaire</v>
      </c>
      <c r="AN1285" s="212" t="str">
        <f>VLOOKUP(D1285,'Table corresp.'!$M$4:$U$63,9,FALSE)</f>
        <v>Production finale</v>
      </c>
    </row>
    <row r="1286" spans="1:40" x14ac:dyDescent="0.25">
      <c r="A1286" t="s">
        <v>9</v>
      </c>
      <c r="B1286" t="str">
        <f>VLOOKUP(LEFT(A1286,3),'Table corresp.'!$A$4:$D$63,3,FALSE)</f>
        <v>Transformation</v>
      </c>
      <c r="C1286" t="str">
        <f>VLOOKUP(A1286,'Table corresp.'!$M$4:$P$63,4,FALSE)</f>
        <v>Production et transformation de produits bois</v>
      </c>
      <c r="D1286" t="s">
        <v>19</v>
      </c>
      <c r="E1286" t="str">
        <f>VLOOKUP(LEFT(D1286,3),'Table corresp.'!$A$4:$D$63,4,FALSE)</f>
        <v>Transformation</v>
      </c>
      <c r="F1286" t="str">
        <f t="shared" si="157"/>
        <v xml:space="preserve">15  - 52 </v>
      </c>
      <c r="G1286" s="213">
        <v>776.78997040947536</v>
      </c>
      <c r="H1286" s="213">
        <v>0</v>
      </c>
      <c r="I1286" s="213">
        <v>776.78997040947536</v>
      </c>
      <c r="J1286" s="215">
        <v>9.7537485785918125</v>
      </c>
      <c r="K1286" s="215">
        <v>0</v>
      </c>
      <c r="L1286" s="215">
        <v>9.7537485785918125</v>
      </c>
      <c r="M1286" s="215"/>
      <c r="N1286" s="215"/>
      <c r="O1286" s="215"/>
      <c r="P1286" s="215"/>
      <c r="Q1286" s="215"/>
      <c r="R1286" s="215"/>
      <c r="S1286" s="213"/>
      <c r="T1286" s="212">
        <f>VLOOKUP(A1286,'Groupe de branches'!$Z$27:$AM$86,14,FALSE)</f>
        <v>0</v>
      </c>
      <c r="U1286" s="212">
        <f>VLOOKUP(D1286,'Groupe de branches'!$Z$27:$AM$86,14,FALSE)</f>
        <v>0</v>
      </c>
      <c r="V1286" s="212">
        <v>2019</v>
      </c>
      <c r="W1286" s="212" t="str">
        <f>VLOOKUP(D1286,'Table corresp.'!$M$4:$S$63,7,FALSE)</f>
        <v>Construction</v>
      </c>
      <c r="X1286" s="228">
        <f>IFERROR(G1286/SUMIFS('Comp2016-2017 (3)'!$I$5:$I$289,'Comp2016-2017 (3)'!$A$5:$A$289,A1286,'Comp2016-2017 (3)'!$R$5:$R$289,V1286),0)</f>
        <v>3.4154326881557988E-3</v>
      </c>
      <c r="Y1286" s="214" t="e">
        <f>IF(RIGHT(F1286,3)="Exp",VLOOKUP(F1286,#REF!,2,FALSE),VLOOKUP(F1286,#REF!,9,FALSE))</f>
        <v>#REF!</v>
      </c>
      <c r="Z1286" s="225" t="str">
        <f t="shared" si="156"/>
        <v/>
      </c>
      <c r="AA1286" s="225" t="e">
        <f t="shared" si="153"/>
        <v>#VALUE!</v>
      </c>
      <c r="AB1286" s="222">
        <f>IFERROR(SUMIFS('Comp2016-2017 (3)'!$G$5:$G$289,'Comp2016-2017 (3)'!$A$5:$A$289,A1286,'Comp2016-2017 (3)'!$R$5:$R$289,V1286)*AA1286/SUMIFS($AA$4:$AA$1858,$A$4:$A$1858,A1286,$V$4:$V$1858,V1286),0)</f>
        <v>0</v>
      </c>
      <c r="AC1286" s="222" t="str">
        <f>IF($W1286=AC$3,$AB1286,IF(NOT($W1286=0),"",SUMIFS('Val-Vol (2)'!AC$4:AC$1858,'Val-Vol (2)'!$A$4:$A$1858,$D1286,'Val-Vol (2)'!$V$4:$V$1858,$V1286)/SUMIFS('Comp2016-2017 (3)'!$G$5:$G$289,'Comp2016-2017 (3)'!$A$5:$A$289,$D1286,'Comp2016-2017 (3)'!$R$5:$R$289,$V1286)*$AB1286))</f>
        <v/>
      </c>
      <c r="AD1286" s="222">
        <f>IF($W1286=AD$3,$AB1286,IF(NOT($W1286=0),"",SUMIFS('Val-Vol (2)'!AD$4:AD$1858,'Val-Vol (2)'!$A$4:$A$1858,$D1286,'Val-Vol (2)'!$V$4:$V$1858,$V1286)/SUMIFS('Comp2016-2017 (3)'!$G$5:$G$289,'Comp2016-2017 (3)'!$A$5:$A$289,$D1286,'Comp2016-2017 (3)'!$R$5:$R$289,$V1286)*$AB1286))</f>
        <v>0</v>
      </c>
      <c r="AE1286" s="222" t="str">
        <f>IF($W1286=AE$3,$AB1286,IF(NOT($W1286=0),"",SUMIFS('Val-Vol (2)'!AE$4:AE$1858,'Val-Vol (2)'!$A$4:$A$1858,$D1286,'Val-Vol (2)'!$V$4:$V$1858,$V1286)/SUMIFS('Comp2016-2017 (3)'!$G$5:$G$289,'Comp2016-2017 (3)'!$A$5:$A$289,$D1286,'Comp2016-2017 (3)'!$R$5:$R$289,$V1286)*$AB1286))</f>
        <v/>
      </c>
      <c r="AF1286" s="222" t="str">
        <f>IF($W1286=AF$3,$AB1286,IF(NOT($W1286=0),"",SUMIFS('Val-Vol (2)'!AF$4:AF$1858,'Val-Vol (2)'!$A$4:$A$1858,$D1286,'Val-Vol (2)'!$V$4:$V$1858,$V1286)/SUMIFS('Comp2016-2017 (3)'!$G$5:$G$289,'Comp2016-2017 (3)'!$A$5:$A$289,$D1286,'Comp2016-2017 (3)'!$R$5:$R$289,$V1286)*$AB1286))</f>
        <v/>
      </c>
      <c r="AG1286" s="222" t="str">
        <f>IF($W1286=AG$3,$AB1286,IF(NOT($W1286=0),"",SUMIFS('Val-Vol (2)'!AG$4:AG$1858,'Val-Vol (2)'!$A$4:$A$1858,$D1286,'Val-Vol (2)'!$V$4:$V$1858,$V1286)/SUMIFS('Comp2016-2017 (3)'!$G$5:$G$289,'Comp2016-2017 (3)'!$A$5:$A$289,$D1286,'Comp2016-2017 (3)'!$R$5:$R$289,$V1286)*$AB1286))</f>
        <v/>
      </c>
      <c r="AH1286" s="222" t="str">
        <f>IF($W1286=AH$3,$AB1286,IF(NOT($W1286=0),"",SUMIFS('Val-Vol (2)'!AH$4:AH$1858,'Val-Vol (2)'!$A$4:$A$1858,$D1286,'Val-Vol (2)'!$V$4:$V$1858,$V1286)/SUMIFS('Comp2016-2017 (3)'!$G$5:$G$289,'Comp2016-2017 (3)'!$A$5:$A$289,$D1286,'Comp2016-2017 (3)'!$R$5:$R$289,$V1286)*$AB1286))</f>
        <v/>
      </c>
      <c r="AI1286" s="222" t="str">
        <f>IF($W1286=AI$3,$AB1286,IF(NOT($W1286=0),"",SUMIFS('Val-Vol (2)'!AI$4:AI$1858,'Val-Vol (2)'!$A$4:$A$1858,$D1286,'Val-Vol (2)'!$V$4:$V$1858,$V1286)/SUMIFS('Comp2016-2017 (3)'!$G$5:$G$289,'Comp2016-2017 (3)'!$A$5:$A$289,$D1286,'Comp2016-2017 (3)'!$R$5:$R$289,$V1286)*$AB1286))</f>
        <v/>
      </c>
      <c r="AJ1286" s="222" t="str">
        <f>IF($W1286=AJ$3,$AB1286,IF(NOT($W1286=0),"",SUMIFS('Val-Vol (2)'!AJ$4:AJ$1858,'Val-Vol (2)'!$A$4:$A$1858,$D1286,'Val-Vol (2)'!$V$4:$V$1858,$V1286)/SUMIFS('Comp2016-2017 (3)'!$G$5:$G$289,'Comp2016-2017 (3)'!$A$5:$A$289,$D1286,'Comp2016-2017 (3)'!$R$5:$R$289,$V1286)*$AB1286))</f>
        <v/>
      </c>
      <c r="AK1286" s="222">
        <f t="shared" si="154"/>
        <v>0</v>
      </c>
      <c r="AL1286" s="212" t="str">
        <f t="shared" si="155"/>
        <v/>
      </c>
      <c r="AM1286" s="212" t="str">
        <f>VLOOKUP(A1286,'Table corresp.'!$M$4:$U$63,8,FALSE)</f>
        <v>Production intermédiaire</v>
      </c>
      <c r="AN1286" s="212" t="str">
        <f>VLOOKUP(D1286,'Table corresp.'!$M$4:$U$63,9,FALSE)</f>
        <v xml:space="preserve">Mise en œuvre </v>
      </c>
    </row>
    <row r="1287" spans="1:40" x14ac:dyDescent="0.25">
      <c r="A1287" t="s">
        <v>9</v>
      </c>
      <c r="B1287" t="str">
        <f>VLOOKUP(LEFT(A1287,3),'Table corresp.'!$A$4:$D$63,3,FALSE)</f>
        <v>Transformation</v>
      </c>
      <c r="C1287" t="str">
        <f>VLOOKUP(A1287,'Table corresp.'!$M$4:$P$63,4,FALSE)</f>
        <v>Production et transformation de produits bois</v>
      </c>
      <c r="D1287" t="s">
        <v>21</v>
      </c>
      <c r="E1287" t="str">
        <f>VLOOKUP(LEFT(D1287,3),'Table corresp.'!$A$4:$D$63,4,FALSE)</f>
        <v>Transformation</v>
      </c>
      <c r="F1287" t="str">
        <f t="shared" si="157"/>
        <v xml:space="preserve">15  - 54 </v>
      </c>
      <c r="G1287" s="213">
        <v>2703.6271906277807</v>
      </c>
      <c r="H1287" s="213">
        <v>0</v>
      </c>
      <c r="I1287" s="213">
        <v>2703.6271906277807</v>
      </c>
      <c r="J1287" s="215">
        <v>12.221295734987052</v>
      </c>
      <c r="K1287" s="215">
        <v>0</v>
      </c>
      <c r="L1287" s="215">
        <v>12.221295734987052</v>
      </c>
      <c r="M1287" s="215"/>
      <c r="N1287" s="215"/>
      <c r="O1287" s="215"/>
      <c r="P1287" s="215"/>
      <c r="Q1287" s="215"/>
      <c r="R1287" s="215"/>
      <c r="S1287" s="213"/>
      <c r="T1287" s="212">
        <f>VLOOKUP(A1287,'Groupe de branches'!$Z$27:$AM$86,14,FALSE)</f>
        <v>0</v>
      </c>
      <c r="U1287" s="212">
        <f>VLOOKUP(D1287,'Groupe de branches'!$Z$27:$AM$86,14,FALSE)</f>
        <v>0</v>
      </c>
      <c r="V1287" s="212">
        <v>2019</v>
      </c>
      <c r="W1287" s="212" t="str">
        <f>VLOOKUP(D1287,'Table corresp.'!$M$4:$S$63,7,FALSE)</f>
        <v>Construction</v>
      </c>
      <c r="X1287" s="228">
        <f>IFERROR(G1287/SUMIFS('Comp2016-2017 (3)'!$I$5:$I$289,'Comp2016-2017 (3)'!$A$5:$A$289,A1287,'Comp2016-2017 (3)'!$R$5:$R$289,V1287),0)</f>
        <v>1.1887456114539341E-2</v>
      </c>
      <c r="Y1287" s="214" t="e">
        <f>IF(RIGHT(F1287,3)="Exp",VLOOKUP(F1287,#REF!,2,FALSE),VLOOKUP(F1287,#REF!,9,FALSE))</f>
        <v>#REF!</v>
      </c>
      <c r="Z1287" s="225" t="str">
        <f t="shared" si="156"/>
        <v/>
      </c>
      <c r="AA1287" s="225" t="e">
        <f t="shared" si="153"/>
        <v>#VALUE!</v>
      </c>
      <c r="AB1287" s="222">
        <f>IFERROR(SUMIFS('Comp2016-2017 (3)'!$G$5:$G$289,'Comp2016-2017 (3)'!$A$5:$A$289,A1287,'Comp2016-2017 (3)'!$R$5:$R$289,V1287)*AA1287/SUMIFS($AA$4:$AA$1858,$A$4:$A$1858,A1287,$V$4:$V$1858,V1287),0)</f>
        <v>0</v>
      </c>
      <c r="AC1287" s="222" t="str">
        <f>IF($W1287=AC$3,$AB1287,IF(NOT($W1287=0),"",SUMIFS('Val-Vol (2)'!AC$4:AC$1858,'Val-Vol (2)'!$A$4:$A$1858,$D1287,'Val-Vol (2)'!$V$4:$V$1858,$V1287)/SUMIFS('Comp2016-2017 (3)'!$G$5:$G$289,'Comp2016-2017 (3)'!$A$5:$A$289,$D1287,'Comp2016-2017 (3)'!$R$5:$R$289,$V1287)*$AB1287))</f>
        <v/>
      </c>
      <c r="AD1287" s="222">
        <f>IF($W1287=AD$3,$AB1287,IF(NOT($W1287=0),"",SUMIFS('Val-Vol (2)'!AD$4:AD$1858,'Val-Vol (2)'!$A$4:$A$1858,$D1287,'Val-Vol (2)'!$V$4:$V$1858,$V1287)/SUMIFS('Comp2016-2017 (3)'!$G$5:$G$289,'Comp2016-2017 (3)'!$A$5:$A$289,$D1287,'Comp2016-2017 (3)'!$R$5:$R$289,$V1287)*$AB1287))</f>
        <v>0</v>
      </c>
      <c r="AE1287" s="222" t="str">
        <f>IF($W1287=AE$3,$AB1287,IF(NOT($W1287=0),"",SUMIFS('Val-Vol (2)'!AE$4:AE$1858,'Val-Vol (2)'!$A$4:$A$1858,$D1287,'Val-Vol (2)'!$V$4:$V$1858,$V1287)/SUMIFS('Comp2016-2017 (3)'!$G$5:$G$289,'Comp2016-2017 (3)'!$A$5:$A$289,$D1287,'Comp2016-2017 (3)'!$R$5:$R$289,$V1287)*$AB1287))</f>
        <v/>
      </c>
      <c r="AF1287" s="222" t="str">
        <f>IF($W1287=AF$3,$AB1287,IF(NOT($W1287=0),"",SUMIFS('Val-Vol (2)'!AF$4:AF$1858,'Val-Vol (2)'!$A$4:$A$1858,$D1287,'Val-Vol (2)'!$V$4:$V$1858,$V1287)/SUMIFS('Comp2016-2017 (3)'!$G$5:$G$289,'Comp2016-2017 (3)'!$A$5:$A$289,$D1287,'Comp2016-2017 (3)'!$R$5:$R$289,$V1287)*$AB1287))</f>
        <v/>
      </c>
      <c r="AG1287" s="222" t="str">
        <f>IF($W1287=AG$3,$AB1287,IF(NOT($W1287=0),"",SUMIFS('Val-Vol (2)'!AG$4:AG$1858,'Val-Vol (2)'!$A$4:$A$1858,$D1287,'Val-Vol (2)'!$V$4:$V$1858,$V1287)/SUMIFS('Comp2016-2017 (3)'!$G$5:$G$289,'Comp2016-2017 (3)'!$A$5:$A$289,$D1287,'Comp2016-2017 (3)'!$R$5:$R$289,$V1287)*$AB1287))</f>
        <v/>
      </c>
      <c r="AH1287" s="222" t="str">
        <f>IF($W1287=AH$3,$AB1287,IF(NOT($W1287=0),"",SUMIFS('Val-Vol (2)'!AH$4:AH$1858,'Val-Vol (2)'!$A$4:$A$1858,$D1287,'Val-Vol (2)'!$V$4:$V$1858,$V1287)/SUMIFS('Comp2016-2017 (3)'!$G$5:$G$289,'Comp2016-2017 (3)'!$A$5:$A$289,$D1287,'Comp2016-2017 (3)'!$R$5:$R$289,$V1287)*$AB1287))</f>
        <v/>
      </c>
      <c r="AI1287" s="222" t="str">
        <f>IF($W1287=AI$3,$AB1287,IF(NOT($W1287=0),"",SUMIFS('Val-Vol (2)'!AI$4:AI$1858,'Val-Vol (2)'!$A$4:$A$1858,$D1287,'Val-Vol (2)'!$V$4:$V$1858,$V1287)/SUMIFS('Comp2016-2017 (3)'!$G$5:$G$289,'Comp2016-2017 (3)'!$A$5:$A$289,$D1287,'Comp2016-2017 (3)'!$R$5:$R$289,$V1287)*$AB1287))</f>
        <v/>
      </c>
      <c r="AJ1287" s="222" t="str">
        <f>IF($W1287=AJ$3,$AB1287,IF(NOT($W1287=0),"",SUMIFS('Val-Vol (2)'!AJ$4:AJ$1858,'Val-Vol (2)'!$A$4:$A$1858,$D1287,'Val-Vol (2)'!$V$4:$V$1858,$V1287)/SUMIFS('Comp2016-2017 (3)'!$G$5:$G$289,'Comp2016-2017 (3)'!$A$5:$A$289,$D1287,'Comp2016-2017 (3)'!$R$5:$R$289,$V1287)*$AB1287))</f>
        <v/>
      </c>
      <c r="AK1287" s="222">
        <f t="shared" si="154"/>
        <v>0</v>
      </c>
      <c r="AL1287" s="212" t="str">
        <f t="shared" si="155"/>
        <v/>
      </c>
      <c r="AM1287" s="212" t="str">
        <f>VLOOKUP(A1287,'Table corresp.'!$M$4:$U$63,8,FALSE)</f>
        <v>Production intermédiaire</v>
      </c>
      <c r="AN1287" s="212" t="str">
        <f>VLOOKUP(D1287,'Table corresp.'!$M$4:$U$63,9,FALSE)</f>
        <v xml:space="preserve">Mise en œuvre </v>
      </c>
    </row>
    <row r="1288" spans="1:40" x14ac:dyDescent="0.25">
      <c r="A1288" t="s">
        <v>9</v>
      </c>
      <c r="B1288" t="str">
        <f>VLOOKUP(LEFT(A1288,3),'Table corresp.'!$A$4:$D$63,3,FALSE)</f>
        <v>Transformation</v>
      </c>
      <c r="C1288" t="str">
        <f>VLOOKUP(A1288,'Table corresp.'!$M$4:$P$63,4,FALSE)</f>
        <v>Production et transformation de produits bois</v>
      </c>
      <c r="D1288" t="s">
        <v>22</v>
      </c>
      <c r="E1288" t="str">
        <f>VLOOKUP(LEFT(D1288,3),'Table corresp.'!$A$4:$D$63,4,FALSE)</f>
        <v>Transformation</v>
      </c>
      <c r="F1288" t="str">
        <f t="shared" si="157"/>
        <v xml:space="preserve">15  - 55 </v>
      </c>
      <c r="G1288" s="213">
        <v>225.44688093672775</v>
      </c>
      <c r="H1288" s="213">
        <v>0</v>
      </c>
      <c r="I1288" s="213">
        <v>225.44688093672775</v>
      </c>
      <c r="J1288" s="215">
        <v>1.0190950194647201</v>
      </c>
      <c r="K1288" s="215">
        <v>0</v>
      </c>
      <c r="L1288" s="215">
        <v>1.0190950194647201</v>
      </c>
      <c r="M1288" s="215"/>
      <c r="N1288" s="215"/>
      <c r="O1288" s="215"/>
      <c r="P1288" s="215"/>
      <c r="Q1288" s="215"/>
      <c r="R1288" s="215"/>
      <c r="S1288" s="213"/>
      <c r="T1288" s="212">
        <f>VLOOKUP(A1288,'Groupe de branches'!$Z$27:$AM$86,14,FALSE)</f>
        <v>0</v>
      </c>
      <c r="U1288" s="212">
        <f>VLOOKUP(D1288,'Groupe de branches'!$Z$27:$AM$86,14,FALSE)</f>
        <v>0</v>
      </c>
      <c r="V1288" s="212">
        <v>2019</v>
      </c>
      <c r="W1288" s="212" t="str">
        <f>VLOOKUP(D1288,'Table corresp.'!$M$4:$S$63,7,FALSE)</f>
        <v>Construction</v>
      </c>
      <c r="X1288" s="228">
        <f>IFERROR(G1288/SUMIFS('Comp2016-2017 (3)'!$I$5:$I$289,'Comp2016-2017 (3)'!$A$5:$A$289,A1288,'Comp2016-2017 (3)'!$R$5:$R$289,V1288),0)</f>
        <v>9.9125719425570478E-4</v>
      </c>
      <c r="Y1288" s="214" t="e">
        <f>IF(RIGHT(F1288,3)="Exp",VLOOKUP(F1288,#REF!,2,FALSE),VLOOKUP(F1288,#REF!,9,FALSE))</f>
        <v>#REF!</v>
      </c>
      <c r="Z1288" s="225" t="str">
        <f t="shared" si="156"/>
        <v/>
      </c>
      <c r="AA1288" s="225" t="e">
        <f t="shared" si="153"/>
        <v>#VALUE!</v>
      </c>
      <c r="AB1288" s="222">
        <f>IFERROR(SUMIFS('Comp2016-2017 (3)'!$G$5:$G$289,'Comp2016-2017 (3)'!$A$5:$A$289,A1288,'Comp2016-2017 (3)'!$R$5:$R$289,V1288)*AA1288/SUMIFS($AA$4:$AA$1858,$A$4:$A$1858,A1288,$V$4:$V$1858,V1288),0)</f>
        <v>0</v>
      </c>
      <c r="AC1288" s="222" t="str">
        <f>IF($W1288=AC$3,$AB1288,IF(NOT($W1288=0),"",SUMIFS('Val-Vol (2)'!AC$4:AC$1858,'Val-Vol (2)'!$A$4:$A$1858,$D1288,'Val-Vol (2)'!$V$4:$V$1858,$V1288)/SUMIFS('Comp2016-2017 (3)'!$G$5:$G$289,'Comp2016-2017 (3)'!$A$5:$A$289,$D1288,'Comp2016-2017 (3)'!$R$5:$R$289,$V1288)*$AB1288))</f>
        <v/>
      </c>
      <c r="AD1288" s="222">
        <f>IF($W1288=AD$3,$AB1288,IF(NOT($W1288=0),"",SUMIFS('Val-Vol (2)'!AD$4:AD$1858,'Val-Vol (2)'!$A$4:$A$1858,$D1288,'Val-Vol (2)'!$V$4:$V$1858,$V1288)/SUMIFS('Comp2016-2017 (3)'!$G$5:$G$289,'Comp2016-2017 (3)'!$A$5:$A$289,$D1288,'Comp2016-2017 (3)'!$R$5:$R$289,$V1288)*$AB1288))</f>
        <v>0</v>
      </c>
      <c r="AE1288" s="222" t="str">
        <f>IF($W1288=AE$3,$AB1288,IF(NOT($W1288=0),"",SUMIFS('Val-Vol (2)'!AE$4:AE$1858,'Val-Vol (2)'!$A$4:$A$1858,$D1288,'Val-Vol (2)'!$V$4:$V$1858,$V1288)/SUMIFS('Comp2016-2017 (3)'!$G$5:$G$289,'Comp2016-2017 (3)'!$A$5:$A$289,$D1288,'Comp2016-2017 (3)'!$R$5:$R$289,$V1288)*$AB1288))</f>
        <v/>
      </c>
      <c r="AF1288" s="222" t="str">
        <f>IF($W1288=AF$3,$AB1288,IF(NOT($W1288=0),"",SUMIFS('Val-Vol (2)'!AF$4:AF$1858,'Val-Vol (2)'!$A$4:$A$1858,$D1288,'Val-Vol (2)'!$V$4:$V$1858,$V1288)/SUMIFS('Comp2016-2017 (3)'!$G$5:$G$289,'Comp2016-2017 (3)'!$A$5:$A$289,$D1288,'Comp2016-2017 (3)'!$R$5:$R$289,$V1288)*$AB1288))</f>
        <v/>
      </c>
      <c r="AG1288" s="222" t="str">
        <f>IF($W1288=AG$3,$AB1288,IF(NOT($W1288=0),"",SUMIFS('Val-Vol (2)'!AG$4:AG$1858,'Val-Vol (2)'!$A$4:$A$1858,$D1288,'Val-Vol (2)'!$V$4:$V$1858,$V1288)/SUMIFS('Comp2016-2017 (3)'!$G$5:$G$289,'Comp2016-2017 (3)'!$A$5:$A$289,$D1288,'Comp2016-2017 (3)'!$R$5:$R$289,$V1288)*$AB1288))</f>
        <v/>
      </c>
      <c r="AH1288" s="222" t="str">
        <f>IF($W1288=AH$3,$AB1288,IF(NOT($W1288=0),"",SUMIFS('Val-Vol (2)'!AH$4:AH$1858,'Val-Vol (2)'!$A$4:$A$1858,$D1288,'Val-Vol (2)'!$V$4:$V$1858,$V1288)/SUMIFS('Comp2016-2017 (3)'!$G$5:$G$289,'Comp2016-2017 (3)'!$A$5:$A$289,$D1288,'Comp2016-2017 (3)'!$R$5:$R$289,$V1288)*$AB1288))</f>
        <v/>
      </c>
      <c r="AI1288" s="222" t="str">
        <f>IF($W1288=AI$3,$AB1288,IF(NOT($W1288=0),"",SUMIFS('Val-Vol (2)'!AI$4:AI$1858,'Val-Vol (2)'!$A$4:$A$1858,$D1288,'Val-Vol (2)'!$V$4:$V$1858,$V1288)/SUMIFS('Comp2016-2017 (3)'!$G$5:$G$289,'Comp2016-2017 (3)'!$A$5:$A$289,$D1288,'Comp2016-2017 (3)'!$R$5:$R$289,$V1288)*$AB1288))</f>
        <v/>
      </c>
      <c r="AJ1288" s="222" t="str">
        <f>IF($W1288=AJ$3,$AB1288,IF(NOT($W1288=0),"",SUMIFS('Val-Vol (2)'!AJ$4:AJ$1858,'Val-Vol (2)'!$A$4:$A$1858,$D1288,'Val-Vol (2)'!$V$4:$V$1858,$V1288)/SUMIFS('Comp2016-2017 (3)'!$G$5:$G$289,'Comp2016-2017 (3)'!$A$5:$A$289,$D1288,'Comp2016-2017 (3)'!$R$5:$R$289,$V1288)*$AB1288))</f>
        <v/>
      </c>
      <c r="AK1288" s="222">
        <f t="shared" si="154"/>
        <v>0</v>
      </c>
      <c r="AL1288" s="212" t="str">
        <f t="shared" si="155"/>
        <v/>
      </c>
      <c r="AM1288" s="212" t="str">
        <f>VLOOKUP(A1288,'Table corresp.'!$M$4:$U$63,8,FALSE)</f>
        <v>Production intermédiaire</v>
      </c>
      <c r="AN1288" s="212" t="str">
        <f>VLOOKUP(D1288,'Table corresp.'!$M$4:$U$63,9,FALSE)</f>
        <v xml:space="preserve">Mise en œuvre </v>
      </c>
    </row>
    <row r="1289" spans="1:40" x14ac:dyDescent="0.25">
      <c r="A1289" t="s">
        <v>9</v>
      </c>
      <c r="B1289" t="str">
        <f>VLOOKUP(LEFT(A1289,3),'Table corresp.'!$A$4:$D$63,3,FALSE)</f>
        <v>Transformation</v>
      </c>
      <c r="C1289" t="str">
        <f>VLOOKUP(A1289,'Table corresp.'!$M$4:$P$63,4,FALSE)</f>
        <v>Production et transformation de produits bois</v>
      </c>
      <c r="D1289" t="s">
        <v>24</v>
      </c>
      <c r="E1289" t="str">
        <f>VLOOKUP(LEFT(D1289,3),'Table corresp.'!$A$4:$D$63,4,FALSE)</f>
        <v>Transformation</v>
      </c>
      <c r="F1289" t="str">
        <f t="shared" si="157"/>
        <v xml:space="preserve">15  - 57 </v>
      </c>
      <c r="G1289" s="213">
        <v>2094.9144114894916</v>
      </c>
      <c r="H1289" s="213">
        <v>0</v>
      </c>
      <c r="I1289" s="213">
        <v>2094.9144114894916</v>
      </c>
      <c r="J1289" s="215">
        <v>18.939422307226117</v>
      </c>
      <c r="K1289" s="215">
        <v>0</v>
      </c>
      <c r="L1289" s="215">
        <v>18.939422307226117</v>
      </c>
      <c r="M1289" s="215"/>
      <c r="N1289" s="215"/>
      <c r="O1289" s="215"/>
      <c r="P1289" s="215"/>
      <c r="Q1289" s="215"/>
      <c r="R1289" s="215"/>
      <c r="S1289" s="213"/>
      <c r="T1289" s="212">
        <f>VLOOKUP(A1289,'Groupe de branches'!$Z$27:$AM$86,14,FALSE)</f>
        <v>0</v>
      </c>
      <c r="U1289" s="212">
        <f>VLOOKUP(D1289,'Groupe de branches'!$Z$27:$AM$86,14,FALSE)</f>
        <v>0</v>
      </c>
      <c r="V1289" s="212">
        <v>2019</v>
      </c>
      <c r="W1289" s="212" t="str">
        <f>VLOOKUP(D1289,'Table corresp.'!$M$4:$S$63,7,FALSE)</f>
        <v>Construction</v>
      </c>
      <c r="X1289" s="228">
        <f>IFERROR(G1289/SUMIFS('Comp2016-2017 (3)'!$I$5:$I$289,'Comp2016-2017 (3)'!$A$5:$A$289,A1289,'Comp2016-2017 (3)'!$R$5:$R$289,V1289),0)</f>
        <v>9.2110344268711217E-3</v>
      </c>
      <c r="Y1289" s="214" t="e">
        <f>IF(RIGHT(F1289,3)="Exp",VLOOKUP(F1289,#REF!,2,FALSE),VLOOKUP(F1289,#REF!,9,FALSE))</f>
        <v>#REF!</v>
      </c>
      <c r="Z1289" s="225" t="str">
        <f t="shared" si="156"/>
        <v/>
      </c>
      <c r="AA1289" s="225" t="e">
        <f t="shared" si="153"/>
        <v>#VALUE!</v>
      </c>
      <c r="AB1289" s="222">
        <f>IFERROR(SUMIFS('Comp2016-2017 (3)'!$G$5:$G$289,'Comp2016-2017 (3)'!$A$5:$A$289,A1289,'Comp2016-2017 (3)'!$R$5:$R$289,V1289)*AA1289/SUMIFS($AA$4:$AA$1858,$A$4:$A$1858,A1289,$V$4:$V$1858,V1289),0)</f>
        <v>0</v>
      </c>
      <c r="AC1289" s="222" t="str">
        <f>IF($W1289=AC$3,$AB1289,IF(NOT($W1289=0),"",SUMIFS('Val-Vol (2)'!AC$4:AC$1858,'Val-Vol (2)'!$A$4:$A$1858,$D1289,'Val-Vol (2)'!$V$4:$V$1858,$V1289)/SUMIFS('Comp2016-2017 (3)'!$G$5:$G$289,'Comp2016-2017 (3)'!$A$5:$A$289,$D1289,'Comp2016-2017 (3)'!$R$5:$R$289,$V1289)*$AB1289))</f>
        <v/>
      </c>
      <c r="AD1289" s="222">
        <f>IF($W1289=AD$3,$AB1289,IF(NOT($W1289=0),"",SUMIFS('Val-Vol (2)'!AD$4:AD$1858,'Val-Vol (2)'!$A$4:$A$1858,$D1289,'Val-Vol (2)'!$V$4:$V$1858,$V1289)/SUMIFS('Comp2016-2017 (3)'!$G$5:$G$289,'Comp2016-2017 (3)'!$A$5:$A$289,$D1289,'Comp2016-2017 (3)'!$R$5:$R$289,$V1289)*$AB1289))</f>
        <v>0</v>
      </c>
      <c r="AE1289" s="222" t="str">
        <f>IF($W1289=AE$3,$AB1289,IF(NOT($W1289=0),"",SUMIFS('Val-Vol (2)'!AE$4:AE$1858,'Val-Vol (2)'!$A$4:$A$1858,$D1289,'Val-Vol (2)'!$V$4:$V$1858,$V1289)/SUMIFS('Comp2016-2017 (3)'!$G$5:$G$289,'Comp2016-2017 (3)'!$A$5:$A$289,$D1289,'Comp2016-2017 (3)'!$R$5:$R$289,$V1289)*$AB1289))</f>
        <v/>
      </c>
      <c r="AF1289" s="222" t="str">
        <f>IF($W1289=AF$3,$AB1289,IF(NOT($W1289=0),"",SUMIFS('Val-Vol (2)'!AF$4:AF$1858,'Val-Vol (2)'!$A$4:$A$1858,$D1289,'Val-Vol (2)'!$V$4:$V$1858,$V1289)/SUMIFS('Comp2016-2017 (3)'!$G$5:$G$289,'Comp2016-2017 (3)'!$A$5:$A$289,$D1289,'Comp2016-2017 (3)'!$R$5:$R$289,$V1289)*$AB1289))</f>
        <v/>
      </c>
      <c r="AG1289" s="222" t="str">
        <f>IF($W1289=AG$3,$AB1289,IF(NOT($W1289=0),"",SUMIFS('Val-Vol (2)'!AG$4:AG$1858,'Val-Vol (2)'!$A$4:$A$1858,$D1289,'Val-Vol (2)'!$V$4:$V$1858,$V1289)/SUMIFS('Comp2016-2017 (3)'!$G$5:$G$289,'Comp2016-2017 (3)'!$A$5:$A$289,$D1289,'Comp2016-2017 (3)'!$R$5:$R$289,$V1289)*$AB1289))</f>
        <v/>
      </c>
      <c r="AH1289" s="222" t="str">
        <f>IF($W1289=AH$3,$AB1289,IF(NOT($W1289=0),"",SUMIFS('Val-Vol (2)'!AH$4:AH$1858,'Val-Vol (2)'!$A$4:$A$1858,$D1289,'Val-Vol (2)'!$V$4:$V$1858,$V1289)/SUMIFS('Comp2016-2017 (3)'!$G$5:$G$289,'Comp2016-2017 (3)'!$A$5:$A$289,$D1289,'Comp2016-2017 (3)'!$R$5:$R$289,$V1289)*$AB1289))</f>
        <v/>
      </c>
      <c r="AI1289" s="222" t="str">
        <f>IF($W1289=AI$3,$AB1289,IF(NOT($W1289=0),"",SUMIFS('Val-Vol (2)'!AI$4:AI$1858,'Val-Vol (2)'!$A$4:$A$1858,$D1289,'Val-Vol (2)'!$V$4:$V$1858,$V1289)/SUMIFS('Comp2016-2017 (3)'!$G$5:$G$289,'Comp2016-2017 (3)'!$A$5:$A$289,$D1289,'Comp2016-2017 (3)'!$R$5:$R$289,$V1289)*$AB1289))</f>
        <v/>
      </c>
      <c r="AJ1289" s="222" t="str">
        <f>IF($W1289=AJ$3,$AB1289,IF(NOT($W1289=0),"",SUMIFS('Val-Vol (2)'!AJ$4:AJ$1858,'Val-Vol (2)'!$A$4:$A$1858,$D1289,'Val-Vol (2)'!$V$4:$V$1858,$V1289)/SUMIFS('Comp2016-2017 (3)'!$G$5:$G$289,'Comp2016-2017 (3)'!$A$5:$A$289,$D1289,'Comp2016-2017 (3)'!$R$5:$R$289,$V1289)*$AB1289))</f>
        <v/>
      </c>
      <c r="AK1289" s="222">
        <f t="shared" si="154"/>
        <v>0</v>
      </c>
      <c r="AL1289" s="212" t="str">
        <f t="shared" si="155"/>
        <v/>
      </c>
      <c r="AM1289" s="212" t="str">
        <f>VLOOKUP(A1289,'Table corresp.'!$M$4:$U$63,8,FALSE)</f>
        <v>Production intermédiaire</v>
      </c>
      <c r="AN1289" s="212" t="str">
        <f>VLOOKUP(D1289,'Table corresp.'!$M$4:$U$63,9,FALSE)</f>
        <v xml:space="preserve">Mise en œuvre </v>
      </c>
    </row>
    <row r="1290" spans="1:40" x14ac:dyDescent="0.25">
      <c r="A1290" t="s">
        <v>9</v>
      </c>
      <c r="B1290" t="str">
        <f>VLOOKUP(LEFT(A1290,3),'Table corresp.'!$A$4:$D$63,3,FALSE)</f>
        <v>Transformation</v>
      </c>
      <c r="C1290" t="str">
        <f>VLOOKUP(A1290,'Table corresp.'!$M$4:$P$63,4,FALSE)</f>
        <v>Production et transformation de produits bois</v>
      </c>
      <c r="D1290" t="s">
        <v>26</v>
      </c>
      <c r="E1290" t="str">
        <f>VLOOKUP(LEFT(D1290,3),'Table corresp.'!$A$4:$D$63,4,FALSE)</f>
        <v>Transformation</v>
      </c>
      <c r="F1290" t="str">
        <f t="shared" si="157"/>
        <v xml:space="preserve">15  - 59 </v>
      </c>
      <c r="G1290" s="213">
        <v>716.59835933075101</v>
      </c>
      <c r="H1290" s="213">
        <v>0</v>
      </c>
      <c r="I1290" s="213">
        <v>716.59835933075101</v>
      </c>
      <c r="J1290" s="215">
        <v>8.9979537519763486</v>
      </c>
      <c r="K1290" s="215">
        <v>0</v>
      </c>
      <c r="L1290" s="215">
        <v>8.9979537519763486</v>
      </c>
      <c r="M1290" s="215"/>
      <c r="N1290" s="215"/>
      <c r="O1290" s="215"/>
      <c r="P1290" s="215"/>
      <c r="Q1290" s="215"/>
      <c r="R1290" s="215"/>
      <c r="S1290" s="213"/>
      <c r="T1290" s="212">
        <f>VLOOKUP(A1290,'Groupe de branches'!$Z$27:$AM$86,14,FALSE)</f>
        <v>0</v>
      </c>
      <c r="U1290" s="212">
        <f>VLOOKUP(D1290,'Groupe de branches'!$Z$27:$AM$86,14,FALSE)</f>
        <v>0</v>
      </c>
      <c r="V1290" s="212">
        <v>2019</v>
      </c>
      <c r="W1290" s="212" t="str">
        <f>VLOOKUP(D1290,'Table corresp.'!$M$4:$S$63,7,FALSE)</f>
        <v>Construction</v>
      </c>
      <c r="X1290" s="228">
        <f>IFERROR(G1290/SUMIFS('Comp2016-2017 (3)'!$I$5:$I$289,'Comp2016-2017 (3)'!$A$5:$A$289,A1290,'Comp2016-2017 (3)'!$R$5:$R$289,V1290),0)</f>
        <v>3.150778915756206E-3</v>
      </c>
      <c r="Y1290" s="214" t="e">
        <f>IF(RIGHT(F1290,3)="Exp",VLOOKUP(F1290,#REF!,2,FALSE),VLOOKUP(F1290,#REF!,9,FALSE))</f>
        <v>#REF!</v>
      </c>
      <c r="Z1290" s="225" t="str">
        <f t="shared" si="156"/>
        <v/>
      </c>
      <c r="AA1290" s="225" t="e">
        <f t="shared" si="153"/>
        <v>#VALUE!</v>
      </c>
      <c r="AB1290" s="222">
        <f>IFERROR(SUMIFS('Comp2016-2017 (3)'!$G$5:$G$289,'Comp2016-2017 (3)'!$A$5:$A$289,A1290,'Comp2016-2017 (3)'!$R$5:$R$289,V1290)*AA1290/SUMIFS($AA$4:$AA$1858,$A$4:$A$1858,A1290,$V$4:$V$1858,V1290),0)</f>
        <v>0</v>
      </c>
      <c r="AC1290" s="222" t="str">
        <f>IF($W1290=AC$3,$AB1290,IF(NOT($W1290=0),"",SUMIFS('Val-Vol (2)'!AC$4:AC$1858,'Val-Vol (2)'!$A$4:$A$1858,$D1290,'Val-Vol (2)'!$V$4:$V$1858,$V1290)/SUMIFS('Comp2016-2017 (3)'!$G$5:$G$289,'Comp2016-2017 (3)'!$A$5:$A$289,$D1290,'Comp2016-2017 (3)'!$R$5:$R$289,$V1290)*$AB1290))</f>
        <v/>
      </c>
      <c r="AD1290" s="222">
        <f>IF($W1290=AD$3,$AB1290,IF(NOT($W1290=0),"",SUMIFS('Val-Vol (2)'!AD$4:AD$1858,'Val-Vol (2)'!$A$4:$A$1858,$D1290,'Val-Vol (2)'!$V$4:$V$1858,$V1290)/SUMIFS('Comp2016-2017 (3)'!$G$5:$G$289,'Comp2016-2017 (3)'!$A$5:$A$289,$D1290,'Comp2016-2017 (3)'!$R$5:$R$289,$V1290)*$AB1290))</f>
        <v>0</v>
      </c>
      <c r="AE1290" s="222" t="str">
        <f>IF($W1290=AE$3,$AB1290,IF(NOT($W1290=0),"",SUMIFS('Val-Vol (2)'!AE$4:AE$1858,'Val-Vol (2)'!$A$4:$A$1858,$D1290,'Val-Vol (2)'!$V$4:$V$1858,$V1290)/SUMIFS('Comp2016-2017 (3)'!$G$5:$G$289,'Comp2016-2017 (3)'!$A$5:$A$289,$D1290,'Comp2016-2017 (3)'!$R$5:$R$289,$V1290)*$AB1290))</f>
        <v/>
      </c>
      <c r="AF1290" s="222" t="str">
        <f>IF($W1290=AF$3,$AB1290,IF(NOT($W1290=0),"",SUMIFS('Val-Vol (2)'!AF$4:AF$1858,'Val-Vol (2)'!$A$4:$A$1858,$D1290,'Val-Vol (2)'!$V$4:$V$1858,$V1290)/SUMIFS('Comp2016-2017 (3)'!$G$5:$G$289,'Comp2016-2017 (3)'!$A$5:$A$289,$D1290,'Comp2016-2017 (3)'!$R$5:$R$289,$V1290)*$AB1290))</f>
        <v/>
      </c>
      <c r="AG1290" s="222" t="str">
        <f>IF($W1290=AG$3,$AB1290,IF(NOT($W1290=0),"",SUMIFS('Val-Vol (2)'!AG$4:AG$1858,'Val-Vol (2)'!$A$4:$A$1858,$D1290,'Val-Vol (2)'!$V$4:$V$1858,$V1290)/SUMIFS('Comp2016-2017 (3)'!$G$5:$G$289,'Comp2016-2017 (3)'!$A$5:$A$289,$D1290,'Comp2016-2017 (3)'!$R$5:$R$289,$V1290)*$AB1290))</f>
        <v/>
      </c>
      <c r="AH1290" s="222" t="str">
        <f>IF($W1290=AH$3,$AB1290,IF(NOT($W1290=0),"",SUMIFS('Val-Vol (2)'!AH$4:AH$1858,'Val-Vol (2)'!$A$4:$A$1858,$D1290,'Val-Vol (2)'!$V$4:$V$1858,$V1290)/SUMIFS('Comp2016-2017 (3)'!$G$5:$G$289,'Comp2016-2017 (3)'!$A$5:$A$289,$D1290,'Comp2016-2017 (3)'!$R$5:$R$289,$V1290)*$AB1290))</f>
        <v/>
      </c>
      <c r="AI1290" s="222" t="str">
        <f>IF($W1290=AI$3,$AB1290,IF(NOT($W1290=0),"",SUMIFS('Val-Vol (2)'!AI$4:AI$1858,'Val-Vol (2)'!$A$4:$A$1858,$D1290,'Val-Vol (2)'!$V$4:$V$1858,$V1290)/SUMIFS('Comp2016-2017 (3)'!$G$5:$G$289,'Comp2016-2017 (3)'!$A$5:$A$289,$D1290,'Comp2016-2017 (3)'!$R$5:$R$289,$V1290)*$AB1290))</f>
        <v/>
      </c>
      <c r="AJ1290" s="222" t="str">
        <f>IF($W1290=AJ$3,$AB1290,IF(NOT($W1290=0),"",SUMIFS('Val-Vol (2)'!AJ$4:AJ$1858,'Val-Vol (2)'!$A$4:$A$1858,$D1290,'Val-Vol (2)'!$V$4:$V$1858,$V1290)/SUMIFS('Comp2016-2017 (3)'!$G$5:$G$289,'Comp2016-2017 (3)'!$A$5:$A$289,$D1290,'Comp2016-2017 (3)'!$R$5:$R$289,$V1290)*$AB1290))</f>
        <v/>
      </c>
      <c r="AK1290" s="222">
        <f t="shared" si="154"/>
        <v>0</v>
      </c>
      <c r="AL1290" s="212" t="str">
        <f t="shared" si="155"/>
        <v/>
      </c>
      <c r="AM1290" s="212" t="str">
        <f>VLOOKUP(A1290,'Table corresp.'!$M$4:$U$63,8,FALSE)</f>
        <v>Production intermédiaire</v>
      </c>
      <c r="AN1290" s="212" t="str">
        <f>VLOOKUP(D1290,'Table corresp.'!$M$4:$U$63,9,FALSE)</f>
        <v xml:space="preserve">Mise en œuvre </v>
      </c>
    </row>
    <row r="1291" spans="1:40" x14ac:dyDescent="0.25">
      <c r="A1291" t="s">
        <v>9</v>
      </c>
      <c r="B1291" t="str">
        <f>VLOOKUP(LEFT(A1291,3),'Table corresp.'!$A$4:$D$63,3,FALSE)</f>
        <v>Transformation</v>
      </c>
      <c r="C1291" t="str">
        <f>VLOOKUP(A1291,'Table corresp.'!$M$4:$P$63,4,FALSE)</f>
        <v>Production et transformation de produits bois</v>
      </c>
      <c r="D1291" t="s">
        <v>54</v>
      </c>
      <c r="E1291" t="str">
        <f>VLOOKUP(LEFT(D1291,3),'Table corresp.'!$A$4:$D$63,4,FALSE)</f>
        <v>Consommation finale</v>
      </c>
      <c r="F1291" t="str">
        <f t="shared" si="157"/>
        <v>15  - Con</v>
      </c>
      <c r="G1291" s="213">
        <v>32626.085395898153</v>
      </c>
      <c r="H1291" s="213">
        <v>0</v>
      </c>
      <c r="I1291" s="213">
        <v>32626.085395898153</v>
      </c>
      <c r="J1291" s="215">
        <v>269.70835545963354</v>
      </c>
      <c r="K1291" s="215">
        <v>0</v>
      </c>
      <c r="L1291" s="215">
        <v>269.70835545963354</v>
      </c>
      <c r="M1291" s="215"/>
      <c r="N1291" s="215"/>
      <c r="O1291" s="215"/>
      <c r="P1291" s="215"/>
      <c r="Q1291" s="215"/>
      <c r="R1291" s="215"/>
      <c r="S1291" s="213"/>
      <c r="T1291" s="212">
        <f>VLOOKUP(A1291,'Groupe de branches'!$Z$27:$AM$86,14,FALSE)</f>
        <v>0</v>
      </c>
      <c r="U1291" s="212">
        <f>VLOOKUP(D1291,'Groupe de branches'!$Z$27:$AM$86,14,FALSE)</f>
        <v>0</v>
      </c>
      <c r="V1291" s="212">
        <v>2019</v>
      </c>
      <c r="W1291" s="212" t="str">
        <f>VLOOKUP(D1291,'Table corresp.'!$M$4:$S$63,7,FALSE)</f>
        <v>Consommation finale</v>
      </c>
      <c r="X1291" s="228">
        <f>IFERROR(G1291/SUMIFS('Comp2016-2017 (3)'!$I$5:$I$289,'Comp2016-2017 (3)'!$A$5:$A$289,A1291,'Comp2016-2017 (3)'!$R$5:$R$289,V1291),0)</f>
        <v>0.14345215926123886</v>
      </c>
      <c r="Y1291" s="214" t="e">
        <f>IF(RIGHT(F1291,3)="Exp",VLOOKUP(F1291,#REF!,2,FALSE),VLOOKUP(F1291,#REF!,9,FALSE))</f>
        <v>#REF!</v>
      </c>
      <c r="Z1291" s="225" t="str">
        <f t="shared" si="156"/>
        <v/>
      </c>
      <c r="AA1291" s="225" t="e">
        <f t="shared" si="153"/>
        <v>#VALUE!</v>
      </c>
      <c r="AB1291" s="222">
        <f>IFERROR(SUMIFS('Comp2016-2017 (3)'!$G$5:$G$289,'Comp2016-2017 (3)'!$A$5:$A$289,A1291,'Comp2016-2017 (3)'!$R$5:$R$289,V1291)*AA1291/SUMIFS($AA$4:$AA$1858,$A$4:$A$1858,A1291,$V$4:$V$1858,V1291),0)</f>
        <v>0</v>
      </c>
      <c r="AC1291" s="222" t="str">
        <f>IF($W1291=AC$3,$AB1291,IF(NOT($W1291=0),"",SUMIFS('Val-Vol (2)'!AC$4:AC$1858,'Val-Vol (2)'!$A$4:$A$1858,$D1291,'Val-Vol (2)'!$V$4:$V$1858,$V1291)/SUMIFS('Comp2016-2017 (3)'!$G$5:$G$289,'Comp2016-2017 (3)'!$A$5:$A$289,$D1291,'Comp2016-2017 (3)'!$R$5:$R$289,$V1291)*$AB1291))</f>
        <v/>
      </c>
      <c r="AD1291" s="222" t="str">
        <f>IF($W1291=AD$3,$AB1291,IF(NOT($W1291=0),"",SUMIFS('Val-Vol (2)'!AD$4:AD$1858,'Val-Vol (2)'!$A$4:$A$1858,$D1291,'Val-Vol (2)'!$V$4:$V$1858,$V1291)/SUMIFS('Comp2016-2017 (3)'!$G$5:$G$289,'Comp2016-2017 (3)'!$A$5:$A$289,$D1291,'Comp2016-2017 (3)'!$R$5:$R$289,$V1291)*$AB1291))</f>
        <v/>
      </c>
      <c r="AE1291" s="222" t="str">
        <f>IF($W1291=AE$3,$AB1291,IF(NOT($W1291=0),"",SUMIFS('Val-Vol (2)'!AE$4:AE$1858,'Val-Vol (2)'!$A$4:$A$1858,$D1291,'Val-Vol (2)'!$V$4:$V$1858,$V1291)/SUMIFS('Comp2016-2017 (3)'!$G$5:$G$289,'Comp2016-2017 (3)'!$A$5:$A$289,$D1291,'Comp2016-2017 (3)'!$R$5:$R$289,$V1291)*$AB1291))</f>
        <v/>
      </c>
      <c r="AF1291" s="222" t="str">
        <f>IF($W1291=AF$3,$AB1291,IF(NOT($W1291=0),"",SUMIFS('Val-Vol (2)'!AF$4:AF$1858,'Val-Vol (2)'!$A$4:$A$1858,$D1291,'Val-Vol (2)'!$V$4:$V$1858,$V1291)/SUMIFS('Comp2016-2017 (3)'!$G$5:$G$289,'Comp2016-2017 (3)'!$A$5:$A$289,$D1291,'Comp2016-2017 (3)'!$R$5:$R$289,$V1291)*$AB1291))</f>
        <v/>
      </c>
      <c r="AG1291" s="222" t="str">
        <f>IF($W1291=AG$3,$AB1291,IF(NOT($W1291=0),"",SUMIFS('Val-Vol (2)'!AG$4:AG$1858,'Val-Vol (2)'!$A$4:$A$1858,$D1291,'Val-Vol (2)'!$V$4:$V$1858,$V1291)/SUMIFS('Comp2016-2017 (3)'!$G$5:$G$289,'Comp2016-2017 (3)'!$A$5:$A$289,$D1291,'Comp2016-2017 (3)'!$R$5:$R$289,$V1291)*$AB1291))</f>
        <v/>
      </c>
      <c r="AH1291" s="222" t="str">
        <f>IF($W1291=AH$3,$AB1291,IF(NOT($W1291=0),"",SUMIFS('Val-Vol (2)'!AH$4:AH$1858,'Val-Vol (2)'!$A$4:$A$1858,$D1291,'Val-Vol (2)'!$V$4:$V$1858,$V1291)/SUMIFS('Comp2016-2017 (3)'!$G$5:$G$289,'Comp2016-2017 (3)'!$A$5:$A$289,$D1291,'Comp2016-2017 (3)'!$R$5:$R$289,$V1291)*$AB1291))</f>
        <v/>
      </c>
      <c r="AI1291" s="222" t="str">
        <f>IF($W1291=AI$3,$AB1291,IF(NOT($W1291=0),"",SUMIFS('Val-Vol (2)'!AI$4:AI$1858,'Val-Vol (2)'!$A$4:$A$1858,$D1291,'Val-Vol (2)'!$V$4:$V$1858,$V1291)/SUMIFS('Comp2016-2017 (3)'!$G$5:$G$289,'Comp2016-2017 (3)'!$A$5:$A$289,$D1291,'Comp2016-2017 (3)'!$R$5:$R$289,$V1291)*$AB1291))</f>
        <v/>
      </c>
      <c r="AJ1291" s="222">
        <f>IF($W1291=AJ$3,$AB1291,IF(NOT($W1291=0),"",SUMIFS('Val-Vol (2)'!AJ$4:AJ$1858,'Val-Vol (2)'!$A$4:$A$1858,$D1291,'Val-Vol (2)'!$V$4:$V$1858,$V1291)/SUMIFS('Comp2016-2017 (3)'!$G$5:$G$289,'Comp2016-2017 (3)'!$A$5:$A$289,$D1291,'Comp2016-2017 (3)'!$R$5:$R$289,$V1291)*$AB1291))</f>
        <v>0</v>
      </c>
      <c r="AK1291" s="222">
        <f t="shared" si="154"/>
        <v>0</v>
      </c>
      <c r="AL1291" s="212" t="str">
        <f t="shared" si="155"/>
        <v/>
      </c>
      <c r="AM1291" s="212" t="str">
        <f>VLOOKUP(A1291,'Table corresp.'!$M$4:$U$63,8,FALSE)</f>
        <v>Production intermédiaire</v>
      </c>
      <c r="AN1291" s="212" t="str">
        <f>VLOOKUP(D1291,'Table corresp.'!$M$4:$U$63,9,FALSE)</f>
        <v>Consommation finale française</v>
      </c>
    </row>
    <row r="1292" spans="1:40" x14ac:dyDescent="0.25">
      <c r="A1292" t="s">
        <v>10</v>
      </c>
      <c r="B1292" t="str">
        <f>VLOOKUP(LEFT(A1292,3),'Table corresp.'!$A$4:$D$63,3,FALSE)</f>
        <v>Transformation</v>
      </c>
      <c r="C1292" t="str">
        <f>VLOOKUP(A1292,'Table corresp.'!$M$4:$P$63,4,FALSE)</f>
        <v>Production et transformation de produits bois</v>
      </c>
      <c r="D1292" t="s">
        <v>17</v>
      </c>
      <c r="E1292" t="str">
        <f>VLOOKUP(LEFT(D1292,3),'Table corresp.'!$A$4:$D$63,4,FALSE)</f>
        <v>Transformation</v>
      </c>
      <c r="F1292" t="str">
        <f t="shared" si="157"/>
        <v xml:space="preserve">16  - 38 </v>
      </c>
      <c r="G1292" s="213">
        <v>225905.24076598769</v>
      </c>
      <c r="H1292" s="213">
        <v>0</v>
      </c>
      <c r="I1292" s="213">
        <v>225905.24076598769</v>
      </c>
      <c r="J1292" s="215">
        <v>312.17818066665774</v>
      </c>
      <c r="K1292" s="215">
        <v>0</v>
      </c>
      <c r="L1292" s="215">
        <v>312.17818066665774</v>
      </c>
      <c r="M1292" s="215"/>
      <c r="N1292" s="215"/>
      <c r="O1292" s="215"/>
      <c r="P1292" s="215"/>
      <c r="Q1292" s="215"/>
      <c r="R1292" s="215"/>
      <c r="S1292" s="213"/>
      <c r="T1292" s="212">
        <f>VLOOKUP(A1292,'Groupe de branches'!$Z$27:$AM$86,14,FALSE)</f>
        <v>0</v>
      </c>
      <c r="U1292" s="212">
        <f>VLOOKUP(D1292,'Groupe de branches'!$Z$27:$AM$86,14,FALSE)</f>
        <v>0</v>
      </c>
      <c r="V1292" s="212">
        <v>2019</v>
      </c>
      <c r="W1292" s="212" t="str">
        <f>VLOOKUP(D1292,'Table corresp.'!$M$4:$S$63,7,FALSE)</f>
        <v>Emballage bois et carton</v>
      </c>
      <c r="X1292" s="228">
        <f>IFERROR(G1292/SUMIFS('Comp2016-2017 (3)'!$I$5:$I$289,'Comp2016-2017 (3)'!$A$5:$A$289,A1292,'Comp2016-2017 (3)'!$R$5:$R$289,V1292),0)</f>
        <v>0.92100221351995404</v>
      </c>
      <c r="Y1292" s="214" t="e">
        <f>IF(RIGHT(F1292,3)="Exp",VLOOKUP(F1292,#REF!,2,FALSE),VLOOKUP(F1292,#REF!,9,FALSE))</f>
        <v>#REF!</v>
      </c>
      <c r="Z1292" s="225" t="str">
        <f t="shared" si="156"/>
        <v/>
      </c>
      <c r="AA1292" s="225" t="e">
        <f t="shared" si="153"/>
        <v>#VALUE!</v>
      </c>
      <c r="AB1292" s="222">
        <f>IFERROR(SUMIFS('Comp2016-2017 (3)'!$G$5:$G$289,'Comp2016-2017 (3)'!$A$5:$A$289,A1292,'Comp2016-2017 (3)'!$R$5:$R$289,V1292)*AA1292/SUMIFS($AA$4:$AA$1858,$A$4:$A$1858,A1292,$V$4:$V$1858,V1292),0)</f>
        <v>0</v>
      </c>
      <c r="AC1292" s="222" t="str">
        <f>IF($W1292=AC$3,$AB1292,IF(NOT($W1292=0),"",SUMIFS('Val-Vol (2)'!AC$4:AC$1858,'Val-Vol (2)'!$A$4:$A$1858,$D1292,'Val-Vol (2)'!$V$4:$V$1858,$V1292)/SUMIFS('Comp2016-2017 (3)'!$G$5:$G$289,'Comp2016-2017 (3)'!$A$5:$A$289,$D1292,'Comp2016-2017 (3)'!$R$5:$R$289,$V1292)*$AB1292))</f>
        <v/>
      </c>
      <c r="AD1292" s="222" t="str">
        <f>IF($W1292=AD$3,$AB1292,IF(NOT($W1292=0),"",SUMIFS('Val-Vol (2)'!AD$4:AD$1858,'Val-Vol (2)'!$A$4:$A$1858,$D1292,'Val-Vol (2)'!$V$4:$V$1858,$V1292)/SUMIFS('Comp2016-2017 (3)'!$G$5:$G$289,'Comp2016-2017 (3)'!$A$5:$A$289,$D1292,'Comp2016-2017 (3)'!$R$5:$R$289,$V1292)*$AB1292))</f>
        <v/>
      </c>
      <c r="AE1292" s="222" t="str">
        <f>IF($W1292=AE$3,$AB1292,IF(NOT($W1292=0),"",SUMIFS('Val-Vol (2)'!AE$4:AE$1858,'Val-Vol (2)'!$A$4:$A$1858,$D1292,'Val-Vol (2)'!$V$4:$V$1858,$V1292)/SUMIFS('Comp2016-2017 (3)'!$G$5:$G$289,'Comp2016-2017 (3)'!$A$5:$A$289,$D1292,'Comp2016-2017 (3)'!$R$5:$R$289,$V1292)*$AB1292))</f>
        <v/>
      </c>
      <c r="AF1292" s="222" t="str">
        <f>IF($W1292=AF$3,$AB1292,IF(NOT($W1292=0),"",SUMIFS('Val-Vol (2)'!AF$4:AF$1858,'Val-Vol (2)'!$A$4:$A$1858,$D1292,'Val-Vol (2)'!$V$4:$V$1858,$V1292)/SUMIFS('Comp2016-2017 (3)'!$G$5:$G$289,'Comp2016-2017 (3)'!$A$5:$A$289,$D1292,'Comp2016-2017 (3)'!$R$5:$R$289,$V1292)*$AB1292))</f>
        <v/>
      </c>
      <c r="AG1292" s="222">
        <f>IF($W1292=AG$3,$AB1292,IF(NOT($W1292=0),"",SUMIFS('Val-Vol (2)'!AG$4:AG$1858,'Val-Vol (2)'!$A$4:$A$1858,$D1292,'Val-Vol (2)'!$V$4:$V$1858,$V1292)/SUMIFS('Comp2016-2017 (3)'!$G$5:$G$289,'Comp2016-2017 (3)'!$A$5:$A$289,$D1292,'Comp2016-2017 (3)'!$R$5:$R$289,$V1292)*$AB1292))</f>
        <v>0</v>
      </c>
      <c r="AH1292" s="222" t="str">
        <f>IF($W1292=AH$3,$AB1292,IF(NOT($W1292=0),"",SUMIFS('Val-Vol (2)'!AH$4:AH$1858,'Val-Vol (2)'!$A$4:$A$1858,$D1292,'Val-Vol (2)'!$V$4:$V$1858,$V1292)/SUMIFS('Comp2016-2017 (3)'!$G$5:$G$289,'Comp2016-2017 (3)'!$A$5:$A$289,$D1292,'Comp2016-2017 (3)'!$R$5:$R$289,$V1292)*$AB1292))</f>
        <v/>
      </c>
      <c r="AI1292" s="222" t="str">
        <f>IF($W1292=AI$3,$AB1292,IF(NOT($W1292=0),"",SUMIFS('Val-Vol (2)'!AI$4:AI$1858,'Val-Vol (2)'!$A$4:$A$1858,$D1292,'Val-Vol (2)'!$V$4:$V$1858,$V1292)/SUMIFS('Comp2016-2017 (3)'!$G$5:$G$289,'Comp2016-2017 (3)'!$A$5:$A$289,$D1292,'Comp2016-2017 (3)'!$R$5:$R$289,$V1292)*$AB1292))</f>
        <v/>
      </c>
      <c r="AJ1292" s="222" t="str">
        <f>IF($W1292=AJ$3,$AB1292,IF(NOT($W1292=0),"",SUMIFS('Val-Vol (2)'!AJ$4:AJ$1858,'Val-Vol (2)'!$A$4:$A$1858,$D1292,'Val-Vol (2)'!$V$4:$V$1858,$V1292)/SUMIFS('Comp2016-2017 (3)'!$G$5:$G$289,'Comp2016-2017 (3)'!$A$5:$A$289,$D1292,'Comp2016-2017 (3)'!$R$5:$R$289,$V1292)*$AB1292))</f>
        <v/>
      </c>
      <c r="AK1292" s="222">
        <f t="shared" si="154"/>
        <v>0</v>
      </c>
      <c r="AL1292" s="212" t="str">
        <f t="shared" si="155"/>
        <v/>
      </c>
      <c r="AM1292" s="212" t="str">
        <f>VLOOKUP(A1292,'Table corresp.'!$M$4:$U$63,8,FALSE)</f>
        <v>Production intermédiaire</v>
      </c>
      <c r="AN1292" s="212" t="str">
        <f>VLOOKUP(D1292,'Table corresp.'!$M$4:$U$63,9,FALSE)</f>
        <v>Production finale</v>
      </c>
    </row>
    <row r="1293" spans="1:40" x14ac:dyDescent="0.25">
      <c r="A1293" t="s">
        <v>10</v>
      </c>
      <c r="B1293" t="str">
        <f>VLOOKUP(LEFT(A1293,3),'Table corresp.'!$A$4:$D$63,3,FALSE)</f>
        <v>Transformation</v>
      </c>
      <c r="C1293" t="str">
        <f>VLOOKUP(A1293,'Table corresp.'!$M$4:$P$63,4,FALSE)</f>
        <v>Production et transformation de produits bois</v>
      </c>
      <c r="D1293" t="s">
        <v>53</v>
      </c>
      <c r="E1293" t="str">
        <f>VLOOKUP(LEFT(D1293,3),'Table corresp.'!$A$4:$D$63,4,FALSE)</f>
        <v>Exportation</v>
      </c>
      <c r="F1293" t="str">
        <f t="shared" si="157"/>
        <v>16  - Exp</v>
      </c>
      <c r="G1293" s="213">
        <v>19376.734800100432</v>
      </c>
      <c r="H1293" s="213">
        <v>0</v>
      </c>
      <c r="I1293" s="213">
        <v>19376.734800100432</v>
      </c>
      <c r="J1293" s="215">
        <v>20.209201008712917</v>
      </c>
      <c r="K1293" s="215">
        <v>0</v>
      </c>
      <c r="L1293" s="215">
        <v>20.209201008712917</v>
      </c>
      <c r="M1293" s="215"/>
      <c r="N1293" s="215"/>
      <c r="O1293" s="215"/>
      <c r="P1293" s="215"/>
      <c r="Q1293" s="215"/>
      <c r="R1293" s="215"/>
      <c r="S1293" s="213"/>
      <c r="T1293" s="212">
        <f>VLOOKUP(A1293,'Groupe de branches'!$Z$27:$AM$86,14,FALSE)</f>
        <v>0</v>
      </c>
      <c r="U1293" s="212">
        <f>VLOOKUP(D1293,'Groupe de branches'!$Z$27:$AM$86,14,FALSE)</f>
        <v>0</v>
      </c>
      <c r="V1293" s="212">
        <v>2019</v>
      </c>
      <c r="W1293" s="212" t="str">
        <f>VLOOKUP(D1293,'Table corresp.'!$M$4:$S$63,7,FALSE)</f>
        <v>Exportation</v>
      </c>
      <c r="X1293" s="228">
        <f>IFERROR(G1293/SUMIFS('Comp2016-2017 (3)'!$I$5:$I$289,'Comp2016-2017 (3)'!$A$5:$A$289,A1293,'Comp2016-2017 (3)'!$R$5:$R$289,V1293),0)</f>
        <v>7.899779385892193E-2</v>
      </c>
      <c r="Y1293" s="214" t="e">
        <f>IF(RIGHT(F1293,3)="Exp",VLOOKUP(F1293,#REF!,2,FALSE),VLOOKUP(F1293,#REF!,9,FALSE))</f>
        <v>#REF!</v>
      </c>
      <c r="Z1293" s="225" t="str">
        <f t="shared" si="156"/>
        <v/>
      </c>
      <c r="AA1293" s="225" t="e">
        <f t="shared" si="153"/>
        <v>#VALUE!</v>
      </c>
      <c r="AB1293" s="222">
        <f>IFERROR(SUMIFS('Comp2016-2017 (3)'!$G$5:$G$289,'Comp2016-2017 (3)'!$A$5:$A$289,A1293,'Comp2016-2017 (3)'!$R$5:$R$289,V1293)*AA1293/SUMIFS($AA$4:$AA$1858,$A$4:$A$1858,A1293,$V$4:$V$1858,V1293),0)</f>
        <v>0</v>
      </c>
      <c r="AC1293" s="222">
        <f>IF($W1293=AC$3,$AB1293,IF(NOT($W1293=0),"",SUMIFS('Val-Vol (2)'!AC$4:AC$1858,'Val-Vol (2)'!$A$4:$A$1858,$D1293,'Val-Vol (2)'!$V$4:$V$1858,$V1293)/SUMIFS('Comp2016-2017 (3)'!$G$5:$G$289,'Comp2016-2017 (3)'!$A$5:$A$289,$D1293,'Comp2016-2017 (3)'!$R$5:$R$289,$V1293)*$AB1293))</f>
        <v>0</v>
      </c>
      <c r="AD1293" s="222" t="str">
        <f>IF($W1293=AD$3,$AB1293,IF(NOT($W1293=0),"",SUMIFS('Val-Vol (2)'!AD$4:AD$1858,'Val-Vol (2)'!$A$4:$A$1858,$D1293,'Val-Vol (2)'!$V$4:$V$1858,$V1293)/SUMIFS('Comp2016-2017 (3)'!$G$5:$G$289,'Comp2016-2017 (3)'!$A$5:$A$289,$D1293,'Comp2016-2017 (3)'!$R$5:$R$289,$V1293)*$AB1293))</f>
        <v/>
      </c>
      <c r="AE1293" s="222" t="str">
        <f>IF($W1293=AE$3,$AB1293,IF(NOT($W1293=0),"",SUMIFS('Val-Vol (2)'!AE$4:AE$1858,'Val-Vol (2)'!$A$4:$A$1858,$D1293,'Val-Vol (2)'!$V$4:$V$1858,$V1293)/SUMIFS('Comp2016-2017 (3)'!$G$5:$G$289,'Comp2016-2017 (3)'!$A$5:$A$289,$D1293,'Comp2016-2017 (3)'!$R$5:$R$289,$V1293)*$AB1293))</f>
        <v/>
      </c>
      <c r="AF1293" s="222" t="str">
        <f>IF($W1293=AF$3,$AB1293,IF(NOT($W1293=0),"",SUMIFS('Val-Vol (2)'!AF$4:AF$1858,'Val-Vol (2)'!$A$4:$A$1858,$D1293,'Val-Vol (2)'!$V$4:$V$1858,$V1293)/SUMIFS('Comp2016-2017 (3)'!$G$5:$G$289,'Comp2016-2017 (3)'!$A$5:$A$289,$D1293,'Comp2016-2017 (3)'!$R$5:$R$289,$V1293)*$AB1293))</f>
        <v/>
      </c>
      <c r="AG1293" s="222" t="str">
        <f>IF($W1293=AG$3,$AB1293,IF(NOT($W1293=0),"",SUMIFS('Val-Vol (2)'!AG$4:AG$1858,'Val-Vol (2)'!$A$4:$A$1858,$D1293,'Val-Vol (2)'!$V$4:$V$1858,$V1293)/SUMIFS('Comp2016-2017 (3)'!$G$5:$G$289,'Comp2016-2017 (3)'!$A$5:$A$289,$D1293,'Comp2016-2017 (3)'!$R$5:$R$289,$V1293)*$AB1293))</f>
        <v/>
      </c>
      <c r="AH1293" s="222" t="str">
        <f>IF($W1293=AH$3,$AB1293,IF(NOT($W1293=0),"",SUMIFS('Val-Vol (2)'!AH$4:AH$1858,'Val-Vol (2)'!$A$4:$A$1858,$D1293,'Val-Vol (2)'!$V$4:$V$1858,$V1293)/SUMIFS('Comp2016-2017 (3)'!$G$5:$G$289,'Comp2016-2017 (3)'!$A$5:$A$289,$D1293,'Comp2016-2017 (3)'!$R$5:$R$289,$V1293)*$AB1293))</f>
        <v/>
      </c>
      <c r="AI1293" s="222" t="str">
        <f>IF($W1293=AI$3,$AB1293,IF(NOT($W1293=0),"",SUMIFS('Val-Vol (2)'!AI$4:AI$1858,'Val-Vol (2)'!$A$4:$A$1858,$D1293,'Val-Vol (2)'!$V$4:$V$1858,$V1293)/SUMIFS('Comp2016-2017 (3)'!$G$5:$G$289,'Comp2016-2017 (3)'!$A$5:$A$289,$D1293,'Comp2016-2017 (3)'!$R$5:$R$289,$V1293)*$AB1293))</f>
        <v/>
      </c>
      <c r="AJ1293" s="222" t="str">
        <f>IF($W1293=AJ$3,$AB1293,IF(NOT($W1293=0),"",SUMIFS('Val-Vol (2)'!AJ$4:AJ$1858,'Val-Vol (2)'!$A$4:$A$1858,$D1293,'Val-Vol (2)'!$V$4:$V$1858,$V1293)/SUMIFS('Comp2016-2017 (3)'!$G$5:$G$289,'Comp2016-2017 (3)'!$A$5:$A$289,$D1293,'Comp2016-2017 (3)'!$R$5:$R$289,$V1293)*$AB1293))</f>
        <v/>
      </c>
      <c r="AK1293" s="222">
        <f t="shared" si="154"/>
        <v>0</v>
      </c>
      <c r="AL1293" s="212" t="str">
        <f t="shared" si="155"/>
        <v/>
      </c>
      <c r="AM1293" s="212" t="str">
        <f>VLOOKUP(A1293,'Table corresp.'!$M$4:$U$63,8,FALSE)</f>
        <v>Production intermédiaire</v>
      </c>
      <c r="AN1293" s="212" t="str">
        <f>VLOOKUP(D1293,'Table corresp.'!$M$4:$U$63,9,FALSE)</f>
        <v>Exportation</v>
      </c>
    </row>
    <row r="1294" spans="1:40" x14ac:dyDescent="0.25">
      <c r="A1294" t="s">
        <v>84</v>
      </c>
      <c r="B1294" t="str">
        <f>VLOOKUP(LEFT(A1294,3),'Table corresp.'!$A$4:$D$63,3,FALSE)</f>
        <v>Transformation</v>
      </c>
      <c r="C1294" t="str">
        <f>VLOOKUP(A1294,'Table corresp.'!$M$4:$P$63,4,FALSE)</f>
        <v>Production et transformation de produits bois</v>
      </c>
      <c r="D1294" t="s">
        <v>85</v>
      </c>
      <c r="E1294" t="str">
        <f>VLOOKUP(LEFT(D1294,3),'Table corresp.'!$A$4:$D$63,4,FALSE)</f>
        <v>Transformation</v>
      </c>
      <c r="F1294" t="str">
        <f t="shared" si="157"/>
        <v xml:space="preserve">17  - 29 </v>
      </c>
      <c r="G1294" s="213">
        <v>19006.459239710584</v>
      </c>
      <c r="H1294" s="213">
        <v>8017.6229999999996</v>
      </c>
      <c r="I1294" s="213">
        <v>27024.082239710584</v>
      </c>
      <c r="J1294" s="215">
        <v>133.74860256636654</v>
      </c>
      <c r="K1294" s="215">
        <v>37.290498794853939</v>
      </c>
      <c r="L1294" s="215">
        <v>171.03910136122047</v>
      </c>
      <c r="M1294" s="215"/>
      <c r="N1294" s="215"/>
      <c r="O1294" s="215"/>
      <c r="P1294" s="215"/>
      <c r="Q1294" s="215"/>
      <c r="R1294" s="215"/>
      <c r="S1294" s="213"/>
      <c r="T1294" s="212">
        <f>VLOOKUP(A1294,'Groupe de branches'!$Z$27:$AM$86,14,FALSE)</f>
        <v>0</v>
      </c>
      <c r="U1294" s="212">
        <f>VLOOKUP(D1294,'Groupe de branches'!$Z$27:$AM$86,14,FALSE)</f>
        <v>0</v>
      </c>
      <c r="V1294" s="212">
        <v>2019</v>
      </c>
      <c r="W1294" s="212" t="str">
        <f>VLOOKUP(D1294,'Table corresp.'!$M$4:$S$63,7,FALSE)</f>
        <v>Construction</v>
      </c>
      <c r="X1294" s="228">
        <f>IFERROR(G1294/SUMIFS('Comp2016-2017 (3)'!$I$5:$I$289,'Comp2016-2017 (3)'!$A$5:$A$289,A1294,'Comp2016-2017 (3)'!$R$5:$R$289,V1294),0)</f>
        <v>0.45221004967552686</v>
      </c>
      <c r="Y1294" s="214" t="e">
        <f>IF(RIGHT(F1294,3)="Exp",VLOOKUP(F1294,#REF!,2,FALSE),VLOOKUP(F1294,#REF!,9,FALSE))</f>
        <v>#REF!</v>
      </c>
      <c r="Z1294" s="225" t="str">
        <f t="shared" si="156"/>
        <v/>
      </c>
      <c r="AA1294" s="225" t="e">
        <f t="shared" si="153"/>
        <v>#VALUE!</v>
      </c>
      <c r="AB1294" s="222">
        <f>IFERROR(SUMIFS('Comp2016-2017 (3)'!$G$5:$G$289,'Comp2016-2017 (3)'!$A$5:$A$289,A1294,'Comp2016-2017 (3)'!$R$5:$R$289,V1294)*AA1294/SUMIFS($AA$4:$AA$1858,$A$4:$A$1858,A1294,$V$4:$V$1858,V1294),0)</f>
        <v>0</v>
      </c>
      <c r="AC1294" s="222" t="str">
        <f>IF($W1294=AC$3,$AB1294,IF(NOT($W1294=0),"",SUMIFS('Val-Vol (2)'!AC$4:AC$1858,'Val-Vol (2)'!$A$4:$A$1858,$D1294,'Val-Vol (2)'!$V$4:$V$1858,$V1294)/SUMIFS('Comp2016-2017 (3)'!$G$5:$G$289,'Comp2016-2017 (3)'!$A$5:$A$289,$D1294,'Comp2016-2017 (3)'!$R$5:$R$289,$V1294)*$AB1294))</f>
        <v/>
      </c>
      <c r="AD1294" s="222">
        <f>IF($W1294=AD$3,$AB1294,IF(NOT($W1294=0),"",SUMIFS('Val-Vol (2)'!AD$4:AD$1858,'Val-Vol (2)'!$A$4:$A$1858,$D1294,'Val-Vol (2)'!$V$4:$V$1858,$V1294)/SUMIFS('Comp2016-2017 (3)'!$G$5:$G$289,'Comp2016-2017 (3)'!$A$5:$A$289,$D1294,'Comp2016-2017 (3)'!$R$5:$R$289,$V1294)*$AB1294))</f>
        <v>0</v>
      </c>
      <c r="AE1294" s="222" t="str">
        <f>IF($W1294=AE$3,$AB1294,IF(NOT($W1294=0),"",SUMIFS('Val-Vol (2)'!AE$4:AE$1858,'Val-Vol (2)'!$A$4:$A$1858,$D1294,'Val-Vol (2)'!$V$4:$V$1858,$V1294)/SUMIFS('Comp2016-2017 (3)'!$G$5:$G$289,'Comp2016-2017 (3)'!$A$5:$A$289,$D1294,'Comp2016-2017 (3)'!$R$5:$R$289,$V1294)*$AB1294))</f>
        <v/>
      </c>
      <c r="AF1294" s="222" t="str">
        <f>IF($W1294=AF$3,$AB1294,IF(NOT($W1294=0),"",SUMIFS('Val-Vol (2)'!AF$4:AF$1858,'Val-Vol (2)'!$A$4:$A$1858,$D1294,'Val-Vol (2)'!$V$4:$V$1858,$V1294)/SUMIFS('Comp2016-2017 (3)'!$G$5:$G$289,'Comp2016-2017 (3)'!$A$5:$A$289,$D1294,'Comp2016-2017 (3)'!$R$5:$R$289,$V1294)*$AB1294))</f>
        <v/>
      </c>
      <c r="AG1294" s="222" t="str">
        <f>IF($W1294=AG$3,$AB1294,IF(NOT($W1294=0),"",SUMIFS('Val-Vol (2)'!AG$4:AG$1858,'Val-Vol (2)'!$A$4:$A$1858,$D1294,'Val-Vol (2)'!$V$4:$V$1858,$V1294)/SUMIFS('Comp2016-2017 (3)'!$G$5:$G$289,'Comp2016-2017 (3)'!$A$5:$A$289,$D1294,'Comp2016-2017 (3)'!$R$5:$R$289,$V1294)*$AB1294))</f>
        <v/>
      </c>
      <c r="AH1294" s="222" t="str">
        <f>IF($W1294=AH$3,$AB1294,IF(NOT($W1294=0),"",SUMIFS('Val-Vol (2)'!AH$4:AH$1858,'Val-Vol (2)'!$A$4:$A$1858,$D1294,'Val-Vol (2)'!$V$4:$V$1858,$V1294)/SUMIFS('Comp2016-2017 (3)'!$G$5:$G$289,'Comp2016-2017 (3)'!$A$5:$A$289,$D1294,'Comp2016-2017 (3)'!$R$5:$R$289,$V1294)*$AB1294))</f>
        <v/>
      </c>
      <c r="AI1294" s="222" t="str">
        <f>IF($W1294=AI$3,$AB1294,IF(NOT($W1294=0),"",SUMIFS('Val-Vol (2)'!AI$4:AI$1858,'Val-Vol (2)'!$A$4:$A$1858,$D1294,'Val-Vol (2)'!$V$4:$V$1858,$V1294)/SUMIFS('Comp2016-2017 (3)'!$G$5:$G$289,'Comp2016-2017 (3)'!$A$5:$A$289,$D1294,'Comp2016-2017 (3)'!$R$5:$R$289,$V1294)*$AB1294))</f>
        <v/>
      </c>
      <c r="AJ1294" s="222" t="str">
        <f>IF($W1294=AJ$3,$AB1294,IF(NOT($W1294=0),"",SUMIFS('Val-Vol (2)'!AJ$4:AJ$1858,'Val-Vol (2)'!$A$4:$A$1858,$D1294,'Val-Vol (2)'!$V$4:$V$1858,$V1294)/SUMIFS('Comp2016-2017 (3)'!$G$5:$G$289,'Comp2016-2017 (3)'!$A$5:$A$289,$D1294,'Comp2016-2017 (3)'!$R$5:$R$289,$V1294)*$AB1294))</f>
        <v/>
      </c>
      <c r="AK1294" s="222">
        <f t="shared" si="154"/>
        <v>0</v>
      </c>
      <c r="AL1294" s="212" t="str">
        <f t="shared" si="155"/>
        <v/>
      </c>
      <c r="AM1294" s="212" t="str">
        <f>VLOOKUP(A1294,'Table corresp.'!$M$4:$U$63,8,FALSE)</f>
        <v>Production intermédiaire</v>
      </c>
      <c r="AN1294" s="212" t="str">
        <f>VLOOKUP(D1294,'Table corresp.'!$M$4:$U$63,9,FALSE)</f>
        <v>Production intermédiaire</v>
      </c>
    </row>
    <row r="1295" spans="1:40" x14ac:dyDescent="0.25">
      <c r="A1295" t="s">
        <v>84</v>
      </c>
      <c r="B1295" t="str">
        <f>VLOOKUP(LEFT(A1295,3),'Table corresp.'!$A$4:$D$63,3,FALSE)</f>
        <v>Transformation</v>
      </c>
      <c r="C1295" t="str">
        <f>VLOOKUP(A1295,'Table corresp.'!$M$4:$P$63,4,FALSE)</f>
        <v>Production et transformation de produits bois</v>
      </c>
      <c r="D1295" t="s">
        <v>53</v>
      </c>
      <c r="E1295" t="str">
        <f>VLOOKUP(LEFT(D1295,3),'Table corresp.'!$A$4:$D$63,4,FALSE)</f>
        <v>Exportation</v>
      </c>
      <c r="F1295" t="str">
        <f t="shared" si="157"/>
        <v>17  - Exp</v>
      </c>
      <c r="G1295" s="213">
        <v>23026.502999999997</v>
      </c>
      <c r="H1295" s="213">
        <v>0</v>
      </c>
      <c r="I1295" s="213">
        <v>23026.502999999997</v>
      </c>
      <c r="J1295" s="215">
        <v>165.54213405309577</v>
      </c>
      <c r="K1295" s="215">
        <v>0</v>
      </c>
      <c r="L1295" s="215">
        <v>165.54213405309577</v>
      </c>
      <c r="M1295" s="215"/>
      <c r="N1295" s="215"/>
      <c r="O1295" s="215"/>
      <c r="P1295" s="215"/>
      <c r="Q1295" s="215"/>
      <c r="R1295" s="215"/>
      <c r="S1295" s="213"/>
      <c r="T1295" s="212">
        <f>VLOOKUP(A1295,'Groupe de branches'!$Z$27:$AM$86,14,FALSE)</f>
        <v>0</v>
      </c>
      <c r="U1295" s="212">
        <f>VLOOKUP(D1295,'Groupe de branches'!$Z$27:$AM$86,14,FALSE)</f>
        <v>0</v>
      </c>
      <c r="V1295" s="212">
        <v>2019</v>
      </c>
      <c r="W1295" s="212" t="str">
        <f>VLOOKUP(D1295,'Table corresp.'!$M$4:$S$63,7,FALSE)</f>
        <v>Exportation</v>
      </c>
      <c r="X1295" s="228">
        <f>IFERROR(G1295/SUMIFS('Comp2016-2017 (3)'!$I$5:$I$289,'Comp2016-2017 (3)'!$A$5:$A$289,A1295,'Comp2016-2017 (3)'!$R$5:$R$289,V1295),0)</f>
        <v>0.54785670145904708</v>
      </c>
      <c r="Y1295" s="214" t="e">
        <f>IF(RIGHT(F1295,3)="Exp",VLOOKUP(F1295,#REF!,2,FALSE),VLOOKUP(F1295,#REF!,9,FALSE))</f>
        <v>#REF!</v>
      </c>
      <c r="Z1295" s="225" t="str">
        <f t="shared" si="156"/>
        <v/>
      </c>
      <c r="AA1295" s="225" t="e">
        <f t="shared" si="153"/>
        <v>#VALUE!</v>
      </c>
      <c r="AB1295" s="222">
        <f>IFERROR(SUMIFS('Comp2016-2017 (3)'!$G$5:$G$289,'Comp2016-2017 (3)'!$A$5:$A$289,A1295,'Comp2016-2017 (3)'!$R$5:$R$289,V1295)*AA1295/SUMIFS($AA$4:$AA$1858,$A$4:$A$1858,A1295,$V$4:$V$1858,V1295),0)</f>
        <v>0</v>
      </c>
      <c r="AC1295" s="222">
        <f>IF($W1295=AC$3,$AB1295,IF(NOT($W1295=0),"",SUMIFS('Val-Vol (2)'!AC$4:AC$1858,'Val-Vol (2)'!$A$4:$A$1858,$D1295,'Val-Vol (2)'!$V$4:$V$1858,$V1295)/SUMIFS('Comp2016-2017 (3)'!$G$5:$G$289,'Comp2016-2017 (3)'!$A$5:$A$289,$D1295,'Comp2016-2017 (3)'!$R$5:$R$289,$V1295)*$AB1295))</f>
        <v>0</v>
      </c>
      <c r="AD1295" s="222" t="str">
        <f>IF($W1295=AD$3,$AB1295,IF(NOT($W1295=0),"",SUMIFS('Val-Vol (2)'!AD$4:AD$1858,'Val-Vol (2)'!$A$4:$A$1858,$D1295,'Val-Vol (2)'!$V$4:$V$1858,$V1295)/SUMIFS('Comp2016-2017 (3)'!$G$5:$G$289,'Comp2016-2017 (3)'!$A$5:$A$289,$D1295,'Comp2016-2017 (3)'!$R$5:$R$289,$V1295)*$AB1295))</f>
        <v/>
      </c>
      <c r="AE1295" s="222" t="str">
        <f>IF($W1295=AE$3,$AB1295,IF(NOT($W1295=0),"",SUMIFS('Val-Vol (2)'!AE$4:AE$1858,'Val-Vol (2)'!$A$4:$A$1858,$D1295,'Val-Vol (2)'!$V$4:$V$1858,$V1295)/SUMIFS('Comp2016-2017 (3)'!$G$5:$G$289,'Comp2016-2017 (3)'!$A$5:$A$289,$D1295,'Comp2016-2017 (3)'!$R$5:$R$289,$V1295)*$AB1295))</f>
        <v/>
      </c>
      <c r="AF1295" s="222" t="str">
        <f>IF($W1295=AF$3,$AB1295,IF(NOT($W1295=0),"",SUMIFS('Val-Vol (2)'!AF$4:AF$1858,'Val-Vol (2)'!$A$4:$A$1858,$D1295,'Val-Vol (2)'!$V$4:$V$1858,$V1295)/SUMIFS('Comp2016-2017 (3)'!$G$5:$G$289,'Comp2016-2017 (3)'!$A$5:$A$289,$D1295,'Comp2016-2017 (3)'!$R$5:$R$289,$V1295)*$AB1295))</f>
        <v/>
      </c>
      <c r="AG1295" s="222" t="str">
        <f>IF($W1295=AG$3,$AB1295,IF(NOT($W1295=0),"",SUMIFS('Val-Vol (2)'!AG$4:AG$1858,'Val-Vol (2)'!$A$4:$A$1858,$D1295,'Val-Vol (2)'!$V$4:$V$1858,$V1295)/SUMIFS('Comp2016-2017 (3)'!$G$5:$G$289,'Comp2016-2017 (3)'!$A$5:$A$289,$D1295,'Comp2016-2017 (3)'!$R$5:$R$289,$V1295)*$AB1295))</f>
        <v/>
      </c>
      <c r="AH1295" s="222" t="str">
        <f>IF($W1295=AH$3,$AB1295,IF(NOT($W1295=0),"",SUMIFS('Val-Vol (2)'!AH$4:AH$1858,'Val-Vol (2)'!$A$4:$A$1858,$D1295,'Val-Vol (2)'!$V$4:$V$1858,$V1295)/SUMIFS('Comp2016-2017 (3)'!$G$5:$G$289,'Comp2016-2017 (3)'!$A$5:$A$289,$D1295,'Comp2016-2017 (3)'!$R$5:$R$289,$V1295)*$AB1295))</f>
        <v/>
      </c>
      <c r="AI1295" s="222" t="str">
        <f>IF($W1295=AI$3,$AB1295,IF(NOT($W1295=0),"",SUMIFS('Val-Vol (2)'!AI$4:AI$1858,'Val-Vol (2)'!$A$4:$A$1858,$D1295,'Val-Vol (2)'!$V$4:$V$1858,$V1295)/SUMIFS('Comp2016-2017 (3)'!$G$5:$G$289,'Comp2016-2017 (3)'!$A$5:$A$289,$D1295,'Comp2016-2017 (3)'!$R$5:$R$289,$V1295)*$AB1295))</f>
        <v/>
      </c>
      <c r="AJ1295" s="222" t="str">
        <f>IF($W1295=AJ$3,$AB1295,IF(NOT($W1295=0),"",SUMIFS('Val-Vol (2)'!AJ$4:AJ$1858,'Val-Vol (2)'!$A$4:$A$1858,$D1295,'Val-Vol (2)'!$V$4:$V$1858,$V1295)/SUMIFS('Comp2016-2017 (3)'!$G$5:$G$289,'Comp2016-2017 (3)'!$A$5:$A$289,$D1295,'Comp2016-2017 (3)'!$R$5:$R$289,$V1295)*$AB1295))</f>
        <v/>
      </c>
      <c r="AK1295" s="222">
        <f t="shared" si="154"/>
        <v>0</v>
      </c>
      <c r="AL1295" s="212" t="str">
        <f t="shared" si="155"/>
        <v/>
      </c>
      <c r="AM1295" s="212" t="str">
        <f>VLOOKUP(A1295,'Table corresp.'!$M$4:$U$63,8,FALSE)</f>
        <v>Production intermédiaire</v>
      </c>
      <c r="AN1295" s="212" t="str">
        <f>VLOOKUP(D1295,'Table corresp.'!$M$4:$U$63,9,FALSE)</f>
        <v>Exportation</v>
      </c>
    </row>
    <row r="1296" spans="1:40" x14ac:dyDescent="0.25">
      <c r="A1296" t="s">
        <v>11</v>
      </c>
      <c r="B1296" t="str">
        <f>VLOOKUP(LEFT(A1296,3),'Table corresp.'!$A$4:$D$63,3,FALSE)</f>
        <v>Produits connexes du sciage</v>
      </c>
      <c r="C1296" t="str">
        <f>VLOOKUP(A1296,'Table corresp.'!$M$4:$P$63,4,FALSE)</f>
        <v>Production et transformation de produits bois</v>
      </c>
      <c r="D1296" t="s">
        <v>87</v>
      </c>
      <c r="E1296" t="str">
        <f>VLOOKUP(LEFT(D1296,3),'Table corresp.'!$A$4:$D$63,4,FALSE)</f>
        <v>Transformation</v>
      </c>
      <c r="F1296" t="str">
        <f t="shared" si="157"/>
        <v xml:space="preserve">18  - 31 </v>
      </c>
      <c r="G1296" s="213">
        <v>14743.803595166624</v>
      </c>
      <c r="H1296" s="213">
        <v>50000.895999999979</v>
      </c>
      <c r="I1296" s="213">
        <v>64744.69958388852</v>
      </c>
      <c r="J1296" s="215"/>
      <c r="K1296" s="215"/>
      <c r="L1296" s="215"/>
      <c r="M1296" s="215">
        <v>458.91346422926864</v>
      </c>
      <c r="N1296" s="215">
        <v>876.05243299999995</v>
      </c>
      <c r="O1296" s="215">
        <v>1334.9658972292686</v>
      </c>
      <c r="P1296" s="215"/>
      <c r="Q1296" s="215"/>
      <c r="R1296" s="215"/>
      <c r="S1296" s="213"/>
      <c r="T1296" s="212">
        <f>VLOOKUP(A1296,'Groupe de branches'!$Z$27:$AM$86,14,FALSE)</f>
        <v>0</v>
      </c>
      <c r="U1296" s="212">
        <f>VLOOKUP(D1296,'Groupe de branches'!$Z$27:$AM$86,14,FALSE)</f>
        <v>0</v>
      </c>
      <c r="V1296" s="212">
        <v>2019</v>
      </c>
      <c r="W1296" s="212">
        <f>VLOOKUP(D1296,'Table corresp.'!$M$4:$S$63,7,FALSE)</f>
        <v>0</v>
      </c>
      <c r="X1296" s="228">
        <f>IFERROR(G1296/SUMIFS('Comp2016-2017 (3)'!$I$5:$I$289,'Comp2016-2017 (3)'!$A$5:$A$289,A1296,'Comp2016-2017 (3)'!$R$5:$R$289,V1296),0)</f>
        <v>0.15180157214291432</v>
      </c>
      <c r="Y1296" s="214" t="e">
        <f>IF(RIGHT(F1296,3)="Exp",VLOOKUP(F1296,#REF!,2,FALSE),VLOOKUP(F1296,#REF!,9,FALSE))</f>
        <v>#REF!</v>
      </c>
      <c r="Z1296" s="225" t="str">
        <f t="shared" si="156"/>
        <v/>
      </c>
      <c r="AA1296" s="225" t="e">
        <f t="shared" si="153"/>
        <v>#VALUE!</v>
      </c>
      <c r="AB1296" s="222">
        <f>IFERROR(SUMIFS('Comp2016-2017 (3)'!$G$5:$G$289,'Comp2016-2017 (3)'!$A$5:$A$289,A1296,'Comp2016-2017 (3)'!$R$5:$R$289,V1296)*AA1296/SUMIFS($AA$4:$AA$1858,$A$4:$A$1858,A1296,$V$4:$V$1858,V1296),0)</f>
        <v>0</v>
      </c>
      <c r="AC1296" s="222">
        <f>IF($W1296=AC$3,$AB1296,IF(NOT($W1296=0),"",SUMIFS('Val-Vol (2)'!AC$4:AC$1858,'Val-Vol (2)'!$A$4:$A$1858,$D1296,'Val-Vol (2)'!$V$4:$V$1858,$V1296)/SUMIFS('Comp2016-2017 (3)'!$G$5:$G$289,'Comp2016-2017 (3)'!$A$5:$A$289,$D1296,'Comp2016-2017 (3)'!$R$5:$R$289,$V1296)*$AB1296))</f>
        <v>0</v>
      </c>
      <c r="AD1296" s="222">
        <f>IF($W1296=AD$3,$AB1296,IF(NOT($W1296=0),"",SUMIFS('Val-Vol (2)'!AD$4:AD$1858,'Val-Vol (2)'!$A$4:$A$1858,$D1296,'Val-Vol (2)'!$V$4:$V$1858,$V1296)/SUMIFS('Comp2016-2017 (3)'!$G$5:$G$289,'Comp2016-2017 (3)'!$A$5:$A$289,$D1296,'Comp2016-2017 (3)'!$R$5:$R$289,$V1296)*$AB1296))</f>
        <v>0</v>
      </c>
      <c r="AE1296" s="222">
        <f>IF($W1296=AE$3,$AB1296,IF(NOT($W1296=0),"",SUMIFS('Val-Vol (2)'!AE$4:AE$1858,'Val-Vol (2)'!$A$4:$A$1858,$D1296,'Val-Vol (2)'!$V$4:$V$1858,$V1296)/SUMIFS('Comp2016-2017 (3)'!$G$5:$G$289,'Comp2016-2017 (3)'!$A$5:$A$289,$D1296,'Comp2016-2017 (3)'!$R$5:$R$289,$V1296)*$AB1296))</f>
        <v>0</v>
      </c>
      <c r="AF1296" s="222">
        <f>IF($W1296=AF$3,$AB1296,IF(NOT($W1296=0),"",SUMIFS('Val-Vol (2)'!AF$4:AF$1858,'Val-Vol (2)'!$A$4:$A$1858,$D1296,'Val-Vol (2)'!$V$4:$V$1858,$V1296)/SUMIFS('Comp2016-2017 (3)'!$G$5:$G$289,'Comp2016-2017 (3)'!$A$5:$A$289,$D1296,'Comp2016-2017 (3)'!$R$5:$R$289,$V1296)*$AB1296))</f>
        <v>0</v>
      </c>
      <c r="AG1296" s="222">
        <f>IF($W1296=AG$3,$AB1296,IF(NOT($W1296=0),"",SUMIFS('Val-Vol (2)'!AG$4:AG$1858,'Val-Vol (2)'!$A$4:$A$1858,$D1296,'Val-Vol (2)'!$V$4:$V$1858,$V1296)/SUMIFS('Comp2016-2017 (3)'!$G$5:$G$289,'Comp2016-2017 (3)'!$A$5:$A$289,$D1296,'Comp2016-2017 (3)'!$R$5:$R$289,$V1296)*$AB1296))</f>
        <v>0</v>
      </c>
      <c r="AH1296" s="222">
        <f>IF($W1296=AH$3,$AB1296,IF(NOT($W1296=0),"",SUMIFS('Val-Vol (2)'!AH$4:AH$1858,'Val-Vol (2)'!$A$4:$A$1858,$D1296,'Val-Vol (2)'!$V$4:$V$1858,$V1296)/SUMIFS('Comp2016-2017 (3)'!$G$5:$G$289,'Comp2016-2017 (3)'!$A$5:$A$289,$D1296,'Comp2016-2017 (3)'!$R$5:$R$289,$V1296)*$AB1296))</f>
        <v>0</v>
      </c>
      <c r="AI1296" s="222">
        <f>IF($W1296=AI$3,$AB1296,IF(NOT($W1296=0),"",SUMIFS('Val-Vol (2)'!AI$4:AI$1858,'Val-Vol (2)'!$A$4:$A$1858,$D1296,'Val-Vol (2)'!$V$4:$V$1858,$V1296)/SUMIFS('Comp2016-2017 (3)'!$G$5:$G$289,'Comp2016-2017 (3)'!$A$5:$A$289,$D1296,'Comp2016-2017 (3)'!$R$5:$R$289,$V1296)*$AB1296))</f>
        <v>0</v>
      </c>
      <c r="AJ1296" s="222">
        <f>IF($W1296=AJ$3,$AB1296,IF(NOT($W1296=0),"",SUMIFS('Val-Vol (2)'!AJ$4:AJ$1858,'Val-Vol (2)'!$A$4:$A$1858,$D1296,'Val-Vol (2)'!$V$4:$V$1858,$V1296)/SUMIFS('Comp2016-2017 (3)'!$G$5:$G$289,'Comp2016-2017 (3)'!$A$5:$A$289,$D1296,'Comp2016-2017 (3)'!$R$5:$R$289,$V1296)*$AB1296))</f>
        <v>0</v>
      </c>
      <c r="AK1296" s="222">
        <f t="shared" si="154"/>
        <v>0</v>
      </c>
      <c r="AL1296" s="212" t="str">
        <f t="shared" si="155"/>
        <v/>
      </c>
      <c r="AM1296" s="212" t="str">
        <f>VLOOKUP(A1296,'Table corresp.'!$M$4:$U$63,8,FALSE)</f>
        <v>Produits connexes du sciage</v>
      </c>
      <c r="AN1296" s="212" t="str">
        <f>VLOOKUP(D1296,'Table corresp.'!$M$4:$U$63,9,FALSE)</f>
        <v>Production intermédiaire</v>
      </c>
    </row>
    <row r="1297" spans="1:40" x14ac:dyDescent="0.25">
      <c r="A1297" t="s">
        <v>11</v>
      </c>
      <c r="B1297" t="str">
        <f>VLOOKUP(LEFT(A1297,3),'Table corresp.'!$A$4:$D$63,3,FALSE)</f>
        <v>Produits connexes du sciage</v>
      </c>
      <c r="C1297" t="str">
        <f>VLOOKUP(A1297,'Table corresp.'!$M$4:$P$63,4,FALSE)</f>
        <v>Production et transformation de produits bois</v>
      </c>
      <c r="D1297" t="s">
        <v>95</v>
      </c>
      <c r="E1297" t="str">
        <f>VLOOKUP(LEFT(D1297,3),'Table corresp.'!$A$4:$D$63,4,FALSE)</f>
        <v>Transformation</v>
      </c>
      <c r="F1297" t="str">
        <f t="shared" si="157"/>
        <v xml:space="preserve">18  - 43 </v>
      </c>
      <c r="G1297" s="213">
        <v>64880.723745342657</v>
      </c>
      <c r="H1297" s="213">
        <v>0</v>
      </c>
      <c r="I1297" s="213">
        <v>64880.723754224877</v>
      </c>
      <c r="J1297" s="215"/>
      <c r="K1297" s="215"/>
      <c r="L1297" s="215"/>
      <c r="M1297" s="215">
        <v>1797.5018047969679</v>
      </c>
      <c r="N1297" s="215">
        <v>0</v>
      </c>
      <c r="O1297" s="215">
        <v>1797.5018047969679</v>
      </c>
      <c r="P1297" s="215"/>
      <c r="Q1297" s="215"/>
      <c r="R1297" s="215"/>
      <c r="S1297" s="213"/>
      <c r="T1297" s="212">
        <f>VLOOKUP(A1297,'Groupe de branches'!$Z$27:$AM$86,14,FALSE)</f>
        <v>0</v>
      </c>
      <c r="U1297" s="212">
        <f>VLOOKUP(D1297,'Groupe de branches'!$Z$27:$AM$86,14,FALSE)</f>
        <v>0</v>
      </c>
      <c r="V1297" s="212">
        <v>2019</v>
      </c>
      <c r="W1297" s="212" t="str">
        <f>VLOOKUP(D1297,'Table corresp.'!$M$4:$S$63,7,FALSE)</f>
        <v>Pate &amp; papier &amp; carton</v>
      </c>
      <c r="X1297" s="228">
        <f>IFERROR(G1297/SUMIFS('Comp2016-2017 (3)'!$I$5:$I$289,'Comp2016-2017 (3)'!$A$5:$A$289,A1297,'Comp2016-2017 (3)'!$R$5:$R$289,V1297),0)</f>
        <v>0.66800916078004913</v>
      </c>
      <c r="Y1297" s="214" t="e">
        <f>IF(RIGHT(F1297,3)="Exp",VLOOKUP(F1297,#REF!,2,FALSE),VLOOKUP(F1297,#REF!,9,FALSE))</f>
        <v>#REF!</v>
      </c>
      <c r="Z1297" s="225" t="str">
        <f t="shared" si="156"/>
        <v/>
      </c>
      <c r="AA1297" s="225" t="e">
        <f t="shared" si="153"/>
        <v>#VALUE!</v>
      </c>
      <c r="AB1297" s="222">
        <f>IFERROR(SUMIFS('Comp2016-2017 (3)'!$G$5:$G$289,'Comp2016-2017 (3)'!$A$5:$A$289,A1297,'Comp2016-2017 (3)'!$R$5:$R$289,V1297)*AA1297/SUMIFS($AA$4:$AA$1858,$A$4:$A$1858,A1297,$V$4:$V$1858,V1297),0)</f>
        <v>0</v>
      </c>
      <c r="AC1297" s="222" t="str">
        <f>IF($W1297=AC$3,$AB1297,IF(NOT($W1297=0),"",SUMIFS('Val-Vol (2)'!AC$4:AC$1858,'Val-Vol (2)'!$A$4:$A$1858,$D1297,'Val-Vol (2)'!$V$4:$V$1858,$V1297)/SUMIFS('Comp2016-2017 (3)'!$G$5:$G$289,'Comp2016-2017 (3)'!$A$5:$A$289,$D1297,'Comp2016-2017 (3)'!$R$5:$R$289,$V1297)*$AB1297))</f>
        <v/>
      </c>
      <c r="AD1297" s="222" t="str">
        <f>IF($W1297=AD$3,$AB1297,IF(NOT($W1297=0),"",SUMIFS('Val-Vol (2)'!AD$4:AD$1858,'Val-Vol (2)'!$A$4:$A$1858,$D1297,'Val-Vol (2)'!$V$4:$V$1858,$V1297)/SUMIFS('Comp2016-2017 (3)'!$G$5:$G$289,'Comp2016-2017 (3)'!$A$5:$A$289,$D1297,'Comp2016-2017 (3)'!$R$5:$R$289,$V1297)*$AB1297))</f>
        <v/>
      </c>
      <c r="AE1297" s="222" t="str">
        <f>IF($W1297=AE$3,$AB1297,IF(NOT($W1297=0),"",SUMIFS('Val-Vol (2)'!AE$4:AE$1858,'Val-Vol (2)'!$A$4:$A$1858,$D1297,'Val-Vol (2)'!$V$4:$V$1858,$V1297)/SUMIFS('Comp2016-2017 (3)'!$G$5:$G$289,'Comp2016-2017 (3)'!$A$5:$A$289,$D1297,'Comp2016-2017 (3)'!$R$5:$R$289,$V1297)*$AB1297))</f>
        <v/>
      </c>
      <c r="AF1297" s="222">
        <f>IF($W1297=AF$3,$AB1297,IF(NOT($W1297=0),"",SUMIFS('Val-Vol (2)'!AF$4:AF$1858,'Val-Vol (2)'!$A$4:$A$1858,$D1297,'Val-Vol (2)'!$V$4:$V$1858,$V1297)/SUMIFS('Comp2016-2017 (3)'!$G$5:$G$289,'Comp2016-2017 (3)'!$A$5:$A$289,$D1297,'Comp2016-2017 (3)'!$R$5:$R$289,$V1297)*$AB1297))</f>
        <v>0</v>
      </c>
      <c r="AG1297" s="222" t="str">
        <f>IF($W1297=AG$3,$AB1297,IF(NOT($W1297=0),"",SUMIFS('Val-Vol (2)'!AG$4:AG$1858,'Val-Vol (2)'!$A$4:$A$1858,$D1297,'Val-Vol (2)'!$V$4:$V$1858,$V1297)/SUMIFS('Comp2016-2017 (3)'!$G$5:$G$289,'Comp2016-2017 (3)'!$A$5:$A$289,$D1297,'Comp2016-2017 (3)'!$R$5:$R$289,$V1297)*$AB1297))</f>
        <v/>
      </c>
      <c r="AH1297" s="222" t="str">
        <f>IF($W1297=AH$3,$AB1297,IF(NOT($W1297=0),"",SUMIFS('Val-Vol (2)'!AH$4:AH$1858,'Val-Vol (2)'!$A$4:$A$1858,$D1297,'Val-Vol (2)'!$V$4:$V$1858,$V1297)/SUMIFS('Comp2016-2017 (3)'!$G$5:$G$289,'Comp2016-2017 (3)'!$A$5:$A$289,$D1297,'Comp2016-2017 (3)'!$R$5:$R$289,$V1297)*$AB1297))</f>
        <v/>
      </c>
      <c r="AI1297" s="222" t="str">
        <f>IF($W1297=AI$3,$AB1297,IF(NOT($W1297=0),"",SUMIFS('Val-Vol (2)'!AI$4:AI$1858,'Val-Vol (2)'!$A$4:$A$1858,$D1297,'Val-Vol (2)'!$V$4:$V$1858,$V1297)/SUMIFS('Comp2016-2017 (3)'!$G$5:$G$289,'Comp2016-2017 (3)'!$A$5:$A$289,$D1297,'Comp2016-2017 (3)'!$R$5:$R$289,$V1297)*$AB1297))</f>
        <v/>
      </c>
      <c r="AJ1297" s="222" t="str">
        <f>IF($W1297=AJ$3,$AB1297,IF(NOT($W1297=0),"",SUMIFS('Val-Vol (2)'!AJ$4:AJ$1858,'Val-Vol (2)'!$A$4:$A$1858,$D1297,'Val-Vol (2)'!$V$4:$V$1858,$V1297)/SUMIFS('Comp2016-2017 (3)'!$G$5:$G$289,'Comp2016-2017 (3)'!$A$5:$A$289,$D1297,'Comp2016-2017 (3)'!$R$5:$R$289,$V1297)*$AB1297))</f>
        <v/>
      </c>
      <c r="AK1297" s="222">
        <f t="shared" si="154"/>
        <v>0</v>
      </c>
      <c r="AL1297" s="212" t="str">
        <f t="shared" si="155"/>
        <v/>
      </c>
      <c r="AM1297" s="212" t="str">
        <f>VLOOKUP(A1297,'Table corresp.'!$M$4:$U$63,8,FALSE)</f>
        <v>Produits connexes du sciage</v>
      </c>
      <c r="AN1297" s="212" t="str">
        <f>VLOOKUP(D1297,'Table corresp.'!$M$4:$U$63,9,FALSE)</f>
        <v>Production intermédiaire</v>
      </c>
    </row>
    <row r="1298" spans="1:40" x14ac:dyDescent="0.25">
      <c r="A1298" t="s">
        <v>11</v>
      </c>
      <c r="B1298" t="str">
        <f>VLOOKUP(LEFT(A1298,3),'Table corresp.'!$A$4:$D$63,3,FALSE)</f>
        <v>Produits connexes du sciage</v>
      </c>
      <c r="C1298" t="str">
        <f>VLOOKUP(A1298,'Table corresp.'!$M$4:$P$63,4,FALSE)</f>
        <v>Production et transformation de produits bois</v>
      </c>
      <c r="D1298" t="s">
        <v>98</v>
      </c>
      <c r="E1298" t="str">
        <f>VLOOKUP(LEFT(D1298,3),'Table corresp.'!$A$4:$D$63,4,FALSE)</f>
        <v>Transformation</v>
      </c>
      <c r="F1298" t="str">
        <f t="shared" si="157"/>
        <v xml:space="preserve">18  - 46 </v>
      </c>
      <c r="G1298" s="213">
        <v>6943.3762469497806</v>
      </c>
      <c r="H1298" s="213">
        <v>0</v>
      </c>
      <c r="I1298" s="213">
        <v>6943.3762479003344</v>
      </c>
      <c r="J1298" s="215"/>
      <c r="K1298" s="215"/>
      <c r="L1298" s="215"/>
      <c r="M1298" s="215">
        <v>192.36424341170417</v>
      </c>
      <c r="N1298" s="215">
        <v>0</v>
      </c>
      <c r="O1298" s="215">
        <v>192.36424341170417</v>
      </c>
      <c r="P1298" s="215"/>
      <c r="Q1298" s="215"/>
      <c r="R1298" s="215"/>
      <c r="S1298" s="213"/>
      <c r="T1298" s="212">
        <f>VLOOKUP(A1298,'Groupe de branches'!$Z$27:$AM$86,14,FALSE)</f>
        <v>0</v>
      </c>
      <c r="U1298" s="212">
        <f>VLOOKUP(D1298,'Groupe de branches'!$Z$27:$AM$86,14,FALSE)</f>
        <v>0</v>
      </c>
      <c r="V1298" s="212">
        <v>2019</v>
      </c>
      <c r="W1298" s="212" t="str">
        <f>VLOOKUP(D1298,'Table corresp.'!$M$4:$S$63,7,FALSE)</f>
        <v>Produits de consommation courante</v>
      </c>
      <c r="X1298" s="228">
        <f>IFERROR(G1298/SUMIFS('Comp2016-2017 (3)'!$I$5:$I$289,'Comp2016-2017 (3)'!$A$5:$A$289,A1298,'Comp2016-2017 (3)'!$R$5:$R$289,V1298),0)</f>
        <v>7.1488705303445338E-2</v>
      </c>
      <c r="Y1298" s="214" t="e">
        <f>IF(RIGHT(F1298,3)="Exp",VLOOKUP(F1298,#REF!,2,FALSE),VLOOKUP(F1298,#REF!,9,FALSE))</f>
        <v>#REF!</v>
      </c>
      <c r="Z1298" s="225" t="str">
        <f t="shared" si="156"/>
        <v/>
      </c>
      <c r="AA1298" s="225" t="e">
        <f t="shared" si="153"/>
        <v>#VALUE!</v>
      </c>
      <c r="AB1298" s="222">
        <f>IFERROR(SUMIFS('Comp2016-2017 (3)'!$G$5:$G$289,'Comp2016-2017 (3)'!$A$5:$A$289,A1298,'Comp2016-2017 (3)'!$R$5:$R$289,V1298)*AA1298/SUMIFS($AA$4:$AA$1858,$A$4:$A$1858,A1298,$V$4:$V$1858,V1298),0)</f>
        <v>0</v>
      </c>
      <c r="AC1298" s="222" t="str">
        <f>IF($W1298=AC$3,$AB1298,IF(NOT($W1298=0),"",SUMIFS('Val-Vol (2)'!AC$4:AC$1858,'Val-Vol (2)'!$A$4:$A$1858,$D1298,'Val-Vol (2)'!$V$4:$V$1858,$V1298)/SUMIFS('Comp2016-2017 (3)'!$G$5:$G$289,'Comp2016-2017 (3)'!$A$5:$A$289,$D1298,'Comp2016-2017 (3)'!$R$5:$R$289,$V1298)*$AB1298))</f>
        <v/>
      </c>
      <c r="AD1298" s="222" t="str">
        <f>IF($W1298=AD$3,$AB1298,IF(NOT($W1298=0),"",SUMIFS('Val-Vol (2)'!AD$4:AD$1858,'Val-Vol (2)'!$A$4:$A$1858,$D1298,'Val-Vol (2)'!$V$4:$V$1858,$V1298)/SUMIFS('Comp2016-2017 (3)'!$G$5:$G$289,'Comp2016-2017 (3)'!$A$5:$A$289,$D1298,'Comp2016-2017 (3)'!$R$5:$R$289,$V1298)*$AB1298))</f>
        <v/>
      </c>
      <c r="AE1298" s="222" t="str">
        <f>IF($W1298=AE$3,$AB1298,IF(NOT($W1298=0),"",SUMIFS('Val-Vol (2)'!AE$4:AE$1858,'Val-Vol (2)'!$A$4:$A$1858,$D1298,'Val-Vol (2)'!$V$4:$V$1858,$V1298)/SUMIFS('Comp2016-2017 (3)'!$G$5:$G$289,'Comp2016-2017 (3)'!$A$5:$A$289,$D1298,'Comp2016-2017 (3)'!$R$5:$R$289,$V1298)*$AB1298))</f>
        <v/>
      </c>
      <c r="AF1298" s="222" t="str">
        <f>IF($W1298=AF$3,$AB1298,IF(NOT($W1298=0),"",SUMIFS('Val-Vol (2)'!AF$4:AF$1858,'Val-Vol (2)'!$A$4:$A$1858,$D1298,'Val-Vol (2)'!$V$4:$V$1858,$V1298)/SUMIFS('Comp2016-2017 (3)'!$G$5:$G$289,'Comp2016-2017 (3)'!$A$5:$A$289,$D1298,'Comp2016-2017 (3)'!$R$5:$R$289,$V1298)*$AB1298))</f>
        <v/>
      </c>
      <c r="AG1298" s="222" t="str">
        <f>IF($W1298=AG$3,$AB1298,IF(NOT($W1298=0),"",SUMIFS('Val-Vol (2)'!AG$4:AG$1858,'Val-Vol (2)'!$A$4:$A$1858,$D1298,'Val-Vol (2)'!$V$4:$V$1858,$V1298)/SUMIFS('Comp2016-2017 (3)'!$G$5:$G$289,'Comp2016-2017 (3)'!$A$5:$A$289,$D1298,'Comp2016-2017 (3)'!$R$5:$R$289,$V1298)*$AB1298))</f>
        <v/>
      </c>
      <c r="AH1298" s="222" t="str">
        <f>IF($W1298=AH$3,$AB1298,IF(NOT($W1298=0),"",SUMIFS('Val-Vol (2)'!AH$4:AH$1858,'Val-Vol (2)'!$A$4:$A$1858,$D1298,'Val-Vol (2)'!$V$4:$V$1858,$V1298)/SUMIFS('Comp2016-2017 (3)'!$G$5:$G$289,'Comp2016-2017 (3)'!$A$5:$A$289,$D1298,'Comp2016-2017 (3)'!$R$5:$R$289,$V1298)*$AB1298))</f>
        <v/>
      </c>
      <c r="AI1298" s="222">
        <f>IF($W1298=AI$3,$AB1298,IF(NOT($W1298=0),"",SUMIFS('Val-Vol (2)'!AI$4:AI$1858,'Val-Vol (2)'!$A$4:$A$1858,$D1298,'Val-Vol (2)'!$V$4:$V$1858,$V1298)/SUMIFS('Comp2016-2017 (3)'!$G$5:$G$289,'Comp2016-2017 (3)'!$A$5:$A$289,$D1298,'Comp2016-2017 (3)'!$R$5:$R$289,$V1298)*$AB1298))</f>
        <v>0</v>
      </c>
      <c r="AJ1298" s="222" t="str">
        <f>IF($W1298=AJ$3,$AB1298,IF(NOT($W1298=0),"",SUMIFS('Val-Vol (2)'!AJ$4:AJ$1858,'Val-Vol (2)'!$A$4:$A$1858,$D1298,'Val-Vol (2)'!$V$4:$V$1858,$V1298)/SUMIFS('Comp2016-2017 (3)'!$G$5:$G$289,'Comp2016-2017 (3)'!$A$5:$A$289,$D1298,'Comp2016-2017 (3)'!$R$5:$R$289,$V1298)*$AB1298))</f>
        <v/>
      </c>
      <c r="AK1298" s="222">
        <f t="shared" si="154"/>
        <v>0</v>
      </c>
      <c r="AL1298" s="212" t="str">
        <f t="shared" si="155"/>
        <v/>
      </c>
      <c r="AM1298" s="212" t="str">
        <f>VLOOKUP(A1298,'Table corresp.'!$M$4:$U$63,8,FALSE)</f>
        <v>Produits connexes du sciage</v>
      </c>
      <c r="AN1298" s="212" t="str">
        <f>VLOOKUP(D1298,'Table corresp.'!$M$4:$U$63,9,FALSE)</f>
        <v>Production intermédiaire</v>
      </c>
    </row>
    <row r="1299" spans="1:40" x14ac:dyDescent="0.25">
      <c r="A1299" t="s">
        <v>11</v>
      </c>
      <c r="B1299" t="str">
        <f>VLOOKUP(LEFT(A1299,3),'Table corresp.'!$A$4:$D$63,3,FALSE)</f>
        <v>Produits connexes du sciage</v>
      </c>
      <c r="C1299" t="str">
        <f>VLOOKUP(A1299,'Table corresp.'!$M$4:$P$63,4,FALSE)</f>
        <v>Production et transformation de produits bois</v>
      </c>
      <c r="D1299" t="s">
        <v>53</v>
      </c>
      <c r="E1299" t="str">
        <f>VLOOKUP(LEFT(D1299,3),'Table corresp.'!$A$4:$D$63,4,FALSE)</f>
        <v>Exportation</v>
      </c>
      <c r="F1299" t="str">
        <f t="shared" si="157"/>
        <v>18  - Exp</v>
      </c>
      <c r="G1299" s="213">
        <v>10557.550998554656</v>
      </c>
      <c r="H1299" s="213">
        <v>0</v>
      </c>
      <c r="I1299" s="213">
        <v>10557.550999999992</v>
      </c>
      <c r="J1299" s="215"/>
      <c r="K1299" s="215"/>
      <c r="L1299" s="215"/>
      <c r="M1299" s="215">
        <v>305.22048756205919</v>
      </c>
      <c r="N1299" s="215">
        <v>0</v>
      </c>
      <c r="O1299" s="215">
        <v>305.22048756205919</v>
      </c>
      <c r="P1299" s="215"/>
      <c r="Q1299" s="215"/>
      <c r="R1299" s="215"/>
      <c r="S1299" s="213"/>
      <c r="T1299" s="212">
        <f>VLOOKUP(A1299,'Groupe de branches'!$Z$27:$AM$86,14,FALSE)</f>
        <v>0</v>
      </c>
      <c r="U1299" s="212">
        <f>VLOOKUP(D1299,'Groupe de branches'!$Z$27:$AM$86,14,FALSE)</f>
        <v>0</v>
      </c>
      <c r="V1299" s="212">
        <v>2019</v>
      </c>
      <c r="W1299" s="212" t="str">
        <f>VLOOKUP(D1299,'Table corresp.'!$M$4:$S$63,7,FALSE)</f>
        <v>Exportation</v>
      </c>
      <c r="X1299" s="228">
        <f>IFERROR(G1299/SUMIFS('Comp2016-2017 (3)'!$I$5:$I$289,'Comp2016-2017 (3)'!$A$5:$A$289,A1299,'Comp2016-2017 (3)'!$R$5:$R$289,V1299),0)</f>
        <v>0.10870009419312802</v>
      </c>
      <c r="Y1299" s="214" t="e">
        <f>IF(RIGHT(F1299,3)="Exp",VLOOKUP(F1299,#REF!,2,FALSE),VLOOKUP(F1299,#REF!,9,FALSE))</f>
        <v>#REF!</v>
      </c>
      <c r="Z1299" s="225" t="str">
        <f t="shared" si="156"/>
        <v/>
      </c>
      <c r="AA1299" s="225" t="e">
        <f t="shared" si="153"/>
        <v>#VALUE!</v>
      </c>
      <c r="AB1299" s="222">
        <f>IFERROR(SUMIFS('Comp2016-2017 (3)'!$G$5:$G$289,'Comp2016-2017 (3)'!$A$5:$A$289,A1299,'Comp2016-2017 (3)'!$R$5:$R$289,V1299)*AA1299/SUMIFS($AA$4:$AA$1858,$A$4:$A$1858,A1299,$V$4:$V$1858,V1299),0)</f>
        <v>0</v>
      </c>
      <c r="AC1299" s="222">
        <f>IF($W1299=AC$3,$AB1299,IF(NOT($W1299=0),"",SUMIFS('Val-Vol (2)'!AC$4:AC$1858,'Val-Vol (2)'!$A$4:$A$1858,$D1299,'Val-Vol (2)'!$V$4:$V$1858,$V1299)/SUMIFS('Comp2016-2017 (3)'!$G$5:$G$289,'Comp2016-2017 (3)'!$A$5:$A$289,$D1299,'Comp2016-2017 (3)'!$R$5:$R$289,$V1299)*$AB1299))</f>
        <v>0</v>
      </c>
      <c r="AD1299" s="222" t="str">
        <f>IF($W1299=AD$3,$AB1299,IF(NOT($W1299=0),"",SUMIFS('Val-Vol (2)'!AD$4:AD$1858,'Val-Vol (2)'!$A$4:$A$1858,$D1299,'Val-Vol (2)'!$V$4:$V$1858,$V1299)/SUMIFS('Comp2016-2017 (3)'!$G$5:$G$289,'Comp2016-2017 (3)'!$A$5:$A$289,$D1299,'Comp2016-2017 (3)'!$R$5:$R$289,$V1299)*$AB1299))</f>
        <v/>
      </c>
      <c r="AE1299" s="222" t="str">
        <f>IF($W1299=AE$3,$AB1299,IF(NOT($W1299=0),"",SUMIFS('Val-Vol (2)'!AE$4:AE$1858,'Val-Vol (2)'!$A$4:$A$1858,$D1299,'Val-Vol (2)'!$V$4:$V$1858,$V1299)/SUMIFS('Comp2016-2017 (3)'!$G$5:$G$289,'Comp2016-2017 (3)'!$A$5:$A$289,$D1299,'Comp2016-2017 (3)'!$R$5:$R$289,$V1299)*$AB1299))</f>
        <v/>
      </c>
      <c r="AF1299" s="222" t="str">
        <f>IF($W1299=AF$3,$AB1299,IF(NOT($W1299=0),"",SUMIFS('Val-Vol (2)'!AF$4:AF$1858,'Val-Vol (2)'!$A$4:$A$1858,$D1299,'Val-Vol (2)'!$V$4:$V$1858,$V1299)/SUMIFS('Comp2016-2017 (3)'!$G$5:$G$289,'Comp2016-2017 (3)'!$A$5:$A$289,$D1299,'Comp2016-2017 (3)'!$R$5:$R$289,$V1299)*$AB1299))</f>
        <v/>
      </c>
      <c r="AG1299" s="222" t="str">
        <f>IF($W1299=AG$3,$AB1299,IF(NOT($W1299=0),"",SUMIFS('Val-Vol (2)'!AG$4:AG$1858,'Val-Vol (2)'!$A$4:$A$1858,$D1299,'Val-Vol (2)'!$V$4:$V$1858,$V1299)/SUMIFS('Comp2016-2017 (3)'!$G$5:$G$289,'Comp2016-2017 (3)'!$A$5:$A$289,$D1299,'Comp2016-2017 (3)'!$R$5:$R$289,$V1299)*$AB1299))</f>
        <v/>
      </c>
      <c r="AH1299" s="222" t="str">
        <f>IF($W1299=AH$3,$AB1299,IF(NOT($W1299=0),"",SUMIFS('Val-Vol (2)'!AH$4:AH$1858,'Val-Vol (2)'!$A$4:$A$1858,$D1299,'Val-Vol (2)'!$V$4:$V$1858,$V1299)/SUMIFS('Comp2016-2017 (3)'!$G$5:$G$289,'Comp2016-2017 (3)'!$A$5:$A$289,$D1299,'Comp2016-2017 (3)'!$R$5:$R$289,$V1299)*$AB1299))</f>
        <v/>
      </c>
      <c r="AI1299" s="222" t="str">
        <f>IF($W1299=AI$3,$AB1299,IF(NOT($W1299=0),"",SUMIFS('Val-Vol (2)'!AI$4:AI$1858,'Val-Vol (2)'!$A$4:$A$1858,$D1299,'Val-Vol (2)'!$V$4:$V$1858,$V1299)/SUMIFS('Comp2016-2017 (3)'!$G$5:$G$289,'Comp2016-2017 (3)'!$A$5:$A$289,$D1299,'Comp2016-2017 (3)'!$R$5:$R$289,$V1299)*$AB1299))</f>
        <v/>
      </c>
      <c r="AJ1299" s="222" t="str">
        <f>IF($W1299=AJ$3,$AB1299,IF(NOT($W1299=0),"",SUMIFS('Val-Vol (2)'!AJ$4:AJ$1858,'Val-Vol (2)'!$A$4:$A$1858,$D1299,'Val-Vol (2)'!$V$4:$V$1858,$V1299)/SUMIFS('Comp2016-2017 (3)'!$G$5:$G$289,'Comp2016-2017 (3)'!$A$5:$A$289,$D1299,'Comp2016-2017 (3)'!$R$5:$R$289,$V1299)*$AB1299))</f>
        <v/>
      </c>
      <c r="AK1299" s="222">
        <f t="shared" si="154"/>
        <v>0</v>
      </c>
      <c r="AL1299" s="212" t="str">
        <f t="shared" si="155"/>
        <v/>
      </c>
      <c r="AM1299" s="212" t="str">
        <f>VLOOKUP(A1299,'Table corresp.'!$M$4:$U$63,8,FALSE)</f>
        <v>Produits connexes du sciage</v>
      </c>
      <c r="AN1299" s="212" t="str">
        <f>VLOOKUP(D1299,'Table corresp.'!$M$4:$U$63,9,FALSE)</f>
        <v>Exportation</v>
      </c>
    </row>
    <row r="1300" spans="1:40" x14ac:dyDescent="0.25">
      <c r="A1300" t="s">
        <v>12</v>
      </c>
      <c r="B1300" t="str">
        <f>VLOOKUP(LEFT(A1300,3),'Table corresp.'!$A$4:$D$63,3,FALSE)</f>
        <v>Produits connexes du sciage</v>
      </c>
      <c r="C1300" t="str">
        <f>VLOOKUP(A1300,'Table corresp.'!$M$4:$P$63,4,FALSE)</f>
        <v>Production et transformation de produits bois</v>
      </c>
      <c r="D1300" t="s">
        <v>86</v>
      </c>
      <c r="E1300" t="str">
        <f>VLOOKUP(LEFT(D1300,3),'Table corresp.'!$A$4:$D$63,4,FALSE)</f>
        <v>Transformation</v>
      </c>
      <c r="F1300" t="str">
        <f t="shared" si="157"/>
        <v xml:space="preserve">19  - 30 </v>
      </c>
      <c r="G1300" s="213">
        <v>73636.506272666578</v>
      </c>
      <c r="H1300" s="213">
        <v>14007.082315068883</v>
      </c>
      <c r="I1300" s="213">
        <v>87643.588587735459</v>
      </c>
      <c r="J1300" s="215"/>
      <c r="K1300" s="215"/>
      <c r="L1300" s="215"/>
      <c r="M1300" s="215"/>
      <c r="N1300" s="215"/>
      <c r="O1300" s="215"/>
      <c r="P1300" s="215">
        <v>2613.7382456100963</v>
      </c>
      <c r="Q1300" s="215">
        <v>188.13280192543081</v>
      </c>
      <c r="R1300" s="215">
        <v>2801.8710475355269</v>
      </c>
      <c r="S1300" s="213" t="s">
        <v>198</v>
      </c>
      <c r="T1300" s="212">
        <f>VLOOKUP(A1300,'Groupe de branches'!$Z$27:$AM$86,14,FALSE)</f>
        <v>0</v>
      </c>
      <c r="U1300" s="212">
        <f>VLOOKUP(D1300,'Groupe de branches'!$Z$27:$AM$86,14,FALSE)</f>
        <v>1</v>
      </c>
      <c r="V1300" s="212">
        <v>2019</v>
      </c>
      <c r="W1300" s="212" t="str">
        <f>VLOOKUP(D1300,'Table corresp.'!$M$4:$S$63,7,FALSE)</f>
        <v>Energie</v>
      </c>
      <c r="X1300" s="228">
        <f>IFERROR(G1300/SUMIFS('Comp2016-2017 (3)'!$I$5:$I$289,'Comp2016-2017 (3)'!$A$5:$A$289,A1300,'Comp2016-2017 (3)'!$R$5:$R$289,V1300),0)</f>
        <v>0.48335871788377682</v>
      </c>
      <c r="Y1300" s="214" t="e">
        <f>IF(RIGHT(F1300,3)="Exp",VLOOKUP(F1300,#REF!,2,FALSE),VLOOKUP(F1300,#REF!,9,FALSE))</f>
        <v>#REF!</v>
      </c>
      <c r="Z1300" s="225" t="str">
        <f t="shared" si="156"/>
        <v/>
      </c>
      <c r="AA1300" s="225" t="e">
        <f t="shared" si="153"/>
        <v>#VALUE!</v>
      </c>
      <c r="AB1300" s="222">
        <f>IFERROR(SUMIFS('Comp2016-2017 (3)'!$G$5:$G$289,'Comp2016-2017 (3)'!$A$5:$A$289,A1300,'Comp2016-2017 (3)'!$R$5:$R$289,V1300)*AA1300/SUMIFS($AA$4:$AA$1858,$A$4:$A$1858,A1300,$V$4:$V$1858,V1300),0)</f>
        <v>0</v>
      </c>
      <c r="AC1300" s="222" t="str">
        <f>IF($W1300=AC$3,$AB1300,IF(NOT($W1300=0),"",SUMIFS('Val-Vol (2)'!AC$4:AC$1858,'Val-Vol (2)'!$A$4:$A$1858,$D1300,'Val-Vol (2)'!$V$4:$V$1858,$V1300)/SUMIFS('Comp2016-2017 (3)'!$G$5:$G$289,'Comp2016-2017 (3)'!$A$5:$A$289,$D1300,'Comp2016-2017 (3)'!$R$5:$R$289,$V1300)*$AB1300))</f>
        <v/>
      </c>
      <c r="AD1300" s="222" t="str">
        <f>IF($W1300=AD$3,$AB1300,IF(NOT($W1300=0),"",SUMIFS('Val-Vol (2)'!AD$4:AD$1858,'Val-Vol (2)'!$A$4:$A$1858,$D1300,'Val-Vol (2)'!$V$4:$V$1858,$V1300)/SUMIFS('Comp2016-2017 (3)'!$G$5:$G$289,'Comp2016-2017 (3)'!$A$5:$A$289,$D1300,'Comp2016-2017 (3)'!$R$5:$R$289,$V1300)*$AB1300))</f>
        <v/>
      </c>
      <c r="AE1300" s="222" t="str">
        <f>IF($W1300=AE$3,$AB1300,IF(NOT($W1300=0),"",SUMIFS('Val-Vol (2)'!AE$4:AE$1858,'Val-Vol (2)'!$A$4:$A$1858,$D1300,'Val-Vol (2)'!$V$4:$V$1858,$V1300)/SUMIFS('Comp2016-2017 (3)'!$G$5:$G$289,'Comp2016-2017 (3)'!$A$5:$A$289,$D1300,'Comp2016-2017 (3)'!$R$5:$R$289,$V1300)*$AB1300))</f>
        <v/>
      </c>
      <c r="AF1300" s="222" t="str">
        <f>IF($W1300=AF$3,$AB1300,IF(NOT($W1300=0),"",SUMIFS('Val-Vol (2)'!AF$4:AF$1858,'Val-Vol (2)'!$A$4:$A$1858,$D1300,'Val-Vol (2)'!$V$4:$V$1858,$V1300)/SUMIFS('Comp2016-2017 (3)'!$G$5:$G$289,'Comp2016-2017 (3)'!$A$5:$A$289,$D1300,'Comp2016-2017 (3)'!$R$5:$R$289,$V1300)*$AB1300))</f>
        <v/>
      </c>
      <c r="AG1300" s="222" t="str">
        <f>IF($W1300=AG$3,$AB1300,IF(NOT($W1300=0),"",SUMIFS('Val-Vol (2)'!AG$4:AG$1858,'Val-Vol (2)'!$A$4:$A$1858,$D1300,'Val-Vol (2)'!$V$4:$V$1858,$V1300)/SUMIFS('Comp2016-2017 (3)'!$G$5:$G$289,'Comp2016-2017 (3)'!$A$5:$A$289,$D1300,'Comp2016-2017 (3)'!$R$5:$R$289,$V1300)*$AB1300))</f>
        <v/>
      </c>
      <c r="AH1300" s="222">
        <f>IF($W1300=AH$3,$AB1300,IF(NOT($W1300=0),"",SUMIFS('Val-Vol (2)'!AH$4:AH$1858,'Val-Vol (2)'!$A$4:$A$1858,$D1300,'Val-Vol (2)'!$V$4:$V$1858,$V1300)/SUMIFS('Comp2016-2017 (3)'!$G$5:$G$289,'Comp2016-2017 (3)'!$A$5:$A$289,$D1300,'Comp2016-2017 (3)'!$R$5:$R$289,$V1300)*$AB1300))</f>
        <v>0</v>
      </c>
      <c r="AI1300" s="222" t="str">
        <f>IF($W1300=AI$3,$AB1300,IF(NOT($W1300=0),"",SUMIFS('Val-Vol (2)'!AI$4:AI$1858,'Val-Vol (2)'!$A$4:$A$1858,$D1300,'Val-Vol (2)'!$V$4:$V$1858,$V1300)/SUMIFS('Comp2016-2017 (3)'!$G$5:$G$289,'Comp2016-2017 (3)'!$A$5:$A$289,$D1300,'Comp2016-2017 (3)'!$R$5:$R$289,$V1300)*$AB1300))</f>
        <v/>
      </c>
      <c r="AJ1300" s="222" t="str">
        <f>IF($W1300=AJ$3,$AB1300,IF(NOT($W1300=0),"",SUMIFS('Val-Vol (2)'!AJ$4:AJ$1858,'Val-Vol (2)'!$A$4:$A$1858,$D1300,'Val-Vol (2)'!$V$4:$V$1858,$V1300)/SUMIFS('Comp2016-2017 (3)'!$G$5:$G$289,'Comp2016-2017 (3)'!$A$5:$A$289,$D1300,'Comp2016-2017 (3)'!$R$5:$R$289,$V1300)*$AB1300))</f>
        <v/>
      </c>
      <c r="AK1300" s="222">
        <f t="shared" si="154"/>
        <v>0</v>
      </c>
      <c r="AL1300" s="212" t="str">
        <f t="shared" si="155"/>
        <v/>
      </c>
      <c r="AM1300" s="212" t="str">
        <f>VLOOKUP(A1300,'Table corresp.'!$M$4:$U$63,8,FALSE)</f>
        <v>Produits connexes du sciage</v>
      </c>
      <c r="AN1300" s="212" t="str">
        <f>VLOOKUP(D1300,'Table corresp.'!$M$4:$U$63,9,FALSE)</f>
        <v>Production intermédiaire</v>
      </c>
    </row>
    <row r="1301" spans="1:40" x14ac:dyDescent="0.25">
      <c r="A1301" t="s">
        <v>12</v>
      </c>
      <c r="B1301" t="str">
        <f>VLOOKUP(LEFT(A1301,3),'Table corresp.'!$A$4:$D$63,3,FALSE)</f>
        <v>Produits connexes du sciage</v>
      </c>
      <c r="C1301" t="str">
        <f>VLOOKUP(A1301,'Table corresp.'!$M$4:$P$63,4,FALSE)</f>
        <v>Production et transformation de produits bois</v>
      </c>
      <c r="D1301" t="s">
        <v>101</v>
      </c>
      <c r="E1301" t="str">
        <f>VLOOKUP(LEFT(D1301,3),'Table corresp.'!$A$4:$D$63,4,FALSE)</f>
        <v>Transformation</v>
      </c>
      <c r="F1301" t="str">
        <f t="shared" si="157"/>
        <v xml:space="preserve">19  - 49 </v>
      </c>
      <c r="G1301" s="213">
        <v>21934.880697283621</v>
      </c>
      <c r="H1301" s="213">
        <v>34791.889017311762</v>
      </c>
      <c r="I1301" s="213">
        <v>56726.769714595379</v>
      </c>
      <c r="J1301" s="215"/>
      <c r="K1301" s="215"/>
      <c r="L1301" s="215"/>
      <c r="M1301" s="215"/>
      <c r="N1301" s="215"/>
      <c r="O1301" s="215"/>
      <c r="P1301" s="215">
        <v>905.75004995045003</v>
      </c>
      <c r="Q1301" s="215">
        <v>467.29900045377843</v>
      </c>
      <c r="R1301" s="215">
        <v>1373.0490504042284</v>
      </c>
      <c r="S1301" s="213" t="s">
        <v>198</v>
      </c>
      <c r="T1301" s="212">
        <f>VLOOKUP(A1301,'Groupe de branches'!$Z$27:$AM$86,14,FALSE)</f>
        <v>0</v>
      </c>
      <c r="U1301" s="212">
        <f>VLOOKUP(D1301,'Groupe de branches'!$Z$27:$AM$86,14,FALSE)</f>
        <v>1</v>
      </c>
      <c r="V1301" s="212">
        <v>2019</v>
      </c>
      <c r="W1301" s="212" t="str">
        <f>VLOOKUP(D1301,'Table corresp.'!$M$4:$S$63,7,FALSE)</f>
        <v>Energie</v>
      </c>
      <c r="X1301" s="228">
        <f>IFERROR(G1301/SUMIFS('Comp2016-2017 (3)'!$I$5:$I$289,'Comp2016-2017 (3)'!$A$5:$A$289,A1301,'Comp2016-2017 (3)'!$R$5:$R$289,V1301),0)</f>
        <v>0.14398314569017198</v>
      </c>
      <c r="Y1301" s="214" t="e">
        <f>IF(RIGHT(F1301,3)="Exp",VLOOKUP(F1301,#REF!,2,FALSE),VLOOKUP(F1301,#REF!,9,FALSE))</f>
        <v>#REF!</v>
      </c>
      <c r="Z1301" s="225" t="str">
        <f t="shared" si="156"/>
        <v/>
      </c>
      <c r="AA1301" s="225" t="e">
        <f t="shared" si="153"/>
        <v>#VALUE!</v>
      </c>
      <c r="AB1301" s="222">
        <f>IFERROR(SUMIFS('Comp2016-2017 (3)'!$G$5:$G$289,'Comp2016-2017 (3)'!$A$5:$A$289,A1301,'Comp2016-2017 (3)'!$R$5:$R$289,V1301)*AA1301/SUMIFS($AA$4:$AA$1858,$A$4:$A$1858,A1301,$V$4:$V$1858,V1301),0)</f>
        <v>0</v>
      </c>
      <c r="AC1301" s="222" t="str">
        <f>IF($W1301=AC$3,$AB1301,IF(NOT($W1301=0),"",SUMIFS('Val-Vol (2)'!AC$4:AC$1858,'Val-Vol (2)'!$A$4:$A$1858,$D1301,'Val-Vol (2)'!$V$4:$V$1858,$V1301)/SUMIFS('Comp2016-2017 (3)'!$G$5:$G$289,'Comp2016-2017 (3)'!$A$5:$A$289,$D1301,'Comp2016-2017 (3)'!$R$5:$R$289,$V1301)*$AB1301))</f>
        <v/>
      </c>
      <c r="AD1301" s="222" t="str">
        <f>IF($W1301=AD$3,$AB1301,IF(NOT($W1301=0),"",SUMIFS('Val-Vol (2)'!AD$4:AD$1858,'Val-Vol (2)'!$A$4:$A$1858,$D1301,'Val-Vol (2)'!$V$4:$V$1858,$V1301)/SUMIFS('Comp2016-2017 (3)'!$G$5:$G$289,'Comp2016-2017 (3)'!$A$5:$A$289,$D1301,'Comp2016-2017 (3)'!$R$5:$R$289,$V1301)*$AB1301))</f>
        <v/>
      </c>
      <c r="AE1301" s="222" t="str">
        <f>IF($W1301=AE$3,$AB1301,IF(NOT($W1301=0),"",SUMIFS('Val-Vol (2)'!AE$4:AE$1858,'Val-Vol (2)'!$A$4:$A$1858,$D1301,'Val-Vol (2)'!$V$4:$V$1858,$V1301)/SUMIFS('Comp2016-2017 (3)'!$G$5:$G$289,'Comp2016-2017 (3)'!$A$5:$A$289,$D1301,'Comp2016-2017 (3)'!$R$5:$R$289,$V1301)*$AB1301))</f>
        <v/>
      </c>
      <c r="AF1301" s="222" t="str">
        <f>IF($W1301=AF$3,$AB1301,IF(NOT($W1301=0),"",SUMIFS('Val-Vol (2)'!AF$4:AF$1858,'Val-Vol (2)'!$A$4:$A$1858,$D1301,'Val-Vol (2)'!$V$4:$V$1858,$V1301)/SUMIFS('Comp2016-2017 (3)'!$G$5:$G$289,'Comp2016-2017 (3)'!$A$5:$A$289,$D1301,'Comp2016-2017 (3)'!$R$5:$R$289,$V1301)*$AB1301))</f>
        <v/>
      </c>
      <c r="AG1301" s="222" t="str">
        <f>IF($W1301=AG$3,$AB1301,IF(NOT($W1301=0),"",SUMIFS('Val-Vol (2)'!AG$4:AG$1858,'Val-Vol (2)'!$A$4:$A$1858,$D1301,'Val-Vol (2)'!$V$4:$V$1858,$V1301)/SUMIFS('Comp2016-2017 (3)'!$G$5:$G$289,'Comp2016-2017 (3)'!$A$5:$A$289,$D1301,'Comp2016-2017 (3)'!$R$5:$R$289,$V1301)*$AB1301))</f>
        <v/>
      </c>
      <c r="AH1301" s="222">
        <f>IF($W1301=AH$3,$AB1301,IF(NOT($W1301=0),"",SUMIFS('Val-Vol (2)'!AH$4:AH$1858,'Val-Vol (2)'!$A$4:$A$1858,$D1301,'Val-Vol (2)'!$V$4:$V$1858,$V1301)/SUMIFS('Comp2016-2017 (3)'!$G$5:$G$289,'Comp2016-2017 (3)'!$A$5:$A$289,$D1301,'Comp2016-2017 (3)'!$R$5:$R$289,$V1301)*$AB1301))</f>
        <v>0</v>
      </c>
      <c r="AI1301" s="222" t="str">
        <f>IF($W1301=AI$3,$AB1301,IF(NOT($W1301=0),"",SUMIFS('Val-Vol (2)'!AI$4:AI$1858,'Val-Vol (2)'!$A$4:$A$1858,$D1301,'Val-Vol (2)'!$V$4:$V$1858,$V1301)/SUMIFS('Comp2016-2017 (3)'!$G$5:$G$289,'Comp2016-2017 (3)'!$A$5:$A$289,$D1301,'Comp2016-2017 (3)'!$R$5:$R$289,$V1301)*$AB1301))</f>
        <v/>
      </c>
      <c r="AJ1301" s="222" t="str">
        <f>IF($W1301=AJ$3,$AB1301,IF(NOT($W1301=0),"",SUMIFS('Val-Vol (2)'!AJ$4:AJ$1858,'Val-Vol (2)'!$A$4:$A$1858,$D1301,'Val-Vol (2)'!$V$4:$V$1858,$V1301)/SUMIFS('Comp2016-2017 (3)'!$G$5:$G$289,'Comp2016-2017 (3)'!$A$5:$A$289,$D1301,'Comp2016-2017 (3)'!$R$5:$R$289,$V1301)*$AB1301))</f>
        <v/>
      </c>
      <c r="AK1301" s="222">
        <f t="shared" si="154"/>
        <v>0</v>
      </c>
      <c r="AL1301" s="212" t="str">
        <f t="shared" si="155"/>
        <v/>
      </c>
      <c r="AM1301" s="212" t="str">
        <f>VLOOKUP(A1301,'Table corresp.'!$M$4:$U$63,8,FALSE)</f>
        <v>Produits connexes du sciage</v>
      </c>
      <c r="AN1301" s="212" t="str">
        <f>VLOOKUP(D1301,'Table corresp.'!$M$4:$U$63,9,FALSE)</f>
        <v>Production finale</v>
      </c>
    </row>
    <row r="1302" spans="1:40" x14ac:dyDescent="0.25">
      <c r="A1302" t="s">
        <v>12</v>
      </c>
      <c r="B1302" t="str">
        <f>VLOOKUP(LEFT(A1302,3),'Table corresp.'!$A$4:$D$63,3,FALSE)</f>
        <v>Produits connexes du sciage</v>
      </c>
      <c r="C1302" t="str">
        <f>VLOOKUP(A1302,'Table corresp.'!$M$4:$P$63,4,FALSE)</f>
        <v>Production et transformation de produits bois</v>
      </c>
      <c r="D1302" t="s">
        <v>54</v>
      </c>
      <c r="E1302" t="str">
        <f>VLOOKUP(LEFT(D1302,3),'Table corresp.'!$A$4:$D$63,4,FALSE)</f>
        <v>Consommation finale</v>
      </c>
      <c r="F1302" t="str">
        <f t="shared" si="157"/>
        <v>19  - Con</v>
      </c>
      <c r="G1302" s="213">
        <v>12573.553000200691</v>
      </c>
      <c r="H1302" s="213">
        <v>10168.542667619291</v>
      </c>
      <c r="I1302" s="213">
        <v>22742.09566781998</v>
      </c>
      <c r="J1302" s="215"/>
      <c r="K1302" s="215"/>
      <c r="L1302" s="215"/>
      <c r="M1302" s="215"/>
      <c r="N1302" s="215"/>
      <c r="O1302" s="215"/>
      <c r="P1302" s="215">
        <v>519.19572370396986</v>
      </c>
      <c r="Q1302" s="215">
        <v>136.57636762078988</v>
      </c>
      <c r="R1302" s="215">
        <v>655.77209132475969</v>
      </c>
      <c r="S1302" s="213" t="s">
        <v>198</v>
      </c>
      <c r="T1302" s="212">
        <f>VLOOKUP(A1302,'Groupe de branches'!$Z$27:$AM$86,14,FALSE)</f>
        <v>0</v>
      </c>
      <c r="U1302" s="212">
        <f>VLOOKUP(D1302,'Groupe de branches'!$Z$27:$AM$86,14,FALSE)</f>
        <v>0</v>
      </c>
      <c r="V1302" s="212">
        <v>2019</v>
      </c>
      <c r="W1302" s="212" t="str">
        <f>VLOOKUP(D1302,'Table corresp.'!$M$4:$S$63,7,FALSE)</f>
        <v>Consommation finale</v>
      </c>
      <c r="X1302" s="228">
        <f>IFERROR(G1302/SUMIFS('Comp2016-2017 (3)'!$I$5:$I$289,'Comp2016-2017 (3)'!$A$5:$A$289,A1302,'Comp2016-2017 (3)'!$R$5:$R$289,V1302),0)</f>
        <v>8.2534285846158698E-2</v>
      </c>
      <c r="Y1302" s="214" t="e">
        <f>IF(RIGHT(F1302,3)="Exp",VLOOKUP(F1302,#REF!,2,FALSE),VLOOKUP(F1302,#REF!,9,FALSE))</f>
        <v>#REF!</v>
      </c>
      <c r="Z1302" s="225" t="str">
        <f t="shared" si="156"/>
        <v/>
      </c>
      <c r="AA1302" s="225" t="e">
        <f t="shared" si="153"/>
        <v>#VALUE!</v>
      </c>
      <c r="AB1302" s="222">
        <f>IFERROR(SUMIFS('Comp2016-2017 (3)'!$G$5:$G$289,'Comp2016-2017 (3)'!$A$5:$A$289,A1302,'Comp2016-2017 (3)'!$R$5:$R$289,V1302)*AA1302/SUMIFS($AA$4:$AA$1858,$A$4:$A$1858,A1302,$V$4:$V$1858,V1302),0)</f>
        <v>0</v>
      </c>
      <c r="AC1302" s="222" t="str">
        <f>IF($W1302=AC$3,$AB1302,IF(NOT($W1302=0),"",SUMIFS('Val-Vol (2)'!AC$4:AC$1858,'Val-Vol (2)'!$A$4:$A$1858,$D1302,'Val-Vol (2)'!$V$4:$V$1858,$V1302)/SUMIFS('Comp2016-2017 (3)'!$G$5:$G$289,'Comp2016-2017 (3)'!$A$5:$A$289,$D1302,'Comp2016-2017 (3)'!$R$5:$R$289,$V1302)*$AB1302))</f>
        <v/>
      </c>
      <c r="AD1302" s="222" t="str">
        <f>IF($W1302=AD$3,$AB1302,IF(NOT($W1302=0),"",SUMIFS('Val-Vol (2)'!AD$4:AD$1858,'Val-Vol (2)'!$A$4:$A$1858,$D1302,'Val-Vol (2)'!$V$4:$V$1858,$V1302)/SUMIFS('Comp2016-2017 (3)'!$G$5:$G$289,'Comp2016-2017 (3)'!$A$5:$A$289,$D1302,'Comp2016-2017 (3)'!$R$5:$R$289,$V1302)*$AB1302))</f>
        <v/>
      </c>
      <c r="AE1302" s="222" t="str">
        <f>IF($W1302=AE$3,$AB1302,IF(NOT($W1302=0),"",SUMIFS('Val-Vol (2)'!AE$4:AE$1858,'Val-Vol (2)'!$A$4:$A$1858,$D1302,'Val-Vol (2)'!$V$4:$V$1858,$V1302)/SUMIFS('Comp2016-2017 (3)'!$G$5:$G$289,'Comp2016-2017 (3)'!$A$5:$A$289,$D1302,'Comp2016-2017 (3)'!$R$5:$R$289,$V1302)*$AB1302))</f>
        <v/>
      </c>
      <c r="AF1302" s="222" t="str">
        <f>IF($W1302=AF$3,$AB1302,IF(NOT($W1302=0),"",SUMIFS('Val-Vol (2)'!AF$4:AF$1858,'Val-Vol (2)'!$A$4:$A$1858,$D1302,'Val-Vol (2)'!$V$4:$V$1858,$V1302)/SUMIFS('Comp2016-2017 (3)'!$G$5:$G$289,'Comp2016-2017 (3)'!$A$5:$A$289,$D1302,'Comp2016-2017 (3)'!$R$5:$R$289,$V1302)*$AB1302))</f>
        <v/>
      </c>
      <c r="AG1302" s="222" t="str">
        <f>IF($W1302=AG$3,$AB1302,IF(NOT($W1302=0),"",SUMIFS('Val-Vol (2)'!AG$4:AG$1858,'Val-Vol (2)'!$A$4:$A$1858,$D1302,'Val-Vol (2)'!$V$4:$V$1858,$V1302)/SUMIFS('Comp2016-2017 (3)'!$G$5:$G$289,'Comp2016-2017 (3)'!$A$5:$A$289,$D1302,'Comp2016-2017 (3)'!$R$5:$R$289,$V1302)*$AB1302))</f>
        <v/>
      </c>
      <c r="AH1302" s="222" t="str">
        <f>IF($W1302=AH$3,$AB1302,IF(NOT($W1302=0),"",SUMIFS('Val-Vol (2)'!AH$4:AH$1858,'Val-Vol (2)'!$A$4:$A$1858,$D1302,'Val-Vol (2)'!$V$4:$V$1858,$V1302)/SUMIFS('Comp2016-2017 (3)'!$G$5:$G$289,'Comp2016-2017 (3)'!$A$5:$A$289,$D1302,'Comp2016-2017 (3)'!$R$5:$R$289,$V1302)*$AB1302))</f>
        <v/>
      </c>
      <c r="AI1302" s="222" t="str">
        <f>IF($W1302=AI$3,$AB1302,IF(NOT($W1302=0),"",SUMIFS('Val-Vol (2)'!AI$4:AI$1858,'Val-Vol (2)'!$A$4:$A$1858,$D1302,'Val-Vol (2)'!$V$4:$V$1858,$V1302)/SUMIFS('Comp2016-2017 (3)'!$G$5:$G$289,'Comp2016-2017 (3)'!$A$5:$A$289,$D1302,'Comp2016-2017 (3)'!$R$5:$R$289,$V1302)*$AB1302))</f>
        <v/>
      </c>
      <c r="AJ1302" s="222">
        <f>IF($W1302=AJ$3,$AB1302,IF(NOT($W1302=0),"",SUMIFS('Val-Vol (2)'!AJ$4:AJ$1858,'Val-Vol (2)'!$A$4:$A$1858,$D1302,'Val-Vol (2)'!$V$4:$V$1858,$V1302)/SUMIFS('Comp2016-2017 (3)'!$G$5:$G$289,'Comp2016-2017 (3)'!$A$5:$A$289,$D1302,'Comp2016-2017 (3)'!$R$5:$R$289,$V1302)*$AB1302))</f>
        <v>0</v>
      </c>
      <c r="AK1302" s="222">
        <f t="shared" si="154"/>
        <v>0</v>
      </c>
      <c r="AL1302" s="212" t="str">
        <f t="shared" si="155"/>
        <v/>
      </c>
      <c r="AM1302" s="212" t="str">
        <f>VLOOKUP(A1302,'Table corresp.'!$M$4:$U$63,8,FALSE)</f>
        <v>Produits connexes du sciage</v>
      </c>
      <c r="AN1302" s="212" t="str">
        <f>VLOOKUP(D1302,'Table corresp.'!$M$4:$U$63,9,FALSE)</f>
        <v>Consommation finale française</v>
      </c>
    </row>
    <row r="1303" spans="1:40" x14ac:dyDescent="0.25">
      <c r="A1303" t="s">
        <v>12</v>
      </c>
      <c r="B1303" t="str">
        <f>VLOOKUP(LEFT(A1303,3),'Table corresp.'!$A$4:$D$63,3,FALSE)</f>
        <v>Produits connexes du sciage</v>
      </c>
      <c r="C1303" t="str">
        <f>VLOOKUP(A1303,'Table corresp.'!$M$4:$P$63,4,FALSE)</f>
        <v>Production et transformation de produits bois</v>
      </c>
      <c r="D1303" t="s">
        <v>53</v>
      </c>
      <c r="E1303" t="str">
        <f>VLOOKUP(LEFT(D1303,3),'Table corresp.'!$A$4:$D$63,4,FALSE)</f>
        <v>Exportation</v>
      </c>
      <c r="F1303" t="str">
        <f t="shared" si="157"/>
        <v>19  - Exp</v>
      </c>
      <c r="G1303" s="213">
        <v>44198.450999999994</v>
      </c>
      <c r="H1303" s="213">
        <v>0</v>
      </c>
      <c r="I1303" s="213">
        <v>44198.450999999994</v>
      </c>
      <c r="J1303" s="215"/>
      <c r="K1303" s="215"/>
      <c r="L1303" s="215"/>
      <c r="M1303" s="215"/>
      <c r="N1303" s="215"/>
      <c r="O1303" s="215"/>
      <c r="P1303" s="215">
        <v>552.315980735484</v>
      </c>
      <c r="Q1303" s="215">
        <v>0</v>
      </c>
      <c r="R1303" s="215">
        <v>552.315980735484</v>
      </c>
      <c r="S1303" s="213" t="s">
        <v>198</v>
      </c>
      <c r="T1303" s="212">
        <f>VLOOKUP(A1303,'Groupe de branches'!$Z$27:$AM$86,14,FALSE)</f>
        <v>0</v>
      </c>
      <c r="U1303" s="212">
        <f>VLOOKUP(D1303,'Groupe de branches'!$Z$27:$AM$86,14,FALSE)</f>
        <v>0</v>
      </c>
      <c r="V1303" s="212">
        <v>2019</v>
      </c>
      <c r="W1303" s="212" t="str">
        <f>VLOOKUP(D1303,'Table corresp.'!$M$4:$S$63,7,FALSE)</f>
        <v>Exportation</v>
      </c>
      <c r="X1303" s="228">
        <f>IFERROR(G1303/SUMIFS('Comp2016-2017 (3)'!$I$5:$I$289,'Comp2016-2017 (3)'!$A$5:$A$289,A1303,'Comp2016-2017 (3)'!$R$5:$R$289,V1303),0)</f>
        <v>0.29012384874292996</v>
      </c>
      <c r="Y1303" s="214" t="e">
        <f>IF(RIGHT(F1303,3)="Exp",VLOOKUP(F1303,#REF!,2,FALSE),VLOOKUP(F1303,#REF!,9,FALSE))</f>
        <v>#REF!</v>
      </c>
      <c r="Z1303" s="225" t="str">
        <f t="shared" si="156"/>
        <v/>
      </c>
      <c r="AA1303" s="225" t="e">
        <f t="shared" si="153"/>
        <v>#VALUE!</v>
      </c>
      <c r="AB1303" s="222">
        <f>IFERROR(SUMIFS('Comp2016-2017 (3)'!$G$5:$G$289,'Comp2016-2017 (3)'!$A$5:$A$289,A1303,'Comp2016-2017 (3)'!$R$5:$R$289,V1303)*AA1303/SUMIFS($AA$4:$AA$1858,$A$4:$A$1858,A1303,$V$4:$V$1858,V1303),0)</f>
        <v>0</v>
      </c>
      <c r="AC1303" s="222">
        <f>IF($W1303=AC$3,$AB1303,IF(NOT($W1303=0),"",SUMIFS('Val-Vol (2)'!AC$4:AC$1858,'Val-Vol (2)'!$A$4:$A$1858,$D1303,'Val-Vol (2)'!$V$4:$V$1858,$V1303)/SUMIFS('Comp2016-2017 (3)'!$G$5:$G$289,'Comp2016-2017 (3)'!$A$5:$A$289,$D1303,'Comp2016-2017 (3)'!$R$5:$R$289,$V1303)*$AB1303))</f>
        <v>0</v>
      </c>
      <c r="AD1303" s="222" t="str">
        <f>IF($W1303=AD$3,$AB1303,IF(NOT($W1303=0),"",SUMIFS('Val-Vol (2)'!AD$4:AD$1858,'Val-Vol (2)'!$A$4:$A$1858,$D1303,'Val-Vol (2)'!$V$4:$V$1858,$V1303)/SUMIFS('Comp2016-2017 (3)'!$G$5:$G$289,'Comp2016-2017 (3)'!$A$5:$A$289,$D1303,'Comp2016-2017 (3)'!$R$5:$R$289,$V1303)*$AB1303))</f>
        <v/>
      </c>
      <c r="AE1303" s="222" t="str">
        <f>IF($W1303=AE$3,$AB1303,IF(NOT($W1303=0),"",SUMIFS('Val-Vol (2)'!AE$4:AE$1858,'Val-Vol (2)'!$A$4:$A$1858,$D1303,'Val-Vol (2)'!$V$4:$V$1858,$V1303)/SUMIFS('Comp2016-2017 (3)'!$G$5:$G$289,'Comp2016-2017 (3)'!$A$5:$A$289,$D1303,'Comp2016-2017 (3)'!$R$5:$R$289,$V1303)*$AB1303))</f>
        <v/>
      </c>
      <c r="AF1303" s="222" t="str">
        <f>IF($W1303=AF$3,$AB1303,IF(NOT($W1303=0),"",SUMIFS('Val-Vol (2)'!AF$4:AF$1858,'Val-Vol (2)'!$A$4:$A$1858,$D1303,'Val-Vol (2)'!$V$4:$V$1858,$V1303)/SUMIFS('Comp2016-2017 (3)'!$G$5:$G$289,'Comp2016-2017 (3)'!$A$5:$A$289,$D1303,'Comp2016-2017 (3)'!$R$5:$R$289,$V1303)*$AB1303))</f>
        <v/>
      </c>
      <c r="AG1303" s="222" t="str">
        <f>IF($W1303=AG$3,$AB1303,IF(NOT($W1303=0),"",SUMIFS('Val-Vol (2)'!AG$4:AG$1858,'Val-Vol (2)'!$A$4:$A$1858,$D1303,'Val-Vol (2)'!$V$4:$V$1858,$V1303)/SUMIFS('Comp2016-2017 (3)'!$G$5:$G$289,'Comp2016-2017 (3)'!$A$5:$A$289,$D1303,'Comp2016-2017 (3)'!$R$5:$R$289,$V1303)*$AB1303))</f>
        <v/>
      </c>
      <c r="AH1303" s="222" t="str">
        <f>IF($W1303=AH$3,$AB1303,IF(NOT($W1303=0),"",SUMIFS('Val-Vol (2)'!AH$4:AH$1858,'Val-Vol (2)'!$A$4:$A$1858,$D1303,'Val-Vol (2)'!$V$4:$V$1858,$V1303)/SUMIFS('Comp2016-2017 (3)'!$G$5:$G$289,'Comp2016-2017 (3)'!$A$5:$A$289,$D1303,'Comp2016-2017 (3)'!$R$5:$R$289,$V1303)*$AB1303))</f>
        <v/>
      </c>
      <c r="AI1303" s="222" t="str">
        <f>IF($W1303=AI$3,$AB1303,IF(NOT($W1303=0),"",SUMIFS('Val-Vol (2)'!AI$4:AI$1858,'Val-Vol (2)'!$A$4:$A$1858,$D1303,'Val-Vol (2)'!$V$4:$V$1858,$V1303)/SUMIFS('Comp2016-2017 (3)'!$G$5:$G$289,'Comp2016-2017 (3)'!$A$5:$A$289,$D1303,'Comp2016-2017 (3)'!$R$5:$R$289,$V1303)*$AB1303))</f>
        <v/>
      </c>
      <c r="AJ1303" s="222" t="str">
        <f>IF($W1303=AJ$3,$AB1303,IF(NOT($W1303=0),"",SUMIFS('Val-Vol (2)'!AJ$4:AJ$1858,'Val-Vol (2)'!$A$4:$A$1858,$D1303,'Val-Vol (2)'!$V$4:$V$1858,$V1303)/SUMIFS('Comp2016-2017 (3)'!$G$5:$G$289,'Comp2016-2017 (3)'!$A$5:$A$289,$D1303,'Comp2016-2017 (3)'!$R$5:$R$289,$V1303)*$AB1303))</f>
        <v/>
      </c>
      <c r="AK1303" s="222">
        <f t="shared" si="154"/>
        <v>0</v>
      </c>
      <c r="AL1303" s="212" t="str">
        <f t="shared" si="155"/>
        <v/>
      </c>
      <c r="AM1303" s="212" t="str">
        <f>VLOOKUP(A1303,'Table corresp.'!$M$4:$U$63,8,FALSE)</f>
        <v>Produits connexes du sciage</v>
      </c>
      <c r="AN1303" s="212" t="str">
        <f>VLOOKUP(D1303,'Table corresp.'!$M$4:$U$63,9,FALSE)</f>
        <v>Exportation</v>
      </c>
    </row>
    <row r="1304" spans="1:40" x14ac:dyDescent="0.25">
      <c r="A1304" t="s">
        <v>13</v>
      </c>
      <c r="B1304" t="str">
        <f>VLOOKUP(LEFT(A1304,3),'Table corresp.'!$A$4:$D$63,3,FALSE)</f>
        <v>Transformation</v>
      </c>
      <c r="C1304" t="str">
        <f>VLOOKUP(A1304,'Table corresp.'!$M$4:$P$63,4,FALSE)</f>
        <v>Production et transformation de produits bois</v>
      </c>
      <c r="D1304" t="s">
        <v>85</v>
      </c>
      <c r="E1304" t="str">
        <f>VLOOKUP(LEFT(D1304,3),'Table corresp.'!$A$4:$D$63,4,FALSE)</f>
        <v>Transformation</v>
      </c>
      <c r="F1304" t="str">
        <f t="shared" si="157"/>
        <v xml:space="preserve">20  - 29 </v>
      </c>
      <c r="G1304" s="213">
        <v>96967.269934342272</v>
      </c>
      <c r="H1304" s="213">
        <v>36124.81806244015</v>
      </c>
      <c r="I1304" s="213">
        <v>133092.08799678241</v>
      </c>
      <c r="J1304" s="215">
        <v>536.63887923516893</v>
      </c>
      <c r="K1304" s="215">
        <v>237.21684392043508</v>
      </c>
      <c r="L1304" s="215">
        <v>773.85572315560398</v>
      </c>
      <c r="M1304" s="215"/>
      <c r="N1304" s="215"/>
      <c r="O1304" s="215"/>
      <c r="P1304" s="215"/>
      <c r="Q1304" s="215"/>
      <c r="R1304" s="215"/>
      <c r="S1304" s="213"/>
      <c r="T1304" s="212">
        <f>VLOOKUP(A1304,'Groupe de branches'!$Z$27:$AM$86,14,FALSE)</f>
        <v>0</v>
      </c>
      <c r="U1304" s="212">
        <f>VLOOKUP(D1304,'Groupe de branches'!$Z$27:$AM$86,14,FALSE)</f>
        <v>0</v>
      </c>
      <c r="V1304" s="212">
        <v>2019</v>
      </c>
      <c r="W1304" s="212" t="str">
        <f>VLOOKUP(D1304,'Table corresp.'!$M$4:$S$63,7,FALSE)</f>
        <v>Construction</v>
      </c>
      <c r="X1304" s="228">
        <f>IFERROR(G1304/SUMIFS('Comp2016-2017 (3)'!$I$5:$I$289,'Comp2016-2017 (3)'!$A$5:$A$289,A1304,'Comp2016-2017 (3)'!$R$5:$R$289,V1304),0)</f>
        <v>0.13970216290394524</v>
      </c>
      <c r="Y1304" s="214" t="e">
        <f>IF(RIGHT(F1304,3)="Exp",VLOOKUP(F1304,#REF!,2,FALSE),VLOOKUP(F1304,#REF!,9,FALSE))</f>
        <v>#REF!</v>
      </c>
      <c r="Z1304" s="225" t="str">
        <f t="shared" si="156"/>
        <v/>
      </c>
      <c r="AA1304" s="225" t="e">
        <f t="shared" si="153"/>
        <v>#VALUE!</v>
      </c>
      <c r="AB1304" s="222">
        <f>IFERROR(SUMIFS('Comp2016-2017 (3)'!$G$5:$G$289,'Comp2016-2017 (3)'!$A$5:$A$289,A1304,'Comp2016-2017 (3)'!$R$5:$R$289,V1304)*AA1304/SUMIFS($AA$4:$AA$1858,$A$4:$A$1858,A1304,$V$4:$V$1858,V1304),0)</f>
        <v>0</v>
      </c>
      <c r="AC1304" s="222" t="str">
        <f>IF($W1304=AC$3,$AB1304,IF(NOT($W1304=0),"",SUMIFS('Val-Vol (2)'!AC$4:AC$1858,'Val-Vol (2)'!$A$4:$A$1858,$D1304,'Val-Vol (2)'!$V$4:$V$1858,$V1304)/SUMIFS('Comp2016-2017 (3)'!$G$5:$G$289,'Comp2016-2017 (3)'!$A$5:$A$289,$D1304,'Comp2016-2017 (3)'!$R$5:$R$289,$V1304)*$AB1304))</f>
        <v/>
      </c>
      <c r="AD1304" s="222">
        <f>IF($W1304=AD$3,$AB1304,IF(NOT($W1304=0),"",SUMIFS('Val-Vol (2)'!AD$4:AD$1858,'Val-Vol (2)'!$A$4:$A$1858,$D1304,'Val-Vol (2)'!$V$4:$V$1858,$V1304)/SUMIFS('Comp2016-2017 (3)'!$G$5:$G$289,'Comp2016-2017 (3)'!$A$5:$A$289,$D1304,'Comp2016-2017 (3)'!$R$5:$R$289,$V1304)*$AB1304))</f>
        <v>0</v>
      </c>
      <c r="AE1304" s="222" t="str">
        <f>IF($W1304=AE$3,$AB1304,IF(NOT($W1304=0),"",SUMIFS('Val-Vol (2)'!AE$4:AE$1858,'Val-Vol (2)'!$A$4:$A$1858,$D1304,'Val-Vol (2)'!$V$4:$V$1858,$V1304)/SUMIFS('Comp2016-2017 (3)'!$G$5:$G$289,'Comp2016-2017 (3)'!$A$5:$A$289,$D1304,'Comp2016-2017 (3)'!$R$5:$R$289,$V1304)*$AB1304))</f>
        <v/>
      </c>
      <c r="AF1304" s="222" t="str">
        <f>IF($W1304=AF$3,$AB1304,IF(NOT($W1304=0),"",SUMIFS('Val-Vol (2)'!AF$4:AF$1858,'Val-Vol (2)'!$A$4:$A$1858,$D1304,'Val-Vol (2)'!$V$4:$V$1858,$V1304)/SUMIFS('Comp2016-2017 (3)'!$G$5:$G$289,'Comp2016-2017 (3)'!$A$5:$A$289,$D1304,'Comp2016-2017 (3)'!$R$5:$R$289,$V1304)*$AB1304))</f>
        <v/>
      </c>
      <c r="AG1304" s="222" t="str">
        <f>IF($W1304=AG$3,$AB1304,IF(NOT($W1304=0),"",SUMIFS('Val-Vol (2)'!AG$4:AG$1858,'Val-Vol (2)'!$A$4:$A$1858,$D1304,'Val-Vol (2)'!$V$4:$V$1858,$V1304)/SUMIFS('Comp2016-2017 (3)'!$G$5:$G$289,'Comp2016-2017 (3)'!$A$5:$A$289,$D1304,'Comp2016-2017 (3)'!$R$5:$R$289,$V1304)*$AB1304))</f>
        <v/>
      </c>
      <c r="AH1304" s="222" t="str">
        <f>IF($W1304=AH$3,$AB1304,IF(NOT($W1304=0),"",SUMIFS('Val-Vol (2)'!AH$4:AH$1858,'Val-Vol (2)'!$A$4:$A$1858,$D1304,'Val-Vol (2)'!$V$4:$V$1858,$V1304)/SUMIFS('Comp2016-2017 (3)'!$G$5:$G$289,'Comp2016-2017 (3)'!$A$5:$A$289,$D1304,'Comp2016-2017 (3)'!$R$5:$R$289,$V1304)*$AB1304))</f>
        <v/>
      </c>
      <c r="AI1304" s="222" t="str">
        <f>IF($W1304=AI$3,$AB1304,IF(NOT($W1304=0),"",SUMIFS('Val-Vol (2)'!AI$4:AI$1858,'Val-Vol (2)'!$A$4:$A$1858,$D1304,'Val-Vol (2)'!$V$4:$V$1858,$V1304)/SUMIFS('Comp2016-2017 (3)'!$G$5:$G$289,'Comp2016-2017 (3)'!$A$5:$A$289,$D1304,'Comp2016-2017 (3)'!$R$5:$R$289,$V1304)*$AB1304))</f>
        <v/>
      </c>
      <c r="AJ1304" s="222" t="str">
        <f>IF($W1304=AJ$3,$AB1304,IF(NOT($W1304=0),"",SUMIFS('Val-Vol (2)'!AJ$4:AJ$1858,'Val-Vol (2)'!$A$4:$A$1858,$D1304,'Val-Vol (2)'!$V$4:$V$1858,$V1304)/SUMIFS('Comp2016-2017 (3)'!$G$5:$G$289,'Comp2016-2017 (3)'!$A$5:$A$289,$D1304,'Comp2016-2017 (3)'!$R$5:$R$289,$V1304)*$AB1304))</f>
        <v/>
      </c>
      <c r="AK1304" s="222">
        <f t="shared" si="154"/>
        <v>0</v>
      </c>
      <c r="AL1304" s="212" t="str">
        <f t="shared" si="155"/>
        <v/>
      </c>
      <c r="AM1304" s="212" t="str">
        <f>VLOOKUP(A1304,'Table corresp.'!$M$4:$U$63,8,FALSE)</f>
        <v>Production intermédiaire</v>
      </c>
      <c r="AN1304" s="212" t="str">
        <f>VLOOKUP(D1304,'Table corresp.'!$M$4:$U$63,9,FALSE)</f>
        <v>Production intermédiaire</v>
      </c>
    </row>
    <row r="1305" spans="1:40" x14ac:dyDescent="0.25">
      <c r="A1305" t="s">
        <v>13</v>
      </c>
      <c r="B1305" t="str">
        <f>VLOOKUP(LEFT(A1305,3),'Table corresp.'!$A$4:$D$63,3,FALSE)</f>
        <v>Transformation</v>
      </c>
      <c r="C1305" t="str">
        <f>VLOOKUP(A1305,'Table corresp.'!$M$4:$P$63,4,FALSE)</f>
        <v>Production et transformation de produits bois</v>
      </c>
      <c r="D1305" t="s">
        <v>15</v>
      </c>
      <c r="E1305" t="str">
        <f>VLOOKUP(LEFT(D1305,3),'Table corresp.'!$A$4:$D$63,4,FALSE)</f>
        <v>Transformation</v>
      </c>
      <c r="F1305" t="str">
        <f t="shared" si="157"/>
        <v xml:space="preserve">20  - 35 </v>
      </c>
      <c r="G1305" s="213">
        <v>2605.3468386060372</v>
      </c>
      <c r="H1305" s="213">
        <v>979.63195089223075</v>
      </c>
      <c r="I1305" s="213">
        <v>3584.9787894982678</v>
      </c>
      <c r="J1305" s="215">
        <v>14.418580707027489</v>
      </c>
      <c r="K1305" s="215">
        <v>4.4662293941762279</v>
      </c>
      <c r="L1305" s="215">
        <v>18.884810101203719</v>
      </c>
      <c r="M1305" s="215"/>
      <c r="N1305" s="215"/>
      <c r="O1305" s="215"/>
      <c r="P1305" s="215"/>
      <c r="Q1305" s="215"/>
      <c r="R1305" s="215"/>
      <c r="S1305" s="213"/>
      <c r="T1305" s="212">
        <f>VLOOKUP(A1305,'Groupe de branches'!$Z$27:$AM$86,14,FALSE)</f>
        <v>0</v>
      </c>
      <c r="U1305" s="212">
        <f>VLOOKUP(D1305,'Groupe de branches'!$Z$27:$AM$86,14,FALSE)</f>
        <v>0</v>
      </c>
      <c r="V1305" s="212">
        <v>2019</v>
      </c>
      <c r="W1305" s="212" t="str">
        <f>VLOOKUP(D1305,'Table corresp.'!$M$4:$S$63,7,FALSE)</f>
        <v>Construction</v>
      </c>
      <c r="X1305" s="228">
        <f>IFERROR(G1305/SUMIFS('Comp2016-2017 (3)'!$I$5:$I$289,'Comp2016-2017 (3)'!$A$5:$A$289,A1305,'Comp2016-2017 (3)'!$R$5:$R$289,V1305),0)</f>
        <v>3.7535612657205843E-3</v>
      </c>
      <c r="Y1305" s="214" t="e">
        <f>IF(RIGHT(F1305,3)="Exp",VLOOKUP(F1305,#REF!,2,FALSE),VLOOKUP(F1305,#REF!,9,FALSE))</f>
        <v>#REF!</v>
      </c>
      <c r="Z1305" s="225" t="str">
        <f t="shared" si="156"/>
        <v/>
      </c>
      <c r="AA1305" s="225" t="e">
        <f t="shared" si="153"/>
        <v>#VALUE!</v>
      </c>
      <c r="AB1305" s="222">
        <f>IFERROR(SUMIFS('Comp2016-2017 (3)'!$G$5:$G$289,'Comp2016-2017 (3)'!$A$5:$A$289,A1305,'Comp2016-2017 (3)'!$R$5:$R$289,V1305)*AA1305/SUMIFS($AA$4:$AA$1858,$A$4:$A$1858,A1305,$V$4:$V$1858,V1305),0)</f>
        <v>0</v>
      </c>
      <c r="AC1305" s="222" t="str">
        <f>IF($W1305=AC$3,$AB1305,IF(NOT($W1305=0),"",SUMIFS('Val-Vol (2)'!AC$4:AC$1858,'Val-Vol (2)'!$A$4:$A$1858,$D1305,'Val-Vol (2)'!$V$4:$V$1858,$V1305)/SUMIFS('Comp2016-2017 (3)'!$G$5:$G$289,'Comp2016-2017 (3)'!$A$5:$A$289,$D1305,'Comp2016-2017 (3)'!$R$5:$R$289,$V1305)*$AB1305))</f>
        <v/>
      </c>
      <c r="AD1305" s="222">
        <f>IF($W1305=AD$3,$AB1305,IF(NOT($W1305=0),"",SUMIFS('Val-Vol (2)'!AD$4:AD$1858,'Val-Vol (2)'!$A$4:$A$1858,$D1305,'Val-Vol (2)'!$V$4:$V$1858,$V1305)/SUMIFS('Comp2016-2017 (3)'!$G$5:$G$289,'Comp2016-2017 (3)'!$A$5:$A$289,$D1305,'Comp2016-2017 (3)'!$R$5:$R$289,$V1305)*$AB1305))</f>
        <v>0</v>
      </c>
      <c r="AE1305" s="222" t="str">
        <f>IF($W1305=AE$3,$AB1305,IF(NOT($W1305=0),"",SUMIFS('Val-Vol (2)'!AE$4:AE$1858,'Val-Vol (2)'!$A$4:$A$1858,$D1305,'Val-Vol (2)'!$V$4:$V$1858,$V1305)/SUMIFS('Comp2016-2017 (3)'!$G$5:$G$289,'Comp2016-2017 (3)'!$A$5:$A$289,$D1305,'Comp2016-2017 (3)'!$R$5:$R$289,$V1305)*$AB1305))</f>
        <v/>
      </c>
      <c r="AF1305" s="222" t="str">
        <f>IF($W1305=AF$3,$AB1305,IF(NOT($W1305=0),"",SUMIFS('Val-Vol (2)'!AF$4:AF$1858,'Val-Vol (2)'!$A$4:$A$1858,$D1305,'Val-Vol (2)'!$V$4:$V$1858,$V1305)/SUMIFS('Comp2016-2017 (3)'!$G$5:$G$289,'Comp2016-2017 (3)'!$A$5:$A$289,$D1305,'Comp2016-2017 (3)'!$R$5:$R$289,$V1305)*$AB1305))</f>
        <v/>
      </c>
      <c r="AG1305" s="222" t="str">
        <f>IF($W1305=AG$3,$AB1305,IF(NOT($W1305=0),"",SUMIFS('Val-Vol (2)'!AG$4:AG$1858,'Val-Vol (2)'!$A$4:$A$1858,$D1305,'Val-Vol (2)'!$V$4:$V$1858,$V1305)/SUMIFS('Comp2016-2017 (3)'!$G$5:$G$289,'Comp2016-2017 (3)'!$A$5:$A$289,$D1305,'Comp2016-2017 (3)'!$R$5:$R$289,$V1305)*$AB1305))</f>
        <v/>
      </c>
      <c r="AH1305" s="222" t="str">
        <f>IF($W1305=AH$3,$AB1305,IF(NOT($W1305=0),"",SUMIFS('Val-Vol (2)'!AH$4:AH$1858,'Val-Vol (2)'!$A$4:$A$1858,$D1305,'Val-Vol (2)'!$V$4:$V$1858,$V1305)/SUMIFS('Comp2016-2017 (3)'!$G$5:$G$289,'Comp2016-2017 (3)'!$A$5:$A$289,$D1305,'Comp2016-2017 (3)'!$R$5:$R$289,$V1305)*$AB1305))</f>
        <v/>
      </c>
      <c r="AI1305" s="222" t="str">
        <f>IF($W1305=AI$3,$AB1305,IF(NOT($W1305=0),"",SUMIFS('Val-Vol (2)'!AI$4:AI$1858,'Val-Vol (2)'!$A$4:$A$1858,$D1305,'Val-Vol (2)'!$V$4:$V$1858,$V1305)/SUMIFS('Comp2016-2017 (3)'!$G$5:$G$289,'Comp2016-2017 (3)'!$A$5:$A$289,$D1305,'Comp2016-2017 (3)'!$R$5:$R$289,$V1305)*$AB1305))</f>
        <v/>
      </c>
      <c r="AJ1305" s="222" t="str">
        <f>IF($W1305=AJ$3,$AB1305,IF(NOT($W1305=0),"",SUMIFS('Val-Vol (2)'!AJ$4:AJ$1858,'Val-Vol (2)'!$A$4:$A$1858,$D1305,'Val-Vol (2)'!$V$4:$V$1858,$V1305)/SUMIFS('Comp2016-2017 (3)'!$G$5:$G$289,'Comp2016-2017 (3)'!$A$5:$A$289,$D1305,'Comp2016-2017 (3)'!$R$5:$R$289,$V1305)*$AB1305))</f>
        <v/>
      </c>
      <c r="AK1305" s="222">
        <f t="shared" si="154"/>
        <v>0</v>
      </c>
      <c r="AL1305" s="212" t="str">
        <f t="shared" si="155"/>
        <v/>
      </c>
      <c r="AM1305" s="212" t="str">
        <f>VLOOKUP(A1305,'Table corresp.'!$M$4:$U$63,8,FALSE)</f>
        <v>Production intermédiaire</v>
      </c>
      <c r="AN1305" s="212" t="str">
        <f>VLOOKUP(D1305,'Table corresp.'!$M$4:$U$63,9,FALSE)</f>
        <v>Production finale</v>
      </c>
    </row>
    <row r="1306" spans="1:40" x14ac:dyDescent="0.25">
      <c r="A1306" t="s">
        <v>13</v>
      </c>
      <c r="B1306" t="str">
        <f>VLOOKUP(LEFT(A1306,3),'Table corresp.'!$A$4:$D$63,3,FALSE)</f>
        <v>Transformation</v>
      </c>
      <c r="C1306" t="str">
        <f>VLOOKUP(A1306,'Table corresp.'!$M$4:$P$63,4,FALSE)</f>
        <v>Production et transformation de produits bois</v>
      </c>
      <c r="D1306" t="s">
        <v>20</v>
      </c>
      <c r="E1306" t="str">
        <f>VLOOKUP(LEFT(D1306,3),'Table corresp.'!$A$4:$D$63,4,FALSE)</f>
        <v>Transformation</v>
      </c>
      <c r="F1306" t="str">
        <f t="shared" si="157"/>
        <v xml:space="preserve">20  - 53 </v>
      </c>
      <c r="G1306" s="213">
        <v>2964.786024079604</v>
      </c>
      <c r="H1306" s="213">
        <v>1108.3752585587711</v>
      </c>
      <c r="I1306" s="213">
        <v>4073.1612826383748</v>
      </c>
      <c r="J1306" s="215">
        <v>28.713647789301191</v>
      </c>
      <c r="K1306" s="215">
        <v>9.825630909793837</v>
      </c>
      <c r="L1306" s="215">
        <v>38.539278699095028</v>
      </c>
      <c r="M1306" s="215"/>
      <c r="N1306" s="215"/>
      <c r="O1306" s="215"/>
      <c r="P1306" s="215"/>
      <c r="Q1306" s="215"/>
      <c r="R1306" s="215"/>
      <c r="S1306" s="213"/>
      <c r="T1306" s="212">
        <f>VLOOKUP(A1306,'Groupe de branches'!$Z$27:$AM$86,14,FALSE)</f>
        <v>0</v>
      </c>
      <c r="U1306" s="212">
        <f>VLOOKUP(D1306,'Groupe de branches'!$Z$27:$AM$86,14,FALSE)</f>
        <v>0</v>
      </c>
      <c r="V1306" s="212">
        <v>2019</v>
      </c>
      <c r="W1306" s="212" t="str">
        <f>VLOOKUP(D1306,'Table corresp.'!$M$4:$S$63,7,FALSE)</f>
        <v>Construction</v>
      </c>
      <c r="X1306" s="228">
        <f>IFERROR(G1306/SUMIFS('Comp2016-2017 (3)'!$I$5:$I$289,'Comp2016-2017 (3)'!$A$5:$A$289,A1306,'Comp2016-2017 (3)'!$R$5:$R$289,V1306),0)</f>
        <v>4.271410553187277E-3</v>
      </c>
      <c r="Y1306" s="214" t="e">
        <f>IF(RIGHT(F1306,3)="Exp",VLOOKUP(F1306,#REF!,2,FALSE),VLOOKUP(F1306,#REF!,9,FALSE))</f>
        <v>#REF!</v>
      </c>
      <c r="Z1306" s="225" t="str">
        <f t="shared" si="156"/>
        <v/>
      </c>
      <c r="AA1306" s="225" t="e">
        <f t="shared" si="153"/>
        <v>#VALUE!</v>
      </c>
      <c r="AB1306" s="222">
        <f>IFERROR(SUMIFS('Comp2016-2017 (3)'!$G$5:$G$289,'Comp2016-2017 (3)'!$A$5:$A$289,A1306,'Comp2016-2017 (3)'!$R$5:$R$289,V1306)*AA1306/SUMIFS($AA$4:$AA$1858,$A$4:$A$1858,A1306,$V$4:$V$1858,V1306),0)</f>
        <v>0</v>
      </c>
      <c r="AC1306" s="222" t="str">
        <f>IF($W1306=AC$3,$AB1306,IF(NOT($W1306=0),"",SUMIFS('Val-Vol (2)'!AC$4:AC$1858,'Val-Vol (2)'!$A$4:$A$1858,$D1306,'Val-Vol (2)'!$V$4:$V$1858,$V1306)/SUMIFS('Comp2016-2017 (3)'!$G$5:$G$289,'Comp2016-2017 (3)'!$A$5:$A$289,$D1306,'Comp2016-2017 (3)'!$R$5:$R$289,$V1306)*$AB1306))</f>
        <v/>
      </c>
      <c r="AD1306" s="222">
        <f>IF($W1306=AD$3,$AB1306,IF(NOT($W1306=0),"",SUMIFS('Val-Vol (2)'!AD$4:AD$1858,'Val-Vol (2)'!$A$4:$A$1858,$D1306,'Val-Vol (2)'!$V$4:$V$1858,$V1306)/SUMIFS('Comp2016-2017 (3)'!$G$5:$G$289,'Comp2016-2017 (3)'!$A$5:$A$289,$D1306,'Comp2016-2017 (3)'!$R$5:$R$289,$V1306)*$AB1306))</f>
        <v>0</v>
      </c>
      <c r="AE1306" s="222" t="str">
        <f>IF($W1306=AE$3,$AB1306,IF(NOT($W1306=0),"",SUMIFS('Val-Vol (2)'!AE$4:AE$1858,'Val-Vol (2)'!$A$4:$A$1858,$D1306,'Val-Vol (2)'!$V$4:$V$1858,$V1306)/SUMIFS('Comp2016-2017 (3)'!$G$5:$G$289,'Comp2016-2017 (3)'!$A$5:$A$289,$D1306,'Comp2016-2017 (3)'!$R$5:$R$289,$V1306)*$AB1306))</f>
        <v/>
      </c>
      <c r="AF1306" s="222" t="str">
        <f>IF($W1306=AF$3,$AB1306,IF(NOT($W1306=0),"",SUMIFS('Val-Vol (2)'!AF$4:AF$1858,'Val-Vol (2)'!$A$4:$A$1858,$D1306,'Val-Vol (2)'!$V$4:$V$1858,$V1306)/SUMIFS('Comp2016-2017 (3)'!$G$5:$G$289,'Comp2016-2017 (3)'!$A$5:$A$289,$D1306,'Comp2016-2017 (3)'!$R$5:$R$289,$V1306)*$AB1306))</f>
        <v/>
      </c>
      <c r="AG1306" s="222" t="str">
        <f>IF($W1306=AG$3,$AB1306,IF(NOT($W1306=0),"",SUMIFS('Val-Vol (2)'!AG$4:AG$1858,'Val-Vol (2)'!$A$4:$A$1858,$D1306,'Val-Vol (2)'!$V$4:$V$1858,$V1306)/SUMIFS('Comp2016-2017 (3)'!$G$5:$G$289,'Comp2016-2017 (3)'!$A$5:$A$289,$D1306,'Comp2016-2017 (3)'!$R$5:$R$289,$V1306)*$AB1306))</f>
        <v/>
      </c>
      <c r="AH1306" s="222" t="str">
        <f>IF($W1306=AH$3,$AB1306,IF(NOT($W1306=0),"",SUMIFS('Val-Vol (2)'!AH$4:AH$1858,'Val-Vol (2)'!$A$4:$A$1858,$D1306,'Val-Vol (2)'!$V$4:$V$1858,$V1306)/SUMIFS('Comp2016-2017 (3)'!$G$5:$G$289,'Comp2016-2017 (3)'!$A$5:$A$289,$D1306,'Comp2016-2017 (3)'!$R$5:$R$289,$V1306)*$AB1306))</f>
        <v/>
      </c>
      <c r="AI1306" s="222" t="str">
        <f>IF($W1306=AI$3,$AB1306,IF(NOT($W1306=0),"",SUMIFS('Val-Vol (2)'!AI$4:AI$1858,'Val-Vol (2)'!$A$4:$A$1858,$D1306,'Val-Vol (2)'!$V$4:$V$1858,$V1306)/SUMIFS('Comp2016-2017 (3)'!$G$5:$G$289,'Comp2016-2017 (3)'!$A$5:$A$289,$D1306,'Comp2016-2017 (3)'!$R$5:$R$289,$V1306)*$AB1306))</f>
        <v/>
      </c>
      <c r="AJ1306" s="222" t="str">
        <f>IF($W1306=AJ$3,$AB1306,IF(NOT($W1306=0),"",SUMIFS('Val-Vol (2)'!AJ$4:AJ$1858,'Val-Vol (2)'!$A$4:$A$1858,$D1306,'Val-Vol (2)'!$V$4:$V$1858,$V1306)/SUMIFS('Comp2016-2017 (3)'!$G$5:$G$289,'Comp2016-2017 (3)'!$A$5:$A$289,$D1306,'Comp2016-2017 (3)'!$R$5:$R$289,$V1306)*$AB1306))</f>
        <v/>
      </c>
      <c r="AK1306" s="222">
        <f t="shared" si="154"/>
        <v>0</v>
      </c>
      <c r="AL1306" s="212" t="str">
        <f t="shared" si="155"/>
        <v/>
      </c>
      <c r="AM1306" s="212" t="str">
        <f>VLOOKUP(A1306,'Table corresp.'!$M$4:$U$63,8,FALSE)</f>
        <v>Production intermédiaire</v>
      </c>
      <c r="AN1306" s="212" t="str">
        <f>VLOOKUP(D1306,'Table corresp.'!$M$4:$U$63,9,FALSE)</f>
        <v xml:space="preserve">Mise en œuvre </v>
      </c>
    </row>
    <row r="1307" spans="1:40" x14ac:dyDescent="0.25">
      <c r="A1307" t="s">
        <v>13</v>
      </c>
      <c r="B1307" t="str">
        <f>VLOOKUP(LEFT(A1307,3),'Table corresp.'!$A$4:$D$63,3,FALSE)</f>
        <v>Transformation</v>
      </c>
      <c r="C1307" t="str">
        <f>VLOOKUP(A1307,'Table corresp.'!$M$4:$P$63,4,FALSE)</f>
        <v>Production et transformation de produits bois</v>
      </c>
      <c r="D1307" t="s">
        <v>21</v>
      </c>
      <c r="E1307" t="str">
        <f>VLOOKUP(LEFT(D1307,3),'Table corresp.'!$A$4:$D$63,4,FALSE)</f>
        <v>Transformation</v>
      </c>
      <c r="F1307" t="str">
        <f t="shared" si="157"/>
        <v xml:space="preserve">20  - 54 </v>
      </c>
      <c r="G1307" s="213">
        <v>100086.048157274</v>
      </c>
      <c r="H1307" s="213">
        <v>34607.843417354532</v>
      </c>
      <c r="I1307" s="213">
        <v>134693.89157462851</v>
      </c>
      <c r="J1307" s="215">
        <v>276.94945287499792</v>
      </c>
      <c r="K1307" s="215">
        <v>78.890121641531152</v>
      </c>
      <c r="L1307" s="215">
        <v>355.83957451652907</v>
      </c>
      <c r="M1307" s="215"/>
      <c r="N1307" s="215"/>
      <c r="O1307" s="215"/>
      <c r="P1307" s="215"/>
      <c r="Q1307" s="215"/>
      <c r="R1307" s="215"/>
      <c r="S1307" s="213"/>
      <c r="T1307" s="212">
        <f>VLOOKUP(A1307,'Groupe de branches'!$Z$27:$AM$86,14,FALSE)</f>
        <v>0</v>
      </c>
      <c r="U1307" s="212">
        <f>VLOOKUP(D1307,'Groupe de branches'!$Z$27:$AM$86,14,FALSE)</f>
        <v>0</v>
      </c>
      <c r="V1307" s="212">
        <v>2019</v>
      </c>
      <c r="W1307" s="212" t="str">
        <f>VLOOKUP(D1307,'Table corresp.'!$M$4:$S$63,7,FALSE)</f>
        <v>Construction</v>
      </c>
      <c r="X1307" s="228">
        <f>IFERROR(G1307/SUMIFS('Comp2016-2017 (3)'!$I$5:$I$289,'Comp2016-2017 (3)'!$A$5:$A$289,A1307,'Comp2016-2017 (3)'!$R$5:$R$289,V1307),0)</f>
        <v>0.14419543226850817</v>
      </c>
      <c r="Y1307" s="214" t="e">
        <f>IF(RIGHT(F1307,3)="Exp",VLOOKUP(F1307,#REF!,2,FALSE),VLOOKUP(F1307,#REF!,9,FALSE))</f>
        <v>#REF!</v>
      </c>
      <c r="Z1307" s="225" t="str">
        <f t="shared" si="156"/>
        <v/>
      </c>
      <c r="AA1307" s="225" t="e">
        <f t="shared" si="153"/>
        <v>#VALUE!</v>
      </c>
      <c r="AB1307" s="222">
        <f>IFERROR(SUMIFS('Comp2016-2017 (3)'!$G$5:$G$289,'Comp2016-2017 (3)'!$A$5:$A$289,A1307,'Comp2016-2017 (3)'!$R$5:$R$289,V1307)*AA1307/SUMIFS($AA$4:$AA$1858,$A$4:$A$1858,A1307,$V$4:$V$1858,V1307),0)</f>
        <v>0</v>
      </c>
      <c r="AC1307" s="222" t="str">
        <f>IF($W1307=AC$3,$AB1307,IF(NOT($W1307=0),"",SUMIFS('Val-Vol (2)'!AC$4:AC$1858,'Val-Vol (2)'!$A$4:$A$1858,$D1307,'Val-Vol (2)'!$V$4:$V$1858,$V1307)/SUMIFS('Comp2016-2017 (3)'!$G$5:$G$289,'Comp2016-2017 (3)'!$A$5:$A$289,$D1307,'Comp2016-2017 (3)'!$R$5:$R$289,$V1307)*$AB1307))</f>
        <v/>
      </c>
      <c r="AD1307" s="222">
        <f>IF($W1307=AD$3,$AB1307,IF(NOT($W1307=0),"",SUMIFS('Val-Vol (2)'!AD$4:AD$1858,'Val-Vol (2)'!$A$4:$A$1858,$D1307,'Val-Vol (2)'!$V$4:$V$1858,$V1307)/SUMIFS('Comp2016-2017 (3)'!$G$5:$G$289,'Comp2016-2017 (3)'!$A$5:$A$289,$D1307,'Comp2016-2017 (3)'!$R$5:$R$289,$V1307)*$AB1307))</f>
        <v>0</v>
      </c>
      <c r="AE1307" s="222" t="str">
        <f>IF($W1307=AE$3,$AB1307,IF(NOT($W1307=0),"",SUMIFS('Val-Vol (2)'!AE$4:AE$1858,'Val-Vol (2)'!$A$4:$A$1858,$D1307,'Val-Vol (2)'!$V$4:$V$1858,$V1307)/SUMIFS('Comp2016-2017 (3)'!$G$5:$G$289,'Comp2016-2017 (3)'!$A$5:$A$289,$D1307,'Comp2016-2017 (3)'!$R$5:$R$289,$V1307)*$AB1307))</f>
        <v/>
      </c>
      <c r="AF1307" s="222" t="str">
        <f>IF($W1307=AF$3,$AB1307,IF(NOT($W1307=0),"",SUMIFS('Val-Vol (2)'!AF$4:AF$1858,'Val-Vol (2)'!$A$4:$A$1858,$D1307,'Val-Vol (2)'!$V$4:$V$1858,$V1307)/SUMIFS('Comp2016-2017 (3)'!$G$5:$G$289,'Comp2016-2017 (3)'!$A$5:$A$289,$D1307,'Comp2016-2017 (3)'!$R$5:$R$289,$V1307)*$AB1307))</f>
        <v/>
      </c>
      <c r="AG1307" s="222" t="str">
        <f>IF($W1307=AG$3,$AB1307,IF(NOT($W1307=0),"",SUMIFS('Val-Vol (2)'!AG$4:AG$1858,'Val-Vol (2)'!$A$4:$A$1858,$D1307,'Val-Vol (2)'!$V$4:$V$1858,$V1307)/SUMIFS('Comp2016-2017 (3)'!$G$5:$G$289,'Comp2016-2017 (3)'!$A$5:$A$289,$D1307,'Comp2016-2017 (3)'!$R$5:$R$289,$V1307)*$AB1307))</f>
        <v/>
      </c>
      <c r="AH1307" s="222" t="str">
        <f>IF($W1307=AH$3,$AB1307,IF(NOT($W1307=0),"",SUMIFS('Val-Vol (2)'!AH$4:AH$1858,'Val-Vol (2)'!$A$4:$A$1858,$D1307,'Val-Vol (2)'!$V$4:$V$1858,$V1307)/SUMIFS('Comp2016-2017 (3)'!$G$5:$G$289,'Comp2016-2017 (3)'!$A$5:$A$289,$D1307,'Comp2016-2017 (3)'!$R$5:$R$289,$V1307)*$AB1307))</f>
        <v/>
      </c>
      <c r="AI1307" s="222" t="str">
        <f>IF($W1307=AI$3,$AB1307,IF(NOT($W1307=0),"",SUMIFS('Val-Vol (2)'!AI$4:AI$1858,'Val-Vol (2)'!$A$4:$A$1858,$D1307,'Val-Vol (2)'!$V$4:$V$1858,$V1307)/SUMIFS('Comp2016-2017 (3)'!$G$5:$G$289,'Comp2016-2017 (3)'!$A$5:$A$289,$D1307,'Comp2016-2017 (3)'!$R$5:$R$289,$V1307)*$AB1307))</f>
        <v/>
      </c>
      <c r="AJ1307" s="222" t="str">
        <f>IF($W1307=AJ$3,$AB1307,IF(NOT($W1307=0),"",SUMIFS('Val-Vol (2)'!AJ$4:AJ$1858,'Val-Vol (2)'!$A$4:$A$1858,$D1307,'Val-Vol (2)'!$V$4:$V$1858,$V1307)/SUMIFS('Comp2016-2017 (3)'!$G$5:$G$289,'Comp2016-2017 (3)'!$A$5:$A$289,$D1307,'Comp2016-2017 (3)'!$R$5:$R$289,$V1307)*$AB1307))</f>
        <v/>
      </c>
      <c r="AK1307" s="222">
        <f t="shared" si="154"/>
        <v>0</v>
      </c>
      <c r="AL1307" s="212" t="str">
        <f t="shared" si="155"/>
        <v/>
      </c>
      <c r="AM1307" s="212" t="str">
        <f>VLOOKUP(A1307,'Table corresp.'!$M$4:$U$63,8,FALSE)</f>
        <v>Production intermédiaire</v>
      </c>
      <c r="AN1307" s="212" t="str">
        <f>VLOOKUP(D1307,'Table corresp.'!$M$4:$U$63,9,FALSE)</f>
        <v xml:space="preserve">Mise en œuvre </v>
      </c>
    </row>
    <row r="1308" spans="1:40" x14ac:dyDescent="0.25">
      <c r="A1308" t="s">
        <v>13</v>
      </c>
      <c r="B1308" t="str">
        <f>VLOOKUP(LEFT(A1308,3),'Table corresp.'!$A$4:$D$63,3,FALSE)</f>
        <v>Transformation</v>
      </c>
      <c r="C1308" t="str">
        <f>VLOOKUP(A1308,'Table corresp.'!$M$4:$P$63,4,FALSE)</f>
        <v>Production et transformation de produits bois</v>
      </c>
      <c r="D1308" t="s">
        <v>22</v>
      </c>
      <c r="E1308" t="str">
        <f>VLOOKUP(LEFT(D1308,3),'Table corresp.'!$A$4:$D$63,4,FALSE)</f>
        <v>Transformation</v>
      </c>
      <c r="F1308" t="str">
        <f t="shared" si="157"/>
        <v xml:space="preserve">20  - 55 </v>
      </c>
      <c r="G1308" s="213">
        <v>8586.5184476747399</v>
      </c>
      <c r="H1308" s="213">
        <v>2954.4755460368528</v>
      </c>
      <c r="I1308" s="213">
        <v>11540.993993711592</v>
      </c>
      <c r="J1308" s="215">
        <v>23.759870930739378</v>
      </c>
      <c r="K1308" s="215">
        <v>6.7348586967108197</v>
      </c>
      <c r="L1308" s="215">
        <v>30.494729627450198</v>
      </c>
      <c r="M1308" s="215"/>
      <c r="N1308" s="215"/>
      <c r="O1308" s="215"/>
      <c r="P1308" s="215"/>
      <c r="Q1308" s="215"/>
      <c r="R1308" s="215"/>
      <c r="S1308" s="213"/>
      <c r="T1308" s="212">
        <f>VLOOKUP(A1308,'Groupe de branches'!$Z$27:$AM$86,14,FALSE)</f>
        <v>0</v>
      </c>
      <c r="U1308" s="212">
        <f>VLOOKUP(D1308,'Groupe de branches'!$Z$27:$AM$86,14,FALSE)</f>
        <v>0</v>
      </c>
      <c r="V1308" s="212">
        <v>2019</v>
      </c>
      <c r="W1308" s="212" t="str">
        <f>VLOOKUP(D1308,'Table corresp.'!$M$4:$S$63,7,FALSE)</f>
        <v>Construction</v>
      </c>
      <c r="X1308" s="228">
        <f>IFERROR(G1308/SUMIFS('Comp2016-2017 (3)'!$I$5:$I$289,'Comp2016-2017 (3)'!$A$5:$A$289,A1308,'Comp2016-2017 (3)'!$R$5:$R$289,V1308),0)</f>
        <v>1.2370722613589319E-2</v>
      </c>
      <c r="Y1308" s="214" t="e">
        <f>IF(RIGHT(F1308,3)="Exp",VLOOKUP(F1308,#REF!,2,FALSE),VLOOKUP(F1308,#REF!,9,FALSE))</f>
        <v>#REF!</v>
      </c>
      <c r="Z1308" s="225" t="str">
        <f t="shared" si="156"/>
        <v/>
      </c>
      <c r="AA1308" s="225" t="e">
        <f t="shared" si="153"/>
        <v>#VALUE!</v>
      </c>
      <c r="AB1308" s="222">
        <f>IFERROR(SUMIFS('Comp2016-2017 (3)'!$G$5:$G$289,'Comp2016-2017 (3)'!$A$5:$A$289,A1308,'Comp2016-2017 (3)'!$R$5:$R$289,V1308)*AA1308/SUMIFS($AA$4:$AA$1858,$A$4:$A$1858,A1308,$V$4:$V$1858,V1308),0)</f>
        <v>0</v>
      </c>
      <c r="AC1308" s="222" t="str">
        <f>IF($W1308=AC$3,$AB1308,IF(NOT($W1308=0),"",SUMIFS('Val-Vol (2)'!AC$4:AC$1858,'Val-Vol (2)'!$A$4:$A$1858,$D1308,'Val-Vol (2)'!$V$4:$V$1858,$V1308)/SUMIFS('Comp2016-2017 (3)'!$G$5:$G$289,'Comp2016-2017 (3)'!$A$5:$A$289,$D1308,'Comp2016-2017 (3)'!$R$5:$R$289,$V1308)*$AB1308))</f>
        <v/>
      </c>
      <c r="AD1308" s="222">
        <f>IF($W1308=AD$3,$AB1308,IF(NOT($W1308=0),"",SUMIFS('Val-Vol (2)'!AD$4:AD$1858,'Val-Vol (2)'!$A$4:$A$1858,$D1308,'Val-Vol (2)'!$V$4:$V$1858,$V1308)/SUMIFS('Comp2016-2017 (3)'!$G$5:$G$289,'Comp2016-2017 (3)'!$A$5:$A$289,$D1308,'Comp2016-2017 (3)'!$R$5:$R$289,$V1308)*$AB1308))</f>
        <v>0</v>
      </c>
      <c r="AE1308" s="222" t="str">
        <f>IF($W1308=AE$3,$AB1308,IF(NOT($W1308=0),"",SUMIFS('Val-Vol (2)'!AE$4:AE$1858,'Val-Vol (2)'!$A$4:$A$1858,$D1308,'Val-Vol (2)'!$V$4:$V$1858,$V1308)/SUMIFS('Comp2016-2017 (3)'!$G$5:$G$289,'Comp2016-2017 (3)'!$A$5:$A$289,$D1308,'Comp2016-2017 (3)'!$R$5:$R$289,$V1308)*$AB1308))</f>
        <v/>
      </c>
      <c r="AF1308" s="222" t="str">
        <f>IF($W1308=AF$3,$AB1308,IF(NOT($W1308=0),"",SUMIFS('Val-Vol (2)'!AF$4:AF$1858,'Val-Vol (2)'!$A$4:$A$1858,$D1308,'Val-Vol (2)'!$V$4:$V$1858,$V1308)/SUMIFS('Comp2016-2017 (3)'!$G$5:$G$289,'Comp2016-2017 (3)'!$A$5:$A$289,$D1308,'Comp2016-2017 (3)'!$R$5:$R$289,$V1308)*$AB1308))</f>
        <v/>
      </c>
      <c r="AG1308" s="222" t="str">
        <f>IF($W1308=AG$3,$AB1308,IF(NOT($W1308=0),"",SUMIFS('Val-Vol (2)'!AG$4:AG$1858,'Val-Vol (2)'!$A$4:$A$1858,$D1308,'Val-Vol (2)'!$V$4:$V$1858,$V1308)/SUMIFS('Comp2016-2017 (3)'!$G$5:$G$289,'Comp2016-2017 (3)'!$A$5:$A$289,$D1308,'Comp2016-2017 (3)'!$R$5:$R$289,$V1308)*$AB1308))</f>
        <v/>
      </c>
      <c r="AH1308" s="222" t="str">
        <f>IF($W1308=AH$3,$AB1308,IF(NOT($W1308=0),"",SUMIFS('Val-Vol (2)'!AH$4:AH$1858,'Val-Vol (2)'!$A$4:$A$1858,$D1308,'Val-Vol (2)'!$V$4:$V$1858,$V1308)/SUMIFS('Comp2016-2017 (3)'!$G$5:$G$289,'Comp2016-2017 (3)'!$A$5:$A$289,$D1308,'Comp2016-2017 (3)'!$R$5:$R$289,$V1308)*$AB1308))</f>
        <v/>
      </c>
      <c r="AI1308" s="222" t="str">
        <f>IF($W1308=AI$3,$AB1308,IF(NOT($W1308=0),"",SUMIFS('Val-Vol (2)'!AI$4:AI$1858,'Val-Vol (2)'!$A$4:$A$1858,$D1308,'Val-Vol (2)'!$V$4:$V$1858,$V1308)/SUMIFS('Comp2016-2017 (3)'!$G$5:$G$289,'Comp2016-2017 (3)'!$A$5:$A$289,$D1308,'Comp2016-2017 (3)'!$R$5:$R$289,$V1308)*$AB1308))</f>
        <v/>
      </c>
      <c r="AJ1308" s="222" t="str">
        <f>IF($W1308=AJ$3,$AB1308,IF(NOT($W1308=0),"",SUMIFS('Val-Vol (2)'!AJ$4:AJ$1858,'Val-Vol (2)'!$A$4:$A$1858,$D1308,'Val-Vol (2)'!$V$4:$V$1858,$V1308)/SUMIFS('Comp2016-2017 (3)'!$G$5:$G$289,'Comp2016-2017 (3)'!$A$5:$A$289,$D1308,'Comp2016-2017 (3)'!$R$5:$R$289,$V1308)*$AB1308))</f>
        <v/>
      </c>
      <c r="AK1308" s="222">
        <f t="shared" si="154"/>
        <v>0</v>
      </c>
      <c r="AL1308" s="212" t="str">
        <f t="shared" si="155"/>
        <v/>
      </c>
      <c r="AM1308" s="212" t="str">
        <f>VLOOKUP(A1308,'Table corresp.'!$M$4:$U$63,8,FALSE)</f>
        <v>Production intermédiaire</v>
      </c>
      <c r="AN1308" s="212" t="str">
        <f>VLOOKUP(D1308,'Table corresp.'!$M$4:$U$63,9,FALSE)</f>
        <v xml:space="preserve">Mise en œuvre </v>
      </c>
    </row>
    <row r="1309" spans="1:40" x14ac:dyDescent="0.25">
      <c r="A1309" t="s">
        <v>13</v>
      </c>
      <c r="B1309" t="str">
        <f>VLOOKUP(LEFT(A1309,3),'Table corresp.'!$A$4:$D$63,3,FALSE)</f>
        <v>Transformation</v>
      </c>
      <c r="C1309" t="str">
        <f>VLOOKUP(A1309,'Table corresp.'!$M$4:$P$63,4,FALSE)</f>
        <v>Production et transformation de produits bois</v>
      </c>
      <c r="D1309" t="s">
        <v>23</v>
      </c>
      <c r="E1309" t="str">
        <f>VLOOKUP(LEFT(D1309,3),'Table corresp.'!$A$4:$D$63,4,FALSE)</f>
        <v>Transformation</v>
      </c>
      <c r="F1309" t="str">
        <f t="shared" si="157"/>
        <v xml:space="preserve">20  - 56 </v>
      </c>
      <c r="G1309" s="213">
        <v>52550.590758528779</v>
      </c>
      <c r="H1309" s="213">
        <v>21228.94586494923</v>
      </c>
      <c r="I1309" s="213">
        <v>73779.536623478009</v>
      </c>
      <c r="J1309" s="215">
        <v>226.19869688250429</v>
      </c>
      <c r="K1309" s="215">
        <v>75.276955187257968</v>
      </c>
      <c r="L1309" s="215">
        <v>301.47565206976225</v>
      </c>
      <c r="M1309" s="215"/>
      <c r="N1309" s="215"/>
      <c r="O1309" s="215"/>
      <c r="P1309" s="215"/>
      <c r="Q1309" s="215"/>
      <c r="R1309" s="215"/>
      <c r="S1309" s="213"/>
      <c r="T1309" s="212">
        <f>VLOOKUP(A1309,'Groupe de branches'!$Z$27:$AM$86,14,FALSE)</f>
        <v>0</v>
      </c>
      <c r="U1309" s="212">
        <f>VLOOKUP(D1309,'Groupe de branches'!$Z$27:$AM$86,14,FALSE)</f>
        <v>0</v>
      </c>
      <c r="V1309" s="212">
        <v>2019</v>
      </c>
      <c r="W1309" s="212" t="str">
        <f>VLOOKUP(D1309,'Table corresp.'!$M$4:$S$63,7,FALSE)</f>
        <v>Construction</v>
      </c>
      <c r="X1309" s="228">
        <f>IFERROR(G1309/SUMIFS('Comp2016-2017 (3)'!$I$5:$I$289,'Comp2016-2017 (3)'!$A$5:$A$289,A1309,'Comp2016-2017 (3)'!$R$5:$R$289,V1309),0)</f>
        <v>7.5710404096325706E-2</v>
      </c>
      <c r="Y1309" s="214" t="e">
        <f>IF(RIGHT(F1309,3)="Exp",VLOOKUP(F1309,#REF!,2,FALSE),VLOOKUP(F1309,#REF!,9,FALSE))</f>
        <v>#REF!</v>
      </c>
      <c r="Z1309" s="225" t="str">
        <f t="shared" si="156"/>
        <v/>
      </c>
      <c r="AA1309" s="225" t="e">
        <f t="shared" ref="AA1309:AA1372" si="158">X1309*Z1309</f>
        <v>#VALUE!</v>
      </c>
      <c r="AB1309" s="222">
        <f>IFERROR(SUMIFS('Comp2016-2017 (3)'!$G$5:$G$289,'Comp2016-2017 (3)'!$A$5:$A$289,A1309,'Comp2016-2017 (3)'!$R$5:$R$289,V1309)*AA1309/SUMIFS($AA$4:$AA$1858,$A$4:$A$1858,A1309,$V$4:$V$1858,V1309),0)</f>
        <v>0</v>
      </c>
      <c r="AC1309" s="222" t="str">
        <f>IF($W1309=AC$3,$AB1309,IF(NOT($W1309=0),"",SUMIFS('Val-Vol (2)'!AC$4:AC$1858,'Val-Vol (2)'!$A$4:$A$1858,$D1309,'Val-Vol (2)'!$V$4:$V$1858,$V1309)/SUMIFS('Comp2016-2017 (3)'!$G$5:$G$289,'Comp2016-2017 (3)'!$A$5:$A$289,$D1309,'Comp2016-2017 (3)'!$R$5:$R$289,$V1309)*$AB1309))</f>
        <v/>
      </c>
      <c r="AD1309" s="222">
        <f>IF($W1309=AD$3,$AB1309,IF(NOT($W1309=0),"",SUMIFS('Val-Vol (2)'!AD$4:AD$1858,'Val-Vol (2)'!$A$4:$A$1858,$D1309,'Val-Vol (2)'!$V$4:$V$1858,$V1309)/SUMIFS('Comp2016-2017 (3)'!$G$5:$G$289,'Comp2016-2017 (3)'!$A$5:$A$289,$D1309,'Comp2016-2017 (3)'!$R$5:$R$289,$V1309)*$AB1309))</f>
        <v>0</v>
      </c>
      <c r="AE1309" s="222" t="str">
        <f>IF($W1309=AE$3,$AB1309,IF(NOT($W1309=0),"",SUMIFS('Val-Vol (2)'!AE$4:AE$1858,'Val-Vol (2)'!$A$4:$A$1858,$D1309,'Val-Vol (2)'!$V$4:$V$1858,$V1309)/SUMIFS('Comp2016-2017 (3)'!$G$5:$G$289,'Comp2016-2017 (3)'!$A$5:$A$289,$D1309,'Comp2016-2017 (3)'!$R$5:$R$289,$V1309)*$AB1309))</f>
        <v/>
      </c>
      <c r="AF1309" s="222" t="str">
        <f>IF($W1309=AF$3,$AB1309,IF(NOT($W1309=0),"",SUMIFS('Val-Vol (2)'!AF$4:AF$1858,'Val-Vol (2)'!$A$4:$A$1858,$D1309,'Val-Vol (2)'!$V$4:$V$1858,$V1309)/SUMIFS('Comp2016-2017 (3)'!$G$5:$G$289,'Comp2016-2017 (3)'!$A$5:$A$289,$D1309,'Comp2016-2017 (3)'!$R$5:$R$289,$V1309)*$AB1309))</f>
        <v/>
      </c>
      <c r="AG1309" s="222" t="str">
        <f>IF($W1309=AG$3,$AB1309,IF(NOT($W1309=0),"",SUMIFS('Val-Vol (2)'!AG$4:AG$1858,'Val-Vol (2)'!$A$4:$A$1858,$D1309,'Val-Vol (2)'!$V$4:$V$1858,$V1309)/SUMIFS('Comp2016-2017 (3)'!$G$5:$G$289,'Comp2016-2017 (3)'!$A$5:$A$289,$D1309,'Comp2016-2017 (3)'!$R$5:$R$289,$V1309)*$AB1309))</f>
        <v/>
      </c>
      <c r="AH1309" s="222" t="str">
        <f>IF($W1309=AH$3,$AB1309,IF(NOT($W1309=0),"",SUMIFS('Val-Vol (2)'!AH$4:AH$1858,'Val-Vol (2)'!$A$4:$A$1858,$D1309,'Val-Vol (2)'!$V$4:$V$1858,$V1309)/SUMIFS('Comp2016-2017 (3)'!$G$5:$G$289,'Comp2016-2017 (3)'!$A$5:$A$289,$D1309,'Comp2016-2017 (3)'!$R$5:$R$289,$V1309)*$AB1309))</f>
        <v/>
      </c>
      <c r="AI1309" s="222" t="str">
        <f>IF($W1309=AI$3,$AB1309,IF(NOT($W1309=0),"",SUMIFS('Val-Vol (2)'!AI$4:AI$1858,'Val-Vol (2)'!$A$4:$A$1858,$D1309,'Val-Vol (2)'!$V$4:$V$1858,$V1309)/SUMIFS('Comp2016-2017 (3)'!$G$5:$G$289,'Comp2016-2017 (3)'!$A$5:$A$289,$D1309,'Comp2016-2017 (3)'!$R$5:$R$289,$V1309)*$AB1309))</f>
        <v/>
      </c>
      <c r="AJ1309" s="222" t="str">
        <f>IF($W1309=AJ$3,$AB1309,IF(NOT($W1309=0),"",SUMIFS('Val-Vol (2)'!AJ$4:AJ$1858,'Val-Vol (2)'!$A$4:$A$1858,$D1309,'Val-Vol (2)'!$V$4:$V$1858,$V1309)/SUMIFS('Comp2016-2017 (3)'!$G$5:$G$289,'Comp2016-2017 (3)'!$A$5:$A$289,$D1309,'Comp2016-2017 (3)'!$R$5:$R$289,$V1309)*$AB1309))</f>
        <v/>
      </c>
      <c r="AK1309" s="222">
        <f t="shared" ref="AK1309:AK1372" si="159">SUM(AC1309:AJ1309)-AB1309</f>
        <v>0</v>
      </c>
      <c r="AL1309" s="212" t="str">
        <f t="shared" si="155"/>
        <v/>
      </c>
      <c r="AM1309" s="212" t="str">
        <f>VLOOKUP(A1309,'Table corresp.'!$M$4:$U$63,8,FALSE)</f>
        <v>Production intermédiaire</v>
      </c>
      <c r="AN1309" s="212" t="str">
        <f>VLOOKUP(D1309,'Table corresp.'!$M$4:$U$63,9,FALSE)</f>
        <v xml:space="preserve">Mise en œuvre </v>
      </c>
    </row>
    <row r="1310" spans="1:40" x14ac:dyDescent="0.25">
      <c r="A1310" t="s">
        <v>13</v>
      </c>
      <c r="B1310" t="str">
        <f>VLOOKUP(LEFT(A1310,3),'Table corresp.'!$A$4:$D$63,3,FALSE)</f>
        <v>Transformation</v>
      </c>
      <c r="C1310" t="str">
        <f>VLOOKUP(A1310,'Table corresp.'!$M$4:$P$63,4,FALSE)</f>
        <v>Production et transformation de produits bois</v>
      </c>
      <c r="D1310" t="s">
        <v>24</v>
      </c>
      <c r="E1310" t="str">
        <f>VLOOKUP(LEFT(D1310,3),'Table corresp.'!$A$4:$D$63,4,FALSE)</f>
        <v>Transformation</v>
      </c>
      <c r="F1310" t="str">
        <f t="shared" si="157"/>
        <v xml:space="preserve">20  - 57 </v>
      </c>
      <c r="G1310" s="213">
        <v>104264.76891697568</v>
      </c>
      <c r="H1310" s="213">
        <v>35705.842006554332</v>
      </c>
      <c r="I1310" s="213">
        <v>139970.61092353001</v>
      </c>
      <c r="J1310" s="215">
        <v>577.02489482488102</v>
      </c>
      <c r="K1310" s="215">
        <v>180.87346303685504</v>
      </c>
      <c r="L1310" s="215">
        <v>757.89835786173603</v>
      </c>
      <c r="M1310" s="215"/>
      <c r="N1310" s="215"/>
      <c r="O1310" s="215"/>
      <c r="P1310" s="215"/>
      <c r="Q1310" s="215"/>
      <c r="R1310" s="215"/>
      <c r="S1310" s="213"/>
      <c r="T1310" s="212">
        <f>VLOOKUP(A1310,'Groupe de branches'!$Z$27:$AM$86,14,FALSE)</f>
        <v>0</v>
      </c>
      <c r="U1310" s="212">
        <f>VLOOKUP(D1310,'Groupe de branches'!$Z$27:$AM$86,14,FALSE)</f>
        <v>0</v>
      </c>
      <c r="V1310" s="212">
        <v>2019</v>
      </c>
      <c r="W1310" s="212" t="str">
        <f>VLOOKUP(D1310,'Table corresp.'!$M$4:$S$63,7,FALSE)</f>
        <v>Construction</v>
      </c>
      <c r="X1310" s="228">
        <f>IFERROR(G1310/SUMIFS('Comp2016-2017 (3)'!$I$5:$I$289,'Comp2016-2017 (3)'!$A$5:$A$289,A1310,'Comp2016-2017 (3)'!$R$5:$R$289,V1310),0)</f>
        <v>0.15021577633612218</v>
      </c>
      <c r="Y1310" s="214" t="e">
        <f>IF(RIGHT(F1310,3)="Exp",VLOOKUP(F1310,#REF!,2,FALSE),VLOOKUP(F1310,#REF!,9,FALSE))</f>
        <v>#REF!</v>
      </c>
      <c r="Z1310" s="225" t="str">
        <f t="shared" si="156"/>
        <v/>
      </c>
      <c r="AA1310" s="225" t="e">
        <f t="shared" si="158"/>
        <v>#VALUE!</v>
      </c>
      <c r="AB1310" s="222">
        <f>IFERROR(SUMIFS('Comp2016-2017 (3)'!$G$5:$G$289,'Comp2016-2017 (3)'!$A$5:$A$289,A1310,'Comp2016-2017 (3)'!$R$5:$R$289,V1310)*AA1310/SUMIFS($AA$4:$AA$1858,$A$4:$A$1858,A1310,$V$4:$V$1858,V1310),0)</f>
        <v>0</v>
      </c>
      <c r="AC1310" s="222" t="str">
        <f>IF($W1310=AC$3,$AB1310,IF(NOT($W1310=0),"",SUMIFS('Val-Vol (2)'!AC$4:AC$1858,'Val-Vol (2)'!$A$4:$A$1858,$D1310,'Val-Vol (2)'!$V$4:$V$1858,$V1310)/SUMIFS('Comp2016-2017 (3)'!$G$5:$G$289,'Comp2016-2017 (3)'!$A$5:$A$289,$D1310,'Comp2016-2017 (3)'!$R$5:$R$289,$V1310)*$AB1310))</f>
        <v/>
      </c>
      <c r="AD1310" s="222">
        <f>IF($W1310=AD$3,$AB1310,IF(NOT($W1310=0),"",SUMIFS('Val-Vol (2)'!AD$4:AD$1858,'Val-Vol (2)'!$A$4:$A$1858,$D1310,'Val-Vol (2)'!$V$4:$V$1858,$V1310)/SUMIFS('Comp2016-2017 (3)'!$G$5:$G$289,'Comp2016-2017 (3)'!$A$5:$A$289,$D1310,'Comp2016-2017 (3)'!$R$5:$R$289,$V1310)*$AB1310))</f>
        <v>0</v>
      </c>
      <c r="AE1310" s="222" t="str">
        <f>IF($W1310=AE$3,$AB1310,IF(NOT($W1310=0),"",SUMIFS('Val-Vol (2)'!AE$4:AE$1858,'Val-Vol (2)'!$A$4:$A$1858,$D1310,'Val-Vol (2)'!$V$4:$V$1858,$V1310)/SUMIFS('Comp2016-2017 (3)'!$G$5:$G$289,'Comp2016-2017 (3)'!$A$5:$A$289,$D1310,'Comp2016-2017 (3)'!$R$5:$R$289,$V1310)*$AB1310))</f>
        <v/>
      </c>
      <c r="AF1310" s="222" t="str">
        <f>IF($W1310=AF$3,$AB1310,IF(NOT($W1310=0),"",SUMIFS('Val-Vol (2)'!AF$4:AF$1858,'Val-Vol (2)'!$A$4:$A$1858,$D1310,'Val-Vol (2)'!$V$4:$V$1858,$V1310)/SUMIFS('Comp2016-2017 (3)'!$G$5:$G$289,'Comp2016-2017 (3)'!$A$5:$A$289,$D1310,'Comp2016-2017 (3)'!$R$5:$R$289,$V1310)*$AB1310))</f>
        <v/>
      </c>
      <c r="AG1310" s="222" t="str">
        <f>IF($W1310=AG$3,$AB1310,IF(NOT($W1310=0),"",SUMIFS('Val-Vol (2)'!AG$4:AG$1858,'Val-Vol (2)'!$A$4:$A$1858,$D1310,'Val-Vol (2)'!$V$4:$V$1858,$V1310)/SUMIFS('Comp2016-2017 (3)'!$G$5:$G$289,'Comp2016-2017 (3)'!$A$5:$A$289,$D1310,'Comp2016-2017 (3)'!$R$5:$R$289,$V1310)*$AB1310))</f>
        <v/>
      </c>
      <c r="AH1310" s="222" t="str">
        <f>IF($W1310=AH$3,$AB1310,IF(NOT($W1310=0),"",SUMIFS('Val-Vol (2)'!AH$4:AH$1858,'Val-Vol (2)'!$A$4:$A$1858,$D1310,'Val-Vol (2)'!$V$4:$V$1858,$V1310)/SUMIFS('Comp2016-2017 (3)'!$G$5:$G$289,'Comp2016-2017 (3)'!$A$5:$A$289,$D1310,'Comp2016-2017 (3)'!$R$5:$R$289,$V1310)*$AB1310))</f>
        <v/>
      </c>
      <c r="AI1310" s="222" t="str">
        <f>IF($W1310=AI$3,$AB1310,IF(NOT($W1310=0),"",SUMIFS('Val-Vol (2)'!AI$4:AI$1858,'Val-Vol (2)'!$A$4:$A$1858,$D1310,'Val-Vol (2)'!$V$4:$V$1858,$V1310)/SUMIFS('Comp2016-2017 (3)'!$G$5:$G$289,'Comp2016-2017 (3)'!$A$5:$A$289,$D1310,'Comp2016-2017 (3)'!$R$5:$R$289,$V1310)*$AB1310))</f>
        <v/>
      </c>
      <c r="AJ1310" s="222" t="str">
        <f>IF($W1310=AJ$3,$AB1310,IF(NOT($W1310=0),"",SUMIFS('Val-Vol (2)'!AJ$4:AJ$1858,'Val-Vol (2)'!$A$4:$A$1858,$D1310,'Val-Vol (2)'!$V$4:$V$1858,$V1310)/SUMIFS('Comp2016-2017 (3)'!$G$5:$G$289,'Comp2016-2017 (3)'!$A$5:$A$289,$D1310,'Comp2016-2017 (3)'!$R$5:$R$289,$V1310)*$AB1310))</f>
        <v/>
      </c>
      <c r="AK1310" s="222">
        <f t="shared" si="159"/>
        <v>0</v>
      </c>
      <c r="AL1310" s="212" t="str">
        <f t="shared" ref="AL1310:AL1373" si="160">IF(A1310=D1310,"remplir à la main","")</f>
        <v/>
      </c>
      <c r="AM1310" s="212" t="str">
        <f>VLOOKUP(A1310,'Table corresp.'!$M$4:$U$63,8,FALSE)</f>
        <v>Production intermédiaire</v>
      </c>
      <c r="AN1310" s="212" t="str">
        <f>VLOOKUP(D1310,'Table corresp.'!$M$4:$U$63,9,FALSE)</f>
        <v xml:space="preserve">Mise en œuvre </v>
      </c>
    </row>
    <row r="1311" spans="1:40" x14ac:dyDescent="0.25">
      <c r="A1311" t="s">
        <v>13</v>
      </c>
      <c r="B1311" t="str">
        <f>VLOOKUP(LEFT(A1311,3),'Table corresp.'!$A$4:$D$63,3,FALSE)</f>
        <v>Transformation</v>
      </c>
      <c r="C1311" t="str">
        <f>VLOOKUP(A1311,'Table corresp.'!$M$4:$P$63,4,FALSE)</f>
        <v>Production et transformation de produits bois</v>
      </c>
      <c r="D1311" t="s">
        <v>25</v>
      </c>
      <c r="E1311" t="str">
        <f>VLOOKUP(LEFT(D1311,3),'Table corresp.'!$A$4:$D$63,4,FALSE)</f>
        <v>Transformation</v>
      </c>
      <c r="F1311" t="str">
        <f t="shared" si="157"/>
        <v xml:space="preserve">20  - 58 </v>
      </c>
      <c r="G1311" s="213">
        <v>10127.093170965731</v>
      </c>
      <c r="H1311" s="213">
        <v>3235.3326354116862</v>
      </c>
      <c r="I1311" s="213">
        <v>13362.425806377418</v>
      </c>
      <c r="J1311" s="215">
        <v>65.386570695450601</v>
      </c>
      <c r="K1311" s="215">
        <v>17.2085315512915</v>
      </c>
      <c r="L1311" s="215">
        <v>82.595102246742101</v>
      </c>
      <c r="M1311" s="215"/>
      <c r="N1311" s="215"/>
      <c r="O1311" s="215"/>
      <c r="P1311" s="215"/>
      <c r="Q1311" s="215"/>
      <c r="R1311" s="215"/>
      <c r="S1311" s="213"/>
      <c r="T1311" s="212">
        <f>VLOOKUP(A1311,'Groupe de branches'!$Z$27:$AM$86,14,FALSE)</f>
        <v>0</v>
      </c>
      <c r="U1311" s="212">
        <f>VLOOKUP(D1311,'Groupe de branches'!$Z$27:$AM$86,14,FALSE)</f>
        <v>0</v>
      </c>
      <c r="V1311" s="212">
        <v>2019</v>
      </c>
      <c r="W1311" s="212" t="str">
        <f>VLOOKUP(D1311,'Table corresp.'!$M$4:$S$63,7,FALSE)</f>
        <v>Construction</v>
      </c>
      <c r="X1311" s="228">
        <f>IFERROR(G1311/SUMIFS('Comp2016-2017 (3)'!$I$5:$I$289,'Comp2016-2017 (3)'!$A$5:$A$289,A1311,'Comp2016-2017 (3)'!$R$5:$R$289,V1311),0)</f>
        <v>1.4590251131867987E-2</v>
      </c>
      <c r="Y1311" s="214" t="e">
        <f>IF(RIGHT(F1311,3)="Exp",VLOOKUP(F1311,#REF!,2,FALSE),VLOOKUP(F1311,#REF!,9,FALSE))</f>
        <v>#REF!</v>
      </c>
      <c r="Z1311" s="225" t="str">
        <f t="shared" ref="Z1311:Z1350" si="161">IFERROR(Y1311/SUMIFS($Y$4:$Y$1858,$V$4:$V$1858,V1311,$A$4:$A$1858,A1311),"")</f>
        <v/>
      </c>
      <c r="AA1311" s="225" t="e">
        <f t="shared" si="158"/>
        <v>#VALUE!</v>
      </c>
      <c r="AB1311" s="222">
        <f>IFERROR(SUMIFS('Comp2016-2017 (3)'!$G$5:$G$289,'Comp2016-2017 (3)'!$A$5:$A$289,A1311,'Comp2016-2017 (3)'!$R$5:$R$289,V1311)*AA1311/SUMIFS($AA$4:$AA$1858,$A$4:$A$1858,A1311,$V$4:$V$1858,V1311),0)</f>
        <v>0</v>
      </c>
      <c r="AC1311" s="222" t="str">
        <f>IF($W1311=AC$3,$AB1311,IF(NOT($W1311=0),"",SUMIFS('Val-Vol (2)'!AC$4:AC$1858,'Val-Vol (2)'!$A$4:$A$1858,$D1311,'Val-Vol (2)'!$V$4:$V$1858,$V1311)/SUMIFS('Comp2016-2017 (3)'!$G$5:$G$289,'Comp2016-2017 (3)'!$A$5:$A$289,$D1311,'Comp2016-2017 (3)'!$R$5:$R$289,$V1311)*$AB1311))</f>
        <v/>
      </c>
      <c r="AD1311" s="222">
        <f>IF($W1311=AD$3,$AB1311,IF(NOT($W1311=0),"",SUMIFS('Val-Vol (2)'!AD$4:AD$1858,'Val-Vol (2)'!$A$4:$A$1858,$D1311,'Val-Vol (2)'!$V$4:$V$1858,$V1311)/SUMIFS('Comp2016-2017 (3)'!$G$5:$G$289,'Comp2016-2017 (3)'!$A$5:$A$289,$D1311,'Comp2016-2017 (3)'!$R$5:$R$289,$V1311)*$AB1311))</f>
        <v>0</v>
      </c>
      <c r="AE1311" s="222" t="str">
        <f>IF($W1311=AE$3,$AB1311,IF(NOT($W1311=0),"",SUMIFS('Val-Vol (2)'!AE$4:AE$1858,'Val-Vol (2)'!$A$4:$A$1858,$D1311,'Val-Vol (2)'!$V$4:$V$1858,$V1311)/SUMIFS('Comp2016-2017 (3)'!$G$5:$G$289,'Comp2016-2017 (3)'!$A$5:$A$289,$D1311,'Comp2016-2017 (3)'!$R$5:$R$289,$V1311)*$AB1311))</f>
        <v/>
      </c>
      <c r="AF1311" s="222" t="str">
        <f>IF($W1311=AF$3,$AB1311,IF(NOT($W1311=0),"",SUMIFS('Val-Vol (2)'!AF$4:AF$1858,'Val-Vol (2)'!$A$4:$A$1858,$D1311,'Val-Vol (2)'!$V$4:$V$1858,$V1311)/SUMIFS('Comp2016-2017 (3)'!$G$5:$G$289,'Comp2016-2017 (3)'!$A$5:$A$289,$D1311,'Comp2016-2017 (3)'!$R$5:$R$289,$V1311)*$AB1311))</f>
        <v/>
      </c>
      <c r="AG1311" s="222" t="str">
        <f>IF($W1311=AG$3,$AB1311,IF(NOT($W1311=0),"",SUMIFS('Val-Vol (2)'!AG$4:AG$1858,'Val-Vol (2)'!$A$4:$A$1858,$D1311,'Val-Vol (2)'!$V$4:$V$1858,$V1311)/SUMIFS('Comp2016-2017 (3)'!$G$5:$G$289,'Comp2016-2017 (3)'!$A$5:$A$289,$D1311,'Comp2016-2017 (3)'!$R$5:$R$289,$V1311)*$AB1311))</f>
        <v/>
      </c>
      <c r="AH1311" s="222" t="str">
        <f>IF($W1311=AH$3,$AB1311,IF(NOT($W1311=0),"",SUMIFS('Val-Vol (2)'!AH$4:AH$1858,'Val-Vol (2)'!$A$4:$A$1858,$D1311,'Val-Vol (2)'!$V$4:$V$1858,$V1311)/SUMIFS('Comp2016-2017 (3)'!$G$5:$G$289,'Comp2016-2017 (3)'!$A$5:$A$289,$D1311,'Comp2016-2017 (3)'!$R$5:$R$289,$V1311)*$AB1311))</f>
        <v/>
      </c>
      <c r="AI1311" s="222" t="str">
        <f>IF($W1311=AI$3,$AB1311,IF(NOT($W1311=0),"",SUMIFS('Val-Vol (2)'!AI$4:AI$1858,'Val-Vol (2)'!$A$4:$A$1858,$D1311,'Val-Vol (2)'!$V$4:$V$1858,$V1311)/SUMIFS('Comp2016-2017 (3)'!$G$5:$G$289,'Comp2016-2017 (3)'!$A$5:$A$289,$D1311,'Comp2016-2017 (3)'!$R$5:$R$289,$V1311)*$AB1311))</f>
        <v/>
      </c>
      <c r="AJ1311" s="222" t="str">
        <f>IF($W1311=AJ$3,$AB1311,IF(NOT($W1311=0),"",SUMIFS('Val-Vol (2)'!AJ$4:AJ$1858,'Val-Vol (2)'!$A$4:$A$1858,$D1311,'Val-Vol (2)'!$V$4:$V$1858,$V1311)/SUMIFS('Comp2016-2017 (3)'!$G$5:$G$289,'Comp2016-2017 (3)'!$A$5:$A$289,$D1311,'Comp2016-2017 (3)'!$R$5:$R$289,$V1311)*$AB1311))</f>
        <v/>
      </c>
      <c r="AK1311" s="222">
        <f t="shared" si="159"/>
        <v>0</v>
      </c>
      <c r="AL1311" s="212" t="str">
        <f t="shared" si="160"/>
        <v/>
      </c>
      <c r="AM1311" s="212" t="str">
        <f>VLOOKUP(A1311,'Table corresp.'!$M$4:$U$63,8,FALSE)</f>
        <v>Production intermédiaire</v>
      </c>
      <c r="AN1311" s="212" t="str">
        <f>VLOOKUP(D1311,'Table corresp.'!$M$4:$U$63,9,FALSE)</f>
        <v xml:space="preserve">Mise en œuvre </v>
      </c>
    </row>
    <row r="1312" spans="1:40" x14ac:dyDescent="0.25">
      <c r="A1312" t="s">
        <v>13</v>
      </c>
      <c r="B1312" t="str">
        <f>VLOOKUP(LEFT(A1312,3),'Table corresp.'!$A$4:$D$63,3,FALSE)</f>
        <v>Transformation</v>
      </c>
      <c r="C1312" t="str">
        <f>VLOOKUP(A1312,'Table corresp.'!$M$4:$P$63,4,FALSE)</f>
        <v>Production et transformation de produits bois</v>
      </c>
      <c r="D1312" t="s">
        <v>54</v>
      </c>
      <c r="E1312" t="str">
        <f>VLOOKUP(LEFT(D1312,3),'Table corresp.'!$A$4:$D$63,4,FALSE)</f>
        <v>Consommation finale</v>
      </c>
      <c r="F1312" t="str">
        <f t="shared" si="157"/>
        <v>20  - Con</v>
      </c>
      <c r="G1312" s="213">
        <v>241793.09919167674</v>
      </c>
      <c r="H1312" s="213">
        <v>157577.32825780148</v>
      </c>
      <c r="I1312" s="213">
        <v>399370.42744947819</v>
      </c>
      <c r="J1312" s="215">
        <v>390.29021721889143</v>
      </c>
      <c r="K1312" s="215">
        <v>209.5359836738659</v>
      </c>
      <c r="L1312" s="215">
        <v>599.82620089275736</v>
      </c>
      <c r="M1312" s="215"/>
      <c r="N1312" s="215"/>
      <c r="O1312" s="215"/>
      <c r="P1312" s="215"/>
      <c r="Q1312" s="215"/>
      <c r="R1312" s="215"/>
      <c r="S1312" s="213"/>
      <c r="T1312" s="212">
        <f>VLOOKUP(A1312,'Groupe de branches'!$Z$27:$AM$86,14,FALSE)</f>
        <v>0</v>
      </c>
      <c r="U1312" s="212">
        <f>VLOOKUP(D1312,'Groupe de branches'!$Z$27:$AM$86,14,FALSE)</f>
        <v>0</v>
      </c>
      <c r="V1312" s="212">
        <v>2019</v>
      </c>
      <c r="W1312" s="212" t="str">
        <f>VLOOKUP(D1312,'Table corresp.'!$M$4:$S$63,7,FALSE)</f>
        <v>Consommation finale</v>
      </c>
      <c r="X1312" s="228">
        <f>IFERROR(G1312/SUMIFS('Comp2016-2017 (3)'!$I$5:$I$289,'Comp2016-2017 (3)'!$A$5:$A$289,A1312,'Comp2016-2017 (3)'!$R$5:$R$289,V1312),0)</f>
        <v>0.34835485164424662</v>
      </c>
      <c r="Y1312" s="214" t="e">
        <f>IF(RIGHT(F1312,3)="Exp",VLOOKUP(F1312,#REF!,2,FALSE),VLOOKUP(F1312,#REF!,9,FALSE))</f>
        <v>#REF!</v>
      </c>
      <c r="Z1312" s="225" t="str">
        <f t="shared" si="161"/>
        <v/>
      </c>
      <c r="AA1312" s="225" t="e">
        <f t="shared" si="158"/>
        <v>#VALUE!</v>
      </c>
      <c r="AB1312" s="222">
        <f>IFERROR(SUMIFS('Comp2016-2017 (3)'!$G$5:$G$289,'Comp2016-2017 (3)'!$A$5:$A$289,A1312,'Comp2016-2017 (3)'!$R$5:$R$289,V1312)*AA1312/SUMIFS($AA$4:$AA$1858,$A$4:$A$1858,A1312,$V$4:$V$1858,V1312),0)</f>
        <v>0</v>
      </c>
      <c r="AC1312" s="222" t="str">
        <f>IF($W1312=AC$3,$AB1312,IF(NOT($W1312=0),"",SUMIFS('Val-Vol (2)'!AC$4:AC$1858,'Val-Vol (2)'!$A$4:$A$1858,$D1312,'Val-Vol (2)'!$V$4:$V$1858,$V1312)/SUMIFS('Comp2016-2017 (3)'!$G$5:$G$289,'Comp2016-2017 (3)'!$A$5:$A$289,$D1312,'Comp2016-2017 (3)'!$R$5:$R$289,$V1312)*$AB1312))</f>
        <v/>
      </c>
      <c r="AD1312" s="222" t="str">
        <f>IF($W1312=AD$3,$AB1312,IF(NOT($W1312=0),"",SUMIFS('Val-Vol (2)'!AD$4:AD$1858,'Val-Vol (2)'!$A$4:$A$1858,$D1312,'Val-Vol (2)'!$V$4:$V$1858,$V1312)/SUMIFS('Comp2016-2017 (3)'!$G$5:$G$289,'Comp2016-2017 (3)'!$A$5:$A$289,$D1312,'Comp2016-2017 (3)'!$R$5:$R$289,$V1312)*$AB1312))</f>
        <v/>
      </c>
      <c r="AE1312" s="222" t="str">
        <f>IF($W1312=AE$3,$AB1312,IF(NOT($W1312=0),"",SUMIFS('Val-Vol (2)'!AE$4:AE$1858,'Val-Vol (2)'!$A$4:$A$1858,$D1312,'Val-Vol (2)'!$V$4:$V$1858,$V1312)/SUMIFS('Comp2016-2017 (3)'!$G$5:$G$289,'Comp2016-2017 (3)'!$A$5:$A$289,$D1312,'Comp2016-2017 (3)'!$R$5:$R$289,$V1312)*$AB1312))</f>
        <v/>
      </c>
      <c r="AF1312" s="222" t="str">
        <f>IF($W1312=AF$3,$AB1312,IF(NOT($W1312=0),"",SUMIFS('Val-Vol (2)'!AF$4:AF$1858,'Val-Vol (2)'!$A$4:$A$1858,$D1312,'Val-Vol (2)'!$V$4:$V$1858,$V1312)/SUMIFS('Comp2016-2017 (3)'!$G$5:$G$289,'Comp2016-2017 (3)'!$A$5:$A$289,$D1312,'Comp2016-2017 (3)'!$R$5:$R$289,$V1312)*$AB1312))</f>
        <v/>
      </c>
      <c r="AG1312" s="222" t="str">
        <f>IF($W1312=AG$3,$AB1312,IF(NOT($W1312=0),"",SUMIFS('Val-Vol (2)'!AG$4:AG$1858,'Val-Vol (2)'!$A$4:$A$1858,$D1312,'Val-Vol (2)'!$V$4:$V$1858,$V1312)/SUMIFS('Comp2016-2017 (3)'!$G$5:$G$289,'Comp2016-2017 (3)'!$A$5:$A$289,$D1312,'Comp2016-2017 (3)'!$R$5:$R$289,$V1312)*$AB1312))</f>
        <v/>
      </c>
      <c r="AH1312" s="222" t="str">
        <f>IF($W1312=AH$3,$AB1312,IF(NOT($W1312=0),"",SUMIFS('Val-Vol (2)'!AH$4:AH$1858,'Val-Vol (2)'!$A$4:$A$1858,$D1312,'Val-Vol (2)'!$V$4:$V$1858,$V1312)/SUMIFS('Comp2016-2017 (3)'!$G$5:$G$289,'Comp2016-2017 (3)'!$A$5:$A$289,$D1312,'Comp2016-2017 (3)'!$R$5:$R$289,$V1312)*$AB1312))</f>
        <v/>
      </c>
      <c r="AI1312" s="222" t="str">
        <f>IF($W1312=AI$3,$AB1312,IF(NOT($W1312=0),"",SUMIFS('Val-Vol (2)'!AI$4:AI$1858,'Val-Vol (2)'!$A$4:$A$1858,$D1312,'Val-Vol (2)'!$V$4:$V$1858,$V1312)/SUMIFS('Comp2016-2017 (3)'!$G$5:$G$289,'Comp2016-2017 (3)'!$A$5:$A$289,$D1312,'Comp2016-2017 (3)'!$R$5:$R$289,$V1312)*$AB1312))</f>
        <v/>
      </c>
      <c r="AJ1312" s="222">
        <f>IF($W1312=AJ$3,$AB1312,IF(NOT($W1312=0),"",SUMIFS('Val-Vol (2)'!AJ$4:AJ$1858,'Val-Vol (2)'!$A$4:$A$1858,$D1312,'Val-Vol (2)'!$V$4:$V$1858,$V1312)/SUMIFS('Comp2016-2017 (3)'!$G$5:$G$289,'Comp2016-2017 (3)'!$A$5:$A$289,$D1312,'Comp2016-2017 (3)'!$R$5:$R$289,$V1312)*$AB1312))</f>
        <v>0</v>
      </c>
      <c r="AK1312" s="222">
        <f t="shared" si="159"/>
        <v>0</v>
      </c>
      <c r="AL1312" s="212" t="str">
        <f t="shared" si="160"/>
        <v/>
      </c>
      <c r="AM1312" s="212" t="str">
        <f>VLOOKUP(A1312,'Table corresp.'!$M$4:$U$63,8,FALSE)</f>
        <v>Production intermédiaire</v>
      </c>
      <c r="AN1312" s="212" t="str">
        <f>VLOOKUP(D1312,'Table corresp.'!$M$4:$U$63,9,FALSE)</f>
        <v>Consommation finale française</v>
      </c>
    </row>
    <row r="1313" spans="1:40" x14ac:dyDescent="0.25">
      <c r="A1313" t="s">
        <v>13</v>
      </c>
      <c r="B1313" t="str">
        <f>VLOOKUP(LEFT(A1313,3),'Table corresp.'!$A$4:$D$63,3,FALSE)</f>
        <v>Transformation</v>
      </c>
      <c r="C1313" t="str">
        <f>VLOOKUP(A1313,'Table corresp.'!$M$4:$P$63,4,FALSE)</f>
        <v>Production et transformation de produits bois</v>
      </c>
      <c r="D1313" t="s">
        <v>53</v>
      </c>
      <c r="E1313" t="str">
        <f>VLOOKUP(LEFT(D1313,3),'Table corresp.'!$A$4:$D$63,4,FALSE)</f>
        <v>Exportation</v>
      </c>
      <c r="F1313" t="str">
        <f t="shared" si="157"/>
        <v>20  - Exp</v>
      </c>
      <c r="G1313" s="213">
        <v>74154.592999999993</v>
      </c>
      <c r="H1313" s="213">
        <v>0</v>
      </c>
      <c r="I1313" s="213">
        <v>74154.592999999993</v>
      </c>
      <c r="J1313" s="215">
        <v>225.99246156173072</v>
      </c>
      <c r="K1313" s="215">
        <v>0</v>
      </c>
      <c r="L1313" s="215">
        <v>225.99246156173072</v>
      </c>
      <c r="M1313" s="215"/>
      <c r="N1313" s="215"/>
      <c r="O1313" s="215"/>
      <c r="P1313" s="215"/>
      <c r="Q1313" s="215"/>
      <c r="R1313" s="215"/>
      <c r="S1313" s="213"/>
      <c r="T1313" s="212">
        <f>VLOOKUP(A1313,'Groupe de branches'!$Z$27:$AM$86,14,FALSE)</f>
        <v>0</v>
      </c>
      <c r="U1313" s="212">
        <f>VLOOKUP(D1313,'Groupe de branches'!$Z$27:$AM$86,14,FALSE)</f>
        <v>0</v>
      </c>
      <c r="V1313" s="212">
        <v>2019</v>
      </c>
      <c r="W1313" s="212" t="str">
        <f>VLOOKUP(D1313,'Table corresp.'!$M$4:$S$63,7,FALSE)</f>
        <v>Exportation</v>
      </c>
      <c r="X1313" s="228">
        <f>IFERROR(G1313/SUMIFS('Comp2016-2017 (3)'!$I$5:$I$289,'Comp2016-2017 (3)'!$A$5:$A$289,A1313,'Comp2016-2017 (3)'!$R$5:$R$289,V1313),0)</f>
        <v>0.10683560585315376</v>
      </c>
      <c r="Y1313" s="214" t="e">
        <f>IF(RIGHT(F1313,3)="Exp",VLOOKUP(F1313,#REF!,2,FALSE),VLOOKUP(F1313,#REF!,9,FALSE))</f>
        <v>#REF!</v>
      </c>
      <c r="Z1313" s="225" t="str">
        <f t="shared" si="161"/>
        <v/>
      </c>
      <c r="AA1313" s="225" t="e">
        <f t="shared" si="158"/>
        <v>#VALUE!</v>
      </c>
      <c r="AB1313" s="222">
        <f>IFERROR(SUMIFS('Comp2016-2017 (3)'!$G$5:$G$289,'Comp2016-2017 (3)'!$A$5:$A$289,A1313,'Comp2016-2017 (3)'!$R$5:$R$289,V1313)*AA1313/SUMIFS($AA$4:$AA$1858,$A$4:$A$1858,A1313,$V$4:$V$1858,V1313),0)</f>
        <v>0</v>
      </c>
      <c r="AC1313" s="222">
        <f>IF($W1313=AC$3,$AB1313,IF(NOT($W1313=0),"",SUMIFS('Val-Vol (2)'!AC$4:AC$1858,'Val-Vol (2)'!$A$4:$A$1858,$D1313,'Val-Vol (2)'!$V$4:$V$1858,$V1313)/SUMIFS('Comp2016-2017 (3)'!$G$5:$G$289,'Comp2016-2017 (3)'!$A$5:$A$289,$D1313,'Comp2016-2017 (3)'!$R$5:$R$289,$V1313)*$AB1313))</f>
        <v>0</v>
      </c>
      <c r="AD1313" s="222" t="str">
        <f>IF($W1313=AD$3,$AB1313,IF(NOT($W1313=0),"",SUMIFS('Val-Vol (2)'!AD$4:AD$1858,'Val-Vol (2)'!$A$4:$A$1858,$D1313,'Val-Vol (2)'!$V$4:$V$1858,$V1313)/SUMIFS('Comp2016-2017 (3)'!$G$5:$G$289,'Comp2016-2017 (3)'!$A$5:$A$289,$D1313,'Comp2016-2017 (3)'!$R$5:$R$289,$V1313)*$AB1313))</f>
        <v/>
      </c>
      <c r="AE1313" s="222" t="str">
        <f>IF($W1313=AE$3,$AB1313,IF(NOT($W1313=0),"",SUMIFS('Val-Vol (2)'!AE$4:AE$1858,'Val-Vol (2)'!$A$4:$A$1858,$D1313,'Val-Vol (2)'!$V$4:$V$1858,$V1313)/SUMIFS('Comp2016-2017 (3)'!$G$5:$G$289,'Comp2016-2017 (3)'!$A$5:$A$289,$D1313,'Comp2016-2017 (3)'!$R$5:$R$289,$V1313)*$AB1313))</f>
        <v/>
      </c>
      <c r="AF1313" s="222" t="str">
        <f>IF($W1313=AF$3,$AB1313,IF(NOT($W1313=0),"",SUMIFS('Val-Vol (2)'!AF$4:AF$1858,'Val-Vol (2)'!$A$4:$A$1858,$D1313,'Val-Vol (2)'!$V$4:$V$1858,$V1313)/SUMIFS('Comp2016-2017 (3)'!$G$5:$G$289,'Comp2016-2017 (3)'!$A$5:$A$289,$D1313,'Comp2016-2017 (3)'!$R$5:$R$289,$V1313)*$AB1313))</f>
        <v/>
      </c>
      <c r="AG1313" s="222" t="str">
        <f>IF($W1313=AG$3,$AB1313,IF(NOT($W1313=0),"",SUMIFS('Val-Vol (2)'!AG$4:AG$1858,'Val-Vol (2)'!$A$4:$A$1858,$D1313,'Val-Vol (2)'!$V$4:$V$1858,$V1313)/SUMIFS('Comp2016-2017 (3)'!$G$5:$G$289,'Comp2016-2017 (3)'!$A$5:$A$289,$D1313,'Comp2016-2017 (3)'!$R$5:$R$289,$V1313)*$AB1313))</f>
        <v/>
      </c>
      <c r="AH1313" s="222" t="str">
        <f>IF($W1313=AH$3,$AB1313,IF(NOT($W1313=0),"",SUMIFS('Val-Vol (2)'!AH$4:AH$1858,'Val-Vol (2)'!$A$4:$A$1858,$D1313,'Val-Vol (2)'!$V$4:$V$1858,$V1313)/SUMIFS('Comp2016-2017 (3)'!$G$5:$G$289,'Comp2016-2017 (3)'!$A$5:$A$289,$D1313,'Comp2016-2017 (3)'!$R$5:$R$289,$V1313)*$AB1313))</f>
        <v/>
      </c>
      <c r="AI1313" s="222" t="str">
        <f>IF($W1313=AI$3,$AB1313,IF(NOT($W1313=0),"",SUMIFS('Val-Vol (2)'!AI$4:AI$1858,'Val-Vol (2)'!$A$4:$A$1858,$D1313,'Val-Vol (2)'!$V$4:$V$1858,$V1313)/SUMIFS('Comp2016-2017 (3)'!$G$5:$G$289,'Comp2016-2017 (3)'!$A$5:$A$289,$D1313,'Comp2016-2017 (3)'!$R$5:$R$289,$V1313)*$AB1313))</f>
        <v/>
      </c>
      <c r="AJ1313" s="222" t="str">
        <f>IF($W1313=AJ$3,$AB1313,IF(NOT($W1313=0),"",SUMIFS('Val-Vol (2)'!AJ$4:AJ$1858,'Val-Vol (2)'!$A$4:$A$1858,$D1313,'Val-Vol (2)'!$V$4:$V$1858,$V1313)/SUMIFS('Comp2016-2017 (3)'!$G$5:$G$289,'Comp2016-2017 (3)'!$A$5:$A$289,$D1313,'Comp2016-2017 (3)'!$R$5:$R$289,$V1313)*$AB1313))</f>
        <v/>
      </c>
      <c r="AK1313" s="222">
        <f t="shared" si="159"/>
        <v>0</v>
      </c>
      <c r="AL1313" s="212" t="str">
        <f t="shared" si="160"/>
        <v/>
      </c>
      <c r="AM1313" s="212" t="str">
        <f>VLOOKUP(A1313,'Table corresp.'!$M$4:$U$63,8,FALSE)</f>
        <v>Production intermédiaire</v>
      </c>
      <c r="AN1313" s="212" t="str">
        <f>VLOOKUP(D1313,'Table corresp.'!$M$4:$U$63,9,FALSE)</f>
        <v>Exportation</v>
      </c>
    </row>
    <row r="1314" spans="1:40" x14ac:dyDescent="0.25">
      <c r="A1314" t="s">
        <v>14</v>
      </c>
      <c r="B1314" t="str">
        <f>VLOOKUP(LEFT(A1314,3),'Table corresp.'!$A$4:$D$63,3,FALSE)</f>
        <v>Transformation</v>
      </c>
      <c r="C1314" t="str">
        <f>VLOOKUP(A1314,'Table corresp.'!$M$4:$P$63,4,FALSE)</f>
        <v>Production et transformation de produits bois</v>
      </c>
      <c r="D1314" t="s">
        <v>85</v>
      </c>
      <c r="E1314" t="str">
        <f>VLOOKUP(LEFT(D1314,3),'Table corresp.'!$A$4:$D$63,4,FALSE)</f>
        <v>Transformation</v>
      </c>
      <c r="F1314" t="str">
        <f t="shared" si="157"/>
        <v xml:space="preserve">20b - 29 </v>
      </c>
      <c r="G1314" s="213">
        <v>3052.4170815354487</v>
      </c>
      <c r="H1314" s="213">
        <v>7781.5710320109683</v>
      </c>
      <c r="I1314" s="213">
        <v>10833.988113546415</v>
      </c>
      <c r="J1314" s="215">
        <v>9.874603784086565</v>
      </c>
      <c r="K1314" s="215">
        <v>30.679127387622646</v>
      </c>
      <c r="L1314" s="215">
        <v>40.553731171709209</v>
      </c>
      <c r="M1314" s="215"/>
      <c r="N1314" s="215"/>
      <c r="O1314" s="215"/>
      <c r="P1314" s="215"/>
      <c r="Q1314" s="215"/>
      <c r="R1314" s="215"/>
      <c r="S1314" s="213"/>
      <c r="T1314" s="212">
        <f>VLOOKUP(A1314,'Groupe de branches'!$Z$27:$AM$86,14,FALSE)</f>
        <v>0</v>
      </c>
      <c r="U1314" s="212">
        <f>VLOOKUP(D1314,'Groupe de branches'!$Z$27:$AM$86,14,FALSE)</f>
        <v>0</v>
      </c>
      <c r="V1314" s="212">
        <v>2019</v>
      </c>
      <c r="W1314" s="212" t="str">
        <f>VLOOKUP(D1314,'Table corresp.'!$M$4:$S$63,7,FALSE)</f>
        <v>Construction</v>
      </c>
      <c r="X1314" s="228">
        <f>IFERROR(G1314/SUMIFS('Comp2016-2017 (3)'!$I$5:$I$289,'Comp2016-2017 (3)'!$A$5:$A$289,A1314,'Comp2016-2017 (3)'!$R$5:$R$289,V1314),0)</f>
        <v>1.6378655821539845E-2</v>
      </c>
      <c r="Y1314" s="214" t="e">
        <f>IF(RIGHT(F1314,3)="Exp",VLOOKUP(F1314,#REF!,2,FALSE),VLOOKUP(F1314,#REF!,9,FALSE))</f>
        <v>#REF!</v>
      </c>
      <c r="Z1314" s="225" t="str">
        <f t="shared" si="161"/>
        <v/>
      </c>
      <c r="AA1314" s="225" t="e">
        <f t="shared" si="158"/>
        <v>#VALUE!</v>
      </c>
      <c r="AB1314" s="222">
        <f>IFERROR(SUMIFS('Comp2016-2017 (3)'!$G$5:$G$289,'Comp2016-2017 (3)'!$A$5:$A$289,A1314,'Comp2016-2017 (3)'!$R$5:$R$289,V1314)*AA1314/SUMIFS($AA$4:$AA$1858,$A$4:$A$1858,A1314,$V$4:$V$1858,V1314),0)</f>
        <v>0</v>
      </c>
      <c r="AC1314" s="222" t="str">
        <f>IF($W1314=AC$3,$AB1314,IF(NOT($W1314=0),"",SUMIFS('Val-Vol (2)'!AC$4:AC$1858,'Val-Vol (2)'!$A$4:$A$1858,$D1314,'Val-Vol (2)'!$V$4:$V$1858,$V1314)/SUMIFS('Comp2016-2017 (3)'!$G$5:$G$289,'Comp2016-2017 (3)'!$A$5:$A$289,$D1314,'Comp2016-2017 (3)'!$R$5:$R$289,$V1314)*$AB1314))</f>
        <v/>
      </c>
      <c r="AD1314" s="222">
        <f>IF($W1314=AD$3,$AB1314,IF(NOT($W1314=0),"",SUMIFS('Val-Vol (2)'!AD$4:AD$1858,'Val-Vol (2)'!$A$4:$A$1858,$D1314,'Val-Vol (2)'!$V$4:$V$1858,$V1314)/SUMIFS('Comp2016-2017 (3)'!$G$5:$G$289,'Comp2016-2017 (3)'!$A$5:$A$289,$D1314,'Comp2016-2017 (3)'!$R$5:$R$289,$V1314)*$AB1314))</f>
        <v>0</v>
      </c>
      <c r="AE1314" s="222" t="str">
        <f>IF($W1314=AE$3,$AB1314,IF(NOT($W1314=0),"",SUMIFS('Val-Vol (2)'!AE$4:AE$1858,'Val-Vol (2)'!$A$4:$A$1858,$D1314,'Val-Vol (2)'!$V$4:$V$1858,$V1314)/SUMIFS('Comp2016-2017 (3)'!$G$5:$G$289,'Comp2016-2017 (3)'!$A$5:$A$289,$D1314,'Comp2016-2017 (3)'!$R$5:$R$289,$V1314)*$AB1314))</f>
        <v/>
      </c>
      <c r="AF1314" s="222" t="str">
        <f>IF($W1314=AF$3,$AB1314,IF(NOT($W1314=0),"",SUMIFS('Val-Vol (2)'!AF$4:AF$1858,'Val-Vol (2)'!$A$4:$A$1858,$D1314,'Val-Vol (2)'!$V$4:$V$1858,$V1314)/SUMIFS('Comp2016-2017 (3)'!$G$5:$G$289,'Comp2016-2017 (3)'!$A$5:$A$289,$D1314,'Comp2016-2017 (3)'!$R$5:$R$289,$V1314)*$AB1314))</f>
        <v/>
      </c>
      <c r="AG1314" s="222" t="str">
        <f>IF($W1314=AG$3,$AB1314,IF(NOT($W1314=0),"",SUMIFS('Val-Vol (2)'!AG$4:AG$1858,'Val-Vol (2)'!$A$4:$A$1858,$D1314,'Val-Vol (2)'!$V$4:$V$1858,$V1314)/SUMIFS('Comp2016-2017 (3)'!$G$5:$G$289,'Comp2016-2017 (3)'!$A$5:$A$289,$D1314,'Comp2016-2017 (3)'!$R$5:$R$289,$V1314)*$AB1314))</f>
        <v/>
      </c>
      <c r="AH1314" s="222" t="str">
        <f>IF($W1314=AH$3,$AB1314,IF(NOT($W1314=0),"",SUMIFS('Val-Vol (2)'!AH$4:AH$1858,'Val-Vol (2)'!$A$4:$A$1858,$D1314,'Val-Vol (2)'!$V$4:$V$1858,$V1314)/SUMIFS('Comp2016-2017 (3)'!$G$5:$G$289,'Comp2016-2017 (3)'!$A$5:$A$289,$D1314,'Comp2016-2017 (3)'!$R$5:$R$289,$V1314)*$AB1314))</f>
        <v/>
      </c>
      <c r="AI1314" s="222" t="str">
        <f>IF($W1314=AI$3,$AB1314,IF(NOT($W1314=0),"",SUMIFS('Val-Vol (2)'!AI$4:AI$1858,'Val-Vol (2)'!$A$4:$A$1858,$D1314,'Val-Vol (2)'!$V$4:$V$1858,$V1314)/SUMIFS('Comp2016-2017 (3)'!$G$5:$G$289,'Comp2016-2017 (3)'!$A$5:$A$289,$D1314,'Comp2016-2017 (3)'!$R$5:$R$289,$V1314)*$AB1314))</f>
        <v/>
      </c>
      <c r="AJ1314" s="222" t="str">
        <f>IF($W1314=AJ$3,$AB1314,IF(NOT($W1314=0),"",SUMIFS('Val-Vol (2)'!AJ$4:AJ$1858,'Val-Vol (2)'!$A$4:$A$1858,$D1314,'Val-Vol (2)'!$V$4:$V$1858,$V1314)/SUMIFS('Comp2016-2017 (3)'!$G$5:$G$289,'Comp2016-2017 (3)'!$A$5:$A$289,$D1314,'Comp2016-2017 (3)'!$R$5:$R$289,$V1314)*$AB1314))</f>
        <v/>
      </c>
      <c r="AK1314" s="222">
        <f t="shared" si="159"/>
        <v>0</v>
      </c>
      <c r="AL1314" s="212" t="str">
        <f t="shared" si="160"/>
        <v/>
      </c>
      <c r="AM1314" s="212" t="str">
        <f>VLOOKUP(A1314,'Table corresp.'!$M$4:$U$63,8,FALSE)</f>
        <v>Production intermédiaire</v>
      </c>
      <c r="AN1314" s="212" t="str">
        <f>VLOOKUP(D1314,'Table corresp.'!$M$4:$U$63,9,FALSE)</f>
        <v>Production intermédiaire</v>
      </c>
    </row>
    <row r="1315" spans="1:40" x14ac:dyDescent="0.25">
      <c r="A1315" t="s">
        <v>14</v>
      </c>
      <c r="B1315" t="str">
        <f>VLOOKUP(LEFT(A1315,3),'Table corresp.'!$A$4:$D$63,3,FALSE)</f>
        <v>Transformation</v>
      </c>
      <c r="C1315" t="str">
        <f>VLOOKUP(A1315,'Table corresp.'!$M$4:$P$63,4,FALSE)</f>
        <v>Production et transformation de produits bois</v>
      </c>
      <c r="D1315" t="s">
        <v>90</v>
      </c>
      <c r="E1315" t="str">
        <f>VLOOKUP(LEFT(D1315,3),'Table corresp.'!$A$4:$D$63,4,FALSE)</f>
        <v>Transformation</v>
      </c>
      <c r="F1315" t="str">
        <f t="shared" si="157"/>
        <v xml:space="preserve">20b - 34 </v>
      </c>
      <c r="G1315" s="213">
        <v>2505.9242252006106</v>
      </c>
      <c r="H1315" s="213">
        <v>8662.0872192408151</v>
      </c>
      <c r="I1315" s="213">
        <v>11168.011444441423</v>
      </c>
      <c r="J1315" s="215">
        <v>6.8595096414009484</v>
      </c>
      <c r="K1315" s="215">
        <v>30.7355350910162</v>
      </c>
      <c r="L1315" s="215">
        <v>37.595044732417151</v>
      </c>
      <c r="M1315" s="215"/>
      <c r="N1315" s="215"/>
      <c r="O1315" s="215"/>
      <c r="P1315" s="215"/>
      <c r="Q1315" s="215"/>
      <c r="R1315" s="215"/>
      <c r="S1315" s="213"/>
      <c r="T1315" s="212">
        <f>VLOOKUP(A1315,'Groupe de branches'!$Z$27:$AM$86,14,FALSE)</f>
        <v>0</v>
      </c>
      <c r="U1315" s="212">
        <f>VLOOKUP(D1315,'Groupe de branches'!$Z$27:$AM$86,14,FALSE)</f>
        <v>0</v>
      </c>
      <c r="V1315" s="212">
        <v>2019</v>
      </c>
      <c r="W1315" s="212" t="str">
        <f>VLOOKUP(D1315,'Table corresp.'!$M$4:$S$63,7,FALSE)</f>
        <v>Construction</v>
      </c>
      <c r="X1315" s="228">
        <f>IFERROR(G1315/SUMIFS('Comp2016-2017 (3)'!$I$5:$I$289,'Comp2016-2017 (3)'!$A$5:$A$289,A1315,'Comp2016-2017 (3)'!$R$5:$R$289,V1315),0)</f>
        <v>1.3446285125220708E-2</v>
      </c>
      <c r="Y1315" s="214" t="e">
        <f>IF(RIGHT(F1315,3)="Exp",VLOOKUP(F1315,#REF!,2,FALSE),VLOOKUP(F1315,#REF!,9,FALSE))</f>
        <v>#REF!</v>
      </c>
      <c r="Z1315" s="225" t="str">
        <f t="shared" si="161"/>
        <v/>
      </c>
      <c r="AA1315" s="225" t="e">
        <f t="shared" si="158"/>
        <v>#VALUE!</v>
      </c>
      <c r="AB1315" s="222">
        <f>IFERROR(SUMIFS('Comp2016-2017 (3)'!$G$5:$G$289,'Comp2016-2017 (3)'!$A$5:$A$289,A1315,'Comp2016-2017 (3)'!$R$5:$R$289,V1315)*AA1315/SUMIFS($AA$4:$AA$1858,$A$4:$A$1858,A1315,$V$4:$V$1858,V1315),0)</f>
        <v>0</v>
      </c>
      <c r="AC1315" s="222" t="str">
        <f>IF($W1315=AC$3,$AB1315,IF(NOT($W1315=0),"",SUMIFS('Val-Vol (2)'!AC$4:AC$1858,'Val-Vol (2)'!$A$4:$A$1858,$D1315,'Val-Vol (2)'!$V$4:$V$1858,$V1315)/SUMIFS('Comp2016-2017 (3)'!$G$5:$G$289,'Comp2016-2017 (3)'!$A$5:$A$289,$D1315,'Comp2016-2017 (3)'!$R$5:$R$289,$V1315)*$AB1315))</f>
        <v/>
      </c>
      <c r="AD1315" s="222">
        <f>IF($W1315=AD$3,$AB1315,IF(NOT($W1315=0),"",SUMIFS('Val-Vol (2)'!AD$4:AD$1858,'Val-Vol (2)'!$A$4:$A$1858,$D1315,'Val-Vol (2)'!$V$4:$V$1858,$V1315)/SUMIFS('Comp2016-2017 (3)'!$G$5:$G$289,'Comp2016-2017 (3)'!$A$5:$A$289,$D1315,'Comp2016-2017 (3)'!$R$5:$R$289,$V1315)*$AB1315))</f>
        <v>0</v>
      </c>
      <c r="AE1315" s="222" t="str">
        <f>IF($W1315=AE$3,$AB1315,IF(NOT($W1315=0),"",SUMIFS('Val-Vol (2)'!AE$4:AE$1858,'Val-Vol (2)'!$A$4:$A$1858,$D1315,'Val-Vol (2)'!$V$4:$V$1858,$V1315)/SUMIFS('Comp2016-2017 (3)'!$G$5:$G$289,'Comp2016-2017 (3)'!$A$5:$A$289,$D1315,'Comp2016-2017 (3)'!$R$5:$R$289,$V1315)*$AB1315))</f>
        <v/>
      </c>
      <c r="AF1315" s="222" t="str">
        <f>IF($W1315=AF$3,$AB1315,IF(NOT($W1315=0),"",SUMIFS('Val-Vol (2)'!AF$4:AF$1858,'Val-Vol (2)'!$A$4:$A$1858,$D1315,'Val-Vol (2)'!$V$4:$V$1858,$V1315)/SUMIFS('Comp2016-2017 (3)'!$G$5:$G$289,'Comp2016-2017 (3)'!$A$5:$A$289,$D1315,'Comp2016-2017 (3)'!$R$5:$R$289,$V1315)*$AB1315))</f>
        <v/>
      </c>
      <c r="AG1315" s="222" t="str">
        <f>IF($W1315=AG$3,$AB1315,IF(NOT($W1315=0),"",SUMIFS('Val-Vol (2)'!AG$4:AG$1858,'Val-Vol (2)'!$A$4:$A$1858,$D1315,'Val-Vol (2)'!$V$4:$V$1858,$V1315)/SUMIFS('Comp2016-2017 (3)'!$G$5:$G$289,'Comp2016-2017 (3)'!$A$5:$A$289,$D1315,'Comp2016-2017 (3)'!$R$5:$R$289,$V1315)*$AB1315))</f>
        <v/>
      </c>
      <c r="AH1315" s="222" t="str">
        <f>IF($W1315=AH$3,$AB1315,IF(NOT($W1315=0),"",SUMIFS('Val-Vol (2)'!AH$4:AH$1858,'Val-Vol (2)'!$A$4:$A$1858,$D1315,'Val-Vol (2)'!$V$4:$V$1858,$V1315)/SUMIFS('Comp2016-2017 (3)'!$G$5:$G$289,'Comp2016-2017 (3)'!$A$5:$A$289,$D1315,'Comp2016-2017 (3)'!$R$5:$R$289,$V1315)*$AB1315))</f>
        <v/>
      </c>
      <c r="AI1315" s="222" t="str">
        <f>IF($W1315=AI$3,$AB1315,IF(NOT($W1315=0),"",SUMIFS('Val-Vol (2)'!AI$4:AI$1858,'Val-Vol (2)'!$A$4:$A$1858,$D1315,'Val-Vol (2)'!$V$4:$V$1858,$V1315)/SUMIFS('Comp2016-2017 (3)'!$G$5:$G$289,'Comp2016-2017 (3)'!$A$5:$A$289,$D1315,'Comp2016-2017 (3)'!$R$5:$R$289,$V1315)*$AB1315))</f>
        <v/>
      </c>
      <c r="AJ1315" s="222" t="str">
        <f>IF($W1315=AJ$3,$AB1315,IF(NOT($W1315=0),"",SUMIFS('Val-Vol (2)'!AJ$4:AJ$1858,'Val-Vol (2)'!$A$4:$A$1858,$D1315,'Val-Vol (2)'!$V$4:$V$1858,$V1315)/SUMIFS('Comp2016-2017 (3)'!$G$5:$G$289,'Comp2016-2017 (3)'!$A$5:$A$289,$D1315,'Comp2016-2017 (3)'!$R$5:$R$289,$V1315)*$AB1315))</f>
        <v/>
      </c>
      <c r="AK1315" s="222">
        <f t="shared" si="159"/>
        <v>0</v>
      </c>
      <c r="AL1315" s="212" t="str">
        <f t="shared" si="160"/>
        <v/>
      </c>
      <c r="AM1315" s="212" t="str">
        <f>VLOOKUP(A1315,'Table corresp.'!$M$4:$U$63,8,FALSE)</f>
        <v>Production intermédiaire</v>
      </c>
      <c r="AN1315" s="212" t="str">
        <f>VLOOKUP(D1315,'Table corresp.'!$M$4:$U$63,9,FALSE)</f>
        <v>Production finale</v>
      </c>
    </row>
    <row r="1316" spans="1:40" x14ac:dyDescent="0.25">
      <c r="A1316" t="s">
        <v>14</v>
      </c>
      <c r="B1316" t="str">
        <f>VLOOKUP(LEFT(A1316,3),'Table corresp.'!$A$4:$D$63,3,FALSE)</f>
        <v>Transformation</v>
      </c>
      <c r="C1316" t="str">
        <f>VLOOKUP(A1316,'Table corresp.'!$M$4:$P$63,4,FALSE)</f>
        <v>Production et transformation de produits bois</v>
      </c>
      <c r="D1316" t="s">
        <v>15</v>
      </c>
      <c r="E1316" t="str">
        <f>VLOOKUP(LEFT(D1316,3),'Table corresp.'!$A$4:$D$63,4,FALSE)</f>
        <v>Transformation</v>
      </c>
      <c r="F1316" t="str">
        <f t="shared" si="157"/>
        <v xml:space="preserve">20b - 35 </v>
      </c>
      <c r="G1316" s="213">
        <v>39063.039462850567</v>
      </c>
      <c r="H1316" s="213">
        <v>104333.06326002919</v>
      </c>
      <c r="I1316" s="213">
        <v>143396.10272287973</v>
      </c>
      <c r="J1316" s="215">
        <v>99.290222819121411</v>
      </c>
      <c r="K1316" s="215">
        <v>290.87395371841228</v>
      </c>
      <c r="L1316" s="215">
        <v>390.16417653753371</v>
      </c>
      <c r="M1316" s="215"/>
      <c r="N1316" s="215"/>
      <c r="O1316" s="215"/>
      <c r="P1316" s="215"/>
      <c r="Q1316" s="215"/>
      <c r="R1316" s="215"/>
      <c r="S1316" s="213"/>
      <c r="T1316" s="212">
        <f>VLOOKUP(A1316,'Groupe de branches'!$Z$27:$AM$86,14,FALSE)</f>
        <v>0</v>
      </c>
      <c r="U1316" s="212">
        <f>VLOOKUP(D1316,'Groupe de branches'!$Z$27:$AM$86,14,FALSE)</f>
        <v>0</v>
      </c>
      <c r="V1316" s="212">
        <v>2019</v>
      </c>
      <c r="W1316" s="212" t="str">
        <f>VLOOKUP(D1316,'Table corresp.'!$M$4:$S$63,7,FALSE)</f>
        <v>Construction</v>
      </c>
      <c r="X1316" s="228">
        <f>IFERROR(G1316/SUMIFS('Comp2016-2017 (3)'!$I$5:$I$289,'Comp2016-2017 (3)'!$A$5:$A$289,A1316,'Comp2016-2017 (3)'!$R$5:$R$289,V1316),0)</f>
        <v>0.20960440910107256</v>
      </c>
      <c r="Y1316" s="214" t="e">
        <f>IF(RIGHT(F1316,3)="Exp",VLOOKUP(F1316,#REF!,2,FALSE),VLOOKUP(F1316,#REF!,9,FALSE))</f>
        <v>#REF!</v>
      </c>
      <c r="Z1316" s="225" t="str">
        <f t="shared" si="161"/>
        <v/>
      </c>
      <c r="AA1316" s="225" t="e">
        <f t="shared" si="158"/>
        <v>#VALUE!</v>
      </c>
      <c r="AB1316" s="222">
        <f>IFERROR(SUMIFS('Comp2016-2017 (3)'!$G$5:$G$289,'Comp2016-2017 (3)'!$A$5:$A$289,A1316,'Comp2016-2017 (3)'!$R$5:$R$289,V1316)*AA1316/SUMIFS($AA$4:$AA$1858,$A$4:$A$1858,A1316,$V$4:$V$1858,V1316),0)</f>
        <v>0</v>
      </c>
      <c r="AC1316" s="222" t="str">
        <f>IF($W1316=AC$3,$AB1316,IF(NOT($W1316=0),"",SUMIFS('Val-Vol (2)'!AC$4:AC$1858,'Val-Vol (2)'!$A$4:$A$1858,$D1316,'Val-Vol (2)'!$V$4:$V$1858,$V1316)/SUMIFS('Comp2016-2017 (3)'!$G$5:$G$289,'Comp2016-2017 (3)'!$A$5:$A$289,$D1316,'Comp2016-2017 (3)'!$R$5:$R$289,$V1316)*$AB1316))</f>
        <v/>
      </c>
      <c r="AD1316" s="222">
        <f>IF($W1316=AD$3,$AB1316,IF(NOT($W1316=0),"",SUMIFS('Val-Vol (2)'!AD$4:AD$1858,'Val-Vol (2)'!$A$4:$A$1858,$D1316,'Val-Vol (2)'!$V$4:$V$1858,$V1316)/SUMIFS('Comp2016-2017 (3)'!$G$5:$G$289,'Comp2016-2017 (3)'!$A$5:$A$289,$D1316,'Comp2016-2017 (3)'!$R$5:$R$289,$V1316)*$AB1316))</f>
        <v>0</v>
      </c>
      <c r="AE1316" s="222" t="str">
        <f>IF($W1316=AE$3,$AB1316,IF(NOT($W1316=0),"",SUMIFS('Val-Vol (2)'!AE$4:AE$1858,'Val-Vol (2)'!$A$4:$A$1858,$D1316,'Val-Vol (2)'!$V$4:$V$1858,$V1316)/SUMIFS('Comp2016-2017 (3)'!$G$5:$G$289,'Comp2016-2017 (3)'!$A$5:$A$289,$D1316,'Comp2016-2017 (3)'!$R$5:$R$289,$V1316)*$AB1316))</f>
        <v/>
      </c>
      <c r="AF1316" s="222" t="str">
        <f>IF($W1316=AF$3,$AB1316,IF(NOT($W1316=0),"",SUMIFS('Val-Vol (2)'!AF$4:AF$1858,'Val-Vol (2)'!$A$4:$A$1858,$D1316,'Val-Vol (2)'!$V$4:$V$1858,$V1316)/SUMIFS('Comp2016-2017 (3)'!$G$5:$G$289,'Comp2016-2017 (3)'!$A$5:$A$289,$D1316,'Comp2016-2017 (3)'!$R$5:$R$289,$V1316)*$AB1316))</f>
        <v/>
      </c>
      <c r="AG1316" s="222" t="str">
        <f>IF($W1316=AG$3,$AB1316,IF(NOT($W1316=0),"",SUMIFS('Val-Vol (2)'!AG$4:AG$1858,'Val-Vol (2)'!$A$4:$A$1858,$D1316,'Val-Vol (2)'!$V$4:$V$1858,$V1316)/SUMIFS('Comp2016-2017 (3)'!$G$5:$G$289,'Comp2016-2017 (3)'!$A$5:$A$289,$D1316,'Comp2016-2017 (3)'!$R$5:$R$289,$V1316)*$AB1316))</f>
        <v/>
      </c>
      <c r="AH1316" s="222" t="str">
        <f>IF($W1316=AH$3,$AB1316,IF(NOT($W1316=0),"",SUMIFS('Val-Vol (2)'!AH$4:AH$1858,'Val-Vol (2)'!$A$4:$A$1858,$D1316,'Val-Vol (2)'!$V$4:$V$1858,$V1316)/SUMIFS('Comp2016-2017 (3)'!$G$5:$G$289,'Comp2016-2017 (3)'!$A$5:$A$289,$D1316,'Comp2016-2017 (3)'!$R$5:$R$289,$V1316)*$AB1316))</f>
        <v/>
      </c>
      <c r="AI1316" s="222" t="str">
        <f>IF($W1316=AI$3,$AB1316,IF(NOT($W1316=0),"",SUMIFS('Val-Vol (2)'!AI$4:AI$1858,'Val-Vol (2)'!$A$4:$A$1858,$D1316,'Val-Vol (2)'!$V$4:$V$1858,$V1316)/SUMIFS('Comp2016-2017 (3)'!$G$5:$G$289,'Comp2016-2017 (3)'!$A$5:$A$289,$D1316,'Comp2016-2017 (3)'!$R$5:$R$289,$V1316)*$AB1316))</f>
        <v/>
      </c>
      <c r="AJ1316" s="222" t="str">
        <f>IF($W1316=AJ$3,$AB1316,IF(NOT($W1316=0),"",SUMIFS('Val-Vol (2)'!AJ$4:AJ$1858,'Val-Vol (2)'!$A$4:$A$1858,$D1316,'Val-Vol (2)'!$V$4:$V$1858,$V1316)/SUMIFS('Comp2016-2017 (3)'!$G$5:$G$289,'Comp2016-2017 (3)'!$A$5:$A$289,$D1316,'Comp2016-2017 (3)'!$R$5:$R$289,$V1316)*$AB1316))</f>
        <v/>
      </c>
      <c r="AK1316" s="222">
        <f t="shared" si="159"/>
        <v>0</v>
      </c>
      <c r="AL1316" s="212" t="str">
        <f t="shared" si="160"/>
        <v/>
      </c>
      <c r="AM1316" s="212" t="str">
        <f>VLOOKUP(A1316,'Table corresp.'!$M$4:$U$63,8,FALSE)</f>
        <v>Production intermédiaire</v>
      </c>
      <c r="AN1316" s="212" t="str">
        <f>VLOOKUP(D1316,'Table corresp.'!$M$4:$U$63,9,FALSE)</f>
        <v>Production finale</v>
      </c>
    </row>
    <row r="1317" spans="1:40" x14ac:dyDescent="0.25">
      <c r="A1317" t="s">
        <v>14</v>
      </c>
      <c r="B1317" t="str">
        <f>VLOOKUP(LEFT(A1317,3),'Table corresp.'!$A$4:$D$63,3,FALSE)</f>
        <v>Transformation</v>
      </c>
      <c r="C1317" t="str">
        <f>VLOOKUP(A1317,'Table corresp.'!$M$4:$P$63,4,FALSE)</f>
        <v>Production et transformation de produits bois</v>
      </c>
      <c r="D1317" t="s">
        <v>16</v>
      </c>
      <c r="E1317" t="str">
        <f>VLOOKUP(LEFT(D1317,3),'Table corresp.'!$A$4:$D$63,4,FALSE)</f>
        <v>Transformation</v>
      </c>
      <c r="F1317" t="str">
        <f t="shared" si="157"/>
        <v xml:space="preserve">20b - 36 </v>
      </c>
      <c r="G1317" s="213">
        <v>5753.1439220793281</v>
      </c>
      <c r="H1317" s="213">
        <v>25229.507350251672</v>
      </c>
      <c r="I1317" s="213">
        <v>30982.651272330997</v>
      </c>
      <c r="J1317" s="215">
        <v>17.060528522274222</v>
      </c>
      <c r="K1317" s="215">
        <v>82.061308065111504</v>
      </c>
      <c r="L1317" s="215">
        <v>99.121836587385729</v>
      </c>
      <c r="M1317" s="215"/>
      <c r="N1317" s="215"/>
      <c r="O1317" s="215"/>
      <c r="P1317" s="215"/>
      <c r="Q1317" s="215"/>
      <c r="R1317" s="215"/>
      <c r="S1317" s="213"/>
      <c r="T1317" s="212">
        <f>VLOOKUP(A1317,'Groupe de branches'!$Z$27:$AM$86,14,FALSE)</f>
        <v>0</v>
      </c>
      <c r="U1317" s="212">
        <f>VLOOKUP(D1317,'Groupe de branches'!$Z$27:$AM$86,14,FALSE)</f>
        <v>0</v>
      </c>
      <c r="V1317" s="212">
        <v>2019</v>
      </c>
      <c r="W1317" s="212" t="str">
        <f>VLOOKUP(D1317,'Table corresp.'!$M$4:$S$63,7,FALSE)</f>
        <v>Construction</v>
      </c>
      <c r="X1317" s="228">
        <f>IFERROR(G1317/SUMIFS('Comp2016-2017 (3)'!$I$5:$I$289,'Comp2016-2017 (3)'!$A$5:$A$289,A1317,'Comp2016-2017 (3)'!$R$5:$R$289,V1317),0)</f>
        <v>3.08702125805565E-2</v>
      </c>
      <c r="Y1317" s="214" t="e">
        <f>IF(RIGHT(F1317,3)="Exp",VLOOKUP(F1317,#REF!,2,FALSE),VLOOKUP(F1317,#REF!,9,FALSE))</f>
        <v>#REF!</v>
      </c>
      <c r="Z1317" s="225" t="str">
        <f t="shared" si="161"/>
        <v/>
      </c>
      <c r="AA1317" s="225" t="e">
        <f t="shared" si="158"/>
        <v>#VALUE!</v>
      </c>
      <c r="AB1317" s="222">
        <f>IFERROR(SUMIFS('Comp2016-2017 (3)'!$G$5:$G$289,'Comp2016-2017 (3)'!$A$5:$A$289,A1317,'Comp2016-2017 (3)'!$R$5:$R$289,V1317)*AA1317/SUMIFS($AA$4:$AA$1858,$A$4:$A$1858,A1317,$V$4:$V$1858,V1317),0)</f>
        <v>0</v>
      </c>
      <c r="AC1317" s="222" t="str">
        <f>IF($W1317=AC$3,$AB1317,IF(NOT($W1317=0),"",SUMIFS('Val-Vol (2)'!AC$4:AC$1858,'Val-Vol (2)'!$A$4:$A$1858,$D1317,'Val-Vol (2)'!$V$4:$V$1858,$V1317)/SUMIFS('Comp2016-2017 (3)'!$G$5:$G$289,'Comp2016-2017 (3)'!$A$5:$A$289,$D1317,'Comp2016-2017 (3)'!$R$5:$R$289,$V1317)*$AB1317))</f>
        <v/>
      </c>
      <c r="AD1317" s="222">
        <f>IF($W1317=AD$3,$AB1317,IF(NOT($W1317=0),"",SUMIFS('Val-Vol (2)'!AD$4:AD$1858,'Val-Vol (2)'!$A$4:$A$1858,$D1317,'Val-Vol (2)'!$V$4:$V$1858,$V1317)/SUMIFS('Comp2016-2017 (3)'!$G$5:$G$289,'Comp2016-2017 (3)'!$A$5:$A$289,$D1317,'Comp2016-2017 (3)'!$R$5:$R$289,$V1317)*$AB1317))</f>
        <v>0</v>
      </c>
      <c r="AE1317" s="222" t="str">
        <f>IF($W1317=AE$3,$AB1317,IF(NOT($W1317=0),"",SUMIFS('Val-Vol (2)'!AE$4:AE$1858,'Val-Vol (2)'!$A$4:$A$1858,$D1317,'Val-Vol (2)'!$V$4:$V$1858,$V1317)/SUMIFS('Comp2016-2017 (3)'!$G$5:$G$289,'Comp2016-2017 (3)'!$A$5:$A$289,$D1317,'Comp2016-2017 (3)'!$R$5:$R$289,$V1317)*$AB1317))</f>
        <v/>
      </c>
      <c r="AF1317" s="222" t="str">
        <f>IF($W1317=AF$3,$AB1317,IF(NOT($W1317=0),"",SUMIFS('Val-Vol (2)'!AF$4:AF$1858,'Val-Vol (2)'!$A$4:$A$1858,$D1317,'Val-Vol (2)'!$V$4:$V$1858,$V1317)/SUMIFS('Comp2016-2017 (3)'!$G$5:$G$289,'Comp2016-2017 (3)'!$A$5:$A$289,$D1317,'Comp2016-2017 (3)'!$R$5:$R$289,$V1317)*$AB1317))</f>
        <v/>
      </c>
      <c r="AG1317" s="222" t="str">
        <f>IF($W1317=AG$3,$AB1317,IF(NOT($W1317=0),"",SUMIFS('Val-Vol (2)'!AG$4:AG$1858,'Val-Vol (2)'!$A$4:$A$1858,$D1317,'Val-Vol (2)'!$V$4:$V$1858,$V1317)/SUMIFS('Comp2016-2017 (3)'!$G$5:$G$289,'Comp2016-2017 (3)'!$A$5:$A$289,$D1317,'Comp2016-2017 (3)'!$R$5:$R$289,$V1317)*$AB1317))</f>
        <v/>
      </c>
      <c r="AH1317" s="222" t="str">
        <f>IF($W1317=AH$3,$AB1317,IF(NOT($W1317=0),"",SUMIFS('Val-Vol (2)'!AH$4:AH$1858,'Val-Vol (2)'!$A$4:$A$1858,$D1317,'Val-Vol (2)'!$V$4:$V$1858,$V1317)/SUMIFS('Comp2016-2017 (3)'!$G$5:$G$289,'Comp2016-2017 (3)'!$A$5:$A$289,$D1317,'Comp2016-2017 (3)'!$R$5:$R$289,$V1317)*$AB1317))</f>
        <v/>
      </c>
      <c r="AI1317" s="222" t="str">
        <f>IF($W1317=AI$3,$AB1317,IF(NOT($W1317=0),"",SUMIFS('Val-Vol (2)'!AI$4:AI$1858,'Val-Vol (2)'!$A$4:$A$1858,$D1317,'Val-Vol (2)'!$V$4:$V$1858,$V1317)/SUMIFS('Comp2016-2017 (3)'!$G$5:$G$289,'Comp2016-2017 (3)'!$A$5:$A$289,$D1317,'Comp2016-2017 (3)'!$R$5:$R$289,$V1317)*$AB1317))</f>
        <v/>
      </c>
      <c r="AJ1317" s="222" t="str">
        <f>IF($W1317=AJ$3,$AB1317,IF(NOT($W1317=0),"",SUMIFS('Val-Vol (2)'!AJ$4:AJ$1858,'Val-Vol (2)'!$A$4:$A$1858,$D1317,'Val-Vol (2)'!$V$4:$V$1858,$V1317)/SUMIFS('Comp2016-2017 (3)'!$G$5:$G$289,'Comp2016-2017 (3)'!$A$5:$A$289,$D1317,'Comp2016-2017 (3)'!$R$5:$R$289,$V1317)*$AB1317))</f>
        <v/>
      </c>
      <c r="AK1317" s="222">
        <f t="shared" si="159"/>
        <v>0</v>
      </c>
      <c r="AL1317" s="212" t="str">
        <f t="shared" si="160"/>
        <v/>
      </c>
      <c r="AM1317" s="212" t="str">
        <f>VLOOKUP(A1317,'Table corresp.'!$M$4:$U$63,8,FALSE)</f>
        <v>Production intermédiaire</v>
      </c>
      <c r="AN1317" s="212" t="str">
        <f>VLOOKUP(D1317,'Table corresp.'!$M$4:$U$63,9,FALSE)</f>
        <v>Production finale</v>
      </c>
    </row>
    <row r="1318" spans="1:40" x14ac:dyDescent="0.25">
      <c r="A1318" t="s">
        <v>14</v>
      </c>
      <c r="B1318" t="str">
        <f>VLOOKUP(LEFT(A1318,3),'Table corresp.'!$A$4:$D$63,3,FALSE)</f>
        <v>Transformation</v>
      </c>
      <c r="C1318" t="str">
        <f>VLOOKUP(A1318,'Table corresp.'!$M$4:$P$63,4,FALSE)</f>
        <v>Production et transformation de produits bois</v>
      </c>
      <c r="D1318" t="s">
        <v>92</v>
      </c>
      <c r="E1318" t="str">
        <f>VLOOKUP(LEFT(D1318,3),'Table corresp.'!$A$4:$D$63,4,FALSE)</f>
        <v>Transformation</v>
      </c>
      <c r="F1318" t="str">
        <f t="shared" si="157"/>
        <v xml:space="preserve">20b - 40 </v>
      </c>
      <c r="G1318" s="213">
        <v>2805.9419402043918</v>
      </c>
      <c r="H1318" s="213">
        <v>7593.8088579852883</v>
      </c>
      <c r="I1318" s="213">
        <v>10399.750798189678</v>
      </c>
      <c r="J1318" s="215">
        <v>9.0772539140463167</v>
      </c>
      <c r="K1318" s="215">
        <v>29.93886817366516</v>
      </c>
      <c r="L1318" s="215">
        <v>39.01612208771148</v>
      </c>
      <c r="M1318" s="215"/>
      <c r="N1318" s="215"/>
      <c r="O1318" s="215"/>
      <c r="P1318" s="215"/>
      <c r="Q1318" s="215"/>
      <c r="R1318" s="215"/>
      <c r="S1318" s="213"/>
      <c r="T1318" s="212">
        <f>VLOOKUP(A1318,'Groupe de branches'!$Z$27:$AM$86,14,FALSE)</f>
        <v>0</v>
      </c>
      <c r="U1318" s="212">
        <f>VLOOKUP(D1318,'Groupe de branches'!$Z$27:$AM$86,14,FALSE)</f>
        <v>0</v>
      </c>
      <c r="V1318" s="212">
        <v>2019</v>
      </c>
      <c r="W1318" s="212" t="str">
        <f>VLOOKUP(D1318,'Table corresp.'!$M$4:$S$63,7,FALSE)</f>
        <v>Construction</v>
      </c>
      <c r="X1318" s="228">
        <f>IFERROR(G1318/SUMIFS('Comp2016-2017 (3)'!$I$5:$I$289,'Comp2016-2017 (3)'!$A$5:$A$289,A1318,'Comp2016-2017 (3)'!$R$5:$R$289,V1318),0)</f>
        <v>1.5056119811357354E-2</v>
      </c>
      <c r="Y1318" s="214" t="e">
        <f>IF(RIGHT(F1318,3)="Exp",VLOOKUP(F1318,#REF!,2,FALSE),VLOOKUP(F1318,#REF!,9,FALSE))</f>
        <v>#REF!</v>
      </c>
      <c r="Z1318" s="225" t="str">
        <f t="shared" si="161"/>
        <v/>
      </c>
      <c r="AA1318" s="225" t="e">
        <f t="shared" si="158"/>
        <v>#VALUE!</v>
      </c>
      <c r="AB1318" s="222">
        <f>IFERROR(SUMIFS('Comp2016-2017 (3)'!$G$5:$G$289,'Comp2016-2017 (3)'!$A$5:$A$289,A1318,'Comp2016-2017 (3)'!$R$5:$R$289,V1318)*AA1318/SUMIFS($AA$4:$AA$1858,$A$4:$A$1858,A1318,$V$4:$V$1858,V1318),0)</f>
        <v>0</v>
      </c>
      <c r="AC1318" s="222" t="str">
        <f>IF($W1318=AC$3,$AB1318,IF(NOT($W1318=0),"",SUMIFS('Val-Vol (2)'!AC$4:AC$1858,'Val-Vol (2)'!$A$4:$A$1858,$D1318,'Val-Vol (2)'!$V$4:$V$1858,$V1318)/SUMIFS('Comp2016-2017 (3)'!$G$5:$G$289,'Comp2016-2017 (3)'!$A$5:$A$289,$D1318,'Comp2016-2017 (3)'!$R$5:$R$289,$V1318)*$AB1318))</f>
        <v/>
      </c>
      <c r="AD1318" s="222">
        <f>IF($W1318=AD$3,$AB1318,IF(NOT($W1318=0),"",SUMIFS('Val-Vol (2)'!AD$4:AD$1858,'Val-Vol (2)'!$A$4:$A$1858,$D1318,'Val-Vol (2)'!$V$4:$V$1858,$V1318)/SUMIFS('Comp2016-2017 (3)'!$G$5:$G$289,'Comp2016-2017 (3)'!$A$5:$A$289,$D1318,'Comp2016-2017 (3)'!$R$5:$R$289,$V1318)*$AB1318))</f>
        <v>0</v>
      </c>
      <c r="AE1318" s="222" t="str">
        <f>IF($W1318=AE$3,$AB1318,IF(NOT($W1318=0),"",SUMIFS('Val-Vol (2)'!AE$4:AE$1858,'Val-Vol (2)'!$A$4:$A$1858,$D1318,'Val-Vol (2)'!$V$4:$V$1858,$V1318)/SUMIFS('Comp2016-2017 (3)'!$G$5:$G$289,'Comp2016-2017 (3)'!$A$5:$A$289,$D1318,'Comp2016-2017 (3)'!$R$5:$R$289,$V1318)*$AB1318))</f>
        <v/>
      </c>
      <c r="AF1318" s="222" t="str">
        <f>IF($W1318=AF$3,$AB1318,IF(NOT($W1318=0),"",SUMIFS('Val-Vol (2)'!AF$4:AF$1858,'Val-Vol (2)'!$A$4:$A$1858,$D1318,'Val-Vol (2)'!$V$4:$V$1858,$V1318)/SUMIFS('Comp2016-2017 (3)'!$G$5:$G$289,'Comp2016-2017 (3)'!$A$5:$A$289,$D1318,'Comp2016-2017 (3)'!$R$5:$R$289,$V1318)*$AB1318))</f>
        <v/>
      </c>
      <c r="AG1318" s="222" t="str">
        <f>IF($W1318=AG$3,$AB1318,IF(NOT($W1318=0),"",SUMIFS('Val-Vol (2)'!AG$4:AG$1858,'Val-Vol (2)'!$A$4:$A$1858,$D1318,'Val-Vol (2)'!$V$4:$V$1858,$V1318)/SUMIFS('Comp2016-2017 (3)'!$G$5:$G$289,'Comp2016-2017 (3)'!$A$5:$A$289,$D1318,'Comp2016-2017 (3)'!$R$5:$R$289,$V1318)*$AB1318))</f>
        <v/>
      </c>
      <c r="AH1318" s="222" t="str">
        <f>IF($W1318=AH$3,$AB1318,IF(NOT($W1318=0),"",SUMIFS('Val-Vol (2)'!AH$4:AH$1858,'Val-Vol (2)'!$A$4:$A$1858,$D1318,'Val-Vol (2)'!$V$4:$V$1858,$V1318)/SUMIFS('Comp2016-2017 (3)'!$G$5:$G$289,'Comp2016-2017 (3)'!$A$5:$A$289,$D1318,'Comp2016-2017 (3)'!$R$5:$R$289,$V1318)*$AB1318))</f>
        <v/>
      </c>
      <c r="AI1318" s="222" t="str">
        <f>IF($W1318=AI$3,$AB1318,IF(NOT($W1318=0),"",SUMIFS('Val-Vol (2)'!AI$4:AI$1858,'Val-Vol (2)'!$A$4:$A$1858,$D1318,'Val-Vol (2)'!$V$4:$V$1858,$V1318)/SUMIFS('Comp2016-2017 (3)'!$G$5:$G$289,'Comp2016-2017 (3)'!$A$5:$A$289,$D1318,'Comp2016-2017 (3)'!$R$5:$R$289,$V1318)*$AB1318))</f>
        <v/>
      </c>
      <c r="AJ1318" s="222" t="str">
        <f>IF($W1318=AJ$3,$AB1318,IF(NOT($W1318=0),"",SUMIFS('Val-Vol (2)'!AJ$4:AJ$1858,'Val-Vol (2)'!$A$4:$A$1858,$D1318,'Val-Vol (2)'!$V$4:$V$1858,$V1318)/SUMIFS('Comp2016-2017 (3)'!$G$5:$G$289,'Comp2016-2017 (3)'!$A$5:$A$289,$D1318,'Comp2016-2017 (3)'!$R$5:$R$289,$V1318)*$AB1318))</f>
        <v/>
      </c>
      <c r="AK1318" s="222">
        <f t="shared" si="159"/>
        <v>0</v>
      </c>
      <c r="AL1318" s="212" t="str">
        <f t="shared" si="160"/>
        <v/>
      </c>
      <c r="AM1318" s="212" t="str">
        <f>VLOOKUP(A1318,'Table corresp.'!$M$4:$U$63,8,FALSE)</f>
        <v>Production intermédiaire</v>
      </c>
      <c r="AN1318" s="212" t="str">
        <f>VLOOKUP(D1318,'Table corresp.'!$M$4:$U$63,9,FALSE)</f>
        <v>Production finale</v>
      </c>
    </row>
    <row r="1319" spans="1:40" x14ac:dyDescent="0.25">
      <c r="A1319" t="s">
        <v>14</v>
      </c>
      <c r="B1319" t="str">
        <f>VLOOKUP(LEFT(A1319,3),'Table corresp.'!$A$4:$D$63,3,FALSE)</f>
        <v>Transformation</v>
      </c>
      <c r="C1319" t="str">
        <f>VLOOKUP(A1319,'Table corresp.'!$M$4:$P$63,4,FALSE)</f>
        <v>Production et transformation de produits bois</v>
      </c>
      <c r="D1319" t="s">
        <v>99</v>
      </c>
      <c r="E1319" t="str">
        <f>VLOOKUP(LEFT(D1319,3),'Table corresp.'!$A$4:$D$63,4,FALSE)</f>
        <v>Transformation</v>
      </c>
      <c r="F1319" t="str">
        <f t="shared" si="157"/>
        <v xml:space="preserve">20b - 47 </v>
      </c>
      <c r="G1319" s="213">
        <v>1079.0312176488417</v>
      </c>
      <c r="H1319" s="213">
        <v>6100.8130753338073</v>
      </c>
      <c r="I1319" s="213">
        <v>7179.8442929826479</v>
      </c>
      <c r="J1319" s="215">
        <v>3.1997883443299879</v>
      </c>
      <c r="K1319" s="215">
        <v>19.843459258733162</v>
      </c>
      <c r="L1319" s="215">
        <v>23.043247603063151</v>
      </c>
      <c r="M1319" s="215"/>
      <c r="N1319" s="215"/>
      <c r="O1319" s="215"/>
      <c r="P1319" s="215"/>
      <c r="Q1319" s="215"/>
      <c r="R1319" s="215"/>
      <c r="S1319" s="213"/>
      <c r="T1319" s="212">
        <f>VLOOKUP(A1319,'Groupe de branches'!$Z$27:$AM$86,14,FALSE)</f>
        <v>0</v>
      </c>
      <c r="U1319" s="212">
        <f>VLOOKUP(D1319,'Groupe de branches'!$Z$27:$AM$86,14,FALSE)</f>
        <v>0</v>
      </c>
      <c r="V1319" s="212">
        <v>2019</v>
      </c>
      <c r="W1319" s="212" t="str">
        <f>VLOOKUP(D1319,'Table corresp.'!$M$4:$S$63,7,FALSE)</f>
        <v>Meuble</v>
      </c>
      <c r="X1319" s="228">
        <f>IFERROR(G1319/SUMIFS('Comp2016-2017 (3)'!$I$5:$I$289,'Comp2016-2017 (3)'!$A$5:$A$289,A1319,'Comp2016-2017 (3)'!$R$5:$R$289,V1319),0)</f>
        <v>5.7898643804199217E-3</v>
      </c>
      <c r="Y1319" s="214" t="e">
        <f>IF(RIGHT(F1319,3)="Exp",VLOOKUP(F1319,#REF!,2,FALSE),VLOOKUP(F1319,#REF!,9,FALSE))</f>
        <v>#REF!</v>
      </c>
      <c r="Z1319" s="225" t="str">
        <f t="shared" si="161"/>
        <v/>
      </c>
      <c r="AA1319" s="225" t="e">
        <f t="shared" si="158"/>
        <v>#VALUE!</v>
      </c>
      <c r="AB1319" s="222">
        <f>IFERROR(SUMIFS('Comp2016-2017 (3)'!$G$5:$G$289,'Comp2016-2017 (3)'!$A$5:$A$289,A1319,'Comp2016-2017 (3)'!$R$5:$R$289,V1319)*AA1319/SUMIFS($AA$4:$AA$1858,$A$4:$A$1858,A1319,$V$4:$V$1858,V1319),0)</f>
        <v>0</v>
      </c>
      <c r="AC1319" s="222" t="str">
        <f>IF($W1319=AC$3,$AB1319,IF(NOT($W1319=0),"",SUMIFS('Val-Vol (2)'!AC$4:AC$1858,'Val-Vol (2)'!$A$4:$A$1858,$D1319,'Val-Vol (2)'!$V$4:$V$1858,$V1319)/SUMIFS('Comp2016-2017 (3)'!$G$5:$G$289,'Comp2016-2017 (3)'!$A$5:$A$289,$D1319,'Comp2016-2017 (3)'!$R$5:$R$289,$V1319)*$AB1319))</f>
        <v/>
      </c>
      <c r="AD1319" s="222" t="str">
        <f>IF($W1319=AD$3,$AB1319,IF(NOT($W1319=0),"",SUMIFS('Val-Vol (2)'!AD$4:AD$1858,'Val-Vol (2)'!$A$4:$A$1858,$D1319,'Val-Vol (2)'!$V$4:$V$1858,$V1319)/SUMIFS('Comp2016-2017 (3)'!$G$5:$G$289,'Comp2016-2017 (3)'!$A$5:$A$289,$D1319,'Comp2016-2017 (3)'!$R$5:$R$289,$V1319)*$AB1319))</f>
        <v/>
      </c>
      <c r="AE1319" s="222">
        <f>IF($W1319=AE$3,$AB1319,IF(NOT($W1319=0),"",SUMIFS('Val-Vol (2)'!AE$4:AE$1858,'Val-Vol (2)'!$A$4:$A$1858,$D1319,'Val-Vol (2)'!$V$4:$V$1858,$V1319)/SUMIFS('Comp2016-2017 (3)'!$G$5:$G$289,'Comp2016-2017 (3)'!$A$5:$A$289,$D1319,'Comp2016-2017 (3)'!$R$5:$R$289,$V1319)*$AB1319))</f>
        <v>0</v>
      </c>
      <c r="AF1319" s="222" t="str">
        <f>IF($W1319=AF$3,$AB1319,IF(NOT($W1319=0),"",SUMIFS('Val-Vol (2)'!AF$4:AF$1858,'Val-Vol (2)'!$A$4:$A$1858,$D1319,'Val-Vol (2)'!$V$4:$V$1858,$V1319)/SUMIFS('Comp2016-2017 (3)'!$G$5:$G$289,'Comp2016-2017 (3)'!$A$5:$A$289,$D1319,'Comp2016-2017 (3)'!$R$5:$R$289,$V1319)*$AB1319))</f>
        <v/>
      </c>
      <c r="AG1319" s="222" t="str">
        <f>IF($W1319=AG$3,$AB1319,IF(NOT($W1319=0),"",SUMIFS('Val-Vol (2)'!AG$4:AG$1858,'Val-Vol (2)'!$A$4:$A$1858,$D1319,'Val-Vol (2)'!$V$4:$V$1858,$V1319)/SUMIFS('Comp2016-2017 (3)'!$G$5:$G$289,'Comp2016-2017 (3)'!$A$5:$A$289,$D1319,'Comp2016-2017 (3)'!$R$5:$R$289,$V1319)*$AB1319))</f>
        <v/>
      </c>
      <c r="AH1319" s="222" t="str">
        <f>IF($W1319=AH$3,$AB1319,IF(NOT($W1319=0),"",SUMIFS('Val-Vol (2)'!AH$4:AH$1858,'Val-Vol (2)'!$A$4:$A$1858,$D1319,'Val-Vol (2)'!$V$4:$V$1858,$V1319)/SUMIFS('Comp2016-2017 (3)'!$G$5:$G$289,'Comp2016-2017 (3)'!$A$5:$A$289,$D1319,'Comp2016-2017 (3)'!$R$5:$R$289,$V1319)*$AB1319))</f>
        <v/>
      </c>
      <c r="AI1319" s="222" t="str">
        <f>IF($W1319=AI$3,$AB1319,IF(NOT($W1319=0),"",SUMIFS('Val-Vol (2)'!AI$4:AI$1858,'Val-Vol (2)'!$A$4:$A$1858,$D1319,'Val-Vol (2)'!$V$4:$V$1858,$V1319)/SUMIFS('Comp2016-2017 (3)'!$G$5:$G$289,'Comp2016-2017 (3)'!$A$5:$A$289,$D1319,'Comp2016-2017 (3)'!$R$5:$R$289,$V1319)*$AB1319))</f>
        <v/>
      </c>
      <c r="AJ1319" s="222" t="str">
        <f>IF($W1319=AJ$3,$AB1319,IF(NOT($W1319=0),"",SUMIFS('Val-Vol (2)'!AJ$4:AJ$1858,'Val-Vol (2)'!$A$4:$A$1858,$D1319,'Val-Vol (2)'!$V$4:$V$1858,$V1319)/SUMIFS('Comp2016-2017 (3)'!$G$5:$G$289,'Comp2016-2017 (3)'!$A$5:$A$289,$D1319,'Comp2016-2017 (3)'!$R$5:$R$289,$V1319)*$AB1319))</f>
        <v/>
      </c>
      <c r="AK1319" s="222">
        <f t="shared" si="159"/>
        <v>0</v>
      </c>
      <c r="AL1319" s="212" t="str">
        <f t="shared" si="160"/>
        <v/>
      </c>
      <c r="AM1319" s="212" t="str">
        <f>VLOOKUP(A1319,'Table corresp.'!$M$4:$U$63,8,FALSE)</f>
        <v>Production intermédiaire</v>
      </c>
      <c r="AN1319" s="212" t="str">
        <f>VLOOKUP(D1319,'Table corresp.'!$M$4:$U$63,9,FALSE)</f>
        <v>Production finale</v>
      </c>
    </row>
    <row r="1320" spans="1:40" x14ac:dyDescent="0.25">
      <c r="A1320" t="s">
        <v>14</v>
      </c>
      <c r="B1320" t="str">
        <f>VLOOKUP(LEFT(A1320,3),'Table corresp.'!$A$4:$D$63,3,FALSE)</f>
        <v>Transformation</v>
      </c>
      <c r="C1320" t="str">
        <f>VLOOKUP(A1320,'Table corresp.'!$M$4:$P$63,4,FALSE)</f>
        <v>Production et transformation de produits bois</v>
      </c>
      <c r="D1320" t="s">
        <v>19</v>
      </c>
      <c r="E1320" t="str">
        <f>VLOOKUP(LEFT(D1320,3),'Table corresp.'!$A$4:$D$63,4,FALSE)</f>
        <v>Transformation</v>
      </c>
      <c r="F1320" t="str">
        <f t="shared" si="157"/>
        <v xml:space="preserve">20b - 52 </v>
      </c>
      <c r="G1320" s="213">
        <v>5728.5539503434975</v>
      </c>
      <c r="H1320" s="213">
        <v>0</v>
      </c>
      <c r="I1320" s="213">
        <v>5728.5539503434966</v>
      </c>
      <c r="J1320" s="215">
        <v>15.680869620277907</v>
      </c>
      <c r="K1320" s="215">
        <v>0</v>
      </c>
      <c r="L1320" s="215">
        <v>15.680869620277907</v>
      </c>
      <c r="M1320" s="215"/>
      <c r="N1320" s="215"/>
      <c r="O1320" s="215"/>
      <c r="P1320" s="215"/>
      <c r="Q1320" s="215"/>
      <c r="R1320" s="215"/>
      <c r="S1320" s="213"/>
      <c r="T1320" s="212">
        <f>VLOOKUP(A1320,'Groupe de branches'!$Z$27:$AM$86,14,FALSE)</f>
        <v>0</v>
      </c>
      <c r="U1320" s="212">
        <f>VLOOKUP(D1320,'Groupe de branches'!$Z$27:$AM$86,14,FALSE)</f>
        <v>0</v>
      </c>
      <c r="V1320" s="212">
        <v>2019</v>
      </c>
      <c r="W1320" s="212" t="str">
        <f>VLOOKUP(D1320,'Table corresp.'!$M$4:$S$63,7,FALSE)</f>
        <v>Construction</v>
      </c>
      <c r="X1320" s="228">
        <f>IFERROR(G1320/SUMIFS('Comp2016-2017 (3)'!$I$5:$I$289,'Comp2016-2017 (3)'!$A$5:$A$289,A1320,'Comp2016-2017 (3)'!$R$5:$R$289,V1320),0)</f>
        <v>3.0738267740462771E-2</v>
      </c>
      <c r="Y1320" s="214" t="e">
        <f>IF(RIGHT(F1320,3)="Exp",VLOOKUP(F1320,#REF!,2,FALSE),VLOOKUP(F1320,#REF!,9,FALSE))</f>
        <v>#REF!</v>
      </c>
      <c r="Z1320" s="225" t="str">
        <f t="shared" si="161"/>
        <v/>
      </c>
      <c r="AA1320" s="225" t="e">
        <f t="shared" si="158"/>
        <v>#VALUE!</v>
      </c>
      <c r="AB1320" s="222">
        <f>IFERROR(SUMIFS('Comp2016-2017 (3)'!$G$5:$G$289,'Comp2016-2017 (3)'!$A$5:$A$289,A1320,'Comp2016-2017 (3)'!$R$5:$R$289,V1320)*AA1320/SUMIFS($AA$4:$AA$1858,$A$4:$A$1858,A1320,$V$4:$V$1858,V1320),0)</f>
        <v>0</v>
      </c>
      <c r="AC1320" s="222" t="str">
        <f>IF($W1320=AC$3,$AB1320,IF(NOT($W1320=0),"",SUMIFS('Val-Vol (2)'!AC$4:AC$1858,'Val-Vol (2)'!$A$4:$A$1858,$D1320,'Val-Vol (2)'!$V$4:$V$1858,$V1320)/SUMIFS('Comp2016-2017 (3)'!$G$5:$G$289,'Comp2016-2017 (3)'!$A$5:$A$289,$D1320,'Comp2016-2017 (3)'!$R$5:$R$289,$V1320)*$AB1320))</f>
        <v/>
      </c>
      <c r="AD1320" s="222">
        <f>IF($W1320=AD$3,$AB1320,IF(NOT($W1320=0),"",SUMIFS('Val-Vol (2)'!AD$4:AD$1858,'Val-Vol (2)'!$A$4:$A$1858,$D1320,'Val-Vol (2)'!$V$4:$V$1858,$V1320)/SUMIFS('Comp2016-2017 (3)'!$G$5:$G$289,'Comp2016-2017 (3)'!$A$5:$A$289,$D1320,'Comp2016-2017 (3)'!$R$5:$R$289,$V1320)*$AB1320))</f>
        <v>0</v>
      </c>
      <c r="AE1320" s="222" t="str">
        <f>IF($W1320=AE$3,$AB1320,IF(NOT($W1320=0),"",SUMIFS('Val-Vol (2)'!AE$4:AE$1858,'Val-Vol (2)'!$A$4:$A$1858,$D1320,'Val-Vol (2)'!$V$4:$V$1858,$V1320)/SUMIFS('Comp2016-2017 (3)'!$G$5:$G$289,'Comp2016-2017 (3)'!$A$5:$A$289,$D1320,'Comp2016-2017 (3)'!$R$5:$R$289,$V1320)*$AB1320))</f>
        <v/>
      </c>
      <c r="AF1320" s="222" t="str">
        <f>IF($W1320=AF$3,$AB1320,IF(NOT($W1320=0),"",SUMIFS('Val-Vol (2)'!AF$4:AF$1858,'Val-Vol (2)'!$A$4:$A$1858,$D1320,'Val-Vol (2)'!$V$4:$V$1858,$V1320)/SUMIFS('Comp2016-2017 (3)'!$G$5:$G$289,'Comp2016-2017 (3)'!$A$5:$A$289,$D1320,'Comp2016-2017 (3)'!$R$5:$R$289,$V1320)*$AB1320))</f>
        <v/>
      </c>
      <c r="AG1320" s="222" t="str">
        <f>IF($W1320=AG$3,$AB1320,IF(NOT($W1320=0),"",SUMIFS('Val-Vol (2)'!AG$4:AG$1858,'Val-Vol (2)'!$A$4:$A$1858,$D1320,'Val-Vol (2)'!$V$4:$V$1858,$V1320)/SUMIFS('Comp2016-2017 (3)'!$G$5:$G$289,'Comp2016-2017 (3)'!$A$5:$A$289,$D1320,'Comp2016-2017 (3)'!$R$5:$R$289,$V1320)*$AB1320))</f>
        <v/>
      </c>
      <c r="AH1320" s="222" t="str">
        <f>IF($W1320=AH$3,$AB1320,IF(NOT($W1320=0),"",SUMIFS('Val-Vol (2)'!AH$4:AH$1858,'Val-Vol (2)'!$A$4:$A$1858,$D1320,'Val-Vol (2)'!$V$4:$V$1858,$V1320)/SUMIFS('Comp2016-2017 (3)'!$G$5:$G$289,'Comp2016-2017 (3)'!$A$5:$A$289,$D1320,'Comp2016-2017 (3)'!$R$5:$R$289,$V1320)*$AB1320))</f>
        <v/>
      </c>
      <c r="AI1320" s="222" t="str">
        <f>IF($W1320=AI$3,$AB1320,IF(NOT($W1320=0),"",SUMIFS('Val-Vol (2)'!AI$4:AI$1858,'Val-Vol (2)'!$A$4:$A$1858,$D1320,'Val-Vol (2)'!$V$4:$V$1858,$V1320)/SUMIFS('Comp2016-2017 (3)'!$G$5:$G$289,'Comp2016-2017 (3)'!$A$5:$A$289,$D1320,'Comp2016-2017 (3)'!$R$5:$R$289,$V1320)*$AB1320))</f>
        <v/>
      </c>
      <c r="AJ1320" s="222" t="str">
        <f>IF($W1320=AJ$3,$AB1320,IF(NOT($W1320=0),"",SUMIFS('Val-Vol (2)'!AJ$4:AJ$1858,'Val-Vol (2)'!$A$4:$A$1858,$D1320,'Val-Vol (2)'!$V$4:$V$1858,$V1320)/SUMIFS('Comp2016-2017 (3)'!$G$5:$G$289,'Comp2016-2017 (3)'!$A$5:$A$289,$D1320,'Comp2016-2017 (3)'!$R$5:$R$289,$V1320)*$AB1320))</f>
        <v/>
      </c>
      <c r="AK1320" s="222">
        <f t="shared" si="159"/>
        <v>0</v>
      </c>
      <c r="AL1320" s="212" t="str">
        <f t="shared" si="160"/>
        <v/>
      </c>
      <c r="AM1320" s="212" t="str">
        <f>VLOOKUP(A1320,'Table corresp.'!$M$4:$U$63,8,FALSE)</f>
        <v>Production intermédiaire</v>
      </c>
      <c r="AN1320" s="212" t="str">
        <f>VLOOKUP(D1320,'Table corresp.'!$M$4:$U$63,9,FALSE)</f>
        <v xml:space="preserve">Mise en œuvre </v>
      </c>
    </row>
    <row r="1321" spans="1:40" x14ac:dyDescent="0.25">
      <c r="A1321" t="s">
        <v>14</v>
      </c>
      <c r="B1321" t="str">
        <f>VLOOKUP(LEFT(A1321,3),'Table corresp.'!$A$4:$D$63,3,FALSE)</f>
        <v>Transformation</v>
      </c>
      <c r="C1321" t="str">
        <f>VLOOKUP(A1321,'Table corresp.'!$M$4:$P$63,4,FALSE)</f>
        <v>Production et transformation de produits bois</v>
      </c>
      <c r="D1321" t="s">
        <v>20</v>
      </c>
      <c r="E1321" t="str">
        <f>VLOOKUP(LEFT(D1321,3),'Table corresp.'!$A$4:$D$63,4,FALSE)</f>
        <v>Transformation</v>
      </c>
      <c r="F1321" t="str">
        <f t="shared" si="157"/>
        <v xml:space="preserve">20b - 53 </v>
      </c>
      <c r="G1321" s="213">
        <v>1318.1779418326123</v>
      </c>
      <c r="H1321" s="213">
        <v>5691.8868125532426</v>
      </c>
      <c r="I1321" s="213">
        <v>7010.0647543858531</v>
      </c>
      <c r="J1321" s="215">
        <v>7.817921011070414</v>
      </c>
      <c r="K1321" s="215">
        <v>41.140863858103558</v>
      </c>
      <c r="L1321" s="215">
        <v>48.958784869173968</v>
      </c>
      <c r="M1321" s="215"/>
      <c r="N1321" s="215"/>
      <c r="O1321" s="215"/>
      <c r="P1321" s="215"/>
      <c r="Q1321" s="215"/>
      <c r="R1321" s="215"/>
      <c r="S1321" s="213"/>
      <c r="T1321" s="212">
        <f>VLOOKUP(A1321,'Groupe de branches'!$Z$27:$AM$86,14,FALSE)</f>
        <v>0</v>
      </c>
      <c r="U1321" s="212">
        <f>VLOOKUP(D1321,'Groupe de branches'!$Z$27:$AM$86,14,FALSE)</f>
        <v>0</v>
      </c>
      <c r="V1321" s="212">
        <v>2019</v>
      </c>
      <c r="W1321" s="212" t="str">
        <f>VLOOKUP(D1321,'Table corresp.'!$M$4:$S$63,7,FALSE)</f>
        <v>Construction</v>
      </c>
      <c r="X1321" s="228">
        <f>IFERROR(G1321/SUMIFS('Comp2016-2017 (3)'!$I$5:$I$289,'Comp2016-2017 (3)'!$A$5:$A$289,A1321,'Comp2016-2017 (3)'!$R$5:$R$289,V1321),0)</f>
        <v>7.0730775788876718E-3</v>
      </c>
      <c r="Y1321" s="214" t="e">
        <f>IF(RIGHT(F1321,3)="Exp",VLOOKUP(F1321,#REF!,2,FALSE),VLOOKUP(F1321,#REF!,9,FALSE))</f>
        <v>#REF!</v>
      </c>
      <c r="Z1321" s="225" t="str">
        <f t="shared" si="161"/>
        <v/>
      </c>
      <c r="AA1321" s="225" t="e">
        <f t="shared" si="158"/>
        <v>#VALUE!</v>
      </c>
      <c r="AB1321" s="222">
        <f>IFERROR(SUMIFS('Comp2016-2017 (3)'!$G$5:$G$289,'Comp2016-2017 (3)'!$A$5:$A$289,A1321,'Comp2016-2017 (3)'!$R$5:$R$289,V1321)*AA1321/SUMIFS($AA$4:$AA$1858,$A$4:$A$1858,A1321,$V$4:$V$1858,V1321),0)</f>
        <v>0</v>
      </c>
      <c r="AC1321" s="222" t="str">
        <f>IF($W1321=AC$3,$AB1321,IF(NOT($W1321=0),"",SUMIFS('Val-Vol (2)'!AC$4:AC$1858,'Val-Vol (2)'!$A$4:$A$1858,$D1321,'Val-Vol (2)'!$V$4:$V$1858,$V1321)/SUMIFS('Comp2016-2017 (3)'!$G$5:$G$289,'Comp2016-2017 (3)'!$A$5:$A$289,$D1321,'Comp2016-2017 (3)'!$R$5:$R$289,$V1321)*$AB1321))</f>
        <v/>
      </c>
      <c r="AD1321" s="222">
        <f>IF($W1321=AD$3,$AB1321,IF(NOT($W1321=0),"",SUMIFS('Val-Vol (2)'!AD$4:AD$1858,'Val-Vol (2)'!$A$4:$A$1858,$D1321,'Val-Vol (2)'!$V$4:$V$1858,$V1321)/SUMIFS('Comp2016-2017 (3)'!$G$5:$G$289,'Comp2016-2017 (3)'!$A$5:$A$289,$D1321,'Comp2016-2017 (3)'!$R$5:$R$289,$V1321)*$AB1321))</f>
        <v>0</v>
      </c>
      <c r="AE1321" s="222" t="str">
        <f>IF($W1321=AE$3,$AB1321,IF(NOT($W1321=0),"",SUMIFS('Val-Vol (2)'!AE$4:AE$1858,'Val-Vol (2)'!$A$4:$A$1858,$D1321,'Val-Vol (2)'!$V$4:$V$1858,$V1321)/SUMIFS('Comp2016-2017 (3)'!$G$5:$G$289,'Comp2016-2017 (3)'!$A$5:$A$289,$D1321,'Comp2016-2017 (3)'!$R$5:$R$289,$V1321)*$AB1321))</f>
        <v/>
      </c>
      <c r="AF1321" s="222" t="str">
        <f>IF($W1321=AF$3,$AB1321,IF(NOT($W1321=0),"",SUMIFS('Val-Vol (2)'!AF$4:AF$1858,'Val-Vol (2)'!$A$4:$A$1858,$D1321,'Val-Vol (2)'!$V$4:$V$1858,$V1321)/SUMIFS('Comp2016-2017 (3)'!$G$5:$G$289,'Comp2016-2017 (3)'!$A$5:$A$289,$D1321,'Comp2016-2017 (3)'!$R$5:$R$289,$V1321)*$AB1321))</f>
        <v/>
      </c>
      <c r="AG1321" s="222" t="str">
        <f>IF($W1321=AG$3,$AB1321,IF(NOT($W1321=0),"",SUMIFS('Val-Vol (2)'!AG$4:AG$1858,'Val-Vol (2)'!$A$4:$A$1858,$D1321,'Val-Vol (2)'!$V$4:$V$1858,$V1321)/SUMIFS('Comp2016-2017 (3)'!$G$5:$G$289,'Comp2016-2017 (3)'!$A$5:$A$289,$D1321,'Comp2016-2017 (3)'!$R$5:$R$289,$V1321)*$AB1321))</f>
        <v/>
      </c>
      <c r="AH1321" s="222" t="str">
        <f>IF($W1321=AH$3,$AB1321,IF(NOT($W1321=0),"",SUMIFS('Val-Vol (2)'!AH$4:AH$1858,'Val-Vol (2)'!$A$4:$A$1858,$D1321,'Val-Vol (2)'!$V$4:$V$1858,$V1321)/SUMIFS('Comp2016-2017 (3)'!$G$5:$G$289,'Comp2016-2017 (3)'!$A$5:$A$289,$D1321,'Comp2016-2017 (3)'!$R$5:$R$289,$V1321)*$AB1321))</f>
        <v/>
      </c>
      <c r="AI1321" s="222" t="str">
        <f>IF($W1321=AI$3,$AB1321,IF(NOT($W1321=0),"",SUMIFS('Val-Vol (2)'!AI$4:AI$1858,'Val-Vol (2)'!$A$4:$A$1858,$D1321,'Val-Vol (2)'!$V$4:$V$1858,$V1321)/SUMIFS('Comp2016-2017 (3)'!$G$5:$G$289,'Comp2016-2017 (3)'!$A$5:$A$289,$D1321,'Comp2016-2017 (3)'!$R$5:$R$289,$V1321)*$AB1321))</f>
        <v/>
      </c>
      <c r="AJ1321" s="222" t="str">
        <f>IF($W1321=AJ$3,$AB1321,IF(NOT($W1321=0),"",SUMIFS('Val-Vol (2)'!AJ$4:AJ$1858,'Val-Vol (2)'!$A$4:$A$1858,$D1321,'Val-Vol (2)'!$V$4:$V$1858,$V1321)/SUMIFS('Comp2016-2017 (3)'!$G$5:$G$289,'Comp2016-2017 (3)'!$A$5:$A$289,$D1321,'Comp2016-2017 (3)'!$R$5:$R$289,$V1321)*$AB1321))</f>
        <v/>
      </c>
      <c r="AK1321" s="222">
        <f t="shared" si="159"/>
        <v>0</v>
      </c>
      <c r="AL1321" s="212" t="str">
        <f t="shared" si="160"/>
        <v/>
      </c>
      <c r="AM1321" s="212" t="str">
        <f>VLOOKUP(A1321,'Table corresp.'!$M$4:$U$63,8,FALSE)</f>
        <v>Production intermédiaire</v>
      </c>
      <c r="AN1321" s="212" t="str">
        <f>VLOOKUP(D1321,'Table corresp.'!$M$4:$U$63,9,FALSE)</f>
        <v xml:space="preserve">Mise en œuvre </v>
      </c>
    </row>
    <row r="1322" spans="1:40" x14ac:dyDescent="0.25">
      <c r="A1322" t="s">
        <v>14</v>
      </c>
      <c r="B1322" t="str">
        <f>VLOOKUP(LEFT(A1322,3),'Table corresp.'!$A$4:$D$63,3,FALSE)</f>
        <v>Transformation</v>
      </c>
      <c r="C1322" t="str">
        <f>VLOOKUP(A1322,'Table corresp.'!$M$4:$P$63,4,FALSE)</f>
        <v>Production et transformation de produits bois</v>
      </c>
      <c r="D1322" t="s">
        <v>21</v>
      </c>
      <c r="E1322" t="str">
        <f>VLOOKUP(LEFT(D1322,3),'Table corresp.'!$A$4:$D$63,4,FALSE)</f>
        <v>Transformation</v>
      </c>
      <c r="F1322" t="str">
        <f t="shared" ref="F1322:F1385" si="162">LEFT(A1322,3)&amp;" - "&amp;LEFT(D1322,3)</f>
        <v xml:space="preserve">20b - 54 </v>
      </c>
      <c r="G1322" s="213">
        <v>15002.792920991529</v>
      </c>
      <c r="H1322" s="213">
        <v>17492.539308355212</v>
      </c>
      <c r="I1322" s="213">
        <v>32495.332229346735</v>
      </c>
      <c r="J1322" s="215">
        <v>38.134018051796595</v>
      </c>
      <c r="K1322" s="215">
        <v>48.768088563784382</v>
      </c>
      <c r="L1322" s="215">
        <v>86.902106615580976</v>
      </c>
      <c r="M1322" s="215"/>
      <c r="N1322" s="215"/>
      <c r="O1322" s="215"/>
      <c r="P1322" s="215"/>
      <c r="Q1322" s="215"/>
      <c r="R1322" s="215"/>
      <c r="S1322" s="213"/>
      <c r="T1322" s="212">
        <f>VLOOKUP(A1322,'Groupe de branches'!$Z$27:$AM$86,14,FALSE)</f>
        <v>0</v>
      </c>
      <c r="U1322" s="212">
        <f>VLOOKUP(D1322,'Groupe de branches'!$Z$27:$AM$86,14,FALSE)</f>
        <v>0</v>
      </c>
      <c r="V1322" s="212">
        <v>2019</v>
      </c>
      <c r="W1322" s="212" t="str">
        <f>VLOOKUP(D1322,'Table corresp.'!$M$4:$S$63,7,FALSE)</f>
        <v>Construction</v>
      </c>
      <c r="X1322" s="228">
        <f>IFERROR(G1322/SUMIFS('Comp2016-2017 (3)'!$I$5:$I$289,'Comp2016-2017 (3)'!$A$5:$A$289,A1322,'Comp2016-2017 (3)'!$R$5:$R$289,V1322),0)</f>
        <v>8.0501967801578422E-2</v>
      </c>
      <c r="Y1322" s="214" t="e">
        <f>IF(RIGHT(F1322,3)="Exp",VLOOKUP(F1322,#REF!,2,FALSE),VLOOKUP(F1322,#REF!,9,FALSE))</f>
        <v>#REF!</v>
      </c>
      <c r="Z1322" s="225" t="str">
        <f t="shared" si="161"/>
        <v/>
      </c>
      <c r="AA1322" s="225" t="e">
        <f t="shared" si="158"/>
        <v>#VALUE!</v>
      </c>
      <c r="AB1322" s="222">
        <f>IFERROR(SUMIFS('Comp2016-2017 (3)'!$G$5:$G$289,'Comp2016-2017 (3)'!$A$5:$A$289,A1322,'Comp2016-2017 (3)'!$R$5:$R$289,V1322)*AA1322/SUMIFS($AA$4:$AA$1858,$A$4:$A$1858,A1322,$V$4:$V$1858,V1322),0)</f>
        <v>0</v>
      </c>
      <c r="AC1322" s="222" t="str">
        <f>IF($W1322=AC$3,$AB1322,IF(NOT($W1322=0),"",SUMIFS('Val-Vol (2)'!AC$4:AC$1858,'Val-Vol (2)'!$A$4:$A$1858,$D1322,'Val-Vol (2)'!$V$4:$V$1858,$V1322)/SUMIFS('Comp2016-2017 (3)'!$G$5:$G$289,'Comp2016-2017 (3)'!$A$5:$A$289,$D1322,'Comp2016-2017 (3)'!$R$5:$R$289,$V1322)*$AB1322))</f>
        <v/>
      </c>
      <c r="AD1322" s="222">
        <f>IF($W1322=AD$3,$AB1322,IF(NOT($W1322=0),"",SUMIFS('Val-Vol (2)'!AD$4:AD$1858,'Val-Vol (2)'!$A$4:$A$1858,$D1322,'Val-Vol (2)'!$V$4:$V$1858,$V1322)/SUMIFS('Comp2016-2017 (3)'!$G$5:$G$289,'Comp2016-2017 (3)'!$A$5:$A$289,$D1322,'Comp2016-2017 (3)'!$R$5:$R$289,$V1322)*$AB1322))</f>
        <v>0</v>
      </c>
      <c r="AE1322" s="222" t="str">
        <f>IF($W1322=AE$3,$AB1322,IF(NOT($W1322=0),"",SUMIFS('Val-Vol (2)'!AE$4:AE$1858,'Val-Vol (2)'!$A$4:$A$1858,$D1322,'Val-Vol (2)'!$V$4:$V$1858,$V1322)/SUMIFS('Comp2016-2017 (3)'!$G$5:$G$289,'Comp2016-2017 (3)'!$A$5:$A$289,$D1322,'Comp2016-2017 (3)'!$R$5:$R$289,$V1322)*$AB1322))</f>
        <v/>
      </c>
      <c r="AF1322" s="222" t="str">
        <f>IF($W1322=AF$3,$AB1322,IF(NOT($W1322=0),"",SUMIFS('Val-Vol (2)'!AF$4:AF$1858,'Val-Vol (2)'!$A$4:$A$1858,$D1322,'Val-Vol (2)'!$V$4:$V$1858,$V1322)/SUMIFS('Comp2016-2017 (3)'!$G$5:$G$289,'Comp2016-2017 (3)'!$A$5:$A$289,$D1322,'Comp2016-2017 (3)'!$R$5:$R$289,$V1322)*$AB1322))</f>
        <v/>
      </c>
      <c r="AG1322" s="222" t="str">
        <f>IF($W1322=AG$3,$AB1322,IF(NOT($W1322=0),"",SUMIFS('Val-Vol (2)'!AG$4:AG$1858,'Val-Vol (2)'!$A$4:$A$1858,$D1322,'Val-Vol (2)'!$V$4:$V$1858,$V1322)/SUMIFS('Comp2016-2017 (3)'!$G$5:$G$289,'Comp2016-2017 (3)'!$A$5:$A$289,$D1322,'Comp2016-2017 (3)'!$R$5:$R$289,$V1322)*$AB1322))</f>
        <v/>
      </c>
      <c r="AH1322" s="222" t="str">
        <f>IF($W1322=AH$3,$AB1322,IF(NOT($W1322=0),"",SUMIFS('Val-Vol (2)'!AH$4:AH$1858,'Val-Vol (2)'!$A$4:$A$1858,$D1322,'Val-Vol (2)'!$V$4:$V$1858,$V1322)/SUMIFS('Comp2016-2017 (3)'!$G$5:$G$289,'Comp2016-2017 (3)'!$A$5:$A$289,$D1322,'Comp2016-2017 (3)'!$R$5:$R$289,$V1322)*$AB1322))</f>
        <v/>
      </c>
      <c r="AI1322" s="222" t="str">
        <f>IF($W1322=AI$3,$AB1322,IF(NOT($W1322=0),"",SUMIFS('Val-Vol (2)'!AI$4:AI$1858,'Val-Vol (2)'!$A$4:$A$1858,$D1322,'Val-Vol (2)'!$V$4:$V$1858,$V1322)/SUMIFS('Comp2016-2017 (3)'!$G$5:$G$289,'Comp2016-2017 (3)'!$A$5:$A$289,$D1322,'Comp2016-2017 (3)'!$R$5:$R$289,$V1322)*$AB1322))</f>
        <v/>
      </c>
      <c r="AJ1322" s="222" t="str">
        <f>IF($W1322=AJ$3,$AB1322,IF(NOT($W1322=0),"",SUMIFS('Val-Vol (2)'!AJ$4:AJ$1858,'Val-Vol (2)'!$A$4:$A$1858,$D1322,'Val-Vol (2)'!$V$4:$V$1858,$V1322)/SUMIFS('Comp2016-2017 (3)'!$G$5:$G$289,'Comp2016-2017 (3)'!$A$5:$A$289,$D1322,'Comp2016-2017 (3)'!$R$5:$R$289,$V1322)*$AB1322))</f>
        <v/>
      </c>
      <c r="AK1322" s="222">
        <f t="shared" si="159"/>
        <v>0</v>
      </c>
      <c r="AL1322" s="212" t="str">
        <f t="shared" si="160"/>
        <v/>
      </c>
      <c r="AM1322" s="212" t="str">
        <f>VLOOKUP(A1322,'Table corresp.'!$M$4:$U$63,8,FALSE)</f>
        <v>Production intermédiaire</v>
      </c>
      <c r="AN1322" s="212" t="str">
        <f>VLOOKUP(D1322,'Table corresp.'!$M$4:$U$63,9,FALSE)</f>
        <v xml:space="preserve">Mise en œuvre </v>
      </c>
    </row>
    <row r="1323" spans="1:40" x14ac:dyDescent="0.25">
      <c r="A1323" t="s">
        <v>14</v>
      </c>
      <c r="B1323" t="str">
        <f>VLOOKUP(LEFT(A1323,3),'Table corresp.'!$A$4:$D$63,3,FALSE)</f>
        <v>Transformation</v>
      </c>
      <c r="C1323" t="str">
        <f>VLOOKUP(A1323,'Table corresp.'!$M$4:$P$63,4,FALSE)</f>
        <v>Production et transformation de produits bois</v>
      </c>
      <c r="D1323" t="s">
        <v>22</v>
      </c>
      <c r="E1323" t="str">
        <f>VLOOKUP(LEFT(D1323,3),'Table corresp.'!$A$4:$D$63,4,FALSE)</f>
        <v>Transformation</v>
      </c>
      <c r="F1323" t="str">
        <f t="shared" si="162"/>
        <v xml:space="preserve">20b - 55 </v>
      </c>
      <c r="G1323" s="213">
        <v>1149.7320602705488</v>
      </c>
      <c r="H1323" s="213">
        <v>6262.5887590447201</v>
      </c>
      <c r="I1323" s="213">
        <v>7412.3208193152677</v>
      </c>
      <c r="J1323" s="215">
        <v>4.545928712575285</v>
      </c>
      <c r="K1323" s="215">
        <v>27.159532860026125</v>
      </c>
      <c r="L1323" s="215">
        <v>31.705461572601411</v>
      </c>
      <c r="M1323" s="215"/>
      <c r="N1323" s="215"/>
      <c r="O1323" s="215"/>
      <c r="P1323" s="215"/>
      <c r="Q1323" s="215"/>
      <c r="R1323" s="215"/>
      <c r="S1323" s="213"/>
      <c r="T1323" s="212">
        <f>VLOOKUP(A1323,'Groupe de branches'!$Z$27:$AM$86,14,FALSE)</f>
        <v>0</v>
      </c>
      <c r="U1323" s="212">
        <f>VLOOKUP(D1323,'Groupe de branches'!$Z$27:$AM$86,14,FALSE)</f>
        <v>0</v>
      </c>
      <c r="V1323" s="212">
        <v>2019</v>
      </c>
      <c r="W1323" s="212" t="str">
        <f>VLOOKUP(D1323,'Table corresp.'!$M$4:$S$63,7,FALSE)</f>
        <v>Construction</v>
      </c>
      <c r="X1323" s="228">
        <f>IFERROR(G1323/SUMIFS('Comp2016-2017 (3)'!$I$5:$I$289,'Comp2016-2017 (3)'!$A$5:$A$289,A1323,'Comp2016-2017 (3)'!$R$5:$R$289,V1323),0)</f>
        <v>6.1692308747953555E-3</v>
      </c>
      <c r="Y1323" s="214" t="e">
        <f>IF(RIGHT(F1323,3)="Exp",VLOOKUP(F1323,#REF!,2,FALSE),VLOOKUP(F1323,#REF!,9,FALSE))</f>
        <v>#REF!</v>
      </c>
      <c r="Z1323" s="225" t="str">
        <f t="shared" si="161"/>
        <v/>
      </c>
      <c r="AA1323" s="225" t="e">
        <f t="shared" si="158"/>
        <v>#VALUE!</v>
      </c>
      <c r="AB1323" s="222">
        <f>IFERROR(SUMIFS('Comp2016-2017 (3)'!$G$5:$G$289,'Comp2016-2017 (3)'!$A$5:$A$289,A1323,'Comp2016-2017 (3)'!$R$5:$R$289,V1323)*AA1323/SUMIFS($AA$4:$AA$1858,$A$4:$A$1858,A1323,$V$4:$V$1858,V1323),0)</f>
        <v>0</v>
      </c>
      <c r="AC1323" s="222" t="str">
        <f>IF($W1323=AC$3,$AB1323,IF(NOT($W1323=0),"",SUMIFS('Val-Vol (2)'!AC$4:AC$1858,'Val-Vol (2)'!$A$4:$A$1858,$D1323,'Val-Vol (2)'!$V$4:$V$1858,$V1323)/SUMIFS('Comp2016-2017 (3)'!$G$5:$G$289,'Comp2016-2017 (3)'!$A$5:$A$289,$D1323,'Comp2016-2017 (3)'!$R$5:$R$289,$V1323)*$AB1323))</f>
        <v/>
      </c>
      <c r="AD1323" s="222">
        <f>IF($W1323=AD$3,$AB1323,IF(NOT($W1323=0),"",SUMIFS('Val-Vol (2)'!AD$4:AD$1858,'Val-Vol (2)'!$A$4:$A$1858,$D1323,'Val-Vol (2)'!$V$4:$V$1858,$V1323)/SUMIFS('Comp2016-2017 (3)'!$G$5:$G$289,'Comp2016-2017 (3)'!$A$5:$A$289,$D1323,'Comp2016-2017 (3)'!$R$5:$R$289,$V1323)*$AB1323))</f>
        <v>0</v>
      </c>
      <c r="AE1323" s="222" t="str">
        <f>IF($W1323=AE$3,$AB1323,IF(NOT($W1323=0),"",SUMIFS('Val-Vol (2)'!AE$4:AE$1858,'Val-Vol (2)'!$A$4:$A$1858,$D1323,'Val-Vol (2)'!$V$4:$V$1858,$V1323)/SUMIFS('Comp2016-2017 (3)'!$G$5:$G$289,'Comp2016-2017 (3)'!$A$5:$A$289,$D1323,'Comp2016-2017 (3)'!$R$5:$R$289,$V1323)*$AB1323))</f>
        <v/>
      </c>
      <c r="AF1323" s="222" t="str">
        <f>IF($W1323=AF$3,$AB1323,IF(NOT($W1323=0),"",SUMIFS('Val-Vol (2)'!AF$4:AF$1858,'Val-Vol (2)'!$A$4:$A$1858,$D1323,'Val-Vol (2)'!$V$4:$V$1858,$V1323)/SUMIFS('Comp2016-2017 (3)'!$G$5:$G$289,'Comp2016-2017 (3)'!$A$5:$A$289,$D1323,'Comp2016-2017 (3)'!$R$5:$R$289,$V1323)*$AB1323))</f>
        <v/>
      </c>
      <c r="AG1323" s="222" t="str">
        <f>IF($W1323=AG$3,$AB1323,IF(NOT($W1323=0),"",SUMIFS('Val-Vol (2)'!AG$4:AG$1858,'Val-Vol (2)'!$A$4:$A$1858,$D1323,'Val-Vol (2)'!$V$4:$V$1858,$V1323)/SUMIFS('Comp2016-2017 (3)'!$G$5:$G$289,'Comp2016-2017 (3)'!$A$5:$A$289,$D1323,'Comp2016-2017 (3)'!$R$5:$R$289,$V1323)*$AB1323))</f>
        <v/>
      </c>
      <c r="AH1323" s="222" t="str">
        <f>IF($W1323=AH$3,$AB1323,IF(NOT($W1323=0),"",SUMIFS('Val-Vol (2)'!AH$4:AH$1858,'Val-Vol (2)'!$A$4:$A$1858,$D1323,'Val-Vol (2)'!$V$4:$V$1858,$V1323)/SUMIFS('Comp2016-2017 (3)'!$G$5:$G$289,'Comp2016-2017 (3)'!$A$5:$A$289,$D1323,'Comp2016-2017 (3)'!$R$5:$R$289,$V1323)*$AB1323))</f>
        <v/>
      </c>
      <c r="AI1323" s="222" t="str">
        <f>IF($W1323=AI$3,$AB1323,IF(NOT($W1323=0),"",SUMIFS('Val-Vol (2)'!AI$4:AI$1858,'Val-Vol (2)'!$A$4:$A$1858,$D1323,'Val-Vol (2)'!$V$4:$V$1858,$V1323)/SUMIFS('Comp2016-2017 (3)'!$G$5:$G$289,'Comp2016-2017 (3)'!$A$5:$A$289,$D1323,'Comp2016-2017 (3)'!$R$5:$R$289,$V1323)*$AB1323))</f>
        <v/>
      </c>
      <c r="AJ1323" s="222" t="str">
        <f>IF($W1323=AJ$3,$AB1323,IF(NOT($W1323=0),"",SUMIFS('Val-Vol (2)'!AJ$4:AJ$1858,'Val-Vol (2)'!$A$4:$A$1858,$D1323,'Val-Vol (2)'!$V$4:$V$1858,$V1323)/SUMIFS('Comp2016-2017 (3)'!$G$5:$G$289,'Comp2016-2017 (3)'!$A$5:$A$289,$D1323,'Comp2016-2017 (3)'!$R$5:$R$289,$V1323)*$AB1323))</f>
        <v/>
      </c>
      <c r="AK1323" s="222">
        <f t="shared" si="159"/>
        <v>0</v>
      </c>
      <c r="AL1323" s="212" t="str">
        <f t="shared" si="160"/>
        <v/>
      </c>
      <c r="AM1323" s="212" t="str">
        <f>VLOOKUP(A1323,'Table corresp.'!$M$4:$U$63,8,FALSE)</f>
        <v>Production intermédiaire</v>
      </c>
      <c r="AN1323" s="212" t="str">
        <f>VLOOKUP(D1323,'Table corresp.'!$M$4:$U$63,9,FALSE)</f>
        <v xml:space="preserve">Mise en œuvre </v>
      </c>
    </row>
    <row r="1324" spans="1:40" x14ac:dyDescent="0.25">
      <c r="A1324" t="s">
        <v>14</v>
      </c>
      <c r="B1324" t="str">
        <f>VLOOKUP(LEFT(A1324,3),'Table corresp.'!$A$4:$D$63,3,FALSE)</f>
        <v>Transformation</v>
      </c>
      <c r="C1324" t="str">
        <f>VLOOKUP(A1324,'Table corresp.'!$M$4:$P$63,4,FALSE)</f>
        <v>Production et transformation de produits bois</v>
      </c>
      <c r="D1324" t="s">
        <v>24</v>
      </c>
      <c r="E1324" t="str">
        <f>VLOOKUP(LEFT(D1324,3),'Table corresp.'!$A$4:$D$63,4,FALSE)</f>
        <v>Transformation</v>
      </c>
      <c r="F1324" t="str">
        <f t="shared" si="162"/>
        <v xml:space="preserve">20b - 57 </v>
      </c>
      <c r="G1324" s="213">
        <v>35778.565735491349</v>
      </c>
      <c r="H1324" s="213">
        <v>177681.99903718135</v>
      </c>
      <c r="I1324" s="213">
        <v>213460.56477267266</v>
      </c>
      <c r="J1324" s="215">
        <v>106.09872610240546</v>
      </c>
      <c r="K1324" s="215">
        <v>642.1412769753656</v>
      </c>
      <c r="L1324" s="215">
        <v>748.24000307777101</v>
      </c>
      <c r="M1324" s="215"/>
      <c r="N1324" s="215"/>
      <c r="O1324" s="215"/>
      <c r="P1324" s="215"/>
      <c r="Q1324" s="215"/>
      <c r="R1324" s="215"/>
      <c r="S1324" s="213"/>
      <c r="T1324" s="212">
        <f>VLOOKUP(A1324,'Groupe de branches'!$Z$27:$AM$86,14,FALSE)</f>
        <v>0</v>
      </c>
      <c r="U1324" s="212">
        <f>VLOOKUP(D1324,'Groupe de branches'!$Z$27:$AM$86,14,FALSE)</f>
        <v>0</v>
      </c>
      <c r="V1324" s="212">
        <v>2019</v>
      </c>
      <c r="W1324" s="212" t="str">
        <f>VLOOKUP(D1324,'Table corresp.'!$M$4:$S$63,7,FALSE)</f>
        <v>Construction</v>
      </c>
      <c r="X1324" s="228">
        <f>IFERROR(G1324/SUMIFS('Comp2016-2017 (3)'!$I$5:$I$289,'Comp2016-2017 (3)'!$A$5:$A$289,A1324,'Comp2016-2017 (3)'!$R$5:$R$289,V1324),0)</f>
        <v>0.19198058401480805</v>
      </c>
      <c r="Y1324" s="214" t="e">
        <f>IF(RIGHT(F1324,3)="Exp",VLOOKUP(F1324,#REF!,2,FALSE),VLOOKUP(F1324,#REF!,9,FALSE))</f>
        <v>#REF!</v>
      </c>
      <c r="Z1324" s="225" t="str">
        <f t="shared" si="161"/>
        <v/>
      </c>
      <c r="AA1324" s="225" t="e">
        <f t="shared" si="158"/>
        <v>#VALUE!</v>
      </c>
      <c r="AB1324" s="222">
        <f>IFERROR(SUMIFS('Comp2016-2017 (3)'!$G$5:$G$289,'Comp2016-2017 (3)'!$A$5:$A$289,A1324,'Comp2016-2017 (3)'!$R$5:$R$289,V1324)*AA1324/SUMIFS($AA$4:$AA$1858,$A$4:$A$1858,A1324,$V$4:$V$1858,V1324),0)</f>
        <v>0</v>
      </c>
      <c r="AC1324" s="222" t="str">
        <f>IF($W1324=AC$3,$AB1324,IF(NOT($W1324=0),"",SUMIFS('Val-Vol (2)'!AC$4:AC$1858,'Val-Vol (2)'!$A$4:$A$1858,$D1324,'Val-Vol (2)'!$V$4:$V$1858,$V1324)/SUMIFS('Comp2016-2017 (3)'!$G$5:$G$289,'Comp2016-2017 (3)'!$A$5:$A$289,$D1324,'Comp2016-2017 (3)'!$R$5:$R$289,$V1324)*$AB1324))</f>
        <v/>
      </c>
      <c r="AD1324" s="222">
        <f>IF($W1324=AD$3,$AB1324,IF(NOT($W1324=0),"",SUMIFS('Val-Vol (2)'!AD$4:AD$1858,'Val-Vol (2)'!$A$4:$A$1858,$D1324,'Val-Vol (2)'!$V$4:$V$1858,$V1324)/SUMIFS('Comp2016-2017 (3)'!$G$5:$G$289,'Comp2016-2017 (3)'!$A$5:$A$289,$D1324,'Comp2016-2017 (3)'!$R$5:$R$289,$V1324)*$AB1324))</f>
        <v>0</v>
      </c>
      <c r="AE1324" s="222" t="str">
        <f>IF($W1324=AE$3,$AB1324,IF(NOT($W1324=0),"",SUMIFS('Val-Vol (2)'!AE$4:AE$1858,'Val-Vol (2)'!$A$4:$A$1858,$D1324,'Val-Vol (2)'!$V$4:$V$1858,$V1324)/SUMIFS('Comp2016-2017 (3)'!$G$5:$G$289,'Comp2016-2017 (3)'!$A$5:$A$289,$D1324,'Comp2016-2017 (3)'!$R$5:$R$289,$V1324)*$AB1324))</f>
        <v/>
      </c>
      <c r="AF1324" s="222" t="str">
        <f>IF($W1324=AF$3,$AB1324,IF(NOT($W1324=0),"",SUMIFS('Val-Vol (2)'!AF$4:AF$1858,'Val-Vol (2)'!$A$4:$A$1858,$D1324,'Val-Vol (2)'!$V$4:$V$1858,$V1324)/SUMIFS('Comp2016-2017 (3)'!$G$5:$G$289,'Comp2016-2017 (3)'!$A$5:$A$289,$D1324,'Comp2016-2017 (3)'!$R$5:$R$289,$V1324)*$AB1324))</f>
        <v/>
      </c>
      <c r="AG1324" s="222" t="str">
        <f>IF($W1324=AG$3,$AB1324,IF(NOT($W1324=0),"",SUMIFS('Val-Vol (2)'!AG$4:AG$1858,'Val-Vol (2)'!$A$4:$A$1858,$D1324,'Val-Vol (2)'!$V$4:$V$1858,$V1324)/SUMIFS('Comp2016-2017 (3)'!$G$5:$G$289,'Comp2016-2017 (3)'!$A$5:$A$289,$D1324,'Comp2016-2017 (3)'!$R$5:$R$289,$V1324)*$AB1324))</f>
        <v/>
      </c>
      <c r="AH1324" s="222" t="str">
        <f>IF($W1324=AH$3,$AB1324,IF(NOT($W1324=0),"",SUMIFS('Val-Vol (2)'!AH$4:AH$1858,'Val-Vol (2)'!$A$4:$A$1858,$D1324,'Val-Vol (2)'!$V$4:$V$1858,$V1324)/SUMIFS('Comp2016-2017 (3)'!$G$5:$G$289,'Comp2016-2017 (3)'!$A$5:$A$289,$D1324,'Comp2016-2017 (3)'!$R$5:$R$289,$V1324)*$AB1324))</f>
        <v/>
      </c>
      <c r="AI1324" s="222" t="str">
        <f>IF($W1324=AI$3,$AB1324,IF(NOT($W1324=0),"",SUMIFS('Val-Vol (2)'!AI$4:AI$1858,'Val-Vol (2)'!$A$4:$A$1858,$D1324,'Val-Vol (2)'!$V$4:$V$1858,$V1324)/SUMIFS('Comp2016-2017 (3)'!$G$5:$G$289,'Comp2016-2017 (3)'!$A$5:$A$289,$D1324,'Comp2016-2017 (3)'!$R$5:$R$289,$V1324)*$AB1324))</f>
        <v/>
      </c>
      <c r="AJ1324" s="222" t="str">
        <f>IF($W1324=AJ$3,$AB1324,IF(NOT($W1324=0),"",SUMIFS('Val-Vol (2)'!AJ$4:AJ$1858,'Val-Vol (2)'!$A$4:$A$1858,$D1324,'Val-Vol (2)'!$V$4:$V$1858,$V1324)/SUMIFS('Comp2016-2017 (3)'!$G$5:$G$289,'Comp2016-2017 (3)'!$A$5:$A$289,$D1324,'Comp2016-2017 (3)'!$R$5:$R$289,$V1324)*$AB1324))</f>
        <v/>
      </c>
      <c r="AK1324" s="222">
        <f t="shared" si="159"/>
        <v>0</v>
      </c>
      <c r="AL1324" s="212" t="str">
        <f t="shared" si="160"/>
        <v/>
      </c>
      <c r="AM1324" s="212" t="str">
        <f>VLOOKUP(A1324,'Table corresp.'!$M$4:$U$63,8,FALSE)</f>
        <v>Production intermédiaire</v>
      </c>
      <c r="AN1324" s="212" t="str">
        <f>VLOOKUP(D1324,'Table corresp.'!$M$4:$U$63,9,FALSE)</f>
        <v xml:space="preserve">Mise en œuvre </v>
      </c>
    </row>
    <row r="1325" spans="1:40" x14ac:dyDescent="0.25">
      <c r="A1325" t="s">
        <v>14</v>
      </c>
      <c r="B1325" t="str">
        <f>VLOOKUP(LEFT(A1325,3),'Table corresp.'!$A$4:$D$63,3,FALSE)</f>
        <v>Transformation</v>
      </c>
      <c r="C1325" t="str">
        <f>VLOOKUP(A1325,'Table corresp.'!$M$4:$P$63,4,FALSE)</f>
        <v>Production et transformation de produits bois</v>
      </c>
      <c r="D1325" t="s">
        <v>26</v>
      </c>
      <c r="E1325" t="str">
        <f>VLOOKUP(LEFT(D1325,3),'Table corresp.'!$A$4:$D$63,4,FALSE)</f>
        <v>Transformation</v>
      </c>
      <c r="F1325" t="str">
        <f t="shared" si="162"/>
        <v xml:space="preserve">20b - 59 </v>
      </c>
      <c r="G1325" s="213">
        <v>6154.6097274782869</v>
      </c>
      <c r="H1325" s="213">
        <v>0</v>
      </c>
      <c r="I1325" s="213">
        <v>6154.6097274782869</v>
      </c>
      <c r="J1325" s="215">
        <v>21.90125529023646</v>
      </c>
      <c r="K1325" s="215">
        <v>0</v>
      </c>
      <c r="L1325" s="215">
        <v>21.90125529023646</v>
      </c>
      <c r="M1325" s="215"/>
      <c r="N1325" s="215"/>
      <c r="O1325" s="215"/>
      <c r="P1325" s="215"/>
      <c r="Q1325" s="215"/>
      <c r="R1325" s="215"/>
      <c r="S1325" s="213"/>
      <c r="T1325" s="212">
        <f>VLOOKUP(A1325,'Groupe de branches'!$Z$27:$AM$86,14,FALSE)</f>
        <v>0</v>
      </c>
      <c r="U1325" s="212">
        <f>VLOOKUP(D1325,'Groupe de branches'!$Z$27:$AM$86,14,FALSE)</f>
        <v>0</v>
      </c>
      <c r="V1325" s="212">
        <v>2019</v>
      </c>
      <c r="W1325" s="212" t="str">
        <f>VLOOKUP(D1325,'Table corresp.'!$M$4:$S$63,7,FALSE)</f>
        <v>Construction</v>
      </c>
      <c r="X1325" s="228">
        <f>IFERROR(G1325/SUMIFS('Comp2016-2017 (3)'!$I$5:$I$289,'Comp2016-2017 (3)'!$A$5:$A$289,A1325,'Comp2016-2017 (3)'!$R$5:$R$289,V1325),0)</f>
        <v>3.3024397305351449E-2</v>
      </c>
      <c r="Y1325" s="214" t="e">
        <f>IF(RIGHT(F1325,3)="Exp",VLOOKUP(F1325,#REF!,2,FALSE),VLOOKUP(F1325,#REF!,9,FALSE))</f>
        <v>#REF!</v>
      </c>
      <c r="Z1325" s="225" t="str">
        <f t="shared" si="161"/>
        <v/>
      </c>
      <c r="AA1325" s="225" t="e">
        <f t="shared" si="158"/>
        <v>#VALUE!</v>
      </c>
      <c r="AB1325" s="222">
        <f>IFERROR(SUMIFS('Comp2016-2017 (3)'!$G$5:$G$289,'Comp2016-2017 (3)'!$A$5:$A$289,A1325,'Comp2016-2017 (3)'!$R$5:$R$289,V1325)*AA1325/SUMIFS($AA$4:$AA$1858,$A$4:$A$1858,A1325,$V$4:$V$1858,V1325),0)</f>
        <v>0</v>
      </c>
      <c r="AC1325" s="222" t="str">
        <f>IF($W1325=AC$3,$AB1325,IF(NOT($W1325=0),"",SUMIFS('Val-Vol (2)'!AC$4:AC$1858,'Val-Vol (2)'!$A$4:$A$1858,$D1325,'Val-Vol (2)'!$V$4:$V$1858,$V1325)/SUMIFS('Comp2016-2017 (3)'!$G$5:$G$289,'Comp2016-2017 (3)'!$A$5:$A$289,$D1325,'Comp2016-2017 (3)'!$R$5:$R$289,$V1325)*$AB1325))</f>
        <v/>
      </c>
      <c r="AD1325" s="222">
        <f>IF($W1325=AD$3,$AB1325,IF(NOT($W1325=0),"",SUMIFS('Val-Vol (2)'!AD$4:AD$1858,'Val-Vol (2)'!$A$4:$A$1858,$D1325,'Val-Vol (2)'!$V$4:$V$1858,$V1325)/SUMIFS('Comp2016-2017 (3)'!$G$5:$G$289,'Comp2016-2017 (3)'!$A$5:$A$289,$D1325,'Comp2016-2017 (3)'!$R$5:$R$289,$V1325)*$AB1325))</f>
        <v>0</v>
      </c>
      <c r="AE1325" s="222" t="str">
        <f>IF($W1325=AE$3,$AB1325,IF(NOT($W1325=0),"",SUMIFS('Val-Vol (2)'!AE$4:AE$1858,'Val-Vol (2)'!$A$4:$A$1858,$D1325,'Val-Vol (2)'!$V$4:$V$1858,$V1325)/SUMIFS('Comp2016-2017 (3)'!$G$5:$G$289,'Comp2016-2017 (3)'!$A$5:$A$289,$D1325,'Comp2016-2017 (3)'!$R$5:$R$289,$V1325)*$AB1325))</f>
        <v/>
      </c>
      <c r="AF1325" s="222" t="str">
        <f>IF($W1325=AF$3,$AB1325,IF(NOT($W1325=0),"",SUMIFS('Val-Vol (2)'!AF$4:AF$1858,'Val-Vol (2)'!$A$4:$A$1858,$D1325,'Val-Vol (2)'!$V$4:$V$1858,$V1325)/SUMIFS('Comp2016-2017 (3)'!$G$5:$G$289,'Comp2016-2017 (3)'!$A$5:$A$289,$D1325,'Comp2016-2017 (3)'!$R$5:$R$289,$V1325)*$AB1325))</f>
        <v/>
      </c>
      <c r="AG1325" s="222" t="str">
        <f>IF($W1325=AG$3,$AB1325,IF(NOT($W1325=0),"",SUMIFS('Val-Vol (2)'!AG$4:AG$1858,'Val-Vol (2)'!$A$4:$A$1858,$D1325,'Val-Vol (2)'!$V$4:$V$1858,$V1325)/SUMIFS('Comp2016-2017 (3)'!$G$5:$G$289,'Comp2016-2017 (3)'!$A$5:$A$289,$D1325,'Comp2016-2017 (3)'!$R$5:$R$289,$V1325)*$AB1325))</f>
        <v/>
      </c>
      <c r="AH1325" s="222" t="str">
        <f>IF($W1325=AH$3,$AB1325,IF(NOT($W1325=0),"",SUMIFS('Val-Vol (2)'!AH$4:AH$1858,'Val-Vol (2)'!$A$4:$A$1858,$D1325,'Val-Vol (2)'!$V$4:$V$1858,$V1325)/SUMIFS('Comp2016-2017 (3)'!$G$5:$G$289,'Comp2016-2017 (3)'!$A$5:$A$289,$D1325,'Comp2016-2017 (3)'!$R$5:$R$289,$V1325)*$AB1325))</f>
        <v/>
      </c>
      <c r="AI1325" s="222" t="str">
        <f>IF($W1325=AI$3,$AB1325,IF(NOT($W1325=0),"",SUMIFS('Val-Vol (2)'!AI$4:AI$1858,'Val-Vol (2)'!$A$4:$A$1858,$D1325,'Val-Vol (2)'!$V$4:$V$1858,$V1325)/SUMIFS('Comp2016-2017 (3)'!$G$5:$G$289,'Comp2016-2017 (3)'!$A$5:$A$289,$D1325,'Comp2016-2017 (3)'!$R$5:$R$289,$V1325)*$AB1325))</f>
        <v/>
      </c>
      <c r="AJ1325" s="222" t="str">
        <f>IF($W1325=AJ$3,$AB1325,IF(NOT($W1325=0),"",SUMIFS('Val-Vol (2)'!AJ$4:AJ$1858,'Val-Vol (2)'!$A$4:$A$1858,$D1325,'Val-Vol (2)'!$V$4:$V$1858,$V1325)/SUMIFS('Comp2016-2017 (3)'!$G$5:$G$289,'Comp2016-2017 (3)'!$A$5:$A$289,$D1325,'Comp2016-2017 (3)'!$R$5:$R$289,$V1325)*$AB1325))</f>
        <v/>
      </c>
      <c r="AK1325" s="222">
        <f t="shared" si="159"/>
        <v>0</v>
      </c>
      <c r="AL1325" s="212" t="str">
        <f t="shared" si="160"/>
        <v/>
      </c>
      <c r="AM1325" s="212" t="str">
        <f>VLOOKUP(A1325,'Table corresp.'!$M$4:$U$63,8,FALSE)</f>
        <v>Production intermédiaire</v>
      </c>
      <c r="AN1325" s="212" t="str">
        <f>VLOOKUP(D1325,'Table corresp.'!$M$4:$U$63,9,FALSE)</f>
        <v xml:space="preserve">Mise en œuvre </v>
      </c>
    </row>
    <row r="1326" spans="1:40" x14ac:dyDescent="0.25">
      <c r="A1326" t="s">
        <v>14</v>
      </c>
      <c r="B1326" t="str">
        <f>VLOOKUP(LEFT(A1326,3),'Table corresp.'!$A$4:$D$63,3,FALSE)</f>
        <v>Transformation</v>
      </c>
      <c r="C1326" t="str">
        <f>VLOOKUP(A1326,'Table corresp.'!$M$4:$P$63,4,FALSE)</f>
        <v>Production et transformation de produits bois</v>
      </c>
      <c r="D1326" t="s">
        <v>54</v>
      </c>
      <c r="E1326" t="str">
        <f>VLOOKUP(LEFT(D1326,3),'Table corresp.'!$A$4:$D$63,4,FALSE)</f>
        <v>Consommation finale</v>
      </c>
      <c r="F1326" t="str">
        <f t="shared" si="162"/>
        <v>20b - Con</v>
      </c>
      <c r="G1326" s="213">
        <v>16334.638044804202</v>
      </c>
      <c r="H1326" s="213">
        <v>78489.145778554783</v>
      </c>
      <c r="I1326" s="213">
        <v>94823.783823358957</v>
      </c>
      <c r="J1326" s="215">
        <v>83.038589594684524</v>
      </c>
      <c r="K1326" s="215">
        <v>437.64550648127255</v>
      </c>
      <c r="L1326" s="215">
        <v>520.68409607595709</v>
      </c>
      <c r="M1326" s="215"/>
      <c r="N1326" s="215"/>
      <c r="O1326" s="215"/>
      <c r="P1326" s="215"/>
      <c r="Q1326" s="215"/>
      <c r="R1326" s="215"/>
      <c r="S1326" s="213"/>
      <c r="T1326" s="212">
        <f>VLOOKUP(A1326,'Groupe de branches'!$Z$27:$AM$86,14,FALSE)</f>
        <v>0</v>
      </c>
      <c r="U1326" s="212">
        <f>VLOOKUP(D1326,'Groupe de branches'!$Z$27:$AM$86,14,FALSE)</f>
        <v>0</v>
      </c>
      <c r="V1326" s="212">
        <v>2019</v>
      </c>
      <c r="W1326" s="212" t="str">
        <f>VLOOKUP(D1326,'Table corresp.'!$M$4:$S$63,7,FALSE)</f>
        <v>Consommation finale</v>
      </c>
      <c r="X1326" s="228">
        <f>IFERROR(G1326/SUMIFS('Comp2016-2017 (3)'!$I$5:$I$289,'Comp2016-2017 (3)'!$A$5:$A$289,A1326,'Comp2016-2017 (3)'!$R$5:$R$289,V1326),0)</f>
        <v>8.7648380728723663E-2</v>
      </c>
      <c r="Y1326" s="214" t="e">
        <f>IF(RIGHT(F1326,3)="Exp",VLOOKUP(F1326,#REF!,2,FALSE),VLOOKUP(F1326,#REF!,9,FALSE))</f>
        <v>#REF!</v>
      </c>
      <c r="Z1326" s="225" t="str">
        <f t="shared" si="161"/>
        <v/>
      </c>
      <c r="AA1326" s="225" t="e">
        <f t="shared" si="158"/>
        <v>#VALUE!</v>
      </c>
      <c r="AB1326" s="222">
        <f>IFERROR(SUMIFS('Comp2016-2017 (3)'!$G$5:$G$289,'Comp2016-2017 (3)'!$A$5:$A$289,A1326,'Comp2016-2017 (3)'!$R$5:$R$289,V1326)*AA1326/SUMIFS($AA$4:$AA$1858,$A$4:$A$1858,A1326,$V$4:$V$1858,V1326),0)</f>
        <v>0</v>
      </c>
      <c r="AC1326" s="222" t="str">
        <f>IF($W1326=AC$3,$AB1326,IF(NOT($W1326=0),"",SUMIFS('Val-Vol (2)'!AC$4:AC$1858,'Val-Vol (2)'!$A$4:$A$1858,$D1326,'Val-Vol (2)'!$V$4:$V$1858,$V1326)/SUMIFS('Comp2016-2017 (3)'!$G$5:$G$289,'Comp2016-2017 (3)'!$A$5:$A$289,$D1326,'Comp2016-2017 (3)'!$R$5:$R$289,$V1326)*$AB1326))</f>
        <v/>
      </c>
      <c r="AD1326" s="222" t="str">
        <f>IF($W1326=AD$3,$AB1326,IF(NOT($W1326=0),"",SUMIFS('Val-Vol (2)'!AD$4:AD$1858,'Val-Vol (2)'!$A$4:$A$1858,$D1326,'Val-Vol (2)'!$V$4:$V$1858,$V1326)/SUMIFS('Comp2016-2017 (3)'!$G$5:$G$289,'Comp2016-2017 (3)'!$A$5:$A$289,$D1326,'Comp2016-2017 (3)'!$R$5:$R$289,$V1326)*$AB1326))</f>
        <v/>
      </c>
      <c r="AE1326" s="222" t="str">
        <f>IF($W1326=AE$3,$AB1326,IF(NOT($W1326=0),"",SUMIFS('Val-Vol (2)'!AE$4:AE$1858,'Val-Vol (2)'!$A$4:$A$1858,$D1326,'Val-Vol (2)'!$V$4:$V$1858,$V1326)/SUMIFS('Comp2016-2017 (3)'!$G$5:$G$289,'Comp2016-2017 (3)'!$A$5:$A$289,$D1326,'Comp2016-2017 (3)'!$R$5:$R$289,$V1326)*$AB1326))</f>
        <v/>
      </c>
      <c r="AF1326" s="222" t="str">
        <f>IF($W1326=AF$3,$AB1326,IF(NOT($W1326=0),"",SUMIFS('Val-Vol (2)'!AF$4:AF$1858,'Val-Vol (2)'!$A$4:$A$1858,$D1326,'Val-Vol (2)'!$V$4:$V$1858,$V1326)/SUMIFS('Comp2016-2017 (3)'!$G$5:$G$289,'Comp2016-2017 (3)'!$A$5:$A$289,$D1326,'Comp2016-2017 (3)'!$R$5:$R$289,$V1326)*$AB1326))</f>
        <v/>
      </c>
      <c r="AG1326" s="222" t="str">
        <f>IF($W1326=AG$3,$AB1326,IF(NOT($W1326=0),"",SUMIFS('Val-Vol (2)'!AG$4:AG$1858,'Val-Vol (2)'!$A$4:$A$1858,$D1326,'Val-Vol (2)'!$V$4:$V$1858,$V1326)/SUMIFS('Comp2016-2017 (3)'!$G$5:$G$289,'Comp2016-2017 (3)'!$A$5:$A$289,$D1326,'Comp2016-2017 (3)'!$R$5:$R$289,$V1326)*$AB1326))</f>
        <v/>
      </c>
      <c r="AH1326" s="222" t="str">
        <f>IF($W1326=AH$3,$AB1326,IF(NOT($W1326=0),"",SUMIFS('Val-Vol (2)'!AH$4:AH$1858,'Val-Vol (2)'!$A$4:$A$1858,$D1326,'Val-Vol (2)'!$V$4:$V$1858,$V1326)/SUMIFS('Comp2016-2017 (3)'!$G$5:$G$289,'Comp2016-2017 (3)'!$A$5:$A$289,$D1326,'Comp2016-2017 (3)'!$R$5:$R$289,$V1326)*$AB1326))</f>
        <v/>
      </c>
      <c r="AI1326" s="222" t="str">
        <f>IF($W1326=AI$3,$AB1326,IF(NOT($W1326=0),"",SUMIFS('Val-Vol (2)'!AI$4:AI$1858,'Val-Vol (2)'!$A$4:$A$1858,$D1326,'Val-Vol (2)'!$V$4:$V$1858,$V1326)/SUMIFS('Comp2016-2017 (3)'!$G$5:$G$289,'Comp2016-2017 (3)'!$A$5:$A$289,$D1326,'Comp2016-2017 (3)'!$R$5:$R$289,$V1326)*$AB1326))</f>
        <v/>
      </c>
      <c r="AJ1326" s="222">
        <f>IF($W1326=AJ$3,$AB1326,IF(NOT($W1326=0),"",SUMIFS('Val-Vol (2)'!AJ$4:AJ$1858,'Val-Vol (2)'!$A$4:$A$1858,$D1326,'Val-Vol (2)'!$V$4:$V$1858,$V1326)/SUMIFS('Comp2016-2017 (3)'!$G$5:$G$289,'Comp2016-2017 (3)'!$A$5:$A$289,$D1326,'Comp2016-2017 (3)'!$R$5:$R$289,$V1326)*$AB1326))</f>
        <v>0</v>
      </c>
      <c r="AK1326" s="222">
        <f t="shared" si="159"/>
        <v>0</v>
      </c>
      <c r="AL1326" s="212" t="str">
        <f t="shared" si="160"/>
        <v/>
      </c>
      <c r="AM1326" s="212" t="str">
        <f>VLOOKUP(A1326,'Table corresp.'!$M$4:$U$63,8,FALSE)</f>
        <v>Production intermédiaire</v>
      </c>
      <c r="AN1326" s="212" t="str">
        <f>VLOOKUP(D1326,'Table corresp.'!$M$4:$U$63,9,FALSE)</f>
        <v>Consommation finale française</v>
      </c>
    </row>
    <row r="1327" spans="1:40" x14ac:dyDescent="0.25">
      <c r="A1327" t="s">
        <v>14</v>
      </c>
      <c r="B1327" t="str">
        <f>VLOOKUP(LEFT(A1327,3),'Table corresp.'!$A$4:$D$63,3,FALSE)</f>
        <v>Transformation</v>
      </c>
      <c r="C1327" t="str">
        <f>VLOOKUP(A1327,'Table corresp.'!$M$4:$P$63,4,FALSE)</f>
        <v>Production et transformation de produits bois</v>
      </c>
      <c r="D1327" t="s">
        <v>53</v>
      </c>
      <c r="E1327" t="str">
        <f>VLOOKUP(LEFT(D1327,3),'Table corresp.'!$A$4:$D$63,4,FALSE)</f>
        <v>Exportation</v>
      </c>
      <c r="F1327" t="str">
        <f t="shared" si="162"/>
        <v>20b - Exp</v>
      </c>
      <c r="G1327" s="213">
        <v>50639.002435846487</v>
      </c>
      <c r="H1327" s="213">
        <v>0</v>
      </c>
      <c r="I1327" s="213">
        <v>50639.00243584648</v>
      </c>
      <c r="J1327" s="215">
        <v>138.23703277676805</v>
      </c>
      <c r="K1327" s="215">
        <v>0</v>
      </c>
      <c r="L1327" s="215">
        <v>138.23703277676805</v>
      </c>
      <c r="M1327" s="215"/>
      <c r="N1327" s="215"/>
      <c r="O1327" s="215"/>
      <c r="P1327" s="215"/>
      <c r="Q1327" s="215"/>
      <c r="R1327" s="215"/>
      <c r="S1327" s="213"/>
      <c r="T1327" s="212">
        <f>VLOOKUP(A1327,'Groupe de branches'!$Z$27:$AM$86,14,FALSE)</f>
        <v>0</v>
      </c>
      <c r="U1327" s="212">
        <f>VLOOKUP(D1327,'Groupe de branches'!$Z$27:$AM$86,14,FALSE)</f>
        <v>0</v>
      </c>
      <c r="V1327" s="212">
        <v>2019</v>
      </c>
      <c r="W1327" s="212" t="str">
        <f>VLOOKUP(D1327,'Table corresp.'!$M$4:$S$63,7,FALSE)</f>
        <v>Exportation</v>
      </c>
      <c r="X1327" s="228">
        <f>IFERROR(G1327/SUMIFS('Comp2016-2017 (3)'!$I$5:$I$289,'Comp2016-2017 (3)'!$A$5:$A$289,A1327,'Comp2016-2017 (3)'!$R$5:$R$289,V1327),0)</f>
        <v>0.27171869698279805</v>
      </c>
      <c r="Y1327" s="214" t="e">
        <f>IF(RIGHT(F1327,3)="Exp",VLOOKUP(F1327,#REF!,2,FALSE),VLOOKUP(F1327,#REF!,9,FALSE))</f>
        <v>#REF!</v>
      </c>
      <c r="Z1327" s="225" t="str">
        <f t="shared" si="161"/>
        <v/>
      </c>
      <c r="AA1327" s="225" t="e">
        <f t="shared" si="158"/>
        <v>#VALUE!</v>
      </c>
      <c r="AB1327" s="222">
        <f>IFERROR(SUMIFS('Comp2016-2017 (3)'!$G$5:$G$289,'Comp2016-2017 (3)'!$A$5:$A$289,A1327,'Comp2016-2017 (3)'!$R$5:$R$289,V1327)*AA1327/SUMIFS($AA$4:$AA$1858,$A$4:$A$1858,A1327,$V$4:$V$1858,V1327),0)</f>
        <v>0</v>
      </c>
      <c r="AC1327" s="222">
        <f>IF($W1327=AC$3,$AB1327,IF(NOT($W1327=0),"",SUMIFS('Val-Vol (2)'!AC$4:AC$1858,'Val-Vol (2)'!$A$4:$A$1858,$D1327,'Val-Vol (2)'!$V$4:$V$1858,$V1327)/SUMIFS('Comp2016-2017 (3)'!$G$5:$G$289,'Comp2016-2017 (3)'!$A$5:$A$289,$D1327,'Comp2016-2017 (3)'!$R$5:$R$289,$V1327)*$AB1327))</f>
        <v>0</v>
      </c>
      <c r="AD1327" s="222" t="str">
        <f>IF($W1327=AD$3,$AB1327,IF(NOT($W1327=0),"",SUMIFS('Val-Vol (2)'!AD$4:AD$1858,'Val-Vol (2)'!$A$4:$A$1858,$D1327,'Val-Vol (2)'!$V$4:$V$1858,$V1327)/SUMIFS('Comp2016-2017 (3)'!$G$5:$G$289,'Comp2016-2017 (3)'!$A$5:$A$289,$D1327,'Comp2016-2017 (3)'!$R$5:$R$289,$V1327)*$AB1327))</f>
        <v/>
      </c>
      <c r="AE1327" s="222" t="str">
        <f>IF($W1327=AE$3,$AB1327,IF(NOT($W1327=0),"",SUMIFS('Val-Vol (2)'!AE$4:AE$1858,'Val-Vol (2)'!$A$4:$A$1858,$D1327,'Val-Vol (2)'!$V$4:$V$1858,$V1327)/SUMIFS('Comp2016-2017 (3)'!$G$5:$G$289,'Comp2016-2017 (3)'!$A$5:$A$289,$D1327,'Comp2016-2017 (3)'!$R$5:$R$289,$V1327)*$AB1327))</f>
        <v/>
      </c>
      <c r="AF1327" s="222" t="str">
        <f>IF($W1327=AF$3,$AB1327,IF(NOT($W1327=0),"",SUMIFS('Val-Vol (2)'!AF$4:AF$1858,'Val-Vol (2)'!$A$4:$A$1858,$D1327,'Val-Vol (2)'!$V$4:$V$1858,$V1327)/SUMIFS('Comp2016-2017 (3)'!$G$5:$G$289,'Comp2016-2017 (3)'!$A$5:$A$289,$D1327,'Comp2016-2017 (3)'!$R$5:$R$289,$V1327)*$AB1327))</f>
        <v/>
      </c>
      <c r="AG1327" s="222" t="str">
        <f>IF($W1327=AG$3,$AB1327,IF(NOT($W1327=0),"",SUMIFS('Val-Vol (2)'!AG$4:AG$1858,'Val-Vol (2)'!$A$4:$A$1858,$D1327,'Val-Vol (2)'!$V$4:$V$1858,$V1327)/SUMIFS('Comp2016-2017 (3)'!$G$5:$G$289,'Comp2016-2017 (3)'!$A$5:$A$289,$D1327,'Comp2016-2017 (3)'!$R$5:$R$289,$V1327)*$AB1327))</f>
        <v/>
      </c>
      <c r="AH1327" s="222" t="str">
        <f>IF($W1327=AH$3,$AB1327,IF(NOT($W1327=0),"",SUMIFS('Val-Vol (2)'!AH$4:AH$1858,'Val-Vol (2)'!$A$4:$A$1858,$D1327,'Val-Vol (2)'!$V$4:$V$1858,$V1327)/SUMIFS('Comp2016-2017 (3)'!$G$5:$G$289,'Comp2016-2017 (3)'!$A$5:$A$289,$D1327,'Comp2016-2017 (3)'!$R$5:$R$289,$V1327)*$AB1327))</f>
        <v/>
      </c>
      <c r="AI1327" s="222" t="str">
        <f>IF($W1327=AI$3,$AB1327,IF(NOT($W1327=0),"",SUMIFS('Val-Vol (2)'!AI$4:AI$1858,'Val-Vol (2)'!$A$4:$A$1858,$D1327,'Val-Vol (2)'!$V$4:$V$1858,$V1327)/SUMIFS('Comp2016-2017 (3)'!$G$5:$G$289,'Comp2016-2017 (3)'!$A$5:$A$289,$D1327,'Comp2016-2017 (3)'!$R$5:$R$289,$V1327)*$AB1327))</f>
        <v/>
      </c>
      <c r="AJ1327" s="222" t="str">
        <f>IF($W1327=AJ$3,$AB1327,IF(NOT($W1327=0),"",SUMIFS('Val-Vol (2)'!AJ$4:AJ$1858,'Val-Vol (2)'!$A$4:$A$1858,$D1327,'Val-Vol (2)'!$V$4:$V$1858,$V1327)/SUMIFS('Comp2016-2017 (3)'!$G$5:$G$289,'Comp2016-2017 (3)'!$A$5:$A$289,$D1327,'Comp2016-2017 (3)'!$R$5:$R$289,$V1327)*$AB1327))</f>
        <v/>
      </c>
      <c r="AK1327" s="222">
        <f t="shared" si="159"/>
        <v>0</v>
      </c>
      <c r="AL1327" s="212" t="str">
        <f t="shared" si="160"/>
        <v/>
      </c>
      <c r="AM1327" s="212" t="str">
        <f>VLOOKUP(A1327,'Table corresp.'!$M$4:$U$63,8,FALSE)</f>
        <v>Production intermédiaire</v>
      </c>
      <c r="AN1327" s="212" t="str">
        <f>VLOOKUP(D1327,'Table corresp.'!$M$4:$U$63,9,FALSE)</f>
        <v>Exportation</v>
      </c>
    </row>
    <row r="1328" spans="1:40" x14ac:dyDescent="0.25">
      <c r="A1328" t="s">
        <v>85</v>
      </c>
      <c r="B1328" t="str">
        <f>VLOOKUP(LEFT(A1328,3),'Table corresp.'!$A$4:$D$63,3,FALSE)</f>
        <v>Transformation</v>
      </c>
      <c r="C1328" t="str">
        <f>VLOOKUP(A1328,'Table corresp.'!$M$4:$P$63,4,FALSE)</f>
        <v>Production et transformation de produits bois</v>
      </c>
      <c r="D1328" t="s">
        <v>19</v>
      </c>
      <c r="E1328" t="str">
        <f>VLOOKUP(LEFT(D1328,3),'Table corresp.'!$A$4:$D$63,4,FALSE)</f>
        <v>Transformation</v>
      </c>
      <c r="F1328" t="str">
        <f t="shared" si="162"/>
        <v xml:space="preserve">29  - 52 </v>
      </c>
      <c r="G1328" s="213">
        <v>59272.058989368161</v>
      </c>
      <c r="H1328" s="213">
        <v>25791.071914954529</v>
      </c>
      <c r="I1328" s="213">
        <v>85063.130904322694</v>
      </c>
      <c r="J1328" s="215">
        <v>326.78925559534571</v>
      </c>
      <c r="K1328" s="215">
        <v>127.42466120648611</v>
      </c>
      <c r="L1328" s="215">
        <v>454.21391680183183</v>
      </c>
      <c r="M1328" s="215"/>
      <c r="N1328" s="215"/>
      <c r="O1328" s="215"/>
      <c r="P1328" s="215"/>
      <c r="Q1328" s="215"/>
      <c r="R1328" s="215"/>
      <c r="S1328" s="213"/>
      <c r="T1328" s="212">
        <f>VLOOKUP(A1328,'Groupe de branches'!$Z$27:$AM$86,14,FALSE)</f>
        <v>0</v>
      </c>
      <c r="U1328" s="212">
        <f>VLOOKUP(D1328,'Groupe de branches'!$Z$27:$AM$86,14,FALSE)</f>
        <v>0</v>
      </c>
      <c r="V1328" s="212">
        <v>2019</v>
      </c>
      <c r="W1328" s="212" t="str">
        <f>VLOOKUP(D1328,'Table corresp.'!$M$4:$S$63,7,FALSE)</f>
        <v>Construction</v>
      </c>
      <c r="X1328" s="228">
        <f>IFERROR(G1328/SUMIFS('Comp2016-2017 (3)'!$I$5:$I$289,'Comp2016-2017 (3)'!$A$5:$A$289,A1328,'Comp2016-2017 (3)'!$R$5:$R$289,V1328),0)</f>
        <v>0.21721556207157922</v>
      </c>
      <c r="Y1328" s="214" t="e">
        <f>IF(RIGHT(F1328,3)="Exp",VLOOKUP(F1328,#REF!,2,FALSE),VLOOKUP(F1328,#REF!,9,FALSE))</f>
        <v>#REF!</v>
      </c>
      <c r="Z1328" s="225" t="str">
        <f t="shared" si="161"/>
        <v/>
      </c>
      <c r="AA1328" s="225" t="e">
        <f t="shared" si="158"/>
        <v>#VALUE!</v>
      </c>
      <c r="AB1328" s="222">
        <f>IFERROR(SUMIFS('Comp2016-2017 (3)'!$G$5:$G$289,'Comp2016-2017 (3)'!$A$5:$A$289,A1328,'Comp2016-2017 (3)'!$R$5:$R$289,V1328)*AA1328/SUMIFS($AA$4:$AA$1858,$A$4:$A$1858,A1328,$V$4:$V$1858,V1328),0)</f>
        <v>0</v>
      </c>
      <c r="AC1328" s="222" t="str">
        <f>IF($W1328=AC$3,$AB1328,IF(NOT($W1328=0),"",SUMIFS('Val-Vol (2)'!AC$4:AC$1858,'Val-Vol (2)'!$A$4:$A$1858,$D1328,'Val-Vol (2)'!$V$4:$V$1858,$V1328)/SUMIFS('Comp2016-2017 (3)'!$G$5:$G$289,'Comp2016-2017 (3)'!$A$5:$A$289,$D1328,'Comp2016-2017 (3)'!$R$5:$R$289,$V1328)*$AB1328))</f>
        <v/>
      </c>
      <c r="AD1328" s="222">
        <f>IF($W1328=AD$3,$AB1328,IF(NOT($W1328=0),"",SUMIFS('Val-Vol (2)'!AD$4:AD$1858,'Val-Vol (2)'!$A$4:$A$1858,$D1328,'Val-Vol (2)'!$V$4:$V$1858,$V1328)/SUMIFS('Comp2016-2017 (3)'!$G$5:$G$289,'Comp2016-2017 (3)'!$A$5:$A$289,$D1328,'Comp2016-2017 (3)'!$R$5:$R$289,$V1328)*$AB1328))</f>
        <v>0</v>
      </c>
      <c r="AE1328" s="222" t="str">
        <f>IF($W1328=AE$3,$AB1328,IF(NOT($W1328=0),"",SUMIFS('Val-Vol (2)'!AE$4:AE$1858,'Val-Vol (2)'!$A$4:$A$1858,$D1328,'Val-Vol (2)'!$V$4:$V$1858,$V1328)/SUMIFS('Comp2016-2017 (3)'!$G$5:$G$289,'Comp2016-2017 (3)'!$A$5:$A$289,$D1328,'Comp2016-2017 (3)'!$R$5:$R$289,$V1328)*$AB1328))</f>
        <v/>
      </c>
      <c r="AF1328" s="222" t="str">
        <f>IF($W1328=AF$3,$AB1328,IF(NOT($W1328=0),"",SUMIFS('Val-Vol (2)'!AF$4:AF$1858,'Val-Vol (2)'!$A$4:$A$1858,$D1328,'Val-Vol (2)'!$V$4:$V$1858,$V1328)/SUMIFS('Comp2016-2017 (3)'!$G$5:$G$289,'Comp2016-2017 (3)'!$A$5:$A$289,$D1328,'Comp2016-2017 (3)'!$R$5:$R$289,$V1328)*$AB1328))</f>
        <v/>
      </c>
      <c r="AG1328" s="222" t="str">
        <f>IF($W1328=AG$3,$AB1328,IF(NOT($W1328=0),"",SUMIFS('Val-Vol (2)'!AG$4:AG$1858,'Val-Vol (2)'!$A$4:$A$1858,$D1328,'Val-Vol (2)'!$V$4:$V$1858,$V1328)/SUMIFS('Comp2016-2017 (3)'!$G$5:$G$289,'Comp2016-2017 (3)'!$A$5:$A$289,$D1328,'Comp2016-2017 (3)'!$R$5:$R$289,$V1328)*$AB1328))</f>
        <v/>
      </c>
      <c r="AH1328" s="222" t="str">
        <f>IF($W1328=AH$3,$AB1328,IF(NOT($W1328=0),"",SUMIFS('Val-Vol (2)'!AH$4:AH$1858,'Val-Vol (2)'!$A$4:$A$1858,$D1328,'Val-Vol (2)'!$V$4:$V$1858,$V1328)/SUMIFS('Comp2016-2017 (3)'!$G$5:$G$289,'Comp2016-2017 (3)'!$A$5:$A$289,$D1328,'Comp2016-2017 (3)'!$R$5:$R$289,$V1328)*$AB1328))</f>
        <v/>
      </c>
      <c r="AI1328" s="222" t="str">
        <f>IF($W1328=AI$3,$AB1328,IF(NOT($W1328=0),"",SUMIFS('Val-Vol (2)'!AI$4:AI$1858,'Val-Vol (2)'!$A$4:$A$1858,$D1328,'Val-Vol (2)'!$V$4:$V$1858,$V1328)/SUMIFS('Comp2016-2017 (3)'!$G$5:$G$289,'Comp2016-2017 (3)'!$A$5:$A$289,$D1328,'Comp2016-2017 (3)'!$R$5:$R$289,$V1328)*$AB1328))</f>
        <v/>
      </c>
      <c r="AJ1328" s="222" t="str">
        <f>IF($W1328=AJ$3,$AB1328,IF(NOT($W1328=0),"",SUMIFS('Val-Vol (2)'!AJ$4:AJ$1858,'Val-Vol (2)'!$A$4:$A$1858,$D1328,'Val-Vol (2)'!$V$4:$V$1858,$V1328)/SUMIFS('Comp2016-2017 (3)'!$G$5:$G$289,'Comp2016-2017 (3)'!$A$5:$A$289,$D1328,'Comp2016-2017 (3)'!$R$5:$R$289,$V1328)*$AB1328))</f>
        <v/>
      </c>
      <c r="AK1328" s="222">
        <f t="shared" si="159"/>
        <v>0</v>
      </c>
      <c r="AL1328" s="212" t="str">
        <f t="shared" si="160"/>
        <v/>
      </c>
      <c r="AM1328" s="212" t="str">
        <f>VLOOKUP(A1328,'Table corresp.'!$M$4:$U$63,8,FALSE)</f>
        <v>Production intermédiaire</v>
      </c>
      <c r="AN1328" s="212" t="str">
        <f>VLOOKUP(D1328,'Table corresp.'!$M$4:$U$63,9,FALSE)</f>
        <v xml:space="preserve">Mise en œuvre </v>
      </c>
    </row>
    <row r="1329" spans="1:40" x14ac:dyDescent="0.25">
      <c r="A1329" t="s">
        <v>85</v>
      </c>
      <c r="B1329" t="str">
        <f>VLOOKUP(LEFT(A1329,3),'Table corresp.'!$A$4:$D$63,3,FALSE)</f>
        <v>Transformation</v>
      </c>
      <c r="C1329" t="str">
        <f>VLOOKUP(A1329,'Table corresp.'!$M$4:$P$63,4,FALSE)</f>
        <v>Production et transformation de produits bois</v>
      </c>
      <c r="D1329" t="s">
        <v>24</v>
      </c>
      <c r="E1329" t="str">
        <f>VLOOKUP(LEFT(D1329,3),'Table corresp.'!$A$4:$D$63,4,FALSE)</f>
        <v>Transformation</v>
      </c>
      <c r="F1329" t="str">
        <f t="shared" si="162"/>
        <v xml:space="preserve">29  - 57 </v>
      </c>
      <c r="G1329" s="213">
        <v>136387.82071617106</v>
      </c>
      <c r="H1329" s="213">
        <v>129235.03514249901</v>
      </c>
      <c r="I1329" s="213">
        <v>265622.85585867008</v>
      </c>
      <c r="J1329" s="215">
        <v>626.63132179621243</v>
      </c>
      <c r="K1329" s="215">
        <v>552.22061417954001</v>
      </c>
      <c r="L1329" s="215">
        <v>1178.8519359757524</v>
      </c>
      <c r="M1329" s="215"/>
      <c r="N1329" s="215"/>
      <c r="O1329" s="215"/>
      <c r="P1329" s="215"/>
      <c r="Q1329" s="215"/>
      <c r="R1329" s="215"/>
      <c r="S1329" s="213"/>
      <c r="T1329" s="212">
        <f>VLOOKUP(A1329,'Groupe de branches'!$Z$27:$AM$86,14,FALSE)</f>
        <v>0</v>
      </c>
      <c r="U1329" s="212">
        <f>VLOOKUP(D1329,'Groupe de branches'!$Z$27:$AM$86,14,FALSE)</f>
        <v>0</v>
      </c>
      <c r="V1329" s="212">
        <v>2019</v>
      </c>
      <c r="W1329" s="212" t="str">
        <f>VLOOKUP(D1329,'Table corresp.'!$M$4:$S$63,7,FALSE)</f>
        <v>Construction</v>
      </c>
      <c r="X1329" s="228">
        <f>IFERROR(G1329/SUMIFS('Comp2016-2017 (3)'!$I$5:$I$289,'Comp2016-2017 (3)'!$A$5:$A$289,A1329,'Comp2016-2017 (3)'!$R$5:$R$289,V1329),0)</f>
        <v>0.49982331711970585</v>
      </c>
      <c r="Y1329" s="214" t="e">
        <f>IF(RIGHT(F1329,3)="Exp",VLOOKUP(F1329,#REF!,2,FALSE),VLOOKUP(F1329,#REF!,9,FALSE))</f>
        <v>#REF!</v>
      </c>
      <c r="Z1329" s="225" t="str">
        <f t="shared" si="161"/>
        <v/>
      </c>
      <c r="AA1329" s="225" t="e">
        <f t="shared" si="158"/>
        <v>#VALUE!</v>
      </c>
      <c r="AB1329" s="222">
        <f>IFERROR(SUMIFS('Comp2016-2017 (3)'!$G$5:$G$289,'Comp2016-2017 (3)'!$A$5:$A$289,A1329,'Comp2016-2017 (3)'!$R$5:$R$289,V1329)*AA1329/SUMIFS($AA$4:$AA$1858,$A$4:$A$1858,A1329,$V$4:$V$1858,V1329),0)</f>
        <v>0</v>
      </c>
      <c r="AC1329" s="222" t="str">
        <f>IF($W1329=AC$3,$AB1329,IF(NOT($W1329=0),"",SUMIFS('Val-Vol (2)'!AC$4:AC$1858,'Val-Vol (2)'!$A$4:$A$1858,$D1329,'Val-Vol (2)'!$V$4:$V$1858,$V1329)/SUMIFS('Comp2016-2017 (3)'!$G$5:$G$289,'Comp2016-2017 (3)'!$A$5:$A$289,$D1329,'Comp2016-2017 (3)'!$R$5:$R$289,$V1329)*$AB1329))</f>
        <v/>
      </c>
      <c r="AD1329" s="222">
        <f>IF($W1329=AD$3,$AB1329,IF(NOT($W1329=0),"",SUMIFS('Val-Vol (2)'!AD$4:AD$1858,'Val-Vol (2)'!$A$4:$A$1858,$D1329,'Val-Vol (2)'!$V$4:$V$1858,$V1329)/SUMIFS('Comp2016-2017 (3)'!$G$5:$G$289,'Comp2016-2017 (3)'!$A$5:$A$289,$D1329,'Comp2016-2017 (3)'!$R$5:$R$289,$V1329)*$AB1329))</f>
        <v>0</v>
      </c>
      <c r="AE1329" s="222" t="str">
        <f>IF($W1329=AE$3,$AB1329,IF(NOT($W1329=0),"",SUMIFS('Val-Vol (2)'!AE$4:AE$1858,'Val-Vol (2)'!$A$4:$A$1858,$D1329,'Val-Vol (2)'!$V$4:$V$1858,$V1329)/SUMIFS('Comp2016-2017 (3)'!$G$5:$G$289,'Comp2016-2017 (3)'!$A$5:$A$289,$D1329,'Comp2016-2017 (3)'!$R$5:$R$289,$V1329)*$AB1329))</f>
        <v/>
      </c>
      <c r="AF1329" s="222" t="str">
        <f>IF($W1329=AF$3,$AB1329,IF(NOT($W1329=0),"",SUMIFS('Val-Vol (2)'!AF$4:AF$1858,'Val-Vol (2)'!$A$4:$A$1858,$D1329,'Val-Vol (2)'!$V$4:$V$1858,$V1329)/SUMIFS('Comp2016-2017 (3)'!$G$5:$G$289,'Comp2016-2017 (3)'!$A$5:$A$289,$D1329,'Comp2016-2017 (3)'!$R$5:$R$289,$V1329)*$AB1329))</f>
        <v/>
      </c>
      <c r="AG1329" s="222" t="str">
        <f>IF($W1329=AG$3,$AB1329,IF(NOT($W1329=0),"",SUMIFS('Val-Vol (2)'!AG$4:AG$1858,'Val-Vol (2)'!$A$4:$A$1858,$D1329,'Val-Vol (2)'!$V$4:$V$1858,$V1329)/SUMIFS('Comp2016-2017 (3)'!$G$5:$G$289,'Comp2016-2017 (3)'!$A$5:$A$289,$D1329,'Comp2016-2017 (3)'!$R$5:$R$289,$V1329)*$AB1329))</f>
        <v/>
      </c>
      <c r="AH1329" s="222" t="str">
        <f>IF($W1329=AH$3,$AB1329,IF(NOT($W1329=0),"",SUMIFS('Val-Vol (2)'!AH$4:AH$1858,'Val-Vol (2)'!$A$4:$A$1858,$D1329,'Val-Vol (2)'!$V$4:$V$1858,$V1329)/SUMIFS('Comp2016-2017 (3)'!$G$5:$G$289,'Comp2016-2017 (3)'!$A$5:$A$289,$D1329,'Comp2016-2017 (3)'!$R$5:$R$289,$V1329)*$AB1329))</f>
        <v/>
      </c>
      <c r="AI1329" s="222" t="str">
        <f>IF($W1329=AI$3,$AB1329,IF(NOT($W1329=0),"",SUMIFS('Val-Vol (2)'!AI$4:AI$1858,'Val-Vol (2)'!$A$4:$A$1858,$D1329,'Val-Vol (2)'!$V$4:$V$1858,$V1329)/SUMIFS('Comp2016-2017 (3)'!$G$5:$G$289,'Comp2016-2017 (3)'!$A$5:$A$289,$D1329,'Comp2016-2017 (3)'!$R$5:$R$289,$V1329)*$AB1329))</f>
        <v/>
      </c>
      <c r="AJ1329" s="222" t="str">
        <f>IF($W1329=AJ$3,$AB1329,IF(NOT($W1329=0),"",SUMIFS('Val-Vol (2)'!AJ$4:AJ$1858,'Val-Vol (2)'!$A$4:$A$1858,$D1329,'Val-Vol (2)'!$V$4:$V$1858,$V1329)/SUMIFS('Comp2016-2017 (3)'!$G$5:$G$289,'Comp2016-2017 (3)'!$A$5:$A$289,$D1329,'Comp2016-2017 (3)'!$R$5:$R$289,$V1329)*$AB1329))</f>
        <v/>
      </c>
      <c r="AK1329" s="222">
        <f t="shared" si="159"/>
        <v>0</v>
      </c>
      <c r="AL1329" s="212" t="str">
        <f t="shared" si="160"/>
        <v/>
      </c>
      <c r="AM1329" s="212" t="str">
        <f>VLOOKUP(A1329,'Table corresp.'!$M$4:$U$63,8,FALSE)</f>
        <v>Production intermédiaire</v>
      </c>
      <c r="AN1329" s="212" t="str">
        <f>VLOOKUP(D1329,'Table corresp.'!$M$4:$U$63,9,FALSE)</f>
        <v xml:space="preserve">Mise en œuvre </v>
      </c>
    </row>
    <row r="1330" spans="1:40" x14ac:dyDescent="0.25">
      <c r="A1330" t="s">
        <v>85</v>
      </c>
      <c r="B1330" t="str">
        <f>VLOOKUP(LEFT(A1330,3),'Table corresp.'!$A$4:$D$63,3,FALSE)</f>
        <v>Transformation</v>
      </c>
      <c r="C1330" t="str">
        <f>VLOOKUP(A1330,'Table corresp.'!$M$4:$P$63,4,FALSE)</f>
        <v>Production et transformation de produits bois</v>
      </c>
      <c r="D1330" t="s">
        <v>54</v>
      </c>
      <c r="E1330" t="str">
        <f>VLOOKUP(LEFT(D1330,3),'Table corresp.'!$A$4:$D$63,4,FALSE)</f>
        <v>Consommation finale</v>
      </c>
      <c r="F1330" t="str">
        <f t="shared" si="162"/>
        <v>29  - Con</v>
      </c>
      <c r="G1330" s="213">
        <v>64762.774837518307</v>
      </c>
      <c r="H1330" s="213">
        <v>39763.892942546445</v>
      </c>
      <c r="I1330" s="213">
        <v>104526.66778006474</v>
      </c>
      <c r="J1330" s="215">
        <v>245.0423064823861</v>
      </c>
      <c r="K1330" s="215">
        <v>130.97298690965496</v>
      </c>
      <c r="L1330" s="215">
        <v>376.01529339204103</v>
      </c>
      <c r="M1330" s="215"/>
      <c r="N1330" s="215"/>
      <c r="O1330" s="215"/>
      <c r="P1330" s="215"/>
      <c r="Q1330" s="215"/>
      <c r="R1330" s="215"/>
      <c r="S1330" s="213"/>
      <c r="T1330" s="212">
        <f>VLOOKUP(A1330,'Groupe de branches'!$Z$27:$AM$86,14,FALSE)</f>
        <v>0</v>
      </c>
      <c r="U1330" s="212">
        <f>VLOOKUP(D1330,'Groupe de branches'!$Z$27:$AM$86,14,FALSE)</f>
        <v>0</v>
      </c>
      <c r="V1330" s="212">
        <v>2019</v>
      </c>
      <c r="W1330" s="212" t="str">
        <f>VLOOKUP(D1330,'Table corresp.'!$M$4:$S$63,7,FALSE)</f>
        <v>Consommation finale</v>
      </c>
      <c r="X1330" s="228">
        <f>IFERROR(G1330/SUMIFS('Comp2016-2017 (3)'!$I$5:$I$289,'Comp2016-2017 (3)'!$A$5:$A$289,A1330,'Comp2016-2017 (3)'!$R$5:$R$289,V1330),0)</f>
        <v>0.23733750400285572</v>
      </c>
      <c r="Y1330" s="214" t="e">
        <f>IF(RIGHT(F1330,3)="Exp",VLOOKUP(F1330,#REF!,2,FALSE),VLOOKUP(F1330,#REF!,9,FALSE))</f>
        <v>#REF!</v>
      </c>
      <c r="Z1330" s="225" t="str">
        <f t="shared" si="161"/>
        <v/>
      </c>
      <c r="AA1330" s="225" t="e">
        <f t="shared" si="158"/>
        <v>#VALUE!</v>
      </c>
      <c r="AB1330" s="222">
        <f>IFERROR(SUMIFS('Comp2016-2017 (3)'!$G$5:$G$289,'Comp2016-2017 (3)'!$A$5:$A$289,A1330,'Comp2016-2017 (3)'!$R$5:$R$289,V1330)*AA1330/SUMIFS($AA$4:$AA$1858,$A$4:$A$1858,A1330,$V$4:$V$1858,V1330),0)</f>
        <v>0</v>
      </c>
      <c r="AC1330" s="222" t="str">
        <f>IF($W1330=AC$3,$AB1330,IF(NOT($W1330=0),"",SUMIFS('Val-Vol (2)'!AC$4:AC$1858,'Val-Vol (2)'!$A$4:$A$1858,$D1330,'Val-Vol (2)'!$V$4:$V$1858,$V1330)/SUMIFS('Comp2016-2017 (3)'!$G$5:$G$289,'Comp2016-2017 (3)'!$A$5:$A$289,$D1330,'Comp2016-2017 (3)'!$R$5:$R$289,$V1330)*$AB1330))</f>
        <v/>
      </c>
      <c r="AD1330" s="222" t="str">
        <f>IF($W1330=AD$3,$AB1330,IF(NOT($W1330=0),"",SUMIFS('Val-Vol (2)'!AD$4:AD$1858,'Val-Vol (2)'!$A$4:$A$1858,$D1330,'Val-Vol (2)'!$V$4:$V$1858,$V1330)/SUMIFS('Comp2016-2017 (3)'!$G$5:$G$289,'Comp2016-2017 (3)'!$A$5:$A$289,$D1330,'Comp2016-2017 (3)'!$R$5:$R$289,$V1330)*$AB1330))</f>
        <v/>
      </c>
      <c r="AE1330" s="222" t="str">
        <f>IF($W1330=AE$3,$AB1330,IF(NOT($W1330=0),"",SUMIFS('Val-Vol (2)'!AE$4:AE$1858,'Val-Vol (2)'!$A$4:$A$1858,$D1330,'Val-Vol (2)'!$V$4:$V$1858,$V1330)/SUMIFS('Comp2016-2017 (3)'!$G$5:$G$289,'Comp2016-2017 (3)'!$A$5:$A$289,$D1330,'Comp2016-2017 (3)'!$R$5:$R$289,$V1330)*$AB1330))</f>
        <v/>
      </c>
      <c r="AF1330" s="222" t="str">
        <f>IF($W1330=AF$3,$AB1330,IF(NOT($W1330=0),"",SUMIFS('Val-Vol (2)'!AF$4:AF$1858,'Val-Vol (2)'!$A$4:$A$1858,$D1330,'Val-Vol (2)'!$V$4:$V$1858,$V1330)/SUMIFS('Comp2016-2017 (3)'!$G$5:$G$289,'Comp2016-2017 (3)'!$A$5:$A$289,$D1330,'Comp2016-2017 (3)'!$R$5:$R$289,$V1330)*$AB1330))</f>
        <v/>
      </c>
      <c r="AG1330" s="222" t="str">
        <f>IF($W1330=AG$3,$AB1330,IF(NOT($W1330=0),"",SUMIFS('Val-Vol (2)'!AG$4:AG$1858,'Val-Vol (2)'!$A$4:$A$1858,$D1330,'Val-Vol (2)'!$V$4:$V$1858,$V1330)/SUMIFS('Comp2016-2017 (3)'!$G$5:$G$289,'Comp2016-2017 (3)'!$A$5:$A$289,$D1330,'Comp2016-2017 (3)'!$R$5:$R$289,$V1330)*$AB1330))</f>
        <v/>
      </c>
      <c r="AH1330" s="222" t="str">
        <f>IF($W1330=AH$3,$AB1330,IF(NOT($W1330=0),"",SUMIFS('Val-Vol (2)'!AH$4:AH$1858,'Val-Vol (2)'!$A$4:$A$1858,$D1330,'Val-Vol (2)'!$V$4:$V$1858,$V1330)/SUMIFS('Comp2016-2017 (3)'!$G$5:$G$289,'Comp2016-2017 (3)'!$A$5:$A$289,$D1330,'Comp2016-2017 (3)'!$R$5:$R$289,$V1330)*$AB1330))</f>
        <v/>
      </c>
      <c r="AI1330" s="222" t="str">
        <f>IF($W1330=AI$3,$AB1330,IF(NOT($W1330=0),"",SUMIFS('Val-Vol (2)'!AI$4:AI$1858,'Val-Vol (2)'!$A$4:$A$1858,$D1330,'Val-Vol (2)'!$V$4:$V$1858,$V1330)/SUMIFS('Comp2016-2017 (3)'!$G$5:$G$289,'Comp2016-2017 (3)'!$A$5:$A$289,$D1330,'Comp2016-2017 (3)'!$R$5:$R$289,$V1330)*$AB1330))</f>
        <v/>
      </c>
      <c r="AJ1330" s="222">
        <f>IF($W1330=AJ$3,$AB1330,IF(NOT($W1330=0),"",SUMIFS('Val-Vol (2)'!AJ$4:AJ$1858,'Val-Vol (2)'!$A$4:$A$1858,$D1330,'Val-Vol (2)'!$V$4:$V$1858,$V1330)/SUMIFS('Comp2016-2017 (3)'!$G$5:$G$289,'Comp2016-2017 (3)'!$A$5:$A$289,$D1330,'Comp2016-2017 (3)'!$R$5:$R$289,$V1330)*$AB1330))</f>
        <v>0</v>
      </c>
      <c r="AK1330" s="222">
        <f t="shared" si="159"/>
        <v>0</v>
      </c>
      <c r="AL1330" s="212" t="str">
        <f t="shared" si="160"/>
        <v/>
      </c>
      <c r="AM1330" s="212" t="str">
        <f>VLOOKUP(A1330,'Table corresp.'!$M$4:$U$63,8,FALSE)</f>
        <v>Production intermédiaire</v>
      </c>
      <c r="AN1330" s="212" t="str">
        <f>VLOOKUP(D1330,'Table corresp.'!$M$4:$U$63,9,FALSE)</f>
        <v>Consommation finale française</v>
      </c>
    </row>
    <row r="1331" spans="1:40" x14ac:dyDescent="0.25">
      <c r="A1331" t="s">
        <v>85</v>
      </c>
      <c r="B1331" t="str">
        <f>VLOOKUP(LEFT(A1331,3),'Table corresp.'!$A$4:$D$63,3,FALSE)</f>
        <v>Transformation</v>
      </c>
      <c r="C1331" t="str">
        <f>VLOOKUP(A1331,'Table corresp.'!$M$4:$P$63,4,FALSE)</f>
        <v>Production et transformation de produits bois</v>
      </c>
      <c r="D1331" t="s">
        <v>53</v>
      </c>
      <c r="E1331" t="str">
        <f>VLOOKUP(LEFT(D1331,3),'Table corresp.'!$A$4:$D$63,4,FALSE)</f>
        <v>Exportation</v>
      </c>
      <c r="F1331" t="str">
        <f t="shared" si="162"/>
        <v>29  - Exp</v>
      </c>
      <c r="G1331" s="213">
        <v>12450</v>
      </c>
      <c r="H1331" s="213">
        <v>0</v>
      </c>
      <c r="I1331" s="213">
        <v>12450</v>
      </c>
      <c r="J1331" s="215">
        <v>57.890467148553284</v>
      </c>
      <c r="K1331" s="215">
        <v>0</v>
      </c>
      <c r="L1331" s="215">
        <v>57.890467148553284</v>
      </c>
      <c r="M1331" s="215"/>
      <c r="N1331" s="215"/>
      <c r="O1331" s="215"/>
      <c r="P1331" s="215"/>
      <c r="Q1331" s="215"/>
      <c r="R1331" s="215"/>
      <c r="S1331" s="213"/>
      <c r="T1331" s="212">
        <f>VLOOKUP(A1331,'Groupe de branches'!$Z$27:$AM$86,14,FALSE)</f>
        <v>0</v>
      </c>
      <c r="U1331" s="212">
        <f>VLOOKUP(D1331,'Groupe de branches'!$Z$27:$AM$86,14,FALSE)</f>
        <v>0</v>
      </c>
      <c r="V1331" s="212">
        <v>2019</v>
      </c>
      <c r="W1331" s="212" t="str">
        <f>VLOOKUP(D1331,'Table corresp.'!$M$4:$S$63,7,FALSE)</f>
        <v>Exportation</v>
      </c>
      <c r="X1331" s="228">
        <f>IFERROR(G1331/SUMIFS('Comp2016-2017 (3)'!$I$5:$I$289,'Comp2016-2017 (3)'!$A$5:$A$289,A1331,'Comp2016-2017 (3)'!$R$5:$R$289,V1331),0)</f>
        <v>4.5625777033935118E-2</v>
      </c>
      <c r="Y1331" s="214" t="e">
        <f>IF(RIGHT(F1331,3)="Exp",VLOOKUP(F1331,#REF!,2,FALSE),VLOOKUP(F1331,#REF!,9,FALSE))</f>
        <v>#REF!</v>
      </c>
      <c r="Z1331" s="225" t="str">
        <f t="shared" si="161"/>
        <v/>
      </c>
      <c r="AA1331" s="225" t="e">
        <f t="shared" si="158"/>
        <v>#VALUE!</v>
      </c>
      <c r="AB1331" s="222">
        <f>IFERROR(SUMIFS('Comp2016-2017 (3)'!$G$5:$G$289,'Comp2016-2017 (3)'!$A$5:$A$289,A1331,'Comp2016-2017 (3)'!$R$5:$R$289,V1331)*AA1331/SUMIFS($AA$4:$AA$1858,$A$4:$A$1858,A1331,$V$4:$V$1858,V1331),0)</f>
        <v>0</v>
      </c>
      <c r="AC1331" s="222">
        <f>IF($W1331=AC$3,$AB1331,IF(NOT($W1331=0),"",SUMIFS('Val-Vol (2)'!AC$4:AC$1858,'Val-Vol (2)'!$A$4:$A$1858,$D1331,'Val-Vol (2)'!$V$4:$V$1858,$V1331)/SUMIFS('Comp2016-2017 (3)'!$G$5:$G$289,'Comp2016-2017 (3)'!$A$5:$A$289,$D1331,'Comp2016-2017 (3)'!$R$5:$R$289,$V1331)*$AB1331))</f>
        <v>0</v>
      </c>
      <c r="AD1331" s="222" t="str">
        <f>IF($W1331=AD$3,$AB1331,IF(NOT($W1331=0),"",SUMIFS('Val-Vol (2)'!AD$4:AD$1858,'Val-Vol (2)'!$A$4:$A$1858,$D1331,'Val-Vol (2)'!$V$4:$V$1858,$V1331)/SUMIFS('Comp2016-2017 (3)'!$G$5:$G$289,'Comp2016-2017 (3)'!$A$5:$A$289,$D1331,'Comp2016-2017 (3)'!$R$5:$R$289,$V1331)*$AB1331))</f>
        <v/>
      </c>
      <c r="AE1331" s="222" t="str">
        <f>IF($W1331=AE$3,$AB1331,IF(NOT($W1331=0),"",SUMIFS('Val-Vol (2)'!AE$4:AE$1858,'Val-Vol (2)'!$A$4:$A$1858,$D1331,'Val-Vol (2)'!$V$4:$V$1858,$V1331)/SUMIFS('Comp2016-2017 (3)'!$G$5:$G$289,'Comp2016-2017 (3)'!$A$5:$A$289,$D1331,'Comp2016-2017 (3)'!$R$5:$R$289,$V1331)*$AB1331))</f>
        <v/>
      </c>
      <c r="AF1331" s="222" t="str">
        <f>IF($W1331=AF$3,$AB1331,IF(NOT($W1331=0),"",SUMIFS('Val-Vol (2)'!AF$4:AF$1858,'Val-Vol (2)'!$A$4:$A$1858,$D1331,'Val-Vol (2)'!$V$4:$V$1858,$V1331)/SUMIFS('Comp2016-2017 (3)'!$G$5:$G$289,'Comp2016-2017 (3)'!$A$5:$A$289,$D1331,'Comp2016-2017 (3)'!$R$5:$R$289,$V1331)*$AB1331))</f>
        <v/>
      </c>
      <c r="AG1331" s="222" t="str">
        <f>IF($W1331=AG$3,$AB1331,IF(NOT($W1331=0),"",SUMIFS('Val-Vol (2)'!AG$4:AG$1858,'Val-Vol (2)'!$A$4:$A$1858,$D1331,'Val-Vol (2)'!$V$4:$V$1858,$V1331)/SUMIFS('Comp2016-2017 (3)'!$G$5:$G$289,'Comp2016-2017 (3)'!$A$5:$A$289,$D1331,'Comp2016-2017 (3)'!$R$5:$R$289,$V1331)*$AB1331))</f>
        <v/>
      </c>
      <c r="AH1331" s="222" t="str">
        <f>IF($W1331=AH$3,$AB1331,IF(NOT($W1331=0),"",SUMIFS('Val-Vol (2)'!AH$4:AH$1858,'Val-Vol (2)'!$A$4:$A$1858,$D1331,'Val-Vol (2)'!$V$4:$V$1858,$V1331)/SUMIFS('Comp2016-2017 (3)'!$G$5:$G$289,'Comp2016-2017 (3)'!$A$5:$A$289,$D1331,'Comp2016-2017 (3)'!$R$5:$R$289,$V1331)*$AB1331))</f>
        <v/>
      </c>
      <c r="AI1331" s="222" t="str">
        <f>IF($W1331=AI$3,$AB1331,IF(NOT($W1331=0),"",SUMIFS('Val-Vol (2)'!AI$4:AI$1858,'Val-Vol (2)'!$A$4:$A$1858,$D1331,'Val-Vol (2)'!$V$4:$V$1858,$V1331)/SUMIFS('Comp2016-2017 (3)'!$G$5:$G$289,'Comp2016-2017 (3)'!$A$5:$A$289,$D1331,'Comp2016-2017 (3)'!$R$5:$R$289,$V1331)*$AB1331))</f>
        <v/>
      </c>
      <c r="AJ1331" s="222" t="str">
        <f>IF($W1331=AJ$3,$AB1331,IF(NOT($W1331=0),"",SUMIFS('Val-Vol (2)'!AJ$4:AJ$1858,'Val-Vol (2)'!$A$4:$A$1858,$D1331,'Val-Vol (2)'!$V$4:$V$1858,$V1331)/SUMIFS('Comp2016-2017 (3)'!$G$5:$G$289,'Comp2016-2017 (3)'!$A$5:$A$289,$D1331,'Comp2016-2017 (3)'!$R$5:$R$289,$V1331)*$AB1331))</f>
        <v/>
      </c>
      <c r="AK1331" s="222">
        <f t="shared" si="159"/>
        <v>0</v>
      </c>
      <c r="AL1331" s="212" t="str">
        <f t="shared" si="160"/>
        <v/>
      </c>
      <c r="AM1331" s="212" t="str">
        <f>VLOOKUP(A1331,'Table corresp.'!$M$4:$U$63,8,FALSE)</f>
        <v>Production intermédiaire</v>
      </c>
      <c r="AN1331" s="212" t="str">
        <f>VLOOKUP(D1331,'Table corresp.'!$M$4:$U$63,9,FALSE)</f>
        <v>Exportation</v>
      </c>
    </row>
    <row r="1332" spans="1:40" x14ac:dyDescent="0.25">
      <c r="A1332" t="s">
        <v>86</v>
      </c>
      <c r="B1332" t="str">
        <f>VLOOKUP(LEFT(A1332,3),'Table corresp.'!$A$4:$D$63,3,FALSE)</f>
        <v>Transformation</v>
      </c>
      <c r="C1332" t="str">
        <f>VLOOKUP(A1332,'Table corresp.'!$M$4:$P$63,4,FALSE)</f>
        <v>Production et transformation de produits bois</v>
      </c>
      <c r="D1332" t="s">
        <v>101</v>
      </c>
      <c r="E1332" t="str">
        <f>VLOOKUP(LEFT(D1332,3),'Table corresp.'!$A$4:$D$63,4,FALSE)</f>
        <v>Transformation</v>
      </c>
      <c r="F1332" t="str">
        <f t="shared" si="162"/>
        <v xml:space="preserve">30  - 49 </v>
      </c>
      <c r="G1332" s="213">
        <v>185189.41206386572</v>
      </c>
      <c r="H1332" s="213">
        <v>34841.773596001243</v>
      </c>
      <c r="I1332" s="213">
        <v>220031.18565986698</v>
      </c>
      <c r="J1332" s="215"/>
      <c r="K1332" s="215"/>
      <c r="L1332" s="215"/>
      <c r="M1332" s="215"/>
      <c r="N1332" s="215"/>
      <c r="O1332" s="215"/>
      <c r="P1332" s="215">
        <v>2051.958114090754</v>
      </c>
      <c r="Q1332" s="215">
        <v>344.30245262349098</v>
      </c>
      <c r="R1332" s="215">
        <v>2396.2605667142448</v>
      </c>
      <c r="S1332" s="213" t="s">
        <v>198</v>
      </c>
      <c r="T1332" s="212">
        <f>VLOOKUP(A1332,'Groupe de branches'!$Z$27:$AM$86,14,FALSE)</f>
        <v>1</v>
      </c>
      <c r="U1332" s="212">
        <f>VLOOKUP(D1332,'Groupe de branches'!$Z$27:$AM$86,14,FALSE)</f>
        <v>1</v>
      </c>
      <c r="V1332" s="212">
        <v>2019</v>
      </c>
      <c r="W1332" s="212" t="str">
        <f>VLOOKUP(D1332,'Table corresp.'!$M$4:$S$63,7,FALSE)</f>
        <v>Energie</v>
      </c>
      <c r="X1332" s="228">
        <f>IFERROR(G1332/SUMIFS('Comp2016-2017 (3)'!$I$5:$I$289,'Comp2016-2017 (3)'!$A$5:$A$289,A1332,'Comp2016-2017 (3)'!$R$5:$R$289,V1332),0)</f>
        <v>0.35459434544063106</v>
      </c>
      <c r="Y1332" s="214" t="e">
        <f>IF(RIGHT(F1332,3)="Exp",VLOOKUP(F1332,#REF!,2,FALSE),VLOOKUP(F1332,#REF!,9,FALSE))</f>
        <v>#REF!</v>
      </c>
      <c r="Z1332" s="225" t="str">
        <f t="shared" si="161"/>
        <v/>
      </c>
      <c r="AA1332" s="225" t="e">
        <f t="shared" si="158"/>
        <v>#VALUE!</v>
      </c>
      <c r="AB1332" s="222">
        <f>IFERROR(SUMIFS('Comp2016-2017 (3)'!$G$5:$G$289,'Comp2016-2017 (3)'!$A$5:$A$289,A1332,'Comp2016-2017 (3)'!$R$5:$R$289,V1332)*AA1332/SUMIFS($AA$4:$AA$1858,$A$4:$A$1858,A1332,$V$4:$V$1858,V1332),0)</f>
        <v>0</v>
      </c>
      <c r="AC1332" s="222" t="str">
        <f>IF($W1332=AC$3,$AB1332,IF(NOT($W1332=0),"",SUMIFS('Val-Vol (2)'!AC$4:AC$1858,'Val-Vol (2)'!$A$4:$A$1858,$D1332,'Val-Vol (2)'!$V$4:$V$1858,$V1332)/SUMIFS('Comp2016-2017 (3)'!$G$5:$G$289,'Comp2016-2017 (3)'!$A$5:$A$289,$D1332,'Comp2016-2017 (3)'!$R$5:$R$289,$V1332)*$AB1332))</f>
        <v/>
      </c>
      <c r="AD1332" s="222" t="str">
        <f>IF($W1332=AD$3,$AB1332,IF(NOT($W1332=0),"",SUMIFS('Val-Vol (2)'!AD$4:AD$1858,'Val-Vol (2)'!$A$4:$A$1858,$D1332,'Val-Vol (2)'!$V$4:$V$1858,$V1332)/SUMIFS('Comp2016-2017 (3)'!$G$5:$G$289,'Comp2016-2017 (3)'!$A$5:$A$289,$D1332,'Comp2016-2017 (3)'!$R$5:$R$289,$V1332)*$AB1332))</f>
        <v/>
      </c>
      <c r="AE1332" s="222" t="str">
        <f>IF($W1332=AE$3,$AB1332,IF(NOT($W1332=0),"",SUMIFS('Val-Vol (2)'!AE$4:AE$1858,'Val-Vol (2)'!$A$4:$A$1858,$D1332,'Val-Vol (2)'!$V$4:$V$1858,$V1332)/SUMIFS('Comp2016-2017 (3)'!$G$5:$G$289,'Comp2016-2017 (3)'!$A$5:$A$289,$D1332,'Comp2016-2017 (3)'!$R$5:$R$289,$V1332)*$AB1332))</f>
        <v/>
      </c>
      <c r="AF1332" s="222" t="str">
        <f>IF($W1332=AF$3,$AB1332,IF(NOT($W1332=0),"",SUMIFS('Val-Vol (2)'!AF$4:AF$1858,'Val-Vol (2)'!$A$4:$A$1858,$D1332,'Val-Vol (2)'!$V$4:$V$1858,$V1332)/SUMIFS('Comp2016-2017 (3)'!$G$5:$G$289,'Comp2016-2017 (3)'!$A$5:$A$289,$D1332,'Comp2016-2017 (3)'!$R$5:$R$289,$V1332)*$AB1332))</f>
        <v/>
      </c>
      <c r="AG1332" s="222" t="str">
        <f>IF($W1332=AG$3,$AB1332,IF(NOT($W1332=0),"",SUMIFS('Val-Vol (2)'!AG$4:AG$1858,'Val-Vol (2)'!$A$4:$A$1858,$D1332,'Val-Vol (2)'!$V$4:$V$1858,$V1332)/SUMIFS('Comp2016-2017 (3)'!$G$5:$G$289,'Comp2016-2017 (3)'!$A$5:$A$289,$D1332,'Comp2016-2017 (3)'!$R$5:$R$289,$V1332)*$AB1332))</f>
        <v/>
      </c>
      <c r="AH1332" s="222">
        <f>IF($W1332=AH$3,$AB1332,IF(NOT($W1332=0),"",SUMIFS('Val-Vol (2)'!AH$4:AH$1858,'Val-Vol (2)'!$A$4:$A$1858,$D1332,'Val-Vol (2)'!$V$4:$V$1858,$V1332)/SUMIFS('Comp2016-2017 (3)'!$G$5:$G$289,'Comp2016-2017 (3)'!$A$5:$A$289,$D1332,'Comp2016-2017 (3)'!$R$5:$R$289,$V1332)*$AB1332))</f>
        <v>0</v>
      </c>
      <c r="AI1332" s="222" t="str">
        <f>IF($W1332=AI$3,$AB1332,IF(NOT($W1332=0),"",SUMIFS('Val-Vol (2)'!AI$4:AI$1858,'Val-Vol (2)'!$A$4:$A$1858,$D1332,'Val-Vol (2)'!$V$4:$V$1858,$V1332)/SUMIFS('Comp2016-2017 (3)'!$G$5:$G$289,'Comp2016-2017 (3)'!$A$5:$A$289,$D1332,'Comp2016-2017 (3)'!$R$5:$R$289,$V1332)*$AB1332))</f>
        <v/>
      </c>
      <c r="AJ1332" s="222" t="str">
        <f>IF($W1332=AJ$3,$AB1332,IF(NOT($W1332=0),"",SUMIFS('Val-Vol (2)'!AJ$4:AJ$1858,'Val-Vol (2)'!$A$4:$A$1858,$D1332,'Val-Vol (2)'!$V$4:$V$1858,$V1332)/SUMIFS('Comp2016-2017 (3)'!$G$5:$G$289,'Comp2016-2017 (3)'!$A$5:$A$289,$D1332,'Comp2016-2017 (3)'!$R$5:$R$289,$V1332)*$AB1332))</f>
        <v/>
      </c>
      <c r="AK1332" s="222">
        <f t="shared" si="159"/>
        <v>0</v>
      </c>
      <c r="AL1332" s="212" t="str">
        <f t="shared" si="160"/>
        <v/>
      </c>
      <c r="AM1332" s="212" t="str">
        <f>VLOOKUP(A1332,'Table corresp.'!$M$4:$U$63,8,FALSE)</f>
        <v>Production intermédiaire</v>
      </c>
      <c r="AN1332" s="212" t="str">
        <f>VLOOKUP(D1332,'Table corresp.'!$M$4:$U$63,9,FALSE)</f>
        <v>Production finale</v>
      </c>
    </row>
    <row r="1333" spans="1:40" x14ac:dyDescent="0.25">
      <c r="A1333" t="s">
        <v>86</v>
      </c>
      <c r="B1333" t="str">
        <f>VLOOKUP(LEFT(A1333,3),'Table corresp.'!$A$4:$D$63,3,FALSE)</f>
        <v>Transformation</v>
      </c>
      <c r="C1333" t="str">
        <f>VLOOKUP(A1333,'Table corresp.'!$M$4:$P$63,4,FALSE)</f>
        <v>Production et transformation de produits bois</v>
      </c>
      <c r="D1333" t="s">
        <v>54</v>
      </c>
      <c r="E1333" t="str">
        <f>VLOOKUP(LEFT(D1333,3),'Table corresp.'!$A$4:$D$63,4,FALSE)</f>
        <v>Consommation finale</v>
      </c>
      <c r="F1333" t="str">
        <f t="shared" si="162"/>
        <v>30  - Con</v>
      </c>
      <c r="G1333" s="213">
        <v>301028.39466786018</v>
      </c>
      <c r="H1333" s="213">
        <v>113948.55140399857</v>
      </c>
      <c r="I1333" s="213">
        <v>414976.94607185881</v>
      </c>
      <c r="J1333" s="215"/>
      <c r="K1333" s="215"/>
      <c r="L1333" s="215"/>
      <c r="M1333" s="215"/>
      <c r="N1333" s="215"/>
      <c r="O1333" s="215"/>
      <c r="P1333" s="215">
        <v>3335.4912147861132</v>
      </c>
      <c r="Q1333" s="215">
        <v>1126.0266534133425</v>
      </c>
      <c r="R1333" s="215">
        <v>4461.5178681994557</v>
      </c>
      <c r="S1333" s="213" t="s">
        <v>198</v>
      </c>
      <c r="T1333" s="212">
        <f>VLOOKUP(A1333,'Groupe de branches'!$Z$27:$AM$86,14,FALSE)</f>
        <v>1</v>
      </c>
      <c r="U1333" s="212">
        <f>VLOOKUP(D1333,'Groupe de branches'!$Z$27:$AM$86,14,FALSE)</f>
        <v>0</v>
      </c>
      <c r="V1333" s="212">
        <v>2019</v>
      </c>
      <c r="W1333" s="212" t="str">
        <f>VLOOKUP(D1333,'Table corresp.'!$M$4:$S$63,7,FALSE)</f>
        <v>Consommation finale</v>
      </c>
      <c r="X1333" s="228">
        <f>IFERROR(G1333/SUMIFS('Comp2016-2017 (3)'!$I$5:$I$289,'Comp2016-2017 (3)'!$A$5:$A$289,A1333,'Comp2016-2017 (3)'!$R$5:$R$289,V1333),0)</f>
        <v>0.57639886307043142</v>
      </c>
      <c r="Y1333" s="214" t="e">
        <f>IF(RIGHT(F1333,3)="Exp",VLOOKUP(F1333,#REF!,2,FALSE),VLOOKUP(F1333,#REF!,9,FALSE))</f>
        <v>#REF!</v>
      </c>
      <c r="Z1333" s="225" t="str">
        <f t="shared" si="161"/>
        <v/>
      </c>
      <c r="AA1333" s="225" t="e">
        <f t="shared" si="158"/>
        <v>#VALUE!</v>
      </c>
      <c r="AB1333" s="222">
        <f>IFERROR(SUMIFS('Comp2016-2017 (3)'!$G$5:$G$289,'Comp2016-2017 (3)'!$A$5:$A$289,A1333,'Comp2016-2017 (3)'!$R$5:$R$289,V1333)*AA1333/SUMIFS($AA$4:$AA$1858,$A$4:$A$1858,A1333,$V$4:$V$1858,V1333),0)</f>
        <v>0</v>
      </c>
      <c r="AC1333" s="222" t="str">
        <f>IF($W1333=AC$3,$AB1333,IF(NOT($W1333=0),"",SUMIFS('Val-Vol (2)'!AC$4:AC$1858,'Val-Vol (2)'!$A$4:$A$1858,$D1333,'Val-Vol (2)'!$V$4:$V$1858,$V1333)/SUMIFS('Comp2016-2017 (3)'!$G$5:$G$289,'Comp2016-2017 (3)'!$A$5:$A$289,$D1333,'Comp2016-2017 (3)'!$R$5:$R$289,$V1333)*$AB1333))</f>
        <v/>
      </c>
      <c r="AD1333" s="222" t="str">
        <f>IF($W1333=AD$3,$AB1333,IF(NOT($W1333=0),"",SUMIFS('Val-Vol (2)'!AD$4:AD$1858,'Val-Vol (2)'!$A$4:$A$1858,$D1333,'Val-Vol (2)'!$V$4:$V$1858,$V1333)/SUMIFS('Comp2016-2017 (3)'!$G$5:$G$289,'Comp2016-2017 (3)'!$A$5:$A$289,$D1333,'Comp2016-2017 (3)'!$R$5:$R$289,$V1333)*$AB1333))</f>
        <v/>
      </c>
      <c r="AE1333" s="222" t="str">
        <f>IF($W1333=AE$3,$AB1333,IF(NOT($W1333=0),"",SUMIFS('Val-Vol (2)'!AE$4:AE$1858,'Val-Vol (2)'!$A$4:$A$1858,$D1333,'Val-Vol (2)'!$V$4:$V$1858,$V1333)/SUMIFS('Comp2016-2017 (3)'!$G$5:$G$289,'Comp2016-2017 (3)'!$A$5:$A$289,$D1333,'Comp2016-2017 (3)'!$R$5:$R$289,$V1333)*$AB1333))</f>
        <v/>
      </c>
      <c r="AF1333" s="222" t="str">
        <f>IF($W1333=AF$3,$AB1333,IF(NOT($W1333=0),"",SUMIFS('Val-Vol (2)'!AF$4:AF$1858,'Val-Vol (2)'!$A$4:$A$1858,$D1333,'Val-Vol (2)'!$V$4:$V$1858,$V1333)/SUMIFS('Comp2016-2017 (3)'!$G$5:$G$289,'Comp2016-2017 (3)'!$A$5:$A$289,$D1333,'Comp2016-2017 (3)'!$R$5:$R$289,$V1333)*$AB1333))</f>
        <v/>
      </c>
      <c r="AG1333" s="222" t="str">
        <f>IF($W1333=AG$3,$AB1333,IF(NOT($W1333=0),"",SUMIFS('Val-Vol (2)'!AG$4:AG$1858,'Val-Vol (2)'!$A$4:$A$1858,$D1333,'Val-Vol (2)'!$V$4:$V$1858,$V1333)/SUMIFS('Comp2016-2017 (3)'!$G$5:$G$289,'Comp2016-2017 (3)'!$A$5:$A$289,$D1333,'Comp2016-2017 (3)'!$R$5:$R$289,$V1333)*$AB1333))</f>
        <v/>
      </c>
      <c r="AH1333" s="222" t="str">
        <f>IF($W1333=AH$3,$AB1333,IF(NOT($W1333=0),"",SUMIFS('Val-Vol (2)'!AH$4:AH$1858,'Val-Vol (2)'!$A$4:$A$1858,$D1333,'Val-Vol (2)'!$V$4:$V$1858,$V1333)/SUMIFS('Comp2016-2017 (3)'!$G$5:$G$289,'Comp2016-2017 (3)'!$A$5:$A$289,$D1333,'Comp2016-2017 (3)'!$R$5:$R$289,$V1333)*$AB1333))</f>
        <v/>
      </c>
      <c r="AI1333" s="222" t="str">
        <f>IF($W1333=AI$3,$AB1333,IF(NOT($W1333=0),"",SUMIFS('Val-Vol (2)'!AI$4:AI$1858,'Val-Vol (2)'!$A$4:$A$1858,$D1333,'Val-Vol (2)'!$V$4:$V$1858,$V1333)/SUMIFS('Comp2016-2017 (3)'!$G$5:$G$289,'Comp2016-2017 (3)'!$A$5:$A$289,$D1333,'Comp2016-2017 (3)'!$R$5:$R$289,$V1333)*$AB1333))</f>
        <v/>
      </c>
      <c r="AJ1333" s="222">
        <f>IF($W1333=AJ$3,$AB1333,IF(NOT($W1333=0),"",SUMIFS('Val-Vol (2)'!AJ$4:AJ$1858,'Val-Vol (2)'!$A$4:$A$1858,$D1333,'Val-Vol (2)'!$V$4:$V$1858,$V1333)/SUMIFS('Comp2016-2017 (3)'!$G$5:$G$289,'Comp2016-2017 (3)'!$A$5:$A$289,$D1333,'Comp2016-2017 (3)'!$R$5:$R$289,$V1333)*$AB1333))</f>
        <v>0</v>
      </c>
      <c r="AK1333" s="222">
        <f t="shared" si="159"/>
        <v>0</v>
      </c>
      <c r="AL1333" s="212" t="str">
        <f t="shared" si="160"/>
        <v/>
      </c>
      <c r="AM1333" s="212" t="str">
        <f>VLOOKUP(A1333,'Table corresp.'!$M$4:$U$63,8,FALSE)</f>
        <v>Production intermédiaire</v>
      </c>
      <c r="AN1333" s="212" t="str">
        <f>VLOOKUP(D1333,'Table corresp.'!$M$4:$U$63,9,FALSE)</f>
        <v>Consommation finale française</v>
      </c>
    </row>
    <row r="1334" spans="1:40" x14ac:dyDescent="0.25">
      <c r="A1334" t="s">
        <v>86</v>
      </c>
      <c r="B1334" t="str">
        <f>VLOOKUP(LEFT(A1334,3),'Table corresp.'!$A$4:$D$63,3,FALSE)</f>
        <v>Transformation</v>
      </c>
      <c r="C1334" t="str">
        <f>VLOOKUP(A1334,'Table corresp.'!$M$4:$P$63,4,FALSE)</f>
        <v>Production et transformation de produits bois</v>
      </c>
      <c r="D1334" t="s">
        <v>53</v>
      </c>
      <c r="E1334" t="str">
        <f>VLOOKUP(LEFT(D1334,3),'Table corresp.'!$A$4:$D$63,4,FALSE)</f>
        <v>Exportation</v>
      </c>
      <c r="F1334" t="str">
        <f t="shared" si="162"/>
        <v>30  - Exp</v>
      </c>
      <c r="G1334" s="213">
        <v>36039.286000000015</v>
      </c>
      <c r="H1334" s="213">
        <v>0</v>
      </c>
      <c r="I1334" s="213">
        <v>36039.286000000015</v>
      </c>
      <c r="J1334" s="215"/>
      <c r="K1334" s="215"/>
      <c r="L1334" s="215"/>
      <c r="M1334" s="215"/>
      <c r="N1334" s="215"/>
      <c r="O1334" s="215"/>
      <c r="P1334" s="215">
        <v>337.71970547712471</v>
      </c>
      <c r="Q1334" s="215">
        <v>0</v>
      </c>
      <c r="R1334" s="215">
        <v>337.71970547712471</v>
      </c>
      <c r="S1334" s="213" t="s">
        <v>198</v>
      </c>
      <c r="T1334" s="212">
        <f>VLOOKUP(A1334,'Groupe de branches'!$Z$27:$AM$86,14,FALSE)</f>
        <v>1</v>
      </c>
      <c r="U1334" s="212">
        <f>VLOOKUP(D1334,'Groupe de branches'!$Z$27:$AM$86,14,FALSE)</f>
        <v>0</v>
      </c>
      <c r="V1334" s="212">
        <v>2019</v>
      </c>
      <c r="W1334" s="212" t="str">
        <f>VLOOKUP(D1334,'Table corresp.'!$M$4:$S$63,7,FALSE)</f>
        <v>Exportation</v>
      </c>
      <c r="X1334" s="228">
        <f>IFERROR(G1334/SUMIFS('Comp2016-2017 (3)'!$I$5:$I$289,'Comp2016-2017 (3)'!$A$5:$A$289,A1334,'Comp2016-2017 (3)'!$R$5:$R$289,V1334),0)</f>
        <v>6.9006790868316681E-2</v>
      </c>
      <c r="Y1334" s="214" t="e">
        <f>IF(RIGHT(F1334,3)="Exp",VLOOKUP(F1334,#REF!,2,FALSE),VLOOKUP(F1334,#REF!,9,FALSE))</f>
        <v>#REF!</v>
      </c>
      <c r="Z1334" s="225" t="str">
        <f t="shared" si="161"/>
        <v/>
      </c>
      <c r="AA1334" s="225" t="e">
        <f t="shared" si="158"/>
        <v>#VALUE!</v>
      </c>
      <c r="AB1334" s="222">
        <f>IFERROR(SUMIFS('Comp2016-2017 (3)'!$G$5:$G$289,'Comp2016-2017 (3)'!$A$5:$A$289,A1334,'Comp2016-2017 (3)'!$R$5:$R$289,V1334)*AA1334/SUMIFS($AA$4:$AA$1858,$A$4:$A$1858,A1334,$V$4:$V$1858,V1334),0)</f>
        <v>0</v>
      </c>
      <c r="AC1334" s="222">
        <f>IF($W1334=AC$3,$AB1334,IF(NOT($W1334=0),"",SUMIFS('Val-Vol (2)'!AC$4:AC$1858,'Val-Vol (2)'!$A$4:$A$1858,$D1334,'Val-Vol (2)'!$V$4:$V$1858,$V1334)/SUMIFS('Comp2016-2017 (3)'!$G$5:$G$289,'Comp2016-2017 (3)'!$A$5:$A$289,$D1334,'Comp2016-2017 (3)'!$R$5:$R$289,$V1334)*$AB1334))</f>
        <v>0</v>
      </c>
      <c r="AD1334" s="222" t="str">
        <f>IF($W1334=AD$3,$AB1334,IF(NOT($W1334=0),"",SUMIFS('Val-Vol (2)'!AD$4:AD$1858,'Val-Vol (2)'!$A$4:$A$1858,$D1334,'Val-Vol (2)'!$V$4:$V$1858,$V1334)/SUMIFS('Comp2016-2017 (3)'!$G$5:$G$289,'Comp2016-2017 (3)'!$A$5:$A$289,$D1334,'Comp2016-2017 (3)'!$R$5:$R$289,$V1334)*$AB1334))</f>
        <v/>
      </c>
      <c r="AE1334" s="222" t="str">
        <f>IF($W1334=AE$3,$AB1334,IF(NOT($W1334=0),"",SUMIFS('Val-Vol (2)'!AE$4:AE$1858,'Val-Vol (2)'!$A$4:$A$1858,$D1334,'Val-Vol (2)'!$V$4:$V$1858,$V1334)/SUMIFS('Comp2016-2017 (3)'!$G$5:$G$289,'Comp2016-2017 (3)'!$A$5:$A$289,$D1334,'Comp2016-2017 (3)'!$R$5:$R$289,$V1334)*$AB1334))</f>
        <v/>
      </c>
      <c r="AF1334" s="222" t="str">
        <f>IF($W1334=AF$3,$AB1334,IF(NOT($W1334=0),"",SUMIFS('Val-Vol (2)'!AF$4:AF$1858,'Val-Vol (2)'!$A$4:$A$1858,$D1334,'Val-Vol (2)'!$V$4:$V$1858,$V1334)/SUMIFS('Comp2016-2017 (3)'!$G$5:$G$289,'Comp2016-2017 (3)'!$A$5:$A$289,$D1334,'Comp2016-2017 (3)'!$R$5:$R$289,$V1334)*$AB1334))</f>
        <v/>
      </c>
      <c r="AG1334" s="222" t="str">
        <f>IF($W1334=AG$3,$AB1334,IF(NOT($W1334=0),"",SUMIFS('Val-Vol (2)'!AG$4:AG$1858,'Val-Vol (2)'!$A$4:$A$1858,$D1334,'Val-Vol (2)'!$V$4:$V$1858,$V1334)/SUMIFS('Comp2016-2017 (3)'!$G$5:$G$289,'Comp2016-2017 (3)'!$A$5:$A$289,$D1334,'Comp2016-2017 (3)'!$R$5:$R$289,$V1334)*$AB1334))</f>
        <v/>
      </c>
      <c r="AH1334" s="222" t="str">
        <f>IF($W1334=AH$3,$AB1334,IF(NOT($W1334=0),"",SUMIFS('Val-Vol (2)'!AH$4:AH$1858,'Val-Vol (2)'!$A$4:$A$1858,$D1334,'Val-Vol (2)'!$V$4:$V$1858,$V1334)/SUMIFS('Comp2016-2017 (3)'!$G$5:$G$289,'Comp2016-2017 (3)'!$A$5:$A$289,$D1334,'Comp2016-2017 (3)'!$R$5:$R$289,$V1334)*$AB1334))</f>
        <v/>
      </c>
      <c r="AI1334" s="222" t="str">
        <f>IF($W1334=AI$3,$AB1334,IF(NOT($W1334=0),"",SUMIFS('Val-Vol (2)'!AI$4:AI$1858,'Val-Vol (2)'!$A$4:$A$1858,$D1334,'Val-Vol (2)'!$V$4:$V$1858,$V1334)/SUMIFS('Comp2016-2017 (3)'!$G$5:$G$289,'Comp2016-2017 (3)'!$A$5:$A$289,$D1334,'Comp2016-2017 (3)'!$R$5:$R$289,$V1334)*$AB1334))</f>
        <v/>
      </c>
      <c r="AJ1334" s="222" t="str">
        <f>IF($W1334=AJ$3,$AB1334,IF(NOT($W1334=0),"",SUMIFS('Val-Vol (2)'!AJ$4:AJ$1858,'Val-Vol (2)'!$A$4:$A$1858,$D1334,'Val-Vol (2)'!$V$4:$V$1858,$V1334)/SUMIFS('Comp2016-2017 (3)'!$G$5:$G$289,'Comp2016-2017 (3)'!$A$5:$A$289,$D1334,'Comp2016-2017 (3)'!$R$5:$R$289,$V1334)*$AB1334))</f>
        <v/>
      </c>
      <c r="AK1334" s="222">
        <f t="shared" si="159"/>
        <v>0</v>
      </c>
      <c r="AL1334" s="212" t="str">
        <f t="shared" si="160"/>
        <v/>
      </c>
      <c r="AM1334" s="212" t="str">
        <f>VLOOKUP(A1334,'Table corresp.'!$M$4:$U$63,8,FALSE)</f>
        <v>Production intermédiaire</v>
      </c>
      <c r="AN1334" s="212" t="str">
        <f>VLOOKUP(D1334,'Table corresp.'!$M$4:$U$63,9,FALSE)</f>
        <v>Exportation</v>
      </c>
    </row>
    <row r="1335" spans="1:40" x14ac:dyDescent="0.25">
      <c r="A1335" t="s">
        <v>87</v>
      </c>
      <c r="B1335" t="str">
        <f>VLOOKUP(LEFT(A1335,3),'Table corresp.'!$A$4:$D$63,3,FALSE)</f>
        <v>Transformation</v>
      </c>
      <c r="C1335" t="str">
        <f>VLOOKUP(A1335,'Table corresp.'!$M$4:$P$63,4,FALSE)</f>
        <v>Production et transformation de produits bois</v>
      </c>
      <c r="D1335" t="s">
        <v>87</v>
      </c>
      <c r="E1335" t="str">
        <f>VLOOKUP(LEFT(D1335,3),'Table corresp.'!$A$4:$D$63,4,FALSE)</f>
        <v>Transformation</v>
      </c>
      <c r="F1335" t="str">
        <f t="shared" si="162"/>
        <v xml:space="preserve">31  - 31 </v>
      </c>
      <c r="G1335" s="213">
        <v>14056.688080247597</v>
      </c>
      <c r="H1335" s="213">
        <v>44549.575509231356</v>
      </c>
      <c r="I1335" s="213">
        <v>58606.263589478956</v>
      </c>
      <c r="J1335" s="215"/>
      <c r="K1335" s="215"/>
      <c r="L1335" s="215"/>
      <c r="M1335" s="215"/>
      <c r="N1335" s="215"/>
      <c r="O1335" s="215"/>
      <c r="P1335" s="215"/>
      <c r="Q1335" s="215"/>
      <c r="R1335" s="215"/>
      <c r="S1335" s="213"/>
      <c r="T1335" s="212">
        <f>VLOOKUP(A1335,'Groupe de branches'!$Z$27:$AM$86,14,FALSE)</f>
        <v>0</v>
      </c>
      <c r="U1335" s="212">
        <f>VLOOKUP(D1335,'Groupe de branches'!$Z$27:$AM$86,14,FALSE)</f>
        <v>0</v>
      </c>
      <c r="V1335" s="212">
        <v>2019</v>
      </c>
      <c r="W1335" s="212">
        <f>VLOOKUP(D1335,'Table corresp.'!$M$4:$S$63,7,FALSE)</f>
        <v>0</v>
      </c>
      <c r="X1335" s="228">
        <f>IFERROR(G1335/SUMIFS('Comp2016-2017 (3)'!$I$5:$I$289,'Comp2016-2017 (3)'!$A$5:$A$289,A1335,'Comp2016-2017 (3)'!$R$5:$R$289,V1335),0)</f>
        <v>8.8854693107299852E-3</v>
      </c>
      <c r="Y1335" s="214" t="e">
        <f>IF(RIGHT(F1335,3)="Exp",VLOOKUP(F1335,#REF!,2,FALSE),VLOOKUP(F1335,#REF!,9,FALSE))</f>
        <v>#REF!</v>
      </c>
      <c r="Z1335" s="225" t="str">
        <f t="shared" si="161"/>
        <v/>
      </c>
      <c r="AA1335" s="225" t="e">
        <f t="shared" si="158"/>
        <v>#VALUE!</v>
      </c>
      <c r="AB1335" s="222">
        <f>IFERROR(SUMIFS('Comp2016-2017 (3)'!$G$5:$G$289,'Comp2016-2017 (3)'!$A$5:$A$289,A1335,'Comp2016-2017 (3)'!$R$5:$R$289,V1335)*AA1335/SUMIFS($AA$4:$AA$1858,$A$4:$A$1858,A1335,$V$4:$V$1858,V1335),0)</f>
        <v>0</v>
      </c>
      <c r="AC1335" s="229"/>
      <c r="AD1335" s="229"/>
      <c r="AE1335" s="229"/>
      <c r="AF1335" s="229"/>
      <c r="AG1335" s="229"/>
      <c r="AH1335" s="229"/>
      <c r="AI1335" s="229"/>
      <c r="AJ1335" s="229">
        <f>AB1335</f>
        <v>0</v>
      </c>
      <c r="AK1335" s="222">
        <f t="shared" si="159"/>
        <v>0</v>
      </c>
      <c r="AL1335" s="230" t="str">
        <f t="shared" si="160"/>
        <v>remplir à la main</v>
      </c>
      <c r="AM1335" s="212" t="str">
        <f>VLOOKUP(A1335,'Table corresp.'!$M$4:$U$63,8,FALSE)</f>
        <v>Production intermédiaire</v>
      </c>
      <c r="AN1335" s="212" t="str">
        <f>VLOOKUP(D1335,'Table corresp.'!$M$4:$U$63,9,FALSE)</f>
        <v>Production intermédiaire</v>
      </c>
    </row>
    <row r="1336" spans="1:40" x14ac:dyDescent="0.25">
      <c r="A1336" t="s">
        <v>87</v>
      </c>
      <c r="B1336" t="str">
        <f>VLOOKUP(LEFT(A1336,3),'Table corresp.'!$A$4:$D$63,3,FALSE)</f>
        <v>Transformation</v>
      </c>
      <c r="C1336" t="str">
        <f>VLOOKUP(A1336,'Table corresp.'!$M$4:$P$63,4,FALSE)</f>
        <v>Production et transformation de produits bois</v>
      </c>
      <c r="D1336" t="s">
        <v>89</v>
      </c>
      <c r="E1336" t="str">
        <f>VLOOKUP(LEFT(D1336,3),'Table corresp.'!$A$4:$D$63,4,FALSE)</f>
        <v>Transformation</v>
      </c>
      <c r="F1336" t="str">
        <f t="shared" si="162"/>
        <v xml:space="preserve">31  - 33 </v>
      </c>
      <c r="G1336" s="213">
        <v>3164.1412184770002</v>
      </c>
      <c r="H1336" s="213">
        <v>5788.898401247171</v>
      </c>
      <c r="I1336" s="213">
        <v>8953.0396197241716</v>
      </c>
      <c r="J1336" s="215">
        <v>0.72618473968313679</v>
      </c>
      <c r="K1336" s="215">
        <v>0.89502499022393145</v>
      </c>
      <c r="L1336" s="215">
        <v>1.6212097299070682</v>
      </c>
      <c r="M1336" s="215">
        <v>7.8479428953489272</v>
      </c>
      <c r="N1336" s="215">
        <v>9.9654134188850119</v>
      </c>
      <c r="O1336" s="215">
        <v>17.813356314233939</v>
      </c>
      <c r="P1336" s="215">
        <v>1.8609454550374973</v>
      </c>
      <c r="Q1336" s="215">
        <v>3.4664295257446955</v>
      </c>
      <c r="R1336" s="215">
        <v>5.3273749807821931</v>
      </c>
      <c r="S1336" s="213" t="s">
        <v>192</v>
      </c>
      <c r="T1336" s="212">
        <f>VLOOKUP(A1336,'Groupe de branches'!$Z$27:$AM$86,14,FALSE)</f>
        <v>0</v>
      </c>
      <c r="U1336" s="212">
        <f>VLOOKUP(D1336,'Groupe de branches'!$Z$27:$AM$86,14,FALSE)</f>
        <v>0</v>
      </c>
      <c r="V1336" s="212">
        <v>2019</v>
      </c>
      <c r="W1336" s="212" t="str">
        <f>VLOOKUP(D1336,'Table corresp.'!$M$4:$S$63,7,FALSE)</f>
        <v>Construction</v>
      </c>
      <c r="X1336" s="228">
        <f>IFERROR(G1336/SUMIFS('Comp2016-2017 (3)'!$I$5:$I$289,'Comp2016-2017 (3)'!$A$5:$A$289,A1336,'Comp2016-2017 (3)'!$R$5:$R$289,V1336),0)</f>
        <v>2.0001069619735024E-3</v>
      </c>
      <c r="Y1336" s="214" t="e">
        <f>IF(RIGHT(F1336,3)="Exp",VLOOKUP(F1336,#REF!,2,FALSE),VLOOKUP(F1336,#REF!,9,FALSE))</f>
        <v>#REF!</v>
      </c>
      <c r="Z1336" s="225" t="str">
        <f t="shared" si="161"/>
        <v/>
      </c>
      <c r="AA1336" s="225" t="e">
        <f t="shared" si="158"/>
        <v>#VALUE!</v>
      </c>
      <c r="AB1336" s="222">
        <f>IFERROR(SUMIFS('Comp2016-2017 (3)'!$G$5:$G$289,'Comp2016-2017 (3)'!$A$5:$A$289,A1336,'Comp2016-2017 (3)'!$R$5:$R$289,V1336)*AA1336/SUMIFS($AA$4:$AA$1858,$A$4:$A$1858,A1336,$V$4:$V$1858,V1336),0)</f>
        <v>0</v>
      </c>
      <c r="AC1336" s="222" t="str">
        <f>IF($W1336=AC$3,$AB1336,IF(NOT($W1336=0),"",SUMIFS('Val-Vol (2)'!AC$4:AC$1858,'Val-Vol (2)'!$A$4:$A$1858,$D1336,'Val-Vol (2)'!$V$4:$V$1858,$V1336)/SUMIFS('Comp2016-2017 (3)'!$G$5:$G$289,'Comp2016-2017 (3)'!$A$5:$A$289,$D1336,'Comp2016-2017 (3)'!$R$5:$R$289,$V1336)*$AB1336))</f>
        <v/>
      </c>
      <c r="AD1336" s="222">
        <f>IF($W1336=AD$3,$AB1336,IF(NOT($W1336=0),"",SUMIFS('Val-Vol (2)'!AD$4:AD$1858,'Val-Vol (2)'!$A$4:$A$1858,$D1336,'Val-Vol (2)'!$V$4:$V$1858,$V1336)/SUMIFS('Comp2016-2017 (3)'!$G$5:$G$289,'Comp2016-2017 (3)'!$A$5:$A$289,$D1336,'Comp2016-2017 (3)'!$R$5:$R$289,$V1336)*$AB1336))</f>
        <v>0</v>
      </c>
      <c r="AE1336" s="222" t="str">
        <f>IF($W1336=AE$3,$AB1336,IF(NOT($W1336=0),"",SUMIFS('Val-Vol (2)'!AE$4:AE$1858,'Val-Vol (2)'!$A$4:$A$1858,$D1336,'Val-Vol (2)'!$V$4:$V$1858,$V1336)/SUMIFS('Comp2016-2017 (3)'!$G$5:$G$289,'Comp2016-2017 (3)'!$A$5:$A$289,$D1336,'Comp2016-2017 (3)'!$R$5:$R$289,$V1336)*$AB1336))</f>
        <v/>
      </c>
      <c r="AF1336" s="222" t="str">
        <f>IF($W1336=AF$3,$AB1336,IF(NOT($W1336=0),"",SUMIFS('Val-Vol (2)'!AF$4:AF$1858,'Val-Vol (2)'!$A$4:$A$1858,$D1336,'Val-Vol (2)'!$V$4:$V$1858,$V1336)/SUMIFS('Comp2016-2017 (3)'!$G$5:$G$289,'Comp2016-2017 (3)'!$A$5:$A$289,$D1336,'Comp2016-2017 (3)'!$R$5:$R$289,$V1336)*$AB1336))</f>
        <v/>
      </c>
      <c r="AG1336" s="222" t="str">
        <f>IF($W1336=AG$3,$AB1336,IF(NOT($W1336=0),"",SUMIFS('Val-Vol (2)'!AG$4:AG$1858,'Val-Vol (2)'!$A$4:$A$1858,$D1336,'Val-Vol (2)'!$V$4:$V$1858,$V1336)/SUMIFS('Comp2016-2017 (3)'!$G$5:$G$289,'Comp2016-2017 (3)'!$A$5:$A$289,$D1336,'Comp2016-2017 (3)'!$R$5:$R$289,$V1336)*$AB1336))</f>
        <v/>
      </c>
      <c r="AH1336" s="222" t="str">
        <f>IF($W1336=AH$3,$AB1336,IF(NOT($W1336=0),"",SUMIFS('Val-Vol (2)'!AH$4:AH$1858,'Val-Vol (2)'!$A$4:$A$1858,$D1336,'Val-Vol (2)'!$V$4:$V$1858,$V1336)/SUMIFS('Comp2016-2017 (3)'!$G$5:$G$289,'Comp2016-2017 (3)'!$A$5:$A$289,$D1336,'Comp2016-2017 (3)'!$R$5:$R$289,$V1336)*$AB1336))</f>
        <v/>
      </c>
      <c r="AI1336" s="222" t="str">
        <f>IF($W1336=AI$3,$AB1336,IF(NOT($W1336=0),"",SUMIFS('Val-Vol (2)'!AI$4:AI$1858,'Val-Vol (2)'!$A$4:$A$1858,$D1336,'Val-Vol (2)'!$V$4:$V$1858,$V1336)/SUMIFS('Comp2016-2017 (3)'!$G$5:$G$289,'Comp2016-2017 (3)'!$A$5:$A$289,$D1336,'Comp2016-2017 (3)'!$R$5:$R$289,$V1336)*$AB1336))</f>
        <v/>
      </c>
      <c r="AJ1336" s="222" t="str">
        <f>IF($W1336=AJ$3,$AB1336,IF(NOT($W1336=0),"",SUMIFS('Val-Vol (2)'!AJ$4:AJ$1858,'Val-Vol (2)'!$A$4:$A$1858,$D1336,'Val-Vol (2)'!$V$4:$V$1858,$V1336)/SUMIFS('Comp2016-2017 (3)'!$G$5:$G$289,'Comp2016-2017 (3)'!$A$5:$A$289,$D1336,'Comp2016-2017 (3)'!$R$5:$R$289,$V1336)*$AB1336))</f>
        <v/>
      </c>
      <c r="AK1336" s="222">
        <f t="shared" si="159"/>
        <v>0</v>
      </c>
      <c r="AL1336" s="212" t="str">
        <f t="shared" si="160"/>
        <v/>
      </c>
      <c r="AM1336" s="212" t="str">
        <f>VLOOKUP(A1336,'Table corresp.'!$M$4:$U$63,8,FALSE)</f>
        <v>Production intermédiaire</v>
      </c>
      <c r="AN1336" s="212" t="str">
        <f>VLOOKUP(D1336,'Table corresp.'!$M$4:$U$63,9,FALSE)</f>
        <v>Production finale</v>
      </c>
    </row>
    <row r="1337" spans="1:40" x14ac:dyDescent="0.25">
      <c r="A1337" t="s">
        <v>87</v>
      </c>
      <c r="B1337" t="str">
        <f>VLOOKUP(LEFT(A1337,3),'Table corresp.'!$A$4:$D$63,3,FALSE)</f>
        <v>Transformation</v>
      </c>
      <c r="C1337" t="str">
        <f>VLOOKUP(A1337,'Table corresp.'!$M$4:$P$63,4,FALSE)</f>
        <v>Production et transformation de produits bois</v>
      </c>
      <c r="D1337" t="s">
        <v>90</v>
      </c>
      <c r="E1337" t="str">
        <f>VLOOKUP(LEFT(D1337,3),'Table corresp.'!$A$4:$D$63,4,FALSE)</f>
        <v>Transformation</v>
      </c>
      <c r="F1337" t="str">
        <f t="shared" si="162"/>
        <v xml:space="preserve">31  - 34 </v>
      </c>
      <c r="G1337" s="213">
        <v>11299.359457169563</v>
      </c>
      <c r="H1337" s="213">
        <v>14403.828963901164</v>
      </c>
      <c r="I1337" s="213">
        <v>25703.188421070725</v>
      </c>
      <c r="J1337" s="215">
        <v>3.7515743644275261</v>
      </c>
      <c r="K1337" s="215">
        <v>3.2217042098339004</v>
      </c>
      <c r="L1337" s="215">
        <v>6.9732785742614265</v>
      </c>
      <c r="M1337" s="215">
        <v>40.543596926215983</v>
      </c>
      <c r="N1337" s="215">
        <v>35.87119322369356</v>
      </c>
      <c r="O1337" s="215">
        <v>76.41479014990955</v>
      </c>
      <c r="P1337" s="215">
        <v>6.6455604142649012</v>
      </c>
      <c r="Q1337" s="215">
        <v>8.6251052520608482</v>
      </c>
      <c r="R1337" s="215">
        <v>15.270665666325749</v>
      </c>
      <c r="S1337" s="213" t="s">
        <v>192</v>
      </c>
      <c r="T1337" s="212">
        <f>VLOOKUP(A1337,'Groupe de branches'!$Z$27:$AM$86,14,FALSE)</f>
        <v>0</v>
      </c>
      <c r="U1337" s="212">
        <f>VLOOKUP(D1337,'Groupe de branches'!$Z$27:$AM$86,14,FALSE)</f>
        <v>0</v>
      </c>
      <c r="V1337" s="212">
        <v>2019</v>
      </c>
      <c r="W1337" s="212" t="str">
        <f>VLOOKUP(D1337,'Table corresp.'!$M$4:$S$63,7,FALSE)</f>
        <v>Construction</v>
      </c>
      <c r="X1337" s="228">
        <f>IFERROR(G1337/SUMIFS('Comp2016-2017 (3)'!$I$5:$I$289,'Comp2016-2017 (3)'!$A$5:$A$289,A1337,'Comp2016-2017 (3)'!$R$5:$R$289,V1337),0)</f>
        <v>7.1425154427854614E-3</v>
      </c>
      <c r="Y1337" s="214" t="e">
        <f>IF(RIGHT(F1337,3)="Exp",VLOOKUP(F1337,#REF!,2,FALSE),VLOOKUP(F1337,#REF!,9,FALSE))</f>
        <v>#REF!</v>
      </c>
      <c r="Z1337" s="225" t="str">
        <f t="shared" si="161"/>
        <v/>
      </c>
      <c r="AA1337" s="225" t="e">
        <f t="shared" si="158"/>
        <v>#VALUE!</v>
      </c>
      <c r="AB1337" s="222">
        <f>IFERROR(SUMIFS('Comp2016-2017 (3)'!$G$5:$G$289,'Comp2016-2017 (3)'!$A$5:$A$289,A1337,'Comp2016-2017 (3)'!$R$5:$R$289,V1337)*AA1337/SUMIFS($AA$4:$AA$1858,$A$4:$A$1858,A1337,$V$4:$V$1858,V1337),0)</f>
        <v>0</v>
      </c>
      <c r="AC1337" s="222" t="str">
        <f>IF($W1337=AC$3,$AB1337,IF(NOT($W1337=0),"",SUMIFS('Val-Vol (2)'!AC$4:AC$1858,'Val-Vol (2)'!$A$4:$A$1858,$D1337,'Val-Vol (2)'!$V$4:$V$1858,$V1337)/SUMIFS('Comp2016-2017 (3)'!$G$5:$G$289,'Comp2016-2017 (3)'!$A$5:$A$289,$D1337,'Comp2016-2017 (3)'!$R$5:$R$289,$V1337)*$AB1337))</f>
        <v/>
      </c>
      <c r="AD1337" s="222">
        <f>IF($W1337=AD$3,$AB1337,IF(NOT($W1337=0),"",SUMIFS('Val-Vol (2)'!AD$4:AD$1858,'Val-Vol (2)'!$A$4:$A$1858,$D1337,'Val-Vol (2)'!$V$4:$V$1858,$V1337)/SUMIFS('Comp2016-2017 (3)'!$G$5:$G$289,'Comp2016-2017 (3)'!$A$5:$A$289,$D1337,'Comp2016-2017 (3)'!$R$5:$R$289,$V1337)*$AB1337))</f>
        <v>0</v>
      </c>
      <c r="AE1337" s="222" t="str">
        <f>IF($W1337=AE$3,$AB1337,IF(NOT($W1337=0),"",SUMIFS('Val-Vol (2)'!AE$4:AE$1858,'Val-Vol (2)'!$A$4:$A$1858,$D1337,'Val-Vol (2)'!$V$4:$V$1858,$V1337)/SUMIFS('Comp2016-2017 (3)'!$G$5:$G$289,'Comp2016-2017 (3)'!$A$5:$A$289,$D1337,'Comp2016-2017 (3)'!$R$5:$R$289,$V1337)*$AB1337))</f>
        <v/>
      </c>
      <c r="AF1337" s="222" t="str">
        <f>IF($W1337=AF$3,$AB1337,IF(NOT($W1337=0),"",SUMIFS('Val-Vol (2)'!AF$4:AF$1858,'Val-Vol (2)'!$A$4:$A$1858,$D1337,'Val-Vol (2)'!$V$4:$V$1858,$V1337)/SUMIFS('Comp2016-2017 (3)'!$G$5:$G$289,'Comp2016-2017 (3)'!$A$5:$A$289,$D1337,'Comp2016-2017 (3)'!$R$5:$R$289,$V1337)*$AB1337))</f>
        <v/>
      </c>
      <c r="AG1337" s="222" t="str">
        <f>IF($W1337=AG$3,$AB1337,IF(NOT($W1337=0),"",SUMIFS('Val-Vol (2)'!AG$4:AG$1858,'Val-Vol (2)'!$A$4:$A$1858,$D1337,'Val-Vol (2)'!$V$4:$V$1858,$V1337)/SUMIFS('Comp2016-2017 (3)'!$G$5:$G$289,'Comp2016-2017 (3)'!$A$5:$A$289,$D1337,'Comp2016-2017 (3)'!$R$5:$R$289,$V1337)*$AB1337))</f>
        <v/>
      </c>
      <c r="AH1337" s="222" t="str">
        <f>IF($W1337=AH$3,$AB1337,IF(NOT($W1337=0),"",SUMIFS('Val-Vol (2)'!AH$4:AH$1858,'Val-Vol (2)'!$A$4:$A$1858,$D1337,'Val-Vol (2)'!$V$4:$V$1858,$V1337)/SUMIFS('Comp2016-2017 (3)'!$G$5:$G$289,'Comp2016-2017 (3)'!$A$5:$A$289,$D1337,'Comp2016-2017 (3)'!$R$5:$R$289,$V1337)*$AB1337))</f>
        <v/>
      </c>
      <c r="AI1337" s="222" t="str">
        <f>IF($W1337=AI$3,$AB1337,IF(NOT($W1337=0),"",SUMIFS('Val-Vol (2)'!AI$4:AI$1858,'Val-Vol (2)'!$A$4:$A$1858,$D1337,'Val-Vol (2)'!$V$4:$V$1858,$V1337)/SUMIFS('Comp2016-2017 (3)'!$G$5:$G$289,'Comp2016-2017 (3)'!$A$5:$A$289,$D1337,'Comp2016-2017 (3)'!$R$5:$R$289,$V1337)*$AB1337))</f>
        <v/>
      </c>
      <c r="AJ1337" s="222" t="str">
        <f>IF($W1337=AJ$3,$AB1337,IF(NOT($W1337=0),"",SUMIFS('Val-Vol (2)'!AJ$4:AJ$1858,'Val-Vol (2)'!$A$4:$A$1858,$D1337,'Val-Vol (2)'!$V$4:$V$1858,$V1337)/SUMIFS('Comp2016-2017 (3)'!$G$5:$G$289,'Comp2016-2017 (3)'!$A$5:$A$289,$D1337,'Comp2016-2017 (3)'!$R$5:$R$289,$V1337)*$AB1337))</f>
        <v/>
      </c>
      <c r="AK1337" s="222">
        <f t="shared" si="159"/>
        <v>0</v>
      </c>
      <c r="AL1337" s="212" t="str">
        <f t="shared" si="160"/>
        <v/>
      </c>
      <c r="AM1337" s="212" t="str">
        <f>VLOOKUP(A1337,'Table corresp.'!$M$4:$U$63,8,FALSE)</f>
        <v>Production intermédiaire</v>
      </c>
      <c r="AN1337" s="212" t="str">
        <f>VLOOKUP(D1337,'Table corresp.'!$M$4:$U$63,9,FALSE)</f>
        <v>Production finale</v>
      </c>
    </row>
    <row r="1338" spans="1:40" x14ac:dyDescent="0.25">
      <c r="A1338" t="s">
        <v>87</v>
      </c>
      <c r="B1338" t="str">
        <f>VLOOKUP(LEFT(A1338,3),'Table corresp.'!$A$4:$D$63,3,FALSE)</f>
        <v>Transformation</v>
      </c>
      <c r="C1338" t="str">
        <f>VLOOKUP(A1338,'Table corresp.'!$M$4:$P$63,4,FALSE)</f>
        <v>Production et transformation de produits bois</v>
      </c>
      <c r="D1338" t="s">
        <v>15</v>
      </c>
      <c r="E1338" t="str">
        <f>VLOOKUP(LEFT(D1338,3),'Table corresp.'!$A$4:$D$63,4,FALSE)</f>
        <v>Transformation</v>
      </c>
      <c r="F1338" t="str">
        <f t="shared" si="162"/>
        <v xml:space="preserve">31  - 35 </v>
      </c>
      <c r="G1338" s="213">
        <v>10989.408914566733</v>
      </c>
      <c r="H1338" s="213">
        <v>6925.3958109552214</v>
      </c>
      <c r="I1338" s="213">
        <v>17914.804725521954</v>
      </c>
      <c r="J1338" s="215">
        <v>1.5637138517342066</v>
      </c>
      <c r="K1338" s="215">
        <v>0.66385850481159392</v>
      </c>
      <c r="L1338" s="215">
        <v>2.2275723565458003</v>
      </c>
      <c r="M1338" s="215">
        <v>16.899194299278317</v>
      </c>
      <c r="N1338" s="215">
        <v>7.3915527771299381</v>
      </c>
      <c r="O1338" s="215">
        <v>24.290747076408255</v>
      </c>
      <c r="P1338" s="215">
        <v>6.4632673325987247</v>
      </c>
      <c r="Q1338" s="215">
        <v>4.1469714706673431</v>
      </c>
      <c r="R1338" s="215">
        <v>10.610238803266068</v>
      </c>
      <c r="S1338" s="213" t="s">
        <v>192</v>
      </c>
      <c r="T1338" s="212">
        <f>VLOOKUP(A1338,'Groupe de branches'!$Z$27:$AM$86,14,FALSE)</f>
        <v>0</v>
      </c>
      <c r="U1338" s="212">
        <f>VLOOKUP(D1338,'Groupe de branches'!$Z$27:$AM$86,14,FALSE)</f>
        <v>0</v>
      </c>
      <c r="V1338" s="212">
        <v>2019</v>
      </c>
      <c r="W1338" s="212" t="str">
        <f>VLOOKUP(D1338,'Table corresp.'!$M$4:$S$63,7,FALSE)</f>
        <v>Construction</v>
      </c>
      <c r="X1338" s="228">
        <f>IFERROR(G1338/SUMIFS('Comp2016-2017 (3)'!$I$5:$I$289,'Comp2016-2017 (3)'!$A$5:$A$289,A1338,'Comp2016-2017 (3)'!$R$5:$R$289,V1338),0)</f>
        <v>6.9465904839033227E-3</v>
      </c>
      <c r="Y1338" s="214" t="e">
        <f>IF(RIGHT(F1338,3)="Exp",VLOOKUP(F1338,#REF!,2,FALSE),VLOOKUP(F1338,#REF!,9,FALSE))</f>
        <v>#REF!</v>
      </c>
      <c r="Z1338" s="225" t="str">
        <f t="shared" si="161"/>
        <v/>
      </c>
      <c r="AA1338" s="225" t="e">
        <f t="shared" si="158"/>
        <v>#VALUE!</v>
      </c>
      <c r="AB1338" s="222">
        <f>IFERROR(SUMIFS('Comp2016-2017 (3)'!$G$5:$G$289,'Comp2016-2017 (3)'!$A$5:$A$289,A1338,'Comp2016-2017 (3)'!$R$5:$R$289,V1338)*AA1338/SUMIFS($AA$4:$AA$1858,$A$4:$A$1858,A1338,$V$4:$V$1858,V1338),0)</f>
        <v>0</v>
      </c>
      <c r="AC1338" s="222" t="str">
        <f>IF($W1338=AC$3,$AB1338,IF(NOT($W1338=0),"",SUMIFS('Val-Vol (2)'!AC$4:AC$1858,'Val-Vol (2)'!$A$4:$A$1858,$D1338,'Val-Vol (2)'!$V$4:$V$1858,$V1338)/SUMIFS('Comp2016-2017 (3)'!$G$5:$G$289,'Comp2016-2017 (3)'!$A$5:$A$289,$D1338,'Comp2016-2017 (3)'!$R$5:$R$289,$V1338)*$AB1338))</f>
        <v/>
      </c>
      <c r="AD1338" s="222">
        <f>IF($W1338=AD$3,$AB1338,IF(NOT($W1338=0),"",SUMIFS('Val-Vol (2)'!AD$4:AD$1858,'Val-Vol (2)'!$A$4:$A$1858,$D1338,'Val-Vol (2)'!$V$4:$V$1858,$V1338)/SUMIFS('Comp2016-2017 (3)'!$G$5:$G$289,'Comp2016-2017 (3)'!$A$5:$A$289,$D1338,'Comp2016-2017 (3)'!$R$5:$R$289,$V1338)*$AB1338))</f>
        <v>0</v>
      </c>
      <c r="AE1338" s="222" t="str">
        <f>IF($W1338=AE$3,$AB1338,IF(NOT($W1338=0),"",SUMIFS('Val-Vol (2)'!AE$4:AE$1858,'Val-Vol (2)'!$A$4:$A$1858,$D1338,'Val-Vol (2)'!$V$4:$V$1858,$V1338)/SUMIFS('Comp2016-2017 (3)'!$G$5:$G$289,'Comp2016-2017 (3)'!$A$5:$A$289,$D1338,'Comp2016-2017 (3)'!$R$5:$R$289,$V1338)*$AB1338))</f>
        <v/>
      </c>
      <c r="AF1338" s="222" t="str">
        <f>IF($W1338=AF$3,$AB1338,IF(NOT($W1338=0),"",SUMIFS('Val-Vol (2)'!AF$4:AF$1858,'Val-Vol (2)'!$A$4:$A$1858,$D1338,'Val-Vol (2)'!$V$4:$V$1858,$V1338)/SUMIFS('Comp2016-2017 (3)'!$G$5:$G$289,'Comp2016-2017 (3)'!$A$5:$A$289,$D1338,'Comp2016-2017 (3)'!$R$5:$R$289,$V1338)*$AB1338))</f>
        <v/>
      </c>
      <c r="AG1338" s="222" t="str">
        <f>IF($W1338=AG$3,$AB1338,IF(NOT($W1338=0),"",SUMIFS('Val-Vol (2)'!AG$4:AG$1858,'Val-Vol (2)'!$A$4:$A$1858,$D1338,'Val-Vol (2)'!$V$4:$V$1858,$V1338)/SUMIFS('Comp2016-2017 (3)'!$G$5:$G$289,'Comp2016-2017 (3)'!$A$5:$A$289,$D1338,'Comp2016-2017 (3)'!$R$5:$R$289,$V1338)*$AB1338))</f>
        <v/>
      </c>
      <c r="AH1338" s="222" t="str">
        <f>IF($W1338=AH$3,$AB1338,IF(NOT($W1338=0),"",SUMIFS('Val-Vol (2)'!AH$4:AH$1858,'Val-Vol (2)'!$A$4:$A$1858,$D1338,'Val-Vol (2)'!$V$4:$V$1858,$V1338)/SUMIFS('Comp2016-2017 (3)'!$G$5:$G$289,'Comp2016-2017 (3)'!$A$5:$A$289,$D1338,'Comp2016-2017 (3)'!$R$5:$R$289,$V1338)*$AB1338))</f>
        <v/>
      </c>
      <c r="AI1338" s="222" t="str">
        <f>IF($W1338=AI$3,$AB1338,IF(NOT($W1338=0),"",SUMIFS('Val-Vol (2)'!AI$4:AI$1858,'Val-Vol (2)'!$A$4:$A$1858,$D1338,'Val-Vol (2)'!$V$4:$V$1858,$V1338)/SUMIFS('Comp2016-2017 (3)'!$G$5:$G$289,'Comp2016-2017 (3)'!$A$5:$A$289,$D1338,'Comp2016-2017 (3)'!$R$5:$R$289,$V1338)*$AB1338))</f>
        <v/>
      </c>
      <c r="AJ1338" s="222" t="str">
        <f>IF($W1338=AJ$3,$AB1338,IF(NOT($W1338=0),"",SUMIFS('Val-Vol (2)'!AJ$4:AJ$1858,'Val-Vol (2)'!$A$4:$A$1858,$D1338,'Val-Vol (2)'!$V$4:$V$1858,$V1338)/SUMIFS('Comp2016-2017 (3)'!$G$5:$G$289,'Comp2016-2017 (3)'!$A$5:$A$289,$D1338,'Comp2016-2017 (3)'!$R$5:$R$289,$V1338)*$AB1338))</f>
        <v/>
      </c>
      <c r="AK1338" s="222">
        <f t="shared" si="159"/>
        <v>0</v>
      </c>
      <c r="AL1338" s="212" t="str">
        <f t="shared" si="160"/>
        <v/>
      </c>
      <c r="AM1338" s="212" t="str">
        <f>VLOOKUP(A1338,'Table corresp.'!$M$4:$U$63,8,FALSE)</f>
        <v>Production intermédiaire</v>
      </c>
      <c r="AN1338" s="212" t="str">
        <f>VLOOKUP(D1338,'Table corresp.'!$M$4:$U$63,9,FALSE)</f>
        <v>Production finale</v>
      </c>
    </row>
    <row r="1339" spans="1:40" x14ac:dyDescent="0.25">
      <c r="A1339" t="s">
        <v>87</v>
      </c>
      <c r="B1339" t="str">
        <f>VLOOKUP(LEFT(A1339,3),'Table corresp.'!$A$4:$D$63,3,FALSE)</f>
        <v>Transformation</v>
      </c>
      <c r="C1339" t="str">
        <f>VLOOKUP(A1339,'Table corresp.'!$M$4:$P$63,4,FALSE)</f>
        <v>Production et transformation de produits bois</v>
      </c>
      <c r="D1339" t="s">
        <v>16</v>
      </c>
      <c r="E1339" t="str">
        <f>VLOOKUP(LEFT(D1339,3),'Table corresp.'!$A$4:$D$63,4,FALSE)</f>
        <v>Transformation</v>
      </c>
      <c r="F1339" t="str">
        <f t="shared" si="162"/>
        <v xml:space="preserve">31  - 36 </v>
      </c>
      <c r="G1339" s="213">
        <v>46506.76517710698</v>
      </c>
      <c r="H1339" s="213">
        <v>89047.382609025401</v>
      </c>
      <c r="I1339" s="213">
        <v>135554.14778613238</v>
      </c>
      <c r="J1339" s="215">
        <v>9.032994248324874</v>
      </c>
      <c r="K1339" s="215">
        <v>11.651577644036728</v>
      </c>
      <c r="L1339" s="215">
        <v>20.684571892361603</v>
      </c>
      <c r="M1339" s="215">
        <v>85.422281795997137</v>
      </c>
      <c r="N1339" s="215">
        <v>113.52084382844998</v>
      </c>
      <c r="O1339" s="215">
        <v>198.94312562444713</v>
      </c>
      <c r="P1339" s="215">
        <v>27.352304245918244</v>
      </c>
      <c r="Q1339" s="215">
        <v>53.322144365102091</v>
      </c>
      <c r="R1339" s="215">
        <v>80.674448611020338</v>
      </c>
      <c r="S1339" s="213" t="s">
        <v>192</v>
      </c>
      <c r="T1339" s="212">
        <f>VLOOKUP(A1339,'Groupe de branches'!$Z$27:$AM$86,14,FALSE)</f>
        <v>0</v>
      </c>
      <c r="U1339" s="212">
        <f>VLOOKUP(D1339,'Groupe de branches'!$Z$27:$AM$86,14,FALSE)</f>
        <v>0</v>
      </c>
      <c r="V1339" s="212">
        <v>2019</v>
      </c>
      <c r="W1339" s="212" t="str">
        <f>VLOOKUP(D1339,'Table corresp.'!$M$4:$S$63,7,FALSE)</f>
        <v>Construction</v>
      </c>
      <c r="X1339" s="228">
        <f>IFERROR(G1339/SUMIFS('Comp2016-2017 (3)'!$I$5:$I$289,'Comp2016-2017 (3)'!$A$5:$A$289,A1339,'Comp2016-2017 (3)'!$R$5:$R$289,V1339),0)</f>
        <v>2.9397709642798822E-2</v>
      </c>
      <c r="Y1339" s="214" t="e">
        <f>IF(RIGHT(F1339,3)="Exp",VLOOKUP(F1339,#REF!,2,FALSE),VLOOKUP(F1339,#REF!,9,FALSE))</f>
        <v>#REF!</v>
      </c>
      <c r="Z1339" s="225" t="str">
        <f t="shared" si="161"/>
        <v/>
      </c>
      <c r="AA1339" s="225" t="e">
        <f t="shared" si="158"/>
        <v>#VALUE!</v>
      </c>
      <c r="AB1339" s="222">
        <f>IFERROR(SUMIFS('Comp2016-2017 (3)'!$G$5:$G$289,'Comp2016-2017 (3)'!$A$5:$A$289,A1339,'Comp2016-2017 (3)'!$R$5:$R$289,V1339)*AA1339/SUMIFS($AA$4:$AA$1858,$A$4:$A$1858,A1339,$V$4:$V$1858,V1339),0)</f>
        <v>0</v>
      </c>
      <c r="AC1339" s="222" t="str">
        <f>IF($W1339=AC$3,$AB1339,IF(NOT($W1339=0),"",SUMIFS('Val-Vol (2)'!AC$4:AC$1858,'Val-Vol (2)'!$A$4:$A$1858,$D1339,'Val-Vol (2)'!$V$4:$V$1858,$V1339)/SUMIFS('Comp2016-2017 (3)'!$G$5:$G$289,'Comp2016-2017 (3)'!$A$5:$A$289,$D1339,'Comp2016-2017 (3)'!$R$5:$R$289,$V1339)*$AB1339))</f>
        <v/>
      </c>
      <c r="AD1339" s="222">
        <f>IF($W1339=AD$3,$AB1339,IF(NOT($W1339=0),"",SUMIFS('Val-Vol (2)'!AD$4:AD$1858,'Val-Vol (2)'!$A$4:$A$1858,$D1339,'Val-Vol (2)'!$V$4:$V$1858,$V1339)/SUMIFS('Comp2016-2017 (3)'!$G$5:$G$289,'Comp2016-2017 (3)'!$A$5:$A$289,$D1339,'Comp2016-2017 (3)'!$R$5:$R$289,$V1339)*$AB1339))</f>
        <v>0</v>
      </c>
      <c r="AE1339" s="222" t="str">
        <f>IF($W1339=AE$3,$AB1339,IF(NOT($W1339=0),"",SUMIFS('Val-Vol (2)'!AE$4:AE$1858,'Val-Vol (2)'!$A$4:$A$1858,$D1339,'Val-Vol (2)'!$V$4:$V$1858,$V1339)/SUMIFS('Comp2016-2017 (3)'!$G$5:$G$289,'Comp2016-2017 (3)'!$A$5:$A$289,$D1339,'Comp2016-2017 (3)'!$R$5:$R$289,$V1339)*$AB1339))</f>
        <v/>
      </c>
      <c r="AF1339" s="222" t="str">
        <f>IF($W1339=AF$3,$AB1339,IF(NOT($W1339=0),"",SUMIFS('Val-Vol (2)'!AF$4:AF$1858,'Val-Vol (2)'!$A$4:$A$1858,$D1339,'Val-Vol (2)'!$V$4:$V$1858,$V1339)/SUMIFS('Comp2016-2017 (3)'!$G$5:$G$289,'Comp2016-2017 (3)'!$A$5:$A$289,$D1339,'Comp2016-2017 (3)'!$R$5:$R$289,$V1339)*$AB1339))</f>
        <v/>
      </c>
      <c r="AG1339" s="222" t="str">
        <f>IF($W1339=AG$3,$AB1339,IF(NOT($W1339=0),"",SUMIFS('Val-Vol (2)'!AG$4:AG$1858,'Val-Vol (2)'!$A$4:$A$1858,$D1339,'Val-Vol (2)'!$V$4:$V$1858,$V1339)/SUMIFS('Comp2016-2017 (3)'!$G$5:$G$289,'Comp2016-2017 (3)'!$A$5:$A$289,$D1339,'Comp2016-2017 (3)'!$R$5:$R$289,$V1339)*$AB1339))</f>
        <v/>
      </c>
      <c r="AH1339" s="222" t="str">
        <f>IF($W1339=AH$3,$AB1339,IF(NOT($W1339=0),"",SUMIFS('Val-Vol (2)'!AH$4:AH$1858,'Val-Vol (2)'!$A$4:$A$1858,$D1339,'Val-Vol (2)'!$V$4:$V$1858,$V1339)/SUMIFS('Comp2016-2017 (3)'!$G$5:$G$289,'Comp2016-2017 (3)'!$A$5:$A$289,$D1339,'Comp2016-2017 (3)'!$R$5:$R$289,$V1339)*$AB1339))</f>
        <v/>
      </c>
      <c r="AI1339" s="222" t="str">
        <f>IF($W1339=AI$3,$AB1339,IF(NOT($W1339=0),"",SUMIFS('Val-Vol (2)'!AI$4:AI$1858,'Val-Vol (2)'!$A$4:$A$1858,$D1339,'Val-Vol (2)'!$V$4:$V$1858,$V1339)/SUMIFS('Comp2016-2017 (3)'!$G$5:$G$289,'Comp2016-2017 (3)'!$A$5:$A$289,$D1339,'Comp2016-2017 (3)'!$R$5:$R$289,$V1339)*$AB1339))</f>
        <v/>
      </c>
      <c r="AJ1339" s="222" t="str">
        <f>IF($W1339=AJ$3,$AB1339,IF(NOT($W1339=0),"",SUMIFS('Val-Vol (2)'!AJ$4:AJ$1858,'Val-Vol (2)'!$A$4:$A$1858,$D1339,'Val-Vol (2)'!$V$4:$V$1858,$V1339)/SUMIFS('Comp2016-2017 (3)'!$G$5:$G$289,'Comp2016-2017 (3)'!$A$5:$A$289,$D1339,'Comp2016-2017 (3)'!$R$5:$R$289,$V1339)*$AB1339))</f>
        <v/>
      </c>
      <c r="AK1339" s="222">
        <f t="shared" si="159"/>
        <v>0</v>
      </c>
      <c r="AL1339" s="212" t="str">
        <f t="shared" si="160"/>
        <v/>
      </c>
      <c r="AM1339" s="212" t="str">
        <f>VLOOKUP(A1339,'Table corresp.'!$M$4:$U$63,8,FALSE)</f>
        <v>Production intermédiaire</v>
      </c>
      <c r="AN1339" s="212" t="str">
        <f>VLOOKUP(D1339,'Table corresp.'!$M$4:$U$63,9,FALSE)</f>
        <v>Production finale</v>
      </c>
    </row>
    <row r="1340" spans="1:40" x14ac:dyDescent="0.25">
      <c r="A1340" t="s">
        <v>87</v>
      </c>
      <c r="B1340" t="str">
        <f>VLOOKUP(LEFT(A1340,3),'Table corresp.'!$A$4:$D$63,3,FALSE)</f>
        <v>Transformation</v>
      </c>
      <c r="C1340" t="str">
        <f>VLOOKUP(A1340,'Table corresp.'!$M$4:$P$63,4,FALSE)</f>
        <v>Production et transformation de produits bois</v>
      </c>
      <c r="D1340" t="s">
        <v>91</v>
      </c>
      <c r="E1340" t="str">
        <f>VLOOKUP(LEFT(D1340,3),'Table corresp.'!$A$4:$D$63,4,FALSE)</f>
        <v>Transformation</v>
      </c>
      <c r="F1340" t="str">
        <f t="shared" si="162"/>
        <v xml:space="preserve">31  - 37 </v>
      </c>
      <c r="G1340" s="213">
        <v>120057.46686521979</v>
      </c>
      <c r="H1340" s="213">
        <v>70036.869399313815</v>
      </c>
      <c r="I1340" s="213">
        <v>190094.3362645336</v>
      </c>
      <c r="J1340" s="215">
        <v>19.699923811036374</v>
      </c>
      <c r="K1340" s="215">
        <v>7.7419447903440028</v>
      </c>
      <c r="L1340" s="215">
        <v>27.441868601380378</v>
      </c>
      <c r="M1340" s="215">
        <v>400.33012547149696</v>
      </c>
      <c r="N1340" s="215">
        <v>162.08963293825531</v>
      </c>
      <c r="O1340" s="215">
        <v>562.41975840975226</v>
      </c>
      <c r="P1340" s="215">
        <v>2.0174320557365274E-3</v>
      </c>
      <c r="Q1340" s="215">
        <v>1.1982436289442863E-3</v>
      </c>
      <c r="R1340" s="215">
        <v>3.2156756846808137E-3</v>
      </c>
      <c r="S1340" s="213"/>
      <c r="T1340" s="212">
        <f>VLOOKUP(A1340,'Groupe de branches'!$Z$27:$AM$86,14,FALSE)</f>
        <v>0</v>
      </c>
      <c r="U1340" s="212">
        <f>VLOOKUP(D1340,'Groupe de branches'!$Z$27:$AM$86,14,FALSE)</f>
        <v>0</v>
      </c>
      <c r="V1340" s="212">
        <v>2019</v>
      </c>
      <c r="W1340" s="212" t="str">
        <f>VLOOKUP(D1340,'Table corresp.'!$M$4:$S$63,7,FALSE)</f>
        <v>Emballage bois et carton</v>
      </c>
      <c r="X1340" s="228">
        <f>IFERROR(G1340/SUMIFS('Comp2016-2017 (3)'!$I$5:$I$289,'Comp2016-2017 (3)'!$A$5:$A$289,A1340,'Comp2016-2017 (3)'!$R$5:$R$289,V1340),0)</f>
        <v>7.5890347090642865E-2</v>
      </c>
      <c r="Y1340" s="214" t="e">
        <f>IF(RIGHT(F1340,3)="Exp",VLOOKUP(F1340,#REF!,2,FALSE),VLOOKUP(F1340,#REF!,9,FALSE))</f>
        <v>#REF!</v>
      </c>
      <c r="Z1340" s="225" t="str">
        <f t="shared" si="161"/>
        <v/>
      </c>
      <c r="AA1340" s="225" t="e">
        <f t="shared" si="158"/>
        <v>#VALUE!</v>
      </c>
      <c r="AB1340" s="222">
        <f>IFERROR(SUMIFS('Comp2016-2017 (3)'!$G$5:$G$289,'Comp2016-2017 (3)'!$A$5:$A$289,A1340,'Comp2016-2017 (3)'!$R$5:$R$289,V1340)*AA1340/SUMIFS($AA$4:$AA$1858,$A$4:$A$1858,A1340,$V$4:$V$1858,V1340),0)</f>
        <v>0</v>
      </c>
      <c r="AC1340" s="222" t="str">
        <f>IF($W1340=AC$3,$AB1340,IF(NOT($W1340=0),"",SUMIFS('Val-Vol (2)'!AC$4:AC$1858,'Val-Vol (2)'!$A$4:$A$1858,$D1340,'Val-Vol (2)'!$V$4:$V$1858,$V1340)/SUMIFS('Comp2016-2017 (3)'!$G$5:$G$289,'Comp2016-2017 (3)'!$A$5:$A$289,$D1340,'Comp2016-2017 (3)'!$R$5:$R$289,$V1340)*$AB1340))</f>
        <v/>
      </c>
      <c r="AD1340" s="222" t="str">
        <f>IF($W1340=AD$3,$AB1340,IF(NOT($W1340=0),"",SUMIFS('Val-Vol (2)'!AD$4:AD$1858,'Val-Vol (2)'!$A$4:$A$1858,$D1340,'Val-Vol (2)'!$V$4:$V$1858,$V1340)/SUMIFS('Comp2016-2017 (3)'!$G$5:$G$289,'Comp2016-2017 (3)'!$A$5:$A$289,$D1340,'Comp2016-2017 (3)'!$R$5:$R$289,$V1340)*$AB1340))</f>
        <v/>
      </c>
      <c r="AE1340" s="222" t="str">
        <f>IF($W1340=AE$3,$AB1340,IF(NOT($W1340=0),"",SUMIFS('Val-Vol (2)'!AE$4:AE$1858,'Val-Vol (2)'!$A$4:$A$1858,$D1340,'Val-Vol (2)'!$V$4:$V$1858,$V1340)/SUMIFS('Comp2016-2017 (3)'!$G$5:$G$289,'Comp2016-2017 (3)'!$A$5:$A$289,$D1340,'Comp2016-2017 (3)'!$R$5:$R$289,$V1340)*$AB1340))</f>
        <v/>
      </c>
      <c r="AF1340" s="222" t="str">
        <f>IF($W1340=AF$3,$AB1340,IF(NOT($W1340=0),"",SUMIFS('Val-Vol (2)'!AF$4:AF$1858,'Val-Vol (2)'!$A$4:$A$1858,$D1340,'Val-Vol (2)'!$V$4:$V$1858,$V1340)/SUMIFS('Comp2016-2017 (3)'!$G$5:$G$289,'Comp2016-2017 (3)'!$A$5:$A$289,$D1340,'Comp2016-2017 (3)'!$R$5:$R$289,$V1340)*$AB1340))</f>
        <v/>
      </c>
      <c r="AG1340" s="222">
        <f>IF($W1340=AG$3,$AB1340,IF(NOT($W1340=0),"",SUMIFS('Val-Vol (2)'!AG$4:AG$1858,'Val-Vol (2)'!$A$4:$A$1858,$D1340,'Val-Vol (2)'!$V$4:$V$1858,$V1340)/SUMIFS('Comp2016-2017 (3)'!$G$5:$G$289,'Comp2016-2017 (3)'!$A$5:$A$289,$D1340,'Comp2016-2017 (3)'!$R$5:$R$289,$V1340)*$AB1340))</f>
        <v>0</v>
      </c>
      <c r="AH1340" s="222" t="str">
        <f>IF($W1340=AH$3,$AB1340,IF(NOT($W1340=0),"",SUMIFS('Val-Vol (2)'!AH$4:AH$1858,'Val-Vol (2)'!$A$4:$A$1858,$D1340,'Val-Vol (2)'!$V$4:$V$1858,$V1340)/SUMIFS('Comp2016-2017 (3)'!$G$5:$G$289,'Comp2016-2017 (3)'!$A$5:$A$289,$D1340,'Comp2016-2017 (3)'!$R$5:$R$289,$V1340)*$AB1340))</f>
        <v/>
      </c>
      <c r="AI1340" s="222" t="str">
        <f>IF($W1340=AI$3,$AB1340,IF(NOT($W1340=0),"",SUMIFS('Val-Vol (2)'!AI$4:AI$1858,'Val-Vol (2)'!$A$4:$A$1858,$D1340,'Val-Vol (2)'!$V$4:$V$1858,$V1340)/SUMIFS('Comp2016-2017 (3)'!$G$5:$G$289,'Comp2016-2017 (3)'!$A$5:$A$289,$D1340,'Comp2016-2017 (3)'!$R$5:$R$289,$V1340)*$AB1340))</f>
        <v/>
      </c>
      <c r="AJ1340" s="222" t="str">
        <f>IF($W1340=AJ$3,$AB1340,IF(NOT($W1340=0),"",SUMIFS('Val-Vol (2)'!AJ$4:AJ$1858,'Val-Vol (2)'!$A$4:$A$1858,$D1340,'Val-Vol (2)'!$V$4:$V$1858,$V1340)/SUMIFS('Comp2016-2017 (3)'!$G$5:$G$289,'Comp2016-2017 (3)'!$A$5:$A$289,$D1340,'Comp2016-2017 (3)'!$R$5:$R$289,$V1340)*$AB1340))</f>
        <v/>
      </c>
      <c r="AK1340" s="222">
        <f t="shared" si="159"/>
        <v>0</v>
      </c>
      <c r="AL1340" s="212" t="str">
        <f t="shared" si="160"/>
        <v/>
      </c>
      <c r="AM1340" s="212" t="str">
        <f>VLOOKUP(A1340,'Table corresp.'!$M$4:$U$63,8,FALSE)</f>
        <v>Production intermédiaire</v>
      </c>
      <c r="AN1340" s="212" t="str">
        <f>VLOOKUP(D1340,'Table corresp.'!$M$4:$U$63,9,FALSE)</f>
        <v>Production finale</v>
      </c>
    </row>
    <row r="1341" spans="1:40" x14ac:dyDescent="0.25">
      <c r="A1341" t="s">
        <v>87</v>
      </c>
      <c r="B1341" t="str">
        <f>VLOOKUP(LEFT(A1341,3),'Table corresp.'!$A$4:$D$63,3,FALSE)</f>
        <v>Transformation</v>
      </c>
      <c r="C1341" t="str">
        <f>VLOOKUP(A1341,'Table corresp.'!$M$4:$P$63,4,FALSE)</f>
        <v>Production et transformation de produits bois</v>
      </c>
      <c r="D1341" t="s">
        <v>18</v>
      </c>
      <c r="E1341" t="str">
        <f>VLOOKUP(LEFT(D1341,3),'Table corresp.'!$A$4:$D$63,4,FALSE)</f>
        <v>Transformation</v>
      </c>
      <c r="F1341" t="str">
        <f t="shared" si="162"/>
        <v xml:space="preserve">31  - 39 </v>
      </c>
      <c r="G1341" s="213">
        <v>3770.1488651196014</v>
      </c>
      <c r="H1341" s="213">
        <v>0</v>
      </c>
      <c r="I1341" s="213">
        <v>3770.1488651196014</v>
      </c>
      <c r="J1341" s="215">
        <v>0.5364650682597657</v>
      </c>
      <c r="K1341" s="215">
        <v>0</v>
      </c>
      <c r="L1341" s="215">
        <v>0.5364650682597657</v>
      </c>
      <c r="M1341" s="215">
        <v>5.7976255778786534</v>
      </c>
      <c r="N1341" s="215">
        <v>0</v>
      </c>
      <c r="O1341" s="215">
        <v>5.7976255778786534</v>
      </c>
      <c r="P1341" s="215">
        <v>2.2173603865683784</v>
      </c>
      <c r="Q1341" s="215">
        <v>0</v>
      </c>
      <c r="R1341" s="215">
        <v>2.2173603865683784</v>
      </c>
      <c r="S1341" s="213" t="s">
        <v>192</v>
      </c>
      <c r="T1341" s="212">
        <f>VLOOKUP(A1341,'Groupe de branches'!$Z$27:$AM$86,14,FALSE)</f>
        <v>0</v>
      </c>
      <c r="U1341" s="212">
        <f>VLOOKUP(D1341,'Groupe de branches'!$Z$27:$AM$86,14,FALSE)</f>
        <v>0</v>
      </c>
      <c r="V1341" s="212">
        <v>2019</v>
      </c>
      <c r="W1341" s="212" t="str">
        <f>VLOOKUP(D1341,'Table corresp.'!$M$4:$S$63,7,FALSE)</f>
        <v>Construction</v>
      </c>
      <c r="X1341" s="228">
        <f>IFERROR(G1341/SUMIFS('Comp2016-2017 (3)'!$I$5:$I$289,'Comp2016-2017 (3)'!$A$5:$A$289,A1341,'Comp2016-2017 (3)'!$R$5:$R$289,V1341),0)</f>
        <v>2.3831746031966893E-3</v>
      </c>
      <c r="Y1341" s="214" t="e">
        <f>IF(RIGHT(F1341,3)="Exp",VLOOKUP(F1341,#REF!,2,FALSE),VLOOKUP(F1341,#REF!,9,FALSE))</f>
        <v>#REF!</v>
      </c>
      <c r="Z1341" s="225" t="str">
        <f t="shared" si="161"/>
        <v/>
      </c>
      <c r="AA1341" s="225" t="e">
        <f t="shared" si="158"/>
        <v>#VALUE!</v>
      </c>
      <c r="AB1341" s="222">
        <f>IFERROR(SUMIFS('Comp2016-2017 (3)'!$G$5:$G$289,'Comp2016-2017 (3)'!$A$5:$A$289,A1341,'Comp2016-2017 (3)'!$R$5:$R$289,V1341)*AA1341/SUMIFS($AA$4:$AA$1858,$A$4:$A$1858,A1341,$V$4:$V$1858,V1341),0)</f>
        <v>0</v>
      </c>
      <c r="AC1341" s="222" t="str">
        <f>IF($W1341=AC$3,$AB1341,IF(NOT($W1341=0),"",SUMIFS('Val-Vol (2)'!AC$4:AC$1858,'Val-Vol (2)'!$A$4:$A$1858,$D1341,'Val-Vol (2)'!$V$4:$V$1858,$V1341)/SUMIFS('Comp2016-2017 (3)'!$G$5:$G$289,'Comp2016-2017 (3)'!$A$5:$A$289,$D1341,'Comp2016-2017 (3)'!$R$5:$R$289,$V1341)*$AB1341))</f>
        <v/>
      </c>
      <c r="AD1341" s="222">
        <f>IF($W1341=AD$3,$AB1341,IF(NOT($W1341=0),"",SUMIFS('Val-Vol (2)'!AD$4:AD$1858,'Val-Vol (2)'!$A$4:$A$1858,$D1341,'Val-Vol (2)'!$V$4:$V$1858,$V1341)/SUMIFS('Comp2016-2017 (3)'!$G$5:$G$289,'Comp2016-2017 (3)'!$A$5:$A$289,$D1341,'Comp2016-2017 (3)'!$R$5:$R$289,$V1341)*$AB1341))</f>
        <v>0</v>
      </c>
      <c r="AE1341" s="222" t="str">
        <f>IF($W1341=AE$3,$AB1341,IF(NOT($W1341=0),"",SUMIFS('Val-Vol (2)'!AE$4:AE$1858,'Val-Vol (2)'!$A$4:$A$1858,$D1341,'Val-Vol (2)'!$V$4:$V$1858,$V1341)/SUMIFS('Comp2016-2017 (3)'!$G$5:$G$289,'Comp2016-2017 (3)'!$A$5:$A$289,$D1341,'Comp2016-2017 (3)'!$R$5:$R$289,$V1341)*$AB1341))</f>
        <v/>
      </c>
      <c r="AF1341" s="222" t="str">
        <f>IF($W1341=AF$3,$AB1341,IF(NOT($W1341=0),"",SUMIFS('Val-Vol (2)'!AF$4:AF$1858,'Val-Vol (2)'!$A$4:$A$1858,$D1341,'Val-Vol (2)'!$V$4:$V$1858,$V1341)/SUMIFS('Comp2016-2017 (3)'!$G$5:$G$289,'Comp2016-2017 (3)'!$A$5:$A$289,$D1341,'Comp2016-2017 (3)'!$R$5:$R$289,$V1341)*$AB1341))</f>
        <v/>
      </c>
      <c r="AG1341" s="222" t="str">
        <f>IF($W1341=AG$3,$AB1341,IF(NOT($W1341=0),"",SUMIFS('Val-Vol (2)'!AG$4:AG$1858,'Val-Vol (2)'!$A$4:$A$1858,$D1341,'Val-Vol (2)'!$V$4:$V$1858,$V1341)/SUMIFS('Comp2016-2017 (3)'!$G$5:$G$289,'Comp2016-2017 (3)'!$A$5:$A$289,$D1341,'Comp2016-2017 (3)'!$R$5:$R$289,$V1341)*$AB1341))</f>
        <v/>
      </c>
      <c r="AH1341" s="222" t="str">
        <f>IF($W1341=AH$3,$AB1341,IF(NOT($W1341=0),"",SUMIFS('Val-Vol (2)'!AH$4:AH$1858,'Val-Vol (2)'!$A$4:$A$1858,$D1341,'Val-Vol (2)'!$V$4:$V$1858,$V1341)/SUMIFS('Comp2016-2017 (3)'!$G$5:$G$289,'Comp2016-2017 (3)'!$A$5:$A$289,$D1341,'Comp2016-2017 (3)'!$R$5:$R$289,$V1341)*$AB1341))</f>
        <v/>
      </c>
      <c r="AI1341" s="222" t="str">
        <f>IF($W1341=AI$3,$AB1341,IF(NOT($W1341=0),"",SUMIFS('Val-Vol (2)'!AI$4:AI$1858,'Val-Vol (2)'!$A$4:$A$1858,$D1341,'Val-Vol (2)'!$V$4:$V$1858,$V1341)/SUMIFS('Comp2016-2017 (3)'!$G$5:$G$289,'Comp2016-2017 (3)'!$A$5:$A$289,$D1341,'Comp2016-2017 (3)'!$R$5:$R$289,$V1341)*$AB1341))</f>
        <v/>
      </c>
      <c r="AJ1341" s="222" t="str">
        <f>IF($W1341=AJ$3,$AB1341,IF(NOT($W1341=0),"",SUMIFS('Val-Vol (2)'!AJ$4:AJ$1858,'Val-Vol (2)'!$A$4:$A$1858,$D1341,'Val-Vol (2)'!$V$4:$V$1858,$V1341)/SUMIFS('Comp2016-2017 (3)'!$G$5:$G$289,'Comp2016-2017 (3)'!$A$5:$A$289,$D1341,'Comp2016-2017 (3)'!$R$5:$R$289,$V1341)*$AB1341))</f>
        <v/>
      </c>
      <c r="AK1341" s="222">
        <f t="shared" si="159"/>
        <v>0</v>
      </c>
      <c r="AL1341" s="212" t="str">
        <f t="shared" si="160"/>
        <v/>
      </c>
      <c r="AM1341" s="212" t="str">
        <f>VLOOKUP(A1341,'Table corresp.'!$M$4:$U$63,8,FALSE)</f>
        <v>Production intermédiaire</v>
      </c>
      <c r="AN1341" s="212" t="str">
        <f>VLOOKUP(D1341,'Table corresp.'!$M$4:$U$63,9,FALSE)</f>
        <v>Production finale</v>
      </c>
    </row>
    <row r="1342" spans="1:40" x14ac:dyDescent="0.25">
      <c r="A1342" t="s">
        <v>87</v>
      </c>
      <c r="B1342" t="str">
        <f>VLOOKUP(LEFT(A1342,3),'Table corresp.'!$A$4:$D$63,3,FALSE)</f>
        <v>Transformation</v>
      </c>
      <c r="C1342" t="str">
        <f>VLOOKUP(A1342,'Table corresp.'!$M$4:$P$63,4,FALSE)</f>
        <v>Production et transformation de produits bois</v>
      </c>
      <c r="D1342" t="s">
        <v>99</v>
      </c>
      <c r="E1342" t="str">
        <f>VLOOKUP(LEFT(D1342,3),'Table corresp.'!$A$4:$D$63,4,FALSE)</f>
        <v>Transformation</v>
      </c>
      <c r="F1342" t="str">
        <f t="shared" si="162"/>
        <v xml:space="preserve">31  - 47 </v>
      </c>
      <c r="G1342" s="213">
        <v>236299.98838162102</v>
      </c>
      <c r="H1342" s="213">
        <v>302849.64630929817</v>
      </c>
      <c r="I1342" s="213">
        <v>539149.63469091919</v>
      </c>
      <c r="J1342" s="215">
        <v>57.843605275378771</v>
      </c>
      <c r="K1342" s="215">
        <v>49.942088320748674</v>
      </c>
      <c r="L1342" s="215">
        <v>107.78569359612744</v>
      </c>
      <c r="M1342" s="215">
        <v>630.45248620106224</v>
      </c>
      <c r="N1342" s="215">
        <v>560.80922502107819</v>
      </c>
      <c r="O1342" s="215">
        <v>1191.2617112221405</v>
      </c>
      <c r="P1342" s="215">
        <v>138.97653708890158</v>
      </c>
      <c r="Q1342" s="215">
        <v>181.34831241842434</v>
      </c>
      <c r="R1342" s="215">
        <v>320.32484950732589</v>
      </c>
      <c r="S1342" s="213" t="s">
        <v>192</v>
      </c>
      <c r="T1342" s="212">
        <f>VLOOKUP(A1342,'Groupe de branches'!$Z$27:$AM$86,14,FALSE)</f>
        <v>0</v>
      </c>
      <c r="U1342" s="212">
        <f>VLOOKUP(D1342,'Groupe de branches'!$Z$27:$AM$86,14,FALSE)</f>
        <v>0</v>
      </c>
      <c r="V1342" s="212">
        <v>2019</v>
      </c>
      <c r="W1342" s="212" t="str">
        <f>VLOOKUP(D1342,'Table corresp.'!$M$4:$S$63,7,FALSE)</f>
        <v>Meuble</v>
      </c>
      <c r="X1342" s="228">
        <f>IFERROR(G1342/SUMIFS('Comp2016-2017 (3)'!$I$5:$I$289,'Comp2016-2017 (3)'!$A$5:$A$289,A1342,'Comp2016-2017 (3)'!$R$5:$R$289,V1342),0)</f>
        <v>0.14936920296617712</v>
      </c>
      <c r="Y1342" s="214" t="e">
        <f>IF(RIGHT(F1342,3)="Exp",VLOOKUP(F1342,#REF!,2,FALSE),VLOOKUP(F1342,#REF!,9,FALSE))</f>
        <v>#REF!</v>
      </c>
      <c r="Z1342" s="225" t="str">
        <f t="shared" si="161"/>
        <v/>
      </c>
      <c r="AA1342" s="225" t="e">
        <f t="shared" si="158"/>
        <v>#VALUE!</v>
      </c>
      <c r="AB1342" s="222">
        <f>IFERROR(SUMIFS('Comp2016-2017 (3)'!$G$5:$G$289,'Comp2016-2017 (3)'!$A$5:$A$289,A1342,'Comp2016-2017 (3)'!$R$5:$R$289,V1342)*AA1342/SUMIFS($AA$4:$AA$1858,$A$4:$A$1858,A1342,$V$4:$V$1858,V1342),0)</f>
        <v>0</v>
      </c>
      <c r="AC1342" s="222" t="str">
        <f>IF($W1342=AC$3,$AB1342,IF(NOT($W1342=0),"",SUMIFS('Val-Vol (2)'!AC$4:AC$1858,'Val-Vol (2)'!$A$4:$A$1858,$D1342,'Val-Vol (2)'!$V$4:$V$1858,$V1342)/SUMIFS('Comp2016-2017 (3)'!$G$5:$G$289,'Comp2016-2017 (3)'!$A$5:$A$289,$D1342,'Comp2016-2017 (3)'!$R$5:$R$289,$V1342)*$AB1342))</f>
        <v/>
      </c>
      <c r="AD1342" s="222" t="str">
        <f>IF($W1342=AD$3,$AB1342,IF(NOT($W1342=0),"",SUMIFS('Val-Vol (2)'!AD$4:AD$1858,'Val-Vol (2)'!$A$4:$A$1858,$D1342,'Val-Vol (2)'!$V$4:$V$1858,$V1342)/SUMIFS('Comp2016-2017 (3)'!$G$5:$G$289,'Comp2016-2017 (3)'!$A$5:$A$289,$D1342,'Comp2016-2017 (3)'!$R$5:$R$289,$V1342)*$AB1342))</f>
        <v/>
      </c>
      <c r="AE1342" s="222">
        <f>IF($W1342=AE$3,$AB1342,IF(NOT($W1342=0),"",SUMIFS('Val-Vol (2)'!AE$4:AE$1858,'Val-Vol (2)'!$A$4:$A$1858,$D1342,'Val-Vol (2)'!$V$4:$V$1858,$V1342)/SUMIFS('Comp2016-2017 (3)'!$G$5:$G$289,'Comp2016-2017 (3)'!$A$5:$A$289,$D1342,'Comp2016-2017 (3)'!$R$5:$R$289,$V1342)*$AB1342))</f>
        <v>0</v>
      </c>
      <c r="AF1342" s="222" t="str">
        <f>IF($W1342=AF$3,$AB1342,IF(NOT($W1342=0),"",SUMIFS('Val-Vol (2)'!AF$4:AF$1858,'Val-Vol (2)'!$A$4:$A$1858,$D1342,'Val-Vol (2)'!$V$4:$V$1858,$V1342)/SUMIFS('Comp2016-2017 (3)'!$G$5:$G$289,'Comp2016-2017 (3)'!$A$5:$A$289,$D1342,'Comp2016-2017 (3)'!$R$5:$R$289,$V1342)*$AB1342))</f>
        <v/>
      </c>
      <c r="AG1342" s="222" t="str">
        <f>IF($W1342=AG$3,$AB1342,IF(NOT($W1342=0),"",SUMIFS('Val-Vol (2)'!AG$4:AG$1858,'Val-Vol (2)'!$A$4:$A$1858,$D1342,'Val-Vol (2)'!$V$4:$V$1858,$V1342)/SUMIFS('Comp2016-2017 (3)'!$G$5:$G$289,'Comp2016-2017 (3)'!$A$5:$A$289,$D1342,'Comp2016-2017 (3)'!$R$5:$R$289,$V1342)*$AB1342))</f>
        <v/>
      </c>
      <c r="AH1342" s="222" t="str">
        <f>IF($W1342=AH$3,$AB1342,IF(NOT($W1342=0),"",SUMIFS('Val-Vol (2)'!AH$4:AH$1858,'Val-Vol (2)'!$A$4:$A$1858,$D1342,'Val-Vol (2)'!$V$4:$V$1858,$V1342)/SUMIFS('Comp2016-2017 (3)'!$G$5:$G$289,'Comp2016-2017 (3)'!$A$5:$A$289,$D1342,'Comp2016-2017 (3)'!$R$5:$R$289,$V1342)*$AB1342))</f>
        <v/>
      </c>
      <c r="AI1342" s="222" t="str">
        <f>IF($W1342=AI$3,$AB1342,IF(NOT($W1342=0),"",SUMIFS('Val-Vol (2)'!AI$4:AI$1858,'Val-Vol (2)'!$A$4:$A$1858,$D1342,'Val-Vol (2)'!$V$4:$V$1858,$V1342)/SUMIFS('Comp2016-2017 (3)'!$G$5:$G$289,'Comp2016-2017 (3)'!$A$5:$A$289,$D1342,'Comp2016-2017 (3)'!$R$5:$R$289,$V1342)*$AB1342))</f>
        <v/>
      </c>
      <c r="AJ1342" s="222" t="str">
        <f>IF($W1342=AJ$3,$AB1342,IF(NOT($W1342=0),"",SUMIFS('Val-Vol (2)'!AJ$4:AJ$1858,'Val-Vol (2)'!$A$4:$A$1858,$D1342,'Val-Vol (2)'!$V$4:$V$1858,$V1342)/SUMIFS('Comp2016-2017 (3)'!$G$5:$G$289,'Comp2016-2017 (3)'!$A$5:$A$289,$D1342,'Comp2016-2017 (3)'!$R$5:$R$289,$V1342)*$AB1342))</f>
        <v/>
      </c>
      <c r="AK1342" s="222">
        <f t="shared" si="159"/>
        <v>0</v>
      </c>
      <c r="AL1342" s="212" t="str">
        <f t="shared" si="160"/>
        <v/>
      </c>
      <c r="AM1342" s="212" t="str">
        <f>VLOOKUP(A1342,'Table corresp.'!$M$4:$U$63,8,FALSE)</f>
        <v>Production intermédiaire</v>
      </c>
      <c r="AN1342" s="212" t="str">
        <f>VLOOKUP(D1342,'Table corresp.'!$M$4:$U$63,9,FALSE)</f>
        <v>Production finale</v>
      </c>
    </row>
    <row r="1343" spans="1:40" x14ac:dyDescent="0.25">
      <c r="A1343" t="s">
        <v>87</v>
      </c>
      <c r="B1343" t="str">
        <f>VLOOKUP(LEFT(A1343,3),'Table corresp.'!$A$4:$D$63,3,FALSE)</f>
        <v>Transformation</v>
      </c>
      <c r="C1343" t="str">
        <f>VLOOKUP(A1343,'Table corresp.'!$M$4:$P$63,4,FALSE)</f>
        <v>Production et transformation de produits bois</v>
      </c>
      <c r="D1343" t="s">
        <v>19</v>
      </c>
      <c r="E1343" t="str">
        <f>VLOOKUP(LEFT(D1343,3),'Table corresp.'!$A$4:$D$63,4,FALSE)</f>
        <v>Transformation</v>
      </c>
      <c r="F1343" t="str">
        <f t="shared" si="162"/>
        <v xml:space="preserve">31  - 52 </v>
      </c>
      <c r="G1343" s="213">
        <v>2743.0449589167592</v>
      </c>
      <c r="H1343" s="213">
        <v>2489.5591465772318</v>
      </c>
      <c r="I1343" s="213">
        <v>5232.6041054939906</v>
      </c>
      <c r="J1343" s="215">
        <v>0.39031556942996287</v>
      </c>
      <c r="K1343" s="215">
        <v>0.23864556738726381</v>
      </c>
      <c r="L1343" s="215">
        <v>0.62896113681722665</v>
      </c>
      <c r="M1343" s="215">
        <v>4.2181749803617912</v>
      </c>
      <c r="N1343" s="215">
        <v>2.6571344549870606</v>
      </c>
      <c r="O1343" s="215">
        <v>6.8753094353488517</v>
      </c>
      <c r="P1343" s="215">
        <v>1.613283572632922</v>
      </c>
      <c r="Q1343" s="215">
        <v>1.4907639992306385</v>
      </c>
      <c r="R1343" s="215">
        <v>3.1040475718635605</v>
      </c>
      <c r="S1343" s="213" t="s">
        <v>192</v>
      </c>
      <c r="T1343" s="212">
        <f>VLOOKUP(A1343,'Groupe de branches'!$Z$27:$AM$86,14,FALSE)</f>
        <v>0</v>
      </c>
      <c r="U1343" s="212">
        <f>VLOOKUP(D1343,'Groupe de branches'!$Z$27:$AM$86,14,FALSE)</f>
        <v>0</v>
      </c>
      <c r="V1343" s="212">
        <v>2019</v>
      </c>
      <c r="W1343" s="212" t="str">
        <f>VLOOKUP(D1343,'Table corresp.'!$M$4:$S$63,7,FALSE)</f>
        <v>Construction</v>
      </c>
      <c r="X1343" s="228">
        <f>IFERROR(G1343/SUMIFS('Comp2016-2017 (3)'!$I$5:$I$289,'Comp2016-2017 (3)'!$A$5:$A$289,A1343,'Comp2016-2017 (3)'!$R$5:$R$289,V1343),0)</f>
        <v>1.7339249232297216E-3</v>
      </c>
      <c r="Y1343" s="214" t="e">
        <f>IF(RIGHT(F1343,3)="Exp",VLOOKUP(F1343,#REF!,2,FALSE),VLOOKUP(F1343,#REF!,9,FALSE))</f>
        <v>#REF!</v>
      </c>
      <c r="Z1343" s="225" t="str">
        <f t="shared" si="161"/>
        <v/>
      </c>
      <c r="AA1343" s="225" t="e">
        <f t="shared" si="158"/>
        <v>#VALUE!</v>
      </c>
      <c r="AB1343" s="222">
        <f>IFERROR(SUMIFS('Comp2016-2017 (3)'!$G$5:$G$289,'Comp2016-2017 (3)'!$A$5:$A$289,A1343,'Comp2016-2017 (3)'!$R$5:$R$289,V1343)*AA1343/SUMIFS($AA$4:$AA$1858,$A$4:$A$1858,A1343,$V$4:$V$1858,V1343),0)</f>
        <v>0</v>
      </c>
      <c r="AC1343" s="222" t="str">
        <f>IF($W1343=AC$3,$AB1343,IF(NOT($W1343=0),"",SUMIFS('Val-Vol (2)'!AC$4:AC$1858,'Val-Vol (2)'!$A$4:$A$1858,$D1343,'Val-Vol (2)'!$V$4:$V$1858,$V1343)/SUMIFS('Comp2016-2017 (3)'!$G$5:$G$289,'Comp2016-2017 (3)'!$A$5:$A$289,$D1343,'Comp2016-2017 (3)'!$R$5:$R$289,$V1343)*$AB1343))</f>
        <v/>
      </c>
      <c r="AD1343" s="222">
        <f>IF($W1343=AD$3,$AB1343,IF(NOT($W1343=0),"",SUMIFS('Val-Vol (2)'!AD$4:AD$1858,'Val-Vol (2)'!$A$4:$A$1858,$D1343,'Val-Vol (2)'!$V$4:$V$1858,$V1343)/SUMIFS('Comp2016-2017 (3)'!$G$5:$G$289,'Comp2016-2017 (3)'!$A$5:$A$289,$D1343,'Comp2016-2017 (3)'!$R$5:$R$289,$V1343)*$AB1343))</f>
        <v>0</v>
      </c>
      <c r="AE1343" s="222" t="str">
        <f>IF($W1343=AE$3,$AB1343,IF(NOT($W1343=0),"",SUMIFS('Val-Vol (2)'!AE$4:AE$1858,'Val-Vol (2)'!$A$4:$A$1858,$D1343,'Val-Vol (2)'!$V$4:$V$1858,$V1343)/SUMIFS('Comp2016-2017 (3)'!$G$5:$G$289,'Comp2016-2017 (3)'!$A$5:$A$289,$D1343,'Comp2016-2017 (3)'!$R$5:$R$289,$V1343)*$AB1343))</f>
        <v/>
      </c>
      <c r="AF1343" s="222" t="str">
        <f>IF($W1343=AF$3,$AB1343,IF(NOT($W1343=0),"",SUMIFS('Val-Vol (2)'!AF$4:AF$1858,'Val-Vol (2)'!$A$4:$A$1858,$D1343,'Val-Vol (2)'!$V$4:$V$1858,$V1343)/SUMIFS('Comp2016-2017 (3)'!$G$5:$G$289,'Comp2016-2017 (3)'!$A$5:$A$289,$D1343,'Comp2016-2017 (3)'!$R$5:$R$289,$V1343)*$AB1343))</f>
        <v/>
      </c>
      <c r="AG1343" s="222" t="str">
        <f>IF($W1343=AG$3,$AB1343,IF(NOT($W1343=0),"",SUMIFS('Val-Vol (2)'!AG$4:AG$1858,'Val-Vol (2)'!$A$4:$A$1858,$D1343,'Val-Vol (2)'!$V$4:$V$1858,$V1343)/SUMIFS('Comp2016-2017 (3)'!$G$5:$G$289,'Comp2016-2017 (3)'!$A$5:$A$289,$D1343,'Comp2016-2017 (3)'!$R$5:$R$289,$V1343)*$AB1343))</f>
        <v/>
      </c>
      <c r="AH1343" s="222" t="str">
        <f>IF($W1343=AH$3,$AB1343,IF(NOT($W1343=0),"",SUMIFS('Val-Vol (2)'!AH$4:AH$1858,'Val-Vol (2)'!$A$4:$A$1858,$D1343,'Val-Vol (2)'!$V$4:$V$1858,$V1343)/SUMIFS('Comp2016-2017 (3)'!$G$5:$G$289,'Comp2016-2017 (3)'!$A$5:$A$289,$D1343,'Comp2016-2017 (3)'!$R$5:$R$289,$V1343)*$AB1343))</f>
        <v/>
      </c>
      <c r="AI1343" s="222" t="str">
        <f>IF($W1343=AI$3,$AB1343,IF(NOT($W1343=0),"",SUMIFS('Val-Vol (2)'!AI$4:AI$1858,'Val-Vol (2)'!$A$4:$A$1858,$D1343,'Val-Vol (2)'!$V$4:$V$1858,$V1343)/SUMIFS('Comp2016-2017 (3)'!$G$5:$G$289,'Comp2016-2017 (3)'!$A$5:$A$289,$D1343,'Comp2016-2017 (3)'!$R$5:$R$289,$V1343)*$AB1343))</f>
        <v/>
      </c>
      <c r="AJ1343" s="222" t="str">
        <f>IF($W1343=AJ$3,$AB1343,IF(NOT($W1343=0),"",SUMIFS('Val-Vol (2)'!AJ$4:AJ$1858,'Val-Vol (2)'!$A$4:$A$1858,$D1343,'Val-Vol (2)'!$V$4:$V$1858,$V1343)/SUMIFS('Comp2016-2017 (3)'!$G$5:$G$289,'Comp2016-2017 (3)'!$A$5:$A$289,$D1343,'Comp2016-2017 (3)'!$R$5:$R$289,$V1343)*$AB1343))</f>
        <v/>
      </c>
      <c r="AK1343" s="222">
        <f t="shared" si="159"/>
        <v>0</v>
      </c>
      <c r="AL1343" s="212" t="str">
        <f t="shared" si="160"/>
        <v/>
      </c>
      <c r="AM1343" s="212" t="str">
        <f>VLOOKUP(A1343,'Table corresp.'!$M$4:$U$63,8,FALSE)</f>
        <v>Production intermédiaire</v>
      </c>
      <c r="AN1343" s="212" t="str">
        <f>VLOOKUP(D1343,'Table corresp.'!$M$4:$U$63,9,FALSE)</f>
        <v xml:space="preserve">Mise en œuvre </v>
      </c>
    </row>
    <row r="1344" spans="1:40" x14ac:dyDescent="0.25">
      <c r="A1344" t="s">
        <v>87</v>
      </c>
      <c r="B1344" t="str">
        <f>VLOOKUP(LEFT(A1344,3),'Table corresp.'!$A$4:$D$63,3,FALSE)</f>
        <v>Transformation</v>
      </c>
      <c r="C1344" t="str">
        <f>VLOOKUP(A1344,'Table corresp.'!$M$4:$P$63,4,FALSE)</f>
        <v>Production et transformation de produits bois</v>
      </c>
      <c r="D1344" t="s">
        <v>20</v>
      </c>
      <c r="E1344" t="str">
        <f>VLOOKUP(LEFT(D1344,3),'Table corresp.'!$A$4:$D$63,4,FALSE)</f>
        <v>Transformation</v>
      </c>
      <c r="F1344" t="str">
        <f t="shared" si="162"/>
        <v xml:space="preserve">31  - 53 </v>
      </c>
      <c r="G1344" s="213">
        <v>5027.5128937929594</v>
      </c>
      <c r="H1344" s="213">
        <v>10132.519967532207</v>
      </c>
      <c r="I1344" s="213">
        <v>15160.032861325166</v>
      </c>
      <c r="J1344" s="215">
        <v>3.1895875702296546</v>
      </c>
      <c r="K1344" s="215">
        <v>4.3305871150898136</v>
      </c>
      <c r="L1344" s="215">
        <v>7.5201746853194678</v>
      </c>
      <c r="M1344" s="215">
        <v>34.470155792311736</v>
      </c>
      <c r="N1344" s="215">
        <v>48.217749693859474</v>
      </c>
      <c r="O1344" s="215">
        <v>82.687905486171218</v>
      </c>
      <c r="P1344" s="215">
        <v>2.9568614748332012</v>
      </c>
      <c r="Q1344" s="215">
        <v>6.0674180044486903</v>
      </c>
      <c r="R1344" s="215">
        <v>9.0242794792818906</v>
      </c>
      <c r="S1344" s="213" t="s">
        <v>192</v>
      </c>
      <c r="T1344" s="212">
        <f>VLOOKUP(A1344,'Groupe de branches'!$Z$27:$AM$86,14,FALSE)</f>
        <v>0</v>
      </c>
      <c r="U1344" s="212">
        <f>VLOOKUP(D1344,'Groupe de branches'!$Z$27:$AM$86,14,FALSE)</f>
        <v>0</v>
      </c>
      <c r="V1344" s="212">
        <v>2019</v>
      </c>
      <c r="W1344" s="212" t="str">
        <f>VLOOKUP(D1344,'Table corresp.'!$M$4:$S$63,7,FALSE)</f>
        <v>Construction</v>
      </c>
      <c r="X1344" s="228">
        <f>IFERROR(G1344/SUMIFS('Comp2016-2017 (3)'!$I$5:$I$289,'Comp2016-2017 (3)'!$A$5:$A$289,A1344,'Comp2016-2017 (3)'!$R$5:$R$289,V1344),0)</f>
        <v>3.1779755851500538E-3</v>
      </c>
      <c r="Y1344" s="214" t="e">
        <f>IF(RIGHT(F1344,3)="Exp",VLOOKUP(F1344,#REF!,2,FALSE),VLOOKUP(F1344,#REF!,9,FALSE))</f>
        <v>#REF!</v>
      </c>
      <c r="Z1344" s="225" t="str">
        <f t="shared" si="161"/>
        <v/>
      </c>
      <c r="AA1344" s="225" t="e">
        <f t="shared" si="158"/>
        <v>#VALUE!</v>
      </c>
      <c r="AB1344" s="222">
        <f>IFERROR(SUMIFS('Comp2016-2017 (3)'!$G$5:$G$289,'Comp2016-2017 (3)'!$A$5:$A$289,A1344,'Comp2016-2017 (3)'!$R$5:$R$289,V1344)*AA1344/SUMIFS($AA$4:$AA$1858,$A$4:$A$1858,A1344,$V$4:$V$1858,V1344),0)</f>
        <v>0</v>
      </c>
      <c r="AC1344" s="222" t="str">
        <f>IF($W1344=AC$3,$AB1344,IF(NOT($W1344=0),"",SUMIFS('Val-Vol (2)'!AC$4:AC$1858,'Val-Vol (2)'!$A$4:$A$1858,$D1344,'Val-Vol (2)'!$V$4:$V$1858,$V1344)/SUMIFS('Comp2016-2017 (3)'!$G$5:$G$289,'Comp2016-2017 (3)'!$A$5:$A$289,$D1344,'Comp2016-2017 (3)'!$R$5:$R$289,$V1344)*$AB1344))</f>
        <v/>
      </c>
      <c r="AD1344" s="222">
        <f>IF($W1344=AD$3,$AB1344,IF(NOT($W1344=0),"",SUMIFS('Val-Vol (2)'!AD$4:AD$1858,'Val-Vol (2)'!$A$4:$A$1858,$D1344,'Val-Vol (2)'!$V$4:$V$1858,$V1344)/SUMIFS('Comp2016-2017 (3)'!$G$5:$G$289,'Comp2016-2017 (3)'!$A$5:$A$289,$D1344,'Comp2016-2017 (3)'!$R$5:$R$289,$V1344)*$AB1344))</f>
        <v>0</v>
      </c>
      <c r="AE1344" s="222" t="str">
        <f>IF($W1344=AE$3,$AB1344,IF(NOT($W1344=0),"",SUMIFS('Val-Vol (2)'!AE$4:AE$1858,'Val-Vol (2)'!$A$4:$A$1858,$D1344,'Val-Vol (2)'!$V$4:$V$1858,$V1344)/SUMIFS('Comp2016-2017 (3)'!$G$5:$G$289,'Comp2016-2017 (3)'!$A$5:$A$289,$D1344,'Comp2016-2017 (3)'!$R$5:$R$289,$V1344)*$AB1344))</f>
        <v/>
      </c>
      <c r="AF1344" s="222" t="str">
        <f>IF($W1344=AF$3,$AB1344,IF(NOT($W1344=0),"",SUMIFS('Val-Vol (2)'!AF$4:AF$1858,'Val-Vol (2)'!$A$4:$A$1858,$D1344,'Val-Vol (2)'!$V$4:$V$1858,$V1344)/SUMIFS('Comp2016-2017 (3)'!$G$5:$G$289,'Comp2016-2017 (3)'!$A$5:$A$289,$D1344,'Comp2016-2017 (3)'!$R$5:$R$289,$V1344)*$AB1344))</f>
        <v/>
      </c>
      <c r="AG1344" s="222" t="str">
        <f>IF($W1344=AG$3,$AB1344,IF(NOT($W1344=0),"",SUMIFS('Val-Vol (2)'!AG$4:AG$1858,'Val-Vol (2)'!$A$4:$A$1858,$D1344,'Val-Vol (2)'!$V$4:$V$1858,$V1344)/SUMIFS('Comp2016-2017 (3)'!$G$5:$G$289,'Comp2016-2017 (3)'!$A$5:$A$289,$D1344,'Comp2016-2017 (3)'!$R$5:$R$289,$V1344)*$AB1344))</f>
        <v/>
      </c>
      <c r="AH1344" s="222" t="str">
        <f>IF($W1344=AH$3,$AB1344,IF(NOT($W1344=0),"",SUMIFS('Val-Vol (2)'!AH$4:AH$1858,'Val-Vol (2)'!$A$4:$A$1858,$D1344,'Val-Vol (2)'!$V$4:$V$1858,$V1344)/SUMIFS('Comp2016-2017 (3)'!$G$5:$G$289,'Comp2016-2017 (3)'!$A$5:$A$289,$D1344,'Comp2016-2017 (3)'!$R$5:$R$289,$V1344)*$AB1344))</f>
        <v/>
      </c>
      <c r="AI1344" s="222" t="str">
        <f>IF($W1344=AI$3,$AB1344,IF(NOT($W1344=0),"",SUMIFS('Val-Vol (2)'!AI$4:AI$1858,'Val-Vol (2)'!$A$4:$A$1858,$D1344,'Val-Vol (2)'!$V$4:$V$1858,$V1344)/SUMIFS('Comp2016-2017 (3)'!$G$5:$G$289,'Comp2016-2017 (3)'!$A$5:$A$289,$D1344,'Comp2016-2017 (3)'!$R$5:$R$289,$V1344)*$AB1344))</f>
        <v/>
      </c>
      <c r="AJ1344" s="222" t="str">
        <f>IF($W1344=AJ$3,$AB1344,IF(NOT($W1344=0),"",SUMIFS('Val-Vol (2)'!AJ$4:AJ$1858,'Val-Vol (2)'!$A$4:$A$1858,$D1344,'Val-Vol (2)'!$V$4:$V$1858,$V1344)/SUMIFS('Comp2016-2017 (3)'!$G$5:$G$289,'Comp2016-2017 (3)'!$A$5:$A$289,$D1344,'Comp2016-2017 (3)'!$R$5:$R$289,$V1344)*$AB1344))</f>
        <v/>
      </c>
      <c r="AK1344" s="222">
        <f t="shared" si="159"/>
        <v>0</v>
      </c>
      <c r="AL1344" s="212" t="str">
        <f t="shared" si="160"/>
        <v/>
      </c>
      <c r="AM1344" s="212" t="str">
        <f>VLOOKUP(A1344,'Table corresp.'!$M$4:$U$63,8,FALSE)</f>
        <v>Production intermédiaire</v>
      </c>
      <c r="AN1344" s="212" t="str">
        <f>VLOOKUP(D1344,'Table corresp.'!$M$4:$U$63,9,FALSE)</f>
        <v xml:space="preserve">Mise en œuvre </v>
      </c>
    </row>
    <row r="1345" spans="1:40" x14ac:dyDescent="0.25">
      <c r="A1345" t="s">
        <v>87</v>
      </c>
      <c r="B1345" t="str">
        <f>VLOOKUP(LEFT(A1345,3),'Table corresp.'!$A$4:$D$63,3,FALSE)</f>
        <v>Transformation</v>
      </c>
      <c r="C1345" t="str">
        <f>VLOOKUP(A1345,'Table corresp.'!$M$4:$P$63,4,FALSE)</f>
        <v>Production et transformation de produits bois</v>
      </c>
      <c r="D1345" t="s">
        <v>21</v>
      </c>
      <c r="E1345" t="str">
        <f>VLOOKUP(LEFT(D1345,3),'Table corresp.'!$A$4:$D$63,4,FALSE)</f>
        <v>Transformation</v>
      </c>
      <c r="F1345" t="str">
        <f t="shared" si="162"/>
        <v xml:space="preserve">31  - 54 </v>
      </c>
      <c r="G1345" s="213">
        <v>162453.04006846994</v>
      </c>
      <c r="H1345" s="213">
        <v>351968.81738826429</v>
      </c>
      <c r="I1345" s="213">
        <v>514421.85745673423</v>
      </c>
      <c r="J1345" s="215">
        <v>40.396643981320821</v>
      </c>
      <c r="K1345" s="215">
        <v>58.961647072384643</v>
      </c>
      <c r="L1345" s="215">
        <v>99.358291053705472</v>
      </c>
      <c r="M1345" s="215">
        <v>380.1541333386765</v>
      </c>
      <c r="N1345" s="215">
        <v>571.65693907523564</v>
      </c>
      <c r="O1345" s="215">
        <v>951.81107241391214</v>
      </c>
      <c r="P1345" s="215">
        <v>95.54448607004899</v>
      </c>
      <c r="Q1345" s="215">
        <v>210.76118739158852</v>
      </c>
      <c r="R1345" s="215">
        <v>306.30567346163753</v>
      </c>
      <c r="S1345" s="213" t="s">
        <v>192</v>
      </c>
      <c r="T1345" s="212">
        <f>VLOOKUP(A1345,'Groupe de branches'!$Z$27:$AM$86,14,FALSE)</f>
        <v>0</v>
      </c>
      <c r="U1345" s="212">
        <f>VLOOKUP(D1345,'Groupe de branches'!$Z$27:$AM$86,14,FALSE)</f>
        <v>0</v>
      </c>
      <c r="V1345" s="212">
        <v>2019</v>
      </c>
      <c r="W1345" s="212" t="str">
        <f>VLOOKUP(D1345,'Table corresp.'!$M$4:$S$63,7,FALSE)</f>
        <v>Construction</v>
      </c>
      <c r="X1345" s="228">
        <f>IFERROR(G1345/SUMIFS('Comp2016-2017 (3)'!$I$5:$I$289,'Comp2016-2017 (3)'!$A$5:$A$289,A1345,'Comp2016-2017 (3)'!$R$5:$R$289,V1345),0)</f>
        <v>0.1026893030365765</v>
      </c>
      <c r="Y1345" s="214" t="e">
        <f>IF(RIGHT(F1345,3)="Exp",VLOOKUP(F1345,#REF!,2,FALSE),VLOOKUP(F1345,#REF!,9,FALSE))</f>
        <v>#REF!</v>
      </c>
      <c r="Z1345" s="225" t="str">
        <f t="shared" si="161"/>
        <v/>
      </c>
      <c r="AA1345" s="225" t="e">
        <f t="shared" si="158"/>
        <v>#VALUE!</v>
      </c>
      <c r="AB1345" s="222">
        <f>IFERROR(SUMIFS('Comp2016-2017 (3)'!$G$5:$G$289,'Comp2016-2017 (3)'!$A$5:$A$289,A1345,'Comp2016-2017 (3)'!$R$5:$R$289,V1345)*AA1345/SUMIFS($AA$4:$AA$1858,$A$4:$A$1858,A1345,$V$4:$V$1858,V1345),0)</f>
        <v>0</v>
      </c>
      <c r="AC1345" s="222" t="str">
        <f>IF($W1345=AC$3,$AB1345,IF(NOT($W1345=0),"",SUMIFS('Val-Vol (2)'!AC$4:AC$1858,'Val-Vol (2)'!$A$4:$A$1858,$D1345,'Val-Vol (2)'!$V$4:$V$1858,$V1345)/SUMIFS('Comp2016-2017 (3)'!$G$5:$G$289,'Comp2016-2017 (3)'!$A$5:$A$289,$D1345,'Comp2016-2017 (3)'!$R$5:$R$289,$V1345)*$AB1345))</f>
        <v/>
      </c>
      <c r="AD1345" s="222">
        <f>IF($W1345=AD$3,$AB1345,IF(NOT($W1345=0),"",SUMIFS('Val-Vol (2)'!AD$4:AD$1858,'Val-Vol (2)'!$A$4:$A$1858,$D1345,'Val-Vol (2)'!$V$4:$V$1858,$V1345)/SUMIFS('Comp2016-2017 (3)'!$G$5:$G$289,'Comp2016-2017 (3)'!$A$5:$A$289,$D1345,'Comp2016-2017 (3)'!$R$5:$R$289,$V1345)*$AB1345))</f>
        <v>0</v>
      </c>
      <c r="AE1345" s="222" t="str">
        <f>IF($W1345=AE$3,$AB1345,IF(NOT($W1345=0),"",SUMIFS('Val-Vol (2)'!AE$4:AE$1858,'Val-Vol (2)'!$A$4:$A$1858,$D1345,'Val-Vol (2)'!$V$4:$V$1858,$V1345)/SUMIFS('Comp2016-2017 (3)'!$G$5:$G$289,'Comp2016-2017 (3)'!$A$5:$A$289,$D1345,'Comp2016-2017 (3)'!$R$5:$R$289,$V1345)*$AB1345))</f>
        <v/>
      </c>
      <c r="AF1345" s="222" t="str">
        <f>IF($W1345=AF$3,$AB1345,IF(NOT($W1345=0),"",SUMIFS('Val-Vol (2)'!AF$4:AF$1858,'Val-Vol (2)'!$A$4:$A$1858,$D1345,'Val-Vol (2)'!$V$4:$V$1858,$V1345)/SUMIFS('Comp2016-2017 (3)'!$G$5:$G$289,'Comp2016-2017 (3)'!$A$5:$A$289,$D1345,'Comp2016-2017 (3)'!$R$5:$R$289,$V1345)*$AB1345))</f>
        <v/>
      </c>
      <c r="AG1345" s="222" t="str">
        <f>IF($W1345=AG$3,$AB1345,IF(NOT($W1345=0),"",SUMIFS('Val-Vol (2)'!AG$4:AG$1858,'Val-Vol (2)'!$A$4:$A$1858,$D1345,'Val-Vol (2)'!$V$4:$V$1858,$V1345)/SUMIFS('Comp2016-2017 (3)'!$G$5:$G$289,'Comp2016-2017 (3)'!$A$5:$A$289,$D1345,'Comp2016-2017 (3)'!$R$5:$R$289,$V1345)*$AB1345))</f>
        <v/>
      </c>
      <c r="AH1345" s="222" t="str">
        <f>IF($W1345=AH$3,$AB1345,IF(NOT($W1345=0),"",SUMIFS('Val-Vol (2)'!AH$4:AH$1858,'Val-Vol (2)'!$A$4:$A$1858,$D1345,'Val-Vol (2)'!$V$4:$V$1858,$V1345)/SUMIFS('Comp2016-2017 (3)'!$G$5:$G$289,'Comp2016-2017 (3)'!$A$5:$A$289,$D1345,'Comp2016-2017 (3)'!$R$5:$R$289,$V1345)*$AB1345))</f>
        <v/>
      </c>
      <c r="AI1345" s="222" t="str">
        <f>IF($W1345=AI$3,$AB1345,IF(NOT($W1345=0),"",SUMIFS('Val-Vol (2)'!AI$4:AI$1858,'Val-Vol (2)'!$A$4:$A$1858,$D1345,'Val-Vol (2)'!$V$4:$V$1858,$V1345)/SUMIFS('Comp2016-2017 (3)'!$G$5:$G$289,'Comp2016-2017 (3)'!$A$5:$A$289,$D1345,'Comp2016-2017 (3)'!$R$5:$R$289,$V1345)*$AB1345))</f>
        <v/>
      </c>
      <c r="AJ1345" s="222" t="str">
        <f>IF($W1345=AJ$3,$AB1345,IF(NOT($W1345=0),"",SUMIFS('Val-Vol (2)'!AJ$4:AJ$1858,'Val-Vol (2)'!$A$4:$A$1858,$D1345,'Val-Vol (2)'!$V$4:$V$1858,$V1345)/SUMIFS('Comp2016-2017 (3)'!$G$5:$G$289,'Comp2016-2017 (3)'!$A$5:$A$289,$D1345,'Comp2016-2017 (3)'!$R$5:$R$289,$V1345)*$AB1345))</f>
        <v/>
      </c>
      <c r="AK1345" s="222">
        <f t="shared" si="159"/>
        <v>0</v>
      </c>
      <c r="AL1345" s="212" t="str">
        <f t="shared" si="160"/>
        <v/>
      </c>
      <c r="AM1345" s="212" t="str">
        <f>VLOOKUP(A1345,'Table corresp.'!$M$4:$U$63,8,FALSE)</f>
        <v>Production intermédiaire</v>
      </c>
      <c r="AN1345" s="212" t="str">
        <f>VLOOKUP(D1345,'Table corresp.'!$M$4:$U$63,9,FALSE)</f>
        <v xml:space="preserve">Mise en œuvre </v>
      </c>
    </row>
    <row r="1346" spans="1:40" x14ac:dyDescent="0.25">
      <c r="A1346" t="s">
        <v>87</v>
      </c>
      <c r="B1346" t="str">
        <f>VLOOKUP(LEFT(A1346,3),'Table corresp.'!$A$4:$D$63,3,FALSE)</f>
        <v>Transformation</v>
      </c>
      <c r="C1346" t="str">
        <f>VLOOKUP(A1346,'Table corresp.'!$M$4:$P$63,4,FALSE)</f>
        <v>Production et transformation de produits bois</v>
      </c>
      <c r="D1346" t="s">
        <v>22</v>
      </c>
      <c r="E1346" t="str">
        <f>VLOOKUP(LEFT(D1346,3),'Table corresp.'!$A$4:$D$63,4,FALSE)</f>
        <v>Transformation</v>
      </c>
      <c r="F1346" t="str">
        <f t="shared" si="162"/>
        <v xml:space="preserve">31  - 55 </v>
      </c>
      <c r="G1346" s="213">
        <v>30227.723511142605</v>
      </c>
      <c r="H1346" s="213">
        <v>37633.086762450599</v>
      </c>
      <c r="I1346" s="213">
        <v>67860.810273593204</v>
      </c>
      <c r="J1346" s="215">
        <v>6.0202251063208276</v>
      </c>
      <c r="K1346" s="215">
        <v>5.0492294332346441</v>
      </c>
      <c r="L1346" s="215">
        <v>11.069454539555473</v>
      </c>
      <c r="M1346" s="215">
        <v>72.307381238632928</v>
      </c>
      <c r="N1346" s="215">
        <v>62.480781105409072</v>
      </c>
      <c r="O1346" s="215">
        <v>134.78816234404201</v>
      </c>
      <c r="P1346" s="215">
        <v>17.778013306013833</v>
      </c>
      <c r="Q1346" s="215">
        <v>22.534933947046937</v>
      </c>
      <c r="R1346" s="215">
        <v>40.31294725306077</v>
      </c>
      <c r="S1346" s="213" t="s">
        <v>192</v>
      </c>
      <c r="T1346" s="212">
        <f>VLOOKUP(A1346,'Groupe de branches'!$Z$27:$AM$86,14,FALSE)</f>
        <v>0</v>
      </c>
      <c r="U1346" s="212">
        <f>VLOOKUP(D1346,'Groupe de branches'!$Z$27:$AM$86,14,FALSE)</f>
        <v>0</v>
      </c>
      <c r="V1346" s="212">
        <v>2019</v>
      </c>
      <c r="W1346" s="212" t="str">
        <f>VLOOKUP(D1346,'Table corresp.'!$M$4:$S$63,7,FALSE)</f>
        <v>Construction</v>
      </c>
      <c r="X1346" s="228">
        <f>IFERROR(G1346/SUMIFS('Comp2016-2017 (3)'!$I$5:$I$289,'Comp2016-2017 (3)'!$A$5:$A$289,A1346,'Comp2016-2017 (3)'!$R$5:$R$289,V1346),0)</f>
        <v>1.9107453196525501E-2</v>
      </c>
      <c r="Y1346" s="214" t="e">
        <f>IF(RIGHT(F1346,3)="Exp",VLOOKUP(F1346,#REF!,2,FALSE),VLOOKUP(F1346,#REF!,9,FALSE))</f>
        <v>#REF!</v>
      </c>
      <c r="Z1346" s="225" t="str">
        <f t="shared" si="161"/>
        <v/>
      </c>
      <c r="AA1346" s="225" t="e">
        <f t="shared" si="158"/>
        <v>#VALUE!</v>
      </c>
      <c r="AB1346" s="222">
        <f>IFERROR(SUMIFS('Comp2016-2017 (3)'!$G$5:$G$289,'Comp2016-2017 (3)'!$A$5:$A$289,A1346,'Comp2016-2017 (3)'!$R$5:$R$289,V1346)*AA1346/SUMIFS($AA$4:$AA$1858,$A$4:$A$1858,A1346,$V$4:$V$1858,V1346),0)</f>
        <v>0</v>
      </c>
      <c r="AC1346" s="222" t="str">
        <f>IF($W1346=AC$3,$AB1346,IF(NOT($W1346=0),"",SUMIFS('Val-Vol (2)'!AC$4:AC$1858,'Val-Vol (2)'!$A$4:$A$1858,$D1346,'Val-Vol (2)'!$V$4:$V$1858,$V1346)/SUMIFS('Comp2016-2017 (3)'!$G$5:$G$289,'Comp2016-2017 (3)'!$A$5:$A$289,$D1346,'Comp2016-2017 (3)'!$R$5:$R$289,$V1346)*$AB1346))</f>
        <v/>
      </c>
      <c r="AD1346" s="222">
        <f>IF($W1346=AD$3,$AB1346,IF(NOT($W1346=0),"",SUMIFS('Val-Vol (2)'!AD$4:AD$1858,'Val-Vol (2)'!$A$4:$A$1858,$D1346,'Val-Vol (2)'!$V$4:$V$1858,$V1346)/SUMIFS('Comp2016-2017 (3)'!$G$5:$G$289,'Comp2016-2017 (3)'!$A$5:$A$289,$D1346,'Comp2016-2017 (3)'!$R$5:$R$289,$V1346)*$AB1346))</f>
        <v>0</v>
      </c>
      <c r="AE1346" s="222" t="str">
        <f>IF($W1346=AE$3,$AB1346,IF(NOT($W1346=0),"",SUMIFS('Val-Vol (2)'!AE$4:AE$1858,'Val-Vol (2)'!$A$4:$A$1858,$D1346,'Val-Vol (2)'!$V$4:$V$1858,$V1346)/SUMIFS('Comp2016-2017 (3)'!$G$5:$G$289,'Comp2016-2017 (3)'!$A$5:$A$289,$D1346,'Comp2016-2017 (3)'!$R$5:$R$289,$V1346)*$AB1346))</f>
        <v/>
      </c>
      <c r="AF1346" s="222" t="str">
        <f>IF($W1346=AF$3,$AB1346,IF(NOT($W1346=0),"",SUMIFS('Val-Vol (2)'!AF$4:AF$1858,'Val-Vol (2)'!$A$4:$A$1858,$D1346,'Val-Vol (2)'!$V$4:$V$1858,$V1346)/SUMIFS('Comp2016-2017 (3)'!$G$5:$G$289,'Comp2016-2017 (3)'!$A$5:$A$289,$D1346,'Comp2016-2017 (3)'!$R$5:$R$289,$V1346)*$AB1346))</f>
        <v/>
      </c>
      <c r="AG1346" s="222" t="str">
        <f>IF($W1346=AG$3,$AB1346,IF(NOT($W1346=0),"",SUMIFS('Val-Vol (2)'!AG$4:AG$1858,'Val-Vol (2)'!$A$4:$A$1858,$D1346,'Val-Vol (2)'!$V$4:$V$1858,$V1346)/SUMIFS('Comp2016-2017 (3)'!$G$5:$G$289,'Comp2016-2017 (3)'!$A$5:$A$289,$D1346,'Comp2016-2017 (3)'!$R$5:$R$289,$V1346)*$AB1346))</f>
        <v/>
      </c>
      <c r="AH1346" s="222" t="str">
        <f>IF($W1346=AH$3,$AB1346,IF(NOT($W1346=0),"",SUMIFS('Val-Vol (2)'!AH$4:AH$1858,'Val-Vol (2)'!$A$4:$A$1858,$D1346,'Val-Vol (2)'!$V$4:$V$1858,$V1346)/SUMIFS('Comp2016-2017 (3)'!$G$5:$G$289,'Comp2016-2017 (3)'!$A$5:$A$289,$D1346,'Comp2016-2017 (3)'!$R$5:$R$289,$V1346)*$AB1346))</f>
        <v/>
      </c>
      <c r="AI1346" s="222" t="str">
        <f>IF($W1346=AI$3,$AB1346,IF(NOT($W1346=0),"",SUMIFS('Val-Vol (2)'!AI$4:AI$1858,'Val-Vol (2)'!$A$4:$A$1858,$D1346,'Val-Vol (2)'!$V$4:$V$1858,$V1346)/SUMIFS('Comp2016-2017 (3)'!$G$5:$G$289,'Comp2016-2017 (3)'!$A$5:$A$289,$D1346,'Comp2016-2017 (3)'!$R$5:$R$289,$V1346)*$AB1346))</f>
        <v/>
      </c>
      <c r="AJ1346" s="222" t="str">
        <f>IF($W1346=AJ$3,$AB1346,IF(NOT($W1346=0),"",SUMIFS('Val-Vol (2)'!AJ$4:AJ$1858,'Val-Vol (2)'!$A$4:$A$1858,$D1346,'Val-Vol (2)'!$V$4:$V$1858,$V1346)/SUMIFS('Comp2016-2017 (3)'!$G$5:$G$289,'Comp2016-2017 (3)'!$A$5:$A$289,$D1346,'Comp2016-2017 (3)'!$R$5:$R$289,$V1346)*$AB1346))</f>
        <v/>
      </c>
      <c r="AK1346" s="222">
        <f t="shared" si="159"/>
        <v>0</v>
      </c>
      <c r="AL1346" s="212" t="str">
        <f t="shared" si="160"/>
        <v/>
      </c>
      <c r="AM1346" s="212" t="str">
        <f>VLOOKUP(A1346,'Table corresp.'!$M$4:$U$63,8,FALSE)</f>
        <v>Production intermédiaire</v>
      </c>
      <c r="AN1346" s="212" t="str">
        <f>VLOOKUP(D1346,'Table corresp.'!$M$4:$U$63,9,FALSE)</f>
        <v xml:space="preserve">Mise en œuvre </v>
      </c>
    </row>
    <row r="1347" spans="1:40" x14ac:dyDescent="0.25">
      <c r="A1347" t="s">
        <v>87</v>
      </c>
      <c r="B1347" t="str">
        <f>VLOOKUP(LEFT(A1347,3),'Table corresp.'!$A$4:$D$63,3,FALSE)</f>
        <v>Transformation</v>
      </c>
      <c r="C1347" t="str">
        <f>VLOOKUP(A1347,'Table corresp.'!$M$4:$P$63,4,FALSE)</f>
        <v>Production et transformation de produits bois</v>
      </c>
      <c r="D1347" t="s">
        <v>24</v>
      </c>
      <c r="E1347" t="str">
        <f>VLOOKUP(LEFT(D1347,3),'Table corresp.'!$A$4:$D$63,4,FALSE)</f>
        <v>Transformation</v>
      </c>
      <c r="F1347" t="str">
        <f t="shared" si="162"/>
        <v xml:space="preserve">31  - 57 </v>
      </c>
      <c r="G1347" s="213">
        <v>14744.113313975318</v>
      </c>
      <c r="H1347" s="213">
        <v>32547.668050477194</v>
      </c>
      <c r="I1347" s="213">
        <v>47291.781364452509</v>
      </c>
      <c r="J1347" s="215">
        <v>4.9804251341143155</v>
      </c>
      <c r="K1347" s="215">
        <v>7.4065440181590505</v>
      </c>
      <c r="L1347" s="215">
        <v>12.386969152273366</v>
      </c>
      <c r="M1347" s="215">
        <v>52.903829593364463</v>
      </c>
      <c r="N1347" s="215">
        <v>81.056481061067146</v>
      </c>
      <c r="O1347" s="215">
        <v>133.96031065443162</v>
      </c>
      <c r="P1347" s="215">
        <v>8.6715442724161917</v>
      </c>
      <c r="Q1347" s="215">
        <v>19.489752575378482</v>
      </c>
      <c r="R1347" s="215">
        <v>28.161296847794674</v>
      </c>
      <c r="S1347" s="213" t="s">
        <v>192</v>
      </c>
      <c r="T1347" s="212">
        <f>VLOOKUP(A1347,'Groupe de branches'!$Z$27:$AM$86,14,FALSE)</f>
        <v>0</v>
      </c>
      <c r="U1347" s="212">
        <f>VLOOKUP(D1347,'Groupe de branches'!$Z$27:$AM$86,14,FALSE)</f>
        <v>0</v>
      </c>
      <c r="V1347" s="212">
        <v>2019</v>
      </c>
      <c r="W1347" s="212" t="str">
        <f>VLOOKUP(D1347,'Table corresp.'!$M$4:$S$63,7,FALSE)</f>
        <v>Construction</v>
      </c>
      <c r="X1347" s="228">
        <f>IFERROR(G1347/SUMIFS('Comp2016-2017 (3)'!$I$5:$I$289,'Comp2016-2017 (3)'!$A$5:$A$289,A1347,'Comp2016-2017 (3)'!$R$5:$R$289,V1347),0)</f>
        <v>9.3200023801727171E-3</v>
      </c>
      <c r="Y1347" s="214" t="e">
        <f>IF(RIGHT(F1347,3)="Exp",VLOOKUP(F1347,#REF!,2,FALSE),VLOOKUP(F1347,#REF!,9,FALSE))</f>
        <v>#REF!</v>
      </c>
      <c r="Z1347" s="225" t="str">
        <f t="shared" si="161"/>
        <v/>
      </c>
      <c r="AA1347" s="225" t="e">
        <f t="shared" si="158"/>
        <v>#VALUE!</v>
      </c>
      <c r="AB1347" s="222">
        <f>IFERROR(SUMIFS('Comp2016-2017 (3)'!$G$5:$G$289,'Comp2016-2017 (3)'!$A$5:$A$289,A1347,'Comp2016-2017 (3)'!$R$5:$R$289,V1347)*AA1347/SUMIFS($AA$4:$AA$1858,$A$4:$A$1858,A1347,$V$4:$V$1858,V1347),0)</f>
        <v>0</v>
      </c>
      <c r="AC1347" s="222" t="str">
        <f>IF($W1347=AC$3,$AB1347,IF(NOT($W1347=0),"",SUMIFS('Val-Vol (2)'!AC$4:AC$1858,'Val-Vol (2)'!$A$4:$A$1858,$D1347,'Val-Vol (2)'!$V$4:$V$1858,$V1347)/SUMIFS('Comp2016-2017 (3)'!$G$5:$G$289,'Comp2016-2017 (3)'!$A$5:$A$289,$D1347,'Comp2016-2017 (3)'!$R$5:$R$289,$V1347)*$AB1347))</f>
        <v/>
      </c>
      <c r="AD1347" s="222">
        <f>IF($W1347=AD$3,$AB1347,IF(NOT($W1347=0),"",SUMIFS('Val-Vol (2)'!AD$4:AD$1858,'Val-Vol (2)'!$A$4:$A$1858,$D1347,'Val-Vol (2)'!$V$4:$V$1858,$V1347)/SUMIFS('Comp2016-2017 (3)'!$G$5:$G$289,'Comp2016-2017 (3)'!$A$5:$A$289,$D1347,'Comp2016-2017 (3)'!$R$5:$R$289,$V1347)*$AB1347))</f>
        <v>0</v>
      </c>
      <c r="AE1347" s="222" t="str">
        <f>IF($W1347=AE$3,$AB1347,IF(NOT($W1347=0),"",SUMIFS('Val-Vol (2)'!AE$4:AE$1858,'Val-Vol (2)'!$A$4:$A$1858,$D1347,'Val-Vol (2)'!$V$4:$V$1858,$V1347)/SUMIFS('Comp2016-2017 (3)'!$G$5:$G$289,'Comp2016-2017 (3)'!$A$5:$A$289,$D1347,'Comp2016-2017 (3)'!$R$5:$R$289,$V1347)*$AB1347))</f>
        <v/>
      </c>
      <c r="AF1347" s="222" t="str">
        <f>IF($W1347=AF$3,$AB1347,IF(NOT($W1347=0),"",SUMIFS('Val-Vol (2)'!AF$4:AF$1858,'Val-Vol (2)'!$A$4:$A$1858,$D1347,'Val-Vol (2)'!$V$4:$V$1858,$V1347)/SUMIFS('Comp2016-2017 (3)'!$G$5:$G$289,'Comp2016-2017 (3)'!$A$5:$A$289,$D1347,'Comp2016-2017 (3)'!$R$5:$R$289,$V1347)*$AB1347))</f>
        <v/>
      </c>
      <c r="AG1347" s="222" t="str">
        <f>IF($W1347=AG$3,$AB1347,IF(NOT($W1347=0),"",SUMIFS('Val-Vol (2)'!AG$4:AG$1858,'Val-Vol (2)'!$A$4:$A$1858,$D1347,'Val-Vol (2)'!$V$4:$V$1858,$V1347)/SUMIFS('Comp2016-2017 (3)'!$G$5:$G$289,'Comp2016-2017 (3)'!$A$5:$A$289,$D1347,'Comp2016-2017 (3)'!$R$5:$R$289,$V1347)*$AB1347))</f>
        <v/>
      </c>
      <c r="AH1347" s="222" t="str">
        <f>IF($W1347=AH$3,$AB1347,IF(NOT($W1347=0),"",SUMIFS('Val-Vol (2)'!AH$4:AH$1858,'Val-Vol (2)'!$A$4:$A$1858,$D1347,'Val-Vol (2)'!$V$4:$V$1858,$V1347)/SUMIFS('Comp2016-2017 (3)'!$G$5:$G$289,'Comp2016-2017 (3)'!$A$5:$A$289,$D1347,'Comp2016-2017 (3)'!$R$5:$R$289,$V1347)*$AB1347))</f>
        <v/>
      </c>
      <c r="AI1347" s="222" t="str">
        <f>IF($W1347=AI$3,$AB1347,IF(NOT($W1347=0),"",SUMIFS('Val-Vol (2)'!AI$4:AI$1858,'Val-Vol (2)'!$A$4:$A$1858,$D1347,'Val-Vol (2)'!$V$4:$V$1858,$V1347)/SUMIFS('Comp2016-2017 (3)'!$G$5:$G$289,'Comp2016-2017 (3)'!$A$5:$A$289,$D1347,'Comp2016-2017 (3)'!$R$5:$R$289,$V1347)*$AB1347))</f>
        <v/>
      </c>
      <c r="AJ1347" s="222" t="str">
        <f>IF($W1347=AJ$3,$AB1347,IF(NOT($W1347=0),"",SUMIFS('Val-Vol (2)'!AJ$4:AJ$1858,'Val-Vol (2)'!$A$4:$A$1858,$D1347,'Val-Vol (2)'!$V$4:$V$1858,$V1347)/SUMIFS('Comp2016-2017 (3)'!$G$5:$G$289,'Comp2016-2017 (3)'!$A$5:$A$289,$D1347,'Comp2016-2017 (3)'!$R$5:$R$289,$V1347)*$AB1347))</f>
        <v/>
      </c>
      <c r="AK1347" s="222">
        <f t="shared" si="159"/>
        <v>0</v>
      </c>
      <c r="AL1347" s="212" t="str">
        <f t="shared" si="160"/>
        <v/>
      </c>
      <c r="AM1347" s="212" t="str">
        <f>VLOOKUP(A1347,'Table corresp.'!$M$4:$U$63,8,FALSE)</f>
        <v>Production intermédiaire</v>
      </c>
      <c r="AN1347" s="212" t="str">
        <f>VLOOKUP(D1347,'Table corresp.'!$M$4:$U$63,9,FALSE)</f>
        <v xml:space="preserve">Mise en œuvre </v>
      </c>
    </row>
    <row r="1348" spans="1:40" x14ac:dyDescent="0.25">
      <c r="A1348" t="s">
        <v>87</v>
      </c>
      <c r="B1348" t="str">
        <f>VLOOKUP(LEFT(A1348,3),'Table corresp.'!$A$4:$D$63,3,FALSE)</f>
        <v>Transformation</v>
      </c>
      <c r="C1348" t="str">
        <f>VLOOKUP(A1348,'Table corresp.'!$M$4:$P$63,4,FALSE)</f>
        <v>Production et transformation de produits bois</v>
      </c>
      <c r="D1348" t="s">
        <v>25</v>
      </c>
      <c r="E1348" t="str">
        <f>VLOOKUP(LEFT(D1348,3),'Table corresp.'!$A$4:$D$63,4,FALSE)</f>
        <v>Transformation</v>
      </c>
      <c r="F1348" t="str">
        <f t="shared" si="162"/>
        <v xml:space="preserve">31  - 58 </v>
      </c>
      <c r="G1348" s="213">
        <v>1864.9199640953598</v>
      </c>
      <c r="H1348" s="213">
        <v>2995.6319780378012</v>
      </c>
      <c r="I1348" s="213">
        <v>4860.551942133161</v>
      </c>
      <c r="J1348" s="215">
        <v>0.62995271838343159</v>
      </c>
      <c r="K1348" s="215">
        <v>0.68168570704150788</v>
      </c>
      <c r="L1348" s="215">
        <v>1.3116384254249396</v>
      </c>
      <c r="M1348" s="215">
        <v>6.6915796077236687</v>
      </c>
      <c r="N1348" s="215">
        <v>7.460300575671754</v>
      </c>
      <c r="O1348" s="215">
        <v>14.151880183395424</v>
      </c>
      <c r="P1348" s="215">
        <v>1.0968266242119304</v>
      </c>
      <c r="Q1348" s="215">
        <v>1.7938036595525739</v>
      </c>
      <c r="R1348" s="215">
        <v>2.8906302837645041</v>
      </c>
      <c r="S1348" s="213" t="s">
        <v>192</v>
      </c>
      <c r="T1348" s="212">
        <f>VLOOKUP(A1348,'Groupe de branches'!$Z$27:$AM$86,14,FALSE)</f>
        <v>0</v>
      </c>
      <c r="U1348" s="212">
        <f>VLOOKUP(D1348,'Groupe de branches'!$Z$27:$AM$86,14,FALSE)</f>
        <v>0</v>
      </c>
      <c r="V1348" s="212">
        <v>2019</v>
      </c>
      <c r="W1348" s="212" t="str">
        <f>VLOOKUP(D1348,'Table corresp.'!$M$4:$S$63,7,FALSE)</f>
        <v>Construction</v>
      </c>
      <c r="X1348" s="228">
        <f>IFERROR(G1348/SUMIFS('Comp2016-2017 (3)'!$I$5:$I$289,'Comp2016-2017 (3)'!$A$5:$A$289,A1348,'Comp2016-2017 (3)'!$R$5:$R$289,V1348),0)</f>
        <v>1.1788473225938657E-3</v>
      </c>
      <c r="Y1348" s="214" t="e">
        <f>IF(RIGHT(F1348,3)="Exp",VLOOKUP(F1348,#REF!,2,FALSE),VLOOKUP(F1348,#REF!,9,FALSE))</f>
        <v>#REF!</v>
      </c>
      <c r="Z1348" s="225" t="str">
        <f t="shared" si="161"/>
        <v/>
      </c>
      <c r="AA1348" s="225" t="e">
        <f t="shared" si="158"/>
        <v>#VALUE!</v>
      </c>
      <c r="AB1348" s="222">
        <f>IFERROR(SUMIFS('Comp2016-2017 (3)'!$G$5:$G$289,'Comp2016-2017 (3)'!$A$5:$A$289,A1348,'Comp2016-2017 (3)'!$R$5:$R$289,V1348)*AA1348/SUMIFS($AA$4:$AA$1858,$A$4:$A$1858,A1348,$V$4:$V$1858,V1348),0)</f>
        <v>0</v>
      </c>
      <c r="AC1348" s="222" t="str">
        <f>IF($W1348=AC$3,$AB1348,IF(NOT($W1348=0),"",SUMIFS('Val-Vol (2)'!AC$4:AC$1858,'Val-Vol (2)'!$A$4:$A$1858,$D1348,'Val-Vol (2)'!$V$4:$V$1858,$V1348)/SUMIFS('Comp2016-2017 (3)'!$G$5:$G$289,'Comp2016-2017 (3)'!$A$5:$A$289,$D1348,'Comp2016-2017 (3)'!$R$5:$R$289,$V1348)*$AB1348))</f>
        <v/>
      </c>
      <c r="AD1348" s="222">
        <f>IF($W1348=AD$3,$AB1348,IF(NOT($W1348=0),"",SUMIFS('Val-Vol (2)'!AD$4:AD$1858,'Val-Vol (2)'!$A$4:$A$1858,$D1348,'Val-Vol (2)'!$V$4:$V$1858,$V1348)/SUMIFS('Comp2016-2017 (3)'!$G$5:$G$289,'Comp2016-2017 (3)'!$A$5:$A$289,$D1348,'Comp2016-2017 (3)'!$R$5:$R$289,$V1348)*$AB1348))</f>
        <v>0</v>
      </c>
      <c r="AE1348" s="222" t="str">
        <f>IF($W1348=AE$3,$AB1348,IF(NOT($W1348=0),"",SUMIFS('Val-Vol (2)'!AE$4:AE$1858,'Val-Vol (2)'!$A$4:$A$1858,$D1348,'Val-Vol (2)'!$V$4:$V$1858,$V1348)/SUMIFS('Comp2016-2017 (3)'!$G$5:$G$289,'Comp2016-2017 (3)'!$A$5:$A$289,$D1348,'Comp2016-2017 (3)'!$R$5:$R$289,$V1348)*$AB1348))</f>
        <v/>
      </c>
      <c r="AF1348" s="222" t="str">
        <f>IF($W1348=AF$3,$AB1348,IF(NOT($W1348=0),"",SUMIFS('Val-Vol (2)'!AF$4:AF$1858,'Val-Vol (2)'!$A$4:$A$1858,$D1348,'Val-Vol (2)'!$V$4:$V$1858,$V1348)/SUMIFS('Comp2016-2017 (3)'!$G$5:$G$289,'Comp2016-2017 (3)'!$A$5:$A$289,$D1348,'Comp2016-2017 (3)'!$R$5:$R$289,$V1348)*$AB1348))</f>
        <v/>
      </c>
      <c r="AG1348" s="222" t="str">
        <f>IF($W1348=AG$3,$AB1348,IF(NOT($W1348=0),"",SUMIFS('Val-Vol (2)'!AG$4:AG$1858,'Val-Vol (2)'!$A$4:$A$1858,$D1348,'Val-Vol (2)'!$V$4:$V$1858,$V1348)/SUMIFS('Comp2016-2017 (3)'!$G$5:$G$289,'Comp2016-2017 (3)'!$A$5:$A$289,$D1348,'Comp2016-2017 (3)'!$R$5:$R$289,$V1348)*$AB1348))</f>
        <v/>
      </c>
      <c r="AH1348" s="222" t="str">
        <f>IF($W1348=AH$3,$AB1348,IF(NOT($W1348=0),"",SUMIFS('Val-Vol (2)'!AH$4:AH$1858,'Val-Vol (2)'!$A$4:$A$1858,$D1348,'Val-Vol (2)'!$V$4:$V$1858,$V1348)/SUMIFS('Comp2016-2017 (3)'!$G$5:$G$289,'Comp2016-2017 (3)'!$A$5:$A$289,$D1348,'Comp2016-2017 (3)'!$R$5:$R$289,$V1348)*$AB1348))</f>
        <v/>
      </c>
      <c r="AI1348" s="222" t="str">
        <f>IF($W1348=AI$3,$AB1348,IF(NOT($W1348=0),"",SUMIFS('Val-Vol (2)'!AI$4:AI$1858,'Val-Vol (2)'!$A$4:$A$1858,$D1348,'Val-Vol (2)'!$V$4:$V$1858,$V1348)/SUMIFS('Comp2016-2017 (3)'!$G$5:$G$289,'Comp2016-2017 (3)'!$A$5:$A$289,$D1348,'Comp2016-2017 (3)'!$R$5:$R$289,$V1348)*$AB1348))</f>
        <v/>
      </c>
      <c r="AJ1348" s="222" t="str">
        <f>IF($W1348=AJ$3,$AB1348,IF(NOT($W1348=0),"",SUMIFS('Val-Vol (2)'!AJ$4:AJ$1858,'Val-Vol (2)'!$A$4:$A$1858,$D1348,'Val-Vol (2)'!$V$4:$V$1858,$V1348)/SUMIFS('Comp2016-2017 (3)'!$G$5:$G$289,'Comp2016-2017 (3)'!$A$5:$A$289,$D1348,'Comp2016-2017 (3)'!$R$5:$R$289,$V1348)*$AB1348))</f>
        <v/>
      </c>
      <c r="AK1348" s="222">
        <f t="shared" si="159"/>
        <v>0</v>
      </c>
      <c r="AL1348" s="212" t="str">
        <f t="shared" si="160"/>
        <v/>
      </c>
      <c r="AM1348" s="212" t="str">
        <f>VLOOKUP(A1348,'Table corresp.'!$M$4:$U$63,8,FALSE)</f>
        <v>Production intermédiaire</v>
      </c>
      <c r="AN1348" s="212" t="str">
        <f>VLOOKUP(D1348,'Table corresp.'!$M$4:$U$63,9,FALSE)</f>
        <v xml:space="preserve">Mise en œuvre </v>
      </c>
    </row>
    <row r="1349" spans="1:40" x14ac:dyDescent="0.25">
      <c r="A1349" t="s">
        <v>87</v>
      </c>
      <c r="B1349" t="str">
        <f>VLOOKUP(LEFT(A1349,3),'Table corresp.'!$A$4:$D$63,3,FALSE)</f>
        <v>Transformation</v>
      </c>
      <c r="C1349" t="str">
        <f>VLOOKUP(A1349,'Table corresp.'!$M$4:$P$63,4,FALSE)</f>
        <v>Production et transformation de produits bois</v>
      </c>
      <c r="D1349" t="s">
        <v>26</v>
      </c>
      <c r="E1349" t="str">
        <f>VLOOKUP(LEFT(D1349,3),'Table corresp.'!$A$4:$D$63,4,FALSE)</f>
        <v>Transformation</v>
      </c>
      <c r="F1349" t="str">
        <f t="shared" si="162"/>
        <v xml:space="preserve">31  - 59 </v>
      </c>
      <c r="G1349" s="213">
        <v>1775.4910086326133</v>
      </c>
      <c r="H1349" s="213">
        <v>3464.0202967612663</v>
      </c>
      <c r="I1349" s="213">
        <v>5239.5113053938794</v>
      </c>
      <c r="J1349" s="215">
        <v>0.25544670771700739</v>
      </c>
      <c r="K1349" s="215">
        <v>0.33574552621375131</v>
      </c>
      <c r="L1349" s="215">
        <v>0.5911922339307587</v>
      </c>
      <c r="M1349" s="215">
        <v>2.7302985779091933</v>
      </c>
      <c r="N1349" s="215">
        <v>3.6971877916431435</v>
      </c>
      <c r="O1349" s="215">
        <v>6.4274863695523372</v>
      </c>
      <c r="P1349" s="215">
        <v>1.0442302333665014</v>
      </c>
      <c r="Q1349" s="215">
        <v>2.0742775917236993</v>
      </c>
      <c r="R1349" s="215">
        <v>3.1185078250902007</v>
      </c>
      <c r="S1349" s="213" t="s">
        <v>192</v>
      </c>
      <c r="T1349" s="212">
        <f>VLOOKUP(A1349,'Groupe de branches'!$Z$27:$AM$86,14,FALSE)</f>
        <v>0</v>
      </c>
      <c r="U1349" s="212">
        <f>VLOOKUP(D1349,'Groupe de branches'!$Z$27:$AM$86,14,FALSE)</f>
        <v>0</v>
      </c>
      <c r="V1349" s="212">
        <v>2019</v>
      </c>
      <c r="W1349" s="212" t="str">
        <f>VLOOKUP(D1349,'Table corresp.'!$M$4:$S$63,7,FALSE)</f>
        <v>Construction</v>
      </c>
      <c r="X1349" s="228">
        <f>IFERROR(G1349/SUMIFS('Comp2016-2017 (3)'!$I$5:$I$289,'Comp2016-2017 (3)'!$A$5:$A$289,A1349,'Comp2016-2017 (3)'!$R$5:$R$289,V1349),0)</f>
        <v>1.1223177734768538E-3</v>
      </c>
      <c r="Y1349" s="214" t="e">
        <f>IF(RIGHT(F1349,3)="Exp",VLOOKUP(F1349,#REF!,2,FALSE),VLOOKUP(F1349,#REF!,9,FALSE))</f>
        <v>#REF!</v>
      </c>
      <c r="Z1349" s="225" t="str">
        <f t="shared" si="161"/>
        <v/>
      </c>
      <c r="AA1349" s="225" t="e">
        <f t="shared" si="158"/>
        <v>#VALUE!</v>
      </c>
      <c r="AB1349" s="222">
        <f>IFERROR(SUMIFS('Comp2016-2017 (3)'!$G$5:$G$289,'Comp2016-2017 (3)'!$A$5:$A$289,A1349,'Comp2016-2017 (3)'!$R$5:$R$289,V1349)*AA1349/SUMIFS($AA$4:$AA$1858,$A$4:$A$1858,A1349,$V$4:$V$1858,V1349),0)</f>
        <v>0</v>
      </c>
      <c r="AC1349" s="222" t="str">
        <f>IF($W1349=AC$3,$AB1349,IF(NOT($W1349=0),"",SUMIFS('Val-Vol (2)'!AC$4:AC$1858,'Val-Vol (2)'!$A$4:$A$1858,$D1349,'Val-Vol (2)'!$V$4:$V$1858,$V1349)/SUMIFS('Comp2016-2017 (3)'!$G$5:$G$289,'Comp2016-2017 (3)'!$A$5:$A$289,$D1349,'Comp2016-2017 (3)'!$R$5:$R$289,$V1349)*$AB1349))</f>
        <v/>
      </c>
      <c r="AD1349" s="222">
        <f>IF($W1349=AD$3,$AB1349,IF(NOT($W1349=0),"",SUMIFS('Val-Vol (2)'!AD$4:AD$1858,'Val-Vol (2)'!$A$4:$A$1858,$D1349,'Val-Vol (2)'!$V$4:$V$1858,$V1349)/SUMIFS('Comp2016-2017 (3)'!$G$5:$G$289,'Comp2016-2017 (3)'!$A$5:$A$289,$D1349,'Comp2016-2017 (3)'!$R$5:$R$289,$V1349)*$AB1349))</f>
        <v>0</v>
      </c>
      <c r="AE1349" s="222" t="str">
        <f>IF($W1349=AE$3,$AB1349,IF(NOT($W1349=0),"",SUMIFS('Val-Vol (2)'!AE$4:AE$1858,'Val-Vol (2)'!$A$4:$A$1858,$D1349,'Val-Vol (2)'!$V$4:$V$1858,$V1349)/SUMIFS('Comp2016-2017 (3)'!$G$5:$G$289,'Comp2016-2017 (3)'!$A$5:$A$289,$D1349,'Comp2016-2017 (3)'!$R$5:$R$289,$V1349)*$AB1349))</f>
        <v/>
      </c>
      <c r="AF1349" s="222" t="str">
        <f>IF($W1349=AF$3,$AB1349,IF(NOT($W1349=0),"",SUMIFS('Val-Vol (2)'!AF$4:AF$1858,'Val-Vol (2)'!$A$4:$A$1858,$D1349,'Val-Vol (2)'!$V$4:$V$1858,$V1349)/SUMIFS('Comp2016-2017 (3)'!$G$5:$G$289,'Comp2016-2017 (3)'!$A$5:$A$289,$D1349,'Comp2016-2017 (3)'!$R$5:$R$289,$V1349)*$AB1349))</f>
        <v/>
      </c>
      <c r="AG1349" s="222" t="str">
        <f>IF($W1349=AG$3,$AB1349,IF(NOT($W1349=0),"",SUMIFS('Val-Vol (2)'!AG$4:AG$1858,'Val-Vol (2)'!$A$4:$A$1858,$D1349,'Val-Vol (2)'!$V$4:$V$1858,$V1349)/SUMIFS('Comp2016-2017 (3)'!$G$5:$G$289,'Comp2016-2017 (3)'!$A$5:$A$289,$D1349,'Comp2016-2017 (3)'!$R$5:$R$289,$V1349)*$AB1349))</f>
        <v/>
      </c>
      <c r="AH1349" s="222" t="str">
        <f>IF($W1349=AH$3,$AB1349,IF(NOT($W1349=0),"",SUMIFS('Val-Vol (2)'!AH$4:AH$1858,'Val-Vol (2)'!$A$4:$A$1858,$D1349,'Val-Vol (2)'!$V$4:$V$1858,$V1349)/SUMIFS('Comp2016-2017 (3)'!$G$5:$G$289,'Comp2016-2017 (3)'!$A$5:$A$289,$D1349,'Comp2016-2017 (3)'!$R$5:$R$289,$V1349)*$AB1349))</f>
        <v/>
      </c>
      <c r="AI1349" s="222" t="str">
        <f>IF($W1349=AI$3,$AB1349,IF(NOT($W1349=0),"",SUMIFS('Val-Vol (2)'!AI$4:AI$1858,'Val-Vol (2)'!$A$4:$A$1858,$D1349,'Val-Vol (2)'!$V$4:$V$1858,$V1349)/SUMIFS('Comp2016-2017 (3)'!$G$5:$G$289,'Comp2016-2017 (3)'!$A$5:$A$289,$D1349,'Comp2016-2017 (3)'!$R$5:$R$289,$V1349)*$AB1349))</f>
        <v/>
      </c>
      <c r="AJ1349" s="222" t="str">
        <f>IF($W1349=AJ$3,$AB1349,IF(NOT($W1349=0),"",SUMIFS('Val-Vol (2)'!AJ$4:AJ$1858,'Val-Vol (2)'!$A$4:$A$1858,$D1349,'Val-Vol (2)'!$V$4:$V$1858,$V1349)/SUMIFS('Comp2016-2017 (3)'!$G$5:$G$289,'Comp2016-2017 (3)'!$A$5:$A$289,$D1349,'Comp2016-2017 (3)'!$R$5:$R$289,$V1349)*$AB1349))</f>
        <v/>
      </c>
      <c r="AK1349" s="222">
        <f t="shared" si="159"/>
        <v>0</v>
      </c>
      <c r="AL1349" s="212" t="str">
        <f t="shared" si="160"/>
        <v/>
      </c>
      <c r="AM1349" s="212" t="str">
        <f>VLOOKUP(A1349,'Table corresp.'!$M$4:$U$63,8,FALSE)</f>
        <v>Production intermédiaire</v>
      </c>
      <c r="AN1349" s="212" t="str">
        <f>VLOOKUP(D1349,'Table corresp.'!$M$4:$U$63,9,FALSE)</f>
        <v xml:space="preserve">Mise en œuvre </v>
      </c>
    </row>
    <row r="1350" spans="1:40" x14ac:dyDescent="0.25">
      <c r="A1350" t="s">
        <v>87</v>
      </c>
      <c r="B1350" t="str">
        <f>VLOOKUP(LEFT(A1350,3),'Table corresp.'!$A$4:$D$63,3,FALSE)</f>
        <v>Transformation</v>
      </c>
      <c r="C1350" t="str">
        <f>VLOOKUP(A1350,'Table corresp.'!$M$4:$P$63,4,FALSE)</f>
        <v>Production et transformation de produits bois</v>
      </c>
      <c r="D1350" t="s">
        <v>54</v>
      </c>
      <c r="E1350" t="str">
        <f>VLOOKUP(LEFT(D1350,3),'Table corresp.'!$A$4:$D$63,4,FALSE)</f>
        <v>Consommation finale</v>
      </c>
      <c r="F1350" t="str">
        <f t="shared" si="162"/>
        <v>31  - Con</v>
      </c>
      <c r="G1350" s="213">
        <v>69778.709203986786</v>
      </c>
      <c r="H1350" s="213">
        <v>158398.15840692742</v>
      </c>
      <c r="I1350" s="213">
        <v>228176.86761091423</v>
      </c>
      <c r="J1350" s="215">
        <v>18.070795406354282</v>
      </c>
      <c r="K1350" s="215">
        <v>27.288634573392933</v>
      </c>
      <c r="L1350" s="215">
        <v>45.359429979747219</v>
      </c>
      <c r="M1350" s="215">
        <v>184.099442742344</v>
      </c>
      <c r="N1350" s="215">
        <v>317.55735706156224</v>
      </c>
      <c r="O1350" s="215">
        <v>501.65679980390621</v>
      </c>
      <c r="P1350" s="215">
        <v>41.039373019528298</v>
      </c>
      <c r="Q1350" s="215">
        <v>94.849834125101353</v>
      </c>
      <c r="R1350" s="215">
        <v>135.88920714462967</v>
      </c>
      <c r="S1350" s="213" t="s">
        <v>192</v>
      </c>
      <c r="T1350" s="212">
        <f>VLOOKUP(A1350,'Groupe de branches'!$Z$27:$AM$86,14,FALSE)</f>
        <v>0</v>
      </c>
      <c r="U1350" s="212">
        <f>VLOOKUP(D1350,'Groupe de branches'!$Z$27:$AM$86,14,FALSE)</f>
        <v>0</v>
      </c>
      <c r="V1350" s="212">
        <v>2019</v>
      </c>
      <c r="W1350" s="212" t="str">
        <f>VLOOKUP(D1350,'Table corresp.'!$M$4:$S$63,7,FALSE)</f>
        <v>Consommation finale</v>
      </c>
      <c r="X1350" s="228">
        <f>IFERROR(G1350/SUMIFS('Comp2016-2017 (3)'!$I$5:$I$289,'Comp2016-2017 (3)'!$A$5:$A$289,A1350,'Comp2016-2017 (3)'!$R$5:$R$289,V1350),0)</f>
        <v>4.4108297462018914E-2</v>
      </c>
      <c r="Y1350" s="214" t="e">
        <f>IF(RIGHT(F1350,3)="Exp",VLOOKUP(F1350,#REF!,2,FALSE),VLOOKUP(F1350,#REF!,9,FALSE))</f>
        <v>#REF!</v>
      </c>
      <c r="Z1350" s="225" t="str">
        <f t="shared" si="161"/>
        <v/>
      </c>
      <c r="AA1350" s="225" t="e">
        <f t="shared" si="158"/>
        <v>#VALUE!</v>
      </c>
      <c r="AB1350" s="222">
        <f>IFERROR(SUMIFS('Comp2016-2017 (3)'!$G$5:$G$289,'Comp2016-2017 (3)'!$A$5:$A$289,A1350,'Comp2016-2017 (3)'!$R$5:$R$289,V1350)*AA1350/SUMIFS($AA$4:$AA$1858,$A$4:$A$1858,A1350,$V$4:$V$1858,V1350),0)</f>
        <v>0</v>
      </c>
      <c r="AC1350" s="222" t="str">
        <f>IF($W1350=AC$3,$AB1350,IF(NOT($W1350=0),"",SUMIFS('Val-Vol (2)'!AC$4:AC$1858,'Val-Vol (2)'!$A$4:$A$1858,$D1350,'Val-Vol (2)'!$V$4:$V$1858,$V1350)/SUMIFS('Comp2016-2017 (3)'!$G$5:$G$289,'Comp2016-2017 (3)'!$A$5:$A$289,$D1350,'Comp2016-2017 (3)'!$R$5:$R$289,$V1350)*$AB1350))</f>
        <v/>
      </c>
      <c r="AD1350" s="222" t="str">
        <f>IF($W1350=AD$3,$AB1350,IF(NOT($W1350=0),"",SUMIFS('Val-Vol (2)'!AD$4:AD$1858,'Val-Vol (2)'!$A$4:$A$1858,$D1350,'Val-Vol (2)'!$V$4:$V$1858,$V1350)/SUMIFS('Comp2016-2017 (3)'!$G$5:$G$289,'Comp2016-2017 (3)'!$A$5:$A$289,$D1350,'Comp2016-2017 (3)'!$R$5:$R$289,$V1350)*$AB1350))</f>
        <v/>
      </c>
      <c r="AE1350" s="222" t="str">
        <f>IF($W1350=AE$3,$AB1350,IF(NOT($W1350=0),"",SUMIFS('Val-Vol (2)'!AE$4:AE$1858,'Val-Vol (2)'!$A$4:$A$1858,$D1350,'Val-Vol (2)'!$V$4:$V$1858,$V1350)/SUMIFS('Comp2016-2017 (3)'!$G$5:$G$289,'Comp2016-2017 (3)'!$A$5:$A$289,$D1350,'Comp2016-2017 (3)'!$R$5:$R$289,$V1350)*$AB1350))</f>
        <v/>
      </c>
      <c r="AF1350" s="222" t="str">
        <f>IF($W1350=AF$3,$AB1350,IF(NOT($W1350=0),"",SUMIFS('Val-Vol (2)'!AF$4:AF$1858,'Val-Vol (2)'!$A$4:$A$1858,$D1350,'Val-Vol (2)'!$V$4:$V$1858,$V1350)/SUMIFS('Comp2016-2017 (3)'!$G$5:$G$289,'Comp2016-2017 (3)'!$A$5:$A$289,$D1350,'Comp2016-2017 (3)'!$R$5:$R$289,$V1350)*$AB1350))</f>
        <v/>
      </c>
      <c r="AG1350" s="222" t="str">
        <f>IF($W1350=AG$3,$AB1350,IF(NOT($W1350=0),"",SUMIFS('Val-Vol (2)'!AG$4:AG$1858,'Val-Vol (2)'!$A$4:$A$1858,$D1350,'Val-Vol (2)'!$V$4:$V$1858,$V1350)/SUMIFS('Comp2016-2017 (3)'!$G$5:$G$289,'Comp2016-2017 (3)'!$A$5:$A$289,$D1350,'Comp2016-2017 (3)'!$R$5:$R$289,$V1350)*$AB1350))</f>
        <v/>
      </c>
      <c r="AH1350" s="222" t="str">
        <f>IF($W1350=AH$3,$AB1350,IF(NOT($W1350=0),"",SUMIFS('Val-Vol (2)'!AH$4:AH$1858,'Val-Vol (2)'!$A$4:$A$1858,$D1350,'Val-Vol (2)'!$V$4:$V$1858,$V1350)/SUMIFS('Comp2016-2017 (3)'!$G$5:$G$289,'Comp2016-2017 (3)'!$A$5:$A$289,$D1350,'Comp2016-2017 (3)'!$R$5:$R$289,$V1350)*$AB1350))</f>
        <v/>
      </c>
      <c r="AI1350" s="222" t="str">
        <f>IF($W1350=AI$3,$AB1350,IF(NOT($W1350=0),"",SUMIFS('Val-Vol (2)'!AI$4:AI$1858,'Val-Vol (2)'!$A$4:$A$1858,$D1350,'Val-Vol (2)'!$V$4:$V$1858,$V1350)/SUMIFS('Comp2016-2017 (3)'!$G$5:$G$289,'Comp2016-2017 (3)'!$A$5:$A$289,$D1350,'Comp2016-2017 (3)'!$R$5:$R$289,$V1350)*$AB1350))</f>
        <v/>
      </c>
      <c r="AJ1350" s="222">
        <f>IF($W1350=AJ$3,$AB1350,IF(NOT($W1350=0),"",SUMIFS('Val-Vol (2)'!AJ$4:AJ$1858,'Val-Vol (2)'!$A$4:$A$1858,$D1350,'Val-Vol (2)'!$V$4:$V$1858,$V1350)/SUMIFS('Comp2016-2017 (3)'!$G$5:$G$289,'Comp2016-2017 (3)'!$A$5:$A$289,$D1350,'Comp2016-2017 (3)'!$R$5:$R$289,$V1350)*$AB1350))</f>
        <v>0</v>
      </c>
      <c r="AK1350" s="222">
        <f t="shared" si="159"/>
        <v>0</v>
      </c>
      <c r="AL1350" s="212" t="str">
        <f t="shared" si="160"/>
        <v/>
      </c>
      <c r="AM1350" s="212" t="str">
        <f>VLOOKUP(A1350,'Table corresp.'!$M$4:$U$63,8,FALSE)</f>
        <v>Production intermédiaire</v>
      </c>
      <c r="AN1350" s="212" t="str">
        <f>VLOOKUP(D1350,'Table corresp.'!$M$4:$U$63,9,FALSE)</f>
        <v>Consommation finale française</v>
      </c>
    </row>
    <row r="1351" spans="1:40" x14ac:dyDescent="0.25">
      <c r="A1351" t="s">
        <v>87</v>
      </c>
      <c r="B1351" t="str">
        <f>VLOOKUP(LEFT(A1351,3),'Table corresp.'!$A$4:$D$63,3,FALSE)</f>
        <v>Transformation</v>
      </c>
      <c r="C1351" t="str">
        <f>VLOOKUP(A1351,'Table corresp.'!$M$4:$P$63,4,FALSE)</f>
        <v>Production et transformation de produits bois</v>
      </c>
      <c r="D1351" t="s">
        <v>53</v>
      </c>
      <c r="E1351" t="str">
        <f>VLOOKUP(LEFT(D1351,3),'Table corresp.'!$A$4:$D$63,4,FALSE)</f>
        <v>Exportation</v>
      </c>
      <c r="F1351" t="str">
        <f t="shared" si="162"/>
        <v>31  - Exp</v>
      </c>
      <c r="G1351" s="213">
        <v>847227.47999999928</v>
      </c>
      <c r="H1351" s="213">
        <v>0</v>
      </c>
      <c r="I1351" s="213">
        <v>847227.47999999928</v>
      </c>
      <c r="J1351" s="215">
        <v>209.24750777774943</v>
      </c>
      <c r="K1351" s="215">
        <v>0</v>
      </c>
      <c r="L1351" s="215">
        <v>209.24750777774943</v>
      </c>
      <c r="M1351" s="215">
        <v>2261.3563770982009</v>
      </c>
      <c r="N1351" s="215">
        <v>0</v>
      </c>
      <c r="O1351" s="215">
        <v>2261.3563770982009</v>
      </c>
      <c r="P1351" s="215">
        <v>498.28500671274054</v>
      </c>
      <c r="Q1351" s="215">
        <v>0</v>
      </c>
      <c r="R1351" s="215">
        <v>498.28500671274054</v>
      </c>
      <c r="S1351" s="213" t="s">
        <v>192</v>
      </c>
      <c r="T1351" s="212">
        <f>VLOOKUP(A1351,'Groupe de branches'!$Z$27:$AM$86,14,FALSE)</f>
        <v>0</v>
      </c>
      <c r="U1351" s="212">
        <f>VLOOKUP(D1351,'Groupe de branches'!$Z$27:$AM$86,14,FALSE)</f>
        <v>0</v>
      </c>
      <c r="V1351" s="212">
        <v>2019</v>
      </c>
      <c r="W1351" s="212" t="str">
        <f>VLOOKUP(D1351,'Table corresp.'!$M$4:$S$63,7,FALSE)</f>
        <v>Exportation</v>
      </c>
      <c r="X1351" s="228">
        <f>IFERROR(G1351/SUMIFS('Comp2016-2017 (3)'!$I$5:$I$289,'Comp2016-2017 (3)'!$A$5:$A$289,A1351,'Comp2016-2017 (3)'!$R$5:$R$289,V1351),0)</f>
        <v>0.53554676106994448</v>
      </c>
      <c r="Y1351" s="214" t="e">
        <f>IF(RIGHT(F1351,3)="Exp",VLOOKUP(F1351,#REF!,2,FALSE),VLOOKUP(F1351,#REF!,9,FALSE))</f>
        <v>#REF!</v>
      </c>
      <c r="Z1351" s="225" t="str">
        <f>IFERROR(Y1351/SUMIFS($Y$4:$Y$1858,$V$4:$V$1858,V1351,$A$4:$A$1858,A1351),"")</f>
        <v/>
      </c>
      <c r="AA1351" s="225" t="e">
        <f t="shared" si="158"/>
        <v>#VALUE!</v>
      </c>
      <c r="AB1351" s="222">
        <f>IFERROR(SUMIFS('Comp2016-2017 (3)'!$G$5:$G$289,'Comp2016-2017 (3)'!$A$5:$A$289,A1351,'Comp2016-2017 (3)'!$R$5:$R$289,V1351)*AA1351/SUMIFS($AA$4:$AA$1858,$A$4:$A$1858,A1351,$V$4:$V$1858,V1351),0)</f>
        <v>0</v>
      </c>
      <c r="AC1351" s="222">
        <f>IF($W1351=AC$3,$AB1351,IF(NOT($W1351=0),"",SUMIFS('Val-Vol (2)'!AC$4:AC$1858,'Val-Vol (2)'!$A$4:$A$1858,$D1351,'Val-Vol (2)'!$V$4:$V$1858,$V1351)/SUMIFS('Comp2016-2017 (3)'!$G$5:$G$289,'Comp2016-2017 (3)'!$A$5:$A$289,$D1351,'Comp2016-2017 (3)'!$R$5:$R$289,$V1351)*$AB1351))</f>
        <v>0</v>
      </c>
      <c r="AD1351" s="222" t="str">
        <f>IF($W1351=AD$3,$AB1351,IF(NOT($W1351=0),"",SUMIFS('Val-Vol (2)'!AD$4:AD$1858,'Val-Vol (2)'!$A$4:$A$1858,$D1351,'Val-Vol (2)'!$V$4:$V$1858,$V1351)/SUMIFS('Comp2016-2017 (3)'!$G$5:$G$289,'Comp2016-2017 (3)'!$A$5:$A$289,$D1351,'Comp2016-2017 (3)'!$R$5:$R$289,$V1351)*$AB1351))</f>
        <v/>
      </c>
      <c r="AE1351" s="222" t="str">
        <f>IF($W1351=AE$3,$AB1351,IF(NOT($W1351=0),"",SUMIFS('Val-Vol (2)'!AE$4:AE$1858,'Val-Vol (2)'!$A$4:$A$1858,$D1351,'Val-Vol (2)'!$V$4:$V$1858,$V1351)/SUMIFS('Comp2016-2017 (3)'!$G$5:$G$289,'Comp2016-2017 (3)'!$A$5:$A$289,$D1351,'Comp2016-2017 (3)'!$R$5:$R$289,$V1351)*$AB1351))</f>
        <v/>
      </c>
      <c r="AF1351" s="222" t="str">
        <f>IF($W1351=AF$3,$AB1351,IF(NOT($W1351=0),"",SUMIFS('Val-Vol (2)'!AF$4:AF$1858,'Val-Vol (2)'!$A$4:$A$1858,$D1351,'Val-Vol (2)'!$V$4:$V$1858,$V1351)/SUMIFS('Comp2016-2017 (3)'!$G$5:$G$289,'Comp2016-2017 (3)'!$A$5:$A$289,$D1351,'Comp2016-2017 (3)'!$R$5:$R$289,$V1351)*$AB1351))</f>
        <v/>
      </c>
      <c r="AG1351" s="222" t="str">
        <f>IF($W1351=AG$3,$AB1351,IF(NOT($W1351=0),"",SUMIFS('Val-Vol (2)'!AG$4:AG$1858,'Val-Vol (2)'!$A$4:$A$1858,$D1351,'Val-Vol (2)'!$V$4:$V$1858,$V1351)/SUMIFS('Comp2016-2017 (3)'!$G$5:$G$289,'Comp2016-2017 (3)'!$A$5:$A$289,$D1351,'Comp2016-2017 (3)'!$R$5:$R$289,$V1351)*$AB1351))</f>
        <v/>
      </c>
      <c r="AH1351" s="222" t="str">
        <f>IF($W1351=AH$3,$AB1351,IF(NOT($W1351=0),"",SUMIFS('Val-Vol (2)'!AH$4:AH$1858,'Val-Vol (2)'!$A$4:$A$1858,$D1351,'Val-Vol (2)'!$V$4:$V$1858,$V1351)/SUMIFS('Comp2016-2017 (3)'!$G$5:$G$289,'Comp2016-2017 (3)'!$A$5:$A$289,$D1351,'Comp2016-2017 (3)'!$R$5:$R$289,$V1351)*$AB1351))</f>
        <v/>
      </c>
      <c r="AI1351" s="222" t="str">
        <f>IF($W1351=AI$3,$AB1351,IF(NOT($W1351=0),"",SUMIFS('Val-Vol (2)'!AI$4:AI$1858,'Val-Vol (2)'!$A$4:$A$1858,$D1351,'Val-Vol (2)'!$V$4:$V$1858,$V1351)/SUMIFS('Comp2016-2017 (3)'!$G$5:$G$289,'Comp2016-2017 (3)'!$A$5:$A$289,$D1351,'Comp2016-2017 (3)'!$R$5:$R$289,$V1351)*$AB1351))</f>
        <v/>
      </c>
      <c r="AJ1351" s="222" t="str">
        <f>IF($W1351=AJ$3,$AB1351,IF(NOT($W1351=0),"",SUMIFS('Val-Vol (2)'!AJ$4:AJ$1858,'Val-Vol (2)'!$A$4:$A$1858,$D1351,'Val-Vol (2)'!$V$4:$V$1858,$V1351)/SUMIFS('Comp2016-2017 (3)'!$G$5:$G$289,'Comp2016-2017 (3)'!$A$5:$A$289,$D1351,'Comp2016-2017 (3)'!$R$5:$R$289,$V1351)*$AB1351))</f>
        <v/>
      </c>
      <c r="AK1351" s="222">
        <f t="shared" si="159"/>
        <v>0</v>
      </c>
      <c r="AL1351" s="212" t="str">
        <f t="shared" si="160"/>
        <v/>
      </c>
      <c r="AM1351" s="212" t="str">
        <f>VLOOKUP(A1351,'Table corresp.'!$M$4:$U$63,8,FALSE)</f>
        <v>Production intermédiaire</v>
      </c>
      <c r="AN1351" s="212" t="str">
        <f>VLOOKUP(D1351,'Table corresp.'!$M$4:$U$63,9,FALSE)</f>
        <v>Exportation</v>
      </c>
    </row>
    <row r="1352" spans="1:40" x14ac:dyDescent="0.25">
      <c r="A1352" t="s">
        <v>88</v>
      </c>
      <c r="B1352" t="str">
        <f>VLOOKUP(LEFT(A1352,3),'Table corresp.'!$A$4:$D$63,3,FALSE)</f>
        <v>Transformation</v>
      </c>
      <c r="C1352" t="str">
        <f>VLOOKUP(A1352,'Table corresp.'!$M$4:$P$63,4,FALSE)</f>
        <v>Production et transformation de produits bois</v>
      </c>
      <c r="D1352" t="s">
        <v>54</v>
      </c>
      <c r="E1352" t="str">
        <f>VLOOKUP(LEFT(D1352,3),'Table corresp.'!$A$4:$D$63,4,FALSE)</f>
        <v>Consommation finale</v>
      </c>
      <c r="F1352" t="str">
        <f t="shared" si="162"/>
        <v>32  - Con</v>
      </c>
      <c r="G1352" s="213">
        <v>1</v>
      </c>
      <c r="H1352" s="213">
        <v>0</v>
      </c>
      <c r="I1352" s="213">
        <v>1</v>
      </c>
      <c r="J1352" s="215"/>
      <c r="K1352" s="215"/>
      <c r="L1352" s="215"/>
      <c r="M1352" s="215"/>
      <c r="N1352" s="215"/>
      <c r="O1352" s="215"/>
      <c r="P1352" s="215"/>
      <c r="Q1352" s="215"/>
      <c r="R1352" s="215"/>
      <c r="S1352" s="213"/>
      <c r="T1352" s="212">
        <f>VLOOKUP(A1352,'Groupe de branches'!$Z$27:$AM$86,14,FALSE)</f>
        <v>0</v>
      </c>
      <c r="U1352" s="212">
        <f>VLOOKUP(D1352,'Groupe de branches'!$Z$27:$AM$86,14,FALSE)</f>
        <v>0</v>
      </c>
      <c r="V1352" s="212">
        <v>2019</v>
      </c>
      <c r="W1352" s="212" t="str">
        <f>VLOOKUP(D1352,'Table corresp.'!$M$4:$S$63,7,FALSE)</f>
        <v>Consommation finale</v>
      </c>
      <c r="X1352" s="228">
        <f>IFERROR(G1352/SUMIFS('Comp2016-2017 (3)'!$I$5:$I$289,'Comp2016-2017 (3)'!$A$5:$A$289,A1352,'Comp2016-2017 (3)'!$R$5:$R$289,V1352),0)</f>
        <v>1</v>
      </c>
      <c r="Y1352" s="232"/>
      <c r="Z1352" s="234"/>
      <c r="AA1352" s="225">
        <f t="shared" si="158"/>
        <v>0</v>
      </c>
      <c r="AB1352" s="222">
        <f>IFERROR(SUMIFS('Comp2016-2017 (3)'!$G$5:$G$289,'Comp2016-2017 (3)'!$A$5:$A$289,A1352,'Comp2016-2017 (3)'!$R$5:$R$289,V1352)*AA1352/SUMIFS($AA$4:$AA$1858,$A$4:$A$1858,A1352,$V$4:$V$1858,V1352),0)</f>
        <v>0</v>
      </c>
      <c r="AC1352" s="222" t="str">
        <f>IF($W1352=AC$3,$AB1352,IF(NOT($W1352=0),"",SUMIFS('Val-Vol (2)'!AC$4:AC$1858,'Val-Vol (2)'!$A$4:$A$1858,$D1352,'Val-Vol (2)'!$V$4:$V$1858,$V1352)/SUMIFS('Comp2016-2017 (3)'!$G$5:$G$289,'Comp2016-2017 (3)'!$A$5:$A$289,$D1352,'Comp2016-2017 (3)'!$R$5:$R$289,$V1352)*$AB1352))</f>
        <v/>
      </c>
      <c r="AD1352" s="222" t="str">
        <f>IF($W1352=AD$3,$AB1352,IF(NOT($W1352=0),"",SUMIFS('Val-Vol (2)'!AD$4:AD$1858,'Val-Vol (2)'!$A$4:$A$1858,$D1352,'Val-Vol (2)'!$V$4:$V$1858,$V1352)/SUMIFS('Comp2016-2017 (3)'!$G$5:$G$289,'Comp2016-2017 (3)'!$A$5:$A$289,$D1352,'Comp2016-2017 (3)'!$R$5:$R$289,$V1352)*$AB1352))</f>
        <v/>
      </c>
      <c r="AE1352" s="222" t="str">
        <f>IF($W1352=AE$3,$AB1352,IF(NOT($W1352=0),"",SUMIFS('Val-Vol (2)'!AE$4:AE$1858,'Val-Vol (2)'!$A$4:$A$1858,$D1352,'Val-Vol (2)'!$V$4:$V$1858,$V1352)/SUMIFS('Comp2016-2017 (3)'!$G$5:$G$289,'Comp2016-2017 (3)'!$A$5:$A$289,$D1352,'Comp2016-2017 (3)'!$R$5:$R$289,$V1352)*$AB1352))</f>
        <v/>
      </c>
      <c r="AF1352" s="222" t="str">
        <f>IF($W1352=AF$3,$AB1352,IF(NOT($W1352=0),"",SUMIFS('Val-Vol (2)'!AF$4:AF$1858,'Val-Vol (2)'!$A$4:$A$1858,$D1352,'Val-Vol (2)'!$V$4:$V$1858,$V1352)/SUMIFS('Comp2016-2017 (3)'!$G$5:$G$289,'Comp2016-2017 (3)'!$A$5:$A$289,$D1352,'Comp2016-2017 (3)'!$R$5:$R$289,$V1352)*$AB1352))</f>
        <v/>
      </c>
      <c r="AG1352" s="222" t="str">
        <f>IF($W1352=AG$3,$AB1352,IF(NOT($W1352=0),"",SUMIFS('Val-Vol (2)'!AG$4:AG$1858,'Val-Vol (2)'!$A$4:$A$1858,$D1352,'Val-Vol (2)'!$V$4:$V$1858,$V1352)/SUMIFS('Comp2016-2017 (3)'!$G$5:$G$289,'Comp2016-2017 (3)'!$A$5:$A$289,$D1352,'Comp2016-2017 (3)'!$R$5:$R$289,$V1352)*$AB1352))</f>
        <v/>
      </c>
      <c r="AH1352" s="222" t="str">
        <f>IF($W1352=AH$3,$AB1352,IF(NOT($W1352=0),"",SUMIFS('Val-Vol (2)'!AH$4:AH$1858,'Val-Vol (2)'!$A$4:$A$1858,$D1352,'Val-Vol (2)'!$V$4:$V$1858,$V1352)/SUMIFS('Comp2016-2017 (3)'!$G$5:$G$289,'Comp2016-2017 (3)'!$A$5:$A$289,$D1352,'Comp2016-2017 (3)'!$R$5:$R$289,$V1352)*$AB1352))</f>
        <v/>
      </c>
      <c r="AI1352" s="222" t="str">
        <f>IF($W1352=AI$3,$AB1352,IF(NOT($W1352=0),"",SUMIFS('Val-Vol (2)'!AI$4:AI$1858,'Val-Vol (2)'!$A$4:$A$1858,$D1352,'Val-Vol (2)'!$V$4:$V$1858,$V1352)/SUMIFS('Comp2016-2017 (3)'!$G$5:$G$289,'Comp2016-2017 (3)'!$A$5:$A$289,$D1352,'Comp2016-2017 (3)'!$R$5:$R$289,$V1352)*$AB1352))</f>
        <v/>
      </c>
      <c r="AJ1352" s="222">
        <f>IF($W1352=AJ$3,$AB1352,IF(NOT($W1352=0),"",SUMIFS('Val-Vol (2)'!AJ$4:AJ$1858,'Val-Vol (2)'!$A$4:$A$1858,$D1352,'Val-Vol (2)'!$V$4:$V$1858,$V1352)/SUMIFS('Comp2016-2017 (3)'!$G$5:$G$289,'Comp2016-2017 (3)'!$A$5:$A$289,$D1352,'Comp2016-2017 (3)'!$R$5:$R$289,$V1352)*$AB1352))</f>
        <v>0</v>
      </c>
      <c r="AK1352" s="222">
        <f t="shared" si="159"/>
        <v>0</v>
      </c>
      <c r="AL1352" s="212" t="str">
        <f t="shared" si="160"/>
        <v/>
      </c>
      <c r="AM1352" s="212" t="str">
        <f>VLOOKUP(A1352,'Table corresp.'!$M$4:$U$63,8,FALSE)</f>
        <v>Production finale</v>
      </c>
      <c r="AN1352" s="212" t="str">
        <f>VLOOKUP(D1352,'Table corresp.'!$M$4:$U$63,9,FALSE)</f>
        <v>Consommation finale française</v>
      </c>
    </row>
    <row r="1353" spans="1:40" x14ac:dyDescent="0.25">
      <c r="A1353" t="s">
        <v>89</v>
      </c>
      <c r="B1353" t="str">
        <f>VLOOKUP(LEFT(A1353,3),'Table corresp.'!$A$4:$D$63,3,FALSE)</f>
        <v>Transformation</v>
      </c>
      <c r="C1353" t="str">
        <f>VLOOKUP(A1353,'Table corresp.'!$M$4:$P$63,4,FALSE)</f>
        <v>Production et transformation de produits bois</v>
      </c>
      <c r="D1353" t="s">
        <v>22</v>
      </c>
      <c r="E1353" t="str">
        <f>VLOOKUP(LEFT(D1353,3),'Table corresp.'!$A$4:$D$63,4,FALSE)</f>
        <v>Transformation</v>
      </c>
      <c r="F1353" t="str">
        <f t="shared" si="162"/>
        <v xml:space="preserve">33  - 55 </v>
      </c>
      <c r="G1353" s="213">
        <v>5309.5334902346303</v>
      </c>
      <c r="H1353" s="213">
        <v>0</v>
      </c>
      <c r="I1353" s="213">
        <v>5309.5334902346303</v>
      </c>
      <c r="J1353" s="215">
        <v>1.0162832271062832</v>
      </c>
      <c r="K1353" s="215">
        <v>0</v>
      </c>
      <c r="L1353" s="215">
        <v>1.0162832271062832</v>
      </c>
      <c r="M1353" s="215">
        <v>0.80256305863721167</v>
      </c>
      <c r="N1353" s="215">
        <v>0</v>
      </c>
      <c r="O1353" s="215">
        <v>0.80256305863721167</v>
      </c>
      <c r="P1353" s="215">
        <v>0.24001958326446821</v>
      </c>
      <c r="Q1353" s="215">
        <v>0</v>
      </c>
      <c r="R1353" s="215">
        <v>0.24001958326446821</v>
      </c>
      <c r="S1353" s="213"/>
      <c r="T1353" s="212">
        <f>VLOOKUP(A1353,'Groupe de branches'!$Z$27:$AM$86,14,FALSE)</f>
        <v>0</v>
      </c>
      <c r="U1353" s="212">
        <f>VLOOKUP(D1353,'Groupe de branches'!$Z$27:$AM$86,14,FALSE)</f>
        <v>0</v>
      </c>
      <c r="V1353" s="212">
        <v>2019</v>
      </c>
      <c r="W1353" s="212" t="str">
        <f>VLOOKUP(D1353,'Table corresp.'!$M$4:$S$63,7,FALSE)</f>
        <v>Construction</v>
      </c>
      <c r="X1353" s="228">
        <f>IFERROR(G1353/SUMIFS('Comp2016-2017 (3)'!$I$5:$I$289,'Comp2016-2017 (3)'!$A$5:$A$289,A1353,'Comp2016-2017 (3)'!$R$5:$R$289,V1353),0)</f>
        <v>7.1359612561042021E-2</v>
      </c>
      <c r="Y1353" s="214" t="e">
        <f>IF(RIGHT(F1353,3)="Exp",VLOOKUP(F1353,#REF!,2,FALSE),VLOOKUP(F1353,#REF!,9,FALSE))</f>
        <v>#REF!</v>
      </c>
      <c r="Z1353" s="225" t="str">
        <f>IFERROR(Y1353/SUMIFS($Y$4:$Y$1858,$V$4:$V$1858,V1353,$A$4:$A$1858,A1353),"")</f>
        <v/>
      </c>
      <c r="AA1353" s="225" t="e">
        <f t="shared" si="158"/>
        <v>#VALUE!</v>
      </c>
      <c r="AB1353" s="222">
        <f>IFERROR(SUMIFS('Comp2016-2017 (3)'!$G$5:$G$289,'Comp2016-2017 (3)'!$A$5:$A$289,A1353,'Comp2016-2017 (3)'!$R$5:$R$289,V1353)*AA1353/SUMIFS($AA$4:$AA$1858,$A$4:$A$1858,A1353,$V$4:$V$1858,V1353),0)</f>
        <v>0</v>
      </c>
      <c r="AC1353" s="222" t="str">
        <f>IF($W1353=AC$3,$AB1353,IF(NOT($W1353=0),"",SUMIFS('Val-Vol (2)'!AC$4:AC$1858,'Val-Vol (2)'!$A$4:$A$1858,$D1353,'Val-Vol (2)'!$V$4:$V$1858,$V1353)/SUMIFS('Comp2016-2017 (3)'!$G$5:$G$289,'Comp2016-2017 (3)'!$A$5:$A$289,$D1353,'Comp2016-2017 (3)'!$R$5:$R$289,$V1353)*$AB1353))</f>
        <v/>
      </c>
      <c r="AD1353" s="222">
        <f>IF($W1353=AD$3,$AB1353,IF(NOT($W1353=0),"",SUMIFS('Val-Vol (2)'!AD$4:AD$1858,'Val-Vol (2)'!$A$4:$A$1858,$D1353,'Val-Vol (2)'!$V$4:$V$1858,$V1353)/SUMIFS('Comp2016-2017 (3)'!$G$5:$G$289,'Comp2016-2017 (3)'!$A$5:$A$289,$D1353,'Comp2016-2017 (3)'!$R$5:$R$289,$V1353)*$AB1353))</f>
        <v>0</v>
      </c>
      <c r="AE1353" s="222" t="str">
        <f>IF($W1353=AE$3,$AB1353,IF(NOT($W1353=0),"",SUMIFS('Val-Vol (2)'!AE$4:AE$1858,'Val-Vol (2)'!$A$4:$A$1858,$D1353,'Val-Vol (2)'!$V$4:$V$1858,$V1353)/SUMIFS('Comp2016-2017 (3)'!$G$5:$G$289,'Comp2016-2017 (3)'!$A$5:$A$289,$D1353,'Comp2016-2017 (3)'!$R$5:$R$289,$V1353)*$AB1353))</f>
        <v/>
      </c>
      <c r="AF1353" s="222" t="str">
        <f>IF($W1353=AF$3,$AB1353,IF(NOT($W1353=0),"",SUMIFS('Val-Vol (2)'!AF$4:AF$1858,'Val-Vol (2)'!$A$4:$A$1858,$D1353,'Val-Vol (2)'!$V$4:$V$1858,$V1353)/SUMIFS('Comp2016-2017 (3)'!$G$5:$G$289,'Comp2016-2017 (3)'!$A$5:$A$289,$D1353,'Comp2016-2017 (3)'!$R$5:$R$289,$V1353)*$AB1353))</f>
        <v/>
      </c>
      <c r="AG1353" s="222" t="str">
        <f>IF($W1353=AG$3,$AB1353,IF(NOT($W1353=0),"",SUMIFS('Val-Vol (2)'!AG$4:AG$1858,'Val-Vol (2)'!$A$4:$A$1858,$D1353,'Val-Vol (2)'!$V$4:$V$1858,$V1353)/SUMIFS('Comp2016-2017 (3)'!$G$5:$G$289,'Comp2016-2017 (3)'!$A$5:$A$289,$D1353,'Comp2016-2017 (3)'!$R$5:$R$289,$V1353)*$AB1353))</f>
        <v/>
      </c>
      <c r="AH1353" s="222" t="str">
        <f>IF($W1353=AH$3,$AB1353,IF(NOT($W1353=0),"",SUMIFS('Val-Vol (2)'!AH$4:AH$1858,'Val-Vol (2)'!$A$4:$A$1858,$D1353,'Val-Vol (2)'!$V$4:$V$1858,$V1353)/SUMIFS('Comp2016-2017 (3)'!$G$5:$G$289,'Comp2016-2017 (3)'!$A$5:$A$289,$D1353,'Comp2016-2017 (3)'!$R$5:$R$289,$V1353)*$AB1353))</f>
        <v/>
      </c>
      <c r="AI1353" s="222" t="str">
        <f>IF($W1353=AI$3,$AB1353,IF(NOT($W1353=0),"",SUMIFS('Val-Vol (2)'!AI$4:AI$1858,'Val-Vol (2)'!$A$4:$A$1858,$D1353,'Val-Vol (2)'!$V$4:$V$1858,$V1353)/SUMIFS('Comp2016-2017 (3)'!$G$5:$G$289,'Comp2016-2017 (3)'!$A$5:$A$289,$D1353,'Comp2016-2017 (3)'!$R$5:$R$289,$V1353)*$AB1353))</f>
        <v/>
      </c>
      <c r="AJ1353" s="222" t="str">
        <f>IF($W1353=AJ$3,$AB1353,IF(NOT($W1353=0),"",SUMIFS('Val-Vol (2)'!AJ$4:AJ$1858,'Val-Vol (2)'!$A$4:$A$1858,$D1353,'Val-Vol (2)'!$V$4:$V$1858,$V1353)/SUMIFS('Comp2016-2017 (3)'!$G$5:$G$289,'Comp2016-2017 (3)'!$A$5:$A$289,$D1353,'Comp2016-2017 (3)'!$R$5:$R$289,$V1353)*$AB1353))</f>
        <v/>
      </c>
      <c r="AK1353" s="222">
        <f t="shared" si="159"/>
        <v>0</v>
      </c>
      <c r="AL1353" s="212" t="str">
        <f t="shared" si="160"/>
        <v/>
      </c>
      <c r="AM1353" s="212" t="str">
        <f>VLOOKUP(A1353,'Table corresp.'!$M$4:$U$63,8,FALSE)</f>
        <v>Production finale</v>
      </c>
      <c r="AN1353" s="212" t="str">
        <f>VLOOKUP(D1353,'Table corresp.'!$M$4:$U$63,9,FALSE)</f>
        <v xml:space="preserve">Mise en œuvre </v>
      </c>
    </row>
    <row r="1354" spans="1:40" x14ac:dyDescent="0.25">
      <c r="A1354" t="s">
        <v>89</v>
      </c>
      <c r="B1354" t="str">
        <f>VLOOKUP(LEFT(A1354,3),'Table corresp.'!$A$4:$D$63,3,FALSE)</f>
        <v>Transformation</v>
      </c>
      <c r="C1354" t="str">
        <f>VLOOKUP(A1354,'Table corresp.'!$M$4:$P$63,4,FALSE)</f>
        <v>Production et transformation de produits bois</v>
      </c>
      <c r="D1354" t="s">
        <v>23</v>
      </c>
      <c r="E1354" t="str">
        <f>VLOOKUP(LEFT(D1354,3),'Table corresp.'!$A$4:$D$63,4,FALSE)</f>
        <v>Transformation</v>
      </c>
      <c r="F1354" t="str">
        <f t="shared" si="162"/>
        <v xml:space="preserve">33  - 56 </v>
      </c>
      <c r="G1354" s="213">
        <v>14332.522980926347</v>
      </c>
      <c r="H1354" s="213">
        <v>33794.715026306621</v>
      </c>
      <c r="I1354" s="213">
        <v>48127.238007232969</v>
      </c>
      <c r="J1354" s="215">
        <v>3.2920186455749323</v>
      </c>
      <c r="K1354" s="215">
        <v>8.2496844287218227</v>
      </c>
      <c r="L1354" s="215">
        <v>11.541703074296755</v>
      </c>
      <c r="M1354" s="215">
        <v>2.5997207105407063</v>
      </c>
      <c r="N1354" s="215">
        <v>6.514809839732159</v>
      </c>
      <c r="O1354" s="215">
        <v>9.1145305502728657</v>
      </c>
      <c r="P1354" s="215">
        <v>0.77748891483684834</v>
      </c>
      <c r="Q1354" s="215">
        <v>1.9483602265907582</v>
      </c>
      <c r="R1354" s="215">
        <v>2.7258491414276067</v>
      </c>
      <c r="S1354" s="213" t="s">
        <v>192</v>
      </c>
      <c r="T1354" s="212">
        <f>VLOOKUP(A1354,'Groupe de branches'!$Z$27:$AM$86,14,FALSE)</f>
        <v>0</v>
      </c>
      <c r="U1354" s="212">
        <f>VLOOKUP(D1354,'Groupe de branches'!$Z$27:$AM$86,14,FALSE)</f>
        <v>0</v>
      </c>
      <c r="V1354" s="212">
        <v>2019</v>
      </c>
      <c r="W1354" s="212" t="str">
        <f>VLOOKUP(D1354,'Table corresp.'!$M$4:$S$63,7,FALSE)</f>
        <v>Construction</v>
      </c>
      <c r="X1354" s="228">
        <f>IFERROR(G1354/SUMIFS('Comp2016-2017 (3)'!$I$5:$I$289,'Comp2016-2017 (3)'!$A$5:$A$289,A1354,'Comp2016-2017 (3)'!$R$5:$R$289,V1354),0)</f>
        <v>0.19262771179845009</v>
      </c>
      <c r="Y1354" s="214" t="e">
        <f>IF(RIGHT(F1354,3)="Exp",VLOOKUP(F1354,#REF!,2,FALSE),VLOOKUP(F1354,#REF!,9,FALSE))</f>
        <v>#REF!</v>
      </c>
      <c r="Z1354" s="225" t="str">
        <f t="shared" ref="Z1354:Z1404" si="163">IFERROR(Y1354/SUMIFS($Y$4:$Y$1858,$V$4:$V$1858,V1354,$A$4:$A$1858,A1354),"")</f>
        <v/>
      </c>
      <c r="AA1354" s="225" t="e">
        <f t="shared" si="158"/>
        <v>#VALUE!</v>
      </c>
      <c r="AB1354" s="222">
        <f>IFERROR(SUMIFS('Comp2016-2017 (3)'!$G$5:$G$289,'Comp2016-2017 (3)'!$A$5:$A$289,A1354,'Comp2016-2017 (3)'!$R$5:$R$289,V1354)*AA1354/SUMIFS($AA$4:$AA$1858,$A$4:$A$1858,A1354,$V$4:$V$1858,V1354),0)</f>
        <v>0</v>
      </c>
      <c r="AC1354" s="222" t="str">
        <f>IF($W1354=AC$3,$AB1354,IF(NOT($W1354=0),"",SUMIFS('Val-Vol (2)'!AC$4:AC$1858,'Val-Vol (2)'!$A$4:$A$1858,$D1354,'Val-Vol (2)'!$V$4:$V$1858,$V1354)/SUMIFS('Comp2016-2017 (3)'!$G$5:$G$289,'Comp2016-2017 (3)'!$A$5:$A$289,$D1354,'Comp2016-2017 (3)'!$R$5:$R$289,$V1354)*$AB1354))</f>
        <v/>
      </c>
      <c r="AD1354" s="222">
        <f>IF($W1354=AD$3,$AB1354,IF(NOT($W1354=0),"",SUMIFS('Val-Vol (2)'!AD$4:AD$1858,'Val-Vol (2)'!$A$4:$A$1858,$D1354,'Val-Vol (2)'!$V$4:$V$1858,$V1354)/SUMIFS('Comp2016-2017 (3)'!$G$5:$G$289,'Comp2016-2017 (3)'!$A$5:$A$289,$D1354,'Comp2016-2017 (3)'!$R$5:$R$289,$V1354)*$AB1354))</f>
        <v>0</v>
      </c>
      <c r="AE1354" s="222" t="str">
        <f>IF($W1354=AE$3,$AB1354,IF(NOT($W1354=0),"",SUMIFS('Val-Vol (2)'!AE$4:AE$1858,'Val-Vol (2)'!$A$4:$A$1858,$D1354,'Val-Vol (2)'!$V$4:$V$1858,$V1354)/SUMIFS('Comp2016-2017 (3)'!$G$5:$G$289,'Comp2016-2017 (3)'!$A$5:$A$289,$D1354,'Comp2016-2017 (3)'!$R$5:$R$289,$V1354)*$AB1354))</f>
        <v/>
      </c>
      <c r="AF1354" s="222" t="str">
        <f>IF($W1354=AF$3,$AB1354,IF(NOT($W1354=0),"",SUMIFS('Val-Vol (2)'!AF$4:AF$1858,'Val-Vol (2)'!$A$4:$A$1858,$D1354,'Val-Vol (2)'!$V$4:$V$1858,$V1354)/SUMIFS('Comp2016-2017 (3)'!$G$5:$G$289,'Comp2016-2017 (3)'!$A$5:$A$289,$D1354,'Comp2016-2017 (3)'!$R$5:$R$289,$V1354)*$AB1354))</f>
        <v/>
      </c>
      <c r="AG1354" s="222" t="str">
        <f>IF($W1354=AG$3,$AB1354,IF(NOT($W1354=0),"",SUMIFS('Val-Vol (2)'!AG$4:AG$1858,'Val-Vol (2)'!$A$4:$A$1858,$D1354,'Val-Vol (2)'!$V$4:$V$1858,$V1354)/SUMIFS('Comp2016-2017 (3)'!$G$5:$G$289,'Comp2016-2017 (3)'!$A$5:$A$289,$D1354,'Comp2016-2017 (3)'!$R$5:$R$289,$V1354)*$AB1354))</f>
        <v/>
      </c>
      <c r="AH1354" s="222" t="str">
        <f>IF($W1354=AH$3,$AB1354,IF(NOT($W1354=0),"",SUMIFS('Val-Vol (2)'!AH$4:AH$1858,'Val-Vol (2)'!$A$4:$A$1858,$D1354,'Val-Vol (2)'!$V$4:$V$1858,$V1354)/SUMIFS('Comp2016-2017 (3)'!$G$5:$G$289,'Comp2016-2017 (3)'!$A$5:$A$289,$D1354,'Comp2016-2017 (3)'!$R$5:$R$289,$V1354)*$AB1354))</f>
        <v/>
      </c>
      <c r="AI1354" s="222" t="str">
        <f>IF($W1354=AI$3,$AB1354,IF(NOT($W1354=0),"",SUMIFS('Val-Vol (2)'!AI$4:AI$1858,'Val-Vol (2)'!$A$4:$A$1858,$D1354,'Val-Vol (2)'!$V$4:$V$1858,$V1354)/SUMIFS('Comp2016-2017 (3)'!$G$5:$G$289,'Comp2016-2017 (3)'!$A$5:$A$289,$D1354,'Comp2016-2017 (3)'!$R$5:$R$289,$V1354)*$AB1354))</f>
        <v/>
      </c>
      <c r="AJ1354" s="222" t="str">
        <f>IF($W1354=AJ$3,$AB1354,IF(NOT($W1354=0),"",SUMIFS('Val-Vol (2)'!AJ$4:AJ$1858,'Val-Vol (2)'!$A$4:$A$1858,$D1354,'Val-Vol (2)'!$V$4:$V$1858,$V1354)/SUMIFS('Comp2016-2017 (3)'!$G$5:$G$289,'Comp2016-2017 (3)'!$A$5:$A$289,$D1354,'Comp2016-2017 (3)'!$R$5:$R$289,$V1354)*$AB1354))</f>
        <v/>
      </c>
      <c r="AK1354" s="222">
        <f t="shared" si="159"/>
        <v>0</v>
      </c>
      <c r="AL1354" s="212" t="str">
        <f t="shared" si="160"/>
        <v/>
      </c>
      <c r="AM1354" s="212" t="str">
        <f>VLOOKUP(A1354,'Table corresp.'!$M$4:$U$63,8,FALSE)</f>
        <v>Production finale</v>
      </c>
      <c r="AN1354" s="212" t="str">
        <f>VLOOKUP(D1354,'Table corresp.'!$M$4:$U$63,9,FALSE)</f>
        <v xml:space="preserve">Mise en œuvre </v>
      </c>
    </row>
    <row r="1355" spans="1:40" x14ac:dyDescent="0.25">
      <c r="A1355" t="s">
        <v>89</v>
      </c>
      <c r="B1355" t="str">
        <f>VLOOKUP(LEFT(A1355,3),'Table corresp.'!$A$4:$D$63,3,FALSE)</f>
        <v>Transformation</v>
      </c>
      <c r="C1355" t="str">
        <f>VLOOKUP(A1355,'Table corresp.'!$M$4:$P$63,4,FALSE)</f>
        <v>Production et transformation de produits bois</v>
      </c>
      <c r="D1355" t="s">
        <v>54</v>
      </c>
      <c r="E1355" t="str">
        <f>VLOOKUP(LEFT(D1355,3),'Table corresp.'!$A$4:$D$63,4,FALSE)</f>
        <v>Consommation finale</v>
      </c>
      <c r="F1355" t="str">
        <f t="shared" si="162"/>
        <v>33  - Con</v>
      </c>
      <c r="G1355" s="213">
        <v>38081.45080335316</v>
      </c>
      <c r="H1355" s="213">
        <v>89404.298973693338</v>
      </c>
      <c r="I1355" s="213">
        <v>127485.7497770465</v>
      </c>
      <c r="J1355" s="215">
        <v>13.120318690088762</v>
      </c>
      <c r="K1355" s="215">
        <v>32.736949513996613</v>
      </c>
      <c r="L1355" s="215">
        <v>45.857268204085372</v>
      </c>
      <c r="M1355" s="215">
        <v>10.361169816995705</v>
      </c>
      <c r="N1355" s="215">
        <v>25.852504136287809</v>
      </c>
      <c r="O1355" s="215">
        <v>36.213673953283518</v>
      </c>
      <c r="P1355" s="215">
        <v>3.0986769635653757</v>
      </c>
      <c r="Q1355" s="215">
        <v>7.7316133634051045</v>
      </c>
      <c r="R1355" s="215">
        <v>10.830290326970481</v>
      </c>
      <c r="S1355" s="213" t="s">
        <v>192</v>
      </c>
      <c r="T1355" s="212">
        <f>VLOOKUP(A1355,'Groupe de branches'!$Z$27:$AM$86,14,FALSE)</f>
        <v>0</v>
      </c>
      <c r="U1355" s="212">
        <f>VLOOKUP(D1355,'Groupe de branches'!$Z$27:$AM$86,14,FALSE)</f>
        <v>0</v>
      </c>
      <c r="V1355" s="212">
        <v>2019</v>
      </c>
      <c r="W1355" s="212" t="str">
        <f>VLOOKUP(D1355,'Table corresp.'!$M$4:$S$63,7,FALSE)</f>
        <v>Consommation finale</v>
      </c>
      <c r="X1355" s="228">
        <f>IFERROR(G1355/SUMIFS('Comp2016-2017 (3)'!$I$5:$I$289,'Comp2016-2017 (3)'!$A$5:$A$289,A1355,'Comp2016-2017 (3)'!$R$5:$R$289,V1355),0)</f>
        <v>0.51181098680094728</v>
      </c>
      <c r="Y1355" s="214" t="e">
        <f>IF(RIGHT(F1355,3)="Exp",VLOOKUP(F1355,#REF!,2,FALSE),VLOOKUP(F1355,#REF!,9,FALSE))</f>
        <v>#REF!</v>
      </c>
      <c r="Z1355" s="225" t="str">
        <f t="shared" si="163"/>
        <v/>
      </c>
      <c r="AA1355" s="225" t="e">
        <f t="shared" si="158"/>
        <v>#VALUE!</v>
      </c>
      <c r="AB1355" s="222">
        <f>IFERROR(SUMIFS('Comp2016-2017 (3)'!$G$5:$G$289,'Comp2016-2017 (3)'!$A$5:$A$289,A1355,'Comp2016-2017 (3)'!$R$5:$R$289,V1355)*AA1355/SUMIFS($AA$4:$AA$1858,$A$4:$A$1858,A1355,$V$4:$V$1858,V1355),0)</f>
        <v>0</v>
      </c>
      <c r="AC1355" s="222" t="str">
        <f>IF($W1355=AC$3,$AB1355,IF(NOT($W1355=0),"",SUMIFS('Val-Vol (2)'!AC$4:AC$1858,'Val-Vol (2)'!$A$4:$A$1858,$D1355,'Val-Vol (2)'!$V$4:$V$1858,$V1355)/SUMIFS('Comp2016-2017 (3)'!$G$5:$G$289,'Comp2016-2017 (3)'!$A$5:$A$289,$D1355,'Comp2016-2017 (3)'!$R$5:$R$289,$V1355)*$AB1355))</f>
        <v/>
      </c>
      <c r="AD1355" s="222" t="str">
        <f>IF($W1355=AD$3,$AB1355,IF(NOT($W1355=0),"",SUMIFS('Val-Vol (2)'!AD$4:AD$1858,'Val-Vol (2)'!$A$4:$A$1858,$D1355,'Val-Vol (2)'!$V$4:$V$1858,$V1355)/SUMIFS('Comp2016-2017 (3)'!$G$5:$G$289,'Comp2016-2017 (3)'!$A$5:$A$289,$D1355,'Comp2016-2017 (3)'!$R$5:$R$289,$V1355)*$AB1355))</f>
        <v/>
      </c>
      <c r="AE1355" s="222" t="str">
        <f>IF($W1355=AE$3,$AB1355,IF(NOT($W1355=0),"",SUMIFS('Val-Vol (2)'!AE$4:AE$1858,'Val-Vol (2)'!$A$4:$A$1858,$D1355,'Val-Vol (2)'!$V$4:$V$1858,$V1355)/SUMIFS('Comp2016-2017 (3)'!$G$5:$G$289,'Comp2016-2017 (3)'!$A$5:$A$289,$D1355,'Comp2016-2017 (3)'!$R$5:$R$289,$V1355)*$AB1355))</f>
        <v/>
      </c>
      <c r="AF1355" s="222" t="str">
        <f>IF($W1355=AF$3,$AB1355,IF(NOT($W1355=0),"",SUMIFS('Val-Vol (2)'!AF$4:AF$1858,'Val-Vol (2)'!$A$4:$A$1858,$D1355,'Val-Vol (2)'!$V$4:$V$1858,$V1355)/SUMIFS('Comp2016-2017 (3)'!$G$5:$G$289,'Comp2016-2017 (3)'!$A$5:$A$289,$D1355,'Comp2016-2017 (3)'!$R$5:$R$289,$V1355)*$AB1355))</f>
        <v/>
      </c>
      <c r="AG1355" s="222" t="str">
        <f>IF($W1355=AG$3,$AB1355,IF(NOT($W1355=0),"",SUMIFS('Val-Vol (2)'!AG$4:AG$1858,'Val-Vol (2)'!$A$4:$A$1858,$D1355,'Val-Vol (2)'!$V$4:$V$1858,$V1355)/SUMIFS('Comp2016-2017 (3)'!$G$5:$G$289,'Comp2016-2017 (3)'!$A$5:$A$289,$D1355,'Comp2016-2017 (3)'!$R$5:$R$289,$V1355)*$AB1355))</f>
        <v/>
      </c>
      <c r="AH1355" s="222" t="str">
        <f>IF($W1355=AH$3,$AB1355,IF(NOT($W1355=0),"",SUMIFS('Val-Vol (2)'!AH$4:AH$1858,'Val-Vol (2)'!$A$4:$A$1858,$D1355,'Val-Vol (2)'!$V$4:$V$1858,$V1355)/SUMIFS('Comp2016-2017 (3)'!$G$5:$G$289,'Comp2016-2017 (3)'!$A$5:$A$289,$D1355,'Comp2016-2017 (3)'!$R$5:$R$289,$V1355)*$AB1355))</f>
        <v/>
      </c>
      <c r="AI1355" s="222" t="str">
        <f>IF($W1355=AI$3,$AB1355,IF(NOT($W1355=0),"",SUMIFS('Val-Vol (2)'!AI$4:AI$1858,'Val-Vol (2)'!$A$4:$A$1858,$D1355,'Val-Vol (2)'!$V$4:$V$1858,$V1355)/SUMIFS('Comp2016-2017 (3)'!$G$5:$G$289,'Comp2016-2017 (3)'!$A$5:$A$289,$D1355,'Comp2016-2017 (3)'!$R$5:$R$289,$V1355)*$AB1355))</f>
        <v/>
      </c>
      <c r="AJ1355" s="222">
        <f>IF($W1355=AJ$3,$AB1355,IF(NOT($W1355=0),"",SUMIFS('Val-Vol (2)'!AJ$4:AJ$1858,'Val-Vol (2)'!$A$4:$A$1858,$D1355,'Val-Vol (2)'!$V$4:$V$1858,$V1355)/SUMIFS('Comp2016-2017 (3)'!$G$5:$G$289,'Comp2016-2017 (3)'!$A$5:$A$289,$D1355,'Comp2016-2017 (3)'!$R$5:$R$289,$V1355)*$AB1355))</f>
        <v>0</v>
      </c>
      <c r="AK1355" s="222">
        <f t="shared" si="159"/>
        <v>0</v>
      </c>
      <c r="AL1355" s="212" t="str">
        <f t="shared" si="160"/>
        <v/>
      </c>
      <c r="AM1355" s="212" t="str">
        <f>VLOOKUP(A1355,'Table corresp.'!$M$4:$U$63,8,FALSE)</f>
        <v>Production finale</v>
      </c>
      <c r="AN1355" s="212" t="str">
        <f>VLOOKUP(D1355,'Table corresp.'!$M$4:$U$63,9,FALSE)</f>
        <v>Consommation finale française</v>
      </c>
    </row>
    <row r="1356" spans="1:40" x14ac:dyDescent="0.25">
      <c r="A1356" t="s">
        <v>89</v>
      </c>
      <c r="B1356" t="str">
        <f>VLOOKUP(LEFT(A1356,3),'Table corresp.'!$A$4:$D$63,3,FALSE)</f>
        <v>Transformation</v>
      </c>
      <c r="C1356" t="str">
        <f>VLOOKUP(A1356,'Table corresp.'!$M$4:$P$63,4,FALSE)</f>
        <v>Production et transformation de produits bois</v>
      </c>
      <c r="D1356" t="s">
        <v>53</v>
      </c>
      <c r="E1356" t="str">
        <f>VLOOKUP(LEFT(D1356,3),'Table corresp.'!$A$4:$D$63,4,FALSE)</f>
        <v>Exportation</v>
      </c>
      <c r="F1356" t="str">
        <f t="shared" si="162"/>
        <v>33  - Exp</v>
      </c>
      <c r="G1356" s="213">
        <v>16681.795999999991</v>
      </c>
      <c r="H1356" s="213">
        <v>0</v>
      </c>
      <c r="I1356" s="213">
        <v>16681.795999999991</v>
      </c>
      <c r="J1356" s="215">
        <v>5.1283798446050763</v>
      </c>
      <c r="K1356" s="215">
        <v>0</v>
      </c>
      <c r="L1356" s="215">
        <v>5.1283798446050763</v>
      </c>
      <c r="M1356" s="215">
        <v>4.0499027280603164</v>
      </c>
      <c r="N1356" s="215">
        <v>0</v>
      </c>
      <c r="O1356" s="215">
        <v>4.0499027280603164</v>
      </c>
      <c r="P1356" s="215">
        <v>1.2111895191155011</v>
      </c>
      <c r="Q1356" s="215">
        <v>0</v>
      </c>
      <c r="R1356" s="215">
        <v>1.2111895191155011</v>
      </c>
      <c r="S1356" s="213" t="s">
        <v>192</v>
      </c>
      <c r="T1356" s="212">
        <f>VLOOKUP(A1356,'Groupe de branches'!$Z$27:$AM$86,14,FALSE)</f>
        <v>0</v>
      </c>
      <c r="U1356" s="212">
        <f>VLOOKUP(D1356,'Groupe de branches'!$Z$27:$AM$86,14,FALSE)</f>
        <v>0</v>
      </c>
      <c r="V1356" s="212">
        <v>2019</v>
      </c>
      <c r="W1356" s="212" t="str">
        <f>VLOOKUP(D1356,'Table corresp.'!$M$4:$S$63,7,FALSE)</f>
        <v>Exportation</v>
      </c>
      <c r="X1356" s="228">
        <f>IFERROR(G1356/SUMIFS('Comp2016-2017 (3)'!$I$5:$I$289,'Comp2016-2017 (3)'!$A$5:$A$289,A1356,'Comp2016-2017 (3)'!$R$5:$R$289,V1356),0)</f>
        <v>0.22420171217899887</v>
      </c>
      <c r="Y1356" s="214" t="e">
        <f>IF(RIGHT(F1356,3)="Exp",VLOOKUP(F1356,#REF!,2,FALSE),VLOOKUP(F1356,#REF!,9,FALSE))</f>
        <v>#REF!</v>
      </c>
      <c r="Z1356" s="225" t="str">
        <f t="shared" si="163"/>
        <v/>
      </c>
      <c r="AA1356" s="225" t="e">
        <f t="shared" si="158"/>
        <v>#VALUE!</v>
      </c>
      <c r="AB1356" s="222">
        <f>IFERROR(SUMIFS('Comp2016-2017 (3)'!$G$5:$G$289,'Comp2016-2017 (3)'!$A$5:$A$289,A1356,'Comp2016-2017 (3)'!$R$5:$R$289,V1356)*AA1356/SUMIFS($AA$4:$AA$1858,$A$4:$A$1858,A1356,$V$4:$V$1858,V1356),0)</f>
        <v>0</v>
      </c>
      <c r="AC1356" s="222">
        <f>IF($W1356=AC$3,$AB1356,IF(NOT($W1356=0),"",SUMIFS('Val-Vol (2)'!AC$4:AC$1858,'Val-Vol (2)'!$A$4:$A$1858,$D1356,'Val-Vol (2)'!$V$4:$V$1858,$V1356)/SUMIFS('Comp2016-2017 (3)'!$G$5:$G$289,'Comp2016-2017 (3)'!$A$5:$A$289,$D1356,'Comp2016-2017 (3)'!$R$5:$R$289,$V1356)*$AB1356))</f>
        <v>0</v>
      </c>
      <c r="AD1356" s="222" t="str">
        <f>IF($W1356=AD$3,$AB1356,IF(NOT($W1356=0),"",SUMIFS('Val-Vol (2)'!AD$4:AD$1858,'Val-Vol (2)'!$A$4:$A$1858,$D1356,'Val-Vol (2)'!$V$4:$V$1858,$V1356)/SUMIFS('Comp2016-2017 (3)'!$G$5:$G$289,'Comp2016-2017 (3)'!$A$5:$A$289,$D1356,'Comp2016-2017 (3)'!$R$5:$R$289,$V1356)*$AB1356))</f>
        <v/>
      </c>
      <c r="AE1356" s="222" t="str">
        <f>IF($W1356=AE$3,$AB1356,IF(NOT($W1356=0),"",SUMIFS('Val-Vol (2)'!AE$4:AE$1858,'Val-Vol (2)'!$A$4:$A$1858,$D1356,'Val-Vol (2)'!$V$4:$V$1858,$V1356)/SUMIFS('Comp2016-2017 (3)'!$G$5:$G$289,'Comp2016-2017 (3)'!$A$5:$A$289,$D1356,'Comp2016-2017 (3)'!$R$5:$R$289,$V1356)*$AB1356))</f>
        <v/>
      </c>
      <c r="AF1356" s="222" t="str">
        <f>IF($W1356=AF$3,$AB1356,IF(NOT($W1356=0),"",SUMIFS('Val-Vol (2)'!AF$4:AF$1858,'Val-Vol (2)'!$A$4:$A$1858,$D1356,'Val-Vol (2)'!$V$4:$V$1858,$V1356)/SUMIFS('Comp2016-2017 (3)'!$G$5:$G$289,'Comp2016-2017 (3)'!$A$5:$A$289,$D1356,'Comp2016-2017 (3)'!$R$5:$R$289,$V1356)*$AB1356))</f>
        <v/>
      </c>
      <c r="AG1356" s="222" t="str">
        <f>IF($W1356=AG$3,$AB1356,IF(NOT($W1356=0),"",SUMIFS('Val-Vol (2)'!AG$4:AG$1858,'Val-Vol (2)'!$A$4:$A$1858,$D1356,'Val-Vol (2)'!$V$4:$V$1858,$V1356)/SUMIFS('Comp2016-2017 (3)'!$G$5:$G$289,'Comp2016-2017 (3)'!$A$5:$A$289,$D1356,'Comp2016-2017 (3)'!$R$5:$R$289,$V1356)*$AB1356))</f>
        <v/>
      </c>
      <c r="AH1356" s="222" t="str">
        <f>IF($W1356=AH$3,$AB1356,IF(NOT($W1356=0),"",SUMIFS('Val-Vol (2)'!AH$4:AH$1858,'Val-Vol (2)'!$A$4:$A$1858,$D1356,'Val-Vol (2)'!$V$4:$V$1858,$V1356)/SUMIFS('Comp2016-2017 (3)'!$G$5:$G$289,'Comp2016-2017 (3)'!$A$5:$A$289,$D1356,'Comp2016-2017 (3)'!$R$5:$R$289,$V1356)*$AB1356))</f>
        <v/>
      </c>
      <c r="AI1356" s="222" t="str">
        <f>IF($W1356=AI$3,$AB1356,IF(NOT($W1356=0),"",SUMIFS('Val-Vol (2)'!AI$4:AI$1858,'Val-Vol (2)'!$A$4:$A$1858,$D1356,'Val-Vol (2)'!$V$4:$V$1858,$V1356)/SUMIFS('Comp2016-2017 (3)'!$G$5:$G$289,'Comp2016-2017 (3)'!$A$5:$A$289,$D1356,'Comp2016-2017 (3)'!$R$5:$R$289,$V1356)*$AB1356))</f>
        <v/>
      </c>
      <c r="AJ1356" s="222" t="str">
        <f>IF($W1356=AJ$3,$AB1356,IF(NOT($W1356=0),"",SUMIFS('Val-Vol (2)'!AJ$4:AJ$1858,'Val-Vol (2)'!$A$4:$A$1858,$D1356,'Val-Vol (2)'!$V$4:$V$1858,$V1356)/SUMIFS('Comp2016-2017 (3)'!$G$5:$G$289,'Comp2016-2017 (3)'!$A$5:$A$289,$D1356,'Comp2016-2017 (3)'!$R$5:$R$289,$V1356)*$AB1356))</f>
        <v/>
      </c>
      <c r="AK1356" s="222">
        <f t="shared" si="159"/>
        <v>0</v>
      </c>
      <c r="AL1356" s="212" t="str">
        <f t="shared" si="160"/>
        <v/>
      </c>
      <c r="AM1356" s="212" t="str">
        <f>VLOOKUP(A1356,'Table corresp.'!$M$4:$U$63,8,FALSE)</f>
        <v>Production finale</v>
      </c>
      <c r="AN1356" s="212" t="str">
        <f>VLOOKUP(D1356,'Table corresp.'!$M$4:$U$63,9,FALSE)</f>
        <v>Exportation</v>
      </c>
    </row>
    <row r="1357" spans="1:40" x14ac:dyDescent="0.25">
      <c r="A1357" t="s">
        <v>90</v>
      </c>
      <c r="B1357" t="str">
        <f>VLOOKUP(LEFT(A1357,3),'Table corresp.'!$A$4:$D$63,3,FALSE)</f>
        <v>Transformation</v>
      </c>
      <c r="C1357" t="str">
        <f>VLOOKUP(A1357,'Table corresp.'!$M$4:$P$63,4,FALSE)</f>
        <v>Production et transformation de produits bois</v>
      </c>
      <c r="D1357" t="s">
        <v>24</v>
      </c>
      <c r="E1357" t="str">
        <f>VLOOKUP(LEFT(D1357,3),'Table corresp.'!$A$4:$D$63,4,FALSE)</f>
        <v>Transformation</v>
      </c>
      <c r="F1357" t="str">
        <f t="shared" si="162"/>
        <v xml:space="preserve">34  - 57 </v>
      </c>
      <c r="G1357" s="213">
        <v>525609.92925957602</v>
      </c>
      <c r="H1357" s="213">
        <v>60403.080463804021</v>
      </c>
      <c r="I1357" s="213">
        <v>586013.00972338009</v>
      </c>
      <c r="J1357" s="215">
        <v>427.18604241752325</v>
      </c>
      <c r="K1357" s="215">
        <v>66.805815484171603</v>
      </c>
      <c r="L1357" s="215">
        <v>493.99185790169486</v>
      </c>
      <c r="M1357" s="215">
        <v>49.596430617312208</v>
      </c>
      <c r="N1357" s="215">
        <v>7.7561756787345946</v>
      </c>
      <c r="O1357" s="215">
        <v>57.352606296046801</v>
      </c>
      <c r="P1357" s="215">
        <v>9.9811988913013803</v>
      </c>
      <c r="Q1357" s="215">
        <v>1.5609174112280073</v>
      </c>
      <c r="R1357" s="215">
        <v>11.542116302529388</v>
      </c>
      <c r="S1357" s="213" t="s">
        <v>192</v>
      </c>
      <c r="T1357" s="212">
        <f>VLOOKUP(A1357,'Groupe de branches'!$Z$27:$AM$86,14,FALSE)</f>
        <v>0</v>
      </c>
      <c r="U1357" s="212">
        <f>VLOOKUP(D1357,'Groupe de branches'!$Z$27:$AM$86,14,FALSE)</f>
        <v>0</v>
      </c>
      <c r="V1357" s="212">
        <v>2019</v>
      </c>
      <c r="W1357" s="212" t="str">
        <f>VLOOKUP(D1357,'Table corresp.'!$M$4:$S$63,7,FALSE)</f>
        <v>Construction</v>
      </c>
      <c r="X1357" s="228">
        <f>IFERROR(G1357/SUMIFS('Comp2016-2017 (3)'!$I$5:$I$289,'Comp2016-2017 (3)'!$A$5:$A$289,A1357,'Comp2016-2017 (3)'!$R$5:$R$289,V1357),0)</f>
        <v>0.66510591977211031</v>
      </c>
      <c r="Y1357" s="214" t="e">
        <f>IF(RIGHT(F1357,3)="Exp",VLOOKUP(F1357,#REF!,2,FALSE),VLOOKUP(F1357,#REF!,9,FALSE))</f>
        <v>#REF!</v>
      </c>
      <c r="Z1357" s="225" t="str">
        <f t="shared" si="163"/>
        <v/>
      </c>
      <c r="AA1357" s="225" t="e">
        <f t="shared" si="158"/>
        <v>#VALUE!</v>
      </c>
      <c r="AB1357" s="222">
        <f>IFERROR(SUMIFS('Comp2016-2017 (3)'!$G$5:$G$289,'Comp2016-2017 (3)'!$A$5:$A$289,A1357,'Comp2016-2017 (3)'!$R$5:$R$289,V1357)*AA1357/SUMIFS($AA$4:$AA$1858,$A$4:$A$1858,A1357,$V$4:$V$1858,V1357),0)</f>
        <v>0</v>
      </c>
      <c r="AC1357" s="222" t="str">
        <f>IF($W1357=AC$3,$AB1357,IF(NOT($W1357=0),"",SUMIFS('Val-Vol (2)'!AC$4:AC$1858,'Val-Vol (2)'!$A$4:$A$1858,$D1357,'Val-Vol (2)'!$V$4:$V$1858,$V1357)/SUMIFS('Comp2016-2017 (3)'!$G$5:$G$289,'Comp2016-2017 (3)'!$A$5:$A$289,$D1357,'Comp2016-2017 (3)'!$R$5:$R$289,$V1357)*$AB1357))</f>
        <v/>
      </c>
      <c r="AD1357" s="222">
        <f>IF($W1357=AD$3,$AB1357,IF(NOT($W1357=0),"",SUMIFS('Val-Vol (2)'!AD$4:AD$1858,'Val-Vol (2)'!$A$4:$A$1858,$D1357,'Val-Vol (2)'!$V$4:$V$1858,$V1357)/SUMIFS('Comp2016-2017 (3)'!$G$5:$G$289,'Comp2016-2017 (3)'!$A$5:$A$289,$D1357,'Comp2016-2017 (3)'!$R$5:$R$289,$V1357)*$AB1357))</f>
        <v>0</v>
      </c>
      <c r="AE1357" s="222" t="str">
        <f>IF($W1357=AE$3,$AB1357,IF(NOT($W1357=0),"",SUMIFS('Val-Vol (2)'!AE$4:AE$1858,'Val-Vol (2)'!$A$4:$A$1858,$D1357,'Val-Vol (2)'!$V$4:$V$1858,$V1357)/SUMIFS('Comp2016-2017 (3)'!$G$5:$G$289,'Comp2016-2017 (3)'!$A$5:$A$289,$D1357,'Comp2016-2017 (3)'!$R$5:$R$289,$V1357)*$AB1357))</f>
        <v/>
      </c>
      <c r="AF1357" s="222" t="str">
        <f>IF($W1357=AF$3,$AB1357,IF(NOT($W1357=0),"",SUMIFS('Val-Vol (2)'!AF$4:AF$1858,'Val-Vol (2)'!$A$4:$A$1858,$D1357,'Val-Vol (2)'!$V$4:$V$1858,$V1357)/SUMIFS('Comp2016-2017 (3)'!$G$5:$G$289,'Comp2016-2017 (3)'!$A$5:$A$289,$D1357,'Comp2016-2017 (3)'!$R$5:$R$289,$V1357)*$AB1357))</f>
        <v/>
      </c>
      <c r="AG1357" s="222" t="str">
        <f>IF($W1357=AG$3,$AB1357,IF(NOT($W1357=0),"",SUMIFS('Val-Vol (2)'!AG$4:AG$1858,'Val-Vol (2)'!$A$4:$A$1858,$D1357,'Val-Vol (2)'!$V$4:$V$1858,$V1357)/SUMIFS('Comp2016-2017 (3)'!$G$5:$G$289,'Comp2016-2017 (3)'!$A$5:$A$289,$D1357,'Comp2016-2017 (3)'!$R$5:$R$289,$V1357)*$AB1357))</f>
        <v/>
      </c>
      <c r="AH1357" s="222" t="str">
        <f>IF($W1357=AH$3,$AB1357,IF(NOT($W1357=0),"",SUMIFS('Val-Vol (2)'!AH$4:AH$1858,'Val-Vol (2)'!$A$4:$A$1858,$D1357,'Val-Vol (2)'!$V$4:$V$1858,$V1357)/SUMIFS('Comp2016-2017 (3)'!$G$5:$G$289,'Comp2016-2017 (3)'!$A$5:$A$289,$D1357,'Comp2016-2017 (3)'!$R$5:$R$289,$V1357)*$AB1357))</f>
        <v/>
      </c>
      <c r="AI1357" s="222" t="str">
        <f>IF($W1357=AI$3,$AB1357,IF(NOT($W1357=0),"",SUMIFS('Val-Vol (2)'!AI$4:AI$1858,'Val-Vol (2)'!$A$4:$A$1858,$D1357,'Val-Vol (2)'!$V$4:$V$1858,$V1357)/SUMIFS('Comp2016-2017 (3)'!$G$5:$G$289,'Comp2016-2017 (3)'!$A$5:$A$289,$D1357,'Comp2016-2017 (3)'!$R$5:$R$289,$V1357)*$AB1357))</f>
        <v/>
      </c>
      <c r="AJ1357" s="222" t="str">
        <f>IF($W1357=AJ$3,$AB1357,IF(NOT($W1357=0),"",SUMIFS('Val-Vol (2)'!AJ$4:AJ$1858,'Val-Vol (2)'!$A$4:$A$1858,$D1357,'Val-Vol (2)'!$V$4:$V$1858,$V1357)/SUMIFS('Comp2016-2017 (3)'!$G$5:$G$289,'Comp2016-2017 (3)'!$A$5:$A$289,$D1357,'Comp2016-2017 (3)'!$R$5:$R$289,$V1357)*$AB1357))</f>
        <v/>
      </c>
      <c r="AK1357" s="222">
        <f t="shared" si="159"/>
        <v>0</v>
      </c>
      <c r="AL1357" s="212" t="str">
        <f t="shared" si="160"/>
        <v/>
      </c>
      <c r="AM1357" s="212" t="str">
        <f>VLOOKUP(A1357,'Table corresp.'!$M$4:$U$63,8,FALSE)</f>
        <v>Production finale</v>
      </c>
      <c r="AN1357" s="212" t="str">
        <f>VLOOKUP(D1357,'Table corresp.'!$M$4:$U$63,9,FALSE)</f>
        <v xml:space="preserve">Mise en œuvre </v>
      </c>
    </row>
    <row r="1358" spans="1:40" x14ac:dyDescent="0.25">
      <c r="A1358" t="s">
        <v>90</v>
      </c>
      <c r="B1358" t="str">
        <f>VLOOKUP(LEFT(A1358,3),'Table corresp.'!$A$4:$D$63,3,FALSE)</f>
        <v>Transformation</v>
      </c>
      <c r="C1358" t="str">
        <f>VLOOKUP(A1358,'Table corresp.'!$M$4:$P$63,4,FALSE)</f>
        <v>Production et transformation de produits bois</v>
      </c>
      <c r="D1358" t="s">
        <v>54</v>
      </c>
      <c r="E1358" t="str">
        <f>VLOOKUP(LEFT(D1358,3),'Table corresp.'!$A$4:$D$63,4,FALSE)</f>
        <v>Consommation finale</v>
      </c>
      <c r="F1358" t="str">
        <f t="shared" si="162"/>
        <v>34  - Con</v>
      </c>
      <c r="G1358" s="213">
        <v>245084.82569132102</v>
      </c>
      <c r="H1358" s="213">
        <v>117775.93853619564</v>
      </c>
      <c r="I1358" s="213">
        <v>362860.76422751666</v>
      </c>
      <c r="J1358" s="215">
        <v>230.64231918598648</v>
      </c>
      <c r="K1358" s="215">
        <v>195.39030686619824</v>
      </c>
      <c r="L1358" s="215">
        <v>426.0326260521847</v>
      </c>
      <c r="M1358" s="215">
        <v>26.777644035812077</v>
      </c>
      <c r="N1358" s="215">
        <v>22.684874587529901</v>
      </c>
      <c r="O1358" s="215">
        <v>49.462518623341978</v>
      </c>
      <c r="P1358" s="215">
        <v>5.3889561735641465</v>
      </c>
      <c r="Q1358" s="215">
        <v>4.5652931524336138</v>
      </c>
      <c r="R1358" s="215">
        <v>9.9542493259977611</v>
      </c>
      <c r="S1358" s="213" t="s">
        <v>192</v>
      </c>
      <c r="T1358" s="212">
        <f>VLOOKUP(A1358,'Groupe de branches'!$Z$27:$AM$86,14,FALSE)</f>
        <v>0</v>
      </c>
      <c r="U1358" s="212">
        <f>VLOOKUP(D1358,'Groupe de branches'!$Z$27:$AM$86,14,FALSE)</f>
        <v>0</v>
      </c>
      <c r="V1358" s="212">
        <v>2019</v>
      </c>
      <c r="W1358" s="212" t="str">
        <f>VLOOKUP(D1358,'Table corresp.'!$M$4:$S$63,7,FALSE)</f>
        <v>Consommation finale</v>
      </c>
      <c r="X1358" s="228">
        <f>IFERROR(G1358/SUMIFS('Comp2016-2017 (3)'!$I$5:$I$289,'Comp2016-2017 (3)'!$A$5:$A$289,A1358,'Comp2016-2017 (3)'!$R$5:$R$289,V1358),0)</f>
        <v>0.3101299259000701</v>
      </c>
      <c r="Y1358" s="214" t="e">
        <f>IF(RIGHT(F1358,3)="Exp",VLOOKUP(F1358,#REF!,2,FALSE),VLOOKUP(F1358,#REF!,9,FALSE))</f>
        <v>#REF!</v>
      </c>
      <c r="Z1358" s="225" t="str">
        <f t="shared" si="163"/>
        <v/>
      </c>
      <c r="AA1358" s="225" t="e">
        <f t="shared" si="158"/>
        <v>#VALUE!</v>
      </c>
      <c r="AB1358" s="222">
        <f>IFERROR(SUMIFS('Comp2016-2017 (3)'!$G$5:$G$289,'Comp2016-2017 (3)'!$A$5:$A$289,A1358,'Comp2016-2017 (3)'!$R$5:$R$289,V1358)*AA1358/SUMIFS($AA$4:$AA$1858,$A$4:$A$1858,A1358,$V$4:$V$1858,V1358),0)</f>
        <v>0</v>
      </c>
      <c r="AC1358" s="222" t="str">
        <f>IF($W1358=AC$3,$AB1358,IF(NOT($W1358=0),"",SUMIFS('Val-Vol (2)'!AC$4:AC$1858,'Val-Vol (2)'!$A$4:$A$1858,$D1358,'Val-Vol (2)'!$V$4:$V$1858,$V1358)/SUMIFS('Comp2016-2017 (3)'!$G$5:$G$289,'Comp2016-2017 (3)'!$A$5:$A$289,$D1358,'Comp2016-2017 (3)'!$R$5:$R$289,$V1358)*$AB1358))</f>
        <v/>
      </c>
      <c r="AD1358" s="222" t="str">
        <f>IF($W1358=AD$3,$AB1358,IF(NOT($W1358=0),"",SUMIFS('Val-Vol (2)'!AD$4:AD$1858,'Val-Vol (2)'!$A$4:$A$1858,$D1358,'Val-Vol (2)'!$V$4:$V$1858,$V1358)/SUMIFS('Comp2016-2017 (3)'!$G$5:$G$289,'Comp2016-2017 (3)'!$A$5:$A$289,$D1358,'Comp2016-2017 (3)'!$R$5:$R$289,$V1358)*$AB1358))</f>
        <v/>
      </c>
      <c r="AE1358" s="222" t="str">
        <f>IF($W1358=AE$3,$AB1358,IF(NOT($W1358=0),"",SUMIFS('Val-Vol (2)'!AE$4:AE$1858,'Val-Vol (2)'!$A$4:$A$1858,$D1358,'Val-Vol (2)'!$V$4:$V$1858,$V1358)/SUMIFS('Comp2016-2017 (3)'!$G$5:$G$289,'Comp2016-2017 (3)'!$A$5:$A$289,$D1358,'Comp2016-2017 (3)'!$R$5:$R$289,$V1358)*$AB1358))</f>
        <v/>
      </c>
      <c r="AF1358" s="222" t="str">
        <f>IF($W1358=AF$3,$AB1358,IF(NOT($W1358=0),"",SUMIFS('Val-Vol (2)'!AF$4:AF$1858,'Val-Vol (2)'!$A$4:$A$1858,$D1358,'Val-Vol (2)'!$V$4:$V$1858,$V1358)/SUMIFS('Comp2016-2017 (3)'!$G$5:$G$289,'Comp2016-2017 (3)'!$A$5:$A$289,$D1358,'Comp2016-2017 (3)'!$R$5:$R$289,$V1358)*$AB1358))</f>
        <v/>
      </c>
      <c r="AG1358" s="222" t="str">
        <f>IF($W1358=AG$3,$AB1358,IF(NOT($W1358=0),"",SUMIFS('Val-Vol (2)'!AG$4:AG$1858,'Val-Vol (2)'!$A$4:$A$1858,$D1358,'Val-Vol (2)'!$V$4:$V$1858,$V1358)/SUMIFS('Comp2016-2017 (3)'!$G$5:$G$289,'Comp2016-2017 (3)'!$A$5:$A$289,$D1358,'Comp2016-2017 (3)'!$R$5:$R$289,$V1358)*$AB1358))</f>
        <v/>
      </c>
      <c r="AH1358" s="222" t="str">
        <f>IF($W1358=AH$3,$AB1358,IF(NOT($W1358=0),"",SUMIFS('Val-Vol (2)'!AH$4:AH$1858,'Val-Vol (2)'!$A$4:$A$1858,$D1358,'Val-Vol (2)'!$V$4:$V$1858,$V1358)/SUMIFS('Comp2016-2017 (3)'!$G$5:$G$289,'Comp2016-2017 (3)'!$A$5:$A$289,$D1358,'Comp2016-2017 (3)'!$R$5:$R$289,$V1358)*$AB1358))</f>
        <v/>
      </c>
      <c r="AI1358" s="222" t="str">
        <f>IF($W1358=AI$3,$AB1358,IF(NOT($W1358=0),"",SUMIFS('Val-Vol (2)'!AI$4:AI$1858,'Val-Vol (2)'!$A$4:$A$1858,$D1358,'Val-Vol (2)'!$V$4:$V$1858,$V1358)/SUMIFS('Comp2016-2017 (3)'!$G$5:$G$289,'Comp2016-2017 (3)'!$A$5:$A$289,$D1358,'Comp2016-2017 (3)'!$R$5:$R$289,$V1358)*$AB1358))</f>
        <v/>
      </c>
      <c r="AJ1358" s="222">
        <f>IF($W1358=AJ$3,$AB1358,IF(NOT($W1358=0),"",SUMIFS('Val-Vol (2)'!AJ$4:AJ$1858,'Val-Vol (2)'!$A$4:$A$1858,$D1358,'Val-Vol (2)'!$V$4:$V$1858,$V1358)/SUMIFS('Comp2016-2017 (3)'!$G$5:$G$289,'Comp2016-2017 (3)'!$A$5:$A$289,$D1358,'Comp2016-2017 (3)'!$R$5:$R$289,$V1358)*$AB1358))</f>
        <v>0</v>
      </c>
      <c r="AK1358" s="222">
        <f t="shared" si="159"/>
        <v>0</v>
      </c>
      <c r="AL1358" s="212" t="str">
        <f t="shared" si="160"/>
        <v/>
      </c>
      <c r="AM1358" s="212" t="str">
        <f>VLOOKUP(A1358,'Table corresp.'!$M$4:$U$63,8,FALSE)</f>
        <v>Production finale</v>
      </c>
      <c r="AN1358" s="212" t="str">
        <f>VLOOKUP(D1358,'Table corresp.'!$M$4:$U$63,9,FALSE)</f>
        <v>Consommation finale française</v>
      </c>
    </row>
    <row r="1359" spans="1:40" x14ac:dyDescent="0.25">
      <c r="A1359" t="s">
        <v>90</v>
      </c>
      <c r="B1359" t="str">
        <f>VLOOKUP(LEFT(A1359,3),'Table corresp.'!$A$4:$D$63,3,FALSE)</f>
        <v>Transformation</v>
      </c>
      <c r="C1359" t="str">
        <f>VLOOKUP(A1359,'Table corresp.'!$M$4:$P$63,4,FALSE)</f>
        <v>Production et transformation de produits bois</v>
      </c>
      <c r="D1359" t="s">
        <v>53</v>
      </c>
      <c r="E1359" t="str">
        <f>VLOOKUP(LEFT(D1359,3),'Table corresp.'!$A$4:$D$63,4,FALSE)</f>
        <v>Exportation</v>
      </c>
      <c r="F1359" t="str">
        <f t="shared" si="162"/>
        <v>34  - Exp</v>
      </c>
      <c r="G1359" s="213">
        <v>19570.246000000003</v>
      </c>
      <c r="H1359" s="213">
        <v>0</v>
      </c>
      <c r="I1359" s="213">
        <v>19570.246000000003</v>
      </c>
      <c r="J1359" s="215">
        <v>14.061587440132376</v>
      </c>
      <c r="K1359" s="215">
        <v>0</v>
      </c>
      <c r="L1359" s="215">
        <v>14.061587440132376</v>
      </c>
      <c r="M1359" s="215">
        <v>1.632554616946414</v>
      </c>
      <c r="N1359" s="215">
        <v>0</v>
      </c>
      <c r="O1359" s="215">
        <v>1.632554616946414</v>
      </c>
      <c r="P1359" s="215">
        <v>0.32854889212463989</v>
      </c>
      <c r="Q1359" s="215">
        <v>0</v>
      </c>
      <c r="R1359" s="215">
        <v>0.32854889212463989</v>
      </c>
      <c r="S1359" s="213" t="s">
        <v>192</v>
      </c>
      <c r="T1359" s="212">
        <f>VLOOKUP(A1359,'Groupe de branches'!$Z$27:$AM$86,14,FALSE)</f>
        <v>0</v>
      </c>
      <c r="U1359" s="212">
        <f>VLOOKUP(D1359,'Groupe de branches'!$Z$27:$AM$86,14,FALSE)</f>
        <v>0</v>
      </c>
      <c r="V1359" s="212">
        <v>2019</v>
      </c>
      <c r="W1359" s="212" t="str">
        <f>VLOOKUP(D1359,'Table corresp.'!$M$4:$S$63,7,FALSE)</f>
        <v>Exportation</v>
      </c>
      <c r="X1359" s="228">
        <f>IFERROR(G1359/SUMIFS('Comp2016-2017 (3)'!$I$5:$I$289,'Comp2016-2017 (3)'!$A$5:$A$289,A1359,'Comp2016-2017 (3)'!$R$5:$R$289,V1359),0)</f>
        <v>2.4764156347526465E-2</v>
      </c>
      <c r="Y1359" s="214" t="e">
        <f>IF(RIGHT(F1359,3)="Exp",VLOOKUP(F1359,#REF!,2,FALSE),VLOOKUP(F1359,#REF!,9,FALSE))</f>
        <v>#REF!</v>
      </c>
      <c r="Z1359" s="225" t="str">
        <f t="shared" si="163"/>
        <v/>
      </c>
      <c r="AA1359" s="225" t="e">
        <f t="shared" si="158"/>
        <v>#VALUE!</v>
      </c>
      <c r="AB1359" s="222">
        <f>IFERROR(SUMIFS('Comp2016-2017 (3)'!$G$5:$G$289,'Comp2016-2017 (3)'!$A$5:$A$289,A1359,'Comp2016-2017 (3)'!$R$5:$R$289,V1359)*AA1359/SUMIFS($AA$4:$AA$1858,$A$4:$A$1858,A1359,$V$4:$V$1858,V1359),0)</f>
        <v>0</v>
      </c>
      <c r="AC1359" s="222">
        <f>IF($W1359=AC$3,$AB1359,IF(NOT($W1359=0),"",SUMIFS('Val-Vol (2)'!AC$4:AC$1858,'Val-Vol (2)'!$A$4:$A$1858,$D1359,'Val-Vol (2)'!$V$4:$V$1858,$V1359)/SUMIFS('Comp2016-2017 (3)'!$G$5:$G$289,'Comp2016-2017 (3)'!$A$5:$A$289,$D1359,'Comp2016-2017 (3)'!$R$5:$R$289,$V1359)*$AB1359))</f>
        <v>0</v>
      </c>
      <c r="AD1359" s="222" t="str">
        <f>IF($W1359=AD$3,$AB1359,IF(NOT($W1359=0),"",SUMIFS('Val-Vol (2)'!AD$4:AD$1858,'Val-Vol (2)'!$A$4:$A$1858,$D1359,'Val-Vol (2)'!$V$4:$V$1858,$V1359)/SUMIFS('Comp2016-2017 (3)'!$G$5:$G$289,'Comp2016-2017 (3)'!$A$5:$A$289,$D1359,'Comp2016-2017 (3)'!$R$5:$R$289,$V1359)*$AB1359))</f>
        <v/>
      </c>
      <c r="AE1359" s="222" t="str">
        <f>IF($W1359=AE$3,$AB1359,IF(NOT($W1359=0),"",SUMIFS('Val-Vol (2)'!AE$4:AE$1858,'Val-Vol (2)'!$A$4:$A$1858,$D1359,'Val-Vol (2)'!$V$4:$V$1858,$V1359)/SUMIFS('Comp2016-2017 (3)'!$G$5:$G$289,'Comp2016-2017 (3)'!$A$5:$A$289,$D1359,'Comp2016-2017 (3)'!$R$5:$R$289,$V1359)*$AB1359))</f>
        <v/>
      </c>
      <c r="AF1359" s="222" t="str">
        <f>IF($W1359=AF$3,$AB1359,IF(NOT($W1359=0),"",SUMIFS('Val-Vol (2)'!AF$4:AF$1858,'Val-Vol (2)'!$A$4:$A$1858,$D1359,'Val-Vol (2)'!$V$4:$V$1858,$V1359)/SUMIFS('Comp2016-2017 (3)'!$G$5:$G$289,'Comp2016-2017 (3)'!$A$5:$A$289,$D1359,'Comp2016-2017 (3)'!$R$5:$R$289,$V1359)*$AB1359))</f>
        <v/>
      </c>
      <c r="AG1359" s="222" t="str">
        <f>IF($W1359=AG$3,$AB1359,IF(NOT($W1359=0),"",SUMIFS('Val-Vol (2)'!AG$4:AG$1858,'Val-Vol (2)'!$A$4:$A$1858,$D1359,'Val-Vol (2)'!$V$4:$V$1858,$V1359)/SUMIFS('Comp2016-2017 (3)'!$G$5:$G$289,'Comp2016-2017 (3)'!$A$5:$A$289,$D1359,'Comp2016-2017 (3)'!$R$5:$R$289,$V1359)*$AB1359))</f>
        <v/>
      </c>
      <c r="AH1359" s="222" t="str">
        <f>IF($W1359=AH$3,$AB1359,IF(NOT($W1359=0),"",SUMIFS('Val-Vol (2)'!AH$4:AH$1858,'Val-Vol (2)'!$A$4:$A$1858,$D1359,'Val-Vol (2)'!$V$4:$V$1858,$V1359)/SUMIFS('Comp2016-2017 (3)'!$G$5:$G$289,'Comp2016-2017 (3)'!$A$5:$A$289,$D1359,'Comp2016-2017 (3)'!$R$5:$R$289,$V1359)*$AB1359))</f>
        <v/>
      </c>
      <c r="AI1359" s="222" t="str">
        <f>IF($W1359=AI$3,$AB1359,IF(NOT($W1359=0),"",SUMIFS('Val-Vol (2)'!AI$4:AI$1858,'Val-Vol (2)'!$A$4:$A$1858,$D1359,'Val-Vol (2)'!$V$4:$V$1858,$V1359)/SUMIFS('Comp2016-2017 (3)'!$G$5:$G$289,'Comp2016-2017 (3)'!$A$5:$A$289,$D1359,'Comp2016-2017 (3)'!$R$5:$R$289,$V1359)*$AB1359))</f>
        <v/>
      </c>
      <c r="AJ1359" s="222" t="str">
        <f>IF($W1359=AJ$3,$AB1359,IF(NOT($W1359=0),"",SUMIFS('Val-Vol (2)'!AJ$4:AJ$1858,'Val-Vol (2)'!$A$4:$A$1858,$D1359,'Val-Vol (2)'!$V$4:$V$1858,$V1359)/SUMIFS('Comp2016-2017 (3)'!$G$5:$G$289,'Comp2016-2017 (3)'!$A$5:$A$289,$D1359,'Comp2016-2017 (3)'!$R$5:$R$289,$V1359)*$AB1359))</f>
        <v/>
      </c>
      <c r="AK1359" s="222">
        <f t="shared" si="159"/>
        <v>0</v>
      </c>
      <c r="AL1359" s="212" t="str">
        <f t="shared" si="160"/>
        <v/>
      </c>
      <c r="AM1359" s="212" t="str">
        <f>VLOOKUP(A1359,'Table corresp.'!$M$4:$U$63,8,FALSE)</f>
        <v>Production finale</v>
      </c>
      <c r="AN1359" s="212" t="str">
        <f>VLOOKUP(D1359,'Table corresp.'!$M$4:$U$63,9,FALSE)</f>
        <v>Exportation</v>
      </c>
    </row>
    <row r="1360" spans="1:40" x14ac:dyDescent="0.25">
      <c r="A1360" t="s">
        <v>15</v>
      </c>
      <c r="B1360" t="str">
        <f>VLOOKUP(LEFT(A1360,3),'Table corresp.'!$A$4:$D$63,3,FALSE)</f>
        <v>Transformation</v>
      </c>
      <c r="C1360" t="str">
        <f>VLOOKUP(A1360,'Table corresp.'!$M$4:$P$63,4,FALSE)</f>
        <v>Production et transformation de produits bois</v>
      </c>
      <c r="D1360" t="s">
        <v>21</v>
      </c>
      <c r="E1360" t="str">
        <f>VLOOKUP(LEFT(D1360,3),'Table corresp.'!$A$4:$D$63,4,FALSE)</f>
        <v>Transformation</v>
      </c>
      <c r="F1360" t="str">
        <f t="shared" si="162"/>
        <v xml:space="preserve">35  - 54 </v>
      </c>
      <c r="G1360" s="213">
        <v>596189.70279820729</v>
      </c>
      <c r="H1360" s="213">
        <v>55347.308623482255</v>
      </c>
      <c r="I1360" s="213">
        <v>651537.01142168953</v>
      </c>
      <c r="J1360" s="215">
        <v>555.45212518783887</v>
      </c>
      <c r="K1360" s="215">
        <v>71.006029815575928</v>
      </c>
      <c r="L1360" s="215">
        <v>626.45815500341484</v>
      </c>
      <c r="M1360" s="215">
        <v>22.462807780650504</v>
      </c>
      <c r="N1360" s="215">
        <v>2.8715252434672682</v>
      </c>
      <c r="O1360" s="215">
        <v>25.334333024117772</v>
      </c>
      <c r="P1360" s="215">
        <v>9.8117918726362348</v>
      </c>
      <c r="Q1360" s="215">
        <v>1.2542870117150604</v>
      </c>
      <c r="R1360" s="215">
        <v>11.066078884351295</v>
      </c>
      <c r="S1360" s="213" t="s">
        <v>192</v>
      </c>
      <c r="T1360" s="212">
        <f>VLOOKUP(A1360,'Groupe de branches'!$Z$27:$AM$86,14,FALSE)</f>
        <v>0</v>
      </c>
      <c r="U1360" s="212">
        <f>VLOOKUP(D1360,'Groupe de branches'!$Z$27:$AM$86,14,FALSE)</f>
        <v>0</v>
      </c>
      <c r="V1360" s="212">
        <v>2019</v>
      </c>
      <c r="W1360" s="212" t="str">
        <f>VLOOKUP(D1360,'Table corresp.'!$M$4:$S$63,7,FALSE)</f>
        <v>Construction</v>
      </c>
      <c r="X1360" s="228">
        <f>IFERROR(G1360/SUMIFS('Comp2016-2017 (3)'!$I$5:$I$289,'Comp2016-2017 (3)'!$A$5:$A$289,A1360,'Comp2016-2017 (3)'!$R$5:$R$289,V1360),0)</f>
        <v>0.92282980466299924</v>
      </c>
      <c r="Y1360" s="214" t="e">
        <f>IF(RIGHT(F1360,3)="Exp",VLOOKUP(F1360,#REF!,2,FALSE),VLOOKUP(F1360,#REF!,9,FALSE))</f>
        <v>#REF!</v>
      </c>
      <c r="Z1360" s="225" t="str">
        <f t="shared" si="163"/>
        <v/>
      </c>
      <c r="AA1360" s="225" t="e">
        <f t="shared" si="158"/>
        <v>#VALUE!</v>
      </c>
      <c r="AB1360" s="222">
        <f>IFERROR(SUMIFS('Comp2016-2017 (3)'!$G$5:$G$289,'Comp2016-2017 (3)'!$A$5:$A$289,A1360,'Comp2016-2017 (3)'!$R$5:$R$289,V1360)*AA1360/SUMIFS($AA$4:$AA$1858,$A$4:$A$1858,A1360,$V$4:$V$1858,V1360),0)</f>
        <v>0</v>
      </c>
      <c r="AC1360" s="222" t="str">
        <f>IF($W1360=AC$3,$AB1360,IF(NOT($W1360=0),"",SUMIFS('Val-Vol (2)'!AC$4:AC$1858,'Val-Vol (2)'!$A$4:$A$1858,$D1360,'Val-Vol (2)'!$V$4:$V$1858,$V1360)/SUMIFS('Comp2016-2017 (3)'!$G$5:$G$289,'Comp2016-2017 (3)'!$A$5:$A$289,$D1360,'Comp2016-2017 (3)'!$R$5:$R$289,$V1360)*$AB1360))</f>
        <v/>
      </c>
      <c r="AD1360" s="222">
        <f>IF($W1360=AD$3,$AB1360,IF(NOT($W1360=0),"",SUMIFS('Val-Vol (2)'!AD$4:AD$1858,'Val-Vol (2)'!$A$4:$A$1858,$D1360,'Val-Vol (2)'!$V$4:$V$1858,$V1360)/SUMIFS('Comp2016-2017 (3)'!$G$5:$G$289,'Comp2016-2017 (3)'!$A$5:$A$289,$D1360,'Comp2016-2017 (3)'!$R$5:$R$289,$V1360)*$AB1360))</f>
        <v>0</v>
      </c>
      <c r="AE1360" s="222" t="str">
        <f>IF($W1360=AE$3,$AB1360,IF(NOT($W1360=0),"",SUMIFS('Val-Vol (2)'!AE$4:AE$1858,'Val-Vol (2)'!$A$4:$A$1858,$D1360,'Val-Vol (2)'!$V$4:$V$1858,$V1360)/SUMIFS('Comp2016-2017 (3)'!$G$5:$G$289,'Comp2016-2017 (3)'!$A$5:$A$289,$D1360,'Comp2016-2017 (3)'!$R$5:$R$289,$V1360)*$AB1360))</f>
        <v/>
      </c>
      <c r="AF1360" s="222" t="str">
        <f>IF($W1360=AF$3,$AB1360,IF(NOT($W1360=0),"",SUMIFS('Val-Vol (2)'!AF$4:AF$1858,'Val-Vol (2)'!$A$4:$A$1858,$D1360,'Val-Vol (2)'!$V$4:$V$1858,$V1360)/SUMIFS('Comp2016-2017 (3)'!$G$5:$G$289,'Comp2016-2017 (3)'!$A$5:$A$289,$D1360,'Comp2016-2017 (3)'!$R$5:$R$289,$V1360)*$AB1360))</f>
        <v/>
      </c>
      <c r="AG1360" s="222" t="str">
        <f>IF($W1360=AG$3,$AB1360,IF(NOT($W1360=0),"",SUMIFS('Val-Vol (2)'!AG$4:AG$1858,'Val-Vol (2)'!$A$4:$A$1858,$D1360,'Val-Vol (2)'!$V$4:$V$1858,$V1360)/SUMIFS('Comp2016-2017 (3)'!$G$5:$G$289,'Comp2016-2017 (3)'!$A$5:$A$289,$D1360,'Comp2016-2017 (3)'!$R$5:$R$289,$V1360)*$AB1360))</f>
        <v/>
      </c>
      <c r="AH1360" s="222" t="str">
        <f>IF($W1360=AH$3,$AB1360,IF(NOT($W1360=0),"",SUMIFS('Val-Vol (2)'!AH$4:AH$1858,'Val-Vol (2)'!$A$4:$A$1858,$D1360,'Val-Vol (2)'!$V$4:$V$1858,$V1360)/SUMIFS('Comp2016-2017 (3)'!$G$5:$G$289,'Comp2016-2017 (3)'!$A$5:$A$289,$D1360,'Comp2016-2017 (3)'!$R$5:$R$289,$V1360)*$AB1360))</f>
        <v/>
      </c>
      <c r="AI1360" s="222" t="str">
        <f>IF($W1360=AI$3,$AB1360,IF(NOT($W1360=0),"",SUMIFS('Val-Vol (2)'!AI$4:AI$1858,'Val-Vol (2)'!$A$4:$A$1858,$D1360,'Val-Vol (2)'!$V$4:$V$1858,$V1360)/SUMIFS('Comp2016-2017 (3)'!$G$5:$G$289,'Comp2016-2017 (3)'!$A$5:$A$289,$D1360,'Comp2016-2017 (3)'!$R$5:$R$289,$V1360)*$AB1360))</f>
        <v/>
      </c>
      <c r="AJ1360" s="222" t="str">
        <f>IF($W1360=AJ$3,$AB1360,IF(NOT($W1360=0),"",SUMIFS('Val-Vol (2)'!AJ$4:AJ$1858,'Val-Vol (2)'!$A$4:$A$1858,$D1360,'Val-Vol (2)'!$V$4:$V$1858,$V1360)/SUMIFS('Comp2016-2017 (3)'!$G$5:$G$289,'Comp2016-2017 (3)'!$A$5:$A$289,$D1360,'Comp2016-2017 (3)'!$R$5:$R$289,$V1360)*$AB1360))</f>
        <v/>
      </c>
      <c r="AK1360" s="222">
        <f t="shared" si="159"/>
        <v>0</v>
      </c>
      <c r="AL1360" s="212" t="str">
        <f t="shared" si="160"/>
        <v/>
      </c>
      <c r="AM1360" s="212" t="str">
        <f>VLOOKUP(A1360,'Table corresp.'!$M$4:$U$63,8,FALSE)</f>
        <v>Production finale</v>
      </c>
      <c r="AN1360" s="212" t="str">
        <f>VLOOKUP(D1360,'Table corresp.'!$M$4:$U$63,9,FALSE)</f>
        <v xml:space="preserve">Mise en œuvre </v>
      </c>
    </row>
    <row r="1361" spans="1:40" x14ac:dyDescent="0.25">
      <c r="A1361" t="s">
        <v>15</v>
      </c>
      <c r="B1361" t="str">
        <f>VLOOKUP(LEFT(A1361,3),'Table corresp.'!$A$4:$D$63,3,FALSE)</f>
        <v>Transformation</v>
      </c>
      <c r="C1361" t="str">
        <f>VLOOKUP(A1361,'Table corresp.'!$M$4:$P$63,4,FALSE)</f>
        <v>Production et transformation de produits bois</v>
      </c>
      <c r="D1361" t="s">
        <v>54</v>
      </c>
      <c r="E1361" t="str">
        <f>VLOOKUP(LEFT(D1361,3),'Table corresp.'!$A$4:$D$63,4,FALSE)</f>
        <v>Consommation finale</v>
      </c>
      <c r="F1361" t="str">
        <f t="shared" si="162"/>
        <v>35  - Con</v>
      </c>
      <c r="G1361" s="213">
        <v>44507.505652398475</v>
      </c>
      <c r="H1361" s="213">
        <v>11856.590376517725</v>
      </c>
      <c r="I1361" s="213">
        <v>56364.096028916203</v>
      </c>
      <c r="J1361" s="215">
        <v>41.466312627345204</v>
      </c>
      <c r="K1361" s="215">
        <v>22.848573173595824</v>
      </c>
      <c r="L1361" s="215">
        <v>64.314885800941028</v>
      </c>
      <c r="M1361" s="215">
        <v>1.6769218582167182</v>
      </c>
      <c r="N1361" s="215">
        <v>0.92400962024773181</v>
      </c>
      <c r="O1361" s="215">
        <v>2.6009314784644499</v>
      </c>
      <c r="P1361" s="215">
        <v>0.73248226224283552</v>
      </c>
      <c r="Q1361" s="215">
        <v>0.40360894197714758</v>
      </c>
      <c r="R1361" s="215">
        <v>1.1360912042199831</v>
      </c>
      <c r="S1361" s="213" t="s">
        <v>192</v>
      </c>
      <c r="T1361" s="212">
        <f>VLOOKUP(A1361,'Groupe de branches'!$Z$27:$AM$86,14,FALSE)</f>
        <v>0</v>
      </c>
      <c r="U1361" s="212">
        <f>VLOOKUP(D1361,'Groupe de branches'!$Z$27:$AM$86,14,FALSE)</f>
        <v>0</v>
      </c>
      <c r="V1361" s="212">
        <v>2019</v>
      </c>
      <c r="W1361" s="212" t="str">
        <f>VLOOKUP(D1361,'Table corresp.'!$M$4:$S$63,7,FALSE)</f>
        <v>Consommation finale</v>
      </c>
      <c r="X1361" s="228">
        <f>IFERROR(G1361/SUMIFS('Comp2016-2017 (3)'!$I$5:$I$289,'Comp2016-2017 (3)'!$A$5:$A$289,A1361,'Comp2016-2017 (3)'!$R$5:$R$289,V1361),0)</f>
        <v>6.8892254519770144E-2</v>
      </c>
      <c r="Y1361" s="214" t="e">
        <f>IF(RIGHT(F1361,3)="Exp",VLOOKUP(F1361,#REF!,2,FALSE),VLOOKUP(F1361,#REF!,9,FALSE))</f>
        <v>#REF!</v>
      </c>
      <c r="Z1361" s="225" t="str">
        <f t="shared" si="163"/>
        <v/>
      </c>
      <c r="AA1361" s="225" t="e">
        <f t="shared" si="158"/>
        <v>#VALUE!</v>
      </c>
      <c r="AB1361" s="222">
        <f>IFERROR(SUMIFS('Comp2016-2017 (3)'!$G$5:$G$289,'Comp2016-2017 (3)'!$A$5:$A$289,A1361,'Comp2016-2017 (3)'!$R$5:$R$289,V1361)*AA1361/SUMIFS($AA$4:$AA$1858,$A$4:$A$1858,A1361,$V$4:$V$1858,V1361),0)</f>
        <v>0</v>
      </c>
      <c r="AC1361" s="222" t="str">
        <f>IF($W1361=AC$3,$AB1361,IF(NOT($W1361=0),"",SUMIFS('Val-Vol (2)'!AC$4:AC$1858,'Val-Vol (2)'!$A$4:$A$1858,$D1361,'Val-Vol (2)'!$V$4:$V$1858,$V1361)/SUMIFS('Comp2016-2017 (3)'!$G$5:$G$289,'Comp2016-2017 (3)'!$A$5:$A$289,$D1361,'Comp2016-2017 (3)'!$R$5:$R$289,$V1361)*$AB1361))</f>
        <v/>
      </c>
      <c r="AD1361" s="222" t="str">
        <f>IF($W1361=AD$3,$AB1361,IF(NOT($W1361=0),"",SUMIFS('Val-Vol (2)'!AD$4:AD$1858,'Val-Vol (2)'!$A$4:$A$1858,$D1361,'Val-Vol (2)'!$V$4:$V$1858,$V1361)/SUMIFS('Comp2016-2017 (3)'!$G$5:$G$289,'Comp2016-2017 (3)'!$A$5:$A$289,$D1361,'Comp2016-2017 (3)'!$R$5:$R$289,$V1361)*$AB1361))</f>
        <v/>
      </c>
      <c r="AE1361" s="222" t="str">
        <f>IF($W1361=AE$3,$AB1361,IF(NOT($W1361=0),"",SUMIFS('Val-Vol (2)'!AE$4:AE$1858,'Val-Vol (2)'!$A$4:$A$1858,$D1361,'Val-Vol (2)'!$V$4:$V$1858,$V1361)/SUMIFS('Comp2016-2017 (3)'!$G$5:$G$289,'Comp2016-2017 (3)'!$A$5:$A$289,$D1361,'Comp2016-2017 (3)'!$R$5:$R$289,$V1361)*$AB1361))</f>
        <v/>
      </c>
      <c r="AF1361" s="222" t="str">
        <f>IF($W1361=AF$3,$AB1361,IF(NOT($W1361=0),"",SUMIFS('Val-Vol (2)'!AF$4:AF$1858,'Val-Vol (2)'!$A$4:$A$1858,$D1361,'Val-Vol (2)'!$V$4:$V$1858,$V1361)/SUMIFS('Comp2016-2017 (3)'!$G$5:$G$289,'Comp2016-2017 (3)'!$A$5:$A$289,$D1361,'Comp2016-2017 (3)'!$R$5:$R$289,$V1361)*$AB1361))</f>
        <v/>
      </c>
      <c r="AG1361" s="222" t="str">
        <f>IF($W1361=AG$3,$AB1361,IF(NOT($W1361=0),"",SUMIFS('Val-Vol (2)'!AG$4:AG$1858,'Val-Vol (2)'!$A$4:$A$1858,$D1361,'Val-Vol (2)'!$V$4:$V$1858,$V1361)/SUMIFS('Comp2016-2017 (3)'!$G$5:$G$289,'Comp2016-2017 (3)'!$A$5:$A$289,$D1361,'Comp2016-2017 (3)'!$R$5:$R$289,$V1361)*$AB1361))</f>
        <v/>
      </c>
      <c r="AH1361" s="222" t="str">
        <f>IF($W1361=AH$3,$AB1361,IF(NOT($W1361=0),"",SUMIFS('Val-Vol (2)'!AH$4:AH$1858,'Val-Vol (2)'!$A$4:$A$1858,$D1361,'Val-Vol (2)'!$V$4:$V$1858,$V1361)/SUMIFS('Comp2016-2017 (3)'!$G$5:$G$289,'Comp2016-2017 (3)'!$A$5:$A$289,$D1361,'Comp2016-2017 (3)'!$R$5:$R$289,$V1361)*$AB1361))</f>
        <v/>
      </c>
      <c r="AI1361" s="222" t="str">
        <f>IF($W1361=AI$3,$AB1361,IF(NOT($W1361=0),"",SUMIFS('Val-Vol (2)'!AI$4:AI$1858,'Val-Vol (2)'!$A$4:$A$1858,$D1361,'Val-Vol (2)'!$V$4:$V$1858,$V1361)/SUMIFS('Comp2016-2017 (3)'!$G$5:$G$289,'Comp2016-2017 (3)'!$A$5:$A$289,$D1361,'Comp2016-2017 (3)'!$R$5:$R$289,$V1361)*$AB1361))</f>
        <v/>
      </c>
      <c r="AJ1361" s="222">
        <f>IF($W1361=AJ$3,$AB1361,IF(NOT($W1361=0),"",SUMIFS('Val-Vol (2)'!AJ$4:AJ$1858,'Val-Vol (2)'!$A$4:$A$1858,$D1361,'Val-Vol (2)'!$V$4:$V$1858,$V1361)/SUMIFS('Comp2016-2017 (3)'!$G$5:$G$289,'Comp2016-2017 (3)'!$A$5:$A$289,$D1361,'Comp2016-2017 (3)'!$R$5:$R$289,$V1361)*$AB1361))</f>
        <v>0</v>
      </c>
      <c r="AK1361" s="222">
        <f t="shared" si="159"/>
        <v>0</v>
      </c>
      <c r="AL1361" s="212" t="str">
        <f t="shared" si="160"/>
        <v/>
      </c>
      <c r="AM1361" s="212" t="str">
        <f>VLOOKUP(A1361,'Table corresp.'!$M$4:$U$63,8,FALSE)</f>
        <v>Production finale</v>
      </c>
      <c r="AN1361" s="212" t="str">
        <f>VLOOKUP(D1361,'Table corresp.'!$M$4:$U$63,9,FALSE)</f>
        <v>Consommation finale française</v>
      </c>
    </row>
    <row r="1362" spans="1:40" x14ac:dyDescent="0.25">
      <c r="A1362" t="s">
        <v>15</v>
      </c>
      <c r="B1362" t="str">
        <f>VLOOKUP(LEFT(A1362,3),'Table corresp.'!$A$4:$D$63,3,FALSE)</f>
        <v>Transformation</v>
      </c>
      <c r="C1362" t="str">
        <f>VLOOKUP(A1362,'Table corresp.'!$M$4:$P$63,4,FALSE)</f>
        <v>Production et transformation de produits bois</v>
      </c>
      <c r="D1362" t="s">
        <v>53</v>
      </c>
      <c r="E1362" t="str">
        <f>VLOOKUP(LEFT(D1362,3),'Table corresp.'!$A$4:$D$63,4,FALSE)</f>
        <v>Exportation</v>
      </c>
      <c r="F1362" t="str">
        <f t="shared" si="162"/>
        <v>35  - Exp</v>
      </c>
      <c r="G1362" s="213">
        <v>5347.99</v>
      </c>
      <c r="H1362" s="213">
        <v>0</v>
      </c>
      <c r="I1362" s="213">
        <v>5347.99</v>
      </c>
      <c r="J1362" s="215">
        <v>3.7343041636516903</v>
      </c>
      <c r="K1362" s="215">
        <v>0</v>
      </c>
      <c r="L1362" s="215">
        <v>3.7343041636516903</v>
      </c>
      <c r="M1362" s="215">
        <v>0.15101743754103708</v>
      </c>
      <c r="N1362" s="215">
        <v>0</v>
      </c>
      <c r="O1362" s="215">
        <v>0.15101743754103708</v>
      </c>
      <c r="P1362" s="215">
        <v>6.5964668386998396E-2</v>
      </c>
      <c r="Q1362" s="215">
        <v>0</v>
      </c>
      <c r="R1362" s="215">
        <v>6.5964668386998396E-2</v>
      </c>
      <c r="S1362" s="213"/>
      <c r="T1362" s="212">
        <f>VLOOKUP(A1362,'Groupe de branches'!$Z$27:$AM$86,14,FALSE)</f>
        <v>0</v>
      </c>
      <c r="U1362" s="212">
        <f>VLOOKUP(D1362,'Groupe de branches'!$Z$27:$AM$86,14,FALSE)</f>
        <v>0</v>
      </c>
      <c r="V1362" s="212">
        <v>2019</v>
      </c>
      <c r="W1362" s="212" t="str">
        <f>VLOOKUP(D1362,'Table corresp.'!$M$4:$S$63,7,FALSE)</f>
        <v>Exportation</v>
      </c>
      <c r="X1362" s="228">
        <f>IFERROR(G1362/SUMIFS('Comp2016-2017 (3)'!$I$5:$I$289,'Comp2016-2017 (3)'!$A$5:$A$289,A1362,'Comp2016-2017 (3)'!$R$5:$R$289,V1362),0)</f>
        <v>8.2780439579482664E-3</v>
      </c>
      <c r="Y1362" s="214" t="e">
        <f>IF(RIGHT(F1362,3)="Exp",VLOOKUP(F1362,#REF!,2,FALSE),VLOOKUP(F1362,#REF!,9,FALSE))</f>
        <v>#REF!</v>
      </c>
      <c r="Z1362" s="225" t="str">
        <f t="shared" si="163"/>
        <v/>
      </c>
      <c r="AA1362" s="225" t="e">
        <f t="shared" si="158"/>
        <v>#VALUE!</v>
      </c>
      <c r="AB1362" s="222">
        <f>IFERROR(SUMIFS('Comp2016-2017 (3)'!$G$5:$G$289,'Comp2016-2017 (3)'!$A$5:$A$289,A1362,'Comp2016-2017 (3)'!$R$5:$R$289,V1362)*AA1362/SUMIFS($AA$4:$AA$1858,$A$4:$A$1858,A1362,$V$4:$V$1858,V1362),0)</f>
        <v>0</v>
      </c>
      <c r="AC1362" s="222">
        <f>IF($W1362=AC$3,$AB1362,IF(NOT($W1362=0),"",SUMIFS('Val-Vol (2)'!AC$4:AC$1858,'Val-Vol (2)'!$A$4:$A$1858,$D1362,'Val-Vol (2)'!$V$4:$V$1858,$V1362)/SUMIFS('Comp2016-2017 (3)'!$G$5:$G$289,'Comp2016-2017 (3)'!$A$5:$A$289,$D1362,'Comp2016-2017 (3)'!$R$5:$R$289,$V1362)*$AB1362))</f>
        <v>0</v>
      </c>
      <c r="AD1362" s="222" t="str">
        <f>IF($W1362=AD$3,$AB1362,IF(NOT($W1362=0),"",SUMIFS('Val-Vol (2)'!AD$4:AD$1858,'Val-Vol (2)'!$A$4:$A$1858,$D1362,'Val-Vol (2)'!$V$4:$V$1858,$V1362)/SUMIFS('Comp2016-2017 (3)'!$G$5:$G$289,'Comp2016-2017 (3)'!$A$5:$A$289,$D1362,'Comp2016-2017 (3)'!$R$5:$R$289,$V1362)*$AB1362))</f>
        <v/>
      </c>
      <c r="AE1362" s="222" t="str">
        <f>IF($W1362=AE$3,$AB1362,IF(NOT($W1362=0),"",SUMIFS('Val-Vol (2)'!AE$4:AE$1858,'Val-Vol (2)'!$A$4:$A$1858,$D1362,'Val-Vol (2)'!$V$4:$V$1858,$V1362)/SUMIFS('Comp2016-2017 (3)'!$G$5:$G$289,'Comp2016-2017 (3)'!$A$5:$A$289,$D1362,'Comp2016-2017 (3)'!$R$5:$R$289,$V1362)*$AB1362))</f>
        <v/>
      </c>
      <c r="AF1362" s="222" t="str">
        <f>IF($W1362=AF$3,$AB1362,IF(NOT($W1362=0),"",SUMIFS('Val-Vol (2)'!AF$4:AF$1858,'Val-Vol (2)'!$A$4:$A$1858,$D1362,'Val-Vol (2)'!$V$4:$V$1858,$V1362)/SUMIFS('Comp2016-2017 (3)'!$G$5:$G$289,'Comp2016-2017 (3)'!$A$5:$A$289,$D1362,'Comp2016-2017 (3)'!$R$5:$R$289,$V1362)*$AB1362))</f>
        <v/>
      </c>
      <c r="AG1362" s="222" t="str">
        <f>IF($W1362=AG$3,$AB1362,IF(NOT($W1362=0),"",SUMIFS('Val-Vol (2)'!AG$4:AG$1858,'Val-Vol (2)'!$A$4:$A$1858,$D1362,'Val-Vol (2)'!$V$4:$V$1858,$V1362)/SUMIFS('Comp2016-2017 (3)'!$G$5:$G$289,'Comp2016-2017 (3)'!$A$5:$A$289,$D1362,'Comp2016-2017 (3)'!$R$5:$R$289,$V1362)*$AB1362))</f>
        <v/>
      </c>
      <c r="AH1362" s="222" t="str">
        <f>IF($W1362=AH$3,$AB1362,IF(NOT($W1362=0),"",SUMIFS('Val-Vol (2)'!AH$4:AH$1858,'Val-Vol (2)'!$A$4:$A$1858,$D1362,'Val-Vol (2)'!$V$4:$V$1858,$V1362)/SUMIFS('Comp2016-2017 (3)'!$G$5:$G$289,'Comp2016-2017 (3)'!$A$5:$A$289,$D1362,'Comp2016-2017 (3)'!$R$5:$R$289,$V1362)*$AB1362))</f>
        <v/>
      </c>
      <c r="AI1362" s="222" t="str">
        <f>IF($W1362=AI$3,$AB1362,IF(NOT($W1362=0),"",SUMIFS('Val-Vol (2)'!AI$4:AI$1858,'Val-Vol (2)'!$A$4:$A$1858,$D1362,'Val-Vol (2)'!$V$4:$V$1858,$V1362)/SUMIFS('Comp2016-2017 (3)'!$G$5:$G$289,'Comp2016-2017 (3)'!$A$5:$A$289,$D1362,'Comp2016-2017 (3)'!$R$5:$R$289,$V1362)*$AB1362))</f>
        <v/>
      </c>
      <c r="AJ1362" s="222" t="str">
        <f>IF($W1362=AJ$3,$AB1362,IF(NOT($W1362=0),"",SUMIFS('Val-Vol (2)'!AJ$4:AJ$1858,'Val-Vol (2)'!$A$4:$A$1858,$D1362,'Val-Vol (2)'!$V$4:$V$1858,$V1362)/SUMIFS('Comp2016-2017 (3)'!$G$5:$G$289,'Comp2016-2017 (3)'!$A$5:$A$289,$D1362,'Comp2016-2017 (3)'!$R$5:$R$289,$V1362)*$AB1362))</f>
        <v/>
      </c>
      <c r="AK1362" s="222">
        <f t="shared" si="159"/>
        <v>0</v>
      </c>
      <c r="AL1362" s="212" t="str">
        <f t="shared" si="160"/>
        <v/>
      </c>
      <c r="AM1362" s="212" t="str">
        <f>VLOOKUP(A1362,'Table corresp.'!$M$4:$U$63,8,FALSE)</f>
        <v>Production finale</v>
      </c>
      <c r="AN1362" s="212" t="str">
        <f>VLOOKUP(D1362,'Table corresp.'!$M$4:$U$63,9,FALSE)</f>
        <v>Exportation</v>
      </c>
    </row>
    <row r="1363" spans="1:40" x14ac:dyDescent="0.25">
      <c r="A1363" t="s">
        <v>16</v>
      </c>
      <c r="B1363" t="str">
        <f>VLOOKUP(LEFT(A1363,3),'Table corresp.'!$A$4:$D$63,3,FALSE)</f>
        <v>Transformation</v>
      </c>
      <c r="C1363" t="str">
        <f>VLOOKUP(A1363,'Table corresp.'!$M$4:$P$63,4,FALSE)</f>
        <v>Production et transformation de produits bois</v>
      </c>
      <c r="D1363" t="s">
        <v>21</v>
      </c>
      <c r="E1363" t="str">
        <f>VLOOKUP(LEFT(D1363,3),'Table corresp.'!$A$4:$D$63,4,FALSE)</f>
        <v>Transformation</v>
      </c>
      <c r="F1363" t="str">
        <f t="shared" si="162"/>
        <v xml:space="preserve">36  - 54 </v>
      </c>
      <c r="G1363" s="213">
        <v>120337.13824661539</v>
      </c>
      <c r="H1363" s="213">
        <v>40080.814030516951</v>
      </c>
      <c r="I1363" s="213">
        <v>160417.95227713234</v>
      </c>
      <c r="J1363" s="215">
        <v>56.851920800746512</v>
      </c>
      <c r="K1363" s="215">
        <v>20.347419375776965</v>
      </c>
      <c r="L1363" s="215">
        <v>77.199340176523478</v>
      </c>
      <c r="M1363" s="215">
        <v>37.614527924350284</v>
      </c>
      <c r="N1363" s="215">
        <v>13.462316901851782</v>
      </c>
      <c r="O1363" s="215">
        <v>51.076844826202063</v>
      </c>
      <c r="P1363" s="215">
        <v>15.253260400609129</v>
      </c>
      <c r="Q1363" s="215">
        <v>5.4591732671071043</v>
      </c>
      <c r="R1363" s="215">
        <v>20.712433667716233</v>
      </c>
      <c r="S1363" s="213" t="s">
        <v>192</v>
      </c>
      <c r="T1363" s="212">
        <f>VLOOKUP(A1363,'Groupe de branches'!$Z$27:$AM$86,14,FALSE)</f>
        <v>0</v>
      </c>
      <c r="U1363" s="212">
        <f>VLOOKUP(D1363,'Groupe de branches'!$Z$27:$AM$86,14,FALSE)</f>
        <v>0</v>
      </c>
      <c r="V1363" s="212">
        <v>2019</v>
      </c>
      <c r="W1363" s="212" t="str">
        <f>VLOOKUP(D1363,'Table corresp.'!$M$4:$S$63,7,FALSE)</f>
        <v>Construction</v>
      </c>
      <c r="X1363" s="228">
        <f>IFERROR(G1363/SUMIFS('Comp2016-2017 (3)'!$I$5:$I$289,'Comp2016-2017 (3)'!$A$5:$A$289,A1363,'Comp2016-2017 (3)'!$R$5:$R$289,V1363),0)</f>
        <v>0.20024684262380574</v>
      </c>
      <c r="Y1363" s="214" t="e">
        <f>IF(RIGHT(F1363,3)="Exp",VLOOKUP(F1363,#REF!,2,FALSE),VLOOKUP(F1363,#REF!,9,FALSE))</f>
        <v>#REF!</v>
      </c>
      <c r="Z1363" s="225" t="str">
        <f t="shared" si="163"/>
        <v/>
      </c>
      <c r="AA1363" s="225" t="e">
        <f t="shared" si="158"/>
        <v>#VALUE!</v>
      </c>
      <c r="AB1363" s="222">
        <f>IFERROR(SUMIFS('Comp2016-2017 (3)'!$G$5:$G$289,'Comp2016-2017 (3)'!$A$5:$A$289,A1363,'Comp2016-2017 (3)'!$R$5:$R$289,V1363)*AA1363/SUMIFS($AA$4:$AA$1858,$A$4:$A$1858,A1363,$V$4:$V$1858,V1363),0)</f>
        <v>0</v>
      </c>
      <c r="AC1363" s="222" t="str">
        <f>IF($W1363=AC$3,$AB1363,IF(NOT($W1363=0),"",SUMIFS('Val-Vol (2)'!AC$4:AC$1858,'Val-Vol (2)'!$A$4:$A$1858,$D1363,'Val-Vol (2)'!$V$4:$V$1858,$V1363)/SUMIFS('Comp2016-2017 (3)'!$G$5:$G$289,'Comp2016-2017 (3)'!$A$5:$A$289,$D1363,'Comp2016-2017 (3)'!$R$5:$R$289,$V1363)*$AB1363))</f>
        <v/>
      </c>
      <c r="AD1363" s="222">
        <f>IF($W1363=AD$3,$AB1363,IF(NOT($W1363=0),"",SUMIFS('Val-Vol (2)'!AD$4:AD$1858,'Val-Vol (2)'!$A$4:$A$1858,$D1363,'Val-Vol (2)'!$V$4:$V$1858,$V1363)/SUMIFS('Comp2016-2017 (3)'!$G$5:$G$289,'Comp2016-2017 (3)'!$A$5:$A$289,$D1363,'Comp2016-2017 (3)'!$R$5:$R$289,$V1363)*$AB1363))</f>
        <v>0</v>
      </c>
      <c r="AE1363" s="222" t="str">
        <f>IF($W1363=AE$3,$AB1363,IF(NOT($W1363=0),"",SUMIFS('Val-Vol (2)'!AE$4:AE$1858,'Val-Vol (2)'!$A$4:$A$1858,$D1363,'Val-Vol (2)'!$V$4:$V$1858,$V1363)/SUMIFS('Comp2016-2017 (3)'!$G$5:$G$289,'Comp2016-2017 (3)'!$A$5:$A$289,$D1363,'Comp2016-2017 (3)'!$R$5:$R$289,$V1363)*$AB1363))</f>
        <v/>
      </c>
      <c r="AF1363" s="222" t="str">
        <f>IF($W1363=AF$3,$AB1363,IF(NOT($W1363=0),"",SUMIFS('Val-Vol (2)'!AF$4:AF$1858,'Val-Vol (2)'!$A$4:$A$1858,$D1363,'Val-Vol (2)'!$V$4:$V$1858,$V1363)/SUMIFS('Comp2016-2017 (3)'!$G$5:$G$289,'Comp2016-2017 (3)'!$A$5:$A$289,$D1363,'Comp2016-2017 (3)'!$R$5:$R$289,$V1363)*$AB1363))</f>
        <v/>
      </c>
      <c r="AG1363" s="222" t="str">
        <f>IF($W1363=AG$3,$AB1363,IF(NOT($W1363=0),"",SUMIFS('Val-Vol (2)'!AG$4:AG$1858,'Val-Vol (2)'!$A$4:$A$1858,$D1363,'Val-Vol (2)'!$V$4:$V$1858,$V1363)/SUMIFS('Comp2016-2017 (3)'!$G$5:$G$289,'Comp2016-2017 (3)'!$A$5:$A$289,$D1363,'Comp2016-2017 (3)'!$R$5:$R$289,$V1363)*$AB1363))</f>
        <v/>
      </c>
      <c r="AH1363" s="222" t="str">
        <f>IF($W1363=AH$3,$AB1363,IF(NOT($W1363=0),"",SUMIFS('Val-Vol (2)'!AH$4:AH$1858,'Val-Vol (2)'!$A$4:$A$1858,$D1363,'Val-Vol (2)'!$V$4:$V$1858,$V1363)/SUMIFS('Comp2016-2017 (3)'!$G$5:$G$289,'Comp2016-2017 (3)'!$A$5:$A$289,$D1363,'Comp2016-2017 (3)'!$R$5:$R$289,$V1363)*$AB1363))</f>
        <v/>
      </c>
      <c r="AI1363" s="222" t="str">
        <f>IF($W1363=AI$3,$AB1363,IF(NOT($W1363=0),"",SUMIFS('Val-Vol (2)'!AI$4:AI$1858,'Val-Vol (2)'!$A$4:$A$1858,$D1363,'Val-Vol (2)'!$V$4:$V$1858,$V1363)/SUMIFS('Comp2016-2017 (3)'!$G$5:$G$289,'Comp2016-2017 (3)'!$A$5:$A$289,$D1363,'Comp2016-2017 (3)'!$R$5:$R$289,$V1363)*$AB1363))</f>
        <v/>
      </c>
      <c r="AJ1363" s="222" t="str">
        <f>IF($W1363=AJ$3,$AB1363,IF(NOT($W1363=0),"",SUMIFS('Val-Vol (2)'!AJ$4:AJ$1858,'Val-Vol (2)'!$A$4:$A$1858,$D1363,'Val-Vol (2)'!$V$4:$V$1858,$V1363)/SUMIFS('Comp2016-2017 (3)'!$G$5:$G$289,'Comp2016-2017 (3)'!$A$5:$A$289,$D1363,'Comp2016-2017 (3)'!$R$5:$R$289,$V1363)*$AB1363))</f>
        <v/>
      </c>
      <c r="AK1363" s="222">
        <f t="shared" si="159"/>
        <v>0</v>
      </c>
      <c r="AL1363" s="212" t="str">
        <f t="shared" si="160"/>
        <v/>
      </c>
      <c r="AM1363" s="212" t="str">
        <f>VLOOKUP(A1363,'Table corresp.'!$M$4:$U$63,8,FALSE)</f>
        <v>Production finale</v>
      </c>
      <c r="AN1363" s="212" t="str">
        <f>VLOOKUP(D1363,'Table corresp.'!$M$4:$U$63,9,FALSE)</f>
        <v xml:space="preserve">Mise en œuvre </v>
      </c>
    </row>
    <row r="1364" spans="1:40" x14ac:dyDescent="0.25">
      <c r="A1364" t="s">
        <v>16</v>
      </c>
      <c r="B1364" t="str">
        <f>VLOOKUP(LEFT(A1364,3),'Table corresp.'!$A$4:$D$63,3,FALSE)</f>
        <v>Transformation</v>
      </c>
      <c r="C1364" t="str">
        <f>VLOOKUP(A1364,'Table corresp.'!$M$4:$P$63,4,FALSE)</f>
        <v>Production et transformation de produits bois</v>
      </c>
      <c r="D1364" t="s">
        <v>22</v>
      </c>
      <c r="E1364" t="str">
        <f>VLOOKUP(LEFT(D1364,3),'Table corresp.'!$A$4:$D$63,4,FALSE)</f>
        <v>Transformation</v>
      </c>
      <c r="F1364" t="str">
        <f t="shared" si="162"/>
        <v xml:space="preserve">36  - 55 </v>
      </c>
      <c r="G1364" s="213">
        <v>307343.21308678616</v>
      </c>
      <c r="H1364" s="213">
        <v>21469.668078338993</v>
      </c>
      <c r="I1364" s="213">
        <v>328812.88116512512</v>
      </c>
      <c r="J1364" s="215">
        <v>119.57715176226975</v>
      </c>
      <c r="K1364" s="215">
        <v>9.0827401009554087</v>
      </c>
      <c r="L1364" s="215">
        <v>128.65989186322517</v>
      </c>
      <c r="M1364" s="215">
        <v>79.11497185539433</v>
      </c>
      <c r="N1364" s="215">
        <v>6.0093480808570545</v>
      </c>
      <c r="O1364" s="215">
        <v>85.124319936251382</v>
      </c>
      <c r="P1364" s="215">
        <v>32.082318558515745</v>
      </c>
      <c r="Q1364" s="215">
        <v>2.4368816032880374</v>
      </c>
      <c r="R1364" s="215">
        <v>34.519200161803781</v>
      </c>
      <c r="S1364" s="213" t="s">
        <v>192</v>
      </c>
      <c r="T1364" s="212">
        <f>VLOOKUP(A1364,'Groupe de branches'!$Z$27:$AM$86,14,FALSE)</f>
        <v>0</v>
      </c>
      <c r="U1364" s="212">
        <f>VLOOKUP(D1364,'Groupe de branches'!$Z$27:$AM$86,14,FALSE)</f>
        <v>0</v>
      </c>
      <c r="V1364" s="212">
        <v>2019</v>
      </c>
      <c r="W1364" s="212" t="str">
        <f>VLOOKUP(D1364,'Table corresp.'!$M$4:$S$63,7,FALSE)</f>
        <v>Construction</v>
      </c>
      <c r="X1364" s="228">
        <f>IFERROR(G1364/SUMIFS('Comp2016-2017 (3)'!$I$5:$I$289,'Comp2016-2017 (3)'!$A$5:$A$289,A1364,'Comp2016-2017 (3)'!$R$5:$R$289,V1364),0)</f>
        <v>0.51143403374240926</v>
      </c>
      <c r="Y1364" s="214" t="e">
        <f>IF(RIGHT(F1364,3)="Exp",VLOOKUP(F1364,#REF!,2,FALSE),VLOOKUP(F1364,#REF!,9,FALSE))</f>
        <v>#REF!</v>
      </c>
      <c r="Z1364" s="225" t="str">
        <f t="shared" si="163"/>
        <v/>
      </c>
      <c r="AA1364" s="225" t="e">
        <f t="shared" si="158"/>
        <v>#VALUE!</v>
      </c>
      <c r="AB1364" s="222">
        <f>IFERROR(SUMIFS('Comp2016-2017 (3)'!$G$5:$G$289,'Comp2016-2017 (3)'!$A$5:$A$289,A1364,'Comp2016-2017 (3)'!$R$5:$R$289,V1364)*AA1364/SUMIFS($AA$4:$AA$1858,$A$4:$A$1858,A1364,$V$4:$V$1858,V1364),0)</f>
        <v>0</v>
      </c>
      <c r="AC1364" s="222" t="str">
        <f>IF($W1364=AC$3,$AB1364,IF(NOT($W1364=0),"",SUMIFS('Val-Vol (2)'!AC$4:AC$1858,'Val-Vol (2)'!$A$4:$A$1858,$D1364,'Val-Vol (2)'!$V$4:$V$1858,$V1364)/SUMIFS('Comp2016-2017 (3)'!$G$5:$G$289,'Comp2016-2017 (3)'!$A$5:$A$289,$D1364,'Comp2016-2017 (3)'!$R$5:$R$289,$V1364)*$AB1364))</f>
        <v/>
      </c>
      <c r="AD1364" s="222">
        <f>IF($W1364=AD$3,$AB1364,IF(NOT($W1364=0),"",SUMIFS('Val-Vol (2)'!AD$4:AD$1858,'Val-Vol (2)'!$A$4:$A$1858,$D1364,'Val-Vol (2)'!$V$4:$V$1858,$V1364)/SUMIFS('Comp2016-2017 (3)'!$G$5:$G$289,'Comp2016-2017 (3)'!$A$5:$A$289,$D1364,'Comp2016-2017 (3)'!$R$5:$R$289,$V1364)*$AB1364))</f>
        <v>0</v>
      </c>
      <c r="AE1364" s="222" t="str">
        <f>IF($W1364=AE$3,$AB1364,IF(NOT($W1364=0),"",SUMIFS('Val-Vol (2)'!AE$4:AE$1858,'Val-Vol (2)'!$A$4:$A$1858,$D1364,'Val-Vol (2)'!$V$4:$V$1858,$V1364)/SUMIFS('Comp2016-2017 (3)'!$G$5:$G$289,'Comp2016-2017 (3)'!$A$5:$A$289,$D1364,'Comp2016-2017 (3)'!$R$5:$R$289,$V1364)*$AB1364))</f>
        <v/>
      </c>
      <c r="AF1364" s="222" t="str">
        <f>IF($W1364=AF$3,$AB1364,IF(NOT($W1364=0),"",SUMIFS('Val-Vol (2)'!AF$4:AF$1858,'Val-Vol (2)'!$A$4:$A$1858,$D1364,'Val-Vol (2)'!$V$4:$V$1858,$V1364)/SUMIFS('Comp2016-2017 (3)'!$G$5:$G$289,'Comp2016-2017 (3)'!$A$5:$A$289,$D1364,'Comp2016-2017 (3)'!$R$5:$R$289,$V1364)*$AB1364))</f>
        <v/>
      </c>
      <c r="AG1364" s="222" t="str">
        <f>IF($W1364=AG$3,$AB1364,IF(NOT($W1364=0),"",SUMIFS('Val-Vol (2)'!AG$4:AG$1858,'Val-Vol (2)'!$A$4:$A$1858,$D1364,'Val-Vol (2)'!$V$4:$V$1858,$V1364)/SUMIFS('Comp2016-2017 (3)'!$G$5:$G$289,'Comp2016-2017 (3)'!$A$5:$A$289,$D1364,'Comp2016-2017 (3)'!$R$5:$R$289,$V1364)*$AB1364))</f>
        <v/>
      </c>
      <c r="AH1364" s="222" t="str">
        <f>IF($W1364=AH$3,$AB1364,IF(NOT($W1364=0),"",SUMIFS('Val-Vol (2)'!AH$4:AH$1858,'Val-Vol (2)'!$A$4:$A$1858,$D1364,'Val-Vol (2)'!$V$4:$V$1858,$V1364)/SUMIFS('Comp2016-2017 (3)'!$G$5:$G$289,'Comp2016-2017 (3)'!$A$5:$A$289,$D1364,'Comp2016-2017 (3)'!$R$5:$R$289,$V1364)*$AB1364))</f>
        <v/>
      </c>
      <c r="AI1364" s="222" t="str">
        <f>IF($W1364=AI$3,$AB1364,IF(NOT($W1364=0),"",SUMIFS('Val-Vol (2)'!AI$4:AI$1858,'Val-Vol (2)'!$A$4:$A$1858,$D1364,'Val-Vol (2)'!$V$4:$V$1858,$V1364)/SUMIFS('Comp2016-2017 (3)'!$G$5:$G$289,'Comp2016-2017 (3)'!$A$5:$A$289,$D1364,'Comp2016-2017 (3)'!$R$5:$R$289,$V1364)*$AB1364))</f>
        <v/>
      </c>
      <c r="AJ1364" s="222" t="str">
        <f>IF($W1364=AJ$3,$AB1364,IF(NOT($W1364=0),"",SUMIFS('Val-Vol (2)'!AJ$4:AJ$1858,'Val-Vol (2)'!$A$4:$A$1858,$D1364,'Val-Vol (2)'!$V$4:$V$1858,$V1364)/SUMIFS('Comp2016-2017 (3)'!$G$5:$G$289,'Comp2016-2017 (3)'!$A$5:$A$289,$D1364,'Comp2016-2017 (3)'!$R$5:$R$289,$V1364)*$AB1364))</f>
        <v/>
      </c>
      <c r="AK1364" s="222">
        <f t="shared" si="159"/>
        <v>0</v>
      </c>
      <c r="AL1364" s="212" t="str">
        <f t="shared" si="160"/>
        <v/>
      </c>
      <c r="AM1364" s="212" t="str">
        <f>VLOOKUP(A1364,'Table corresp.'!$M$4:$U$63,8,FALSE)</f>
        <v>Production finale</v>
      </c>
      <c r="AN1364" s="212" t="str">
        <f>VLOOKUP(D1364,'Table corresp.'!$M$4:$U$63,9,FALSE)</f>
        <v xml:space="preserve">Mise en œuvre </v>
      </c>
    </row>
    <row r="1365" spans="1:40" x14ac:dyDescent="0.25">
      <c r="A1365" t="s">
        <v>16</v>
      </c>
      <c r="B1365" t="str">
        <f>VLOOKUP(LEFT(A1365,3),'Table corresp.'!$A$4:$D$63,3,FALSE)</f>
        <v>Transformation</v>
      </c>
      <c r="C1365" t="str">
        <f>VLOOKUP(A1365,'Table corresp.'!$M$4:$P$63,4,FALSE)</f>
        <v>Production et transformation de produits bois</v>
      </c>
      <c r="D1365" t="s">
        <v>54</v>
      </c>
      <c r="E1365" t="str">
        <f>VLOOKUP(LEFT(D1365,3),'Table corresp.'!$A$4:$D$63,4,FALSE)</f>
        <v>Consommation finale</v>
      </c>
      <c r="F1365" t="str">
        <f t="shared" si="162"/>
        <v>36  - Con</v>
      </c>
      <c r="G1365" s="213">
        <v>140387.19422927705</v>
      </c>
      <c r="H1365" s="213">
        <v>36005.005891144043</v>
      </c>
      <c r="I1365" s="213">
        <v>176392.2001204211</v>
      </c>
      <c r="J1365" s="215">
        <v>102.51561302408651</v>
      </c>
      <c r="K1365" s="215">
        <v>23.30482650050978</v>
      </c>
      <c r="L1365" s="215">
        <v>125.82043952459628</v>
      </c>
      <c r="M1365" s="215">
        <v>67.826668553400154</v>
      </c>
      <c r="N1365" s="215">
        <v>15.419004931211632</v>
      </c>
      <c r="O1365" s="215">
        <v>83.245673484611785</v>
      </c>
      <c r="P1365" s="215">
        <v>27.504740711661857</v>
      </c>
      <c r="Q1365" s="215">
        <v>6.252639879119517</v>
      </c>
      <c r="R1365" s="215">
        <v>33.757380590781374</v>
      </c>
      <c r="S1365" s="213" t="s">
        <v>192</v>
      </c>
      <c r="T1365" s="212">
        <f>VLOOKUP(A1365,'Groupe de branches'!$Z$27:$AM$86,14,FALSE)</f>
        <v>0</v>
      </c>
      <c r="U1365" s="212">
        <f>VLOOKUP(D1365,'Groupe de branches'!$Z$27:$AM$86,14,FALSE)</f>
        <v>0</v>
      </c>
      <c r="V1365" s="212">
        <v>2019</v>
      </c>
      <c r="W1365" s="212" t="str">
        <f>VLOOKUP(D1365,'Table corresp.'!$M$4:$S$63,7,FALSE)</f>
        <v>Consommation finale</v>
      </c>
      <c r="X1365" s="228">
        <f>IFERROR(G1365/SUMIFS('Comp2016-2017 (3)'!$I$5:$I$289,'Comp2016-2017 (3)'!$A$5:$A$289,A1365,'Comp2016-2017 (3)'!$R$5:$R$289,V1365),0)</f>
        <v>0.23361110957795586</v>
      </c>
      <c r="Y1365" s="214" t="e">
        <f>IF(RIGHT(F1365,3)="Exp",VLOOKUP(F1365,#REF!,2,FALSE),VLOOKUP(F1365,#REF!,9,FALSE))</f>
        <v>#REF!</v>
      </c>
      <c r="Z1365" s="225" t="str">
        <f t="shared" si="163"/>
        <v/>
      </c>
      <c r="AA1365" s="225" t="e">
        <f t="shared" si="158"/>
        <v>#VALUE!</v>
      </c>
      <c r="AB1365" s="222">
        <f>IFERROR(SUMIFS('Comp2016-2017 (3)'!$G$5:$G$289,'Comp2016-2017 (3)'!$A$5:$A$289,A1365,'Comp2016-2017 (3)'!$R$5:$R$289,V1365)*AA1365/SUMIFS($AA$4:$AA$1858,$A$4:$A$1858,A1365,$V$4:$V$1858,V1365),0)</f>
        <v>0</v>
      </c>
      <c r="AC1365" s="222" t="str">
        <f>IF($W1365=AC$3,$AB1365,IF(NOT($W1365=0),"",SUMIFS('Val-Vol (2)'!AC$4:AC$1858,'Val-Vol (2)'!$A$4:$A$1858,$D1365,'Val-Vol (2)'!$V$4:$V$1858,$V1365)/SUMIFS('Comp2016-2017 (3)'!$G$5:$G$289,'Comp2016-2017 (3)'!$A$5:$A$289,$D1365,'Comp2016-2017 (3)'!$R$5:$R$289,$V1365)*$AB1365))</f>
        <v/>
      </c>
      <c r="AD1365" s="222" t="str">
        <f>IF($W1365=AD$3,$AB1365,IF(NOT($W1365=0),"",SUMIFS('Val-Vol (2)'!AD$4:AD$1858,'Val-Vol (2)'!$A$4:$A$1858,$D1365,'Val-Vol (2)'!$V$4:$V$1858,$V1365)/SUMIFS('Comp2016-2017 (3)'!$G$5:$G$289,'Comp2016-2017 (3)'!$A$5:$A$289,$D1365,'Comp2016-2017 (3)'!$R$5:$R$289,$V1365)*$AB1365))</f>
        <v/>
      </c>
      <c r="AE1365" s="222" t="str">
        <f>IF($W1365=AE$3,$AB1365,IF(NOT($W1365=0),"",SUMIFS('Val-Vol (2)'!AE$4:AE$1858,'Val-Vol (2)'!$A$4:$A$1858,$D1365,'Val-Vol (2)'!$V$4:$V$1858,$V1365)/SUMIFS('Comp2016-2017 (3)'!$G$5:$G$289,'Comp2016-2017 (3)'!$A$5:$A$289,$D1365,'Comp2016-2017 (3)'!$R$5:$R$289,$V1365)*$AB1365))</f>
        <v/>
      </c>
      <c r="AF1365" s="222" t="str">
        <f>IF($W1365=AF$3,$AB1365,IF(NOT($W1365=0),"",SUMIFS('Val-Vol (2)'!AF$4:AF$1858,'Val-Vol (2)'!$A$4:$A$1858,$D1365,'Val-Vol (2)'!$V$4:$V$1858,$V1365)/SUMIFS('Comp2016-2017 (3)'!$G$5:$G$289,'Comp2016-2017 (3)'!$A$5:$A$289,$D1365,'Comp2016-2017 (3)'!$R$5:$R$289,$V1365)*$AB1365))</f>
        <v/>
      </c>
      <c r="AG1365" s="222" t="str">
        <f>IF($W1365=AG$3,$AB1365,IF(NOT($W1365=0),"",SUMIFS('Val-Vol (2)'!AG$4:AG$1858,'Val-Vol (2)'!$A$4:$A$1858,$D1365,'Val-Vol (2)'!$V$4:$V$1858,$V1365)/SUMIFS('Comp2016-2017 (3)'!$G$5:$G$289,'Comp2016-2017 (3)'!$A$5:$A$289,$D1365,'Comp2016-2017 (3)'!$R$5:$R$289,$V1365)*$AB1365))</f>
        <v/>
      </c>
      <c r="AH1365" s="222" t="str">
        <f>IF($W1365=AH$3,$AB1365,IF(NOT($W1365=0),"",SUMIFS('Val-Vol (2)'!AH$4:AH$1858,'Val-Vol (2)'!$A$4:$A$1858,$D1365,'Val-Vol (2)'!$V$4:$V$1858,$V1365)/SUMIFS('Comp2016-2017 (3)'!$G$5:$G$289,'Comp2016-2017 (3)'!$A$5:$A$289,$D1365,'Comp2016-2017 (3)'!$R$5:$R$289,$V1365)*$AB1365))</f>
        <v/>
      </c>
      <c r="AI1365" s="222" t="str">
        <f>IF($W1365=AI$3,$AB1365,IF(NOT($W1365=0),"",SUMIFS('Val-Vol (2)'!AI$4:AI$1858,'Val-Vol (2)'!$A$4:$A$1858,$D1365,'Val-Vol (2)'!$V$4:$V$1858,$V1365)/SUMIFS('Comp2016-2017 (3)'!$G$5:$G$289,'Comp2016-2017 (3)'!$A$5:$A$289,$D1365,'Comp2016-2017 (3)'!$R$5:$R$289,$V1365)*$AB1365))</f>
        <v/>
      </c>
      <c r="AJ1365" s="222">
        <f>IF($W1365=AJ$3,$AB1365,IF(NOT($W1365=0),"",SUMIFS('Val-Vol (2)'!AJ$4:AJ$1858,'Val-Vol (2)'!$A$4:$A$1858,$D1365,'Val-Vol (2)'!$V$4:$V$1858,$V1365)/SUMIFS('Comp2016-2017 (3)'!$G$5:$G$289,'Comp2016-2017 (3)'!$A$5:$A$289,$D1365,'Comp2016-2017 (3)'!$R$5:$R$289,$V1365)*$AB1365))</f>
        <v>0</v>
      </c>
      <c r="AK1365" s="222">
        <f t="shared" si="159"/>
        <v>0</v>
      </c>
      <c r="AL1365" s="212" t="str">
        <f t="shared" si="160"/>
        <v/>
      </c>
      <c r="AM1365" s="212" t="str">
        <f>VLOOKUP(A1365,'Table corresp.'!$M$4:$U$63,8,FALSE)</f>
        <v>Production finale</v>
      </c>
      <c r="AN1365" s="212" t="str">
        <f>VLOOKUP(D1365,'Table corresp.'!$M$4:$U$63,9,FALSE)</f>
        <v>Consommation finale française</v>
      </c>
    </row>
    <row r="1366" spans="1:40" x14ac:dyDescent="0.25">
      <c r="A1366" t="s">
        <v>16</v>
      </c>
      <c r="B1366" t="str">
        <f>VLOOKUP(LEFT(A1366,3),'Table corresp.'!$A$4:$D$63,3,FALSE)</f>
        <v>Transformation</v>
      </c>
      <c r="C1366" t="str">
        <f>VLOOKUP(A1366,'Table corresp.'!$M$4:$P$63,4,FALSE)</f>
        <v>Production et transformation de produits bois</v>
      </c>
      <c r="D1366" t="s">
        <v>53</v>
      </c>
      <c r="E1366" t="str">
        <f>VLOOKUP(LEFT(D1366,3),'Table corresp.'!$A$4:$D$63,4,FALSE)</f>
        <v>Exportation</v>
      </c>
      <c r="F1366" t="str">
        <f t="shared" si="162"/>
        <v>36  - Exp</v>
      </c>
      <c r="G1366" s="213">
        <v>32876.455000000024</v>
      </c>
      <c r="H1366" s="213">
        <v>0</v>
      </c>
      <c r="I1366" s="213">
        <v>32876.455000000024</v>
      </c>
      <c r="J1366" s="215">
        <v>21.744953389654253</v>
      </c>
      <c r="K1366" s="215">
        <v>0</v>
      </c>
      <c r="L1366" s="215">
        <v>21.744953389654253</v>
      </c>
      <c r="M1366" s="215">
        <v>14.386957291302375</v>
      </c>
      <c r="N1366" s="215">
        <v>0</v>
      </c>
      <c r="O1366" s="215">
        <v>14.386957291302375</v>
      </c>
      <c r="P1366" s="215">
        <v>5.8341289402336107</v>
      </c>
      <c r="Q1366" s="215">
        <v>0</v>
      </c>
      <c r="R1366" s="215">
        <v>5.8341289402336107</v>
      </c>
      <c r="S1366" s="213" t="s">
        <v>192</v>
      </c>
      <c r="T1366" s="212">
        <f>VLOOKUP(A1366,'Groupe de branches'!$Z$27:$AM$86,14,FALSE)</f>
        <v>0</v>
      </c>
      <c r="U1366" s="212">
        <f>VLOOKUP(D1366,'Groupe de branches'!$Z$27:$AM$86,14,FALSE)</f>
        <v>0</v>
      </c>
      <c r="V1366" s="212">
        <v>2019</v>
      </c>
      <c r="W1366" s="212" t="str">
        <f>VLOOKUP(D1366,'Table corresp.'!$M$4:$S$63,7,FALSE)</f>
        <v>Exportation</v>
      </c>
      <c r="X1366" s="228">
        <f>IFERROR(G1366/SUMIFS('Comp2016-2017 (3)'!$I$5:$I$289,'Comp2016-2017 (3)'!$A$5:$A$289,A1366,'Comp2016-2017 (3)'!$R$5:$R$289,V1366),0)</f>
        <v>5.4708017876590992E-2</v>
      </c>
      <c r="Y1366" s="214" t="e">
        <f>IF(RIGHT(F1366,3)="Exp",VLOOKUP(F1366,#REF!,2,FALSE),VLOOKUP(F1366,#REF!,9,FALSE))</f>
        <v>#REF!</v>
      </c>
      <c r="Z1366" s="225" t="str">
        <f t="shared" si="163"/>
        <v/>
      </c>
      <c r="AA1366" s="225" t="e">
        <f t="shared" si="158"/>
        <v>#VALUE!</v>
      </c>
      <c r="AB1366" s="222">
        <f>IFERROR(SUMIFS('Comp2016-2017 (3)'!$G$5:$G$289,'Comp2016-2017 (3)'!$A$5:$A$289,A1366,'Comp2016-2017 (3)'!$R$5:$R$289,V1366)*AA1366/SUMIFS($AA$4:$AA$1858,$A$4:$A$1858,A1366,$V$4:$V$1858,V1366),0)</f>
        <v>0</v>
      </c>
      <c r="AC1366" s="222">
        <f>IF($W1366=AC$3,$AB1366,IF(NOT($W1366=0),"",SUMIFS('Val-Vol (2)'!AC$4:AC$1858,'Val-Vol (2)'!$A$4:$A$1858,$D1366,'Val-Vol (2)'!$V$4:$V$1858,$V1366)/SUMIFS('Comp2016-2017 (3)'!$G$5:$G$289,'Comp2016-2017 (3)'!$A$5:$A$289,$D1366,'Comp2016-2017 (3)'!$R$5:$R$289,$V1366)*$AB1366))</f>
        <v>0</v>
      </c>
      <c r="AD1366" s="222" t="str">
        <f>IF($W1366=AD$3,$AB1366,IF(NOT($W1366=0),"",SUMIFS('Val-Vol (2)'!AD$4:AD$1858,'Val-Vol (2)'!$A$4:$A$1858,$D1366,'Val-Vol (2)'!$V$4:$V$1858,$V1366)/SUMIFS('Comp2016-2017 (3)'!$G$5:$G$289,'Comp2016-2017 (3)'!$A$5:$A$289,$D1366,'Comp2016-2017 (3)'!$R$5:$R$289,$V1366)*$AB1366))</f>
        <v/>
      </c>
      <c r="AE1366" s="222" t="str">
        <f>IF($W1366=AE$3,$AB1366,IF(NOT($W1366=0),"",SUMIFS('Val-Vol (2)'!AE$4:AE$1858,'Val-Vol (2)'!$A$4:$A$1858,$D1366,'Val-Vol (2)'!$V$4:$V$1858,$V1366)/SUMIFS('Comp2016-2017 (3)'!$G$5:$G$289,'Comp2016-2017 (3)'!$A$5:$A$289,$D1366,'Comp2016-2017 (3)'!$R$5:$R$289,$V1366)*$AB1366))</f>
        <v/>
      </c>
      <c r="AF1366" s="222" t="str">
        <f>IF($W1366=AF$3,$AB1366,IF(NOT($W1366=0),"",SUMIFS('Val-Vol (2)'!AF$4:AF$1858,'Val-Vol (2)'!$A$4:$A$1858,$D1366,'Val-Vol (2)'!$V$4:$V$1858,$V1366)/SUMIFS('Comp2016-2017 (3)'!$G$5:$G$289,'Comp2016-2017 (3)'!$A$5:$A$289,$D1366,'Comp2016-2017 (3)'!$R$5:$R$289,$V1366)*$AB1366))</f>
        <v/>
      </c>
      <c r="AG1366" s="222" t="str">
        <f>IF($W1366=AG$3,$AB1366,IF(NOT($W1366=0),"",SUMIFS('Val-Vol (2)'!AG$4:AG$1858,'Val-Vol (2)'!$A$4:$A$1858,$D1366,'Val-Vol (2)'!$V$4:$V$1858,$V1366)/SUMIFS('Comp2016-2017 (3)'!$G$5:$G$289,'Comp2016-2017 (3)'!$A$5:$A$289,$D1366,'Comp2016-2017 (3)'!$R$5:$R$289,$V1366)*$AB1366))</f>
        <v/>
      </c>
      <c r="AH1366" s="222" t="str">
        <f>IF($W1366=AH$3,$AB1366,IF(NOT($W1366=0),"",SUMIFS('Val-Vol (2)'!AH$4:AH$1858,'Val-Vol (2)'!$A$4:$A$1858,$D1366,'Val-Vol (2)'!$V$4:$V$1858,$V1366)/SUMIFS('Comp2016-2017 (3)'!$G$5:$G$289,'Comp2016-2017 (3)'!$A$5:$A$289,$D1366,'Comp2016-2017 (3)'!$R$5:$R$289,$V1366)*$AB1366))</f>
        <v/>
      </c>
      <c r="AI1366" s="222" t="str">
        <f>IF($W1366=AI$3,$AB1366,IF(NOT($W1366=0),"",SUMIFS('Val-Vol (2)'!AI$4:AI$1858,'Val-Vol (2)'!$A$4:$A$1858,$D1366,'Val-Vol (2)'!$V$4:$V$1858,$V1366)/SUMIFS('Comp2016-2017 (3)'!$G$5:$G$289,'Comp2016-2017 (3)'!$A$5:$A$289,$D1366,'Comp2016-2017 (3)'!$R$5:$R$289,$V1366)*$AB1366))</f>
        <v/>
      </c>
      <c r="AJ1366" s="222" t="str">
        <f>IF($W1366=AJ$3,$AB1366,IF(NOT($W1366=0),"",SUMIFS('Val-Vol (2)'!AJ$4:AJ$1858,'Val-Vol (2)'!$A$4:$A$1858,$D1366,'Val-Vol (2)'!$V$4:$V$1858,$V1366)/SUMIFS('Comp2016-2017 (3)'!$G$5:$G$289,'Comp2016-2017 (3)'!$A$5:$A$289,$D1366,'Comp2016-2017 (3)'!$R$5:$R$289,$V1366)*$AB1366))</f>
        <v/>
      </c>
      <c r="AK1366" s="222">
        <f t="shared" si="159"/>
        <v>0</v>
      </c>
      <c r="AL1366" s="212" t="str">
        <f t="shared" si="160"/>
        <v/>
      </c>
      <c r="AM1366" s="212" t="str">
        <f>VLOOKUP(A1366,'Table corresp.'!$M$4:$U$63,8,FALSE)</f>
        <v>Production finale</v>
      </c>
      <c r="AN1366" s="212" t="str">
        <f>VLOOKUP(D1366,'Table corresp.'!$M$4:$U$63,9,FALSE)</f>
        <v>Exportation</v>
      </c>
    </row>
    <row r="1367" spans="1:40" x14ac:dyDescent="0.25">
      <c r="A1367" t="s">
        <v>91</v>
      </c>
      <c r="B1367" t="str">
        <f>VLOOKUP(LEFT(A1367,3),'Table corresp.'!$A$4:$D$63,3,FALSE)</f>
        <v>Transformation</v>
      </c>
      <c r="C1367" t="str">
        <f>VLOOKUP(A1367,'Table corresp.'!$M$4:$P$63,4,FALSE)</f>
        <v>Production et transformation de produits bois</v>
      </c>
      <c r="D1367" t="s">
        <v>91</v>
      </c>
      <c r="E1367" t="str">
        <f>VLOOKUP(LEFT(D1367,3),'Table corresp.'!$A$4:$D$63,4,FALSE)</f>
        <v>Transformation</v>
      </c>
      <c r="F1367" t="str">
        <f t="shared" si="162"/>
        <v xml:space="preserve">37  - 37 </v>
      </c>
      <c r="G1367" s="213">
        <v>12842.729034708849</v>
      </c>
      <c r="H1367" s="213">
        <v>8943.5860784912293</v>
      </c>
      <c r="I1367" s="213">
        <v>21786.315113200078</v>
      </c>
      <c r="J1367" s="215"/>
      <c r="K1367" s="215"/>
      <c r="L1367" s="215"/>
      <c r="M1367" s="215"/>
      <c r="N1367" s="215"/>
      <c r="O1367" s="215"/>
      <c r="P1367" s="215"/>
      <c r="Q1367" s="215"/>
      <c r="R1367" s="215"/>
      <c r="S1367" s="213"/>
      <c r="T1367" s="212">
        <f>VLOOKUP(A1367,'Groupe de branches'!$Z$27:$AM$86,14,FALSE)</f>
        <v>0</v>
      </c>
      <c r="U1367" s="212">
        <f>VLOOKUP(D1367,'Groupe de branches'!$Z$27:$AM$86,14,FALSE)</f>
        <v>0</v>
      </c>
      <c r="V1367" s="212">
        <v>2019</v>
      </c>
      <c r="W1367" s="212" t="str">
        <f>VLOOKUP(D1367,'Table corresp.'!$M$4:$S$63,7,FALSE)</f>
        <v>Emballage bois et carton</v>
      </c>
      <c r="X1367" s="228">
        <f>IFERROR(G1367/SUMIFS('Comp2016-2017 (3)'!$I$5:$I$289,'Comp2016-2017 (3)'!$A$5:$A$289,A1367,'Comp2016-2017 (3)'!$R$5:$R$289,V1367),0)</f>
        <v>8.8625248575587238E-3</v>
      </c>
      <c r="Y1367" s="214" t="e">
        <f>IF(RIGHT(F1367,3)="Exp",VLOOKUP(F1367,#REF!,2,FALSE),VLOOKUP(F1367,#REF!,9,FALSE))</f>
        <v>#REF!</v>
      </c>
      <c r="Z1367" s="225" t="str">
        <f t="shared" si="163"/>
        <v/>
      </c>
      <c r="AA1367" s="225" t="e">
        <f t="shared" si="158"/>
        <v>#VALUE!</v>
      </c>
      <c r="AB1367" s="222">
        <f>IFERROR(SUMIFS('Comp2016-2017 (3)'!$G$5:$G$289,'Comp2016-2017 (3)'!$A$5:$A$289,A1367,'Comp2016-2017 (3)'!$R$5:$R$289,V1367)*AA1367/SUMIFS($AA$4:$AA$1858,$A$4:$A$1858,A1367,$V$4:$V$1858,V1367),0)</f>
        <v>0</v>
      </c>
      <c r="AC1367" s="229" t="str">
        <f>IF($W1367=AC$3,$AB1367,IF(NOT($W1367=0),"",SUMIFS('Val-Vol (2)'!AC$4:AC$1858,'Val-Vol (2)'!$A$4:$A$1858,$D1367,'Val-Vol (2)'!$V$4:$V$1858,$V1367)/SUMIFS('Comp2016-2017 (3)'!$G$5:$G$289,'Comp2016-2017 (3)'!$A$5:$A$289,$D1367,'Comp2016-2017 (3)'!$R$5:$R$289,$V1367)*$AB1367))</f>
        <v/>
      </c>
      <c r="AD1367" s="229" t="str">
        <f>IF($W1367=AD$3,$AB1367,IF(NOT($W1367=0),"",SUMIFS('Val-Vol (2)'!AD$4:AD$1858,'Val-Vol (2)'!$A$4:$A$1858,$D1367,'Val-Vol (2)'!$V$4:$V$1858,$V1367)/SUMIFS('Comp2016-2017 (3)'!$G$5:$G$289,'Comp2016-2017 (3)'!$A$5:$A$289,$D1367,'Comp2016-2017 (3)'!$R$5:$R$289,$V1367)*$AB1367))</f>
        <v/>
      </c>
      <c r="AE1367" s="229" t="str">
        <f>IF($W1367=AE$3,$AB1367,IF(NOT($W1367=0),"",SUMIFS('Val-Vol (2)'!AE$4:AE$1858,'Val-Vol (2)'!$A$4:$A$1858,$D1367,'Val-Vol (2)'!$V$4:$V$1858,$V1367)/SUMIFS('Comp2016-2017 (3)'!$G$5:$G$289,'Comp2016-2017 (3)'!$A$5:$A$289,$D1367,'Comp2016-2017 (3)'!$R$5:$R$289,$V1367)*$AB1367))</f>
        <v/>
      </c>
      <c r="AF1367" s="229" t="str">
        <f>IF($W1367=AF$3,$AB1367,IF(NOT($W1367=0),"",SUMIFS('Val-Vol (2)'!AF$4:AF$1858,'Val-Vol (2)'!$A$4:$A$1858,$D1367,'Val-Vol (2)'!$V$4:$V$1858,$V1367)/SUMIFS('Comp2016-2017 (3)'!$G$5:$G$289,'Comp2016-2017 (3)'!$A$5:$A$289,$D1367,'Comp2016-2017 (3)'!$R$5:$R$289,$V1367)*$AB1367))</f>
        <v/>
      </c>
      <c r="AG1367" s="229">
        <f>AB1367</f>
        <v>0</v>
      </c>
      <c r="AH1367" s="229" t="str">
        <f>IF($W1367=AH$3,$AB1367,IF(NOT($W1367=0),"",SUMIFS('Val-Vol (2)'!AH$4:AH$1858,'Val-Vol (2)'!$A$4:$A$1858,$D1367,'Val-Vol (2)'!$V$4:$V$1858,$V1367)/SUMIFS('Comp2016-2017 (3)'!$G$5:$G$289,'Comp2016-2017 (3)'!$A$5:$A$289,$D1367,'Comp2016-2017 (3)'!$R$5:$R$289,$V1367)*$AB1367))</f>
        <v/>
      </c>
      <c r="AI1367" s="229" t="str">
        <f>IF($W1367=AI$3,$AB1367,IF(NOT($W1367=0),"",SUMIFS('Val-Vol (2)'!AI$4:AI$1858,'Val-Vol (2)'!$A$4:$A$1858,$D1367,'Val-Vol (2)'!$V$4:$V$1858,$V1367)/SUMIFS('Comp2016-2017 (3)'!$G$5:$G$289,'Comp2016-2017 (3)'!$A$5:$A$289,$D1367,'Comp2016-2017 (3)'!$R$5:$R$289,$V1367)*$AB1367))</f>
        <v/>
      </c>
      <c r="AJ1367" s="229" t="str">
        <f>IF($W1367=AJ$3,$AB1367,IF(NOT($W1367=0),"",SUMIFS('Val-Vol (2)'!AJ$4:AJ$1858,'Val-Vol (2)'!$A$4:$A$1858,$D1367,'Val-Vol (2)'!$V$4:$V$1858,$V1367)/SUMIFS('Comp2016-2017 (3)'!$G$5:$G$289,'Comp2016-2017 (3)'!$A$5:$A$289,$D1367,'Comp2016-2017 (3)'!$R$5:$R$289,$V1367)*$AB1367))</f>
        <v/>
      </c>
      <c r="AK1367" s="222">
        <f t="shared" si="159"/>
        <v>0</v>
      </c>
      <c r="AL1367" s="230" t="str">
        <f t="shared" si="160"/>
        <v>remplir à la main</v>
      </c>
      <c r="AM1367" s="212" t="str">
        <f>VLOOKUP(A1367,'Table corresp.'!$M$4:$U$63,8,FALSE)</f>
        <v>Production finale</v>
      </c>
      <c r="AN1367" s="212" t="str">
        <f>VLOOKUP(D1367,'Table corresp.'!$M$4:$U$63,9,FALSE)</f>
        <v>Production finale</v>
      </c>
    </row>
    <row r="1368" spans="1:40" x14ac:dyDescent="0.25">
      <c r="A1368" t="s">
        <v>91</v>
      </c>
      <c r="B1368" t="str">
        <f>VLOOKUP(LEFT(A1368,3),'Table corresp.'!$A$4:$D$63,3,FALSE)</f>
        <v>Transformation</v>
      </c>
      <c r="C1368" t="str">
        <f>VLOOKUP(A1368,'Table corresp.'!$M$4:$P$63,4,FALSE)</f>
        <v>Production et transformation de produits bois</v>
      </c>
      <c r="D1368" t="s">
        <v>54</v>
      </c>
      <c r="E1368" t="str">
        <f>VLOOKUP(LEFT(D1368,3),'Table corresp.'!$A$4:$D$63,4,FALSE)</f>
        <v>Consommation finale</v>
      </c>
      <c r="F1368" t="str">
        <f t="shared" si="162"/>
        <v>37  - Con</v>
      </c>
      <c r="G1368" s="213">
        <v>1324634.814008588</v>
      </c>
      <c r="H1368" s="213">
        <v>244587.23292150893</v>
      </c>
      <c r="I1368" s="213">
        <v>1569222.0469300968</v>
      </c>
      <c r="J1368" s="215">
        <v>5452.9660176528141</v>
      </c>
      <c r="K1368" s="215">
        <v>1119.6543417483697</v>
      </c>
      <c r="L1368" s="215">
        <v>6572.620359401184</v>
      </c>
      <c r="M1368" s="215">
        <v>517.11390216770224</v>
      </c>
      <c r="N1368" s="215">
        <v>103.35470920854861</v>
      </c>
      <c r="O1368" s="215">
        <v>620.46861137625081</v>
      </c>
      <c r="P1368" s="215">
        <v>2.9566361717320837E-3</v>
      </c>
      <c r="Q1368" s="215">
        <v>5.9093803218955847E-4</v>
      </c>
      <c r="R1368" s="215">
        <v>3.5475742039216421E-3</v>
      </c>
      <c r="S1368" s="213"/>
      <c r="T1368" s="212">
        <f>VLOOKUP(A1368,'Groupe de branches'!$Z$27:$AM$86,14,FALSE)</f>
        <v>0</v>
      </c>
      <c r="U1368" s="212">
        <f>VLOOKUP(D1368,'Groupe de branches'!$Z$27:$AM$86,14,FALSE)</f>
        <v>0</v>
      </c>
      <c r="V1368" s="212">
        <v>2019</v>
      </c>
      <c r="W1368" s="212" t="str">
        <f>VLOOKUP(D1368,'Table corresp.'!$M$4:$S$63,7,FALSE)</f>
        <v>Consommation finale</v>
      </c>
      <c r="X1368" s="228">
        <f>IFERROR(G1368/SUMIFS('Comp2016-2017 (3)'!$I$5:$I$289,'Comp2016-2017 (3)'!$A$5:$A$289,A1368,'Comp2016-2017 (3)'!$R$5:$R$289,V1368),0)</f>
        <v>0.91410547825242106</v>
      </c>
      <c r="Y1368" s="214" t="e">
        <f>IF(RIGHT(F1368,3)="Exp",VLOOKUP(F1368,#REF!,2,FALSE),VLOOKUP(F1368,#REF!,9,FALSE))</f>
        <v>#REF!</v>
      </c>
      <c r="Z1368" s="225" t="str">
        <f t="shared" si="163"/>
        <v/>
      </c>
      <c r="AA1368" s="225" t="e">
        <f t="shared" si="158"/>
        <v>#VALUE!</v>
      </c>
      <c r="AB1368" s="222">
        <f>IFERROR(SUMIFS('Comp2016-2017 (3)'!$G$5:$G$289,'Comp2016-2017 (3)'!$A$5:$A$289,A1368,'Comp2016-2017 (3)'!$R$5:$R$289,V1368)*AA1368/SUMIFS($AA$4:$AA$1858,$A$4:$A$1858,A1368,$V$4:$V$1858,V1368),0)</f>
        <v>0</v>
      </c>
      <c r="AC1368" s="222" t="str">
        <f>IF($W1368=AC$3,$AB1368,IF(NOT($W1368=0),"",SUMIFS('Val-Vol (2)'!AC$4:AC$1858,'Val-Vol (2)'!$A$4:$A$1858,$D1368,'Val-Vol (2)'!$V$4:$V$1858,$V1368)/SUMIFS('Comp2016-2017 (3)'!$G$5:$G$289,'Comp2016-2017 (3)'!$A$5:$A$289,$D1368,'Comp2016-2017 (3)'!$R$5:$R$289,$V1368)*$AB1368))</f>
        <v/>
      </c>
      <c r="AD1368" s="222" t="str">
        <f>IF($W1368=AD$3,$AB1368,IF(NOT($W1368=0),"",SUMIFS('Val-Vol (2)'!AD$4:AD$1858,'Val-Vol (2)'!$A$4:$A$1858,$D1368,'Val-Vol (2)'!$V$4:$V$1858,$V1368)/SUMIFS('Comp2016-2017 (3)'!$G$5:$G$289,'Comp2016-2017 (3)'!$A$5:$A$289,$D1368,'Comp2016-2017 (3)'!$R$5:$R$289,$V1368)*$AB1368))</f>
        <v/>
      </c>
      <c r="AE1368" s="222" t="str">
        <f>IF($W1368=AE$3,$AB1368,IF(NOT($W1368=0),"",SUMIFS('Val-Vol (2)'!AE$4:AE$1858,'Val-Vol (2)'!$A$4:$A$1858,$D1368,'Val-Vol (2)'!$V$4:$V$1858,$V1368)/SUMIFS('Comp2016-2017 (3)'!$G$5:$G$289,'Comp2016-2017 (3)'!$A$5:$A$289,$D1368,'Comp2016-2017 (3)'!$R$5:$R$289,$V1368)*$AB1368))</f>
        <v/>
      </c>
      <c r="AF1368" s="222" t="str">
        <f>IF($W1368=AF$3,$AB1368,IF(NOT($W1368=0),"",SUMIFS('Val-Vol (2)'!AF$4:AF$1858,'Val-Vol (2)'!$A$4:$A$1858,$D1368,'Val-Vol (2)'!$V$4:$V$1858,$V1368)/SUMIFS('Comp2016-2017 (3)'!$G$5:$G$289,'Comp2016-2017 (3)'!$A$5:$A$289,$D1368,'Comp2016-2017 (3)'!$R$5:$R$289,$V1368)*$AB1368))</f>
        <v/>
      </c>
      <c r="AG1368" s="222" t="str">
        <f>IF($W1368=AG$3,$AB1368,IF(NOT($W1368=0),"",SUMIFS('Val-Vol (2)'!AG$4:AG$1858,'Val-Vol (2)'!$A$4:$A$1858,$D1368,'Val-Vol (2)'!$V$4:$V$1858,$V1368)/SUMIFS('Comp2016-2017 (3)'!$G$5:$G$289,'Comp2016-2017 (3)'!$A$5:$A$289,$D1368,'Comp2016-2017 (3)'!$R$5:$R$289,$V1368)*$AB1368))</f>
        <v/>
      </c>
      <c r="AH1368" s="222" t="str">
        <f>IF($W1368=AH$3,$AB1368,IF(NOT($W1368=0),"",SUMIFS('Val-Vol (2)'!AH$4:AH$1858,'Val-Vol (2)'!$A$4:$A$1858,$D1368,'Val-Vol (2)'!$V$4:$V$1858,$V1368)/SUMIFS('Comp2016-2017 (3)'!$G$5:$G$289,'Comp2016-2017 (3)'!$A$5:$A$289,$D1368,'Comp2016-2017 (3)'!$R$5:$R$289,$V1368)*$AB1368))</f>
        <v/>
      </c>
      <c r="AI1368" s="222" t="str">
        <f>IF($W1368=AI$3,$AB1368,IF(NOT($W1368=0),"",SUMIFS('Val-Vol (2)'!AI$4:AI$1858,'Val-Vol (2)'!$A$4:$A$1858,$D1368,'Val-Vol (2)'!$V$4:$V$1858,$V1368)/SUMIFS('Comp2016-2017 (3)'!$G$5:$G$289,'Comp2016-2017 (3)'!$A$5:$A$289,$D1368,'Comp2016-2017 (3)'!$R$5:$R$289,$V1368)*$AB1368))</f>
        <v/>
      </c>
      <c r="AJ1368" s="222">
        <f>IF($W1368=AJ$3,$AB1368,IF(NOT($W1368=0),"",SUMIFS('Val-Vol (2)'!AJ$4:AJ$1858,'Val-Vol (2)'!$A$4:$A$1858,$D1368,'Val-Vol (2)'!$V$4:$V$1858,$V1368)/SUMIFS('Comp2016-2017 (3)'!$G$5:$G$289,'Comp2016-2017 (3)'!$A$5:$A$289,$D1368,'Comp2016-2017 (3)'!$R$5:$R$289,$V1368)*$AB1368))</f>
        <v>0</v>
      </c>
      <c r="AK1368" s="222">
        <f t="shared" si="159"/>
        <v>0</v>
      </c>
      <c r="AL1368" s="212" t="str">
        <f t="shared" si="160"/>
        <v/>
      </c>
      <c r="AM1368" s="212" t="str">
        <f>VLOOKUP(A1368,'Table corresp.'!$M$4:$U$63,8,FALSE)</f>
        <v>Production finale</v>
      </c>
      <c r="AN1368" s="212" t="str">
        <f>VLOOKUP(D1368,'Table corresp.'!$M$4:$U$63,9,FALSE)</f>
        <v>Consommation finale française</v>
      </c>
    </row>
    <row r="1369" spans="1:40" x14ac:dyDescent="0.25">
      <c r="A1369" t="s">
        <v>91</v>
      </c>
      <c r="B1369" t="str">
        <f>VLOOKUP(LEFT(A1369,3),'Table corresp.'!$A$4:$D$63,3,FALSE)</f>
        <v>Transformation</v>
      </c>
      <c r="C1369" t="str">
        <f>VLOOKUP(A1369,'Table corresp.'!$M$4:$P$63,4,FALSE)</f>
        <v>Production et transformation de produits bois</v>
      </c>
      <c r="D1369" t="s">
        <v>53</v>
      </c>
      <c r="E1369" t="str">
        <f>VLOOKUP(LEFT(D1369,3),'Table corresp.'!$A$4:$D$63,4,FALSE)</f>
        <v>Exportation</v>
      </c>
      <c r="F1369" t="str">
        <f t="shared" si="162"/>
        <v>37  - Exp</v>
      </c>
      <c r="G1369" s="213">
        <v>111627.45699999997</v>
      </c>
      <c r="H1369" s="213">
        <v>0</v>
      </c>
      <c r="I1369" s="213">
        <v>111627.45699999997</v>
      </c>
      <c r="J1369" s="215">
        <v>424.88211741627526</v>
      </c>
      <c r="K1369" s="215">
        <v>0</v>
      </c>
      <c r="L1369" s="215">
        <v>424.88211741627526</v>
      </c>
      <c r="M1369" s="215">
        <v>40.292282949707335</v>
      </c>
      <c r="N1369" s="215">
        <v>0</v>
      </c>
      <c r="O1369" s="215">
        <v>40.292282949707335</v>
      </c>
      <c r="P1369" s="215">
        <v>2.3037404469573581E-4</v>
      </c>
      <c r="Q1369" s="215">
        <v>0</v>
      </c>
      <c r="R1369" s="215">
        <v>2.3037404469573581E-4</v>
      </c>
      <c r="S1369" s="213"/>
      <c r="T1369" s="212">
        <f>VLOOKUP(A1369,'Groupe de branches'!$Z$27:$AM$86,14,FALSE)</f>
        <v>0</v>
      </c>
      <c r="U1369" s="212">
        <f>VLOOKUP(D1369,'Groupe de branches'!$Z$27:$AM$86,14,FALSE)</f>
        <v>0</v>
      </c>
      <c r="V1369" s="212">
        <v>2019</v>
      </c>
      <c r="W1369" s="212" t="str">
        <f>VLOOKUP(D1369,'Table corresp.'!$M$4:$S$63,7,FALSE)</f>
        <v>Exportation</v>
      </c>
      <c r="X1369" s="228">
        <f>IFERROR(G1369/SUMIFS('Comp2016-2017 (3)'!$I$5:$I$289,'Comp2016-2017 (3)'!$A$5:$A$289,A1369,'Comp2016-2017 (3)'!$R$5:$R$289,V1369),0)</f>
        <v>7.7032000735581599E-2</v>
      </c>
      <c r="Y1369" s="214" t="e">
        <f>IF(RIGHT(F1369,3)="Exp",VLOOKUP(F1369,#REF!,2,FALSE),VLOOKUP(F1369,#REF!,9,FALSE))</f>
        <v>#REF!</v>
      </c>
      <c r="Z1369" s="225" t="str">
        <f t="shared" si="163"/>
        <v/>
      </c>
      <c r="AA1369" s="225" t="e">
        <f t="shared" si="158"/>
        <v>#VALUE!</v>
      </c>
      <c r="AB1369" s="222">
        <f>IFERROR(SUMIFS('Comp2016-2017 (3)'!$G$5:$G$289,'Comp2016-2017 (3)'!$A$5:$A$289,A1369,'Comp2016-2017 (3)'!$R$5:$R$289,V1369)*AA1369/SUMIFS($AA$4:$AA$1858,$A$4:$A$1858,A1369,$V$4:$V$1858,V1369),0)</f>
        <v>0</v>
      </c>
      <c r="AC1369" s="222">
        <f>IF($W1369=AC$3,$AB1369,IF(NOT($W1369=0),"",SUMIFS('Val-Vol (2)'!AC$4:AC$1858,'Val-Vol (2)'!$A$4:$A$1858,$D1369,'Val-Vol (2)'!$V$4:$V$1858,$V1369)/SUMIFS('Comp2016-2017 (3)'!$G$5:$G$289,'Comp2016-2017 (3)'!$A$5:$A$289,$D1369,'Comp2016-2017 (3)'!$R$5:$R$289,$V1369)*$AB1369))</f>
        <v>0</v>
      </c>
      <c r="AD1369" s="222" t="str">
        <f>IF($W1369=AD$3,$AB1369,IF(NOT($W1369=0),"",SUMIFS('Val-Vol (2)'!AD$4:AD$1858,'Val-Vol (2)'!$A$4:$A$1858,$D1369,'Val-Vol (2)'!$V$4:$V$1858,$V1369)/SUMIFS('Comp2016-2017 (3)'!$G$5:$G$289,'Comp2016-2017 (3)'!$A$5:$A$289,$D1369,'Comp2016-2017 (3)'!$R$5:$R$289,$V1369)*$AB1369))</f>
        <v/>
      </c>
      <c r="AE1369" s="222" t="str">
        <f>IF($W1369=AE$3,$AB1369,IF(NOT($W1369=0),"",SUMIFS('Val-Vol (2)'!AE$4:AE$1858,'Val-Vol (2)'!$A$4:$A$1858,$D1369,'Val-Vol (2)'!$V$4:$V$1858,$V1369)/SUMIFS('Comp2016-2017 (3)'!$G$5:$G$289,'Comp2016-2017 (3)'!$A$5:$A$289,$D1369,'Comp2016-2017 (3)'!$R$5:$R$289,$V1369)*$AB1369))</f>
        <v/>
      </c>
      <c r="AF1369" s="222" t="str">
        <f>IF($W1369=AF$3,$AB1369,IF(NOT($W1369=0),"",SUMIFS('Val-Vol (2)'!AF$4:AF$1858,'Val-Vol (2)'!$A$4:$A$1858,$D1369,'Val-Vol (2)'!$V$4:$V$1858,$V1369)/SUMIFS('Comp2016-2017 (3)'!$G$5:$G$289,'Comp2016-2017 (3)'!$A$5:$A$289,$D1369,'Comp2016-2017 (3)'!$R$5:$R$289,$V1369)*$AB1369))</f>
        <v/>
      </c>
      <c r="AG1369" s="222" t="str">
        <f>IF($W1369=AG$3,$AB1369,IF(NOT($W1369=0),"",SUMIFS('Val-Vol (2)'!AG$4:AG$1858,'Val-Vol (2)'!$A$4:$A$1858,$D1369,'Val-Vol (2)'!$V$4:$V$1858,$V1369)/SUMIFS('Comp2016-2017 (3)'!$G$5:$G$289,'Comp2016-2017 (3)'!$A$5:$A$289,$D1369,'Comp2016-2017 (3)'!$R$5:$R$289,$V1369)*$AB1369))</f>
        <v/>
      </c>
      <c r="AH1369" s="222" t="str">
        <f>IF($W1369=AH$3,$AB1369,IF(NOT($W1369=0),"",SUMIFS('Val-Vol (2)'!AH$4:AH$1858,'Val-Vol (2)'!$A$4:$A$1858,$D1369,'Val-Vol (2)'!$V$4:$V$1858,$V1369)/SUMIFS('Comp2016-2017 (3)'!$G$5:$G$289,'Comp2016-2017 (3)'!$A$5:$A$289,$D1369,'Comp2016-2017 (3)'!$R$5:$R$289,$V1369)*$AB1369))</f>
        <v/>
      </c>
      <c r="AI1369" s="222" t="str">
        <f>IF($W1369=AI$3,$AB1369,IF(NOT($W1369=0),"",SUMIFS('Val-Vol (2)'!AI$4:AI$1858,'Val-Vol (2)'!$A$4:$A$1858,$D1369,'Val-Vol (2)'!$V$4:$V$1858,$V1369)/SUMIFS('Comp2016-2017 (3)'!$G$5:$G$289,'Comp2016-2017 (3)'!$A$5:$A$289,$D1369,'Comp2016-2017 (3)'!$R$5:$R$289,$V1369)*$AB1369))</f>
        <v/>
      </c>
      <c r="AJ1369" s="222" t="str">
        <f>IF($W1369=AJ$3,$AB1369,IF(NOT($W1369=0),"",SUMIFS('Val-Vol (2)'!AJ$4:AJ$1858,'Val-Vol (2)'!$A$4:$A$1858,$D1369,'Val-Vol (2)'!$V$4:$V$1858,$V1369)/SUMIFS('Comp2016-2017 (3)'!$G$5:$G$289,'Comp2016-2017 (3)'!$A$5:$A$289,$D1369,'Comp2016-2017 (3)'!$R$5:$R$289,$V1369)*$AB1369))</f>
        <v/>
      </c>
      <c r="AK1369" s="222">
        <f t="shared" si="159"/>
        <v>0</v>
      </c>
      <c r="AL1369" s="212" t="str">
        <f t="shared" si="160"/>
        <v/>
      </c>
      <c r="AM1369" s="212" t="str">
        <f>VLOOKUP(A1369,'Table corresp.'!$M$4:$U$63,8,FALSE)</f>
        <v>Production finale</v>
      </c>
      <c r="AN1369" s="212" t="str">
        <f>VLOOKUP(D1369,'Table corresp.'!$M$4:$U$63,9,FALSE)</f>
        <v>Exportation</v>
      </c>
    </row>
    <row r="1370" spans="1:40" x14ac:dyDescent="0.25">
      <c r="A1370" t="s">
        <v>17</v>
      </c>
      <c r="B1370" t="str">
        <f>VLOOKUP(LEFT(A1370,3),'Table corresp.'!$A$4:$D$63,3,FALSE)</f>
        <v>Transformation</v>
      </c>
      <c r="C1370" t="str">
        <f>VLOOKUP(A1370,'Table corresp.'!$M$4:$P$63,4,FALSE)</f>
        <v>Production et transformation de produits bois</v>
      </c>
      <c r="D1370" t="s">
        <v>17</v>
      </c>
      <c r="E1370" t="str">
        <f>VLOOKUP(LEFT(D1370,3),'Table corresp.'!$A$4:$D$63,4,FALSE)</f>
        <v>Transformation</v>
      </c>
      <c r="F1370" t="str">
        <f t="shared" si="162"/>
        <v xml:space="preserve">38  - 38 </v>
      </c>
      <c r="G1370" s="213">
        <v>1766.7884219048258</v>
      </c>
      <c r="H1370" s="213">
        <v>1432.7218573934256</v>
      </c>
      <c r="I1370" s="213">
        <v>3199.510279298252</v>
      </c>
      <c r="J1370" s="215"/>
      <c r="K1370" s="215"/>
      <c r="L1370" s="215"/>
      <c r="M1370" s="215"/>
      <c r="N1370" s="215"/>
      <c r="O1370" s="215"/>
      <c r="P1370" s="215"/>
      <c r="Q1370" s="215"/>
      <c r="R1370" s="215"/>
      <c r="S1370" s="213"/>
      <c r="T1370" s="212">
        <f>VLOOKUP(A1370,'Groupe de branches'!$Z$27:$AM$86,14,FALSE)</f>
        <v>0</v>
      </c>
      <c r="U1370" s="212">
        <f>VLOOKUP(D1370,'Groupe de branches'!$Z$27:$AM$86,14,FALSE)</f>
        <v>0</v>
      </c>
      <c r="V1370" s="212">
        <v>2019</v>
      </c>
      <c r="W1370" s="212" t="str">
        <f>VLOOKUP(D1370,'Table corresp.'!$M$4:$S$63,7,FALSE)</f>
        <v>Emballage bois et carton</v>
      </c>
      <c r="X1370" s="228">
        <f>IFERROR(G1370/SUMIFS('Comp2016-2017 (3)'!$I$5:$I$289,'Comp2016-2017 (3)'!$A$5:$A$289,A1370,'Comp2016-2017 (3)'!$R$5:$R$289,V1370),0)</f>
        <v>2.2655984314841815E-3</v>
      </c>
      <c r="Y1370" s="214" t="e">
        <f>IF(RIGHT(F1370,3)="Exp",VLOOKUP(F1370,#REF!,2,FALSE),VLOOKUP(F1370,#REF!,9,FALSE))</f>
        <v>#REF!</v>
      </c>
      <c r="Z1370" s="225" t="str">
        <f t="shared" si="163"/>
        <v/>
      </c>
      <c r="AA1370" s="225" t="e">
        <f t="shared" si="158"/>
        <v>#VALUE!</v>
      </c>
      <c r="AB1370" s="222">
        <f>IFERROR(SUMIFS('Comp2016-2017 (3)'!$G$5:$G$289,'Comp2016-2017 (3)'!$A$5:$A$289,A1370,'Comp2016-2017 (3)'!$R$5:$R$289,V1370)*AA1370/SUMIFS($AA$4:$AA$1858,$A$4:$A$1858,A1370,$V$4:$V$1858,V1370),0)</f>
        <v>0</v>
      </c>
      <c r="AC1370" s="229"/>
      <c r="AD1370" s="229"/>
      <c r="AE1370" s="229"/>
      <c r="AF1370" s="229"/>
      <c r="AG1370" s="229">
        <f>AB1370</f>
        <v>0</v>
      </c>
      <c r="AH1370" s="229"/>
      <c r="AI1370" s="229"/>
      <c r="AJ1370" s="229"/>
      <c r="AK1370" s="222">
        <f t="shared" si="159"/>
        <v>0</v>
      </c>
      <c r="AL1370" s="230" t="str">
        <f t="shared" si="160"/>
        <v>remplir à la main</v>
      </c>
      <c r="AM1370" s="212" t="str">
        <f>VLOOKUP(A1370,'Table corresp.'!$M$4:$U$63,8,FALSE)</f>
        <v>Production finale</v>
      </c>
      <c r="AN1370" s="212" t="str">
        <f>VLOOKUP(D1370,'Table corresp.'!$M$4:$U$63,9,FALSE)</f>
        <v>Production finale</v>
      </c>
    </row>
    <row r="1371" spans="1:40" x14ac:dyDescent="0.25">
      <c r="A1371" t="s">
        <v>17</v>
      </c>
      <c r="B1371" t="str">
        <f>VLOOKUP(LEFT(A1371,3),'Table corresp.'!$A$4:$D$63,3,FALSE)</f>
        <v>Transformation</v>
      </c>
      <c r="C1371" t="str">
        <f>VLOOKUP(A1371,'Table corresp.'!$M$4:$P$63,4,FALSE)</f>
        <v>Production et transformation de produits bois</v>
      </c>
      <c r="D1371" t="s">
        <v>54</v>
      </c>
      <c r="E1371" t="str">
        <f>VLOOKUP(LEFT(D1371,3),'Table corresp.'!$A$4:$D$63,4,FALSE)</f>
        <v>Consommation finale</v>
      </c>
      <c r="F1371" t="str">
        <f t="shared" si="162"/>
        <v>38  - Con</v>
      </c>
      <c r="G1371" s="213">
        <v>317434.2565776711</v>
      </c>
      <c r="H1371" s="213">
        <v>38689.42514260656</v>
      </c>
      <c r="I1371" s="213">
        <v>356123.68172027764</v>
      </c>
      <c r="J1371" s="215">
        <v>141.48634991267724</v>
      </c>
      <c r="K1371" s="215">
        <v>45.438392931773137</v>
      </c>
      <c r="L1371" s="215">
        <v>186.92474284445038</v>
      </c>
      <c r="M1371" s="215"/>
      <c r="N1371" s="215"/>
      <c r="O1371" s="215"/>
      <c r="P1371" s="215"/>
      <c r="Q1371" s="215"/>
      <c r="R1371" s="215"/>
      <c r="S1371" s="213"/>
      <c r="T1371" s="212">
        <f>VLOOKUP(A1371,'Groupe de branches'!$Z$27:$AM$86,14,FALSE)</f>
        <v>0</v>
      </c>
      <c r="U1371" s="212">
        <f>VLOOKUP(D1371,'Groupe de branches'!$Z$27:$AM$86,14,FALSE)</f>
        <v>0</v>
      </c>
      <c r="V1371" s="212">
        <v>2019</v>
      </c>
      <c r="W1371" s="212" t="str">
        <f>VLOOKUP(D1371,'Table corresp.'!$M$4:$S$63,7,FALSE)</f>
        <v>Consommation finale</v>
      </c>
      <c r="X1371" s="228">
        <f>IFERROR(G1371/SUMIFS('Comp2016-2017 (3)'!$I$5:$I$289,'Comp2016-2017 (3)'!$A$5:$A$289,A1371,'Comp2016-2017 (3)'!$R$5:$R$289,V1371),0)</f>
        <v>0.40705414688327629</v>
      </c>
      <c r="Y1371" s="214" t="e">
        <f>IF(RIGHT(F1371,3)="Exp",VLOOKUP(F1371,#REF!,2,FALSE),VLOOKUP(F1371,#REF!,9,FALSE))</f>
        <v>#REF!</v>
      </c>
      <c r="Z1371" s="225" t="str">
        <f t="shared" si="163"/>
        <v/>
      </c>
      <c r="AA1371" s="225" t="e">
        <f t="shared" si="158"/>
        <v>#VALUE!</v>
      </c>
      <c r="AB1371" s="222">
        <f>IFERROR(SUMIFS('Comp2016-2017 (3)'!$G$5:$G$289,'Comp2016-2017 (3)'!$A$5:$A$289,A1371,'Comp2016-2017 (3)'!$R$5:$R$289,V1371)*AA1371/SUMIFS($AA$4:$AA$1858,$A$4:$A$1858,A1371,$V$4:$V$1858,V1371),0)</f>
        <v>0</v>
      </c>
      <c r="AC1371" s="222" t="str">
        <f>IF($W1371=AC$3,$AB1371,IF(NOT($W1371=0),"",SUMIFS('Val-Vol (2)'!AC$4:AC$1858,'Val-Vol (2)'!$A$4:$A$1858,$D1371,'Val-Vol (2)'!$V$4:$V$1858,$V1371)/SUMIFS('Comp2016-2017 (3)'!$G$5:$G$289,'Comp2016-2017 (3)'!$A$5:$A$289,$D1371,'Comp2016-2017 (3)'!$R$5:$R$289,$V1371)*$AB1371))</f>
        <v/>
      </c>
      <c r="AD1371" s="222" t="str">
        <f>IF($W1371=AD$3,$AB1371,IF(NOT($W1371=0),"",SUMIFS('Val-Vol (2)'!AD$4:AD$1858,'Val-Vol (2)'!$A$4:$A$1858,$D1371,'Val-Vol (2)'!$V$4:$V$1858,$V1371)/SUMIFS('Comp2016-2017 (3)'!$G$5:$G$289,'Comp2016-2017 (3)'!$A$5:$A$289,$D1371,'Comp2016-2017 (3)'!$R$5:$R$289,$V1371)*$AB1371))</f>
        <v/>
      </c>
      <c r="AE1371" s="222" t="str">
        <f>IF($W1371=AE$3,$AB1371,IF(NOT($W1371=0),"",SUMIFS('Val-Vol (2)'!AE$4:AE$1858,'Val-Vol (2)'!$A$4:$A$1858,$D1371,'Val-Vol (2)'!$V$4:$V$1858,$V1371)/SUMIFS('Comp2016-2017 (3)'!$G$5:$G$289,'Comp2016-2017 (3)'!$A$5:$A$289,$D1371,'Comp2016-2017 (3)'!$R$5:$R$289,$V1371)*$AB1371))</f>
        <v/>
      </c>
      <c r="AF1371" s="222" t="str">
        <f>IF($W1371=AF$3,$AB1371,IF(NOT($W1371=0),"",SUMIFS('Val-Vol (2)'!AF$4:AF$1858,'Val-Vol (2)'!$A$4:$A$1858,$D1371,'Val-Vol (2)'!$V$4:$V$1858,$V1371)/SUMIFS('Comp2016-2017 (3)'!$G$5:$G$289,'Comp2016-2017 (3)'!$A$5:$A$289,$D1371,'Comp2016-2017 (3)'!$R$5:$R$289,$V1371)*$AB1371))</f>
        <v/>
      </c>
      <c r="AG1371" s="222" t="str">
        <f>IF($W1371=AG$3,$AB1371,IF(NOT($W1371=0),"",SUMIFS('Val-Vol (2)'!AG$4:AG$1858,'Val-Vol (2)'!$A$4:$A$1858,$D1371,'Val-Vol (2)'!$V$4:$V$1858,$V1371)/SUMIFS('Comp2016-2017 (3)'!$G$5:$G$289,'Comp2016-2017 (3)'!$A$5:$A$289,$D1371,'Comp2016-2017 (3)'!$R$5:$R$289,$V1371)*$AB1371))</f>
        <v/>
      </c>
      <c r="AH1371" s="222" t="str">
        <f>IF($W1371=AH$3,$AB1371,IF(NOT($W1371=0),"",SUMIFS('Val-Vol (2)'!AH$4:AH$1858,'Val-Vol (2)'!$A$4:$A$1858,$D1371,'Val-Vol (2)'!$V$4:$V$1858,$V1371)/SUMIFS('Comp2016-2017 (3)'!$G$5:$G$289,'Comp2016-2017 (3)'!$A$5:$A$289,$D1371,'Comp2016-2017 (3)'!$R$5:$R$289,$V1371)*$AB1371))</f>
        <v/>
      </c>
      <c r="AI1371" s="222" t="str">
        <f>IF($W1371=AI$3,$AB1371,IF(NOT($W1371=0),"",SUMIFS('Val-Vol (2)'!AI$4:AI$1858,'Val-Vol (2)'!$A$4:$A$1858,$D1371,'Val-Vol (2)'!$V$4:$V$1858,$V1371)/SUMIFS('Comp2016-2017 (3)'!$G$5:$G$289,'Comp2016-2017 (3)'!$A$5:$A$289,$D1371,'Comp2016-2017 (3)'!$R$5:$R$289,$V1371)*$AB1371))</f>
        <v/>
      </c>
      <c r="AJ1371" s="222">
        <f>IF($W1371=AJ$3,$AB1371,IF(NOT($W1371=0),"",SUMIFS('Val-Vol (2)'!AJ$4:AJ$1858,'Val-Vol (2)'!$A$4:$A$1858,$D1371,'Val-Vol (2)'!$V$4:$V$1858,$V1371)/SUMIFS('Comp2016-2017 (3)'!$G$5:$G$289,'Comp2016-2017 (3)'!$A$5:$A$289,$D1371,'Comp2016-2017 (3)'!$R$5:$R$289,$V1371)*$AB1371))</f>
        <v>0</v>
      </c>
      <c r="AK1371" s="222">
        <f t="shared" si="159"/>
        <v>0</v>
      </c>
      <c r="AL1371" s="212" t="str">
        <f t="shared" si="160"/>
        <v/>
      </c>
      <c r="AM1371" s="212" t="str">
        <f>VLOOKUP(A1371,'Table corresp.'!$M$4:$U$63,8,FALSE)</f>
        <v>Production finale</v>
      </c>
      <c r="AN1371" s="212" t="str">
        <f>VLOOKUP(D1371,'Table corresp.'!$M$4:$U$63,9,FALSE)</f>
        <v>Consommation finale française</v>
      </c>
    </row>
    <row r="1372" spans="1:40" x14ac:dyDescent="0.25">
      <c r="A1372" t="s">
        <v>17</v>
      </c>
      <c r="B1372" t="str">
        <f>VLOOKUP(LEFT(A1372,3),'Table corresp.'!$A$4:$D$63,3,FALSE)</f>
        <v>Transformation</v>
      </c>
      <c r="C1372" t="str">
        <f>VLOOKUP(A1372,'Table corresp.'!$M$4:$P$63,4,FALSE)</f>
        <v>Production et transformation de produits bois</v>
      </c>
      <c r="D1372" t="s">
        <v>53</v>
      </c>
      <c r="E1372" t="str">
        <f>VLOOKUP(LEFT(D1372,3),'Table corresp.'!$A$4:$D$63,4,FALSE)</f>
        <v>Exportation</v>
      </c>
      <c r="F1372" t="str">
        <f t="shared" si="162"/>
        <v>38  - Exp</v>
      </c>
      <c r="G1372" s="213">
        <v>460631.95500000031</v>
      </c>
      <c r="H1372" s="213">
        <v>0</v>
      </c>
      <c r="I1372" s="213">
        <v>460631.95500000037</v>
      </c>
      <c r="J1372" s="215">
        <v>169.90434030610527</v>
      </c>
      <c r="K1372" s="215">
        <v>0</v>
      </c>
      <c r="L1372" s="215">
        <v>169.90434030610527</v>
      </c>
      <c r="M1372" s="215"/>
      <c r="N1372" s="215"/>
      <c r="O1372" s="215"/>
      <c r="P1372" s="215"/>
      <c r="Q1372" s="215"/>
      <c r="R1372" s="215"/>
      <c r="S1372" s="213"/>
      <c r="T1372" s="212">
        <f>VLOOKUP(A1372,'Groupe de branches'!$Z$27:$AM$86,14,FALSE)</f>
        <v>0</v>
      </c>
      <c r="U1372" s="212">
        <f>VLOOKUP(D1372,'Groupe de branches'!$Z$27:$AM$86,14,FALSE)</f>
        <v>0</v>
      </c>
      <c r="V1372" s="212">
        <v>2019</v>
      </c>
      <c r="W1372" s="212" t="str">
        <f>VLOOKUP(D1372,'Table corresp.'!$M$4:$S$63,7,FALSE)</f>
        <v>Exportation</v>
      </c>
      <c r="X1372" s="228">
        <f>IFERROR(G1372/SUMIFS('Comp2016-2017 (3)'!$I$5:$I$289,'Comp2016-2017 (3)'!$A$5:$A$289,A1372,'Comp2016-2017 (3)'!$R$5:$R$289,V1372),0)</f>
        <v>0.59068025452326078</v>
      </c>
      <c r="Y1372" s="214" t="e">
        <f>IF(RIGHT(F1372,3)="Exp",VLOOKUP(F1372,#REF!,2,FALSE),VLOOKUP(F1372,#REF!,9,FALSE))</f>
        <v>#REF!</v>
      </c>
      <c r="Z1372" s="225" t="str">
        <f t="shared" si="163"/>
        <v/>
      </c>
      <c r="AA1372" s="225" t="e">
        <f t="shared" si="158"/>
        <v>#VALUE!</v>
      </c>
      <c r="AB1372" s="222">
        <f>IFERROR(SUMIFS('Comp2016-2017 (3)'!$G$5:$G$289,'Comp2016-2017 (3)'!$A$5:$A$289,A1372,'Comp2016-2017 (3)'!$R$5:$R$289,V1372)*AA1372/SUMIFS($AA$4:$AA$1858,$A$4:$A$1858,A1372,$V$4:$V$1858,V1372),0)</f>
        <v>0</v>
      </c>
      <c r="AC1372" s="222">
        <f>IF($W1372=AC$3,$AB1372,IF(NOT($W1372=0),"",SUMIFS('Val-Vol (2)'!AC$4:AC$1858,'Val-Vol (2)'!$A$4:$A$1858,$D1372,'Val-Vol (2)'!$V$4:$V$1858,$V1372)/SUMIFS('Comp2016-2017 (3)'!$G$5:$G$289,'Comp2016-2017 (3)'!$A$5:$A$289,$D1372,'Comp2016-2017 (3)'!$R$5:$R$289,$V1372)*$AB1372))</f>
        <v>0</v>
      </c>
      <c r="AD1372" s="222" t="str">
        <f>IF($W1372=AD$3,$AB1372,IF(NOT($W1372=0),"",SUMIFS('Val-Vol (2)'!AD$4:AD$1858,'Val-Vol (2)'!$A$4:$A$1858,$D1372,'Val-Vol (2)'!$V$4:$V$1858,$V1372)/SUMIFS('Comp2016-2017 (3)'!$G$5:$G$289,'Comp2016-2017 (3)'!$A$5:$A$289,$D1372,'Comp2016-2017 (3)'!$R$5:$R$289,$V1372)*$AB1372))</f>
        <v/>
      </c>
      <c r="AE1372" s="222" t="str">
        <f>IF($W1372=AE$3,$AB1372,IF(NOT($W1372=0),"",SUMIFS('Val-Vol (2)'!AE$4:AE$1858,'Val-Vol (2)'!$A$4:$A$1858,$D1372,'Val-Vol (2)'!$V$4:$V$1858,$V1372)/SUMIFS('Comp2016-2017 (3)'!$G$5:$G$289,'Comp2016-2017 (3)'!$A$5:$A$289,$D1372,'Comp2016-2017 (3)'!$R$5:$R$289,$V1372)*$AB1372))</f>
        <v/>
      </c>
      <c r="AF1372" s="222" t="str">
        <f>IF($W1372=AF$3,$AB1372,IF(NOT($W1372=0),"",SUMIFS('Val-Vol (2)'!AF$4:AF$1858,'Val-Vol (2)'!$A$4:$A$1858,$D1372,'Val-Vol (2)'!$V$4:$V$1858,$V1372)/SUMIFS('Comp2016-2017 (3)'!$G$5:$G$289,'Comp2016-2017 (3)'!$A$5:$A$289,$D1372,'Comp2016-2017 (3)'!$R$5:$R$289,$V1372)*$AB1372))</f>
        <v/>
      </c>
      <c r="AG1372" s="222" t="str">
        <f>IF($W1372=AG$3,$AB1372,IF(NOT($W1372=0),"",SUMIFS('Val-Vol (2)'!AG$4:AG$1858,'Val-Vol (2)'!$A$4:$A$1858,$D1372,'Val-Vol (2)'!$V$4:$V$1858,$V1372)/SUMIFS('Comp2016-2017 (3)'!$G$5:$G$289,'Comp2016-2017 (3)'!$A$5:$A$289,$D1372,'Comp2016-2017 (3)'!$R$5:$R$289,$V1372)*$AB1372))</f>
        <v/>
      </c>
      <c r="AH1372" s="222" t="str">
        <f>IF($W1372=AH$3,$AB1372,IF(NOT($W1372=0),"",SUMIFS('Val-Vol (2)'!AH$4:AH$1858,'Val-Vol (2)'!$A$4:$A$1858,$D1372,'Val-Vol (2)'!$V$4:$V$1858,$V1372)/SUMIFS('Comp2016-2017 (3)'!$G$5:$G$289,'Comp2016-2017 (3)'!$A$5:$A$289,$D1372,'Comp2016-2017 (3)'!$R$5:$R$289,$V1372)*$AB1372))</f>
        <v/>
      </c>
      <c r="AI1372" s="222" t="str">
        <f>IF($W1372=AI$3,$AB1372,IF(NOT($W1372=0),"",SUMIFS('Val-Vol (2)'!AI$4:AI$1858,'Val-Vol (2)'!$A$4:$A$1858,$D1372,'Val-Vol (2)'!$V$4:$V$1858,$V1372)/SUMIFS('Comp2016-2017 (3)'!$G$5:$G$289,'Comp2016-2017 (3)'!$A$5:$A$289,$D1372,'Comp2016-2017 (3)'!$R$5:$R$289,$V1372)*$AB1372))</f>
        <v/>
      </c>
      <c r="AJ1372" s="222" t="str">
        <f>IF($W1372=AJ$3,$AB1372,IF(NOT($W1372=0),"",SUMIFS('Val-Vol (2)'!AJ$4:AJ$1858,'Val-Vol (2)'!$A$4:$A$1858,$D1372,'Val-Vol (2)'!$V$4:$V$1858,$V1372)/SUMIFS('Comp2016-2017 (3)'!$G$5:$G$289,'Comp2016-2017 (3)'!$A$5:$A$289,$D1372,'Comp2016-2017 (3)'!$R$5:$R$289,$V1372)*$AB1372))</f>
        <v/>
      </c>
      <c r="AK1372" s="222">
        <f t="shared" si="159"/>
        <v>0</v>
      </c>
      <c r="AL1372" s="212" t="str">
        <f t="shared" si="160"/>
        <v/>
      </c>
      <c r="AM1372" s="212" t="str">
        <f>VLOOKUP(A1372,'Table corresp.'!$M$4:$U$63,8,FALSE)</f>
        <v>Production finale</v>
      </c>
      <c r="AN1372" s="212" t="str">
        <f>VLOOKUP(D1372,'Table corresp.'!$M$4:$U$63,9,FALSE)</f>
        <v>Exportation</v>
      </c>
    </row>
    <row r="1373" spans="1:40" x14ac:dyDescent="0.25">
      <c r="A1373" t="s">
        <v>18</v>
      </c>
      <c r="B1373" t="str">
        <f>VLOOKUP(LEFT(A1373,3),'Table corresp.'!$A$4:$D$63,3,FALSE)</f>
        <v>Transformation</v>
      </c>
      <c r="C1373" t="str">
        <f>VLOOKUP(A1373,'Table corresp.'!$M$4:$P$63,4,FALSE)</f>
        <v>Production et transformation de produits bois</v>
      </c>
      <c r="D1373" t="s">
        <v>19</v>
      </c>
      <c r="E1373" t="str">
        <f>VLOOKUP(LEFT(D1373,3),'Table corresp.'!$A$4:$D$63,4,FALSE)</f>
        <v>Transformation</v>
      </c>
      <c r="F1373" t="str">
        <f t="shared" si="162"/>
        <v xml:space="preserve">39  - 52 </v>
      </c>
      <c r="G1373" s="213">
        <v>7586.3476384793375</v>
      </c>
      <c r="H1373" s="213">
        <v>6193.9831907155758</v>
      </c>
      <c r="I1373" s="213">
        <v>13780.330829194914</v>
      </c>
      <c r="J1373" s="215">
        <v>11.070172513483708</v>
      </c>
      <c r="K1373" s="215">
        <v>16.014714622802064</v>
      </c>
      <c r="L1373" s="215">
        <v>27.084887136285772</v>
      </c>
      <c r="M1373" s="215">
        <v>3.3073171911793571</v>
      </c>
      <c r="N1373" s="215">
        <v>4.7845452199874288</v>
      </c>
      <c r="O1373" s="215">
        <v>8.0918624111667867</v>
      </c>
      <c r="P1373" s="215">
        <v>1.2649168227626437</v>
      </c>
      <c r="Q1373" s="215">
        <v>1.8298975841118492</v>
      </c>
      <c r="R1373" s="215">
        <v>3.0948144068744927</v>
      </c>
      <c r="S1373" s="213" t="s">
        <v>192</v>
      </c>
      <c r="T1373" s="212">
        <f>VLOOKUP(A1373,'Groupe de branches'!$Z$27:$AM$86,14,FALSE)</f>
        <v>0</v>
      </c>
      <c r="U1373" s="212">
        <f>VLOOKUP(D1373,'Groupe de branches'!$Z$27:$AM$86,14,FALSE)</f>
        <v>0</v>
      </c>
      <c r="V1373" s="212">
        <v>2019</v>
      </c>
      <c r="W1373" s="212" t="str">
        <f>VLOOKUP(D1373,'Table corresp.'!$M$4:$S$63,7,FALSE)</f>
        <v>Construction</v>
      </c>
      <c r="X1373" s="228">
        <f>IFERROR(G1373/SUMIFS('Comp2016-2017 (3)'!$I$5:$I$289,'Comp2016-2017 (3)'!$A$5:$A$289,A1373,'Comp2016-2017 (3)'!$R$5:$R$289,V1373),0)</f>
        <v>0.28310108354267915</v>
      </c>
      <c r="Y1373" s="214" t="e">
        <f>IF(RIGHT(F1373,3)="Exp",VLOOKUP(F1373,#REF!,2,FALSE),VLOOKUP(F1373,#REF!,9,FALSE))</f>
        <v>#REF!</v>
      </c>
      <c r="Z1373" s="225" t="str">
        <f t="shared" si="163"/>
        <v/>
      </c>
      <c r="AA1373" s="225" t="e">
        <f t="shared" ref="AA1373:AA1436" si="164">X1373*Z1373</f>
        <v>#VALUE!</v>
      </c>
      <c r="AB1373" s="222">
        <f>IFERROR(SUMIFS('Comp2016-2017 (3)'!$G$5:$G$289,'Comp2016-2017 (3)'!$A$5:$A$289,A1373,'Comp2016-2017 (3)'!$R$5:$R$289,V1373)*AA1373/SUMIFS($AA$4:$AA$1858,$A$4:$A$1858,A1373,$V$4:$V$1858,V1373),0)</f>
        <v>0</v>
      </c>
      <c r="AC1373" s="222" t="str">
        <f>IF($W1373=AC$3,$AB1373,IF(NOT($W1373=0),"",SUMIFS('Val-Vol (2)'!AC$4:AC$1858,'Val-Vol (2)'!$A$4:$A$1858,$D1373,'Val-Vol (2)'!$V$4:$V$1858,$V1373)/SUMIFS('Comp2016-2017 (3)'!$G$5:$G$289,'Comp2016-2017 (3)'!$A$5:$A$289,$D1373,'Comp2016-2017 (3)'!$R$5:$R$289,$V1373)*$AB1373))</f>
        <v/>
      </c>
      <c r="AD1373" s="222">
        <f>IF($W1373=AD$3,$AB1373,IF(NOT($W1373=0),"",SUMIFS('Val-Vol (2)'!AD$4:AD$1858,'Val-Vol (2)'!$A$4:$A$1858,$D1373,'Val-Vol (2)'!$V$4:$V$1858,$V1373)/SUMIFS('Comp2016-2017 (3)'!$G$5:$G$289,'Comp2016-2017 (3)'!$A$5:$A$289,$D1373,'Comp2016-2017 (3)'!$R$5:$R$289,$V1373)*$AB1373))</f>
        <v>0</v>
      </c>
      <c r="AE1373" s="222" t="str">
        <f>IF($W1373=AE$3,$AB1373,IF(NOT($W1373=0),"",SUMIFS('Val-Vol (2)'!AE$4:AE$1858,'Val-Vol (2)'!$A$4:$A$1858,$D1373,'Val-Vol (2)'!$V$4:$V$1858,$V1373)/SUMIFS('Comp2016-2017 (3)'!$G$5:$G$289,'Comp2016-2017 (3)'!$A$5:$A$289,$D1373,'Comp2016-2017 (3)'!$R$5:$R$289,$V1373)*$AB1373))</f>
        <v/>
      </c>
      <c r="AF1373" s="222" t="str">
        <f>IF($W1373=AF$3,$AB1373,IF(NOT($W1373=0),"",SUMIFS('Val-Vol (2)'!AF$4:AF$1858,'Val-Vol (2)'!$A$4:$A$1858,$D1373,'Val-Vol (2)'!$V$4:$V$1858,$V1373)/SUMIFS('Comp2016-2017 (3)'!$G$5:$G$289,'Comp2016-2017 (3)'!$A$5:$A$289,$D1373,'Comp2016-2017 (3)'!$R$5:$R$289,$V1373)*$AB1373))</f>
        <v/>
      </c>
      <c r="AG1373" s="222" t="str">
        <f>IF($W1373=AG$3,$AB1373,IF(NOT($W1373=0),"",SUMIFS('Val-Vol (2)'!AG$4:AG$1858,'Val-Vol (2)'!$A$4:$A$1858,$D1373,'Val-Vol (2)'!$V$4:$V$1858,$V1373)/SUMIFS('Comp2016-2017 (3)'!$G$5:$G$289,'Comp2016-2017 (3)'!$A$5:$A$289,$D1373,'Comp2016-2017 (3)'!$R$5:$R$289,$V1373)*$AB1373))</f>
        <v/>
      </c>
      <c r="AH1373" s="222" t="str">
        <f>IF($W1373=AH$3,$AB1373,IF(NOT($W1373=0),"",SUMIFS('Val-Vol (2)'!AH$4:AH$1858,'Val-Vol (2)'!$A$4:$A$1858,$D1373,'Val-Vol (2)'!$V$4:$V$1858,$V1373)/SUMIFS('Comp2016-2017 (3)'!$G$5:$G$289,'Comp2016-2017 (3)'!$A$5:$A$289,$D1373,'Comp2016-2017 (3)'!$R$5:$R$289,$V1373)*$AB1373))</f>
        <v/>
      </c>
      <c r="AI1373" s="222" t="str">
        <f>IF($W1373=AI$3,$AB1373,IF(NOT($W1373=0),"",SUMIFS('Val-Vol (2)'!AI$4:AI$1858,'Val-Vol (2)'!$A$4:$A$1858,$D1373,'Val-Vol (2)'!$V$4:$V$1858,$V1373)/SUMIFS('Comp2016-2017 (3)'!$G$5:$G$289,'Comp2016-2017 (3)'!$A$5:$A$289,$D1373,'Comp2016-2017 (3)'!$R$5:$R$289,$V1373)*$AB1373))</f>
        <v/>
      </c>
      <c r="AJ1373" s="222" t="str">
        <f>IF($W1373=AJ$3,$AB1373,IF(NOT($W1373=0),"",SUMIFS('Val-Vol (2)'!AJ$4:AJ$1858,'Val-Vol (2)'!$A$4:$A$1858,$D1373,'Val-Vol (2)'!$V$4:$V$1858,$V1373)/SUMIFS('Comp2016-2017 (3)'!$G$5:$G$289,'Comp2016-2017 (3)'!$A$5:$A$289,$D1373,'Comp2016-2017 (3)'!$R$5:$R$289,$V1373)*$AB1373))</f>
        <v/>
      </c>
      <c r="AK1373" s="222">
        <f t="shared" ref="AK1373:AK1436" si="165">SUM(AC1373:AJ1373)-AB1373</f>
        <v>0</v>
      </c>
      <c r="AL1373" s="212" t="str">
        <f t="shared" si="160"/>
        <v/>
      </c>
      <c r="AM1373" s="212" t="str">
        <f>VLOOKUP(A1373,'Table corresp.'!$M$4:$U$63,8,FALSE)</f>
        <v>Production finale</v>
      </c>
      <c r="AN1373" s="212" t="str">
        <f>VLOOKUP(D1373,'Table corresp.'!$M$4:$U$63,9,FALSE)</f>
        <v xml:space="preserve">Mise en œuvre </v>
      </c>
    </row>
    <row r="1374" spans="1:40" x14ac:dyDescent="0.25">
      <c r="A1374" t="s">
        <v>18</v>
      </c>
      <c r="B1374" t="str">
        <f>VLOOKUP(LEFT(A1374,3),'Table corresp.'!$A$4:$D$63,3,FALSE)</f>
        <v>Transformation</v>
      </c>
      <c r="C1374" t="str">
        <f>VLOOKUP(A1374,'Table corresp.'!$M$4:$P$63,4,FALSE)</f>
        <v>Production et transformation de produits bois</v>
      </c>
      <c r="D1374" t="s">
        <v>25</v>
      </c>
      <c r="E1374" t="str">
        <f>VLOOKUP(LEFT(D1374,3),'Table corresp.'!$A$4:$D$63,4,FALSE)</f>
        <v>Transformation</v>
      </c>
      <c r="F1374" t="str">
        <f t="shared" si="162"/>
        <v xml:space="preserve">39  - 58 </v>
      </c>
      <c r="G1374" s="213">
        <v>2139.9370914737551</v>
      </c>
      <c r="H1374" s="213">
        <v>3492.4430517350174</v>
      </c>
      <c r="I1374" s="213">
        <v>5632.3801432087721</v>
      </c>
      <c r="J1374" s="215">
        <v>0.50303329844142064</v>
      </c>
      <c r="K1374" s="215">
        <v>2.1819452700369864</v>
      </c>
      <c r="L1374" s="215">
        <v>2.6849785684784071</v>
      </c>
      <c r="M1374" s="215">
        <v>0.1502858852149373</v>
      </c>
      <c r="N1374" s="215">
        <v>0.65187648096866579</v>
      </c>
      <c r="O1374" s="215">
        <v>0.80216236618360304</v>
      </c>
      <c r="P1374" s="215">
        <v>5.7478352829037953E-2</v>
      </c>
      <c r="Q1374" s="215">
        <v>0.24931673603599669</v>
      </c>
      <c r="R1374" s="215">
        <v>0.30679508886503465</v>
      </c>
      <c r="S1374" s="213"/>
      <c r="T1374" s="212">
        <f>VLOOKUP(A1374,'Groupe de branches'!$Z$27:$AM$86,14,FALSE)</f>
        <v>0</v>
      </c>
      <c r="U1374" s="212">
        <f>VLOOKUP(D1374,'Groupe de branches'!$Z$27:$AM$86,14,FALSE)</f>
        <v>0</v>
      </c>
      <c r="V1374" s="212">
        <v>2019</v>
      </c>
      <c r="W1374" s="212" t="str">
        <f>VLOOKUP(D1374,'Table corresp.'!$M$4:$S$63,7,FALSE)</f>
        <v>Construction</v>
      </c>
      <c r="X1374" s="228">
        <f>IFERROR(G1374/SUMIFS('Comp2016-2017 (3)'!$I$5:$I$289,'Comp2016-2017 (3)'!$A$5:$A$289,A1374,'Comp2016-2017 (3)'!$R$5:$R$289,V1374),0)</f>
        <v>7.9856412885242367E-2</v>
      </c>
      <c r="Y1374" s="214" t="e">
        <f>IF(RIGHT(F1374,3)="Exp",VLOOKUP(F1374,#REF!,2,FALSE),VLOOKUP(F1374,#REF!,9,FALSE))</f>
        <v>#REF!</v>
      </c>
      <c r="Z1374" s="225" t="str">
        <f t="shared" si="163"/>
        <v/>
      </c>
      <c r="AA1374" s="225" t="e">
        <f t="shared" si="164"/>
        <v>#VALUE!</v>
      </c>
      <c r="AB1374" s="222">
        <f>IFERROR(SUMIFS('Comp2016-2017 (3)'!$G$5:$G$289,'Comp2016-2017 (3)'!$A$5:$A$289,A1374,'Comp2016-2017 (3)'!$R$5:$R$289,V1374)*AA1374/SUMIFS($AA$4:$AA$1858,$A$4:$A$1858,A1374,$V$4:$V$1858,V1374),0)</f>
        <v>0</v>
      </c>
      <c r="AC1374" s="222" t="str">
        <f>IF($W1374=AC$3,$AB1374,IF(NOT($W1374=0),"",SUMIFS('Val-Vol (2)'!AC$4:AC$1858,'Val-Vol (2)'!$A$4:$A$1858,$D1374,'Val-Vol (2)'!$V$4:$V$1858,$V1374)/SUMIFS('Comp2016-2017 (3)'!$G$5:$G$289,'Comp2016-2017 (3)'!$A$5:$A$289,$D1374,'Comp2016-2017 (3)'!$R$5:$R$289,$V1374)*$AB1374))</f>
        <v/>
      </c>
      <c r="AD1374" s="222">
        <f>IF($W1374=AD$3,$AB1374,IF(NOT($W1374=0),"",SUMIFS('Val-Vol (2)'!AD$4:AD$1858,'Val-Vol (2)'!$A$4:$A$1858,$D1374,'Val-Vol (2)'!$V$4:$V$1858,$V1374)/SUMIFS('Comp2016-2017 (3)'!$G$5:$G$289,'Comp2016-2017 (3)'!$A$5:$A$289,$D1374,'Comp2016-2017 (3)'!$R$5:$R$289,$V1374)*$AB1374))</f>
        <v>0</v>
      </c>
      <c r="AE1374" s="222" t="str">
        <f>IF($W1374=AE$3,$AB1374,IF(NOT($W1374=0),"",SUMIFS('Val-Vol (2)'!AE$4:AE$1858,'Val-Vol (2)'!$A$4:$A$1858,$D1374,'Val-Vol (2)'!$V$4:$V$1858,$V1374)/SUMIFS('Comp2016-2017 (3)'!$G$5:$G$289,'Comp2016-2017 (3)'!$A$5:$A$289,$D1374,'Comp2016-2017 (3)'!$R$5:$R$289,$V1374)*$AB1374))</f>
        <v/>
      </c>
      <c r="AF1374" s="222" t="str">
        <f>IF($W1374=AF$3,$AB1374,IF(NOT($W1374=0),"",SUMIFS('Val-Vol (2)'!AF$4:AF$1858,'Val-Vol (2)'!$A$4:$A$1858,$D1374,'Val-Vol (2)'!$V$4:$V$1858,$V1374)/SUMIFS('Comp2016-2017 (3)'!$G$5:$G$289,'Comp2016-2017 (3)'!$A$5:$A$289,$D1374,'Comp2016-2017 (3)'!$R$5:$R$289,$V1374)*$AB1374))</f>
        <v/>
      </c>
      <c r="AG1374" s="222" t="str">
        <f>IF($W1374=AG$3,$AB1374,IF(NOT($W1374=0),"",SUMIFS('Val-Vol (2)'!AG$4:AG$1858,'Val-Vol (2)'!$A$4:$A$1858,$D1374,'Val-Vol (2)'!$V$4:$V$1858,$V1374)/SUMIFS('Comp2016-2017 (3)'!$G$5:$G$289,'Comp2016-2017 (3)'!$A$5:$A$289,$D1374,'Comp2016-2017 (3)'!$R$5:$R$289,$V1374)*$AB1374))</f>
        <v/>
      </c>
      <c r="AH1374" s="222" t="str">
        <f>IF($W1374=AH$3,$AB1374,IF(NOT($W1374=0),"",SUMIFS('Val-Vol (2)'!AH$4:AH$1858,'Val-Vol (2)'!$A$4:$A$1858,$D1374,'Val-Vol (2)'!$V$4:$V$1858,$V1374)/SUMIFS('Comp2016-2017 (3)'!$G$5:$G$289,'Comp2016-2017 (3)'!$A$5:$A$289,$D1374,'Comp2016-2017 (3)'!$R$5:$R$289,$V1374)*$AB1374))</f>
        <v/>
      </c>
      <c r="AI1374" s="222" t="str">
        <f>IF($W1374=AI$3,$AB1374,IF(NOT($W1374=0),"",SUMIFS('Val-Vol (2)'!AI$4:AI$1858,'Val-Vol (2)'!$A$4:$A$1858,$D1374,'Val-Vol (2)'!$V$4:$V$1858,$V1374)/SUMIFS('Comp2016-2017 (3)'!$G$5:$G$289,'Comp2016-2017 (3)'!$A$5:$A$289,$D1374,'Comp2016-2017 (3)'!$R$5:$R$289,$V1374)*$AB1374))</f>
        <v/>
      </c>
      <c r="AJ1374" s="222" t="str">
        <f>IF($W1374=AJ$3,$AB1374,IF(NOT($W1374=0),"",SUMIFS('Val-Vol (2)'!AJ$4:AJ$1858,'Val-Vol (2)'!$A$4:$A$1858,$D1374,'Val-Vol (2)'!$V$4:$V$1858,$V1374)/SUMIFS('Comp2016-2017 (3)'!$G$5:$G$289,'Comp2016-2017 (3)'!$A$5:$A$289,$D1374,'Comp2016-2017 (3)'!$R$5:$R$289,$V1374)*$AB1374))</f>
        <v/>
      </c>
      <c r="AK1374" s="222">
        <f t="shared" si="165"/>
        <v>0</v>
      </c>
      <c r="AL1374" s="212" t="str">
        <f t="shared" ref="AL1374:AL1437" si="166">IF(A1374=D1374,"remplir à la main","")</f>
        <v/>
      </c>
      <c r="AM1374" s="212" t="str">
        <f>VLOOKUP(A1374,'Table corresp.'!$M$4:$U$63,8,FALSE)</f>
        <v>Production finale</v>
      </c>
      <c r="AN1374" s="212" t="str">
        <f>VLOOKUP(D1374,'Table corresp.'!$M$4:$U$63,9,FALSE)</f>
        <v xml:space="preserve">Mise en œuvre </v>
      </c>
    </row>
    <row r="1375" spans="1:40" x14ac:dyDescent="0.25">
      <c r="A1375" t="s">
        <v>18</v>
      </c>
      <c r="B1375" t="str">
        <f>VLOOKUP(LEFT(A1375,3),'Table corresp.'!$A$4:$D$63,3,FALSE)</f>
        <v>Transformation</v>
      </c>
      <c r="C1375" t="str">
        <f>VLOOKUP(A1375,'Table corresp.'!$M$4:$P$63,4,FALSE)</f>
        <v>Production et transformation de produits bois</v>
      </c>
      <c r="D1375" t="s">
        <v>26</v>
      </c>
      <c r="E1375" t="str">
        <f>VLOOKUP(LEFT(D1375,3),'Table corresp.'!$A$4:$D$63,4,FALSE)</f>
        <v>Transformation</v>
      </c>
      <c r="F1375" t="str">
        <f t="shared" si="162"/>
        <v xml:space="preserve">39  - 59 </v>
      </c>
      <c r="G1375" s="213">
        <v>13919.916749202788</v>
      </c>
      <c r="H1375" s="213">
        <v>6980.3677575494057</v>
      </c>
      <c r="I1375" s="213">
        <v>20900.284506752196</v>
      </c>
      <c r="J1375" s="215">
        <v>3.9265724198793817</v>
      </c>
      <c r="K1375" s="215">
        <v>4.3610676498037906</v>
      </c>
      <c r="L1375" s="215">
        <v>8.2876400696831727</v>
      </c>
      <c r="M1375" s="215">
        <v>1.1731000985630591</v>
      </c>
      <c r="N1375" s="215">
        <v>1.3029095971651914</v>
      </c>
      <c r="O1375" s="215">
        <v>2.4760096957282505</v>
      </c>
      <c r="P1375" s="215">
        <v>0.44866396649660145</v>
      </c>
      <c r="Q1375" s="215">
        <v>0.49831091870733557</v>
      </c>
      <c r="R1375" s="215">
        <v>0.94697488520393702</v>
      </c>
      <c r="S1375" s="213" t="s">
        <v>192</v>
      </c>
      <c r="T1375" s="212">
        <f>VLOOKUP(A1375,'Groupe de branches'!$Z$27:$AM$86,14,FALSE)</f>
        <v>0</v>
      </c>
      <c r="U1375" s="212">
        <f>VLOOKUP(D1375,'Groupe de branches'!$Z$27:$AM$86,14,FALSE)</f>
        <v>0</v>
      </c>
      <c r="V1375" s="212">
        <v>2019</v>
      </c>
      <c r="W1375" s="212" t="str">
        <f>VLOOKUP(D1375,'Table corresp.'!$M$4:$S$63,7,FALSE)</f>
        <v>Construction</v>
      </c>
      <c r="X1375" s="228">
        <f>IFERROR(G1375/SUMIFS('Comp2016-2017 (3)'!$I$5:$I$289,'Comp2016-2017 (3)'!$A$5:$A$289,A1375,'Comp2016-2017 (3)'!$R$5:$R$289,V1375),0)</f>
        <v>0.51945200804337366</v>
      </c>
      <c r="Y1375" s="214" t="e">
        <f>IF(RIGHT(F1375,3)="Exp",VLOOKUP(F1375,#REF!,2,FALSE),VLOOKUP(F1375,#REF!,9,FALSE))</f>
        <v>#REF!</v>
      </c>
      <c r="Z1375" s="225" t="str">
        <f t="shared" si="163"/>
        <v/>
      </c>
      <c r="AA1375" s="225" t="e">
        <f t="shared" si="164"/>
        <v>#VALUE!</v>
      </c>
      <c r="AB1375" s="222">
        <f>IFERROR(SUMIFS('Comp2016-2017 (3)'!$G$5:$G$289,'Comp2016-2017 (3)'!$A$5:$A$289,A1375,'Comp2016-2017 (3)'!$R$5:$R$289,V1375)*AA1375/SUMIFS($AA$4:$AA$1858,$A$4:$A$1858,A1375,$V$4:$V$1858,V1375),0)</f>
        <v>0</v>
      </c>
      <c r="AC1375" s="222" t="str">
        <f>IF($W1375=AC$3,$AB1375,IF(NOT($W1375=0),"",SUMIFS('Val-Vol (2)'!AC$4:AC$1858,'Val-Vol (2)'!$A$4:$A$1858,$D1375,'Val-Vol (2)'!$V$4:$V$1858,$V1375)/SUMIFS('Comp2016-2017 (3)'!$G$5:$G$289,'Comp2016-2017 (3)'!$A$5:$A$289,$D1375,'Comp2016-2017 (3)'!$R$5:$R$289,$V1375)*$AB1375))</f>
        <v/>
      </c>
      <c r="AD1375" s="222">
        <f>IF($W1375=AD$3,$AB1375,IF(NOT($W1375=0),"",SUMIFS('Val-Vol (2)'!AD$4:AD$1858,'Val-Vol (2)'!$A$4:$A$1858,$D1375,'Val-Vol (2)'!$V$4:$V$1858,$V1375)/SUMIFS('Comp2016-2017 (3)'!$G$5:$G$289,'Comp2016-2017 (3)'!$A$5:$A$289,$D1375,'Comp2016-2017 (3)'!$R$5:$R$289,$V1375)*$AB1375))</f>
        <v>0</v>
      </c>
      <c r="AE1375" s="222" t="str">
        <f>IF($W1375=AE$3,$AB1375,IF(NOT($W1375=0),"",SUMIFS('Val-Vol (2)'!AE$4:AE$1858,'Val-Vol (2)'!$A$4:$A$1858,$D1375,'Val-Vol (2)'!$V$4:$V$1858,$V1375)/SUMIFS('Comp2016-2017 (3)'!$G$5:$G$289,'Comp2016-2017 (3)'!$A$5:$A$289,$D1375,'Comp2016-2017 (3)'!$R$5:$R$289,$V1375)*$AB1375))</f>
        <v/>
      </c>
      <c r="AF1375" s="222" t="str">
        <f>IF($W1375=AF$3,$AB1375,IF(NOT($W1375=0),"",SUMIFS('Val-Vol (2)'!AF$4:AF$1858,'Val-Vol (2)'!$A$4:$A$1858,$D1375,'Val-Vol (2)'!$V$4:$V$1858,$V1375)/SUMIFS('Comp2016-2017 (3)'!$G$5:$G$289,'Comp2016-2017 (3)'!$A$5:$A$289,$D1375,'Comp2016-2017 (3)'!$R$5:$R$289,$V1375)*$AB1375))</f>
        <v/>
      </c>
      <c r="AG1375" s="222" t="str">
        <f>IF($W1375=AG$3,$AB1375,IF(NOT($W1375=0),"",SUMIFS('Val-Vol (2)'!AG$4:AG$1858,'Val-Vol (2)'!$A$4:$A$1858,$D1375,'Val-Vol (2)'!$V$4:$V$1858,$V1375)/SUMIFS('Comp2016-2017 (3)'!$G$5:$G$289,'Comp2016-2017 (3)'!$A$5:$A$289,$D1375,'Comp2016-2017 (3)'!$R$5:$R$289,$V1375)*$AB1375))</f>
        <v/>
      </c>
      <c r="AH1375" s="222" t="str">
        <f>IF($W1375=AH$3,$AB1375,IF(NOT($W1375=0),"",SUMIFS('Val-Vol (2)'!AH$4:AH$1858,'Val-Vol (2)'!$A$4:$A$1858,$D1375,'Val-Vol (2)'!$V$4:$V$1858,$V1375)/SUMIFS('Comp2016-2017 (3)'!$G$5:$G$289,'Comp2016-2017 (3)'!$A$5:$A$289,$D1375,'Comp2016-2017 (3)'!$R$5:$R$289,$V1375)*$AB1375))</f>
        <v/>
      </c>
      <c r="AI1375" s="222" t="str">
        <f>IF($W1375=AI$3,$AB1375,IF(NOT($W1375=0),"",SUMIFS('Val-Vol (2)'!AI$4:AI$1858,'Val-Vol (2)'!$A$4:$A$1858,$D1375,'Val-Vol (2)'!$V$4:$V$1858,$V1375)/SUMIFS('Comp2016-2017 (3)'!$G$5:$G$289,'Comp2016-2017 (3)'!$A$5:$A$289,$D1375,'Comp2016-2017 (3)'!$R$5:$R$289,$V1375)*$AB1375))</f>
        <v/>
      </c>
      <c r="AJ1375" s="222" t="str">
        <f>IF($W1375=AJ$3,$AB1375,IF(NOT($W1375=0),"",SUMIFS('Val-Vol (2)'!AJ$4:AJ$1858,'Val-Vol (2)'!$A$4:$A$1858,$D1375,'Val-Vol (2)'!$V$4:$V$1858,$V1375)/SUMIFS('Comp2016-2017 (3)'!$G$5:$G$289,'Comp2016-2017 (3)'!$A$5:$A$289,$D1375,'Comp2016-2017 (3)'!$R$5:$R$289,$V1375)*$AB1375))</f>
        <v/>
      </c>
      <c r="AK1375" s="222">
        <f t="shared" si="165"/>
        <v>0</v>
      </c>
      <c r="AL1375" s="212" t="str">
        <f t="shared" si="166"/>
        <v/>
      </c>
      <c r="AM1375" s="212" t="str">
        <f>VLOOKUP(A1375,'Table corresp.'!$M$4:$U$63,8,FALSE)</f>
        <v>Production finale</v>
      </c>
      <c r="AN1375" s="212" t="str">
        <f>VLOOKUP(D1375,'Table corresp.'!$M$4:$U$63,9,FALSE)</f>
        <v xml:space="preserve">Mise en œuvre </v>
      </c>
    </row>
    <row r="1376" spans="1:40" x14ac:dyDescent="0.25">
      <c r="A1376" t="s">
        <v>18</v>
      </c>
      <c r="B1376" t="str">
        <f>VLOOKUP(LEFT(A1376,3),'Table corresp.'!$A$4:$D$63,3,FALSE)</f>
        <v>Transformation</v>
      </c>
      <c r="C1376" t="str">
        <f>VLOOKUP(A1376,'Table corresp.'!$M$4:$P$63,4,FALSE)</f>
        <v>Production et transformation de produits bois</v>
      </c>
      <c r="D1376" t="s">
        <v>54</v>
      </c>
      <c r="E1376" t="str">
        <f>VLOOKUP(LEFT(D1376,3),'Table corresp.'!$A$4:$D$63,4,FALSE)</f>
        <v>Consommation finale</v>
      </c>
      <c r="F1376" t="str">
        <f t="shared" si="162"/>
        <v>39  - Con</v>
      </c>
      <c r="G1376" s="213">
        <v>1255.1265824622053</v>
      </c>
      <c r="H1376" s="213">
        <v>0</v>
      </c>
      <c r="I1376" s="213">
        <v>1255.1265824622053</v>
      </c>
      <c r="J1376" s="215">
        <v>1.4652076025243641</v>
      </c>
      <c r="K1376" s="215">
        <v>0</v>
      </c>
      <c r="L1376" s="215">
        <v>1.4652076025243641</v>
      </c>
      <c r="M1376" s="215">
        <v>0.43774442417885556</v>
      </c>
      <c r="N1376" s="215">
        <v>0</v>
      </c>
      <c r="O1376" s="215">
        <v>0.43774442417885556</v>
      </c>
      <c r="P1376" s="215">
        <v>0.16741977083151593</v>
      </c>
      <c r="Q1376" s="215">
        <v>0</v>
      </c>
      <c r="R1376" s="215">
        <v>0.16741977083151593</v>
      </c>
      <c r="S1376" s="213"/>
      <c r="T1376" s="212">
        <f>VLOOKUP(A1376,'Groupe de branches'!$Z$27:$AM$86,14,FALSE)</f>
        <v>0</v>
      </c>
      <c r="U1376" s="212">
        <f>VLOOKUP(D1376,'Groupe de branches'!$Z$27:$AM$86,14,FALSE)</f>
        <v>0</v>
      </c>
      <c r="V1376" s="212">
        <v>2019</v>
      </c>
      <c r="W1376" s="212" t="str">
        <f>VLOOKUP(D1376,'Table corresp.'!$M$4:$S$63,7,FALSE)</f>
        <v>Consommation finale</v>
      </c>
      <c r="X1376" s="228">
        <f>IFERROR(G1376/SUMIFS('Comp2016-2017 (3)'!$I$5:$I$289,'Comp2016-2017 (3)'!$A$5:$A$289,A1376,'Comp2016-2017 (3)'!$R$5:$R$289,V1376),0)</f>
        <v>4.6837781816902686E-2</v>
      </c>
      <c r="Y1376" s="214" t="e">
        <f>IF(RIGHT(F1376,3)="Exp",VLOOKUP(F1376,#REF!,2,FALSE),VLOOKUP(F1376,#REF!,9,FALSE))</f>
        <v>#REF!</v>
      </c>
      <c r="Z1376" s="225" t="str">
        <f t="shared" si="163"/>
        <v/>
      </c>
      <c r="AA1376" s="225" t="e">
        <f t="shared" si="164"/>
        <v>#VALUE!</v>
      </c>
      <c r="AB1376" s="222">
        <f>IFERROR(SUMIFS('Comp2016-2017 (3)'!$G$5:$G$289,'Comp2016-2017 (3)'!$A$5:$A$289,A1376,'Comp2016-2017 (3)'!$R$5:$R$289,V1376)*AA1376/SUMIFS($AA$4:$AA$1858,$A$4:$A$1858,A1376,$V$4:$V$1858,V1376),0)</f>
        <v>0</v>
      </c>
      <c r="AC1376" s="222" t="str">
        <f>IF($W1376=AC$3,$AB1376,IF(NOT($W1376=0),"",SUMIFS('Val-Vol (2)'!AC$4:AC$1858,'Val-Vol (2)'!$A$4:$A$1858,$D1376,'Val-Vol (2)'!$V$4:$V$1858,$V1376)/SUMIFS('Comp2016-2017 (3)'!$G$5:$G$289,'Comp2016-2017 (3)'!$A$5:$A$289,$D1376,'Comp2016-2017 (3)'!$R$5:$R$289,$V1376)*$AB1376))</f>
        <v/>
      </c>
      <c r="AD1376" s="222" t="str">
        <f>IF($W1376=AD$3,$AB1376,IF(NOT($W1376=0),"",SUMIFS('Val-Vol (2)'!AD$4:AD$1858,'Val-Vol (2)'!$A$4:$A$1858,$D1376,'Val-Vol (2)'!$V$4:$V$1858,$V1376)/SUMIFS('Comp2016-2017 (3)'!$G$5:$G$289,'Comp2016-2017 (3)'!$A$5:$A$289,$D1376,'Comp2016-2017 (3)'!$R$5:$R$289,$V1376)*$AB1376))</f>
        <v/>
      </c>
      <c r="AE1376" s="222" t="str">
        <f>IF($W1376=AE$3,$AB1376,IF(NOT($W1376=0),"",SUMIFS('Val-Vol (2)'!AE$4:AE$1858,'Val-Vol (2)'!$A$4:$A$1858,$D1376,'Val-Vol (2)'!$V$4:$V$1858,$V1376)/SUMIFS('Comp2016-2017 (3)'!$G$5:$G$289,'Comp2016-2017 (3)'!$A$5:$A$289,$D1376,'Comp2016-2017 (3)'!$R$5:$R$289,$V1376)*$AB1376))</f>
        <v/>
      </c>
      <c r="AF1376" s="222" t="str">
        <f>IF($W1376=AF$3,$AB1376,IF(NOT($W1376=0),"",SUMIFS('Val-Vol (2)'!AF$4:AF$1858,'Val-Vol (2)'!$A$4:$A$1858,$D1376,'Val-Vol (2)'!$V$4:$V$1858,$V1376)/SUMIFS('Comp2016-2017 (3)'!$G$5:$G$289,'Comp2016-2017 (3)'!$A$5:$A$289,$D1376,'Comp2016-2017 (3)'!$R$5:$R$289,$V1376)*$AB1376))</f>
        <v/>
      </c>
      <c r="AG1376" s="222" t="str">
        <f>IF($W1376=AG$3,$AB1376,IF(NOT($W1376=0),"",SUMIFS('Val-Vol (2)'!AG$4:AG$1858,'Val-Vol (2)'!$A$4:$A$1858,$D1376,'Val-Vol (2)'!$V$4:$V$1858,$V1376)/SUMIFS('Comp2016-2017 (3)'!$G$5:$G$289,'Comp2016-2017 (3)'!$A$5:$A$289,$D1376,'Comp2016-2017 (3)'!$R$5:$R$289,$V1376)*$AB1376))</f>
        <v/>
      </c>
      <c r="AH1376" s="222" t="str">
        <f>IF($W1376=AH$3,$AB1376,IF(NOT($W1376=0),"",SUMIFS('Val-Vol (2)'!AH$4:AH$1858,'Val-Vol (2)'!$A$4:$A$1858,$D1376,'Val-Vol (2)'!$V$4:$V$1858,$V1376)/SUMIFS('Comp2016-2017 (3)'!$G$5:$G$289,'Comp2016-2017 (3)'!$A$5:$A$289,$D1376,'Comp2016-2017 (3)'!$R$5:$R$289,$V1376)*$AB1376))</f>
        <v/>
      </c>
      <c r="AI1376" s="222" t="str">
        <f>IF($W1376=AI$3,$AB1376,IF(NOT($W1376=0),"",SUMIFS('Val-Vol (2)'!AI$4:AI$1858,'Val-Vol (2)'!$A$4:$A$1858,$D1376,'Val-Vol (2)'!$V$4:$V$1858,$V1376)/SUMIFS('Comp2016-2017 (3)'!$G$5:$G$289,'Comp2016-2017 (3)'!$A$5:$A$289,$D1376,'Comp2016-2017 (3)'!$R$5:$R$289,$V1376)*$AB1376))</f>
        <v/>
      </c>
      <c r="AJ1376" s="222">
        <f>IF($W1376=AJ$3,$AB1376,IF(NOT($W1376=0),"",SUMIFS('Val-Vol (2)'!AJ$4:AJ$1858,'Val-Vol (2)'!$A$4:$A$1858,$D1376,'Val-Vol (2)'!$V$4:$V$1858,$V1376)/SUMIFS('Comp2016-2017 (3)'!$G$5:$G$289,'Comp2016-2017 (3)'!$A$5:$A$289,$D1376,'Comp2016-2017 (3)'!$R$5:$R$289,$V1376)*$AB1376))</f>
        <v>0</v>
      </c>
      <c r="AK1376" s="222">
        <f t="shared" si="165"/>
        <v>0</v>
      </c>
      <c r="AL1376" s="212" t="str">
        <f t="shared" si="166"/>
        <v/>
      </c>
      <c r="AM1376" s="212" t="str">
        <f>VLOOKUP(A1376,'Table corresp.'!$M$4:$U$63,8,FALSE)</f>
        <v>Production finale</v>
      </c>
      <c r="AN1376" s="212" t="str">
        <f>VLOOKUP(D1376,'Table corresp.'!$M$4:$U$63,9,FALSE)</f>
        <v>Consommation finale française</v>
      </c>
    </row>
    <row r="1377" spans="1:40" x14ac:dyDescent="0.25">
      <c r="A1377" t="s">
        <v>18</v>
      </c>
      <c r="B1377" t="str">
        <f>VLOOKUP(LEFT(A1377,3),'Table corresp.'!$A$4:$D$63,3,FALSE)</f>
        <v>Transformation</v>
      </c>
      <c r="C1377" t="str">
        <f>VLOOKUP(A1377,'Table corresp.'!$M$4:$P$63,4,FALSE)</f>
        <v>Production et transformation de produits bois</v>
      </c>
      <c r="D1377" t="s">
        <v>53</v>
      </c>
      <c r="E1377" t="str">
        <f>VLOOKUP(LEFT(D1377,3),'Table corresp.'!$A$4:$D$63,4,FALSE)</f>
        <v>Exportation</v>
      </c>
      <c r="F1377" t="str">
        <f t="shared" si="162"/>
        <v>39  - Exp</v>
      </c>
      <c r="G1377" s="213">
        <v>1895.9730000000004</v>
      </c>
      <c r="H1377" s="213">
        <v>0</v>
      </c>
      <c r="I1377" s="213">
        <v>1895.9730000000004</v>
      </c>
      <c r="J1377" s="215">
        <v>2.4406869831658877</v>
      </c>
      <c r="K1377" s="215">
        <v>0</v>
      </c>
      <c r="L1377" s="215">
        <v>2.4406869831658877</v>
      </c>
      <c r="M1377" s="215">
        <v>0.72917797874244494</v>
      </c>
      <c r="N1377" s="215">
        <v>0</v>
      </c>
      <c r="O1377" s="215">
        <v>0.72917797874244494</v>
      </c>
      <c r="P1377" s="215">
        <v>0.27888147364857957</v>
      </c>
      <c r="Q1377" s="215">
        <v>0</v>
      </c>
      <c r="R1377" s="215">
        <v>0.27888147364857957</v>
      </c>
      <c r="S1377" s="213"/>
      <c r="T1377" s="212">
        <f>VLOOKUP(A1377,'Groupe de branches'!$Z$27:$AM$86,14,FALSE)</f>
        <v>0</v>
      </c>
      <c r="U1377" s="212">
        <f>VLOOKUP(D1377,'Groupe de branches'!$Z$27:$AM$86,14,FALSE)</f>
        <v>0</v>
      </c>
      <c r="V1377" s="212">
        <v>2019</v>
      </c>
      <c r="W1377" s="212" t="str">
        <f>VLOOKUP(D1377,'Table corresp.'!$M$4:$S$63,7,FALSE)</f>
        <v>Exportation</v>
      </c>
      <c r="X1377" s="228">
        <f>IFERROR(G1377/SUMIFS('Comp2016-2017 (3)'!$I$5:$I$289,'Comp2016-2017 (3)'!$A$5:$A$289,A1377,'Comp2016-2017 (3)'!$R$5:$R$289,V1377),0)</f>
        <v>7.0752361511244241E-2</v>
      </c>
      <c r="Y1377" s="214" t="e">
        <f>IF(RIGHT(F1377,3)="Exp",VLOOKUP(F1377,#REF!,2,FALSE),VLOOKUP(F1377,#REF!,9,FALSE))</f>
        <v>#REF!</v>
      </c>
      <c r="Z1377" s="225" t="str">
        <f t="shared" si="163"/>
        <v/>
      </c>
      <c r="AA1377" s="225" t="e">
        <f t="shared" si="164"/>
        <v>#VALUE!</v>
      </c>
      <c r="AB1377" s="222">
        <f>IFERROR(SUMIFS('Comp2016-2017 (3)'!$G$5:$G$289,'Comp2016-2017 (3)'!$A$5:$A$289,A1377,'Comp2016-2017 (3)'!$R$5:$R$289,V1377)*AA1377/SUMIFS($AA$4:$AA$1858,$A$4:$A$1858,A1377,$V$4:$V$1858,V1377),0)</f>
        <v>0</v>
      </c>
      <c r="AC1377" s="222">
        <f>IF($W1377=AC$3,$AB1377,IF(NOT($W1377=0),"",SUMIFS('Val-Vol (2)'!AC$4:AC$1858,'Val-Vol (2)'!$A$4:$A$1858,$D1377,'Val-Vol (2)'!$V$4:$V$1858,$V1377)/SUMIFS('Comp2016-2017 (3)'!$G$5:$G$289,'Comp2016-2017 (3)'!$A$5:$A$289,$D1377,'Comp2016-2017 (3)'!$R$5:$R$289,$V1377)*$AB1377))</f>
        <v>0</v>
      </c>
      <c r="AD1377" s="222" t="str">
        <f>IF($W1377=AD$3,$AB1377,IF(NOT($W1377=0),"",SUMIFS('Val-Vol (2)'!AD$4:AD$1858,'Val-Vol (2)'!$A$4:$A$1858,$D1377,'Val-Vol (2)'!$V$4:$V$1858,$V1377)/SUMIFS('Comp2016-2017 (3)'!$G$5:$G$289,'Comp2016-2017 (3)'!$A$5:$A$289,$D1377,'Comp2016-2017 (3)'!$R$5:$R$289,$V1377)*$AB1377))</f>
        <v/>
      </c>
      <c r="AE1377" s="222" t="str">
        <f>IF($W1377=AE$3,$AB1377,IF(NOT($W1377=0),"",SUMIFS('Val-Vol (2)'!AE$4:AE$1858,'Val-Vol (2)'!$A$4:$A$1858,$D1377,'Val-Vol (2)'!$V$4:$V$1858,$V1377)/SUMIFS('Comp2016-2017 (3)'!$G$5:$G$289,'Comp2016-2017 (3)'!$A$5:$A$289,$D1377,'Comp2016-2017 (3)'!$R$5:$R$289,$V1377)*$AB1377))</f>
        <v/>
      </c>
      <c r="AF1377" s="222" t="str">
        <f>IF($W1377=AF$3,$AB1377,IF(NOT($W1377=0),"",SUMIFS('Val-Vol (2)'!AF$4:AF$1858,'Val-Vol (2)'!$A$4:$A$1858,$D1377,'Val-Vol (2)'!$V$4:$V$1858,$V1377)/SUMIFS('Comp2016-2017 (3)'!$G$5:$G$289,'Comp2016-2017 (3)'!$A$5:$A$289,$D1377,'Comp2016-2017 (3)'!$R$5:$R$289,$V1377)*$AB1377))</f>
        <v/>
      </c>
      <c r="AG1377" s="222" t="str">
        <f>IF($W1377=AG$3,$AB1377,IF(NOT($W1377=0),"",SUMIFS('Val-Vol (2)'!AG$4:AG$1858,'Val-Vol (2)'!$A$4:$A$1858,$D1377,'Val-Vol (2)'!$V$4:$V$1858,$V1377)/SUMIFS('Comp2016-2017 (3)'!$G$5:$G$289,'Comp2016-2017 (3)'!$A$5:$A$289,$D1377,'Comp2016-2017 (3)'!$R$5:$R$289,$V1377)*$AB1377))</f>
        <v/>
      </c>
      <c r="AH1377" s="222" t="str">
        <f>IF($W1377=AH$3,$AB1377,IF(NOT($W1377=0),"",SUMIFS('Val-Vol (2)'!AH$4:AH$1858,'Val-Vol (2)'!$A$4:$A$1858,$D1377,'Val-Vol (2)'!$V$4:$V$1858,$V1377)/SUMIFS('Comp2016-2017 (3)'!$G$5:$G$289,'Comp2016-2017 (3)'!$A$5:$A$289,$D1377,'Comp2016-2017 (3)'!$R$5:$R$289,$V1377)*$AB1377))</f>
        <v/>
      </c>
      <c r="AI1377" s="222" t="str">
        <f>IF($W1377=AI$3,$AB1377,IF(NOT($W1377=0),"",SUMIFS('Val-Vol (2)'!AI$4:AI$1858,'Val-Vol (2)'!$A$4:$A$1858,$D1377,'Val-Vol (2)'!$V$4:$V$1858,$V1377)/SUMIFS('Comp2016-2017 (3)'!$G$5:$G$289,'Comp2016-2017 (3)'!$A$5:$A$289,$D1377,'Comp2016-2017 (3)'!$R$5:$R$289,$V1377)*$AB1377))</f>
        <v/>
      </c>
      <c r="AJ1377" s="222" t="str">
        <f>IF($W1377=AJ$3,$AB1377,IF(NOT($W1377=0),"",SUMIFS('Val-Vol (2)'!AJ$4:AJ$1858,'Val-Vol (2)'!$A$4:$A$1858,$D1377,'Val-Vol (2)'!$V$4:$V$1858,$V1377)/SUMIFS('Comp2016-2017 (3)'!$G$5:$G$289,'Comp2016-2017 (3)'!$A$5:$A$289,$D1377,'Comp2016-2017 (3)'!$R$5:$R$289,$V1377)*$AB1377))</f>
        <v/>
      </c>
      <c r="AK1377" s="222">
        <f t="shared" si="165"/>
        <v>0</v>
      </c>
      <c r="AL1377" s="212" t="str">
        <f t="shared" si="166"/>
        <v/>
      </c>
      <c r="AM1377" s="212" t="str">
        <f>VLOOKUP(A1377,'Table corresp.'!$M$4:$U$63,8,FALSE)</f>
        <v>Production finale</v>
      </c>
      <c r="AN1377" s="212" t="str">
        <f>VLOOKUP(D1377,'Table corresp.'!$M$4:$U$63,9,FALSE)</f>
        <v>Exportation</v>
      </c>
    </row>
    <row r="1378" spans="1:40" x14ac:dyDescent="0.25">
      <c r="A1378" t="s">
        <v>92</v>
      </c>
      <c r="B1378" t="str">
        <f>VLOOKUP(LEFT(A1378,3),'Table corresp.'!$A$4:$D$63,3,FALSE)</f>
        <v>Transformation</v>
      </c>
      <c r="C1378" t="str">
        <f>VLOOKUP(A1378,'Table corresp.'!$M$4:$P$63,4,FALSE)</f>
        <v>Production et transformation de produits bois</v>
      </c>
      <c r="D1378" t="s">
        <v>54</v>
      </c>
      <c r="E1378" t="str">
        <f>VLOOKUP(LEFT(D1378,3),'Table corresp.'!$A$4:$D$63,4,FALSE)</f>
        <v>Consommation finale</v>
      </c>
      <c r="F1378" t="str">
        <f t="shared" si="162"/>
        <v>40  - Con</v>
      </c>
      <c r="G1378" s="213">
        <v>222021.49999999994</v>
      </c>
      <c r="H1378" s="213">
        <v>30163.742000000027</v>
      </c>
      <c r="I1378" s="213">
        <v>252185.242</v>
      </c>
      <c r="J1378" s="215">
        <v>443.96656239988857</v>
      </c>
      <c r="K1378" s="215">
        <v>60.317099221729215</v>
      </c>
      <c r="L1378" s="215">
        <v>504.2836616216178</v>
      </c>
      <c r="M1378" s="215"/>
      <c r="N1378" s="215"/>
      <c r="O1378" s="215"/>
      <c r="P1378" s="215"/>
      <c r="Q1378" s="215"/>
      <c r="R1378" s="215"/>
      <c r="S1378" s="213"/>
      <c r="T1378" s="212">
        <f>VLOOKUP(A1378,'Groupe de branches'!$Z$27:$AM$86,14,FALSE)</f>
        <v>0</v>
      </c>
      <c r="U1378" s="212">
        <f>VLOOKUP(D1378,'Groupe de branches'!$Z$27:$AM$86,14,FALSE)</f>
        <v>0</v>
      </c>
      <c r="V1378" s="212">
        <v>2019</v>
      </c>
      <c r="W1378" s="212" t="str">
        <f>VLOOKUP(D1378,'Table corresp.'!$M$4:$S$63,7,FALSE)</f>
        <v>Consommation finale</v>
      </c>
      <c r="X1378" s="228">
        <f>IFERROR(G1378/SUMIFS('Comp2016-2017 (3)'!$I$5:$I$289,'Comp2016-2017 (3)'!$A$5:$A$289,A1378,'Comp2016-2017 (3)'!$R$5:$R$289,V1378),0)</f>
        <v>0.95630089864472301</v>
      </c>
      <c r="Y1378" s="214">
        <f>IFERROR(IF(RIGHT(F1378,3)="Exp",VLOOKUP(F1378,#REF!,2,FALSE),VLOOKUP(F1378,#REF!,9,FALSE)),1)</f>
        <v>1</v>
      </c>
      <c r="Z1378" s="225">
        <f t="shared" si="163"/>
        <v>0.5</v>
      </c>
      <c r="AA1378" s="225">
        <f t="shared" si="164"/>
        <v>0.4781504493223615</v>
      </c>
      <c r="AB1378" s="222">
        <f>IFERROR(SUMIFS('Comp2016-2017 (3)'!$G$5:$G$289,'Comp2016-2017 (3)'!$A$5:$A$289,A1378,'Comp2016-2017 (3)'!$R$5:$R$289,V1378)*AA1378/SUMIFS($AA$4:$AA$1858,$A$4:$A$1858,A1378,$V$4:$V$1858,V1378),0)</f>
        <v>71370.21296123779</v>
      </c>
      <c r="AC1378" s="222" t="str">
        <f>IF($W1378=AC$3,$AB1378,IF(NOT($W1378=0),"",SUMIFS('Val-Vol (2)'!AC$4:AC$1858,'Val-Vol (2)'!$A$4:$A$1858,$D1378,'Val-Vol (2)'!$V$4:$V$1858,$V1378)/SUMIFS('Comp2016-2017 (3)'!$G$5:$G$289,'Comp2016-2017 (3)'!$A$5:$A$289,$D1378,'Comp2016-2017 (3)'!$R$5:$R$289,$V1378)*$AB1378))</f>
        <v/>
      </c>
      <c r="AD1378" s="222" t="str">
        <f>IF($W1378=AD$3,$AB1378,IF(NOT($W1378=0),"",SUMIFS('Val-Vol (2)'!AD$4:AD$1858,'Val-Vol (2)'!$A$4:$A$1858,$D1378,'Val-Vol (2)'!$V$4:$V$1858,$V1378)/SUMIFS('Comp2016-2017 (3)'!$G$5:$G$289,'Comp2016-2017 (3)'!$A$5:$A$289,$D1378,'Comp2016-2017 (3)'!$R$5:$R$289,$V1378)*$AB1378))</f>
        <v/>
      </c>
      <c r="AE1378" s="222" t="str">
        <f>IF($W1378=AE$3,$AB1378,IF(NOT($W1378=0),"",SUMIFS('Val-Vol (2)'!AE$4:AE$1858,'Val-Vol (2)'!$A$4:$A$1858,$D1378,'Val-Vol (2)'!$V$4:$V$1858,$V1378)/SUMIFS('Comp2016-2017 (3)'!$G$5:$G$289,'Comp2016-2017 (3)'!$A$5:$A$289,$D1378,'Comp2016-2017 (3)'!$R$5:$R$289,$V1378)*$AB1378))</f>
        <v/>
      </c>
      <c r="AF1378" s="222" t="str">
        <f>IF($W1378=AF$3,$AB1378,IF(NOT($W1378=0),"",SUMIFS('Val-Vol (2)'!AF$4:AF$1858,'Val-Vol (2)'!$A$4:$A$1858,$D1378,'Val-Vol (2)'!$V$4:$V$1858,$V1378)/SUMIFS('Comp2016-2017 (3)'!$G$5:$G$289,'Comp2016-2017 (3)'!$A$5:$A$289,$D1378,'Comp2016-2017 (3)'!$R$5:$R$289,$V1378)*$AB1378))</f>
        <v/>
      </c>
      <c r="AG1378" s="222" t="str">
        <f>IF($W1378=AG$3,$AB1378,IF(NOT($W1378=0),"",SUMIFS('Val-Vol (2)'!AG$4:AG$1858,'Val-Vol (2)'!$A$4:$A$1858,$D1378,'Val-Vol (2)'!$V$4:$V$1858,$V1378)/SUMIFS('Comp2016-2017 (3)'!$G$5:$G$289,'Comp2016-2017 (3)'!$A$5:$A$289,$D1378,'Comp2016-2017 (3)'!$R$5:$R$289,$V1378)*$AB1378))</f>
        <v/>
      </c>
      <c r="AH1378" s="222" t="str">
        <f>IF($W1378=AH$3,$AB1378,IF(NOT($W1378=0),"",SUMIFS('Val-Vol (2)'!AH$4:AH$1858,'Val-Vol (2)'!$A$4:$A$1858,$D1378,'Val-Vol (2)'!$V$4:$V$1858,$V1378)/SUMIFS('Comp2016-2017 (3)'!$G$5:$G$289,'Comp2016-2017 (3)'!$A$5:$A$289,$D1378,'Comp2016-2017 (3)'!$R$5:$R$289,$V1378)*$AB1378))</f>
        <v/>
      </c>
      <c r="AI1378" s="222" t="str">
        <f>IF($W1378=AI$3,$AB1378,IF(NOT($W1378=0),"",SUMIFS('Val-Vol (2)'!AI$4:AI$1858,'Val-Vol (2)'!$A$4:$A$1858,$D1378,'Val-Vol (2)'!$V$4:$V$1858,$V1378)/SUMIFS('Comp2016-2017 (3)'!$G$5:$G$289,'Comp2016-2017 (3)'!$A$5:$A$289,$D1378,'Comp2016-2017 (3)'!$R$5:$R$289,$V1378)*$AB1378))</f>
        <v/>
      </c>
      <c r="AJ1378" s="222">
        <f>IF($W1378=AJ$3,$AB1378,IF(NOT($W1378=0),"",SUMIFS('Val-Vol (2)'!AJ$4:AJ$1858,'Val-Vol (2)'!$A$4:$A$1858,$D1378,'Val-Vol (2)'!$V$4:$V$1858,$V1378)/SUMIFS('Comp2016-2017 (3)'!$G$5:$G$289,'Comp2016-2017 (3)'!$A$5:$A$289,$D1378,'Comp2016-2017 (3)'!$R$5:$R$289,$V1378)*$AB1378))</f>
        <v>71370.21296123779</v>
      </c>
      <c r="AK1378" s="222">
        <f t="shared" si="165"/>
        <v>0</v>
      </c>
      <c r="AL1378" s="212" t="str">
        <f t="shared" si="166"/>
        <v/>
      </c>
      <c r="AM1378" s="212" t="str">
        <f>VLOOKUP(A1378,'Table corresp.'!$M$4:$U$63,8,FALSE)</f>
        <v>Production finale</v>
      </c>
      <c r="AN1378" s="212" t="str">
        <f>VLOOKUP(D1378,'Table corresp.'!$M$4:$U$63,9,FALSE)</f>
        <v>Consommation finale française</v>
      </c>
    </row>
    <row r="1379" spans="1:40" x14ac:dyDescent="0.25">
      <c r="A1379" t="s">
        <v>92</v>
      </c>
      <c r="B1379" t="str">
        <f>VLOOKUP(LEFT(A1379,3),'Table corresp.'!$A$4:$D$63,3,FALSE)</f>
        <v>Transformation</v>
      </c>
      <c r="C1379" t="str">
        <f>VLOOKUP(A1379,'Table corresp.'!$M$4:$P$63,4,FALSE)</f>
        <v>Production et transformation de produits bois</v>
      </c>
      <c r="D1379" t="s">
        <v>53</v>
      </c>
      <c r="E1379" t="str">
        <f>VLOOKUP(LEFT(D1379,3),'Table corresp.'!$A$4:$D$63,4,FALSE)</f>
        <v>Exportation</v>
      </c>
      <c r="F1379" t="str">
        <f t="shared" si="162"/>
        <v>40  - Exp</v>
      </c>
      <c r="G1379" s="213">
        <v>10145.5</v>
      </c>
      <c r="H1379" s="213">
        <v>0</v>
      </c>
      <c r="I1379" s="213">
        <v>10145.5</v>
      </c>
      <c r="J1379" s="215">
        <v>20.287507105519374</v>
      </c>
      <c r="K1379" s="215">
        <v>0</v>
      </c>
      <c r="L1379" s="215">
        <v>20.287507105519374</v>
      </c>
      <c r="M1379" s="215"/>
      <c r="N1379" s="215"/>
      <c r="O1379" s="215"/>
      <c r="P1379" s="215"/>
      <c r="Q1379" s="215"/>
      <c r="R1379" s="215"/>
      <c r="S1379" s="213"/>
      <c r="T1379" s="212">
        <f>VLOOKUP(A1379,'Groupe de branches'!$Z$27:$AM$86,14,FALSE)</f>
        <v>0</v>
      </c>
      <c r="U1379" s="212">
        <f>VLOOKUP(D1379,'Groupe de branches'!$Z$27:$AM$86,14,FALSE)</f>
        <v>0</v>
      </c>
      <c r="V1379" s="212">
        <v>2019</v>
      </c>
      <c r="W1379" s="212" t="str">
        <f>VLOOKUP(D1379,'Table corresp.'!$M$4:$S$63,7,FALSE)</f>
        <v>Exportation</v>
      </c>
      <c r="X1379" s="228">
        <f>IFERROR(G1379/SUMIFS('Comp2016-2017 (3)'!$I$5:$I$289,'Comp2016-2017 (3)'!$A$5:$A$289,A1379,'Comp2016-2017 (3)'!$R$5:$R$289,V1379),0)</f>
        <v>4.3699149709375176E-2</v>
      </c>
      <c r="Y1379" s="214">
        <f>IFERROR(IF(RIGHT(F1379,3)="Exp",VLOOKUP(F1379,#REF!,2,FALSE),VLOOKUP(F1379,#REF!,9,FALSE)),1)</f>
        <v>1</v>
      </c>
      <c r="Z1379" s="225">
        <f t="shared" si="163"/>
        <v>0.5</v>
      </c>
      <c r="AA1379" s="225">
        <f t="shared" si="164"/>
        <v>2.1849574854687588E-2</v>
      </c>
      <c r="AB1379" s="222">
        <f>IFERROR(SUMIFS('Comp2016-2017 (3)'!$G$5:$G$289,'Comp2016-2017 (3)'!$A$5:$A$289,A1379,'Comp2016-2017 (3)'!$R$5:$R$289,V1379)*AA1379/SUMIFS($AA$4:$AA$1858,$A$4:$A$1858,A1379,$V$4:$V$1858,V1379),0)</f>
        <v>3261.3350310588753</v>
      </c>
      <c r="AC1379" s="222">
        <f>IF($W1379=AC$3,$AB1379,IF(NOT($W1379=0),"",SUMIFS('Val-Vol (2)'!AC$4:AC$1858,'Val-Vol (2)'!$A$4:$A$1858,$D1379,'Val-Vol (2)'!$V$4:$V$1858,$V1379)/SUMIFS('Comp2016-2017 (3)'!$G$5:$G$289,'Comp2016-2017 (3)'!$A$5:$A$289,$D1379,'Comp2016-2017 (3)'!$R$5:$R$289,$V1379)*$AB1379))</f>
        <v>3261.3350310588753</v>
      </c>
      <c r="AD1379" s="222" t="str">
        <f>IF($W1379=AD$3,$AB1379,IF(NOT($W1379=0),"",SUMIFS('Val-Vol (2)'!AD$4:AD$1858,'Val-Vol (2)'!$A$4:$A$1858,$D1379,'Val-Vol (2)'!$V$4:$V$1858,$V1379)/SUMIFS('Comp2016-2017 (3)'!$G$5:$G$289,'Comp2016-2017 (3)'!$A$5:$A$289,$D1379,'Comp2016-2017 (3)'!$R$5:$R$289,$V1379)*$AB1379))</f>
        <v/>
      </c>
      <c r="AE1379" s="222" t="str">
        <f>IF($W1379=AE$3,$AB1379,IF(NOT($W1379=0),"",SUMIFS('Val-Vol (2)'!AE$4:AE$1858,'Val-Vol (2)'!$A$4:$A$1858,$D1379,'Val-Vol (2)'!$V$4:$V$1858,$V1379)/SUMIFS('Comp2016-2017 (3)'!$G$5:$G$289,'Comp2016-2017 (3)'!$A$5:$A$289,$D1379,'Comp2016-2017 (3)'!$R$5:$R$289,$V1379)*$AB1379))</f>
        <v/>
      </c>
      <c r="AF1379" s="222" t="str">
        <f>IF($W1379=AF$3,$AB1379,IF(NOT($W1379=0),"",SUMIFS('Val-Vol (2)'!AF$4:AF$1858,'Val-Vol (2)'!$A$4:$A$1858,$D1379,'Val-Vol (2)'!$V$4:$V$1858,$V1379)/SUMIFS('Comp2016-2017 (3)'!$G$5:$G$289,'Comp2016-2017 (3)'!$A$5:$A$289,$D1379,'Comp2016-2017 (3)'!$R$5:$R$289,$V1379)*$AB1379))</f>
        <v/>
      </c>
      <c r="AG1379" s="222" t="str">
        <f>IF($W1379=AG$3,$AB1379,IF(NOT($W1379=0),"",SUMIFS('Val-Vol (2)'!AG$4:AG$1858,'Val-Vol (2)'!$A$4:$A$1858,$D1379,'Val-Vol (2)'!$V$4:$V$1858,$V1379)/SUMIFS('Comp2016-2017 (3)'!$G$5:$G$289,'Comp2016-2017 (3)'!$A$5:$A$289,$D1379,'Comp2016-2017 (3)'!$R$5:$R$289,$V1379)*$AB1379))</f>
        <v/>
      </c>
      <c r="AH1379" s="222" t="str">
        <f>IF($W1379=AH$3,$AB1379,IF(NOT($W1379=0),"",SUMIFS('Val-Vol (2)'!AH$4:AH$1858,'Val-Vol (2)'!$A$4:$A$1858,$D1379,'Val-Vol (2)'!$V$4:$V$1858,$V1379)/SUMIFS('Comp2016-2017 (3)'!$G$5:$G$289,'Comp2016-2017 (3)'!$A$5:$A$289,$D1379,'Comp2016-2017 (3)'!$R$5:$R$289,$V1379)*$AB1379))</f>
        <v/>
      </c>
      <c r="AI1379" s="222" t="str">
        <f>IF($W1379=AI$3,$AB1379,IF(NOT($W1379=0),"",SUMIFS('Val-Vol (2)'!AI$4:AI$1858,'Val-Vol (2)'!$A$4:$A$1858,$D1379,'Val-Vol (2)'!$V$4:$V$1858,$V1379)/SUMIFS('Comp2016-2017 (3)'!$G$5:$G$289,'Comp2016-2017 (3)'!$A$5:$A$289,$D1379,'Comp2016-2017 (3)'!$R$5:$R$289,$V1379)*$AB1379))</f>
        <v/>
      </c>
      <c r="AJ1379" s="222" t="str">
        <f>IF($W1379=AJ$3,$AB1379,IF(NOT($W1379=0),"",SUMIFS('Val-Vol (2)'!AJ$4:AJ$1858,'Val-Vol (2)'!$A$4:$A$1858,$D1379,'Val-Vol (2)'!$V$4:$V$1858,$V1379)/SUMIFS('Comp2016-2017 (3)'!$G$5:$G$289,'Comp2016-2017 (3)'!$A$5:$A$289,$D1379,'Comp2016-2017 (3)'!$R$5:$R$289,$V1379)*$AB1379))</f>
        <v/>
      </c>
      <c r="AK1379" s="222">
        <f t="shared" si="165"/>
        <v>0</v>
      </c>
      <c r="AL1379" s="212" t="str">
        <f t="shared" si="166"/>
        <v/>
      </c>
      <c r="AM1379" s="212" t="str">
        <f>VLOOKUP(A1379,'Table corresp.'!$M$4:$U$63,8,FALSE)</f>
        <v>Production finale</v>
      </c>
      <c r="AN1379" s="212" t="str">
        <f>VLOOKUP(D1379,'Table corresp.'!$M$4:$U$63,9,FALSE)</f>
        <v>Exportation</v>
      </c>
    </row>
    <row r="1380" spans="1:40" x14ac:dyDescent="0.25">
      <c r="A1380" t="s">
        <v>93</v>
      </c>
      <c r="B1380" t="str">
        <f>VLOOKUP(LEFT(A1380,3),'Table corresp.'!$A$4:$D$63,3,FALSE)</f>
        <v>Transformation</v>
      </c>
      <c r="C1380" t="str">
        <f>VLOOKUP(A1380,'Table corresp.'!$M$4:$P$63,4,FALSE)</f>
        <v>Production et transformation de produits bois</v>
      </c>
      <c r="D1380" t="s">
        <v>54</v>
      </c>
      <c r="E1380" t="str">
        <f>VLOOKUP(LEFT(D1380,3),'Table corresp.'!$A$4:$D$63,4,FALSE)</f>
        <v>Consommation finale</v>
      </c>
      <c r="F1380" t="str">
        <f t="shared" si="162"/>
        <v>41  - Con</v>
      </c>
      <c r="G1380" s="213">
        <v>175318.53357278786</v>
      </c>
      <c r="H1380" s="213">
        <v>208205.40899999964</v>
      </c>
      <c r="I1380" s="213">
        <v>383523.94257278752</v>
      </c>
      <c r="J1380" s="215">
        <v>194.42467298835206</v>
      </c>
      <c r="K1380" s="215">
        <v>609.47377652260764</v>
      </c>
      <c r="L1380" s="215">
        <v>803.89844951095972</v>
      </c>
      <c r="M1380" s="215"/>
      <c r="N1380" s="215"/>
      <c r="O1380" s="215"/>
      <c r="P1380" s="215"/>
      <c r="Q1380" s="215"/>
      <c r="R1380" s="215"/>
      <c r="S1380" s="213"/>
      <c r="T1380" s="212">
        <f>VLOOKUP(A1380,'Groupe de branches'!$Z$27:$AM$86,14,FALSE)</f>
        <v>0</v>
      </c>
      <c r="U1380" s="212">
        <f>VLOOKUP(D1380,'Groupe de branches'!$Z$27:$AM$86,14,FALSE)</f>
        <v>0</v>
      </c>
      <c r="V1380" s="212">
        <v>2019</v>
      </c>
      <c r="W1380" s="212" t="str">
        <f>VLOOKUP(D1380,'Table corresp.'!$M$4:$S$63,7,FALSE)</f>
        <v>Consommation finale</v>
      </c>
      <c r="X1380" s="228">
        <f>IFERROR(G1380/SUMIFS('Comp2016-2017 (3)'!$I$5:$I$289,'Comp2016-2017 (3)'!$A$5:$A$289,A1380,'Comp2016-2017 (3)'!$R$5:$R$289,V1380),0)</f>
        <v>0.71708665791471182</v>
      </c>
      <c r="Y1380" s="214" t="e">
        <f>IF(RIGHT(F1380,3)="Exp",VLOOKUP(F1380,#REF!,2,FALSE),VLOOKUP(F1380,#REF!,9,FALSE))</f>
        <v>#REF!</v>
      </c>
      <c r="Z1380" s="225" t="str">
        <f t="shared" si="163"/>
        <v/>
      </c>
      <c r="AA1380" s="225" t="e">
        <f t="shared" si="164"/>
        <v>#VALUE!</v>
      </c>
      <c r="AB1380" s="222">
        <f>IFERROR(SUMIFS('Comp2016-2017 (3)'!$G$5:$G$289,'Comp2016-2017 (3)'!$A$5:$A$289,A1380,'Comp2016-2017 (3)'!$R$5:$R$289,V1380)*AA1380/SUMIFS($AA$4:$AA$1858,$A$4:$A$1858,A1380,$V$4:$V$1858,V1380),0)</f>
        <v>0</v>
      </c>
      <c r="AC1380" s="222" t="str">
        <f>IF($W1380=AC$3,$AB1380,IF(NOT($W1380=0),"",SUMIFS('Val-Vol (2)'!AC$4:AC$1858,'Val-Vol (2)'!$A$4:$A$1858,$D1380,'Val-Vol (2)'!$V$4:$V$1858,$V1380)/SUMIFS('Comp2016-2017 (3)'!$G$5:$G$289,'Comp2016-2017 (3)'!$A$5:$A$289,$D1380,'Comp2016-2017 (3)'!$R$5:$R$289,$V1380)*$AB1380))</f>
        <v/>
      </c>
      <c r="AD1380" s="222" t="str">
        <f>IF($W1380=AD$3,$AB1380,IF(NOT($W1380=0),"",SUMIFS('Val-Vol (2)'!AD$4:AD$1858,'Val-Vol (2)'!$A$4:$A$1858,$D1380,'Val-Vol (2)'!$V$4:$V$1858,$V1380)/SUMIFS('Comp2016-2017 (3)'!$G$5:$G$289,'Comp2016-2017 (3)'!$A$5:$A$289,$D1380,'Comp2016-2017 (3)'!$R$5:$R$289,$V1380)*$AB1380))</f>
        <v/>
      </c>
      <c r="AE1380" s="222" t="str">
        <f>IF($W1380=AE$3,$AB1380,IF(NOT($W1380=0),"",SUMIFS('Val-Vol (2)'!AE$4:AE$1858,'Val-Vol (2)'!$A$4:$A$1858,$D1380,'Val-Vol (2)'!$V$4:$V$1858,$V1380)/SUMIFS('Comp2016-2017 (3)'!$G$5:$G$289,'Comp2016-2017 (3)'!$A$5:$A$289,$D1380,'Comp2016-2017 (3)'!$R$5:$R$289,$V1380)*$AB1380))</f>
        <v/>
      </c>
      <c r="AF1380" s="222" t="str">
        <f>IF($W1380=AF$3,$AB1380,IF(NOT($W1380=0),"",SUMIFS('Val-Vol (2)'!AF$4:AF$1858,'Val-Vol (2)'!$A$4:$A$1858,$D1380,'Val-Vol (2)'!$V$4:$V$1858,$V1380)/SUMIFS('Comp2016-2017 (3)'!$G$5:$G$289,'Comp2016-2017 (3)'!$A$5:$A$289,$D1380,'Comp2016-2017 (3)'!$R$5:$R$289,$V1380)*$AB1380))</f>
        <v/>
      </c>
      <c r="AG1380" s="222" t="str">
        <f>IF($W1380=AG$3,$AB1380,IF(NOT($W1380=0),"",SUMIFS('Val-Vol (2)'!AG$4:AG$1858,'Val-Vol (2)'!$A$4:$A$1858,$D1380,'Val-Vol (2)'!$V$4:$V$1858,$V1380)/SUMIFS('Comp2016-2017 (3)'!$G$5:$G$289,'Comp2016-2017 (3)'!$A$5:$A$289,$D1380,'Comp2016-2017 (3)'!$R$5:$R$289,$V1380)*$AB1380))</f>
        <v/>
      </c>
      <c r="AH1380" s="222" t="str">
        <f>IF($W1380=AH$3,$AB1380,IF(NOT($W1380=0),"",SUMIFS('Val-Vol (2)'!AH$4:AH$1858,'Val-Vol (2)'!$A$4:$A$1858,$D1380,'Val-Vol (2)'!$V$4:$V$1858,$V1380)/SUMIFS('Comp2016-2017 (3)'!$G$5:$G$289,'Comp2016-2017 (3)'!$A$5:$A$289,$D1380,'Comp2016-2017 (3)'!$R$5:$R$289,$V1380)*$AB1380))</f>
        <v/>
      </c>
      <c r="AI1380" s="222" t="str">
        <f>IF($W1380=AI$3,$AB1380,IF(NOT($W1380=0),"",SUMIFS('Val-Vol (2)'!AI$4:AI$1858,'Val-Vol (2)'!$A$4:$A$1858,$D1380,'Val-Vol (2)'!$V$4:$V$1858,$V1380)/SUMIFS('Comp2016-2017 (3)'!$G$5:$G$289,'Comp2016-2017 (3)'!$A$5:$A$289,$D1380,'Comp2016-2017 (3)'!$R$5:$R$289,$V1380)*$AB1380))</f>
        <v/>
      </c>
      <c r="AJ1380" s="222">
        <f>IF($W1380=AJ$3,$AB1380,IF(NOT($W1380=0),"",SUMIFS('Val-Vol (2)'!AJ$4:AJ$1858,'Val-Vol (2)'!$A$4:$A$1858,$D1380,'Val-Vol (2)'!$V$4:$V$1858,$V1380)/SUMIFS('Comp2016-2017 (3)'!$G$5:$G$289,'Comp2016-2017 (3)'!$A$5:$A$289,$D1380,'Comp2016-2017 (3)'!$R$5:$R$289,$V1380)*$AB1380))</f>
        <v>0</v>
      </c>
      <c r="AK1380" s="222">
        <f t="shared" si="165"/>
        <v>0</v>
      </c>
      <c r="AL1380" s="212" t="str">
        <f t="shared" si="166"/>
        <v/>
      </c>
      <c r="AM1380" s="212" t="str">
        <f>VLOOKUP(A1380,'Table corresp.'!$M$4:$U$63,8,FALSE)</f>
        <v>Production finale</v>
      </c>
      <c r="AN1380" s="212" t="str">
        <f>VLOOKUP(D1380,'Table corresp.'!$M$4:$U$63,9,FALSE)</f>
        <v>Consommation finale française</v>
      </c>
    </row>
    <row r="1381" spans="1:40" x14ac:dyDescent="0.25">
      <c r="A1381" t="s">
        <v>93</v>
      </c>
      <c r="B1381" t="str">
        <f>VLOOKUP(LEFT(A1381,3),'Table corresp.'!$A$4:$D$63,3,FALSE)</f>
        <v>Transformation</v>
      </c>
      <c r="C1381" t="str">
        <f>VLOOKUP(A1381,'Table corresp.'!$M$4:$P$63,4,FALSE)</f>
        <v>Production et transformation de produits bois</v>
      </c>
      <c r="D1381" t="s">
        <v>53</v>
      </c>
      <c r="E1381" t="str">
        <f>VLOOKUP(LEFT(D1381,3),'Table corresp.'!$A$4:$D$63,4,FALSE)</f>
        <v>Exportation</v>
      </c>
      <c r="F1381" t="str">
        <f t="shared" si="162"/>
        <v>41  - Exp</v>
      </c>
      <c r="G1381" s="213">
        <v>69168.70399999994</v>
      </c>
      <c r="H1381" s="213">
        <v>0</v>
      </c>
      <c r="I1381" s="213">
        <v>69168.70399999994</v>
      </c>
      <c r="J1381" s="215">
        <v>66.185547780270539</v>
      </c>
      <c r="K1381" s="215">
        <v>0</v>
      </c>
      <c r="L1381" s="215">
        <v>66.185547780270539</v>
      </c>
      <c r="M1381" s="215"/>
      <c r="N1381" s="215"/>
      <c r="O1381" s="215"/>
      <c r="P1381" s="215"/>
      <c r="Q1381" s="215"/>
      <c r="R1381" s="215"/>
      <c r="S1381" s="213"/>
      <c r="T1381" s="212">
        <f>VLOOKUP(A1381,'Groupe de branches'!$Z$27:$AM$86,14,FALSE)</f>
        <v>0</v>
      </c>
      <c r="U1381" s="212">
        <f>VLOOKUP(D1381,'Groupe de branches'!$Z$27:$AM$86,14,FALSE)</f>
        <v>0</v>
      </c>
      <c r="V1381" s="212">
        <v>2019</v>
      </c>
      <c r="W1381" s="212" t="str">
        <f>VLOOKUP(D1381,'Table corresp.'!$M$4:$S$63,7,FALSE)</f>
        <v>Exportation</v>
      </c>
      <c r="X1381" s="228">
        <f>IFERROR(G1381/SUMIFS('Comp2016-2017 (3)'!$I$5:$I$289,'Comp2016-2017 (3)'!$A$5:$A$289,A1381,'Comp2016-2017 (3)'!$R$5:$R$289,V1381),0)</f>
        <v>0.28291335646530069</v>
      </c>
      <c r="Y1381" s="214" t="e">
        <f>IF(RIGHT(F1381,3)="Exp",VLOOKUP(F1381,#REF!,2,FALSE),VLOOKUP(F1381,#REF!,9,FALSE))</f>
        <v>#REF!</v>
      </c>
      <c r="Z1381" s="225" t="str">
        <f t="shared" si="163"/>
        <v/>
      </c>
      <c r="AA1381" s="225" t="e">
        <f t="shared" si="164"/>
        <v>#VALUE!</v>
      </c>
      <c r="AB1381" s="222">
        <f>IFERROR(SUMIFS('Comp2016-2017 (3)'!$G$5:$G$289,'Comp2016-2017 (3)'!$A$5:$A$289,A1381,'Comp2016-2017 (3)'!$R$5:$R$289,V1381)*AA1381/SUMIFS($AA$4:$AA$1858,$A$4:$A$1858,A1381,$V$4:$V$1858,V1381),0)</f>
        <v>0</v>
      </c>
      <c r="AC1381" s="222">
        <f>IF($W1381=AC$3,$AB1381,IF(NOT($W1381=0),"",SUMIFS('Val-Vol (2)'!AC$4:AC$1858,'Val-Vol (2)'!$A$4:$A$1858,$D1381,'Val-Vol (2)'!$V$4:$V$1858,$V1381)/SUMIFS('Comp2016-2017 (3)'!$G$5:$G$289,'Comp2016-2017 (3)'!$A$5:$A$289,$D1381,'Comp2016-2017 (3)'!$R$5:$R$289,$V1381)*$AB1381))</f>
        <v>0</v>
      </c>
      <c r="AD1381" s="222" t="str">
        <f>IF($W1381=AD$3,$AB1381,IF(NOT($W1381=0),"",SUMIFS('Val-Vol (2)'!AD$4:AD$1858,'Val-Vol (2)'!$A$4:$A$1858,$D1381,'Val-Vol (2)'!$V$4:$V$1858,$V1381)/SUMIFS('Comp2016-2017 (3)'!$G$5:$G$289,'Comp2016-2017 (3)'!$A$5:$A$289,$D1381,'Comp2016-2017 (3)'!$R$5:$R$289,$V1381)*$AB1381))</f>
        <v/>
      </c>
      <c r="AE1381" s="222" t="str">
        <f>IF($W1381=AE$3,$AB1381,IF(NOT($W1381=0),"",SUMIFS('Val-Vol (2)'!AE$4:AE$1858,'Val-Vol (2)'!$A$4:$A$1858,$D1381,'Val-Vol (2)'!$V$4:$V$1858,$V1381)/SUMIFS('Comp2016-2017 (3)'!$G$5:$G$289,'Comp2016-2017 (3)'!$A$5:$A$289,$D1381,'Comp2016-2017 (3)'!$R$5:$R$289,$V1381)*$AB1381))</f>
        <v/>
      </c>
      <c r="AF1381" s="222" t="str">
        <f>IF($W1381=AF$3,$AB1381,IF(NOT($W1381=0),"",SUMIFS('Val-Vol (2)'!AF$4:AF$1858,'Val-Vol (2)'!$A$4:$A$1858,$D1381,'Val-Vol (2)'!$V$4:$V$1858,$V1381)/SUMIFS('Comp2016-2017 (3)'!$G$5:$G$289,'Comp2016-2017 (3)'!$A$5:$A$289,$D1381,'Comp2016-2017 (3)'!$R$5:$R$289,$V1381)*$AB1381))</f>
        <v/>
      </c>
      <c r="AG1381" s="222" t="str">
        <f>IF($W1381=AG$3,$AB1381,IF(NOT($W1381=0),"",SUMIFS('Val-Vol (2)'!AG$4:AG$1858,'Val-Vol (2)'!$A$4:$A$1858,$D1381,'Val-Vol (2)'!$V$4:$V$1858,$V1381)/SUMIFS('Comp2016-2017 (3)'!$G$5:$G$289,'Comp2016-2017 (3)'!$A$5:$A$289,$D1381,'Comp2016-2017 (3)'!$R$5:$R$289,$V1381)*$AB1381))</f>
        <v/>
      </c>
      <c r="AH1381" s="222" t="str">
        <f>IF($W1381=AH$3,$AB1381,IF(NOT($W1381=0),"",SUMIFS('Val-Vol (2)'!AH$4:AH$1858,'Val-Vol (2)'!$A$4:$A$1858,$D1381,'Val-Vol (2)'!$V$4:$V$1858,$V1381)/SUMIFS('Comp2016-2017 (3)'!$G$5:$G$289,'Comp2016-2017 (3)'!$A$5:$A$289,$D1381,'Comp2016-2017 (3)'!$R$5:$R$289,$V1381)*$AB1381))</f>
        <v/>
      </c>
      <c r="AI1381" s="222" t="str">
        <f>IF($W1381=AI$3,$AB1381,IF(NOT($W1381=0),"",SUMIFS('Val-Vol (2)'!AI$4:AI$1858,'Val-Vol (2)'!$A$4:$A$1858,$D1381,'Val-Vol (2)'!$V$4:$V$1858,$V1381)/SUMIFS('Comp2016-2017 (3)'!$G$5:$G$289,'Comp2016-2017 (3)'!$A$5:$A$289,$D1381,'Comp2016-2017 (3)'!$R$5:$R$289,$V1381)*$AB1381))</f>
        <v/>
      </c>
      <c r="AJ1381" s="222" t="str">
        <f>IF($W1381=AJ$3,$AB1381,IF(NOT($W1381=0),"",SUMIFS('Val-Vol (2)'!AJ$4:AJ$1858,'Val-Vol (2)'!$A$4:$A$1858,$D1381,'Val-Vol (2)'!$V$4:$V$1858,$V1381)/SUMIFS('Comp2016-2017 (3)'!$G$5:$G$289,'Comp2016-2017 (3)'!$A$5:$A$289,$D1381,'Comp2016-2017 (3)'!$R$5:$R$289,$V1381)*$AB1381))</f>
        <v/>
      </c>
      <c r="AK1381" s="222">
        <f t="shared" si="165"/>
        <v>0</v>
      </c>
      <c r="AL1381" s="212" t="str">
        <f t="shared" si="166"/>
        <v/>
      </c>
      <c r="AM1381" s="212" t="str">
        <f>VLOOKUP(A1381,'Table corresp.'!$M$4:$U$63,8,FALSE)</f>
        <v>Production finale</v>
      </c>
      <c r="AN1381" s="212" t="str">
        <f>VLOOKUP(D1381,'Table corresp.'!$M$4:$U$63,9,FALSE)</f>
        <v>Exportation</v>
      </c>
    </row>
    <row r="1382" spans="1:40" x14ac:dyDescent="0.25">
      <c r="A1382" t="s">
        <v>94</v>
      </c>
      <c r="B1382" t="str">
        <f>VLOOKUP(LEFT(A1382,3),'Table corresp.'!$A$4:$D$63,3,FALSE)</f>
        <v>Transformation</v>
      </c>
      <c r="C1382" t="str">
        <f>VLOOKUP(A1382,'Table corresp.'!$M$4:$P$63,4,FALSE)</f>
        <v>Production et transformation de produits bois</v>
      </c>
      <c r="D1382" t="s">
        <v>20</v>
      </c>
      <c r="E1382" t="str">
        <f>VLOOKUP(LEFT(D1382,3),'Table corresp.'!$A$4:$D$63,4,FALSE)</f>
        <v>Transformation</v>
      </c>
      <c r="F1382" t="str">
        <f t="shared" si="162"/>
        <v xml:space="preserve">42  - 53 </v>
      </c>
      <c r="G1382" s="213">
        <v>447.82861424348039</v>
      </c>
      <c r="H1382" s="213">
        <v>527.12262509220182</v>
      </c>
      <c r="I1382" s="213">
        <v>974.9512393356822</v>
      </c>
      <c r="J1382" s="215">
        <v>2.8801993296128557E-2</v>
      </c>
      <c r="K1382" s="215">
        <v>6.4331817676777425E-2</v>
      </c>
      <c r="L1382" s="215">
        <v>9.3133810972905989E-2</v>
      </c>
      <c r="M1382" s="215"/>
      <c r="N1382" s="215"/>
      <c r="O1382" s="215"/>
      <c r="P1382" s="215"/>
      <c r="Q1382" s="215"/>
      <c r="R1382" s="215"/>
      <c r="S1382" s="213"/>
      <c r="T1382" s="212">
        <f>VLOOKUP(A1382,'Groupe de branches'!$Z$27:$AM$86,14,FALSE)</f>
        <v>0</v>
      </c>
      <c r="U1382" s="212">
        <f>VLOOKUP(D1382,'Groupe de branches'!$Z$27:$AM$86,14,FALSE)</f>
        <v>0</v>
      </c>
      <c r="V1382" s="212">
        <v>2019</v>
      </c>
      <c r="W1382" s="212" t="str">
        <f>VLOOKUP(D1382,'Table corresp.'!$M$4:$S$63,7,FALSE)</f>
        <v>Construction</v>
      </c>
      <c r="X1382" s="228">
        <f>IFERROR(G1382/SUMIFS('Comp2016-2017 (3)'!$I$5:$I$289,'Comp2016-2017 (3)'!$A$5:$A$289,A1382,'Comp2016-2017 (3)'!$R$5:$R$289,V1382),0)</f>
        <v>1.2020814481836996E-3</v>
      </c>
      <c r="Y1382" s="214" t="e">
        <f>IF(RIGHT(F1382,3)="Exp",VLOOKUP(F1382,#REF!,2,FALSE),VLOOKUP(F1382,#REF!,9,FALSE))</f>
        <v>#REF!</v>
      </c>
      <c r="Z1382" s="225" t="str">
        <f t="shared" si="163"/>
        <v/>
      </c>
      <c r="AA1382" s="225" t="e">
        <f t="shared" si="164"/>
        <v>#VALUE!</v>
      </c>
      <c r="AB1382" s="222">
        <f>IFERROR(SUMIFS('Comp2016-2017 (3)'!$G$5:$G$289,'Comp2016-2017 (3)'!$A$5:$A$289,A1382,'Comp2016-2017 (3)'!$R$5:$R$289,V1382)*AA1382/SUMIFS($AA$4:$AA$1858,$A$4:$A$1858,A1382,$V$4:$V$1858,V1382),0)</f>
        <v>0</v>
      </c>
      <c r="AC1382" s="222" t="str">
        <f>IF($W1382=AC$3,$AB1382,IF(NOT($W1382=0),"",SUMIFS('Val-Vol (2)'!AC$4:AC$1858,'Val-Vol (2)'!$A$4:$A$1858,$D1382,'Val-Vol (2)'!$V$4:$V$1858,$V1382)/SUMIFS('Comp2016-2017 (3)'!$G$5:$G$289,'Comp2016-2017 (3)'!$A$5:$A$289,$D1382,'Comp2016-2017 (3)'!$R$5:$R$289,$V1382)*$AB1382))</f>
        <v/>
      </c>
      <c r="AD1382" s="222">
        <f>IF($W1382=AD$3,$AB1382,IF(NOT($W1382=0),"",SUMIFS('Val-Vol (2)'!AD$4:AD$1858,'Val-Vol (2)'!$A$4:$A$1858,$D1382,'Val-Vol (2)'!$V$4:$V$1858,$V1382)/SUMIFS('Comp2016-2017 (3)'!$G$5:$G$289,'Comp2016-2017 (3)'!$A$5:$A$289,$D1382,'Comp2016-2017 (3)'!$R$5:$R$289,$V1382)*$AB1382))</f>
        <v>0</v>
      </c>
      <c r="AE1382" s="222" t="str">
        <f>IF($W1382=AE$3,$AB1382,IF(NOT($W1382=0),"",SUMIFS('Val-Vol (2)'!AE$4:AE$1858,'Val-Vol (2)'!$A$4:$A$1858,$D1382,'Val-Vol (2)'!$V$4:$V$1858,$V1382)/SUMIFS('Comp2016-2017 (3)'!$G$5:$G$289,'Comp2016-2017 (3)'!$A$5:$A$289,$D1382,'Comp2016-2017 (3)'!$R$5:$R$289,$V1382)*$AB1382))</f>
        <v/>
      </c>
      <c r="AF1382" s="222" t="str">
        <f>IF($W1382=AF$3,$AB1382,IF(NOT($W1382=0),"",SUMIFS('Val-Vol (2)'!AF$4:AF$1858,'Val-Vol (2)'!$A$4:$A$1858,$D1382,'Val-Vol (2)'!$V$4:$V$1858,$V1382)/SUMIFS('Comp2016-2017 (3)'!$G$5:$G$289,'Comp2016-2017 (3)'!$A$5:$A$289,$D1382,'Comp2016-2017 (3)'!$R$5:$R$289,$V1382)*$AB1382))</f>
        <v/>
      </c>
      <c r="AG1382" s="222" t="str">
        <f>IF($W1382=AG$3,$AB1382,IF(NOT($W1382=0),"",SUMIFS('Val-Vol (2)'!AG$4:AG$1858,'Val-Vol (2)'!$A$4:$A$1858,$D1382,'Val-Vol (2)'!$V$4:$V$1858,$V1382)/SUMIFS('Comp2016-2017 (3)'!$G$5:$G$289,'Comp2016-2017 (3)'!$A$5:$A$289,$D1382,'Comp2016-2017 (3)'!$R$5:$R$289,$V1382)*$AB1382))</f>
        <v/>
      </c>
      <c r="AH1382" s="222" t="str">
        <f>IF($W1382=AH$3,$AB1382,IF(NOT($W1382=0),"",SUMIFS('Val-Vol (2)'!AH$4:AH$1858,'Val-Vol (2)'!$A$4:$A$1858,$D1382,'Val-Vol (2)'!$V$4:$V$1858,$V1382)/SUMIFS('Comp2016-2017 (3)'!$G$5:$G$289,'Comp2016-2017 (3)'!$A$5:$A$289,$D1382,'Comp2016-2017 (3)'!$R$5:$R$289,$V1382)*$AB1382))</f>
        <v/>
      </c>
      <c r="AI1382" s="222" t="str">
        <f>IF($W1382=AI$3,$AB1382,IF(NOT($W1382=0),"",SUMIFS('Val-Vol (2)'!AI$4:AI$1858,'Val-Vol (2)'!$A$4:$A$1858,$D1382,'Val-Vol (2)'!$V$4:$V$1858,$V1382)/SUMIFS('Comp2016-2017 (3)'!$G$5:$G$289,'Comp2016-2017 (3)'!$A$5:$A$289,$D1382,'Comp2016-2017 (3)'!$R$5:$R$289,$V1382)*$AB1382))</f>
        <v/>
      </c>
      <c r="AJ1382" s="222" t="str">
        <f>IF($W1382=AJ$3,$AB1382,IF(NOT($W1382=0),"",SUMIFS('Val-Vol (2)'!AJ$4:AJ$1858,'Val-Vol (2)'!$A$4:$A$1858,$D1382,'Val-Vol (2)'!$V$4:$V$1858,$V1382)/SUMIFS('Comp2016-2017 (3)'!$G$5:$G$289,'Comp2016-2017 (3)'!$A$5:$A$289,$D1382,'Comp2016-2017 (3)'!$R$5:$R$289,$V1382)*$AB1382))</f>
        <v/>
      </c>
      <c r="AK1382" s="222">
        <f t="shared" si="165"/>
        <v>0</v>
      </c>
      <c r="AL1382" s="212" t="str">
        <f t="shared" si="166"/>
        <v/>
      </c>
      <c r="AM1382" s="212" t="str">
        <f>VLOOKUP(A1382,'Table corresp.'!$M$4:$U$63,8,FALSE)</f>
        <v>Production finale</v>
      </c>
      <c r="AN1382" s="212" t="str">
        <f>VLOOKUP(D1382,'Table corresp.'!$M$4:$U$63,9,FALSE)</f>
        <v xml:space="preserve">Mise en œuvre </v>
      </c>
    </row>
    <row r="1383" spans="1:40" x14ac:dyDescent="0.25">
      <c r="A1383" t="s">
        <v>94</v>
      </c>
      <c r="B1383" t="str">
        <f>VLOOKUP(LEFT(A1383,3),'Table corresp.'!$A$4:$D$63,3,FALSE)</f>
        <v>Transformation</v>
      </c>
      <c r="C1383" t="str">
        <f>VLOOKUP(A1383,'Table corresp.'!$M$4:$P$63,4,FALSE)</f>
        <v>Production et transformation de produits bois</v>
      </c>
      <c r="D1383" t="s">
        <v>54</v>
      </c>
      <c r="E1383" t="str">
        <f>VLOOKUP(LEFT(D1383,3),'Table corresp.'!$A$4:$D$63,4,FALSE)</f>
        <v>Consommation finale</v>
      </c>
      <c r="F1383" t="str">
        <f t="shared" si="162"/>
        <v>42  - Con</v>
      </c>
      <c r="G1383" s="213">
        <v>278305.6113904728</v>
      </c>
      <c r="H1383" s="213">
        <v>281613.16937490716</v>
      </c>
      <c r="I1383" s="213">
        <v>559918.78076538001</v>
      </c>
      <c r="J1383" s="215">
        <v>17.899160747207773</v>
      </c>
      <c r="K1383" s="215">
        <v>34.369018147223485</v>
      </c>
      <c r="L1383" s="215">
        <v>52.268178894431259</v>
      </c>
      <c r="M1383" s="215"/>
      <c r="N1383" s="215"/>
      <c r="O1383" s="215"/>
      <c r="P1383" s="215"/>
      <c r="Q1383" s="215"/>
      <c r="R1383" s="215"/>
      <c r="S1383" s="213"/>
      <c r="T1383" s="212">
        <f>VLOOKUP(A1383,'Groupe de branches'!$Z$27:$AM$86,14,FALSE)</f>
        <v>0</v>
      </c>
      <c r="U1383" s="212">
        <f>VLOOKUP(D1383,'Groupe de branches'!$Z$27:$AM$86,14,FALSE)</f>
        <v>0</v>
      </c>
      <c r="V1383" s="212">
        <v>2019</v>
      </c>
      <c r="W1383" s="212" t="str">
        <f>VLOOKUP(D1383,'Table corresp.'!$M$4:$S$63,7,FALSE)</f>
        <v>Consommation finale</v>
      </c>
      <c r="X1383" s="228">
        <f>IFERROR(G1383/SUMIFS('Comp2016-2017 (3)'!$I$5:$I$289,'Comp2016-2017 (3)'!$A$5:$A$289,A1383,'Comp2016-2017 (3)'!$R$5:$R$289,V1383),0)</f>
        <v>0.74704027777023596</v>
      </c>
      <c r="Y1383" s="214" t="e">
        <f>IF(RIGHT(F1383,3)="Exp",VLOOKUP(F1383,#REF!,2,FALSE),VLOOKUP(F1383,#REF!,9,FALSE))</f>
        <v>#REF!</v>
      </c>
      <c r="Z1383" s="225" t="str">
        <f t="shared" si="163"/>
        <v/>
      </c>
      <c r="AA1383" s="225" t="e">
        <f t="shared" si="164"/>
        <v>#VALUE!</v>
      </c>
      <c r="AB1383" s="222">
        <f>IFERROR(SUMIFS('Comp2016-2017 (3)'!$G$5:$G$289,'Comp2016-2017 (3)'!$A$5:$A$289,A1383,'Comp2016-2017 (3)'!$R$5:$R$289,V1383)*AA1383/SUMIFS($AA$4:$AA$1858,$A$4:$A$1858,A1383,$V$4:$V$1858,V1383),0)</f>
        <v>0</v>
      </c>
      <c r="AC1383" s="222" t="str">
        <f>IF($W1383=AC$3,$AB1383,IF(NOT($W1383=0),"",SUMIFS('Val-Vol (2)'!AC$4:AC$1858,'Val-Vol (2)'!$A$4:$A$1858,$D1383,'Val-Vol (2)'!$V$4:$V$1858,$V1383)/SUMIFS('Comp2016-2017 (3)'!$G$5:$G$289,'Comp2016-2017 (3)'!$A$5:$A$289,$D1383,'Comp2016-2017 (3)'!$R$5:$R$289,$V1383)*$AB1383))</f>
        <v/>
      </c>
      <c r="AD1383" s="222" t="str">
        <f>IF($W1383=AD$3,$AB1383,IF(NOT($W1383=0),"",SUMIFS('Val-Vol (2)'!AD$4:AD$1858,'Val-Vol (2)'!$A$4:$A$1858,$D1383,'Val-Vol (2)'!$V$4:$V$1858,$V1383)/SUMIFS('Comp2016-2017 (3)'!$G$5:$G$289,'Comp2016-2017 (3)'!$A$5:$A$289,$D1383,'Comp2016-2017 (3)'!$R$5:$R$289,$V1383)*$AB1383))</f>
        <v/>
      </c>
      <c r="AE1383" s="222" t="str">
        <f>IF($W1383=AE$3,$AB1383,IF(NOT($W1383=0),"",SUMIFS('Val-Vol (2)'!AE$4:AE$1858,'Val-Vol (2)'!$A$4:$A$1858,$D1383,'Val-Vol (2)'!$V$4:$V$1858,$V1383)/SUMIFS('Comp2016-2017 (3)'!$G$5:$G$289,'Comp2016-2017 (3)'!$A$5:$A$289,$D1383,'Comp2016-2017 (3)'!$R$5:$R$289,$V1383)*$AB1383))</f>
        <v/>
      </c>
      <c r="AF1383" s="222" t="str">
        <f>IF($W1383=AF$3,$AB1383,IF(NOT($W1383=0),"",SUMIFS('Val-Vol (2)'!AF$4:AF$1858,'Val-Vol (2)'!$A$4:$A$1858,$D1383,'Val-Vol (2)'!$V$4:$V$1858,$V1383)/SUMIFS('Comp2016-2017 (3)'!$G$5:$G$289,'Comp2016-2017 (3)'!$A$5:$A$289,$D1383,'Comp2016-2017 (3)'!$R$5:$R$289,$V1383)*$AB1383))</f>
        <v/>
      </c>
      <c r="AG1383" s="222" t="str">
        <f>IF($W1383=AG$3,$AB1383,IF(NOT($W1383=0),"",SUMIFS('Val-Vol (2)'!AG$4:AG$1858,'Val-Vol (2)'!$A$4:$A$1858,$D1383,'Val-Vol (2)'!$V$4:$V$1858,$V1383)/SUMIFS('Comp2016-2017 (3)'!$G$5:$G$289,'Comp2016-2017 (3)'!$A$5:$A$289,$D1383,'Comp2016-2017 (3)'!$R$5:$R$289,$V1383)*$AB1383))</f>
        <v/>
      </c>
      <c r="AH1383" s="222" t="str">
        <f>IF($W1383=AH$3,$AB1383,IF(NOT($W1383=0),"",SUMIFS('Val-Vol (2)'!AH$4:AH$1858,'Val-Vol (2)'!$A$4:$A$1858,$D1383,'Val-Vol (2)'!$V$4:$V$1858,$V1383)/SUMIFS('Comp2016-2017 (3)'!$G$5:$G$289,'Comp2016-2017 (3)'!$A$5:$A$289,$D1383,'Comp2016-2017 (3)'!$R$5:$R$289,$V1383)*$AB1383))</f>
        <v/>
      </c>
      <c r="AI1383" s="222" t="str">
        <f>IF($W1383=AI$3,$AB1383,IF(NOT($W1383=0),"",SUMIFS('Val-Vol (2)'!AI$4:AI$1858,'Val-Vol (2)'!$A$4:$A$1858,$D1383,'Val-Vol (2)'!$V$4:$V$1858,$V1383)/SUMIFS('Comp2016-2017 (3)'!$G$5:$G$289,'Comp2016-2017 (3)'!$A$5:$A$289,$D1383,'Comp2016-2017 (3)'!$R$5:$R$289,$V1383)*$AB1383))</f>
        <v/>
      </c>
      <c r="AJ1383" s="222">
        <f>IF($W1383=AJ$3,$AB1383,IF(NOT($W1383=0),"",SUMIFS('Val-Vol (2)'!AJ$4:AJ$1858,'Val-Vol (2)'!$A$4:$A$1858,$D1383,'Val-Vol (2)'!$V$4:$V$1858,$V1383)/SUMIFS('Comp2016-2017 (3)'!$G$5:$G$289,'Comp2016-2017 (3)'!$A$5:$A$289,$D1383,'Comp2016-2017 (3)'!$R$5:$R$289,$V1383)*$AB1383))</f>
        <v>0</v>
      </c>
      <c r="AK1383" s="222">
        <f t="shared" si="165"/>
        <v>0</v>
      </c>
      <c r="AL1383" s="212" t="str">
        <f t="shared" si="166"/>
        <v/>
      </c>
      <c r="AM1383" s="212" t="str">
        <f>VLOOKUP(A1383,'Table corresp.'!$M$4:$U$63,8,FALSE)</f>
        <v>Production finale</v>
      </c>
      <c r="AN1383" s="212" t="str">
        <f>VLOOKUP(D1383,'Table corresp.'!$M$4:$U$63,9,FALSE)</f>
        <v>Consommation finale française</v>
      </c>
    </row>
    <row r="1384" spans="1:40" x14ac:dyDescent="0.25">
      <c r="A1384" t="s">
        <v>94</v>
      </c>
      <c r="B1384" t="str">
        <f>VLOOKUP(LEFT(A1384,3),'Table corresp.'!$A$4:$D$63,3,FALSE)</f>
        <v>Transformation</v>
      </c>
      <c r="C1384" t="str">
        <f>VLOOKUP(A1384,'Table corresp.'!$M$4:$P$63,4,FALSE)</f>
        <v>Production et transformation de produits bois</v>
      </c>
      <c r="D1384" t="s">
        <v>53</v>
      </c>
      <c r="E1384" t="str">
        <f>VLOOKUP(LEFT(D1384,3),'Table corresp.'!$A$4:$D$63,4,FALSE)</f>
        <v>Exportation</v>
      </c>
      <c r="F1384" t="str">
        <f t="shared" si="162"/>
        <v>42  - Exp</v>
      </c>
      <c r="G1384" s="213">
        <v>93790.878999999768</v>
      </c>
      <c r="H1384" s="213">
        <v>0</v>
      </c>
      <c r="I1384" s="213">
        <v>93790.878999999753</v>
      </c>
      <c r="J1384" s="215">
        <v>6.0321385956085658</v>
      </c>
      <c r="K1384" s="215">
        <v>0</v>
      </c>
      <c r="L1384" s="215">
        <v>6.0321385956085658</v>
      </c>
      <c r="M1384" s="215"/>
      <c r="N1384" s="215"/>
      <c r="O1384" s="215"/>
      <c r="P1384" s="215"/>
      <c r="Q1384" s="215"/>
      <c r="R1384" s="215"/>
      <c r="S1384" s="213"/>
      <c r="T1384" s="212">
        <f>VLOOKUP(A1384,'Groupe de branches'!$Z$27:$AM$86,14,FALSE)</f>
        <v>0</v>
      </c>
      <c r="U1384" s="212">
        <f>VLOOKUP(D1384,'Groupe de branches'!$Z$27:$AM$86,14,FALSE)</f>
        <v>0</v>
      </c>
      <c r="V1384" s="212">
        <v>2019</v>
      </c>
      <c r="W1384" s="212" t="str">
        <f>VLOOKUP(D1384,'Table corresp.'!$M$4:$S$63,7,FALSE)</f>
        <v>Exportation</v>
      </c>
      <c r="X1384" s="228">
        <f>IFERROR(G1384/SUMIFS('Comp2016-2017 (3)'!$I$5:$I$289,'Comp2016-2017 (3)'!$A$5:$A$289,A1384,'Comp2016-2017 (3)'!$R$5:$R$289,V1384),0)</f>
        <v>0.2517576413584055</v>
      </c>
      <c r="Y1384" s="214" t="e">
        <f>IF(RIGHT(F1384,3)="Exp",VLOOKUP(F1384,#REF!,2,FALSE),VLOOKUP(F1384,#REF!,9,FALSE))</f>
        <v>#REF!</v>
      </c>
      <c r="Z1384" s="225" t="str">
        <f t="shared" si="163"/>
        <v/>
      </c>
      <c r="AA1384" s="225" t="e">
        <f t="shared" si="164"/>
        <v>#VALUE!</v>
      </c>
      <c r="AB1384" s="222">
        <f>IFERROR(SUMIFS('Comp2016-2017 (3)'!$G$5:$G$289,'Comp2016-2017 (3)'!$A$5:$A$289,A1384,'Comp2016-2017 (3)'!$R$5:$R$289,V1384)*AA1384/SUMIFS($AA$4:$AA$1858,$A$4:$A$1858,A1384,$V$4:$V$1858,V1384),0)</f>
        <v>0</v>
      </c>
      <c r="AC1384" s="222">
        <f>IF($W1384=AC$3,$AB1384,IF(NOT($W1384=0),"",SUMIFS('Val-Vol (2)'!AC$4:AC$1858,'Val-Vol (2)'!$A$4:$A$1858,$D1384,'Val-Vol (2)'!$V$4:$V$1858,$V1384)/SUMIFS('Comp2016-2017 (3)'!$G$5:$G$289,'Comp2016-2017 (3)'!$A$5:$A$289,$D1384,'Comp2016-2017 (3)'!$R$5:$R$289,$V1384)*$AB1384))</f>
        <v>0</v>
      </c>
      <c r="AD1384" s="222" t="str">
        <f>IF($W1384=AD$3,$AB1384,IF(NOT($W1384=0),"",SUMIFS('Val-Vol (2)'!AD$4:AD$1858,'Val-Vol (2)'!$A$4:$A$1858,$D1384,'Val-Vol (2)'!$V$4:$V$1858,$V1384)/SUMIFS('Comp2016-2017 (3)'!$G$5:$G$289,'Comp2016-2017 (3)'!$A$5:$A$289,$D1384,'Comp2016-2017 (3)'!$R$5:$R$289,$V1384)*$AB1384))</f>
        <v/>
      </c>
      <c r="AE1384" s="222" t="str">
        <f>IF($W1384=AE$3,$AB1384,IF(NOT($W1384=0),"",SUMIFS('Val-Vol (2)'!AE$4:AE$1858,'Val-Vol (2)'!$A$4:$A$1858,$D1384,'Val-Vol (2)'!$V$4:$V$1858,$V1384)/SUMIFS('Comp2016-2017 (3)'!$G$5:$G$289,'Comp2016-2017 (3)'!$A$5:$A$289,$D1384,'Comp2016-2017 (3)'!$R$5:$R$289,$V1384)*$AB1384))</f>
        <v/>
      </c>
      <c r="AF1384" s="222" t="str">
        <f>IF($W1384=AF$3,$AB1384,IF(NOT($W1384=0),"",SUMIFS('Val-Vol (2)'!AF$4:AF$1858,'Val-Vol (2)'!$A$4:$A$1858,$D1384,'Val-Vol (2)'!$V$4:$V$1858,$V1384)/SUMIFS('Comp2016-2017 (3)'!$G$5:$G$289,'Comp2016-2017 (3)'!$A$5:$A$289,$D1384,'Comp2016-2017 (3)'!$R$5:$R$289,$V1384)*$AB1384))</f>
        <v/>
      </c>
      <c r="AG1384" s="222" t="str">
        <f>IF($W1384=AG$3,$AB1384,IF(NOT($W1384=0),"",SUMIFS('Val-Vol (2)'!AG$4:AG$1858,'Val-Vol (2)'!$A$4:$A$1858,$D1384,'Val-Vol (2)'!$V$4:$V$1858,$V1384)/SUMIFS('Comp2016-2017 (3)'!$G$5:$G$289,'Comp2016-2017 (3)'!$A$5:$A$289,$D1384,'Comp2016-2017 (3)'!$R$5:$R$289,$V1384)*$AB1384))</f>
        <v/>
      </c>
      <c r="AH1384" s="222" t="str">
        <f>IF($W1384=AH$3,$AB1384,IF(NOT($W1384=0),"",SUMIFS('Val-Vol (2)'!AH$4:AH$1858,'Val-Vol (2)'!$A$4:$A$1858,$D1384,'Val-Vol (2)'!$V$4:$V$1858,$V1384)/SUMIFS('Comp2016-2017 (3)'!$G$5:$G$289,'Comp2016-2017 (3)'!$A$5:$A$289,$D1384,'Comp2016-2017 (3)'!$R$5:$R$289,$V1384)*$AB1384))</f>
        <v/>
      </c>
      <c r="AI1384" s="222" t="str">
        <f>IF($W1384=AI$3,$AB1384,IF(NOT($W1384=0),"",SUMIFS('Val-Vol (2)'!AI$4:AI$1858,'Val-Vol (2)'!$A$4:$A$1858,$D1384,'Val-Vol (2)'!$V$4:$V$1858,$V1384)/SUMIFS('Comp2016-2017 (3)'!$G$5:$G$289,'Comp2016-2017 (3)'!$A$5:$A$289,$D1384,'Comp2016-2017 (3)'!$R$5:$R$289,$V1384)*$AB1384))</f>
        <v/>
      </c>
      <c r="AJ1384" s="222" t="str">
        <f>IF($W1384=AJ$3,$AB1384,IF(NOT($W1384=0),"",SUMIFS('Val-Vol (2)'!AJ$4:AJ$1858,'Val-Vol (2)'!$A$4:$A$1858,$D1384,'Val-Vol (2)'!$V$4:$V$1858,$V1384)/SUMIFS('Comp2016-2017 (3)'!$G$5:$G$289,'Comp2016-2017 (3)'!$A$5:$A$289,$D1384,'Comp2016-2017 (3)'!$R$5:$R$289,$V1384)*$AB1384))</f>
        <v/>
      </c>
      <c r="AK1384" s="222">
        <f t="shared" si="165"/>
        <v>0</v>
      </c>
      <c r="AL1384" s="212" t="str">
        <f t="shared" si="166"/>
        <v/>
      </c>
      <c r="AM1384" s="212" t="str">
        <f>VLOOKUP(A1384,'Table corresp.'!$M$4:$U$63,8,FALSE)</f>
        <v>Production finale</v>
      </c>
      <c r="AN1384" s="212" t="str">
        <f>VLOOKUP(D1384,'Table corresp.'!$M$4:$U$63,9,FALSE)</f>
        <v>Exportation</v>
      </c>
    </row>
    <row r="1385" spans="1:40" x14ac:dyDescent="0.25">
      <c r="A1385" t="s">
        <v>95</v>
      </c>
      <c r="B1385" t="str">
        <f>VLOOKUP(LEFT(A1385,3),'Table corresp.'!$A$4:$D$63,3,FALSE)</f>
        <v>Transformation</v>
      </c>
      <c r="C1385" t="str">
        <f>VLOOKUP(A1385,'Table corresp.'!$M$4:$P$63,4,FALSE)</f>
        <v>Production et transformation de produits bois</v>
      </c>
      <c r="D1385" t="s">
        <v>96</v>
      </c>
      <c r="E1385" t="str">
        <f>VLOOKUP(LEFT(D1385,3),'Table corresp.'!$A$4:$D$63,4,FALSE)</f>
        <v>Transformation</v>
      </c>
      <c r="F1385" t="str">
        <f t="shared" si="162"/>
        <v xml:space="preserve">43  - 44 </v>
      </c>
      <c r="G1385" s="213">
        <v>190336.47976258714</v>
      </c>
      <c r="H1385" s="213">
        <v>1029512.7240000004</v>
      </c>
      <c r="I1385" s="213">
        <v>1219849.2037626386</v>
      </c>
      <c r="J1385" s="215"/>
      <c r="K1385" s="215"/>
      <c r="L1385" s="215"/>
      <c r="M1385" s="215">
        <v>2088.1350058820626</v>
      </c>
      <c r="N1385" s="215">
        <v>6419.5991760992756</v>
      </c>
      <c r="O1385" s="215">
        <v>8507.7341819813373</v>
      </c>
      <c r="P1385" s="215"/>
      <c r="Q1385" s="215"/>
      <c r="R1385" s="215"/>
      <c r="S1385" s="213"/>
      <c r="T1385" s="212">
        <f>VLOOKUP(A1385,'Groupe de branches'!$Z$27:$AM$86,14,FALSE)</f>
        <v>0</v>
      </c>
      <c r="U1385" s="212">
        <f>VLOOKUP(D1385,'Groupe de branches'!$Z$27:$AM$86,14,FALSE)</f>
        <v>0</v>
      </c>
      <c r="V1385" s="212">
        <v>2019</v>
      </c>
      <c r="W1385" s="212" t="str">
        <f>VLOOKUP(D1385,'Table corresp.'!$M$4:$S$63,7,FALSE)</f>
        <v>Pate &amp; papier &amp; carton</v>
      </c>
      <c r="X1385" s="228">
        <f>IFERROR(G1385/SUMIFS('Comp2016-2017 (3)'!$I$5:$I$289,'Comp2016-2017 (3)'!$A$5:$A$289,A1385,'Comp2016-2017 (3)'!$R$5:$R$289,V1385),0)</f>
        <v>0.32833050454117252</v>
      </c>
      <c r="Y1385" s="214" t="e">
        <f>IF(RIGHT(F1385,3)="Exp",VLOOKUP(F1385,#REF!,2,FALSE),VLOOKUP(F1385,#REF!,9,FALSE))</f>
        <v>#REF!</v>
      </c>
      <c r="Z1385" s="225" t="str">
        <f t="shared" si="163"/>
        <v/>
      </c>
      <c r="AA1385" s="225" t="e">
        <f t="shared" si="164"/>
        <v>#VALUE!</v>
      </c>
      <c r="AB1385" s="222">
        <f>IFERROR(SUMIFS('Comp2016-2017 (3)'!$G$5:$G$289,'Comp2016-2017 (3)'!$A$5:$A$289,A1385,'Comp2016-2017 (3)'!$R$5:$R$289,V1385)*AA1385/SUMIFS($AA$4:$AA$1858,$A$4:$A$1858,A1385,$V$4:$V$1858,V1385),0)</f>
        <v>0</v>
      </c>
      <c r="AC1385" s="222" t="str">
        <f>IF($W1385=AC$3,$AB1385,IF(NOT($W1385=0),"",SUMIFS('Val-Vol (2)'!AC$4:AC$1858,'Val-Vol (2)'!$A$4:$A$1858,$D1385,'Val-Vol (2)'!$V$4:$V$1858,$V1385)/SUMIFS('Comp2016-2017 (3)'!$G$5:$G$289,'Comp2016-2017 (3)'!$A$5:$A$289,$D1385,'Comp2016-2017 (3)'!$R$5:$R$289,$V1385)*$AB1385))</f>
        <v/>
      </c>
      <c r="AD1385" s="222" t="str">
        <f>IF($W1385=AD$3,$AB1385,IF(NOT($W1385=0),"",SUMIFS('Val-Vol (2)'!AD$4:AD$1858,'Val-Vol (2)'!$A$4:$A$1858,$D1385,'Val-Vol (2)'!$V$4:$V$1858,$V1385)/SUMIFS('Comp2016-2017 (3)'!$G$5:$G$289,'Comp2016-2017 (3)'!$A$5:$A$289,$D1385,'Comp2016-2017 (3)'!$R$5:$R$289,$V1385)*$AB1385))</f>
        <v/>
      </c>
      <c r="AE1385" s="222" t="str">
        <f>IF($W1385=AE$3,$AB1385,IF(NOT($W1385=0),"",SUMIFS('Val-Vol (2)'!AE$4:AE$1858,'Val-Vol (2)'!$A$4:$A$1858,$D1385,'Val-Vol (2)'!$V$4:$V$1858,$V1385)/SUMIFS('Comp2016-2017 (3)'!$G$5:$G$289,'Comp2016-2017 (3)'!$A$5:$A$289,$D1385,'Comp2016-2017 (3)'!$R$5:$R$289,$V1385)*$AB1385))</f>
        <v/>
      </c>
      <c r="AF1385" s="222">
        <f>IF($W1385=AF$3,$AB1385,IF(NOT($W1385=0),"",SUMIFS('Val-Vol (2)'!AF$4:AF$1858,'Val-Vol (2)'!$A$4:$A$1858,$D1385,'Val-Vol (2)'!$V$4:$V$1858,$V1385)/SUMIFS('Comp2016-2017 (3)'!$G$5:$G$289,'Comp2016-2017 (3)'!$A$5:$A$289,$D1385,'Comp2016-2017 (3)'!$R$5:$R$289,$V1385)*$AB1385))</f>
        <v>0</v>
      </c>
      <c r="AG1385" s="222" t="str">
        <f>IF($W1385=AG$3,$AB1385,IF(NOT($W1385=0),"",SUMIFS('Val-Vol (2)'!AG$4:AG$1858,'Val-Vol (2)'!$A$4:$A$1858,$D1385,'Val-Vol (2)'!$V$4:$V$1858,$V1385)/SUMIFS('Comp2016-2017 (3)'!$G$5:$G$289,'Comp2016-2017 (3)'!$A$5:$A$289,$D1385,'Comp2016-2017 (3)'!$R$5:$R$289,$V1385)*$AB1385))</f>
        <v/>
      </c>
      <c r="AH1385" s="222" t="str">
        <f>IF($W1385=AH$3,$AB1385,IF(NOT($W1385=0),"",SUMIFS('Val-Vol (2)'!AH$4:AH$1858,'Val-Vol (2)'!$A$4:$A$1858,$D1385,'Val-Vol (2)'!$V$4:$V$1858,$V1385)/SUMIFS('Comp2016-2017 (3)'!$G$5:$G$289,'Comp2016-2017 (3)'!$A$5:$A$289,$D1385,'Comp2016-2017 (3)'!$R$5:$R$289,$V1385)*$AB1385))</f>
        <v/>
      </c>
      <c r="AI1385" s="222" t="str">
        <f>IF($W1385=AI$3,$AB1385,IF(NOT($W1385=0),"",SUMIFS('Val-Vol (2)'!AI$4:AI$1858,'Val-Vol (2)'!$A$4:$A$1858,$D1385,'Val-Vol (2)'!$V$4:$V$1858,$V1385)/SUMIFS('Comp2016-2017 (3)'!$G$5:$G$289,'Comp2016-2017 (3)'!$A$5:$A$289,$D1385,'Comp2016-2017 (3)'!$R$5:$R$289,$V1385)*$AB1385))</f>
        <v/>
      </c>
      <c r="AJ1385" s="222" t="str">
        <f>IF($W1385=AJ$3,$AB1385,IF(NOT($W1385=0),"",SUMIFS('Val-Vol (2)'!AJ$4:AJ$1858,'Val-Vol (2)'!$A$4:$A$1858,$D1385,'Val-Vol (2)'!$V$4:$V$1858,$V1385)/SUMIFS('Comp2016-2017 (3)'!$G$5:$G$289,'Comp2016-2017 (3)'!$A$5:$A$289,$D1385,'Comp2016-2017 (3)'!$R$5:$R$289,$V1385)*$AB1385))</f>
        <v/>
      </c>
      <c r="AK1385" s="222">
        <f t="shared" si="165"/>
        <v>0</v>
      </c>
      <c r="AL1385" s="212" t="str">
        <f t="shared" si="166"/>
        <v/>
      </c>
      <c r="AM1385" s="212" t="str">
        <f>VLOOKUP(A1385,'Table corresp.'!$M$4:$U$63,8,FALSE)</f>
        <v>Production intermédiaire</v>
      </c>
      <c r="AN1385" s="212" t="str">
        <f>VLOOKUP(D1385,'Table corresp.'!$M$4:$U$63,9,FALSE)</f>
        <v>Production intermédiaire</v>
      </c>
    </row>
    <row r="1386" spans="1:40" x14ac:dyDescent="0.25">
      <c r="A1386" t="s">
        <v>95</v>
      </c>
      <c r="B1386" t="str">
        <f>VLOOKUP(LEFT(A1386,3),'Table corresp.'!$A$4:$D$63,3,FALSE)</f>
        <v>Transformation</v>
      </c>
      <c r="C1386" t="str">
        <f>VLOOKUP(A1386,'Table corresp.'!$M$4:$P$63,4,FALSE)</f>
        <v>Production et transformation de produits bois</v>
      </c>
      <c r="D1386" t="s">
        <v>53</v>
      </c>
      <c r="E1386" t="str">
        <f>VLOOKUP(LEFT(D1386,3),'Table corresp.'!$A$4:$D$63,4,FALSE)</f>
        <v>Exportation</v>
      </c>
      <c r="F1386" t="str">
        <f t="shared" ref="F1386:F1449" si="167">LEFT(A1386,3)&amp;" - "&amp;LEFT(D1386,3)</f>
        <v>43  - Exp</v>
      </c>
      <c r="G1386" s="213">
        <v>389373.53000005073</v>
      </c>
      <c r="H1386" s="213">
        <v>0</v>
      </c>
      <c r="I1386" s="213">
        <v>389373.52999999968</v>
      </c>
      <c r="J1386" s="215"/>
      <c r="K1386" s="215"/>
      <c r="L1386" s="215"/>
      <c r="M1386" s="215">
        <v>2470.3444092079098</v>
      </c>
      <c r="N1386" s="215">
        <v>0</v>
      </c>
      <c r="O1386" s="215">
        <v>2470.3444092079098</v>
      </c>
      <c r="P1386" s="215"/>
      <c r="Q1386" s="215"/>
      <c r="R1386" s="215"/>
      <c r="S1386" s="213"/>
      <c r="T1386" s="212">
        <f>VLOOKUP(A1386,'Groupe de branches'!$Z$27:$AM$86,14,FALSE)</f>
        <v>0</v>
      </c>
      <c r="U1386" s="212">
        <f>VLOOKUP(D1386,'Groupe de branches'!$Z$27:$AM$86,14,FALSE)</f>
        <v>0</v>
      </c>
      <c r="V1386" s="212">
        <v>2019</v>
      </c>
      <c r="W1386" s="212" t="str">
        <f>VLOOKUP(D1386,'Table corresp.'!$M$4:$S$63,7,FALSE)</f>
        <v>Exportation</v>
      </c>
      <c r="X1386" s="228">
        <f>IFERROR(G1386/SUMIFS('Comp2016-2017 (3)'!$I$5:$I$289,'Comp2016-2017 (3)'!$A$5:$A$289,A1386,'Comp2016-2017 (3)'!$R$5:$R$289,V1386),0)</f>
        <v>0.67166949666904108</v>
      </c>
      <c r="Y1386" s="214" t="e">
        <f>IF(RIGHT(F1386,3)="Exp",VLOOKUP(F1386,#REF!,2,FALSE),VLOOKUP(F1386,#REF!,9,FALSE))</f>
        <v>#REF!</v>
      </c>
      <c r="Z1386" s="225" t="str">
        <f t="shared" si="163"/>
        <v/>
      </c>
      <c r="AA1386" s="225" t="e">
        <f t="shared" si="164"/>
        <v>#VALUE!</v>
      </c>
      <c r="AB1386" s="222">
        <f>IFERROR(SUMIFS('Comp2016-2017 (3)'!$G$5:$G$289,'Comp2016-2017 (3)'!$A$5:$A$289,A1386,'Comp2016-2017 (3)'!$R$5:$R$289,V1386)*AA1386/SUMIFS($AA$4:$AA$1858,$A$4:$A$1858,A1386,$V$4:$V$1858,V1386),0)</f>
        <v>0</v>
      </c>
      <c r="AC1386" s="222">
        <f>IF($W1386=AC$3,$AB1386,IF(NOT($W1386=0),"",SUMIFS('Val-Vol (2)'!AC$4:AC$1858,'Val-Vol (2)'!$A$4:$A$1858,$D1386,'Val-Vol (2)'!$V$4:$V$1858,$V1386)/SUMIFS('Comp2016-2017 (3)'!$G$5:$G$289,'Comp2016-2017 (3)'!$A$5:$A$289,$D1386,'Comp2016-2017 (3)'!$R$5:$R$289,$V1386)*$AB1386))</f>
        <v>0</v>
      </c>
      <c r="AD1386" s="222" t="str">
        <f>IF($W1386=AD$3,$AB1386,IF(NOT($W1386=0),"",SUMIFS('Val-Vol (2)'!AD$4:AD$1858,'Val-Vol (2)'!$A$4:$A$1858,$D1386,'Val-Vol (2)'!$V$4:$V$1858,$V1386)/SUMIFS('Comp2016-2017 (3)'!$G$5:$G$289,'Comp2016-2017 (3)'!$A$5:$A$289,$D1386,'Comp2016-2017 (3)'!$R$5:$R$289,$V1386)*$AB1386))</f>
        <v/>
      </c>
      <c r="AE1386" s="222" t="str">
        <f>IF($W1386=AE$3,$AB1386,IF(NOT($W1386=0),"",SUMIFS('Val-Vol (2)'!AE$4:AE$1858,'Val-Vol (2)'!$A$4:$A$1858,$D1386,'Val-Vol (2)'!$V$4:$V$1858,$V1386)/SUMIFS('Comp2016-2017 (3)'!$G$5:$G$289,'Comp2016-2017 (3)'!$A$5:$A$289,$D1386,'Comp2016-2017 (3)'!$R$5:$R$289,$V1386)*$AB1386))</f>
        <v/>
      </c>
      <c r="AF1386" s="222" t="str">
        <f>IF($W1386=AF$3,$AB1386,IF(NOT($W1386=0),"",SUMIFS('Val-Vol (2)'!AF$4:AF$1858,'Val-Vol (2)'!$A$4:$A$1858,$D1386,'Val-Vol (2)'!$V$4:$V$1858,$V1386)/SUMIFS('Comp2016-2017 (3)'!$G$5:$G$289,'Comp2016-2017 (3)'!$A$5:$A$289,$D1386,'Comp2016-2017 (3)'!$R$5:$R$289,$V1386)*$AB1386))</f>
        <v/>
      </c>
      <c r="AG1386" s="222" t="str">
        <f>IF($W1386=AG$3,$AB1386,IF(NOT($W1386=0),"",SUMIFS('Val-Vol (2)'!AG$4:AG$1858,'Val-Vol (2)'!$A$4:$A$1858,$D1386,'Val-Vol (2)'!$V$4:$V$1858,$V1386)/SUMIFS('Comp2016-2017 (3)'!$G$5:$G$289,'Comp2016-2017 (3)'!$A$5:$A$289,$D1386,'Comp2016-2017 (3)'!$R$5:$R$289,$V1386)*$AB1386))</f>
        <v/>
      </c>
      <c r="AH1386" s="222" t="str">
        <f>IF($W1386=AH$3,$AB1386,IF(NOT($W1386=0),"",SUMIFS('Val-Vol (2)'!AH$4:AH$1858,'Val-Vol (2)'!$A$4:$A$1858,$D1386,'Val-Vol (2)'!$V$4:$V$1858,$V1386)/SUMIFS('Comp2016-2017 (3)'!$G$5:$G$289,'Comp2016-2017 (3)'!$A$5:$A$289,$D1386,'Comp2016-2017 (3)'!$R$5:$R$289,$V1386)*$AB1386))</f>
        <v/>
      </c>
      <c r="AI1386" s="222" t="str">
        <f>IF($W1386=AI$3,$AB1386,IF(NOT($W1386=0),"",SUMIFS('Val-Vol (2)'!AI$4:AI$1858,'Val-Vol (2)'!$A$4:$A$1858,$D1386,'Val-Vol (2)'!$V$4:$V$1858,$V1386)/SUMIFS('Comp2016-2017 (3)'!$G$5:$G$289,'Comp2016-2017 (3)'!$A$5:$A$289,$D1386,'Comp2016-2017 (3)'!$R$5:$R$289,$V1386)*$AB1386))</f>
        <v/>
      </c>
      <c r="AJ1386" s="222" t="str">
        <f>IF($W1386=AJ$3,$AB1386,IF(NOT($W1386=0),"",SUMIFS('Val-Vol (2)'!AJ$4:AJ$1858,'Val-Vol (2)'!$A$4:$A$1858,$D1386,'Val-Vol (2)'!$V$4:$V$1858,$V1386)/SUMIFS('Comp2016-2017 (3)'!$G$5:$G$289,'Comp2016-2017 (3)'!$A$5:$A$289,$D1386,'Comp2016-2017 (3)'!$R$5:$R$289,$V1386)*$AB1386))</f>
        <v/>
      </c>
      <c r="AK1386" s="222">
        <f t="shared" si="165"/>
        <v>0</v>
      </c>
      <c r="AL1386" s="212" t="str">
        <f t="shared" si="166"/>
        <v/>
      </c>
      <c r="AM1386" s="212" t="str">
        <f>VLOOKUP(A1386,'Table corresp.'!$M$4:$U$63,8,FALSE)</f>
        <v>Production intermédiaire</v>
      </c>
      <c r="AN1386" s="212" t="str">
        <f>VLOOKUP(D1386,'Table corresp.'!$M$4:$U$63,9,FALSE)</f>
        <v>Exportation</v>
      </c>
    </row>
    <row r="1387" spans="1:40" x14ac:dyDescent="0.25">
      <c r="A1387" t="s">
        <v>96</v>
      </c>
      <c r="B1387" t="str">
        <f>VLOOKUP(LEFT(A1387,3),'Table corresp.'!$A$4:$D$63,3,FALSE)</f>
        <v>Transformation</v>
      </c>
      <c r="C1387" t="str">
        <f>VLOOKUP(A1387,'Table corresp.'!$M$4:$P$63,4,FALSE)</f>
        <v>Production et transformation de produits bois</v>
      </c>
      <c r="D1387" t="s">
        <v>97</v>
      </c>
      <c r="E1387" t="str">
        <f>VLOOKUP(LEFT(D1387,3),'Table corresp.'!$A$4:$D$63,4,FALSE)</f>
        <v>Transformation</v>
      </c>
      <c r="F1387" t="str">
        <f t="shared" si="167"/>
        <v xml:space="preserve">44  - 45 </v>
      </c>
      <c r="G1387" s="213">
        <v>633549.24250716937</v>
      </c>
      <c r="H1387" s="213">
        <v>2007580.9851338721</v>
      </c>
      <c r="I1387" s="213">
        <v>2641130.2276410405</v>
      </c>
      <c r="J1387" s="215"/>
      <c r="K1387" s="215"/>
      <c r="L1387" s="215"/>
      <c r="M1387" s="215">
        <v>1250.9670677177853</v>
      </c>
      <c r="N1387" s="215">
        <v>2758.4943616426217</v>
      </c>
      <c r="O1387" s="215">
        <v>4009.4614293604072</v>
      </c>
      <c r="P1387" s="215"/>
      <c r="Q1387" s="215"/>
      <c r="R1387" s="215"/>
      <c r="S1387" s="213"/>
      <c r="T1387" s="212">
        <f>VLOOKUP(A1387,'Groupe de branches'!$Z$27:$AM$86,14,FALSE)</f>
        <v>0</v>
      </c>
      <c r="U1387" s="212">
        <f>VLOOKUP(D1387,'Groupe de branches'!$Z$27:$AM$86,14,FALSE)</f>
        <v>0</v>
      </c>
      <c r="V1387" s="212">
        <v>2019</v>
      </c>
      <c r="W1387" s="212" t="str">
        <f>VLOOKUP(D1387,'Table corresp.'!$M$4:$S$63,7,FALSE)</f>
        <v>Pate &amp; papier &amp; carton</v>
      </c>
      <c r="X1387" s="228">
        <f>IFERROR(G1387/SUMIFS('Comp2016-2017 (3)'!$I$5:$I$289,'Comp2016-2017 (3)'!$A$5:$A$289,A1387,'Comp2016-2017 (3)'!$R$5:$R$289,V1387),0)</f>
        <v>0.12431887339507849</v>
      </c>
      <c r="Y1387" s="214" t="e">
        <f>IF(RIGHT(F1387,3)="Exp",VLOOKUP(F1387,#REF!,2,FALSE),VLOOKUP(F1387,#REF!,9,FALSE))</f>
        <v>#REF!</v>
      </c>
      <c r="Z1387" s="225" t="str">
        <f t="shared" si="163"/>
        <v/>
      </c>
      <c r="AA1387" s="225" t="e">
        <f t="shared" si="164"/>
        <v>#VALUE!</v>
      </c>
      <c r="AB1387" s="222">
        <f>IFERROR(SUMIFS('Comp2016-2017 (3)'!$G$5:$G$289,'Comp2016-2017 (3)'!$A$5:$A$289,A1387,'Comp2016-2017 (3)'!$R$5:$R$289,V1387)*AA1387/SUMIFS($AA$4:$AA$1858,$A$4:$A$1858,A1387,$V$4:$V$1858,V1387),0)</f>
        <v>0</v>
      </c>
      <c r="AC1387" s="222" t="str">
        <f>IF($W1387=AC$3,$AB1387,IF(NOT($W1387=0),"",SUMIFS('Val-Vol (2)'!AC$4:AC$1858,'Val-Vol (2)'!$A$4:$A$1858,$D1387,'Val-Vol (2)'!$V$4:$V$1858,$V1387)/SUMIFS('Comp2016-2017 (3)'!$G$5:$G$289,'Comp2016-2017 (3)'!$A$5:$A$289,$D1387,'Comp2016-2017 (3)'!$R$5:$R$289,$V1387)*$AB1387))</f>
        <v/>
      </c>
      <c r="AD1387" s="222" t="str">
        <f>IF($W1387=AD$3,$AB1387,IF(NOT($W1387=0),"",SUMIFS('Val-Vol (2)'!AD$4:AD$1858,'Val-Vol (2)'!$A$4:$A$1858,$D1387,'Val-Vol (2)'!$V$4:$V$1858,$V1387)/SUMIFS('Comp2016-2017 (3)'!$G$5:$G$289,'Comp2016-2017 (3)'!$A$5:$A$289,$D1387,'Comp2016-2017 (3)'!$R$5:$R$289,$V1387)*$AB1387))</f>
        <v/>
      </c>
      <c r="AE1387" s="222" t="str">
        <f>IF($W1387=AE$3,$AB1387,IF(NOT($W1387=0),"",SUMIFS('Val-Vol (2)'!AE$4:AE$1858,'Val-Vol (2)'!$A$4:$A$1858,$D1387,'Val-Vol (2)'!$V$4:$V$1858,$V1387)/SUMIFS('Comp2016-2017 (3)'!$G$5:$G$289,'Comp2016-2017 (3)'!$A$5:$A$289,$D1387,'Comp2016-2017 (3)'!$R$5:$R$289,$V1387)*$AB1387))</f>
        <v/>
      </c>
      <c r="AF1387" s="222">
        <f>IF($W1387=AF$3,$AB1387,IF(NOT($W1387=0),"",SUMIFS('Val-Vol (2)'!AF$4:AF$1858,'Val-Vol (2)'!$A$4:$A$1858,$D1387,'Val-Vol (2)'!$V$4:$V$1858,$V1387)/SUMIFS('Comp2016-2017 (3)'!$G$5:$G$289,'Comp2016-2017 (3)'!$A$5:$A$289,$D1387,'Comp2016-2017 (3)'!$R$5:$R$289,$V1387)*$AB1387))</f>
        <v>0</v>
      </c>
      <c r="AG1387" s="222" t="str">
        <f>IF($W1387=AG$3,$AB1387,IF(NOT($W1387=0),"",SUMIFS('Val-Vol (2)'!AG$4:AG$1858,'Val-Vol (2)'!$A$4:$A$1858,$D1387,'Val-Vol (2)'!$V$4:$V$1858,$V1387)/SUMIFS('Comp2016-2017 (3)'!$G$5:$G$289,'Comp2016-2017 (3)'!$A$5:$A$289,$D1387,'Comp2016-2017 (3)'!$R$5:$R$289,$V1387)*$AB1387))</f>
        <v/>
      </c>
      <c r="AH1387" s="222" t="str">
        <f>IF($W1387=AH$3,$AB1387,IF(NOT($W1387=0),"",SUMIFS('Val-Vol (2)'!AH$4:AH$1858,'Val-Vol (2)'!$A$4:$A$1858,$D1387,'Val-Vol (2)'!$V$4:$V$1858,$V1387)/SUMIFS('Comp2016-2017 (3)'!$G$5:$G$289,'Comp2016-2017 (3)'!$A$5:$A$289,$D1387,'Comp2016-2017 (3)'!$R$5:$R$289,$V1387)*$AB1387))</f>
        <v/>
      </c>
      <c r="AI1387" s="222" t="str">
        <f>IF($W1387=AI$3,$AB1387,IF(NOT($W1387=0),"",SUMIFS('Val-Vol (2)'!AI$4:AI$1858,'Val-Vol (2)'!$A$4:$A$1858,$D1387,'Val-Vol (2)'!$V$4:$V$1858,$V1387)/SUMIFS('Comp2016-2017 (3)'!$G$5:$G$289,'Comp2016-2017 (3)'!$A$5:$A$289,$D1387,'Comp2016-2017 (3)'!$R$5:$R$289,$V1387)*$AB1387))</f>
        <v/>
      </c>
      <c r="AJ1387" s="222" t="str">
        <f>IF($W1387=AJ$3,$AB1387,IF(NOT($W1387=0),"",SUMIFS('Val-Vol (2)'!AJ$4:AJ$1858,'Val-Vol (2)'!$A$4:$A$1858,$D1387,'Val-Vol (2)'!$V$4:$V$1858,$V1387)/SUMIFS('Comp2016-2017 (3)'!$G$5:$G$289,'Comp2016-2017 (3)'!$A$5:$A$289,$D1387,'Comp2016-2017 (3)'!$R$5:$R$289,$V1387)*$AB1387))</f>
        <v/>
      </c>
      <c r="AK1387" s="222">
        <f t="shared" si="165"/>
        <v>0</v>
      </c>
      <c r="AL1387" s="212" t="str">
        <f t="shared" si="166"/>
        <v/>
      </c>
      <c r="AM1387" s="212" t="str">
        <f>VLOOKUP(A1387,'Table corresp.'!$M$4:$U$63,8,FALSE)</f>
        <v>Production intermédiaire</v>
      </c>
      <c r="AN1387" s="212" t="str">
        <f>VLOOKUP(D1387,'Table corresp.'!$M$4:$U$63,9,FALSE)</f>
        <v>Production finale</v>
      </c>
    </row>
    <row r="1388" spans="1:40" x14ac:dyDescent="0.25">
      <c r="A1388" t="s">
        <v>96</v>
      </c>
      <c r="B1388" t="str">
        <f>VLOOKUP(LEFT(A1388,3),'Table corresp.'!$A$4:$D$63,3,FALSE)</f>
        <v>Transformation</v>
      </c>
      <c r="C1388" t="str">
        <f>VLOOKUP(A1388,'Table corresp.'!$M$4:$P$63,4,FALSE)</f>
        <v>Production et transformation de produits bois</v>
      </c>
      <c r="D1388" t="s">
        <v>54</v>
      </c>
      <c r="E1388" t="str">
        <f>VLOOKUP(LEFT(D1388,3),'Table corresp.'!$A$4:$D$63,4,FALSE)</f>
        <v>Consommation finale</v>
      </c>
      <c r="F1388" t="str">
        <f t="shared" si="167"/>
        <v>44  - Con</v>
      </c>
      <c r="G1388" s="213">
        <v>942746.58249284921</v>
      </c>
      <c r="H1388" s="213">
        <v>2179481.4938661163</v>
      </c>
      <c r="I1388" s="213">
        <v>3122228.0763589647</v>
      </c>
      <c r="J1388" s="215"/>
      <c r="K1388" s="215"/>
      <c r="L1388" s="215"/>
      <c r="M1388" s="215">
        <v>1861.4889716148575</v>
      </c>
      <c r="N1388" s="215">
        <v>2994.6923469855506</v>
      </c>
      <c r="O1388" s="215">
        <v>4856.1813186004083</v>
      </c>
      <c r="P1388" s="215"/>
      <c r="Q1388" s="215"/>
      <c r="R1388" s="215"/>
      <c r="S1388" s="213"/>
      <c r="T1388" s="212">
        <f>VLOOKUP(A1388,'Groupe de branches'!$Z$27:$AM$86,14,FALSE)</f>
        <v>0</v>
      </c>
      <c r="U1388" s="212">
        <f>VLOOKUP(D1388,'Groupe de branches'!$Z$27:$AM$86,14,FALSE)</f>
        <v>0</v>
      </c>
      <c r="V1388" s="212">
        <v>2019</v>
      </c>
      <c r="W1388" s="212" t="str">
        <f>VLOOKUP(D1388,'Table corresp.'!$M$4:$S$63,7,FALSE)</f>
        <v>Consommation finale</v>
      </c>
      <c r="X1388" s="228">
        <f>IFERROR(G1388/SUMIFS('Comp2016-2017 (3)'!$I$5:$I$289,'Comp2016-2017 (3)'!$A$5:$A$289,A1388,'Comp2016-2017 (3)'!$R$5:$R$289,V1388),0)</f>
        <v>0.1849914500233108</v>
      </c>
      <c r="Y1388" s="214" t="e">
        <f>IF(RIGHT(F1388,3)="Exp",VLOOKUP(F1388,#REF!,2,FALSE),VLOOKUP(F1388,#REF!,9,FALSE))</f>
        <v>#REF!</v>
      </c>
      <c r="Z1388" s="225" t="str">
        <f t="shared" si="163"/>
        <v/>
      </c>
      <c r="AA1388" s="225" t="e">
        <f t="shared" si="164"/>
        <v>#VALUE!</v>
      </c>
      <c r="AB1388" s="222">
        <f>IFERROR(SUMIFS('Comp2016-2017 (3)'!$G$5:$G$289,'Comp2016-2017 (3)'!$A$5:$A$289,A1388,'Comp2016-2017 (3)'!$R$5:$R$289,V1388)*AA1388/SUMIFS($AA$4:$AA$1858,$A$4:$A$1858,A1388,$V$4:$V$1858,V1388),0)</f>
        <v>0</v>
      </c>
      <c r="AC1388" s="222" t="str">
        <f>IF($W1388=AC$3,$AB1388,IF(NOT($W1388=0),"",SUMIFS('Val-Vol (2)'!AC$4:AC$1858,'Val-Vol (2)'!$A$4:$A$1858,$D1388,'Val-Vol (2)'!$V$4:$V$1858,$V1388)/SUMIFS('Comp2016-2017 (3)'!$G$5:$G$289,'Comp2016-2017 (3)'!$A$5:$A$289,$D1388,'Comp2016-2017 (3)'!$R$5:$R$289,$V1388)*$AB1388))</f>
        <v/>
      </c>
      <c r="AD1388" s="222" t="str">
        <f>IF($W1388=AD$3,$AB1388,IF(NOT($W1388=0),"",SUMIFS('Val-Vol (2)'!AD$4:AD$1858,'Val-Vol (2)'!$A$4:$A$1858,$D1388,'Val-Vol (2)'!$V$4:$V$1858,$V1388)/SUMIFS('Comp2016-2017 (3)'!$G$5:$G$289,'Comp2016-2017 (3)'!$A$5:$A$289,$D1388,'Comp2016-2017 (3)'!$R$5:$R$289,$V1388)*$AB1388))</f>
        <v/>
      </c>
      <c r="AE1388" s="222" t="str">
        <f>IF($W1388=AE$3,$AB1388,IF(NOT($W1388=0),"",SUMIFS('Val-Vol (2)'!AE$4:AE$1858,'Val-Vol (2)'!$A$4:$A$1858,$D1388,'Val-Vol (2)'!$V$4:$V$1858,$V1388)/SUMIFS('Comp2016-2017 (3)'!$G$5:$G$289,'Comp2016-2017 (3)'!$A$5:$A$289,$D1388,'Comp2016-2017 (3)'!$R$5:$R$289,$V1388)*$AB1388))</f>
        <v/>
      </c>
      <c r="AF1388" s="222" t="str">
        <f>IF($W1388=AF$3,$AB1388,IF(NOT($W1388=0),"",SUMIFS('Val-Vol (2)'!AF$4:AF$1858,'Val-Vol (2)'!$A$4:$A$1858,$D1388,'Val-Vol (2)'!$V$4:$V$1858,$V1388)/SUMIFS('Comp2016-2017 (3)'!$G$5:$G$289,'Comp2016-2017 (3)'!$A$5:$A$289,$D1388,'Comp2016-2017 (3)'!$R$5:$R$289,$V1388)*$AB1388))</f>
        <v/>
      </c>
      <c r="AG1388" s="222" t="str">
        <f>IF($W1388=AG$3,$AB1388,IF(NOT($W1388=0),"",SUMIFS('Val-Vol (2)'!AG$4:AG$1858,'Val-Vol (2)'!$A$4:$A$1858,$D1388,'Val-Vol (2)'!$V$4:$V$1858,$V1388)/SUMIFS('Comp2016-2017 (3)'!$G$5:$G$289,'Comp2016-2017 (3)'!$A$5:$A$289,$D1388,'Comp2016-2017 (3)'!$R$5:$R$289,$V1388)*$AB1388))</f>
        <v/>
      </c>
      <c r="AH1388" s="222" t="str">
        <f>IF($W1388=AH$3,$AB1388,IF(NOT($W1388=0),"",SUMIFS('Val-Vol (2)'!AH$4:AH$1858,'Val-Vol (2)'!$A$4:$A$1858,$D1388,'Val-Vol (2)'!$V$4:$V$1858,$V1388)/SUMIFS('Comp2016-2017 (3)'!$G$5:$G$289,'Comp2016-2017 (3)'!$A$5:$A$289,$D1388,'Comp2016-2017 (3)'!$R$5:$R$289,$V1388)*$AB1388))</f>
        <v/>
      </c>
      <c r="AI1388" s="222" t="str">
        <f>IF($W1388=AI$3,$AB1388,IF(NOT($W1388=0),"",SUMIFS('Val-Vol (2)'!AI$4:AI$1858,'Val-Vol (2)'!$A$4:$A$1858,$D1388,'Val-Vol (2)'!$V$4:$V$1858,$V1388)/SUMIFS('Comp2016-2017 (3)'!$G$5:$G$289,'Comp2016-2017 (3)'!$A$5:$A$289,$D1388,'Comp2016-2017 (3)'!$R$5:$R$289,$V1388)*$AB1388))</f>
        <v/>
      </c>
      <c r="AJ1388" s="222">
        <f>IF($W1388=AJ$3,$AB1388,IF(NOT($W1388=0),"",SUMIFS('Val-Vol (2)'!AJ$4:AJ$1858,'Val-Vol (2)'!$A$4:$A$1858,$D1388,'Val-Vol (2)'!$V$4:$V$1858,$V1388)/SUMIFS('Comp2016-2017 (3)'!$G$5:$G$289,'Comp2016-2017 (3)'!$A$5:$A$289,$D1388,'Comp2016-2017 (3)'!$R$5:$R$289,$V1388)*$AB1388))</f>
        <v>0</v>
      </c>
      <c r="AK1388" s="222">
        <f t="shared" si="165"/>
        <v>0</v>
      </c>
      <c r="AL1388" s="212" t="str">
        <f t="shared" si="166"/>
        <v/>
      </c>
      <c r="AM1388" s="212" t="str">
        <f>VLOOKUP(A1388,'Table corresp.'!$M$4:$U$63,8,FALSE)</f>
        <v>Production intermédiaire</v>
      </c>
      <c r="AN1388" s="212" t="str">
        <f>VLOOKUP(D1388,'Table corresp.'!$M$4:$U$63,9,FALSE)</f>
        <v>Consommation finale française</v>
      </c>
    </row>
    <row r="1389" spans="1:40" x14ac:dyDescent="0.25">
      <c r="A1389" t="s">
        <v>96</v>
      </c>
      <c r="B1389" t="str">
        <f>VLOOKUP(LEFT(A1389,3),'Table corresp.'!$A$4:$D$63,3,FALSE)</f>
        <v>Transformation</v>
      </c>
      <c r="C1389" t="str">
        <f>VLOOKUP(A1389,'Table corresp.'!$M$4:$P$63,4,FALSE)</f>
        <v>Production et transformation de produits bois</v>
      </c>
      <c r="D1389" t="s">
        <v>53</v>
      </c>
      <c r="E1389" t="str">
        <f>VLOOKUP(LEFT(D1389,3),'Table corresp.'!$A$4:$D$63,4,FALSE)</f>
        <v>Exportation</v>
      </c>
      <c r="F1389" t="str">
        <f t="shared" si="167"/>
        <v>44  - Exp</v>
      </c>
      <c r="G1389" s="213">
        <v>3519867.174999983</v>
      </c>
      <c r="H1389" s="213">
        <v>0</v>
      </c>
      <c r="I1389" s="213">
        <v>3519867.1749999821</v>
      </c>
      <c r="J1389" s="215"/>
      <c r="K1389" s="215"/>
      <c r="L1389" s="215"/>
      <c r="M1389" s="215">
        <v>5395.2781426486945</v>
      </c>
      <c r="N1389" s="215">
        <v>0</v>
      </c>
      <c r="O1389" s="215">
        <v>5395.2781426486945</v>
      </c>
      <c r="P1389" s="215"/>
      <c r="Q1389" s="215"/>
      <c r="R1389" s="215"/>
      <c r="S1389" s="213"/>
      <c r="T1389" s="212">
        <f>VLOOKUP(A1389,'Groupe de branches'!$Z$27:$AM$86,14,FALSE)</f>
        <v>0</v>
      </c>
      <c r="U1389" s="212">
        <f>VLOOKUP(D1389,'Groupe de branches'!$Z$27:$AM$86,14,FALSE)</f>
        <v>0</v>
      </c>
      <c r="V1389" s="212">
        <v>2019</v>
      </c>
      <c r="W1389" s="212" t="str">
        <f>VLOOKUP(D1389,'Table corresp.'!$M$4:$S$63,7,FALSE)</f>
        <v>Exportation</v>
      </c>
      <c r="X1389" s="228">
        <f>IFERROR(G1389/SUMIFS('Comp2016-2017 (3)'!$I$5:$I$289,'Comp2016-2017 (3)'!$A$5:$A$289,A1389,'Comp2016-2017 (3)'!$R$5:$R$289,V1389),0)</f>
        <v>0.69068967704016104</v>
      </c>
      <c r="Y1389" s="214" t="e">
        <f>IF(RIGHT(F1389,3)="Exp",VLOOKUP(F1389,#REF!,2,FALSE),VLOOKUP(F1389,#REF!,9,FALSE))</f>
        <v>#REF!</v>
      </c>
      <c r="Z1389" s="225" t="str">
        <f t="shared" si="163"/>
        <v/>
      </c>
      <c r="AA1389" s="225" t="e">
        <f t="shared" si="164"/>
        <v>#VALUE!</v>
      </c>
      <c r="AB1389" s="222">
        <f>IFERROR(SUMIFS('Comp2016-2017 (3)'!$G$5:$G$289,'Comp2016-2017 (3)'!$A$5:$A$289,A1389,'Comp2016-2017 (3)'!$R$5:$R$289,V1389)*AA1389/SUMIFS($AA$4:$AA$1858,$A$4:$A$1858,A1389,$V$4:$V$1858,V1389),0)</f>
        <v>0</v>
      </c>
      <c r="AC1389" s="222">
        <f>IF($W1389=AC$3,$AB1389,IF(NOT($W1389=0),"",SUMIFS('Val-Vol (2)'!AC$4:AC$1858,'Val-Vol (2)'!$A$4:$A$1858,$D1389,'Val-Vol (2)'!$V$4:$V$1858,$V1389)/SUMIFS('Comp2016-2017 (3)'!$G$5:$G$289,'Comp2016-2017 (3)'!$A$5:$A$289,$D1389,'Comp2016-2017 (3)'!$R$5:$R$289,$V1389)*$AB1389))</f>
        <v>0</v>
      </c>
      <c r="AD1389" s="222" t="str">
        <f>IF($W1389=AD$3,$AB1389,IF(NOT($W1389=0),"",SUMIFS('Val-Vol (2)'!AD$4:AD$1858,'Val-Vol (2)'!$A$4:$A$1858,$D1389,'Val-Vol (2)'!$V$4:$V$1858,$V1389)/SUMIFS('Comp2016-2017 (3)'!$G$5:$G$289,'Comp2016-2017 (3)'!$A$5:$A$289,$D1389,'Comp2016-2017 (3)'!$R$5:$R$289,$V1389)*$AB1389))</f>
        <v/>
      </c>
      <c r="AE1389" s="222" t="str">
        <f>IF($W1389=AE$3,$AB1389,IF(NOT($W1389=0),"",SUMIFS('Val-Vol (2)'!AE$4:AE$1858,'Val-Vol (2)'!$A$4:$A$1858,$D1389,'Val-Vol (2)'!$V$4:$V$1858,$V1389)/SUMIFS('Comp2016-2017 (3)'!$G$5:$G$289,'Comp2016-2017 (3)'!$A$5:$A$289,$D1389,'Comp2016-2017 (3)'!$R$5:$R$289,$V1389)*$AB1389))</f>
        <v/>
      </c>
      <c r="AF1389" s="222" t="str">
        <f>IF($W1389=AF$3,$AB1389,IF(NOT($W1389=0),"",SUMIFS('Val-Vol (2)'!AF$4:AF$1858,'Val-Vol (2)'!$A$4:$A$1858,$D1389,'Val-Vol (2)'!$V$4:$V$1858,$V1389)/SUMIFS('Comp2016-2017 (3)'!$G$5:$G$289,'Comp2016-2017 (3)'!$A$5:$A$289,$D1389,'Comp2016-2017 (3)'!$R$5:$R$289,$V1389)*$AB1389))</f>
        <v/>
      </c>
      <c r="AG1389" s="222" t="str">
        <f>IF($W1389=AG$3,$AB1389,IF(NOT($W1389=0),"",SUMIFS('Val-Vol (2)'!AG$4:AG$1858,'Val-Vol (2)'!$A$4:$A$1858,$D1389,'Val-Vol (2)'!$V$4:$V$1858,$V1389)/SUMIFS('Comp2016-2017 (3)'!$G$5:$G$289,'Comp2016-2017 (3)'!$A$5:$A$289,$D1389,'Comp2016-2017 (3)'!$R$5:$R$289,$V1389)*$AB1389))</f>
        <v/>
      </c>
      <c r="AH1389" s="222" t="str">
        <f>IF($W1389=AH$3,$AB1389,IF(NOT($W1389=0),"",SUMIFS('Val-Vol (2)'!AH$4:AH$1858,'Val-Vol (2)'!$A$4:$A$1858,$D1389,'Val-Vol (2)'!$V$4:$V$1858,$V1389)/SUMIFS('Comp2016-2017 (3)'!$G$5:$G$289,'Comp2016-2017 (3)'!$A$5:$A$289,$D1389,'Comp2016-2017 (3)'!$R$5:$R$289,$V1389)*$AB1389))</f>
        <v/>
      </c>
      <c r="AI1389" s="222" t="str">
        <f>IF($W1389=AI$3,$AB1389,IF(NOT($W1389=0),"",SUMIFS('Val-Vol (2)'!AI$4:AI$1858,'Val-Vol (2)'!$A$4:$A$1858,$D1389,'Val-Vol (2)'!$V$4:$V$1858,$V1389)/SUMIFS('Comp2016-2017 (3)'!$G$5:$G$289,'Comp2016-2017 (3)'!$A$5:$A$289,$D1389,'Comp2016-2017 (3)'!$R$5:$R$289,$V1389)*$AB1389))</f>
        <v/>
      </c>
      <c r="AJ1389" s="222" t="str">
        <f>IF($W1389=AJ$3,$AB1389,IF(NOT($W1389=0),"",SUMIFS('Val-Vol (2)'!AJ$4:AJ$1858,'Val-Vol (2)'!$A$4:$A$1858,$D1389,'Val-Vol (2)'!$V$4:$V$1858,$V1389)/SUMIFS('Comp2016-2017 (3)'!$G$5:$G$289,'Comp2016-2017 (3)'!$A$5:$A$289,$D1389,'Comp2016-2017 (3)'!$R$5:$R$289,$V1389)*$AB1389))</f>
        <v/>
      </c>
      <c r="AK1389" s="222">
        <f t="shared" si="165"/>
        <v>0</v>
      </c>
      <c r="AL1389" s="212" t="str">
        <f t="shared" si="166"/>
        <v/>
      </c>
      <c r="AM1389" s="212" t="str">
        <f>VLOOKUP(A1389,'Table corresp.'!$M$4:$U$63,8,FALSE)</f>
        <v>Production intermédiaire</v>
      </c>
      <c r="AN1389" s="212" t="str">
        <f>VLOOKUP(D1389,'Table corresp.'!$M$4:$U$63,9,FALSE)</f>
        <v>Exportation</v>
      </c>
    </row>
    <row r="1390" spans="1:40" x14ac:dyDescent="0.25">
      <c r="A1390" t="s">
        <v>97</v>
      </c>
      <c r="B1390" t="str">
        <f>VLOOKUP(LEFT(A1390,3),'Table corresp.'!$A$4:$D$63,3,FALSE)</f>
        <v>Transformation</v>
      </c>
      <c r="C1390" t="str">
        <f>VLOOKUP(A1390,'Table corresp.'!$M$4:$P$63,4,FALSE)</f>
        <v>Production et transformation de produits bois</v>
      </c>
      <c r="D1390" t="s">
        <v>97</v>
      </c>
      <c r="E1390" t="str">
        <f>VLOOKUP(LEFT(D1390,3),'Table corresp.'!$A$4:$D$63,4,FALSE)</f>
        <v>Transformation</v>
      </c>
      <c r="F1390" t="str">
        <f t="shared" si="167"/>
        <v xml:space="preserve">45  - 45 </v>
      </c>
      <c r="G1390" s="213">
        <v>420357.44832564204</v>
      </c>
      <c r="H1390" s="213">
        <v>645167.55140643939</v>
      </c>
      <c r="I1390" s="213">
        <v>1065524.9997320811</v>
      </c>
      <c r="J1390" s="215"/>
      <c r="K1390" s="215"/>
      <c r="L1390" s="215"/>
      <c r="M1390" s="215"/>
      <c r="N1390" s="215"/>
      <c r="O1390" s="215"/>
      <c r="P1390" s="215"/>
      <c r="Q1390" s="215"/>
      <c r="R1390" s="215"/>
      <c r="S1390" s="213"/>
      <c r="T1390" s="212">
        <f>VLOOKUP(A1390,'Groupe de branches'!$Z$27:$AM$86,14,FALSE)</f>
        <v>0</v>
      </c>
      <c r="U1390" s="212">
        <f>VLOOKUP(D1390,'Groupe de branches'!$Z$27:$AM$86,14,FALSE)</f>
        <v>0</v>
      </c>
      <c r="V1390" s="212">
        <v>2019</v>
      </c>
      <c r="W1390" s="212" t="str">
        <f>VLOOKUP(D1390,'Table corresp.'!$M$4:$S$63,7,FALSE)</f>
        <v>Pate &amp; papier &amp; carton</v>
      </c>
      <c r="X1390" s="228">
        <f>IFERROR(G1390/SUMIFS('Comp2016-2017 (3)'!$I$5:$I$289,'Comp2016-2017 (3)'!$A$5:$A$289,A1390,'Comp2016-2017 (3)'!$R$5:$R$289,V1390),0)</f>
        <v>4.11411712058639E-2</v>
      </c>
      <c r="Y1390" s="214" t="e">
        <f>IF(RIGHT(F1390,3)="Exp",VLOOKUP(F1390,#REF!,2,FALSE),VLOOKUP(F1390,#REF!,9,FALSE))</f>
        <v>#REF!</v>
      </c>
      <c r="Z1390" s="225" t="str">
        <f t="shared" si="163"/>
        <v/>
      </c>
      <c r="AA1390" s="225" t="e">
        <f t="shared" si="164"/>
        <v>#VALUE!</v>
      </c>
      <c r="AB1390" s="222">
        <f>IFERROR(SUMIFS('Comp2016-2017 (3)'!$G$5:$G$289,'Comp2016-2017 (3)'!$A$5:$A$289,A1390,'Comp2016-2017 (3)'!$R$5:$R$289,V1390)*AA1390/SUMIFS($AA$4:$AA$1858,$A$4:$A$1858,A1390,$V$4:$V$1858,V1390),0)</f>
        <v>0</v>
      </c>
      <c r="AC1390" s="229"/>
      <c r="AD1390" s="229"/>
      <c r="AE1390" s="229"/>
      <c r="AF1390" s="229">
        <f>AB1390</f>
        <v>0</v>
      </c>
      <c r="AG1390" s="229"/>
      <c r="AH1390" s="229"/>
      <c r="AI1390" s="229"/>
      <c r="AJ1390" s="229"/>
      <c r="AK1390" s="222">
        <f t="shared" si="165"/>
        <v>0</v>
      </c>
      <c r="AL1390" s="230" t="str">
        <f t="shared" si="166"/>
        <v>remplir à la main</v>
      </c>
      <c r="AM1390" s="212" t="str">
        <f>VLOOKUP(A1390,'Table corresp.'!$M$4:$U$63,8,FALSE)</f>
        <v>Production finale</v>
      </c>
      <c r="AN1390" s="212" t="str">
        <f>VLOOKUP(D1390,'Table corresp.'!$M$4:$U$63,9,FALSE)</f>
        <v>Production finale</v>
      </c>
    </row>
    <row r="1391" spans="1:40" x14ac:dyDescent="0.25">
      <c r="A1391" t="s">
        <v>97</v>
      </c>
      <c r="B1391" t="str">
        <f>VLOOKUP(LEFT(A1391,3),'Table corresp.'!$A$4:$D$63,3,FALSE)</f>
        <v>Transformation</v>
      </c>
      <c r="C1391" t="str">
        <f>VLOOKUP(A1391,'Table corresp.'!$M$4:$P$63,4,FALSE)</f>
        <v>Production et transformation de produits bois</v>
      </c>
      <c r="D1391" t="s">
        <v>54</v>
      </c>
      <c r="E1391" t="str">
        <f>VLOOKUP(LEFT(D1391,3),'Table corresp.'!$A$4:$D$63,4,FALSE)</f>
        <v>Consommation finale</v>
      </c>
      <c r="F1391" t="str">
        <f t="shared" si="167"/>
        <v>45  - Con</v>
      </c>
      <c r="G1391" s="213">
        <v>7589029.6456744</v>
      </c>
      <c r="H1391" s="213">
        <v>3394001.0435935715</v>
      </c>
      <c r="I1391" s="213">
        <v>10983030.689267969</v>
      </c>
      <c r="J1391" s="215"/>
      <c r="K1391" s="215"/>
      <c r="L1391" s="215"/>
      <c r="M1391" s="215">
        <v>3170.6375280693283</v>
      </c>
      <c r="N1391" s="215">
        <v>1760.6889801478035</v>
      </c>
      <c r="O1391" s="215">
        <v>4931.326508217132</v>
      </c>
      <c r="P1391" s="215"/>
      <c r="Q1391" s="215"/>
      <c r="R1391" s="215"/>
      <c r="S1391" s="213"/>
      <c r="T1391" s="212">
        <f>VLOOKUP(A1391,'Groupe de branches'!$Z$27:$AM$86,14,FALSE)</f>
        <v>0</v>
      </c>
      <c r="U1391" s="212">
        <f>VLOOKUP(D1391,'Groupe de branches'!$Z$27:$AM$86,14,FALSE)</f>
        <v>0</v>
      </c>
      <c r="V1391" s="212">
        <v>2019</v>
      </c>
      <c r="W1391" s="212" t="str">
        <f>VLOOKUP(D1391,'Table corresp.'!$M$4:$S$63,7,FALSE)</f>
        <v>Consommation finale</v>
      </c>
      <c r="X1391" s="228">
        <f>IFERROR(G1391/SUMIFS('Comp2016-2017 (3)'!$I$5:$I$289,'Comp2016-2017 (3)'!$A$5:$A$289,A1391,'Comp2016-2017 (3)'!$R$5:$R$289,V1391),0)</f>
        <v>0.74275255305383736</v>
      </c>
      <c r="Y1391" s="214" t="e">
        <f>IF(RIGHT(F1391,3)="Exp",VLOOKUP(F1391,#REF!,2,FALSE),VLOOKUP(F1391,#REF!,9,FALSE))</f>
        <v>#REF!</v>
      </c>
      <c r="Z1391" s="225" t="str">
        <f t="shared" si="163"/>
        <v/>
      </c>
      <c r="AA1391" s="225" t="e">
        <f t="shared" si="164"/>
        <v>#VALUE!</v>
      </c>
      <c r="AB1391" s="222">
        <f>IFERROR(SUMIFS('Comp2016-2017 (3)'!$G$5:$G$289,'Comp2016-2017 (3)'!$A$5:$A$289,A1391,'Comp2016-2017 (3)'!$R$5:$R$289,V1391)*AA1391/SUMIFS($AA$4:$AA$1858,$A$4:$A$1858,A1391,$V$4:$V$1858,V1391),0)</f>
        <v>0</v>
      </c>
      <c r="AC1391" s="222" t="str">
        <f>IF($W1391=AC$3,$AB1391,IF(NOT($W1391=0),"",SUMIFS('Val-Vol (2)'!AC$4:AC$1858,'Val-Vol (2)'!$A$4:$A$1858,$D1391,'Val-Vol (2)'!$V$4:$V$1858,$V1391)/SUMIFS('Comp2016-2017 (3)'!$G$5:$G$289,'Comp2016-2017 (3)'!$A$5:$A$289,$D1391,'Comp2016-2017 (3)'!$R$5:$R$289,$V1391)*$AB1391))</f>
        <v/>
      </c>
      <c r="AD1391" s="222" t="str">
        <f>IF($W1391=AD$3,$AB1391,IF(NOT($W1391=0),"",SUMIFS('Val-Vol (2)'!AD$4:AD$1858,'Val-Vol (2)'!$A$4:$A$1858,$D1391,'Val-Vol (2)'!$V$4:$V$1858,$V1391)/SUMIFS('Comp2016-2017 (3)'!$G$5:$G$289,'Comp2016-2017 (3)'!$A$5:$A$289,$D1391,'Comp2016-2017 (3)'!$R$5:$R$289,$V1391)*$AB1391))</f>
        <v/>
      </c>
      <c r="AE1391" s="222" t="str">
        <f>IF($W1391=AE$3,$AB1391,IF(NOT($W1391=0),"",SUMIFS('Val-Vol (2)'!AE$4:AE$1858,'Val-Vol (2)'!$A$4:$A$1858,$D1391,'Val-Vol (2)'!$V$4:$V$1858,$V1391)/SUMIFS('Comp2016-2017 (3)'!$G$5:$G$289,'Comp2016-2017 (3)'!$A$5:$A$289,$D1391,'Comp2016-2017 (3)'!$R$5:$R$289,$V1391)*$AB1391))</f>
        <v/>
      </c>
      <c r="AF1391" s="222" t="str">
        <f>IF($W1391=AF$3,$AB1391,IF(NOT($W1391=0),"",SUMIFS('Val-Vol (2)'!AF$4:AF$1858,'Val-Vol (2)'!$A$4:$A$1858,$D1391,'Val-Vol (2)'!$V$4:$V$1858,$V1391)/SUMIFS('Comp2016-2017 (3)'!$G$5:$G$289,'Comp2016-2017 (3)'!$A$5:$A$289,$D1391,'Comp2016-2017 (3)'!$R$5:$R$289,$V1391)*$AB1391))</f>
        <v/>
      </c>
      <c r="AG1391" s="222" t="str">
        <f>IF($W1391=AG$3,$AB1391,IF(NOT($W1391=0),"",SUMIFS('Val-Vol (2)'!AG$4:AG$1858,'Val-Vol (2)'!$A$4:$A$1858,$D1391,'Val-Vol (2)'!$V$4:$V$1858,$V1391)/SUMIFS('Comp2016-2017 (3)'!$G$5:$G$289,'Comp2016-2017 (3)'!$A$5:$A$289,$D1391,'Comp2016-2017 (3)'!$R$5:$R$289,$V1391)*$AB1391))</f>
        <v/>
      </c>
      <c r="AH1391" s="222" t="str">
        <f>IF($W1391=AH$3,$AB1391,IF(NOT($W1391=0),"",SUMIFS('Val-Vol (2)'!AH$4:AH$1858,'Val-Vol (2)'!$A$4:$A$1858,$D1391,'Val-Vol (2)'!$V$4:$V$1858,$V1391)/SUMIFS('Comp2016-2017 (3)'!$G$5:$G$289,'Comp2016-2017 (3)'!$A$5:$A$289,$D1391,'Comp2016-2017 (3)'!$R$5:$R$289,$V1391)*$AB1391))</f>
        <v/>
      </c>
      <c r="AI1391" s="222" t="str">
        <f>IF($W1391=AI$3,$AB1391,IF(NOT($W1391=0),"",SUMIFS('Val-Vol (2)'!AI$4:AI$1858,'Val-Vol (2)'!$A$4:$A$1858,$D1391,'Val-Vol (2)'!$V$4:$V$1858,$V1391)/SUMIFS('Comp2016-2017 (3)'!$G$5:$G$289,'Comp2016-2017 (3)'!$A$5:$A$289,$D1391,'Comp2016-2017 (3)'!$R$5:$R$289,$V1391)*$AB1391))</f>
        <v/>
      </c>
      <c r="AJ1391" s="222">
        <f>IF($W1391=AJ$3,$AB1391,IF(NOT($W1391=0),"",SUMIFS('Val-Vol (2)'!AJ$4:AJ$1858,'Val-Vol (2)'!$A$4:$A$1858,$D1391,'Val-Vol (2)'!$V$4:$V$1858,$V1391)/SUMIFS('Comp2016-2017 (3)'!$G$5:$G$289,'Comp2016-2017 (3)'!$A$5:$A$289,$D1391,'Comp2016-2017 (3)'!$R$5:$R$289,$V1391)*$AB1391))</f>
        <v>0</v>
      </c>
      <c r="AK1391" s="222">
        <f t="shared" si="165"/>
        <v>0</v>
      </c>
      <c r="AL1391" s="212" t="str">
        <f t="shared" si="166"/>
        <v/>
      </c>
      <c r="AM1391" s="212" t="str">
        <f>VLOOKUP(A1391,'Table corresp.'!$M$4:$U$63,8,FALSE)</f>
        <v>Production finale</v>
      </c>
      <c r="AN1391" s="212" t="str">
        <f>VLOOKUP(D1391,'Table corresp.'!$M$4:$U$63,9,FALSE)</f>
        <v>Consommation finale française</v>
      </c>
    </row>
    <row r="1392" spans="1:40" x14ac:dyDescent="0.25">
      <c r="A1392" t="s">
        <v>97</v>
      </c>
      <c r="B1392" t="str">
        <f>VLOOKUP(LEFT(A1392,3),'Table corresp.'!$A$4:$D$63,3,FALSE)</f>
        <v>Transformation</v>
      </c>
      <c r="C1392" t="str">
        <f>VLOOKUP(A1392,'Table corresp.'!$M$4:$P$63,4,FALSE)</f>
        <v>Production et transformation de produits bois</v>
      </c>
      <c r="D1392" t="s">
        <v>53</v>
      </c>
      <c r="E1392" t="str">
        <f>VLOOKUP(LEFT(D1392,3),'Table corresp.'!$A$4:$D$63,4,FALSE)</f>
        <v>Exportation</v>
      </c>
      <c r="F1392" t="str">
        <f t="shared" si="167"/>
        <v>45  - Exp</v>
      </c>
      <c r="G1392" s="213">
        <v>2208052.9059999641</v>
      </c>
      <c r="H1392" s="213">
        <v>0</v>
      </c>
      <c r="I1392" s="213">
        <v>2208052.9059999632</v>
      </c>
      <c r="J1392" s="215"/>
      <c r="K1392" s="215"/>
      <c r="L1392" s="215"/>
      <c r="M1392" s="215">
        <v>838.8063373276143</v>
      </c>
      <c r="N1392" s="215">
        <v>0</v>
      </c>
      <c r="O1392" s="215">
        <v>838.8063373276143</v>
      </c>
      <c r="P1392" s="215"/>
      <c r="Q1392" s="215"/>
      <c r="R1392" s="215"/>
      <c r="S1392" s="213"/>
      <c r="T1392" s="212">
        <f>VLOOKUP(A1392,'Groupe de branches'!$Z$27:$AM$86,14,FALSE)</f>
        <v>0</v>
      </c>
      <c r="U1392" s="212">
        <f>VLOOKUP(D1392,'Groupe de branches'!$Z$27:$AM$86,14,FALSE)</f>
        <v>0</v>
      </c>
      <c r="V1392" s="212">
        <v>2019</v>
      </c>
      <c r="W1392" s="212" t="str">
        <f>VLOOKUP(D1392,'Table corresp.'!$M$4:$S$63,7,FALSE)</f>
        <v>Exportation</v>
      </c>
      <c r="X1392" s="228">
        <f>IFERROR(G1392/SUMIFS('Comp2016-2017 (3)'!$I$5:$I$289,'Comp2016-2017 (3)'!$A$5:$A$289,A1392,'Comp2016-2017 (3)'!$R$5:$R$289,V1392),0)</f>
        <v>0.21610627574029934</v>
      </c>
      <c r="Y1392" s="214" t="e">
        <f>IF(RIGHT(F1392,3)="Exp",VLOOKUP(F1392,#REF!,2,FALSE),VLOOKUP(F1392,#REF!,9,FALSE))</f>
        <v>#REF!</v>
      </c>
      <c r="Z1392" s="225" t="str">
        <f t="shared" si="163"/>
        <v/>
      </c>
      <c r="AA1392" s="225" t="e">
        <f t="shared" si="164"/>
        <v>#VALUE!</v>
      </c>
      <c r="AB1392" s="222">
        <f>IFERROR(SUMIFS('Comp2016-2017 (3)'!$G$5:$G$289,'Comp2016-2017 (3)'!$A$5:$A$289,A1392,'Comp2016-2017 (3)'!$R$5:$R$289,V1392)*AA1392/SUMIFS($AA$4:$AA$1858,$A$4:$A$1858,A1392,$V$4:$V$1858,V1392),0)</f>
        <v>0</v>
      </c>
      <c r="AC1392" s="222">
        <f>IF($W1392=AC$3,$AB1392,IF(NOT($W1392=0),"",SUMIFS('Val-Vol (2)'!AC$4:AC$1858,'Val-Vol (2)'!$A$4:$A$1858,$D1392,'Val-Vol (2)'!$V$4:$V$1858,$V1392)/SUMIFS('Comp2016-2017 (3)'!$G$5:$G$289,'Comp2016-2017 (3)'!$A$5:$A$289,$D1392,'Comp2016-2017 (3)'!$R$5:$R$289,$V1392)*$AB1392))</f>
        <v>0</v>
      </c>
      <c r="AD1392" s="222" t="str">
        <f>IF($W1392=AD$3,$AB1392,IF(NOT($W1392=0),"",SUMIFS('Val-Vol (2)'!AD$4:AD$1858,'Val-Vol (2)'!$A$4:$A$1858,$D1392,'Val-Vol (2)'!$V$4:$V$1858,$V1392)/SUMIFS('Comp2016-2017 (3)'!$G$5:$G$289,'Comp2016-2017 (3)'!$A$5:$A$289,$D1392,'Comp2016-2017 (3)'!$R$5:$R$289,$V1392)*$AB1392))</f>
        <v/>
      </c>
      <c r="AE1392" s="222" t="str">
        <f>IF($W1392=AE$3,$AB1392,IF(NOT($W1392=0),"",SUMIFS('Val-Vol (2)'!AE$4:AE$1858,'Val-Vol (2)'!$A$4:$A$1858,$D1392,'Val-Vol (2)'!$V$4:$V$1858,$V1392)/SUMIFS('Comp2016-2017 (3)'!$G$5:$G$289,'Comp2016-2017 (3)'!$A$5:$A$289,$D1392,'Comp2016-2017 (3)'!$R$5:$R$289,$V1392)*$AB1392))</f>
        <v/>
      </c>
      <c r="AF1392" s="222" t="str">
        <f>IF($W1392=AF$3,$AB1392,IF(NOT($W1392=0),"",SUMIFS('Val-Vol (2)'!AF$4:AF$1858,'Val-Vol (2)'!$A$4:$A$1858,$D1392,'Val-Vol (2)'!$V$4:$V$1858,$V1392)/SUMIFS('Comp2016-2017 (3)'!$G$5:$G$289,'Comp2016-2017 (3)'!$A$5:$A$289,$D1392,'Comp2016-2017 (3)'!$R$5:$R$289,$V1392)*$AB1392))</f>
        <v/>
      </c>
      <c r="AG1392" s="222" t="str">
        <f>IF($W1392=AG$3,$AB1392,IF(NOT($W1392=0),"",SUMIFS('Val-Vol (2)'!AG$4:AG$1858,'Val-Vol (2)'!$A$4:$A$1858,$D1392,'Val-Vol (2)'!$V$4:$V$1858,$V1392)/SUMIFS('Comp2016-2017 (3)'!$G$5:$G$289,'Comp2016-2017 (3)'!$A$5:$A$289,$D1392,'Comp2016-2017 (3)'!$R$5:$R$289,$V1392)*$AB1392))</f>
        <v/>
      </c>
      <c r="AH1392" s="222" t="str">
        <f>IF($W1392=AH$3,$AB1392,IF(NOT($W1392=0),"",SUMIFS('Val-Vol (2)'!AH$4:AH$1858,'Val-Vol (2)'!$A$4:$A$1858,$D1392,'Val-Vol (2)'!$V$4:$V$1858,$V1392)/SUMIFS('Comp2016-2017 (3)'!$G$5:$G$289,'Comp2016-2017 (3)'!$A$5:$A$289,$D1392,'Comp2016-2017 (3)'!$R$5:$R$289,$V1392)*$AB1392))</f>
        <v/>
      </c>
      <c r="AI1392" s="222" t="str">
        <f>IF($W1392=AI$3,$AB1392,IF(NOT($W1392=0),"",SUMIFS('Val-Vol (2)'!AI$4:AI$1858,'Val-Vol (2)'!$A$4:$A$1858,$D1392,'Val-Vol (2)'!$V$4:$V$1858,$V1392)/SUMIFS('Comp2016-2017 (3)'!$G$5:$G$289,'Comp2016-2017 (3)'!$A$5:$A$289,$D1392,'Comp2016-2017 (3)'!$R$5:$R$289,$V1392)*$AB1392))</f>
        <v/>
      </c>
      <c r="AJ1392" s="222" t="str">
        <f>IF($W1392=AJ$3,$AB1392,IF(NOT($W1392=0),"",SUMIFS('Val-Vol (2)'!AJ$4:AJ$1858,'Val-Vol (2)'!$A$4:$A$1858,$D1392,'Val-Vol (2)'!$V$4:$V$1858,$V1392)/SUMIFS('Comp2016-2017 (3)'!$G$5:$G$289,'Comp2016-2017 (3)'!$A$5:$A$289,$D1392,'Comp2016-2017 (3)'!$R$5:$R$289,$V1392)*$AB1392))</f>
        <v/>
      </c>
      <c r="AK1392" s="222">
        <f t="shared" si="165"/>
        <v>0</v>
      </c>
      <c r="AL1392" s="212" t="str">
        <f t="shared" si="166"/>
        <v/>
      </c>
      <c r="AM1392" s="212" t="str">
        <f>VLOOKUP(A1392,'Table corresp.'!$M$4:$U$63,8,FALSE)</f>
        <v>Production finale</v>
      </c>
      <c r="AN1392" s="212" t="str">
        <f>VLOOKUP(D1392,'Table corresp.'!$M$4:$U$63,9,FALSE)</f>
        <v>Exportation</v>
      </c>
    </row>
    <row r="1393" spans="1:40" x14ac:dyDescent="0.25">
      <c r="A1393" t="s">
        <v>98</v>
      </c>
      <c r="B1393" t="str">
        <f>VLOOKUP(LEFT(A1393,3),'Table corresp.'!$A$4:$D$63,3,FALSE)</f>
        <v>Transformation</v>
      </c>
      <c r="C1393" t="str">
        <f>VLOOKUP(A1393,'Table corresp.'!$M$4:$P$63,4,FALSE)</f>
        <v>Production et transformation de produits bois</v>
      </c>
      <c r="D1393" t="s">
        <v>54</v>
      </c>
      <c r="E1393" t="str">
        <f>VLOOKUP(LEFT(D1393,3),'Table corresp.'!$A$4:$D$63,4,FALSE)</f>
        <v>Consommation finale</v>
      </c>
      <c r="F1393" t="str">
        <f t="shared" si="167"/>
        <v>46  - Con</v>
      </c>
      <c r="G1393" s="213">
        <v>185553.63</v>
      </c>
      <c r="H1393" s="213">
        <v>27833.0445</v>
      </c>
      <c r="I1393" s="213">
        <v>213386.67449999999</v>
      </c>
      <c r="J1393" s="215"/>
      <c r="K1393" s="215"/>
      <c r="L1393" s="215"/>
      <c r="M1393" s="215">
        <v>793.7644987152438</v>
      </c>
      <c r="N1393" s="215">
        <v>119.06467480728656</v>
      </c>
      <c r="O1393" s="215">
        <v>912.82917352253037</v>
      </c>
      <c r="P1393" s="215"/>
      <c r="Q1393" s="215"/>
      <c r="R1393" s="215"/>
      <c r="S1393" s="213"/>
      <c r="T1393" s="212">
        <f>VLOOKUP(A1393,'Groupe de branches'!$Z$27:$AM$86,14,FALSE)</f>
        <v>0</v>
      </c>
      <c r="U1393" s="212">
        <f>VLOOKUP(D1393,'Groupe de branches'!$Z$27:$AM$86,14,FALSE)</f>
        <v>0</v>
      </c>
      <c r="V1393" s="212">
        <v>2019</v>
      </c>
      <c r="W1393" s="212" t="str">
        <f>VLOOKUP(D1393,'Table corresp.'!$M$4:$S$63,7,FALSE)</f>
        <v>Consommation finale</v>
      </c>
      <c r="X1393" s="228">
        <f>IFERROR(G1393/SUMIFS('Comp2016-2017 (3)'!$I$5:$I$289,'Comp2016-2017 (3)'!$A$5:$A$289,A1393,'Comp2016-2017 (3)'!$R$5:$R$289,V1393),0)</f>
        <v>0.99999998209217811</v>
      </c>
      <c r="Y1393" s="214" t="e">
        <f>IF(RIGHT(F1393,3)="Exp",VLOOKUP(F1393,#REF!,2,FALSE),VLOOKUP(F1393,#REF!,9,FALSE))</f>
        <v>#REF!</v>
      </c>
      <c r="Z1393" s="225" t="str">
        <f t="shared" si="163"/>
        <v/>
      </c>
      <c r="AA1393" s="225" t="e">
        <f t="shared" si="164"/>
        <v>#VALUE!</v>
      </c>
      <c r="AB1393" s="222">
        <f>IFERROR(SUMIFS('Comp2016-2017 (3)'!$G$5:$G$289,'Comp2016-2017 (3)'!$A$5:$A$289,A1393,'Comp2016-2017 (3)'!$R$5:$R$289,V1393)*AA1393/SUMIFS($AA$4:$AA$1858,$A$4:$A$1858,A1393,$V$4:$V$1858,V1393),0)</f>
        <v>0</v>
      </c>
      <c r="AC1393" s="222" t="str">
        <f>IF($W1393=AC$3,$AB1393,IF(NOT($W1393=0),"",SUMIFS('Val-Vol (2)'!AC$4:AC$1858,'Val-Vol (2)'!$A$4:$A$1858,$D1393,'Val-Vol (2)'!$V$4:$V$1858,$V1393)/SUMIFS('Comp2016-2017 (3)'!$G$5:$G$289,'Comp2016-2017 (3)'!$A$5:$A$289,$D1393,'Comp2016-2017 (3)'!$R$5:$R$289,$V1393)*$AB1393))</f>
        <v/>
      </c>
      <c r="AD1393" s="222" t="str">
        <f>IF($W1393=AD$3,$AB1393,IF(NOT($W1393=0),"",SUMIFS('Val-Vol (2)'!AD$4:AD$1858,'Val-Vol (2)'!$A$4:$A$1858,$D1393,'Val-Vol (2)'!$V$4:$V$1858,$V1393)/SUMIFS('Comp2016-2017 (3)'!$G$5:$G$289,'Comp2016-2017 (3)'!$A$5:$A$289,$D1393,'Comp2016-2017 (3)'!$R$5:$R$289,$V1393)*$AB1393))</f>
        <v/>
      </c>
      <c r="AE1393" s="222" t="str">
        <f>IF($W1393=AE$3,$AB1393,IF(NOT($W1393=0),"",SUMIFS('Val-Vol (2)'!AE$4:AE$1858,'Val-Vol (2)'!$A$4:$A$1858,$D1393,'Val-Vol (2)'!$V$4:$V$1858,$V1393)/SUMIFS('Comp2016-2017 (3)'!$G$5:$G$289,'Comp2016-2017 (3)'!$A$5:$A$289,$D1393,'Comp2016-2017 (3)'!$R$5:$R$289,$V1393)*$AB1393))</f>
        <v/>
      </c>
      <c r="AF1393" s="222" t="str">
        <f>IF($W1393=AF$3,$AB1393,IF(NOT($W1393=0),"",SUMIFS('Val-Vol (2)'!AF$4:AF$1858,'Val-Vol (2)'!$A$4:$A$1858,$D1393,'Val-Vol (2)'!$V$4:$V$1858,$V1393)/SUMIFS('Comp2016-2017 (3)'!$G$5:$G$289,'Comp2016-2017 (3)'!$A$5:$A$289,$D1393,'Comp2016-2017 (3)'!$R$5:$R$289,$V1393)*$AB1393))</f>
        <v/>
      </c>
      <c r="AG1393" s="222" t="str">
        <f>IF($W1393=AG$3,$AB1393,IF(NOT($W1393=0),"",SUMIFS('Val-Vol (2)'!AG$4:AG$1858,'Val-Vol (2)'!$A$4:$A$1858,$D1393,'Val-Vol (2)'!$V$4:$V$1858,$V1393)/SUMIFS('Comp2016-2017 (3)'!$G$5:$G$289,'Comp2016-2017 (3)'!$A$5:$A$289,$D1393,'Comp2016-2017 (3)'!$R$5:$R$289,$V1393)*$AB1393))</f>
        <v/>
      </c>
      <c r="AH1393" s="222" t="str">
        <f>IF($W1393=AH$3,$AB1393,IF(NOT($W1393=0),"",SUMIFS('Val-Vol (2)'!AH$4:AH$1858,'Val-Vol (2)'!$A$4:$A$1858,$D1393,'Val-Vol (2)'!$V$4:$V$1858,$V1393)/SUMIFS('Comp2016-2017 (3)'!$G$5:$G$289,'Comp2016-2017 (3)'!$A$5:$A$289,$D1393,'Comp2016-2017 (3)'!$R$5:$R$289,$V1393)*$AB1393))</f>
        <v/>
      </c>
      <c r="AI1393" s="222" t="str">
        <f>IF($W1393=AI$3,$AB1393,IF(NOT($W1393=0),"",SUMIFS('Val-Vol (2)'!AI$4:AI$1858,'Val-Vol (2)'!$A$4:$A$1858,$D1393,'Val-Vol (2)'!$V$4:$V$1858,$V1393)/SUMIFS('Comp2016-2017 (3)'!$G$5:$G$289,'Comp2016-2017 (3)'!$A$5:$A$289,$D1393,'Comp2016-2017 (3)'!$R$5:$R$289,$V1393)*$AB1393))</f>
        <v/>
      </c>
      <c r="AJ1393" s="222">
        <f>IF($W1393=AJ$3,$AB1393,IF(NOT($W1393=0),"",SUMIFS('Val-Vol (2)'!AJ$4:AJ$1858,'Val-Vol (2)'!$A$4:$A$1858,$D1393,'Val-Vol (2)'!$V$4:$V$1858,$V1393)/SUMIFS('Comp2016-2017 (3)'!$G$5:$G$289,'Comp2016-2017 (3)'!$A$5:$A$289,$D1393,'Comp2016-2017 (3)'!$R$5:$R$289,$V1393)*$AB1393))</f>
        <v>0</v>
      </c>
      <c r="AK1393" s="222">
        <f t="shared" si="165"/>
        <v>0</v>
      </c>
      <c r="AL1393" s="212" t="str">
        <f t="shared" si="166"/>
        <v/>
      </c>
      <c r="AM1393" s="212" t="str">
        <f>VLOOKUP(A1393,'Table corresp.'!$M$4:$U$63,8,FALSE)</f>
        <v>Production intermédiaire</v>
      </c>
      <c r="AN1393" s="212" t="str">
        <f>VLOOKUP(D1393,'Table corresp.'!$M$4:$U$63,9,FALSE)</f>
        <v>Consommation finale française</v>
      </c>
    </row>
    <row r="1394" spans="1:40" x14ac:dyDescent="0.25">
      <c r="A1394" t="s">
        <v>99</v>
      </c>
      <c r="B1394" t="str">
        <f>VLOOKUP(LEFT(A1394,3),'Table corresp.'!$A$4:$D$63,3,FALSE)</f>
        <v>Transformation</v>
      </c>
      <c r="C1394" t="str">
        <f>VLOOKUP(A1394,'Table corresp.'!$M$4:$P$63,4,FALSE)</f>
        <v>Production et transformation de produits bois</v>
      </c>
      <c r="D1394" t="s">
        <v>90</v>
      </c>
      <c r="E1394" t="str">
        <f>VLOOKUP(LEFT(D1394,3),'Table corresp.'!$A$4:$D$63,4,FALSE)</f>
        <v>Transformation</v>
      </c>
      <c r="F1394" t="str">
        <f t="shared" si="167"/>
        <v xml:space="preserve">47  - 34 </v>
      </c>
      <c r="G1394" s="213">
        <v>2084.9448675222852</v>
      </c>
      <c r="H1394" s="213">
        <v>3460.8380103231034</v>
      </c>
      <c r="I1394" s="213">
        <v>5545.7828778453895</v>
      </c>
      <c r="J1394" s="215">
        <v>0.28125745978593136</v>
      </c>
      <c r="K1394" s="215">
        <v>0.51522708126744132</v>
      </c>
      <c r="L1394" s="215">
        <v>0.79648454105337274</v>
      </c>
      <c r="M1394" s="215">
        <v>0.56211590338248107</v>
      </c>
      <c r="N1394" s="215">
        <v>1.0297232167786703</v>
      </c>
      <c r="O1394" s="215">
        <v>1.5918391201611515</v>
      </c>
      <c r="P1394" s="215">
        <v>0.15115040671620406</v>
      </c>
      <c r="Q1394" s="215">
        <v>0.27688788394821418</v>
      </c>
      <c r="R1394" s="215">
        <v>0.42803829066441823</v>
      </c>
      <c r="S1394" s="213"/>
      <c r="T1394" s="212">
        <f>VLOOKUP(A1394,'Groupe de branches'!$Z$27:$AM$86,14,FALSE)</f>
        <v>0</v>
      </c>
      <c r="U1394" s="212">
        <f>VLOOKUP(D1394,'Groupe de branches'!$Z$27:$AM$86,14,FALSE)</f>
        <v>0</v>
      </c>
      <c r="V1394" s="212">
        <v>2019</v>
      </c>
      <c r="W1394" s="212" t="str">
        <f>VLOOKUP(D1394,'Table corresp.'!$M$4:$S$63,7,FALSE)</f>
        <v>Construction</v>
      </c>
      <c r="X1394" s="228">
        <f>IFERROR(G1394/SUMIFS('Comp2016-2017 (3)'!$I$5:$I$289,'Comp2016-2017 (3)'!$A$5:$A$289,A1394,'Comp2016-2017 (3)'!$R$5:$R$289,V1394),0)</f>
        <v>6.2451284253654241E-4</v>
      </c>
      <c r="Y1394" s="214" t="e">
        <f>IF(RIGHT(F1394,3)="Exp",VLOOKUP(F1394,#REF!,2,FALSE),VLOOKUP(F1394,#REF!,9,FALSE))</f>
        <v>#REF!</v>
      </c>
      <c r="Z1394" s="225" t="str">
        <f t="shared" si="163"/>
        <v/>
      </c>
      <c r="AA1394" s="225" t="e">
        <f t="shared" si="164"/>
        <v>#VALUE!</v>
      </c>
      <c r="AB1394" s="222">
        <f>IFERROR(SUMIFS('Comp2016-2017 (3)'!$G$5:$G$289,'Comp2016-2017 (3)'!$A$5:$A$289,A1394,'Comp2016-2017 (3)'!$R$5:$R$289,V1394)*AA1394/SUMIFS($AA$4:$AA$1858,$A$4:$A$1858,A1394,$V$4:$V$1858,V1394),0)</f>
        <v>0</v>
      </c>
      <c r="AC1394" s="222" t="str">
        <f>IF($W1394=AC$3,$AB1394,IF(NOT($W1394=0),"",SUMIFS('Val-Vol (2)'!AC$4:AC$1858,'Val-Vol (2)'!$A$4:$A$1858,$D1394,'Val-Vol (2)'!$V$4:$V$1858,$V1394)/SUMIFS('Comp2016-2017 (3)'!$G$5:$G$289,'Comp2016-2017 (3)'!$A$5:$A$289,$D1394,'Comp2016-2017 (3)'!$R$5:$R$289,$V1394)*$AB1394))</f>
        <v/>
      </c>
      <c r="AD1394" s="222">
        <f>IF($W1394=AD$3,$AB1394,IF(NOT($W1394=0),"",SUMIFS('Val-Vol (2)'!AD$4:AD$1858,'Val-Vol (2)'!$A$4:$A$1858,$D1394,'Val-Vol (2)'!$V$4:$V$1858,$V1394)/SUMIFS('Comp2016-2017 (3)'!$G$5:$G$289,'Comp2016-2017 (3)'!$A$5:$A$289,$D1394,'Comp2016-2017 (3)'!$R$5:$R$289,$V1394)*$AB1394))</f>
        <v>0</v>
      </c>
      <c r="AE1394" s="222" t="str">
        <f>IF($W1394=AE$3,$AB1394,IF(NOT($W1394=0),"",SUMIFS('Val-Vol (2)'!AE$4:AE$1858,'Val-Vol (2)'!$A$4:$A$1858,$D1394,'Val-Vol (2)'!$V$4:$V$1858,$V1394)/SUMIFS('Comp2016-2017 (3)'!$G$5:$G$289,'Comp2016-2017 (3)'!$A$5:$A$289,$D1394,'Comp2016-2017 (3)'!$R$5:$R$289,$V1394)*$AB1394))</f>
        <v/>
      </c>
      <c r="AF1394" s="222" t="str">
        <f>IF($W1394=AF$3,$AB1394,IF(NOT($W1394=0),"",SUMIFS('Val-Vol (2)'!AF$4:AF$1858,'Val-Vol (2)'!$A$4:$A$1858,$D1394,'Val-Vol (2)'!$V$4:$V$1858,$V1394)/SUMIFS('Comp2016-2017 (3)'!$G$5:$G$289,'Comp2016-2017 (3)'!$A$5:$A$289,$D1394,'Comp2016-2017 (3)'!$R$5:$R$289,$V1394)*$AB1394))</f>
        <v/>
      </c>
      <c r="AG1394" s="222" t="str">
        <f>IF($W1394=AG$3,$AB1394,IF(NOT($W1394=0),"",SUMIFS('Val-Vol (2)'!AG$4:AG$1858,'Val-Vol (2)'!$A$4:$A$1858,$D1394,'Val-Vol (2)'!$V$4:$V$1858,$V1394)/SUMIFS('Comp2016-2017 (3)'!$G$5:$G$289,'Comp2016-2017 (3)'!$A$5:$A$289,$D1394,'Comp2016-2017 (3)'!$R$5:$R$289,$V1394)*$AB1394))</f>
        <v/>
      </c>
      <c r="AH1394" s="222" t="str">
        <f>IF($W1394=AH$3,$AB1394,IF(NOT($W1394=0),"",SUMIFS('Val-Vol (2)'!AH$4:AH$1858,'Val-Vol (2)'!$A$4:$A$1858,$D1394,'Val-Vol (2)'!$V$4:$V$1858,$V1394)/SUMIFS('Comp2016-2017 (3)'!$G$5:$G$289,'Comp2016-2017 (3)'!$A$5:$A$289,$D1394,'Comp2016-2017 (3)'!$R$5:$R$289,$V1394)*$AB1394))</f>
        <v/>
      </c>
      <c r="AI1394" s="222" t="str">
        <f>IF($W1394=AI$3,$AB1394,IF(NOT($W1394=0),"",SUMIFS('Val-Vol (2)'!AI$4:AI$1858,'Val-Vol (2)'!$A$4:$A$1858,$D1394,'Val-Vol (2)'!$V$4:$V$1858,$V1394)/SUMIFS('Comp2016-2017 (3)'!$G$5:$G$289,'Comp2016-2017 (3)'!$A$5:$A$289,$D1394,'Comp2016-2017 (3)'!$R$5:$R$289,$V1394)*$AB1394))</f>
        <v/>
      </c>
      <c r="AJ1394" s="222" t="str">
        <f>IF($W1394=AJ$3,$AB1394,IF(NOT($W1394=0),"",SUMIFS('Val-Vol (2)'!AJ$4:AJ$1858,'Val-Vol (2)'!$A$4:$A$1858,$D1394,'Val-Vol (2)'!$V$4:$V$1858,$V1394)/SUMIFS('Comp2016-2017 (3)'!$G$5:$G$289,'Comp2016-2017 (3)'!$A$5:$A$289,$D1394,'Comp2016-2017 (3)'!$R$5:$R$289,$V1394)*$AB1394))</f>
        <v/>
      </c>
      <c r="AK1394" s="222">
        <f t="shared" si="165"/>
        <v>0</v>
      </c>
      <c r="AL1394" s="212" t="str">
        <f t="shared" si="166"/>
        <v/>
      </c>
      <c r="AM1394" s="212" t="str">
        <f>VLOOKUP(A1394,'Table corresp.'!$M$4:$U$63,8,FALSE)</f>
        <v>Production finale</v>
      </c>
      <c r="AN1394" s="212" t="str">
        <f>VLOOKUP(D1394,'Table corresp.'!$M$4:$U$63,9,FALSE)</f>
        <v>Production finale</v>
      </c>
    </row>
    <row r="1395" spans="1:40" x14ac:dyDescent="0.25">
      <c r="A1395" t="s">
        <v>99</v>
      </c>
      <c r="B1395" t="str">
        <f>VLOOKUP(LEFT(A1395,3),'Table corresp.'!$A$4:$D$63,3,FALSE)</f>
        <v>Transformation</v>
      </c>
      <c r="C1395" t="str">
        <f>VLOOKUP(A1395,'Table corresp.'!$M$4:$P$63,4,FALSE)</f>
        <v>Production et transformation de produits bois</v>
      </c>
      <c r="D1395" t="s">
        <v>22</v>
      </c>
      <c r="E1395" t="str">
        <f>VLOOKUP(LEFT(D1395,3),'Table corresp.'!$A$4:$D$63,4,FALSE)</f>
        <v>Transformation</v>
      </c>
      <c r="F1395" t="str">
        <f t="shared" si="167"/>
        <v xml:space="preserve">47  - 55 </v>
      </c>
      <c r="G1395" s="213">
        <v>20078.08029873357</v>
      </c>
      <c r="H1395" s="213">
        <v>33194.735190916908</v>
      </c>
      <c r="I1395" s="213">
        <v>53272.815489650486</v>
      </c>
      <c r="J1395" s="215">
        <v>2.0313881976567654</v>
      </c>
      <c r="K1395" s="215">
        <v>3.7063624059072229</v>
      </c>
      <c r="L1395" s="215">
        <v>5.7377506035639882</v>
      </c>
      <c r="M1395" s="215">
        <v>4.0598944920978761</v>
      </c>
      <c r="N1395" s="215">
        <v>7.4074666451340017</v>
      </c>
      <c r="O1395" s="215">
        <v>11.467361137231878</v>
      </c>
      <c r="P1395" s="215">
        <v>1.0916871414113347</v>
      </c>
      <c r="Q1395" s="215">
        <v>1.9918340495463285</v>
      </c>
      <c r="R1395" s="215">
        <v>3.0835211909576632</v>
      </c>
      <c r="S1395" s="213" t="s">
        <v>192</v>
      </c>
      <c r="T1395" s="212">
        <f>VLOOKUP(A1395,'Groupe de branches'!$Z$27:$AM$86,14,FALSE)</f>
        <v>0</v>
      </c>
      <c r="U1395" s="212">
        <f>VLOOKUP(D1395,'Groupe de branches'!$Z$27:$AM$86,14,FALSE)</f>
        <v>0</v>
      </c>
      <c r="V1395" s="212">
        <v>2019</v>
      </c>
      <c r="W1395" s="212" t="str">
        <f>VLOOKUP(D1395,'Table corresp.'!$M$4:$S$63,7,FALSE)</f>
        <v>Construction</v>
      </c>
      <c r="X1395" s="228">
        <f>IFERROR(G1395/SUMIFS('Comp2016-2017 (3)'!$I$5:$I$289,'Comp2016-2017 (3)'!$A$5:$A$289,A1395,'Comp2016-2017 (3)'!$R$5:$R$289,V1395),0)</f>
        <v>6.0140770124728626E-3</v>
      </c>
      <c r="Y1395" s="214" t="e">
        <f>IF(RIGHT(F1395,3)="Exp",VLOOKUP(F1395,#REF!,2,FALSE),VLOOKUP(F1395,#REF!,9,FALSE))</f>
        <v>#REF!</v>
      </c>
      <c r="Z1395" s="225" t="str">
        <f t="shared" si="163"/>
        <v/>
      </c>
      <c r="AA1395" s="225" t="e">
        <f t="shared" si="164"/>
        <v>#VALUE!</v>
      </c>
      <c r="AB1395" s="222">
        <f>IFERROR(SUMIFS('Comp2016-2017 (3)'!$G$5:$G$289,'Comp2016-2017 (3)'!$A$5:$A$289,A1395,'Comp2016-2017 (3)'!$R$5:$R$289,V1395)*AA1395/SUMIFS($AA$4:$AA$1858,$A$4:$A$1858,A1395,$V$4:$V$1858,V1395),0)</f>
        <v>0</v>
      </c>
      <c r="AC1395" s="222" t="str">
        <f>IF($W1395=AC$3,$AB1395,IF(NOT($W1395=0),"",SUMIFS('Val-Vol (2)'!AC$4:AC$1858,'Val-Vol (2)'!$A$4:$A$1858,$D1395,'Val-Vol (2)'!$V$4:$V$1858,$V1395)/SUMIFS('Comp2016-2017 (3)'!$G$5:$G$289,'Comp2016-2017 (3)'!$A$5:$A$289,$D1395,'Comp2016-2017 (3)'!$R$5:$R$289,$V1395)*$AB1395))</f>
        <v/>
      </c>
      <c r="AD1395" s="222">
        <f>IF($W1395=AD$3,$AB1395,IF(NOT($W1395=0),"",SUMIFS('Val-Vol (2)'!AD$4:AD$1858,'Val-Vol (2)'!$A$4:$A$1858,$D1395,'Val-Vol (2)'!$V$4:$V$1858,$V1395)/SUMIFS('Comp2016-2017 (3)'!$G$5:$G$289,'Comp2016-2017 (3)'!$A$5:$A$289,$D1395,'Comp2016-2017 (3)'!$R$5:$R$289,$V1395)*$AB1395))</f>
        <v>0</v>
      </c>
      <c r="AE1395" s="222" t="str">
        <f>IF($W1395=AE$3,$AB1395,IF(NOT($W1395=0),"",SUMIFS('Val-Vol (2)'!AE$4:AE$1858,'Val-Vol (2)'!$A$4:$A$1858,$D1395,'Val-Vol (2)'!$V$4:$V$1858,$V1395)/SUMIFS('Comp2016-2017 (3)'!$G$5:$G$289,'Comp2016-2017 (3)'!$A$5:$A$289,$D1395,'Comp2016-2017 (3)'!$R$5:$R$289,$V1395)*$AB1395))</f>
        <v/>
      </c>
      <c r="AF1395" s="222" t="str">
        <f>IF($W1395=AF$3,$AB1395,IF(NOT($W1395=0),"",SUMIFS('Val-Vol (2)'!AF$4:AF$1858,'Val-Vol (2)'!$A$4:$A$1858,$D1395,'Val-Vol (2)'!$V$4:$V$1858,$V1395)/SUMIFS('Comp2016-2017 (3)'!$G$5:$G$289,'Comp2016-2017 (3)'!$A$5:$A$289,$D1395,'Comp2016-2017 (3)'!$R$5:$R$289,$V1395)*$AB1395))</f>
        <v/>
      </c>
      <c r="AG1395" s="222" t="str">
        <f>IF($W1395=AG$3,$AB1395,IF(NOT($W1395=0),"",SUMIFS('Val-Vol (2)'!AG$4:AG$1858,'Val-Vol (2)'!$A$4:$A$1858,$D1395,'Val-Vol (2)'!$V$4:$V$1858,$V1395)/SUMIFS('Comp2016-2017 (3)'!$G$5:$G$289,'Comp2016-2017 (3)'!$A$5:$A$289,$D1395,'Comp2016-2017 (3)'!$R$5:$R$289,$V1395)*$AB1395))</f>
        <v/>
      </c>
      <c r="AH1395" s="222" t="str">
        <f>IF($W1395=AH$3,$AB1395,IF(NOT($W1395=0),"",SUMIFS('Val-Vol (2)'!AH$4:AH$1858,'Val-Vol (2)'!$A$4:$A$1858,$D1395,'Val-Vol (2)'!$V$4:$V$1858,$V1395)/SUMIFS('Comp2016-2017 (3)'!$G$5:$G$289,'Comp2016-2017 (3)'!$A$5:$A$289,$D1395,'Comp2016-2017 (3)'!$R$5:$R$289,$V1395)*$AB1395))</f>
        <v/>
      </c>
      <c r="AI1395" s="222" t="str">
        <f>IF($W1395=AI$3,$AB1395,IF(NOT($W1395=0),"",SUMIFS('Val-Vol (2)'!AI$4:AI$1858,'Val-Vol (2)'!$A$4:$A$1858,$D1395,'Val-Vol (2)'!$V$4:$V$1858,$V1395)/SUMIFS('Comp2016-2017 (3)'!$G$5:$G$289,'Comp2016-2017 (3)'!$A$5:$A$289,$D1395,'Comp2016-2017 (3)'!$R$5:$R$289,$V1395)*$AB1395))</f>
        <v/>
      </c>
      <c r="AJ1395" s="222" t="str">
        <f>IF($W1395=AJ$3,$AB1395,IF(NOT($W1395=0),"",SUMIFS('Val-Vol (2)'!AJ$4:AJ$1858,'Val-Vol (2)'!$A$4:$A$1858,$D1395,'Val-Vol (2)'!$V$4:$V$1858,$V1395)/SUMIFS('Comp2016-2017 (3)'!$G$5:$G$289,'Comp2016-2017 (3)'!$A$5:$A$289,$D1395,'Comp2016-2017 (3)'!$R$5:$R$289,$V1395)*$AB1395))</f>
        <v/>
      </c>
      <c r="AK1395" s="222">
        <f t="shared" si="165"/>
        <v>0</v>
      </c>
      <c r="AL1395" s="212" t="str">
        <f t="shared" si="166"/>
        <v/>
      </c>
      <c r="AM1395" s="212" t="str">
        <f>VLOOKUP(A1395,'Table corresp.'!$M$4:$U$63,8,FALSE)</f>
        <v>Production finale</v>
      </c>
      <c r="AN1395" s="212" t="str">
        <f>VLOOKUP(D1395,'Table corresp.'!$M$4:$U$63,9,FALSE)</f>
        <v xml:space="preserve">Mise en œuvre </v>
      </c>
    </row>
    <row r="1396" spans="1:40" x14ac:dyDescent="0.25">
      <c r="A1396" t="s">
        <v>99</v>
      </c>
      <c r="B1396" t="str">
        <f>VLOOKUP(LEFT(A1396,3),'Table corresp.'!$A$4:$D$63,3,FALSE)</f>
        <v>Transformation</v>
      </c>
      <c r="C1396" t="str">
        <f>VLOOKUP(A1396,'Table corresp.'!$M$4:$P$63,4,FALSE)</f>
        <v>Production et transformation de produits bois</v>
      </c>
      <c r="D1396" t="s">
        <v>54</v>
      </c>
      <c r="E1396" t="str">
        <f>VLOOKUP(LEFT(D1396,3),'Table corresp.'!$A$4:$D$63,4,FALSE)</f>
        <v>Consommation finale</v>
      </c>
      <c r="F1396" t="str">
        <f t="shared" si="167"/>
        <v>47  - Con</v>
      </c>
      <c r="G1396" s="213">
        <v>2421079.8208415946</v>
      </c>
      <c r="H1396" s="213">
        <v>3714751.6317987642</v>
      </c>
      <c r="I1396" s="213">
        <v>6135831.4526403593</v>
      </c>
      <c r="J1396" s="215">
        <v>412.58393099979503</v>
      </c>
      <c r="K1396" s="215">
        <v>812.95129494907849</v>
      </c>
      <c r="L1396" s="215">
        <v>1225.5352259488736</v>
      </c>
      <c r="M1396" s="215">
        <v>824.58253470525642</v>
      </c>
      <c r="N1396" s="215">
        <v>1624.7492667894637</v>
      </c>
      <c r="O1396" s="215">
        <v>2449.3318014947199</v>
      </c>
      <c r="P1396" s="215">
        <v>221.72648868639425</v>
      </c>
      <c r="Q1396" s="215">
        <v>436.88767923006179</v>
      </c>
      <c r="R1396" s="215">
        <v>658.61416791645604</v>
      </c>
      <c r="S1396" s="213" t="s">
        <v>192</v>
      </c>
      <c r="T1396" s="212">
        <f>VLOOKUP(A1396,'Groupe de branches'!$Z$27:$AM$86,14,FALSE)</f>
        <v>0</v>
      </c>
      <c r="U1396" s="212">
        <f>VLOOKUP(D1396,'Groupe de branches'!$Z$27:$AM$86,14,FALSE)</f>
        <v>0</v>
      </c>
      <c r="V1396" s="212">
        <v>2019</v>
      </c>
      <c r="W1396" s="212" t="str">
        <f>VLOOKUP(D1396,'Table corresp.'!$M$4:$S$63,7,FALSE)</f>
        <v>Consommation finale</v>
      </c>
      <c r="X1396" s="228">
        <f>IFERROR(G1396/SUMIFS('Comp2016-2017 (3)'!$I$5:$I$289,'Comp2016-2017 (3)'!$A$5:$A$289,A1396,'Comp2016-2017 (3)'!$R$5:$R$289,V1396),0)</f>
        <v>0.7251968454774913</v>
      </c>
      <c r="Y1396" s="214" t="e">
        <f>IF(RIGHT(F1396,3)="Exp",VLOOKUP(F1396,#REF!,2,FALSE),VLOOKUP(F1396,#REF!,9,FALSE))</f>
        <v>#REF!</v>
      </c>
      <c r="Z1396" s="225" t="str">
        <f t="shared" si="163"/>
        <v/>
      </c>
      <c r="AA1396" s="225" t="e">
        <f t="shared" si="164"/>
        <v>#VALUE!</v>
      </c>
      <c r="AB1396" s="222">
        <f>IFERROR(SUMIFS('Comp2016-2017 (3)'!$G$5:$G$289,'Comp2016-2017 (3)'!$A$5:$A$289,A1396,'Comp2016-2017 (3)'!$R$5:$R$289,V1396)*AA1396/SUMIFS($AA$4:$AA$1858,$A$4:$A$1858,A1396,$V$4:$V$1858,V1396),0)</f>
        <v>0</v>
      </c>
      <c r="AC1396" s="222" t="str">
        <f>IF($W1396=AC$3,$AB1396,IF(NOT($W1396=0),"",SUMIFS('Val-Vol (2)'!AC$4:AC$1858,'Val-Vol (2)'!$A$4:$A$1858,$D1396,'Val-Vol (2)'!$V$4:$V$1858,$V1396)/SUMIFS('Comp2016-2017 (3)'!$G$5:$G$289,'Comp2016-2017 (3)'!$A$5:$A$289,$D1396,'Comp2016-2017 (3)'!$R$5:$R$289,$V1396)*$AB1396))</f>
        <v/>
      </c>
      <c r="AD1396" s="222" t="str">
        <f>IF($W1396=AD$3,$AB1396,IF(NOT($W1396=0),"",SUMIFS('Val-Vol (2)'!AD$4:AD$1858,'Val-Vol (2)'!$A$4:$A$1858,$D1396,'Val-Vol (2)'!$V$4:$V$1858,$V1396)/SUMIFS('Comp2016-2017 (3)'!$G$5:$G$289,'Comp2016-2017 (3)'!$A$5:$A$289,$D1396,'Comp2016-2017 (3)'!$R$5:$R$289,$V1396)*$AB1396))</f>
        <v/>
      </c>
      <c r="AE1396" s="222" t="str">
        <f>IF($W1396=AE$3,$AB1396,IF(NOT($W1396=0),"",SUMIFS('Val-Vol (2)'!AE$4:AE$1858,'Val-Vol (2)'!$A$4:$A$1858,$D1396,'Val-Vol (2)'!$V$4:$V$1858,$V1396)/SUMIFS('Comp2016-2017 (3)'!$G$5:$G$289,'Comp2016-2017 (3)'!$A$5:$A$289,$D1396,'Comp2016-2017 (3)'!$R$5:$R$289,$V1396)*$AB1396))</f>
        <v/>
      </c>
      <c r="AF1396" s="222" t="str">
        <f>IF($W1396=AF$3,$AB1396,IF(NOT($W1396=0),"",SUMIFS('Val-Vol (2)'!AF$4:AF$1858,'Val-Vol (2)'!$A$4:$A$1858,$D1396,'Val-Vol (2)'!$V$4:$V$1858,$V1396)/SUMIFS('Comp2016-2017 (3)'!$G$5:$G$289,'Comp2016-2017 (3)'!$A$5:$A$289,$D1396,'Comp2016-2017 (3)'!$R$5:$R$289,$V1396)*$AB1396))</f>
        <v/>
      </c>
      <c r="AG1396" s="222" t="str">
        <f>IF($W1396=AG$3,$AB1396,IF(NOT($W1396=0),"",SUMIFS('Val-Vol (2)'!AG$4:AG$1858,'Val-Vol (2)'!$A$4:$A$1858,$D1396,'Val-Vol (2)'!$V$4:$V$1858,$V1396)/SUMIFS('Comp2016-2017 (3)'!$G$5:$G$289,'Comp2016-2017 (3)'!$A$5:$A$289,$D1396,'Comp2016-2017 (3)'!$R$5:$R$289,$V1396)*$AB1396))</f>
        <v/>
      </c>
      <c r="AH1396" s="222" t="str">
        <f>IF($W1396=AH$3,$AB1396,IF(NOT($W1396=0),"",SUMIFS('Val-Vol (2)'!AH$4:AH$1858,'Val-Vol (2)'!$A$4:$A$1858,$D1396,'Val-Vol (2)'!$V$4:$V$1858,$V1396)/SUMIFS('Comp2016-2017 (3)'!$G$5:$G$289,'Comp2016-2017 (3)'!$A$5:$A$289,$D1396,'Comp2016-2017 (3)'!$R$5:$R$289,$V1396)*$AB1396))</f>
        <v/>
      </c>
      <c r="AI1396" s="222" t="str">
        <f>IF($W1396=AI$3,$AB1396,IF(NOT($W1396=0),"",SUMIFS('Val-Vol (2)'!AI$4:AI$1858,'Val-Vol (2)'!$A$4:$A$1858,$D1396,'Val-Vol (2)'!$V$4:$V$1858,$V1396)/SUMIFS('Comp2016-2017 (3)'!$G$5:$G$289,'Comp2016-2017 (3)'!$A$5:$A$289,$D1396,'Comp2016-2017 (3)'!$R$5:$R$289,$V1396)*$AB1396))</f>
        <v/>
      </c>
      <c r="AJ1396" s="222">
        <f>IF($W1396=AJ$3,$AB1396,IF(NOT($W1396=0),"",SUMIFS('Val-Vol (2)'!AJ$4:AJ$1858,'Val-Vol (2)'!$A$4:$A$1858,$D1396,'Val-Vol (2)'!$V$4:$V$1858,$V1396)/SUMIFS('Comp2016-2017 (3)'!$G$5:$G$289,'Comp2016-2017 (3)'!$A$5:$A$289,$D1396,'Comp2016-2017 (3)'!$R$5:$R$289,$V1396)*$AB1396))</f>
        <v>0</v>
      </c>
      <c r="AK1396" s="222">
        <f t="shared" si="165"/>
        <v>0</v>
      </c>
      <c r="AL1396" s="212" t="str">
        <f t="shared" si="166"/>
        <v/>
      </c>
      <c r="AM1396" s="212" t="str">
        <f>VLOOKUP(A1396,'Table corresp.'!$M$4:$U$63,8,FALSE)</f>
        <v>Production finale</v>
      </c>
      <c r="AN1396" s="212" t="str">
        <f>VLOOKUP(D1396,'Table corresp.'!$M$4:$U$63,9,FALSE)</f>
        <v>Consommation finale française</v>
      </c>
    </row>
    <row r="1397" spans="1:40" x14ac:dyDescent="0.25">
      <c r="A1397" t="s">
        <v>99</v>
      </c>
      <c r="B1397" t="str">
        <f>VLOOKUP(LEFT(A1397,3),'Table corresp.'!$A$4:$D$63,3,FALSE)</f>
        <v>Transformation</v>
      </c>
      <c r="C1397" t="str">
        <f>VLOOKUP(A1397,'Table corresp.'!$M$4:$P$63,4,FALSE)</f>
        <v>Production et transformation de produits bois</v>
      </c>
      <c r="D1397" t="s">
        <v>53</v>
      </c>
      <c r="E1397" t="str">
        <f>VLOOKUP(LEFT(D1397,3),'Table corresp.'!$A$4:$D$63,4,FALSE)</f>
        <v>Exportation</v>
      </c>
      <c r="F1397" t="str">
        <f t="shared" si="167"/>
        <v>47  - Exp</v>
      </c>
      <c r="G1397" s="213">
        <v>895271.15400000592</v>
      </c>
      <c r="H1397" s="213">
        <v>0</v>
      </c>
      <c r="I1397" s="213">
        <v>895271.15400000615</v>
      </c>
      <c r="J1397" s="215">
        <v>181.15708562564876</v>
      </c>
      <c r="K1397" s="215">
        <v>0</v>
      </c>
      <c r="L1397" s="215">
        <v>181.15708562564876</v>
      </c>
      <c r="M1397" s="215">
        <v>362.0571661214039</v>
      </c>
      <c r="N1397" s="215">
        <v>0</v>
      </c>
      <c r="O1397" s="215">
        <v>362.0571661214039</v>
      </c>
      <c r="P1397" s="215">
        <v>97.355523272804135</v>
      </c>
      <c r="Q1397" s="215">
        <v>0</v>
      </c>
      <c r="R1397" s="215">
        <v>97.355523272804135</v>
      </c>
      <c r="S1397" s="213" t="s">
        <v>192</v>
      </c>
      <c r="T1397" s="212">
        <f>VLOOKUP(A1397,'Groupe de branches'!$Z$27:$AM$86,14,FALSE)</f>
        <v>0</v>
      </c>
      <c r="U1397" s="212">
        <f>VLOOKUP(D1397,'Groupe de branches'!$Z$27:$AM$86,14,FALSE)</f>
        <v>0</v>
      </c>
      <c r="V1397" s="212">
        <v>2019</v>
      </c>
      <c r="W1397" s="212" t="str">
        <f>VLOOKUP(D1397,'Table corresp.'!$M$4:$S$63,7,FALSE)</f>
        <v>Exportation</v>
      </c>
      <c r="X1397" s="228">
        <f>IFERROR(G1397/SUMIFS('Comp2016-2017 (3)'!$I$5:$I$289,'Comp2016-2017 (3)'!$A$5:$A$289,A1397,'Comp2016-2017 (3)'!$R$5:$R$289,V1397),0)</f>
        <v>0.26816456489324325</v>
      </c>
      <c r="Y1397" s="214" t="e">
        <f>IF(RIGHT(F1397,3)="Exp",VLOOKUP(F1397,#REF!,2,FALSE),VLOOKUP(F1397,#REF!,9,FALSE))</f>
        <v>#REF!</v>
      </c>
      <c r="Z1397" s="225" t="str">
        <f t="shared" si="163"/>
        <v/>
      </c>
      <c r="AA1397" s="225" t="e">
        <f t="shared" si="164"/>
        <v>#VALUE!</v>
      </c>
      <c r="AB1397" s="222">
        <f>IFERROR(SUMIFS('Comp2016-2017 (3)'!$G$5:$G$289,'Comp2016-2017 (3)'!$A$5:$A$289,A1397,'Comp2016-2017 (3)'!$R$5:$R$289,V1397)*AA1397/SUMIFS($AA$4:$AA$1858,$A$4:$A$1858,A1397,$V$4:$V$1858,V1397),0)</f>
        <v>0</v>
      </c>
      <c r="AC1397" s="222">
        <f>IF($W1397=AC$3,$AB1397,IF(NOT($W1397=0),"",SUMIFS('Val-Vol (2)'!AC$4:AC$1858,'Val-Vol (2)'!$A$4:$A$1858,$D1397,'Val-Vol (2)'!$V$4:$V$1858,$V1397)/SUMIFS('Comp2016-2017 (3)'!$G$5:$G$289,'Comp2016-2017 (3)'!$A$5:$A$289,$D1397,'Comp2016-2017 (3)'!$R$5:$R$289,$V1397)*$AB1397))</f>
        <v>0</v>
      </c>
      <c r="AD1397" s="222" t="str">
        <f>IF($W1397=AD$3,$AB1397,IF(NOT($W1397=0),"",SUMIFS('Val-Vol (2)'!AD$4:AD$1858,'Val-Vol (2)'!$A$4:$A$1858,$D1397,'Val-Vol (2)'!$V$4:$V$1858,$V1397)/SUMIFS('Comp2016-2017 (3)'!$G$5:$G$289,'Comp2016-2017 (3)'!$A$5:$A$289,$D1397,'Comp2016-2017 (3)'!$R$5:$R$289,$V1397)*$AB1397))</f>
        <v/>
      </c>
      <c r="AE1397" s="222" t="str">
        <f>IF($W1397=AE$3,$AB1397,IF(NOT($W1397=0),"",SUMIFS('Val-Vol (2)'!AE$4:AE$1858,'Val-Vol (2)'!$A$4:$A$1858,$D1397,'Val-Vol (2)'!$V$4:$V$1858,$V1397)/SUMIFS('Comp2016-2017 (3)'!$G$5:$G$289,'Comp2016-2017 (3)'!$A$5:$A$289,$D1397,'Comp2016-2017 (3)'!$R$5:$R$289,$V1397)*$AB1397))</f>
        <v/>
      </c>
      <c r="AF1397" s="222" t="str">
        <f>IF($W1397=AF$3,$AB1397,IF(NOT($W1397=0),"",SUMIFS('Val-Vol (2)'!AF$4:AF$1858,'Val-Vol (2)'!$A$4:$A$1858,$D1397,'Val-Vol (2)'!$V$4:$V$1858,$V1397)/SUMIFS('Comp2016-2017 (3)'!$G$5:$G$289,'Comp2016-2017 (3)'!$A$5:$A$289,$D1397,'Comp2016-2017 (3)'!$R$5:$R$289,$V1397)*$AB1397))</f>
        <v/>
      </c>
      <c r="AG1397" s="222" t="str">
        <f>IF($W1397=AG$3,$AB1397,IF(NOT($W1397=0),"",SUMIFS('Val-Vol (2)'!AG$4:AG$1858,'Val-Vol (2)'!$A$4:$A$1858,$D1397,'Val-Vol (2)'!$V$4:$V$1858,$V1397)/SUMIFS('Comp2016-2017 (3)'!$G$5:$G$289,'Comp2016-2017 (3)'!$A$5:$A$289,$D1397,'Comp2016-2017 (3)'!$R$5:$R$289,$V1397)*$AB1397))</f>
        <v/>
      </c>
      <c r="AH1397" s="222" t="str">
        <f>IF($W1397=AH$3,$AB1397,IF(NOT($W1397=0),"",SUMIFS('Val-Vol (2)'!AH$4:AH$1858,'Val-Vol (2)'!$A$4:$A$1858,$D1397,'Val-Vol (2)'!$V$4:$V$1858,$V1397)/SUMIFS('Comp2016-2017 (3)'!$G$5:$G$289,'Comp2016-2017 (3)'!$A$5:$A$289,$D1397,'Comp2016-2017 (3)'!$R$5:$R$289,$V1397)*$AB1397))</f>
        <v/>
      </c>
      <c r="AI1397" s="222" t="str">
        <f>IF($W1397=AI$3,$AB1397,IF(NOT($W1397=0),"",SUMIFS('Val-Vol (2)'!AI$4:AI$1858,'Val-Vol (2)'!$A$4:$A$1858,$D1397,'Val-Vol (2)'!$V$4:$V$1858,$V1397)/SUMIFS('Comp2016-2017 (3)'!$G$5:$G$289,'Comp2016-2017 (3)'!$A$5:$A$289,$D1397,'Comp2016-2017 (3)'!$R$5:$R$289,$V1397)*$AB1397))</f>
        <v/>
      </c>
      <c r="AJ1397" s="222" t="str">
        <f>IF($W1397=AJ$3,$AB1397,IF(NOT($W1397=0),"",SUMIFS('Val-Vol (2)'!AJ$4:AJ$1858,'Val-Vol (2)'!$A$4:$A$1858,$D1397,'Val-Vol (2)'!$V$4:$V$1858,$V1397)/SUMIFS('Comp2016-2017 (3)'!$G$5:$G$289,'Comp2016-2017 (3)'!$A$5:$A$289,$D1397,'Comp2016-2017 (3)'!$R$5:$R$289,$V1397)*$AB1397))</f>
        <v/>
      </c>
      <c r="AK1397" s="222">
        <f t="shared" si="165"/>
        <v>0</v>
      </c>
      <c r="AL1397" s="212" t="str">
        <f t="shared" si="166"/>
        <v/>
      </c>
      <c r="AM1397" s="212" t="str">
        <f>VLOOKUP(A1397,'Table corresp.'!$M$4:$U$63,8,FALSE)</f>
        <v>Production finale</v>
      </c>
      <c r="AN1397" s="212" t="str">
        <f>VLOOKUP(D1397,'Table corresp.'!$M$4:$U$63,9,FALSE)</f>
        <v>Exportation</v>
      </c>
    </row>
    <row r="1398" spans="1:40" x14ac:dyDescent="0.25">
      <c r="A1398" t="s">
        <v>100</v>
      </c>
      <c r="B1398" t="str">
        <f>VLOOKUP(LEFT(A1398,3),'Table corresp.'!$A$4:$D$63,3,FALSE)</f>
        <v>Transformation</v>
      </c>
      <c r="C1398" t="str">
        <f>VLOOKUP(A1398,'Table corresp.'!$M$4:$P$63,4,FALSE)</f>
        <v>Production et transformation de produits bois</v>
      </c>
      <c r="D1398" t="s">
        <v>54</v>
      </c>
      <c r="E1398" t="str">
        <f>VLOOKUP(LEFT(D1398,3),'Table corresp.'!$A$4:$D$63,4,FALSE)</f>
        <v>Consommation finale</v>
      </c>
      <c r="F1398" t="str">
        <f t="shared" si="167"/>
        <v>48  - Con</v>
      </c>
      <c r="G1398" s="213">
        <v>378696.80499999976</v>
      </c>
      <c r="H1398" s="213">
        <v>435412.22099999984</v>
      </c>
      <c r="I1398" s="213">
        <v>814109.02599999961</v>
      </c>
      <c r="J1398" s="215">
        <v>226.98654122885978</v>
      </c>
      <c r="K1398" s="215">
        <v>488.91754119453458</v>
      </c>
      <c r="L1398" s="215">
        <v>715.90408242339436</v>
      </c>
      <c r="M1398" s="215"/>
      <c r="N1398" s="215"/>
      <c r="O1398" s="215"/>
      <c r="P1398" s="215"/>
      <c r="Q1398" s="215"/>
      <c r="R1398" s="215"/>
      <c r="S1398" s="213"/>
      <c r="T1398" s="212">
        <f>VLOOKUP(A1398,'Groupe de branches'!$Z$27:$AM$86,14,FALSE)</f>
        <v>0</v>
      </c>
      <c r="U1398" s="212">
        <f>VLOOKUP(D1398,'Groupe de branches'!$Z$27:$AM$86,14,FALSE)</f>
        <v>0</v>
      </c>
      <c r="V1398" s="212">
        <v>2019</v>
      </c>
      <c r="W1398" s="212" t="str">
        <f>VLOOKUP(D1398,'Table corresp.'!$M$4:$S$63,7,FALSE)</f>
        <v>Consommation finale</v>
      </c>
      <c r="X1398" s="228">
        <f>IFERROR(G1398/SUMIFS('Comp2016-2017 (3)'!$I$5:$I$289,'Comp2016-2017 (3)'!$A$5:$A$289,A1398,'Comp2016-2017 (3)'!$R$5:$R$289,V1398),0)</f>
        <v>0.78143525052316121</v>
      </c>
      <c r="Y1398" s="214" t="e">
        <f>IF(RIGHT(F1398,3)="Exp",VLOOKUP(F1398,#REF!,2,FALSE),VLOOKUP(F1398,#REF!,9,FALSE))</f>
        <v>#REF!</v>
      </c>
      <c r="Z1398" s="225" t="str">
        <f t="shared" si="163"/>
        <v/>
      </c>
      <c r="AA1398" s="225" t="e">
        <f t="shared" si="164"/>
        <v>#VALUE!</v>
      </c>
      <c r="AB1398" s="222">
        <f>IFERROR(SUMIFS('Comp2016-2017 (3)'!$G$5:$G$289,'Comp2016-2017 (3)'!$A$5:$A$289,A1398,'Comp2016-2017 (3)'!$R$5:$R$289,V1398)*AA1398/SUMIFS($AA$4:$AA$1858,$A$4:$A$1858,A1398,$V$4:$V$1858,V1398),0)</f>
        <v>0</v>
      </c>
      <c r="AC1398" s="222" t="str">
        <f>IF($W1398=AC$3,$AB1398,IF(NOT($W1398=0),"",SUMIFS('Val-Vol (2)'!AC$4:AC$1858,'Val-Vol (2)'!$A$4:$A$1858,$D1398,'Val-Vol (2)'!$V$4:$V$1858,$V1398)/SUMIFS('Comp2016-2017 (3)'!$G$5:$G$289,'Comp2016-2017 (3)'!$A$5:$A$289,$D1398,'Comp2016-2017 (3)'!$R$5:$R$289,$V1398)*$AB1398))</f>
        <v/>
      </c>
      <c r="AD1398" s="222" t="str">
        <f>IF($W1398=AD$3,$AB1398,IF(NOT($W1398=0),"",SUMIFS('Val-Vol (2)'!AD$4:AD$1858,'Val-Vol (2)'!$A$4:$A$1858,$D1398,'Val-Vol (2)'!$V$4:$V$1858,$V1398)/SUMIFS('Comp2016-2017 (3)'!$G$5:$G$289,'Comp2016-2017 (3)'!$A$5:$A$289,$D1398,'Comp2016-2017 (3)'!$R$5:$R$289,$V1398)*$AB1398))</f>
        <v/>
      </c>
      <c r="AE1398" s="222" t="str">
        <f>IF($W1398=AE$3,$AB1398,IF(NOT($W1398=0),"",SUMIFS('Val-Vol (2)'!AE$4:AE$1858,'Val-Vol (2)'!$A$4:$A$1858,$D1398,'Val-Vol (2)'!$V$4:$V$1858,$V1398)/SUMIFS('Comp2016-2017 (3)'!$G$5:$G$289,'Comp2016-2017 (3)'!$A$5:$A$289,$D1398,'Comp2016-2017 (3)'!$R$5:$R$289,$V1398)*$AB1398))</f>
        <v/>
      </c>
      <c r="AF1398" s="222" t="str">
        <f>IF($W1398=AF$3,$AB1398,IF(NOT($W1398=0),"",SUMIFS('Val-Vol (2)'!AF$4:AF$1858,'Val-Vol (2)'!$A$4:$A$1858,$D1398,'Val-Vol (2)'!$V$4:$V$1858,$V1398)/SUMIFS('Comp2016-2017 (3)'!$G$5:$G$289,'Comp2016-2017 (3)'!$A$5:$A$289,$D1398,'Comp2016-2017 (3)'!$R$5:$R$289,$V1398)*$AB1398))</f>
        <v/>
      </c>
      <c r="AG1398" s="222" t="str">
        <f>IF($W1398=AG$3,$AB1398,IF(NOT($W1398=0),"",SUMIFS('Val-Vol (2)'!AG$4:AG$1858,'Val-Vol (2)'!$A$4:$A$1858,$D1398,'Val-Vol (2)'!$V$4:$V$1858,$V1398)/SUMIFS('Comp2016-2017 (3)'!$G$5:$G$289,'Comp2016-2017 (3)'!$A$5:$A$289,$D1398,'Comp2016-2017 (3)'!$R$5:$R$289,$V1398)*$AB1398))</f>
        <v/>
      </c>
      <c r="AH1398" s="222" t="str">
        <f>IF($W1398=AH$3,$AB1398,IF(NOT($W1398=0),"",SUMIFS('Val-Vol (2)'!AH$4:AH$1858,'Val-Vol (2)'!$A$4:$A$1858,$D1398,'Val-Vol (2)'!$V$4:$V$1858,$V1398)/SUMIFS('Comp2016-2017 (3)'!$G$5:$G$289,'Comp2016-2017 (3)'!$A$5:$A$289,$D1398,'Comp2016-2017 (3)'!$R$5:$R$289,$V1398)*$AB1398))</f>
        <v/>
      </c>
      <c r="AI1398" s="222" t="str">
        <f>IF($W1398=AI$3,$AB1398,IF(NOT($W1398=0),"",SUMIFS('Val-Vol (2)'!AI$4:AI$1858,'Val-Vol (2)'!$A$4:$A$1858,$D1398,'Val-Vol (2)'!$V$4:$V$1858,$V1398)/SUMIFS('Comp2016-2017 (3)'!$G$5:$G$289,'Comp2016-2017 (3)'!$A$5:$A$289,$D1398,'Comp2016-2017 (3)'!$R$5:$R$289,$V1398)*$AB1398))</f>
        <v/>
      </c>
      <c r="AJ1398" s="222">
        <f>IF($W1398=AJ$3,$AB1398,IF(NOT($W1398=0),"",SUMIFS('Val-Vol (2)'!AJ$4:AJ$1858,'Val-Vol (2)'!$A$4:$A$1858,$D1398,'Val-Vol (2)'!$V$4:$V$1858,$V1398)/SUMIFS('Comp2016-2017 (3)'!$G$5:$G$289,'Comp2016-2017 (3)'!$A$5:$A$289,$D1398,'Comp2016-2017 (3)'!$R$5:$R$289,$V1398)*$AB1398))</f>
        <v>0</v>
      </c>
      <c r="AK1398" s="222">
        <f t="shared" si="165"/>
        <v>0</v>
      </c>
      <c r="AL1398" s="212" t="str">
        <f t="shared" si="166"/>
        <v/>
      </c>
      <c r="AM1398" s="212" t="str">
        <f>VLOOKUP(A1398,'Table corresp.'!$M$4:$U$63,8,FALSE)</f>
        <v>Production finale</v>
      </c>
      <c r="AN1398" s="212" t="str">
        <f>VLOOKUP(D1398,'Table corresp.'!$M$4:$U$63,9,FALSE)</f>
        <v>Consommation finale française</v>
      </c>
    </row>
    <row r="1399" spans="1:40" x14ac:dyDescent="0.25">
      <c r="A1399" t="s">
        <v>100</v>
      </c>
      <c r="B1399" t="str">
        <f>VLOOKUP(LEFT(A1399,3),'Table corresp.'!$A$4:$D$63,3,FALSE)</f>
        <v>Transformation</v>
      </c>
      <c r="C1399" t="str">
        <f>VLOOKUP(A1399,'Table corresp.'!$M$4:$P$63,4,FALSE)</f>
        <v>Production et transformation de produits bois</v>
      </c>
      <c r="D1399" t="s">
        <v>53</v>
      </c>
      <c r="E1399" t="str">
        <f>VLOOKUP(LEFT(D1399,3),'Table corresp.'!$A$4:$D$63,4,FALSE)</f>
        <v>Exportation</v>
      </c>
      <c r="F1399" t="str">
        <f t="shared" si="167"/>
        <v>48  - Exp</v>
      </c>
      <c r="G1399" s="213">
        <v>105920.19500000027</v>
      </c>
      <c r="H1399" s="213">
        <v>0</v>
      </c>
      <c r="I1399" s="213">
        <v>105920.19500000025</v>
      </c>
      <c r="J1399" s="215">
        <v>63.487354520116391</v>
      </c>
      <c r="K1399" s="215">
        <v>0</v>
      </c>
      <c r="L1399" s="215">
        <v>63.487354520116391</v>
      </c>
      <c r="M1399" s="215"/>
      <c r="N1399" s="215"/>
      <c r="O1399" s="215"/>
      <c r="P1399" s="215"/>
      <c r="Q1399" s="215"/>
      <c r="R1399" s="215"/>
      <c r="S1399" s="213"/>
      <c r="T1399" s="212">
        <f>VLOOKUP(A1399,'Groupe de branches'!$Z$27:$AM$86,14,FALSE)</f>
        <v>0</v>
      </c>
      <c r="U1399" s="212">
        <f>VLOOKUP(D1399,'Groupe de branches'!$Z$27:$AM$86,14,FALSE)</f>
        <v>0</v>
      </c>
      <c r="V1399" s="212">
        <v>2019</v>
      </c>
      <c r="W1399" s="212" t="str">
        <f>VLOOKUP(D1399,'Table corresp.'!$M$4:$S$63,7,FALSE)</f>
        <v>Exportation</v>
      </c>
      <c r="X1399" s="228">
        <f>IFERROR(G1399/SUMIFS('Comp2016-2017 (3)'!$I$5:$I$289,'Comp2016-2017 (3)'!$A$5:$A$289,A1399,'Comp2016-2017 (3)'!$R$5:$R$289,V1399),0)</f>
        <v>0.21856475423733068</v>
      </c>
      <c r="Y1399" s="214" t="e">
        <f>IF(RIGHT(F1399,3)="Exp",VLOOKUP(F1399,#REF!,2,FALSE),VLOOKUP(F1399,#REF!,9,FALSE))</f>
        <v>#REF!</v>
      </c>
      <c r="Z1399" s="225" t="str">
        <f t="shared" si="163"/>
        <v/>
      </c>
      <c r="AA1399" s="225" t="e">
        <f t="shared" si="164"/>
        <v>#VALUE!</v>
      </c>
      <c r="AB1399" s="222">
        <f>IFERROR(SUMIFS('Comp2016-2017 (3)'!$G$5:$G$289,'Comp2016-2017 (3)'!$A$5:$A$289,A1399,'Comp2016-2017 (3)'!$R$5:$R$289,V1399)*AA1399/SUMIFS($AA$4:$AA$1858,$A$4:$A$1858,A1399,$V$4:$V$1858,V1399),0)</f>
        <v>0</v>
      </c>
      <c r="AC1399" s="222">
        <f>IF($W1399=AC$3,$AB1399,IF(NOT($W1399=0),"",SUMIFS('Val-Vol (2)'!AC$4:AC$1858,'Val-Vol (2)'!$A$4:$A$1858,$D1399,'Val-Vol (2)'!$V$4:$V$1858,$V1399)/SUMIFS('Comp2016-2017 (3)'!$G$5:$G$289,'Comp2016-2017 (3)'!$A$5:$A$289,$D1399,'Comp2016-2017 (3)'!$R$5:$R$289,$V1399)*$AB1399))</f>
        <v>0</v>
      </c>
      <c r="AD1399" s="222" t="str">
        <f>IF($W1399=AD$3,$AB1399,IF(NOT($W1399=0),"",SUMIFS('Val-Vol (2)'!AD$4:AD$1858,'Val-Vol (2)'!$A$4:$A$1858,$D1399,'Val-Vol (2)'!$V$4:$V$1858,$V1399)/SUMIFS('Comp2016-2017 (3)'!$G$5:$G$289,'Comp2016-2017 (3)'!$A$5:$A$289,$D1399,'Comp2016-2017 (3)'!$R$5:$R$289,$V1399)*$AB1399))</f>
        <v/>
      </c>
      <c r="AE1399" s="222" t="str">
        <f>IF($W1399=AE$3,$AB1399,IF(NOT($W1399=0),"",SUMIFS('Val-Vol (2)'!AE$4:AE$1858,'Val-Vol (2)'!$A$4:$A$1858,$D1399,'Val-Vol (2)'!$V$4:$V$1858,$V1399)/SUMIFS('Comp2016-2017 (3)'!$G$5:$G$289,'Comp2016-2017 (3)'!$A$5:$A$289,$D1399,'Comp2016-2017 (3)'!$R$5:$R$289,$V1399)*$AB1399))</f>
        <v/>
      </c>
      <c r="AF1399" s="222" t="str">
        <f>IF($W1399=AF$3,$AB1399,IF(NOT($W1399=0),"",SUMIFS('Val-Vol (2)'!AF$4:AF$1858,'Val-Vol (2)'!$A$4:$A$1858,$D1399,'Val-Vol (2)'!$V$4:$V$1858,$V1399)/SUMIFS('Comp2016-2017 (3)'!$G$5:$G$289,'Comp2016-2017 (3)'!$A$5:$A$289,$D1399,'Comp2016-2017 (3)'!$R$5:$R$289,$V1399)*$AB1399))</f>
        <v/>
      </c>
      <c r="AG1399" s="222" t="str">
        <f>IF($W1399=AG$3,$AB1399,IF(NOT($W1399=0),"",SUMIFS('Val-Vol (2)'!AG$4:AG$1858,'Val-Vol (2)'!$A$4:$A$1858,$D1399,'Val-Vol (2)'!$V$4:$V$1858,$V1399)/SUMIFS('Comp2016-2017 (3)'!$G$5:$G$289,'Comp2016-2017 (3)'!$A$5:$A$289,$D1399,'Comp2016-2017 (3)'!$R$5:$R$289,$V1399)*$AB1399))</f>
        <v/>
      </c>
      <c r="AH1399" s="222" t="str">
        <f>IF($W1399=AH$3,$AB1399,IF(NOT($W1399=0),"",SUMIFS('Val-Vol (2)'!AH$4:AH$1858,'Val-Vol (2)'!$A$4:$A$1858,$D1399,'Val-Vol (2)'!$V$4:$V$1858,$V1399)/SUMIFS('Comp2016-2017 (3)'!$G$5:$G$289,'Comp2016-2017 (3)'!$A$5:$A$289,$D1399,'Comp2016-2017 (3)'!$R$5:$R$289,$V1399)*$AB1399))</f>
        <v/>
      </c>
      <c r="AI1399" s="222" t="str">
        <f>IF($W1399=AI$3,$AB1399,IF(NOT($W1399=0),"",SUMIFS('Val-Vol (2)'!AI$4:AI$1858,'Val-Vol (2)'!$A$4:$A$1858,$D1399,'Val-Vol (2)'!$V$4:$V$1858,$V1399)/SUMIFS('Comp2016-2017 (3)'!$G$5:$G$289,'Comp2016-2017 (3)'!$A$5:$A$289,$D1399,'Comp2016-2017 (3)'!$R$5:$R$289,$V1399)*$AB1399))</f>
        <v/>
      </c>
      <c r="AJ1399" s="222" t="str">
        <f>IF($W1399=AJ$3,$AB1399,IF(NOT($W1399=0),"",SUMIFS('Val-Vol (2)'!AJ$4:AJ$1858,'Val-Vol (2)'!$A$4:$A$1858,$D1399,'Val-Vol (2)'!$V$4:$V$1858,$V1399)/SUMIFS('Comp2016-2017 (3)'!$G$5:$G$289,'Comp2016-2017 (3)'!$A$5:$A$289,$D1399,'Comp2016-2017 (3)'!$R$5:$R$289,$V1399)*$AB1399))</f>
        <v/>
      </c>
      <c r="AK1399" s="222">
        <f t="shared" si="165"/>
        <v>0</v>
      </c>
      <c r="AL1399" s="212" t="str">
        <f t="shared" si="166"/>
        <v/>
      </c>
      <c r="AM1399" s="212" t="str">
        <f>VLOOKUP(A1399,'Table corresp.'!$M$4:$U$63,8,FALSE)</f>
        <v>Production finale</v>
      </c>
      <c r="AN1399" s="212" t="str">
        <f>VLOOKUP(D1399,'Table corresp.'!$M$4:$U$63,9,FALSE)</f>
        <v>Exportation</v>
      </c>
    </row>
    <row r="1400" spans="1:40" x14ac:dyDescent="0.25">
      <c r="A1400" t="s">
        <v>101</v>
      </c>
      <c r="B1400" t="str">
        <f>VLOOKUP(LEFT(A1400,3),'Table corresp.'!$A$4:$D$63,3,FALSE)</f>
        <v>Transformation</v>
      </c>
      <c r="C1400" t="str">
        <f>VLOOKUP(A1400,'Table corresp.'!$M$4:$P$63,4,FALSE)</f>
        <v>Production et transformation de produits bois</v>
      </c>
      <c r="D1400" t="s">
        <v>54</v>
      </c>
      <c r="E1400" t="str">
        <f>VLOOKUP(LEFT(D1400,3),'Table corresp.'!$A$4:$D$63,4,FALSE)</f>
        <v>Consommation finale</v>
      </c>
      <c r="F1400" t="str">
        <f t="shared" si="167"/>
        <v>49  - Con</v>
      </c>
      <c r="G1400" s="213">
        <v>2010461.2616819716</v>
      </c>
      <c r="H1400" s="213">
        <v>0</v>
      </c>
      <c r="I1400" s="213">
        <v>2010461.2616819716</v>
      </c>
      <c r="J1400" s="215"/>
      <c r="K1400" s="215"/>
      <c r="L1400" s="215"/>
      <c r="M1400" s="215"/>
      <c r="N1400" s="215"/>
      <c r="O1400" s="215"/>
      <c r="P1400" s="215">
        <v>5128.3222868067733</v>
      </c>
      <c r="Q1400" s="215">
        <v>0</v>
      </c>
      <c r="R1400" s="215">
        <v>5128.3222868067733</v>
      </c>
      <c r="S1400" s="213" t="s">
        <v>198</v>
      </c>
      <c r="T1400" s="212">
        <f>VLOOKUP(A1400,'Groupe de branches'!$Z$27:$AM$86,14,FALSE)</f>
        <v>1</v>
      </c>
      <c r="U1400" s="212">
        <f>VLOOKUP(D1400,'Groupe de branches'!$Z$27:$AM$86,14,FALSE)</f>
        <v>0</v>
      </c>
      <c r="V1400" s="212">
        <v>2019</v>
      </c>
      <c r="W1400" s="212" t="str">
        <f>VLOOKUP(D1400,'Table corresp.'!$M$4:$S$63,7,FALSE)</f>
        <v>Consommation finale</v>
      </c>
      <c r="X1400" s="228">
        <f>IFERROR(G1400/SUMIFS('Comp2016-2017 (3)'!$I$5:$I$289,'Comp2016-2017 (3)'!$A$5:$A$289,A1400,'Comp2016-2017 (3)'!$R$5:$R$289,V1400),0)</f>
        <v>0.99999999999474865</v>
      </c>
      <c r="Y1400" s="214">
        <f>IFERROR(IF(RIGHT(F1400,3)="Exp",VLOOKUP(F1400,#REF!,2,FALSE),VLOOKUP(F1400,#REF!,9,FALSE)),1)</f>
        <v>1</v>
      </c>
      <c r="Z1400" s="225">
        <f t="shared" si="163"/>
        <v>1</v>
      </c>
      <c r="AA1400" s="225">
        <f t="shared" si="164"/>
        <v>0.99999999999474865</v>
      </c>
      <c r="AB1400" s="222">
        <f>IFERROR(SUMIFS('Comp2016-2017 (3)'!$G$5:$G$289,'Comp2016-2017 (3)'!$A$5:$A$289,A1400,'Comp2016-2017 (3)'!$R$5:$R$289,V1400)*AA1400/SUMIFS($AA$4:$AA$1858,$A$4:$A$1858,A1400,$V$4:$V$1858,V1400),0)</f>
        <v>520711.32356489945</v>
      </c>
      <c r="AC1400" s="222" t="str">
        <f>IF($W1400=AC$3,$AB1400,IF(NOT($W1400=0),"",SUMIFS('Val-Vol (2)'!AC$4:AC$1858,'Val-Vol (2)'!$A$4:$A$1858,$D1400,'Val-Vol (2)'!$V$4:$V$1858,$V1400)/SUMIFS('Comp2016-2017 (3)'!$G$5:$G$289,'Comp2016-2017 (3)'!$A$5:$A$289,$D1400,'Comp2016-2017 (3)'!$R$5:$R$289,$V1400)*$AB1400))</f>
        <v/>
      </c>
      <c r="AD1400" s="222" t="str">
        <f>IF($W1400=AD$3,$AB1400,IF(NOT($W1400=0),"",SUMIFS('Val-Vol (2)'!AD$4:AD$1858,'Val-Vol (2)'!$A$4:$A$1858,$D1400,'Val-Vol (2)'!$V$4:$V$1858,$V1400)/SUMIFS('Comp2016-2017 (3)'!$G$5:$G$289,'Comp2016-2017 (3)'!$A$5:$A$289,$D1400,'Comp2016-2017 (3)'!$R$5:$R$289,$V1400)*$AB1400))</f>
        <v/>
      </c>
      <c r="AE1400" s="222" t="str">
        <f>IF($W1400=AE$3,$AB1400,IF(NOT($W1400=0),"",SUMIFS('Val-Vol (2)'!AE$4:AE$1858,'Val-Vol (2)'!$A$4:$A$1858,$D1400,'Val-Vol (2)'!$V$4:$V$1858,$V1400)/SUMIFS('Comp2016-2017 (3)'!$G$5:$G$289,'Comp2016-2017 (3)'!$A$5:$A$289,$D1400,'Comp2016-2017 (3)'!$R$5:$R$289,$V1400)*$AB1400))</f>
        <v/>
      </c>
      <c r="AF1400" s="222" t="str">
        <f>IF($W1400=AF$3,$AB1400,IF(NOT($W1400=0),"",SUMIFS('Val-Vol (2)'!AF$4:AF$1858,'Val-Vol (2)'!$A$4:$A$1858,$D1400,'Val-Vol (2)'!$V$4:$V$1858,$V1400)/SUMIFS('Comp2016-2017 (3)'!$G$5:$G$289,'Comp2016-2017 (3)'!$A$5:$A$289,$D1400,'Comp2016-2017 (3)'!$R$5:$R$289,$V1400)*$AB1400))</f>
        <v/>
      </c>
      <c r="AG1400" s="222" t="str">
        <f>IF($W1400=AG$3,$AB1400,IF(NOT($W1400=0),"",SUMIFS('Val-Vol (2)'!AG$4:AG$1858,'Val-Vol (2)'!$A$4:$A$1858,$D1400,'Val-Vol (2)'!$V$4:$V$1858,$V1400)/SUMIFS('Comp2016-2017 (3)'!$G$5:$G$289,'Comp2016-2017 (3)'!$A$5:$A$289,$D1400,'Comp2016-2017 (3)'!$R$5:$R$289,$V1400)*$AB1400))</f>
        <v/>
      </c>
      <c r="AH1400" s="222" t="str">
        <f>IF($W1400=AH$3,$AB1400,IF(NOT($W1400=0),"",SUMIFS('Val-Vol (2)'!AH$4:AH$1858,'Val-Vol (2)'!$A$4:$A$1858,$D1400,'Val-Vol (2)'!$V$4:$V$1858,$V1400)/SUMIFS('Comp2016-2017 (3)'!$G$5:$G$289,'Comp2016-2017 (3)'!$A$5:$A$289,$D1400,'Comp2016-2017 (3)'!$R$5:$R$289,$V1400)*$AB1400))</f>
        <v/>
      </c>
      <c r="AI1400" s="222" t="str">
        <f>IF($W1400=AI$3,$AB1400,IF(NOT($W1400=0),"",SUMIFS('Val-Vol (2)'!AI$4:AI$1858,'Val-Vol (2)'!$A$4:$A$1858,$D1400,'Val-Vol (2)'!$V$4:$V$1858,$V1400)/SUMIFS('Comp2016-2017 (3)'!$G$5:$G$289,'Comp2016-2017 (3)'!$A$5:$A$289,$D1400,'Comp2016-2017 (3)'!$R$5:$R$289,$V1400)*$AB1400))</f>
        <v/>
      </c>
      <c r="AJ1400" s="222">
        <f>IF($W1400=AJ$3,$AB1400,IF(NOT($W1400=0),"",SUMIFS('Val-Vol (2)'!AJ$4:AJ$1858,'Val-Vol (2)'!$A$4:$A$1858,$D1400,'Val-Vol (2)'!$V$4:$V$1858,$V1400)/SUMIFS('Comp2016-2017 (3)'!$G$5:$G$289,'Comp2016-2017 (3)'!$A$5:$A$289,$D1400,'Comp2016-2017 (3)'!$R$5:$R$289,$V1400)*$AB1400))</f>
        <v>520711.32356489945</v>
      </c>
      <c r="AK1400" s="222">
        <f t="shared" si="165"/>
        <v>0</v>
      </c>
      <c r="AL1400" s="212" t="str">
        <f t="shared" si="166"/>
        <v/>
      </c>
      <c r="AM1400" s="212" t="str">
        <f>VLOOKUP(A1400,'Table corresp.'!$M$4:$U$63,8,FALSE)</f>
        <v>Production finale</v>
      </c>
      <c r="AN1400" s="212" t="str">
        <f>VLOOKUP(D1400,'Table corresp.'!$M$4:$U$63,9,FALSE)</f>
        <v>Consommation finale française</v>
      </c>
    </row>
    <row r="1401" spans="1:40" x14ac:dyDescent="0.25">
      <c r="A1401" t="s">
        <v>102</v>
      </c>
      <c r="B1401" t="str">
        <f>VLOOKUP(LEFT(A1401,3),'Table corresp.'!$A$4:$D$63,3,FALSE)</f>
        <v>Bois recyclés</v>
      </c>
      <c r="C1401" t="str">
        <f>VLOOKUP(A1401,'Table corresp.'!$M$4:$P$63,4,FALSE)</f>
        <v>Production et transformation de produits bois</v>
      </c>
      <c r="D1401" t="s">
        <v>87</v>
      </c>
      <c r="E1401" t="str">
        <f>VLOOKUP(LEFT(D1401,3),'Table corresp.'!$A$4:$D$63,4,FALSE)</f>
        <v>Transformation</v>
      </c>
      <c r="F1401" t="str">
        <f t="shared" si="167"/>
        <v xml:space="preserve">50  - 31 </v>
      </c>
      <c r="G1401" s="213">
        <v>10417.465592642777</v>
      </c>
      <c r="H1401" s="213">
        <v>0</v>
      </c>
      <c r="I1401" s="213">
        <v>10417.465592642779</v>
      </c>
      <c r="J1401" s="215"/>
      <c r="K1401" s="215"/>
      <c r="L1401" s="215"/>
      <c r="M1401" s="215"/>
      <c r="N1401" s="215"/>
      <c r="O1401" s="215"/>
      <c r="P1401" s="215">
        <v>851.55588488586181</v>
      </c>
      <c r="Q1401" s="215">
        <v>0</v>
      </c>
      <c r="R1401" s="215">
        <v>851.55588488586181</v>
      </c>
      <c r="S1401" s="213" t="s">
        <v>192</v>
      </c>
      <c r="T1401" s="212">
        <f>VLOOKUP(A1401,'Groupe de branches'!$Z$27:$AM$86,14,FALSE)</f>
        <v>0</v>
      </c>
      <c r="U1401" s="212">
        <f>VLOOKUP(D1401,'Groupe de branches'!$Z$27:$AM$86,14,FALSE)</f>
        <v>0</v>
      </c>
      <c r="V1401" s="212">
        <v>2019</v>
      </c>
      <c r="W1401" s="212">
        <f>VLOOKUP(D1401,'Table corresp.'!$M$4:$S$63,7,FALSE)</f>
        <v>0</v>
      </c>
      <c r="X1401" s="228">
        <f>IFERROR(G1401/SUMIFS('Comp2016-2017 (3)'!$I$5:$I$289,'Comp2016-2017 (3)'!$A$5:$A$289,A1401,'Comp2016-2017 (3)'!$R$5:$R$289,V1401),0)</f>
        <v>4.7560192170572176E-2</v>
      </c>
      <c r="Y1401" s="214" t="e">
        <f>IF(RIGHT(F1401,3)="Exp",VLOOKUP(F1401,#REF!,2,FALSE),VLOOKUP(F1401,#REF!,9,FALSE))</f>
        <v>#REF!</v>
      </c>
      <c r="Z1401" s="225" t="str">
        <f t="shared" si="163"/>
        <v/>
      </c>
      <c r="AA1401" s="225" t="e">
        <f t="shared" si="164"/>
        <v>#VALUE!</v>
      </c>
      <c r="AB1401" s="222">
        <f>IFERROR(SUMIFS('Comp2016-2017 (3)'!$G$5:$G$289,'Comp2016-2017 (3)'!$A$5:$A$289,A1401,'Comp2016-2017 (3)'!$R$5:$R$289,V1401)*AA1401/SUMIFS($AA$4:$AA$1858,$A$4:$A$1858,A1401,$V$4:$V$1858,V1401),0)</f>
        <v>0</v>
      </c>
      <c r="AC1401" s="222">
        <f>IF($W1401=AC$3,$AB1401,IF(NOT($W1401=0),"",SUMIFS('Val-Vol (2)'!AC$4:AC$1858,'Val-Vol (2)'!$A$4:$A$1858,$D1401,'Val-Vol (2)'!$V$4:$V$1858,$V1401)/SUMIFS('Comp2016-2017 (3)'!$G$5:$G$289,'Comp2016-2017 (3)'!$A$5:$A$289,$D1401,'Comp2016-2017 (3)'!$R$5:$R$289,$V1401)*$AB1401))</f>
        <v>0</v>
      </c>
      <c r="AD1401" s="222">
        <f>IF($W1401=AD$3,$AB1401,IF(NOT($W1401=0),"",SUMIFS('Val-Vol (2)'!AD$4:AD$1858,'Val-Vol (2)'!$A$4:$A$1858,$D1401,'Val-Vol (2)'!$V$4:$V$1858,$V1401)/SUMIFS('Comp2016-2017 (3)'!$G$5:$G$289,'Comp2016-2017 (3)'!$A$5:$A$289,$D1401,'Comp2016-2017 (3)'!$R$5:$R$289,$V1401)*$AB1401))</f>
        <v>0</v>
      </c>
      <c r="AE1401" s="222">
        <f>IF($W1401=AE$3,$AB1401,IF(NOT($W1401=0),"",SUMIFS('Val-Vol (2)'!AE$4:AE$1858,'Val-Vol (2)'!$A$4:$A$1858,$D1401,'Val-Vol (2)'!$V$4:$V$1858,$V1401)/SUMIFS('Comp2016-2017 (3)'!$G$5:$G$289,'Comp2016-2017 (3)'!$A$5:$A$289,$D1401,'Comp2016-2017 (3)'!$R$5:$R$289,$V1401)*$AB1401))</f>
        <v>0</v>
      </c>
      <c r="AF1401" s="222">
        <f>IF($W1401=AF$3,$AB1401,IF(NOT($W1401=0),"",SUMIFS('Val-Vol (2)'!AF$4:AF$1858,'Val-Vol (2)'!$A$4:$A$1858,$D1401,'Val-Vol (2)'!$V$4:$V$1858,$V1401)/SUMIFS('Comp2016-2017 (3)'!$G$5:$G$289,'Comp2016-2017 (3)'!$A$5:$A$289,$D1401,'Comp2016-2017 (3)'!$R$5:$R$289,$V1401)*$AB1401))</f>
        <v>0</v>
      </c>
      <c r="AG1401" s="222">
        <f>IF($W1401=AG$3,$AB1401,IF(NOT($W1401=0),"",SUMIFS('Val-Vol (2)'!AG$4:AG$1858,'Val-Vol (2)'!$A$4:$A$1858,$D1401,'Val-Vol (2)'!$V$4:$V$1858,$V1401)/SUMIFS('Comp2016-2017 (3)'!$G$5:$G$289,'Comp2016-2017 (3)'!$A$5:$A$289,$D1401,'Comp2016-2017 (3)'!$R$5:$R$289,$V1401)*$AB1401))</f>
        <v>0</v>
      </c>
      <c r="AH1401" s="222">
        <f>IF($W1401=AH$3,$AB1401,IF(NOT($W1401=0),"",SUMIFS('Val-Vol (2)'!AH$4:AH$1858,'Val-Vol (2)'!$A$4:$A$1858,$D1401,'Val-Vol (2)'!$V$4:$V$1858,$V1401)/SUMIFS('Comp2016-2017 (3)'!$G$5:$G$289,'Comp2016-2017 (3)'!$A$5:$A$289,$D1401,'Comp2016-2017 (3)'!$R$5:$R$289,$V1401)*$AB1401))</f>
        <v>0</v>
      </c>
      <c r="AI1401" s="222">
        <f>IF($W1401=AI$3,$AB1401,IF(NOT($W1401=0),"",SUMIFS('Val-Vol (2)'!AI$4:AI$1858,'Val-Vol (2)'!$A$4:$A$1858,$D1401,'Val-Vol (2)'!$V$4:$V$1858,$V1401)/SUMIFS('Comp2016-2017 (3)'!$G$5:$G$289,'Comp2016-2017 (3)'!$A$5:$A$289,$D1401,'Comp2016-2017 (3)'!$R$5:$R$289,$V1401)*$AB1401))</f>
        <v>0</v>
      </c>
      <c r="AJ1401" s="222">
        <f>IF($W1401=AJ$3,$AB1401,IF(NOT($W1401=0),"",SUMIFS('Val-Vol (2)'!AJ$4:AJ$1858,'Val-Vol (2)'!$A$4:$A$1858,$D1401,'Val-Vol (2)'!$V$4:$V$1858,$V1401)/SUMIFS('Comp2016-2017 (3)'!$G$5:$G$289,'Comp2016-2017 (3)'!$A$5:$A$289,$D1401,'Comp2016-2017 (3)'!$R$5:$R$289,$V1401)*$AB1401))</f>
        <v>0</v>
      </c>
      <c r="AK1401" s="222">
        <f t="shared" si="165"/>
        <v>0</v>
      </c>
      <c r="AL1401" s="212" t="str">
        <f t="shared" si="166"/>
        <v/>
      </c>
      <c r="AM1401" s="212" t="str">
        <f>VLOOKUP(A1401,'Table corresp.'!$M$4:$U$63,8,FALSE)</f>
        <v>Bois recyclés</v>
      </c>
      <c r="AN1401" s="212" t="str">
        <f>VLOOKUP(D1401,'Table corresp.'!$M$4:$U$63,9,FALSE)</f>
        <v>Production intermédiaire</v>
      </c>
    </row>
    <row r="1402" spans="1:40" x14ac:dyDescent="0.25">
      <c r="A1402" t="s">
        <v>102</v>
      </c>
      <c r="B1402" t="str">
        <f>VLOOKUP(LEFT(A1402,3),'Table corresp.'!$A$4:$D$63,3,FALSE)</f>
        <v>Bois recyclés</v>
      </c>
      <c r="C1402" t="str">
        <f>VLOOKUP(A1402,'Table corresp.'!$M$4:$P$63,4,FALSE)</f>
        <v>Production et transformation de produits bois</v>
      </c>
      <c r="D1402" t="s">
        <v>101</v>
      </c>
      <c r="E1402" t="str">
        <f>VLOOKUP(LEFT(D1402,3),'Table corresp.'!$A$4:$D$63,4,FALSE)</f>
        <v>Transformation</v>
      </c>
      <c r="F1402" t="str">
        <f t="shared" si="167"/>
        <v xml:space="preserve">50  - 49 </v>
      </c>
      <c r="G1402" s="213">
        <v>65726.924123162404</v>
      </c>
      <c r="H1402" s="213">
        <v>0</v>
      </c>
      <c r="I1402" s="213">
        <v>65726.924123162404</v>
      </c>
      <c r="J1402" s="215"/>
      <c r="K1402" s="215"/>
      <c r="L1402" s="215"/>
      <c r="M1402" s="215"/>
      <c r="N1402" s="215"/>
      <c r="O1402" s="215"/>
      <c r="P1402" s="215">
        <v>1359.0126696882994</v>
      </c>
      <c r="Q1402" s="215">
        <v>0</v>
      </c>
      <c r="R1402" s="215">
        <v>1359.0126696882994</v>
      </c>
      <c r="S1402" s="213" t="s">
        <v>198</v>
      </c>
      <c r="T1402" s="212">
        <f>VLOOKUP(A1402,'Groupe de branches'!$Z$27:$AM$86,14,FALSE)</f>
        <v>0</v>
      </c>
      <c r="U1402" s="212">
        <f>VLOOKUP(D1402,'Groupe de branches'!$Z$27:$AM$86,14,FALSE)</f>
        <v>1</v>
      </c>
      <c r="V1402" s="212">
        <v>2019</v>
      </c>
      <c r="W1402" s="212" t="str">
        <f>VLOOKUP(D1402,'Table corresp.'!$M$4:$S$63,7,FALSE)</f>
        <v>Energie</v>
      </c>
      <c r="X1402" s="228">
        <f>IFERROR(G1402/SUMIFS('Comp2016-2017 (3)'!$I$5:$I$289,'Comp2016-2017 (3)'!$A$5:$A$289,A1402,'Comp2016-2017 (3)'!$R$5:$R$289,V1402),0)</f>
        <v>0.30007155908303773</v>
      </c>
      <c r="Y1402" s="214" t="e">
        <f>IF(RIGHT(F1402,3)="Exp",VLOOKUP(F1402,#REF!,2,FALSE),VLOOKUP(F1402,#REF!,9,FALSE))</f>
        <v>#REF!</v>
      </c>
      <c r="Z1402" s="225" t="str">
        <f t="shared" si="163"/>
        <v/>
      </c>
      <c r="AA1402" s="225" t="e">
        <f t="shared" si="164"/>
        <v>#VALUE!</v>
      </c>
      <c r="AB1402" s="222">
        <f>IFERROR(SUMIFS('Comp2016-2017 (3)'!$G$5:$G$289,'Comp2016-2017 (3)'!$A$5:$A$289,A1402,'Comp2016-2017 (3)'!$R$5:$R$289,V1402)*AA1402/SUMIFS($AA$4:$AA$1858,$A$4:$A$1858,A1402,$V$4:$V$1858,V1402),0)</f>
        <v>0</v>
      </c>
      <c r="AC1402" s="222" t="str">
        <f>IF($W1402=AC$3,$AB1402,IF(NOT($W1402=0),"",SUMIFS('Val-Vol (2)'!AC$4:AC$1858,'Val-Vol (2)'!$A$4:$A$1858,$D1402,'Val-Vol (2)'!$V$4:$V$1858,$V1402)/SUMIFS('Comp2016-2017 (3)'!$G$5:$G$289,'Comp2016-2017 (3)'!$A$5:$A$289,$D1402,'Comp2016-2017 (3)'!$R$5:$R$289,$V1402)*$AB1402))</f>
        <v/>
      </c>
      <c r="AD1402" s="222" t="str">
        <f>IF($W1402=AD$3,$AB1402,IF(NOT($W1402=0),"",SUMIFS('Val-Vol (2)'!AD$4:AD$1858,'Val-Vol (2)'!$A$4:$A$1858,$D1402,'Val-Vol (2)'!$V$4:$V$1858,$V1402)/SUMIFS('Comp2016-2017 (3)'!$G$5:$G$289,'Comp2016-2017 (3)'!$A$5:$A$289,$D1402,'Comp2016-2017 (3)'!$R$5:$R$289,$V1402)*$AB1402))</f>
        <v/>
      </c>
      <c r="AE1402" s="222" t="str">
        <f>IF($W1402=AE$3,$AB1402,IF(NOT($W1402=0),"",SUMIFS('Val-Vol (2)'!AE$4:AE$1858,'Val-Vol (2)'!$A$4:$A$1858,$D1402,'Val-Vol (2)'!$V$4:$V$1858,$V1402)/SUMIFS('Comp2016-2017 (3)'!$G$5:$G$289,'Comp2016-2017 (3)'!$A$5:$A$289,$D1402,'Comp2016-2017 (3)'!$R$5:$R$289,$V1402)*$AB1402))</f>
        <v/>
      </c>
      <c r="AF1402" s="222" t="str">
        <f>IF($W1402=AF$3,$AB1402,IF(NOT($W1402=0),"",SUMIFS('Val-Vol (2)'!AF$4:AF$1858,'Val-Vol (2)'!$A$4:$A$1858,$D1402,'Val-Vol (2)'!$V$4:$V$1858,$V1402)/SUMIFS('Comp2016-2017 (3)'!$G$5:$G$289,'Comp2016-2017 (3)'!$A$5:$A$289,$D1402,'Comp2016-2017 (3)'!$R$5:$R$289,$V1402)*$AB1402))</f>
        <v/>
      </c>
      <c r="AG1402" s="222" t="str">
        <f>IF($W1402=AG$3,$AB1402,IF(NOT($W1402=0),"",SUMIFS('Val-Vol (2)'!AG$4:AG$1858,'Val-Vol (2)'!$A$4:$A$1858,$D1402,'Val-Vol (2)'!$V$4:$V$1858,$V1402)/SUMIFS('Comp2016-2017 (3)'!$G$5:$G$289,'Comp2016-2017 (3)'!$A$5:$A$289,$D1402,'Comp2016-2017 (3)'!$R$5:$R$289,$V1402)*$AB1402))</f>
        <v/>
      </c>
      <c r="AH1402" s="222">
        <f>IF($W1402=AH$3,$AB1402,IF(NOT($W1402=0),"",SUMIFS('Val-Vol (2)'!AH$4:AH$1858,'Val-Vol (2)'!$A$4:$A$1858,$D1402,'Val-Vol (2)'!$V$4:$V$1858,$V1402)/SUMIFS('Comp2016-2017 (3)'!$G$5:$G$289,'Comp2016-2017 (3)'!$A$5:$A$289,$D1402,'Comp2016-2017 (3)'!$R$5:$R$289,$V1402)*$AB1402))</f>
        <v>0</v>
      </c>
      <c r="AI1402" s="222" t="str">
        <f>IF($W1402=AI$3,$AB1402,IF(NOT($W1402=0),"",SUMIFS('Val-Vol (2)'!AI$4:AI$1858,'Val-Vol (2)'!$A$4:$A$1858,$D1402,'Val-Vol (2)'!$V$4:$V$1858,$V1402)/SUMIFS('Comp2016-2017 (3)'!$G$5:$G$289,'Comp2016-2017 (3)'!$A$5:$A$289,$D1402,'Comp2016-2017 (3)'!$R$5:$R$289,$V1402)*$AB1402))</f>
        <v/>
      </c>
      <c r="AJ1402" s="222" t="str">
        <f>IF($W1402=AJ$3,$AB1402,IF(NOT($W1402=0),"",SUMIFS('Val-Vol (2)'!AJ$4:AJ$1858,'Val-Vol (2)'!$A$4:$A$1858,$D1402,'Val-Vol (2)'!$V$4:$V$1858,$V1402)/SUMIFS('Comp2016-2017 (3)'!$G$5:$G$289,'Comp2016-2017 (3)'!$A$5:$A$289,$D1402,'Comp2016-2017 (3)'!$R$5:$R$289,$V1402)*$AB1402))</f>
        <v/>
      </c>
      <c r="AK1402" s="222">
        <f t="shared" si="165"/>
        <v>0</v>
      </c>
      <c r="AL1402" s="212" t="str">
        <f t="shared" si="166"/>
        <v/>
      </c>
      <c r="AM1402" s="212" t="str">
        <f>VLOOKUP(A1402,'Table corresp.'!$M$4:$U$63,8,FALSE)</f>
        <v>Bois recyclés</v>
      </c>
      <c r="AN1402" s="212" t="str">
        <f>VLOOKUP(D1402,'Table corresp.'!$M$4:$U$63,9,FALSE)</f>
        <v>Production finale</v>
      </c>
    </row>
    <row r="1403" spans="1:40" x14ac:dyDescent="0.25">
      <c r="A1403" t="s">
        <v>102</v>
      </c>
      <c r="B1403" t="str">
        <f>VLOOKUP(LEFT(A1403,3),'Table corresp.'!$A$4:$D$63,3,FALSE)</f>
        <v>Bois recyclés</v>
      </c>
      <c r="C1403" t="str">
        <f>VLOOKUP(A1403,'Table corresp.'!$M$4:$P$63,4,FALSE)</f>
        <v>Production et transformation de produits bois</v>
      </c>
      <c r="D1403" t="s">
        <v>102</v>
      </c>
      <c r="E1403" t="str">
        <f>VLOOKUP(LEFT(D1403,3),'Table corresp.'!$A$4:$D$63,4,FALSE)</f>
        <v>Transformation</v>
      </c>
      <c r="F1403" t="str">
        <f t="shared" si="167"/>
        <v xml:space="preserve">50  - 50 </v>
      </c>
      <c r="G1403" s="213">
        <v>12427.401096936406</v>
      </c>
      <c r="H1403" s="213">
        <v>0</v>
      </c>
      <c r="I1403" s="213">
        <v>12427.401096936404</v>
      </c>
      <c r="J1403" s="215"/>
      <c r="K1403" s="215"/>
      <c r="L1403" s="215"/>
      <c r="M1403" s="215"/>
      <c r="N1403" s="215"/>
      <c r="O1403" s="215"/>
      <c r="P1403" s="215"/>
      <c r="Q1403" s="215"/>
      <c r="R1403" s="215"/>
      <c r="S1403" s="213"/>
      <c r="T1403" s="212">
        <f>VLOOKUP(A1403,'Groupe de branches'!$Z$27:$AM$86,14,FALSE)</f>
        <v>0</v>
      </c>
      <c r="U1403" s="212">
        <f>VLOOKUP(D1403,'Groupe de branches'!$Z$27:$AM$86,14,FALSE)</f>
        <v>0</v>
      </c>
      <c r="V1403" s="212">
        <v>2019</v>
      </c>
      <c r="W1403" s="212">
        <f>VLOOKUP(D1403,'Table corresp.'!$M$4:$S$63,7,FALSE)</f>
        <v>0</v>
      </c>
      <c r="X1403" s="228">
        <f>IFERROR(G1403/SUMIFS('Comp2016-2017 (3)'!$I$5:$I$289,'Comp2016-2017 (3)'!$A$5:$A$289,A1403,'Comp2016-2017 (3)'!$R$5:$R$289,V1403),0)</f>
        <v>5.6736408591404164E-2</v>
      </c>
      <c r="Y1403" s="214" t="e">
        <f>IF(RIGHT(F1403,3)="Exp",VLOOKUP(F1403,#REF!,2,FALSE),VLOOKUP(F1403,#REF!,9,FALSE))</f>
        <v>#REF!</v>
      </c>
      <c r="Z1403" s="225" t="str">
        <f t="shared" si="163"/>
        <v/>
      </c>
      <c r="AA1403" s="225" t="e">
        <f t="shared" si="164"/>
        <v>#VALUE!</v>
      </c>
      <c r="AB1403" s="222">
        <f>IFERROR(SUMIFS('Comp2016-2017 (3)'!$G$5:$G$289,'Comp2016-2017 (3)'!$A$5:$A$289,A1403,'Comp2016-2017 (3)'!$R$5:$R$289,V1403)*AA1403/SUMIFS($AA$4:$AA$1858,$A$4:$A$1858,A1403,$V$4:$V$1858,V1403),0)</f>
        <v>0</v>
      </c>
      <c r="AC1403" s="229"/>
      <c r="AD1403" s="229"/>
      <c r="AE1403" s="229"/>
      <c r="AF1403" s="229"/>
      <c r="AG1403" s="229"/>
      <c r="AH1403" s="229"/>
      <c r="AI1403" s="229"/>
      <c r="AJ1403" s="229">
        <f>AB1403</f>
        <v>0</v>
      </c>
      <c r="AK1403" s="222">
        <f t="shared" si="165"/>
        <v>0</v>
      </c>
      <c r="AL1403" s="230" t="str">
        <f t="shared" si="166"/>
        <v>remplir à la main</v>
      </c>
      <c r="AM1403" s="212" t="str">
        <f>VLOOKUP(A1403,'Table corresp.'!$M$4:$U$63,8,FALSE)</f>
        <v>Bois recyclés</v>
      </c>
      <c r="AN1403" s="212" t="str">
        <f>VLOOKUP(D1403,'Table corresp.'!$M$4:$U$63,9,FALSE)</f>
        <v>Production intermédiaire</v>
      </c>
    </row>
    <row r="1404" spans="1:40" x14ac:dyDescent="0.25">
      <c r="A1404" t="s">
        <v>102</v>
      </c>
      <c r="B1404" t="str">
        <f>VLOOKUP(LEFT(A1404,3),'Table corresp.'!$A$4:$D$63,3,FALSE)</f>
        <v>Bois recyclés</v>
      </c>
      <c r="C1404" t="str">
        <f>VLOOKUP(A1404,'Table corresp.'!$M$4:$P$63,4,FALSE)</f>
        <v>Production et transformation de produits bois</v>
      </c>
      <c r="D1404" t="s">
        <v>54</v>
      </c>
      <c r="E1404" t="str">
        <f>VLOOKUP(LEFT(D1404,3),'Table corresp.'!$A$4:$D$63,4,FALSE)</f>
        <v>Consommation finale</v>
      </c>
      <c r="F1404" t="str">
        <f t="shared" si="167"/>
        <v>50  - Con</v>
      </c>
      <c r="G1404" s="213">
        <v>80090.709142255946</v>
      </c>
      <c r="H1404" s="213">
        <v>0</v>
      </c>
      <c r="I1404" s="213">
        <v>80090.709142255946</v>
      </c>
      <c r="J1404" s="215"/>
      <c r="K1404" s="215"/>
      <c r="L1404" s="215"/>
      <c r="M1404" s="215"/>
      <c r="N1404" s="215"/>
      <c r="O1404" s="215"/>
      <c r="P1404" s="215">
        <v>2631.8387196460276</v>
      </c>
      <c r="Q1404" s="215">
        <v>0</v>
      </c>
      <c r="R1404" s="215">
        <v>2631.8387196460276</v>
      </c>
      <c r="S1404" s="213"/>
      <c r="T1404" s="212">
        <f>VLOOKUP(A1404,'Groupe de branches'!$Z$27:$AM$86,14,FALSE)</f>
        <v>0</v>
      </c>
      <c r="U1404" s="212">
        <f>VLOOKUP(D1404,'Groupe de branches'!$Z$27:$AM$86,14,FALSE)</f>
        <v>0</v>
      </c>
      <c r="V1404" s="212">
        <v>2019</v>
      </c>
      <c r="W1404" s="212" t="str">
        <f>VLOOKUP(D1404,'Table corresp.'!$M$4:$S$63,7,FALSE)</f>
        <v>Consommation finale</v>
      </c>
      <c r="X1404" s="228">
        <f>IFERROR(G1404/SUMIFS('Comp2016-2017 (3)'!$I$5:$I$289,'Comp2016-2017 (3)'!$A$5:$A$289,A1404,'Comp2016-2017 (3)'!$R$5:$R$289,V1404),0)</f>
        <v>0.3656483896211043</v>
      </c>
      <c r="Y1404" s="214" t="e">
        <f>IF(RIGHT(F1404,3)="Exp",VLOOKUP(F1404,#REF!,2,FALSE),VLOOKUP(F1404,#REF!,9,FALSE))</f>
        <v>#REF!</v>
      </c>
      <c r="Z1404" s="225" t="str">
        <f t="shared" si="163"/>
        <v/>
      </c>
      <c r="AA1404" s="225" t="e">
        <f t="shared" si="164"/>
        <v>#VALUE!</v>
      </c>
      <c r="AB1404" s="222">
        <f>IFERROR(SUMIFS('Comp2016-2017 (3)'!$G$5:$G$289,'Comp2016-2017 (3)'!$A$5:$A$289,A1404,'Comp2016-2017 (3)'!$R$5:$R$289,V1404)*AA1404/SUMIFS($AA$4:$AA$1858,$A$4:$A$1858,A1404,$V$4:$V$1858,V1404),0)</f>
        <v>0</v>
      </c>
      <c r="AC1404" s="222" t="str">
        <f>IF($W1404=AC$3,$AB1404,IF(NOT($W1404=0),"",SUMIFS('Val-Vol (2)'!AC$4:AC$1858,'Val-Vol (2)'!$A$4:$A$1858,$D1404,'Val-Vol (2)'!$V$4:$V$1858,$V1404)/SUMIFS('Comp2016-2017 (3)'!$G$5:$G$289,'Comp2016-2017 (3)'!$A$5:$A$289,$D1404,'Comp2016-2017 (3)'!$R$5:$R$289,$V1404)*$AB1404))</f>
        <v/>
      </c>
      <c r="AD1404" s="222" t="str">
        <f>IF($W1404=AD$3,$AB1404,IF(NOT($W1404=0),"",SUMIFS('Val-Vol (2)'!AD$4:AD$1858,'Val-Vol (2)'!$A$4:$A$1858,$D1404,'Val-Vol (2)'!$V$4:$V$1858,$V1404)/SUMIFS('Comp2016-2017 (3)'!$G$5:$G$289,'Comp2016-2017 (3)'!$A$5:$A$289,$D1404,'Comp2016-2017 (3)'!$R$5:$R$289,$V1404)*$AB1404))</f>
        <v/>
      </c>
      <c r="AE1404" s="222" t="str">
        <f>IF($W1404=AE$3,$AB1404,IF(NOT($W1404=0),"",SUMIFS('Val-Vol (2)'!AE$4:AE$1858,'Val-Vol (2)'!$A$4:$A$1858,$D1404,'Val-Vol (2)'!$V$4:$V$1858,$V1404)/SUMIFS('Comp2016-2017 (3)'!$G$5:$G$289,'Comp2016-2017 (3)'!$A$5:$A$289,$D1404,'Comp2016-2017 (3)'!$R$5:$R$289,$V1404)*$AB1404))</f>
        <v/>
      </c>
      <c r="AF1404" s="222" t="str">
        <f>IF($W1404=AF$3,$AB1404,IF(NOT($W1404=0),"",SUMIFS('Val-Vol (2)'!AF$4:AF$1858,'Val-Vol (2)'!$A$4:$A$1858,$D1404,'Val-Vol (2)'!$V$4:$V$1858,$V1404)/SUMIFS('Comp2016-2017 (3)'!$G$5:$G$289,'Comp2016-2017 (3)'!$A$5:$A$289,$D1404,'Comp2016-2017 (3)'!$R$5:$R$289,$V1404)*$AB1404))</f>
        <v/>
      </c>
      <c r="AG1404" s="222" t="str">
        <f>IF($W1404=AG$3,$AB1404,IF(NOT($W1404=0),"",SUMIFS('Val-Vol (2)'!AG$4:AG$1858,'Val-Vol (2)'!$A$4:$A$1858,$D1404,'Val-Vol (2)'!$V$4:$V$1858,$V1404)/SUMIFS('Comp2016-2017 (3)'!$G$5:$G$289,'Comp2016-2017 (3)'!$A$5:$A$289,$D1404,'Comp2016-2017 (3)'!$R$5:$R$289,$V1404)*$AB1404))</f>
        <v/>
      </c>
      <c r="AH1404" s="222" t="str">
        <f>IF($W1404=AH$3,$AB1404,IF(NOT($W1404=0),"",SUMIFS('Val-Vol (2)'!AH$4:AH$1858,'Val-Vol (2)'!$A$4:$A$1858,$D1404,'Val-Vol (2)'!$V$4:$V$1858,$V1404)/SUMIFS('Comp2016-2017 (3)'!$G$5:$G$289,'Comp2016-2017 (3)'!$A$5:$A$289,$D1404,'Comp2016-2017 (3)'!$R$5:$R$289,$V1404)*$AB1404))</f>
        <v/>
      </c>
      <c r="AI1404" s="222" t="str">
        <f>IF($W1404=AI$3,$AB1404,IF(NOT($W1404=0),"",SUMIFS('Val-Vol (2)'!AI$4:AI$1858,'Val-Vol (2)'!$A$4:$A$1858,$D1404,'Val-Vol (2)'!$V$4:$V$1858,$V1404)/SUMIFS('Comp2016-2017 (3)'!$G$5:$G$289,'Comp2016-2017 (3)'!$A$5:$A$289,$D1404,'Comp2016-2017 (3)'!$R$5:$R$289,$V1404)*$AB1404))</f>
        <v/>
      </c>
      <c r="AJ1404" s="222">
        <f>IF($W1404=AJ$3,$AB1404,IF(NOT($W1404=0),"",SUMIFS('Val-Vol (2)'!AJ$4:AJ$1858,'Val-Vol (2)'!$A$4:$A$1858,$D1404,'Val-Vol (2)'!$V$4:$V$1858,$V1404)/SUMIFS('Comp2016-2017 (3)'!$G$5:$G$289,'Comp2016-2017 (3)'!$A$5:$A$289,$D1404,'Comp2016-2017 (3)'!$R$5:$R$289,$V1404)*$AB1404))</f>
        <v>0</v>
      </c>
      <c r="AK1404" s="222">
        <f t="shared" si="165"/>
        <v>0</v>
      </c>
      <c r="AL1404" s="212" t="str">
        <f t="shared" si="166"/>
        <v/>
      </c>
      <c r="AM1404" s="212" t="str">
        <f>VLOOKUP(A1404,'Table corresp.'!$M$4:$U$63,8,FALSE)</f>
        <v>Bois recyclés</v>
      </c>
      <c r="AN1404" s="212" t="str">
        <f>VLOOKUP(D1404,'Table corresp.'!$M$4:$U$63,9,FALSE)</f>
        <v>Consommation finale française</v>
      </c>
    </row>
    <row r="1405" spans="1:40" x14ac:dyDescent="0.25">
      <c r="A1405" t="s">
        <v>102</v>
      </c>
      <c r="B1405" t="str">
        <f>VLOOKUP(LEFT(A1405,3),'Table corresp.'!$A$4:$D$63,3,FALSE)</f>
        <v>Bois recyclés</v>
      </c>
      <c r="C1405" t="str">
        <f>VLOOKUP(A1405,'Table corresp.'!$M$4:$P$63,4,FALSE)</f>
        <v>Production et transformation de produits bois</v>
      </c>
      <c r="D1405" t="s">
        <v>53</v>
      </c>
      <c r="E1405" t="str">
        <f>VLOOKUP(LEFT(D1405,3),'Table corresp.'!$A$4:$D$63,4,FALSE)</f>
        <v>Exportation</v>
      </c>
      <c r="F1405" t="str">
        <f t="shared" si="167"/>
        <v>50  - Exp</v>
      </c>
      <c r="G1405" s="213">
        <v>50374.999999999993</v>
      </c>
      <c r="H1405" s="213">
        <v>0</v>
      </c>
      <c r="I1405" s="213">
        <v>50375</v>
      </c>
      <c r="J1405" s="215"/>
      <c r="K1405" s="215"/>
      <c r="L1405" s="215"/>
      <c r="M1405" s="215"/>
      <c r="N1405" s="215"/>
      <c r="O1405" s="215"/>
      <c r="P1405" s="215">
        <v>1254.7124469122612</v>
      </c>
      <c r="Q1405" s="215">
        <v>0</v>
      </c>
      <c r="R1405" s="215">
        <v>1254.7124469122612</v>
      </c>
      <c r="S1405" s="213" t="s">
        <v>198</v>
      </c>
      <c r="T1405" s="212">
        <f>VLOOKUP(A1405,'Groupe de branches'!$Z$27:$AM$86,14,FALSE)</f>
        <v>0</v>
      </c>
      <c r="U1405" s="212">
        <f>VLOOKUP(D1405,'Groupe de branches'!$Z$27:$AM$86,14,FALSE)</f>
        <v>0</v>
      </c>
      <c r="V1405" s="212">
        <v>2019</v>
      </c>
      <c r="W1405" s="212" t="str">
        <f>VLOOKUP(D1405,'Table corresp.'!$M$4:$S$63,7,FALSE)</f>
        <v>Exportation</v>
      </c>
      <c r="X1405" s="228">
        <f>IFERROR(G1405/SUMIFS('Comp2016-2017 (3)'!$I$5:$I$289,'Comp2016-2017 (3)'!$A$5:$A$289,A1405,'Comp2016-2017 (3)'!$R$5:$R$289,V1405),0)</f>
        <v>0.22998345032064349</v>
      </c>
      <c r="Y1405" s="214" t="e">
        <f>IF(RIGHT(F1405,3)="Exp",VLOOKUP(F1405,#REF!,2,FALSE),VLOOKUP(F1405,#REF!,9,FALSE))</f>
        <v>#REF!</v>
      </c>
      <c r="Z1405" s="225">
        <f>IFERROR(Y1405/SUMIFS($Y$4:$Y$1858,$V$4:$V$1858,V1405,$A$4:$A$1858,A1405),0)</f>
        <v>0</v>
      </c>
      <c r="AA1405" s="225">
        <f t="shared" si="164"/>
        <v>0</v>
      </c>
      <c r="AB1405" s="222">
        <f>IFERROR(SUMIFS('Comp2016-2017 (3)'!$G$5:$G$289,'Comp2016-2017 (3)'!$A$5:$A$289,A1405,'Comp2016-2017 (3)'!$R$5:$R$289,V1405)*AA1405/SUMIFS($AA$4:$AA$1858,$A$4:$A$1858,A1405,$V$4:$V$1858,V1405),0)</f>
        <v>0</v>
      </c>
      <c r="AC1405" s="222">
        <f>IF($W1405=AC$3,$AB1405,IF(NOT($W1405=0),"",SUMIFS('Val-Vol (2)'!AC$4:AC$1858,'Val-Vol (2)'!$A$4:$A$1858,$D1405,'Val-Vol (2)'!$V$4:$V$1858,$V1405)/SUMIFS('Comp2016-2017 (3)'!$G$5:$G$289,'Comp2016-2017 (3)'!$A$5:$A$289,$D1405,'Comp2016-2017 (3)'!$R$5:$R$289,$V1405)*$AB1405))</f>
        <v>0</v>
      </c>
      <c r="AD1405" s="222" t="str">
        <f>IF($W1405=AD$3,$AB1405,IF(NOT($W1405=0),"",SUMIFS('Val-Vol (2)'!AD$4:AD$1858,'Val-Vol (2)'!$A$4:$A$1858,$D1405,'Val-Vol (2)'!$V$4:$V$1858,$V1405)/SUMIFS('Comp2016-2017 (3)'!$G$5:$G$289,'Comp2016-2017 (3)'!$A$5:$A$289,$D1405,'Comp2016-2017 (3)'!$R$5:$R$289,$V1405)*$AB1405))</f>
        <v/>
      </c>
      <c r="AE1405" s="222" t="str">
        <f>IF($W1405=AE$3,$AB1405,IF(NOT($W1405=0),"",SUMIFS('Val-Vol (2)'!AE$4:AE$1858,'Val-Vol (2)'!$A$4:$A$1858,$D1405,'Val-Vol (2)'!$V$4:$V$1858,$V1405)/SUMIFS('Comp2016-2017 (3)'!$G$5:$G$289,'Comp2016-2017 (3)'!$A$5:$A$289,$D1405,'Comp2016-2017 (3)'!$R$5:$R$289,$V1405)*$AB1405))</f>
        <v/>
      </c>
      <c r="AF1405" s="222" t="str">
        <f>IF($W1405=AF$3,$AB1405,IF(NOT($W1405=0),"",SUMIFS('Val-Vol (2)'!AF$4:AF$1858,'Val-Vol (2)'!$A$4:$A$1858,$D1405,'Val-Vol (2)'!$V$4:$V$1858,$V1405)/SUMIFS('Comp2016-2017 (3)'!$G$5:$G$289,'Comp2016-2017 (3)'!$A$5:$A$289,$D1405,'Comp2016-2017 (3)'!$R$5:$R$289,$V1405)*$AB1405))</f>
        <v/>
      </c>
      <c r="AG1405" s="222" t="str">
        <f>IF($W1405=AG$3,$AB1405,IF(NOT($W1405=0),"",SUMIFS('Val-Vol (2)'!AG$4:AG$1858,'Val-Vol (2)'!$A$4:$A$1858,$D1405,'Val-Vol (2)'!$V$4:$V$1858,$V1405)/SUMIFS('Comp2016-2017 (3)'!$G$5:$G$289,'Comp2016-2017 (3)'!$A$5:$A$289,$D1405,'Comp2016-2017 (3)'!$R$5:$R$289,$V1405)*$AB1405))</f>
        <v/>
      </c>
      <c r="AH1405" s="222" t="str">
        <f>IF($W1405=AH$3,$AB1405,IF(NOT($W1405=0),"",SUMIFS('Val-Vol (2)'!AH$4:AH$1858,'Val-Vol (2)'!$A$4:$A$1858,$D1405,'Val-Vol (2)'!$V$4:$V$1858,$V1405)/SUMIFS('Comp2016-2017 (3)'!$G$5:$G$289,'Comp2016-2017 (3)'!$A$5:$A$289,$D1405,'Comp2016-2017 (3)'!$R$5:$R$289,$V1405)*$AB1405))</f>
        <v/>
      </c>
      <c r="AI1405" s="222" t="str">
        <f>IF($W1405=AI$3,$AB1405,IF(NOT($W1405=0),"",SUMIFS('Val-Vol (2)'!AI$4:AI$1858,'Val-Vol (2)'!$A$4:$A$1858,$D1405,'Val-Vol (2)'!$V$4:$V$1858,$V1405)/SUMIFS('Comp2016-2017 (3)'!$G$5:$G$289,'Comp2016-2017 (3)'!$A$5:$A$289,$D1405,'Comp2016-2017 (3)'!$R$5:$R$289,$V1405)*$AB1405))</f>
        <v/>
      </c>
      <c r="AJ1405" s="222" t="str">
        <f>IF($W1405=AJ$3,$AB1405,IF(NOT($W1405=0),"",SUMIFS('Val-Vol (2)'!AJ$4:AJ$1858,'Val-Vol (2)'!$A$4:$A$1858,$D1405,'Val-Vol (2)'!$V$4:$V$1858,$V1405)/SUMIFS('Comp2016-2017 (3)'!$G$5:$G$289,'Comp2016-2017 (3)'!$A$5:$A$289,$D1405,'Comp2016-2017 (3)'!$R$5:$R$289,$V1405)*$AB1405))</f>
        <v/>
      </c>
      <c r="AK1405" s="222">
        <f t="shared" si="165"/>
        <v>0</v>
      </c>
      <c r="AL1405" s="212" t="str">
        <f t="shared" si="166"/>
        <v/>
      </c>
      <c r="AM1405" s="212" t="str">
        <f>VLOOKUP(A1405,'Table corresp.'!$M$4:$U$63,8,FALSE)</f>
        <v>Bois recyclés</v>
      </c>
      <c r="AN1405" s="212" t="str">
        <f>VLOOKUP(D1405,'Table corresp.'!$M$4:$U$63,9,FALSE)</f>
        <v>Exportation</v>
      </c>
    </row>
    <row r="1406" spans="1:40" x14ac:dyDescent="0.25">
      <c r="A1406" t="s">
        <v>103</v>
      </c>
      <c r="B1406" t="str">
        <f>VLOOKUP(LEFT(A1406,3),'Table corresp.'!$A$4:$D$63,3,FALSE)</f>
        <v>Transformation</v>
      </c>
      <c r="C1406" t="str">
        <f>VLOOKUP(A1406,'Table corresp.'!$M$4:$P$63,4,FALSE)</f>
        <v>Commerces et services</v>
      </c>
      <c r="D1406" t="s">
        <v>54</v>
      </c>
      <c r="E1406" t="str">
        <f>VLOOKUP(LEFT(D1406,3),'Table corresp.'!$A$4:$D$63,4,FALSE)</f>
        <v>Consommation finale</v>
      </c>
      <c r="F1406" t="str">
        <f t="shared" si="167"/>
        <v>51  - Con</v>
      </c>
      <c r="G1406" s="213">
        <v>2140995.0000000005</v>
      </c>
      <c r="H1406" s="213">
        <v>0</v>
      </c>
      <c r="I1406" s="213">
        <v>2140995.0000000005</v>
      </c>
      <c r="J1406" s="215"/>
      <c r="K1406" s="215"/>
      <c r="L1406" s="215"/>
      <c r="M1406" s="215"/>
      <c r="N1406" s="215"/>
      <c r="O1406" s="215"/>
      <c r="P1406" s="215"/>
      <c r="Q1406" s="215"/>
      <c r="R1406" s="215"/>
      <c r="S1406" s="213"/>
      <c r="T1406" s="212">
        <f>VLOOKUP(A1406,'Groupe de branches'!$Z$27:$AM$86,14,FALSE)</f>
        <v>0</v>
      </c>
      <c r="U1406" s="212">
        <f>VLOOKUP(D1406,'Groupe de branches'!$Z$27:$AM$86,14,FALSE)</f>
        <v>0</v>
      </c>
      <c r="V1406" s="212">
        <v>2019</v>
      </c>
      <c r="W1406" s="212" t="str">
        <f>VLOOKUP(D1406,'Table corresp.'!$M$4:$S$63,7,FALSE)</f>
        <v>Consommation finale</v>
      </c>
      <c r="X1406" s="228">
        <f>IFERROR(G1406/SUMIFS('Comp2016-2017 (3)'!$I$5:$I$289,'Comp2016-2017 (3)'!$A$5:$A$289,A1406,'Comp2016-2017 (3)'!$R$5:$R$289,V1406),0)</f>
        <v>1</v>
      </c>
      <c r="Y1406" s="214">
        <f>IFERROR(IF(RIGHT(F1406,3)="Exp",VLOOKUP(F1406,#REF!,2,FALSE),VLOOKUP(F1406,#REF!,9,FALSE)),1)</f>
        <v>1</v>
      </c>
      <c r="Z1406" s="225">
        <f>IFERROR(Y1406/SUMIFS($Y$4:$Y$1858,$V$4:$V$1858,V1406,$A$4:$A$1858,A1406),0)</f>
        <v>1</v>
      </c>
      <c r="AA1406" s="225">
        <f t="shared" si="164"/>
        <v>1</v>
      </c>
      <c r="AB1406" s="222">
        <f>IFERROR(SUMIFS('Comp2016-2017 (3)'!$G$5:$G$289,'Comp2016-2017 (3)'!$A$5:$A$289,A1406,'Comp2016-2017 (3)'!$R$5:$R$289,V1406)*AA1406/SUMIFS($AA$4:$AA$1858,$A$4:$A$1858,A1406,$V$4:$V$1858,V1406),0)</f>
        <v>276576.11486781592</v>
      </c>
      <c r="AC1406" s="222" t="str">
        <f>IF($W1406=AC$3,$AB1406,IF(NOT($W1406=0),"",SUMIFS('Val-Vol (2)'!AC$4:AC$1858,'Val-Vol (2)'!$A$4:$A$1858,$D1406,'Val-Vol (2)'!$V$4:$V$1858,$V1406)/SUMIFS('Comp2016-2017 (3)'!$G$5:$G$289,'Comp2016-2017 (3)'!$A$5:$A$289,$D1406,'Comp2016-2017 (3)'!$R$5:$R$289,$V1406)*$AB1406))</f>
        <v/>
      </c>
      <c r="AD1406" s="222" t="str">
        <f>IF($W1406=AD$3,$AB1406,IF(NOT($W1406=0),"",SUMIFS('Val-Vol (2)'!AD$4:AD$1858,'Val-Vol (2)'!$A$4:$A$1858,$D1406,'Val-Vol (2)'!$V$4:$V$1858,$V1406)/SUMIFS('Comp2016-2017 (3)'!$G$5:$G$289,'Comp2016-2017 (3)'!$A$5:$A$289,$D1406,'Comp2016-2017 (3)'!$R$5:$R$289,$V1406)*$AB1406))</f>
        <v/>
      </c>
      <c r="AE1406" s="222" t="str">
        <f>IF($W1406=AE$3,$AB1406,IF(NOT($W1406=0),"",SUMIFS('Val-Vol (2)'!AE$4:AE$1858,'Val-Vol (2)'!$A$4:$A$1858,$D1406,'Val-Vol (2)'!$V$4:$V$1858,$V1406)/SUMIFS('Comp2016-2017 (3)'!$G$5:$G$289,'Comp2016-2017 (3)'!$A$5:$A$289,$D1406,'Comp2016-2017 (3)'!$R$5:$R$289,$V1406)*$AB1406))</f>
        <v/>
      </c>
      <c r="AF1406" s="222" t="str">
        <f>IF($W1406=AF$3,$AB1406,IF(NOT($W1406=0),"",SUMIFS('Val-Vol (2)'!AF$4:AF$1858,'Val-Vol (2)'!$A$4:$A$1858,$D1406,'Val-Vol (2)'!$V$4:$V$1858,$V1406)/SUMIFS('Comp2016-2017 (3)'!$G$5:$G$289,'Comp2016-2017 (3)'!$A$5:$A$289,$D1406,'Comp2016-2017 (3)'!$R$5:$R$289,$V1406)*$AB1406))</f>
        <v/>
      </c>
      <c r="AG1406" s="222" t="str">
        <f>IF($W1406=AG$3,$AB1406,IF(NOT($W1406=0),"",SUMIFS('Val-Vol (2)'!AG$4:AG$1858,'Val-Vol (2)'!$A$4:$A$1858,$D1406,'Val-Vol (2)'!$V$4:$V$1858,$V1406)/SUMIFS('Comp2016-2017 (3)'!$G$5:$G$289,'Comp2016-2017 (3)'!$A$5:$A$289,$D1406,'Comp2016-2017 (3)'!$R$5:$R$289,$V1406)*$AB1406))</f>
        <v/>
      </c>
      <c r="AH1406" s="222" t="str">
        <f>IF($W1406=AH$3,$AB1406,IF(NOT($W1406=0),"",SUMIFS('Val-Vol (2)'!AH$4:AH$1858,'Val-Vol (2)'!$A$4:$A$1858,$D1406,'Val-Vol (2)'!$V$4:$V$1858,$V1406)/SUMIFS('Comp2016-2017 (3)'!$G$5:$G$289,'Comp2016-2017 (3)'!$A$5:$A$289,$D1406,'Comp2016-2017 (3)'!$R$5:$R$289,$V1406)*$AB1406))</f>
        <v/>
      </c>
      <c r="AI1406" s="222" t="str">
        <f>IF($W1406=AI$3,$AB1406,IF(NOT($W1406=0),"",SUMIFS('Val-Vol (2)'!AI$4:AI$1858,'Val-Vol (2)'!$A$4:$A$1858,$D1406,'Val-Vol (2)'!$V$4:$V$1858,$V1406)/SUMIFS('Comp2016-2017 (3)'!$G$5:$G$289,'Comp2016-2017 (3)'!$A$5:$A$289,$D1406,'Comp2016-2017 (3)'!$R$5:$R$289,$V1406)*$AB1406))</f>
        <v/>
      </c>
      <c r="AJ1406" s="222">
        <f>IF($W1406=AJ$3,$AB1406,IF(NOT($W1406=0),"",SUMIFS('Val-Vol (2)'!AJ$4:AJ$1858,'Val-Vol (2)'!$A$4:$A$1858,$D1406,'Val-Vol (2)'!$V$4:$V$1858,$V1406)/SUMIFS('Comp2016-2017 (3)'!$G$5:$G$289,'Comp2016-2017 (3)'!$A$5:$A$289,$D1406,'Comp2016-2017 (3)'!$R$5:$R$289,$V1406)*$AB1406))</f>
        <v>276576.11486781592</v>
      </c>
      <c r="AK1406" s="222">
        <f t="shared" si="165"/>
        <v>0</v>
      </c>
      <c r="AL1406" s="212" t="str">
        <f t="shared" si="166"/>
        <v/>
      </c>
      <c r="AM1406" s="212" t="str">
        <f>VLOOKUP(A1406,'Table corresp.'!$M$4:$U$63,8,FALSE)</f>
        <v>Production finale</v>
      </c>
      <c r="AN1406" s="212" t="str">
        <f>VLOOKUP(D1406,'Table corresp.'!$M$4:$U$63,9,FALSE)</f>
        <v>Consommation finale française</v>
      </c>
    </row>
    <row r="1407" spans="1:40" x14ac:dyDescent="0.25">
      <c r="A1407" t="s">
        <v>19</v>
      </c>
      <c r="B1407" t="str">
        <f>VLOOKUP(LEFT(A1407,3),'Table corresp.'!$A$4:$D$63,3,FALSE)</f>
        <v>Transformation</v>
      </c>
      <c r="C1407" t="str">
        <f>VLOOKUP(A1407,'Table corresp.'!$M$4:$P$63,4,FALSE)</f>
        <v>Mise en oeuvre de produits bois</v>
      </c>
      <c r="D1407" t="s">
        <v>54</v>
      </c>
      <c r="E1407" t="str">
        <f>VLOOKUP(LEFT(D1407,3),'Table corresp.'!$A$4:$D$63,4,FALSE)</f>
        <v>Consommation finale</v>
      </c>
      <c r="F1407" t="str">
        <f t="shared" si="167"/>
        <v>52  - Con</v>
      </c>
      <c r="G1407" s="213">
        <v>548080.11481358414</v>
      </c>
      <c r="H1407" s="213">
        <v>0</v>
      </c>
      <c r="I1407" s="213">
        <v>548080.11481358414</v>
      </c>
      <c r="J1407" s="215">
        <v>903.9541896362814</v>
      </c>
      <c r="K1407" s="215">
        <v>0</v>
      </c>
      <c r="L1407" s="215">
        <v>903.9541896362814</v>
      </c>
      <c r="M1407" s="215">
        <v>14.967171846515637</v>
      </c>
      <c r="N1407" s="215">
        <v>0</v>
      </c>
      <c r="O1407" s="215">
        <v>14.967171846515637</v>
      </c>
      <c r="P1407" s="215">
        <v>6.1988619787380532</v>
      </c>
      <c r="Q1407" s="215">
        <v>0</v>
      </c>
      <c r="R1407" s="215">
        <v>6.1988619787380532</v>
      </c>
      <c r="S1407" s="213" t="s">
        <v>192</v>
      </c>
      <c r="T1407" s="212">
        <f>VLOOKUP(A1407,'Groupe de branches'!$Z$27:$AM$86,14,FALSE)</f>
        <v>0</v>
      </c>
      <c r="U1407" s="212">
        <f>VLOOKUP(D1407,'Groupe de branches'!$Z$27:$AM$86,14,FALSE)</f>
        <v>0</v>
      </c>
      <c r="V1407" s="212">
        <v>2019</v>
      </c>
      <c r="W1407" s="212" t="str">
        <f>VLOOKUP(D1407,'Table corresp.'!$M$4:$S$63,7,FALSE)</f>
        <v>Consommation finale</v>
      </c>
      <c r="X1407" s="228">
        <f>IFERROR(G1407/SUMIFS('Comp2016-2017 (3)'!$I$5:$I$289,'Comp2016-2017 (3)'!$A$5:$A$289,A1407,'Comp2016-2017 (3)'!$R$5:$R$289,V1407),0)</f>
        <v>1.0000000027613416</v>
      </c>
      <c r="Y1407" s="214">
        <f>IFERROR(IF(RIGHT(F1407,3)="Exp",VLOOKUP(F1407,#REF!,2,FALSE),VLOOKUP(F1407,#REF!,9,FALSE)),1)</f>
        <v>1</v>
      </c>
      <c r="Z1407" s="225">
        <f t="shared" ref="Z1407:Z1470" si="168">IFERROR(Y1407/SUMIFS($Y$4:$Y$1858,$V$4:$V$1858,V1407,$A$4:$A$1858,A1407),0)</f>
        <v>1</v>
      </c>
      <c r="AA1407" s="225">
        <f t="shared" si="164"/>
        <v>1.0000000027613416</v>
      </c>
      <c r="AB1407" s="222">
        <f>IFERROR(SUMIFS('Comp2016-2017 (3)'!$G$5:$G$289,'Comp2016-2017 (3)'!$A$5:$A$289,A1407,'Comp2016-2017 (3)'!$R$5:$R$289,V1407)*AA1407/SUMIFS($AA$4:$AA$1858,$A$4:$A$1858,A1407,$V$4:$V$1858,V1407),0)</f>
        <v>162835.40353666581</v>
      </c>
      <c r="AC1407" s="222" t="str">
        <f>IF($W1407=AC$3,$AB1407,IF(NOT($W1407=0),"",SUMIFS('Val-Vol (2)'!AC$4:AC$1858,'Val-Vol (2)'!$A$4:$A$1858,$D1407,'Val-Vol (2)'!$V$4:$V$1858,$V1407)/SUMIFS('Comp2016-2017 (3)'!$G$5:$G$289,'Comp2016-2017 (3)'!$A$5:$A$289,$D1407,'Comp2016-2017 (3)'!$R$5:$R$289,$V1407)*$AB1407))</f>
        <v/>
      </c>
      <c r="AD1407" s="222" t="str">
        <f>IF($W1407=AD$3,$AB1407,IF(NOT($W1407=0),"",SUMIFS('Val-Vol (2)'!AD$4:AD$1858,'Val-Vol (2)'!$A$4:$A$1858,$D1407,'Val-Vol (2)'!$V$4:$V$1858,$V1407)/SUMIFS('Comp2016-2017 (3)'!$G$5:$G$289,'Comp2016-2017 (3)'!$A$5:$A$289,$D1407,'Comp2016-2017 (3)'!$R$5:$R$289,$V1407)*$AB1407))</f>
        <v/>
      </c>
      <c r="AE1407" s="222" t="str">
        <f>IF($W1407=AE$3,$AB1407,IF(NOT($W1407=0),"",SUMIFS('Val-Vol (2)'!AE$4:AE$1858,'Val-Vol (2)'!$A$4:$A$1858,$D1407,'Val-Vol (2)'!$V$4:$V$1858,$V1407)/SUMIFS('Comp2016-2017 (3)'!$G$5:$G$289,'Comp2016-2017 (3)'!$A$5:$A$289,$D1407,'Comp2016-2017 (3)'!$R$5:$R$289,$V1407)*$AB1407))</f>
        <v/>
      </c>
      <c r="AF1407" s="222" t="str">
        <f>IF($W1407=AF$3,$AB1407,IF(NOT($W1407=0),"",SUMIFS('Val-Vol (2)'!AF$4:AF$1858,'Val-Vol (2)'!$A$4:$A$1858,$D1407,'Val-Vol (2)'!$V$4:$V$1858,$V1407)/SUMIFS('Comp2016-2017 (3)'!$G$5:$G$289,'Comp2016-2017 (3)'!$A$5:$A$289,$D1407,'Comp2016-2017 (3)'!$R$5:$R$289,$V1407)*$AB1407))</f>
        <v/>
      </c>
      <c r="AG1407" s="222" t="str">
        <f>IF($W1407=AG$3,$AB1407,IF(NOT($W1407=0),"",SUMIFS('Val-Vol (2)'!AG$4:AG$1858,'Val-Vol (2)'!$A$4:$A$1858,$D1407,'Val-Vol (2)'!$V$4:$V$1858,$V1407)/SUMIFS('Comp2016-2017 (3)'!$G$5:$G$289,'Comp2016-2017 (3)'!$A$5:$A$289,$D1407,'Comp2016-2017 (3)'!$R$5:$R$289,$V1407)*$AB1407))</f>
        <v/>
      </c>
      <c r="AH1407" s="222" t="str">
        <f>IF($W1407=AH$3,$AB1407,IF(NOT($W1407=0),"",SUMIFS('Val-Vol (2)'!AH$4:AH$1858,'Val-Vol (2)'!$A$4:$A$1858,$D1407,'Val-Vol (2)'!$V$4:$V$1858,$V1407)/SUMIFS('Comp2016-2017 (3)'!$G$5:$G$289,'Comp2016-2017 (3)'!$A$5:$A$289,$D1407,'Comp2016-2017 (3)'!$R$5:$R$289,$V1407)*$AB1407))</f>
        <v/>
      </c>
      <c r="AI1407" s="222" t="str">
        <f>IF($W1407=AI$3,$AB1407,IF(NOT($W1407=0),"",SUMIFS('Val-Vol (2)'!AI$4:AI$1858,'Val-Vol (2)'!$A$4:$A$1858,$D1407,'Val-Vol (2)'!$V$4:$V$1858,$V1407)/SUMIFS('Comp2016-2017 (3)'!$G$5:$G$289,'Comp2016-2017 (3)'!$A$5:$A$289,$D1407,'Comp2016-2017 (3)'!$R$5:$R$289,$V1407)*$AB1407))</f>
        <v/>
      </c>
      <c r="AJ1407" s="222">
        <f>IF($W1407=AJ$3,$AB1407,IF(NOT($W1407=0),"",SUMIFS('Val-Vol (2)'!AJ$4:AJ$1858,'Val-Vol (2)'!$A$4:$A$1858,$D1407,'Val-Vol (2)'!$V$4:$V$1858,$V1407)/SUMIFS('Comp2016-2017 (3)'!$G$5:$G$289,'Comp2016-2017 (3)'!$A$5:$A$289,$D1407,'Comp2016-2017 (3)'!$R$5:$R$289,$V1407)*$AB1407))</f>
        <v>162835.40353666581</v>
      </c>
      <c r="AK1407" s="222">
        <f t="shared" si="165"/>
        <v>0</v>
      </c>
      <c r="AL1407" s="212" t="str">
        <f t="shared" si="166"/>
        <v/>
      </c>
      <c r="AM1407" s="212" t="str">
        <f>VLOOKUP(A1407,'Table corresp.'!$M$4:$U$63,8,FALSE)</f>
        <v xml:space="preserve">Mise en œuvre </v>
      </c>
      <c r="AN1407" s="212" t="str">
        <f>VLOOKUP(D1407,'Table corresp.'!$M$4:$U$63,9,FALSE)</f>
        <v>Consommation finale française</v>
      </c>
    </row>
    <row r="1408" spans="1:40" x14ac:dyDescent="0.25">
      <c r="A1408" t="s">
        <v>20</v>
      </c>
      <c r="B1408" t="str">
        <f>VLOOKUP(LEFT(A1408,3),'Table corresp.'!$A$4:$D$63,3,FALSE)</f>
        <v>Transformation</v>
      </c>
      <c r="C1408" t="str">
        <f>VLOOKUP(A1408,'Table corresp.'!$M$4:$P$63,4,FALSE)</f>
        <v>Mise en oeuvre de produits bois</v>
      </c>
      <c r="D1408" t="s">
        <v>54</v>
      </c>
      <c r="E1408" t="str">
        <f>VLOOKUP(LEFT(D1408,3),'Table corresp.'!$A$4:$D$63,4,FALSE)</f>
        <v>Consommation finale</v>
      </c>
      <c r="F1408" t="str">
        <f t="shared" si="167"/>
        <v>53  - Con</v>
      </c>
      <c r="G1408" s="213">
        <v>87099.729114950751</v>
      </c>
      <c r="H1408" s="213">
        <v>0</v>
      </c>
      <c r="I1408" s="213">
        <v>87099.729114950751</v>
      </c>
      <c r="J1408" s="215">
        <v>99.359436802011473</v>
      </c>
      <c r="K1408" s="215">
        <v>0</v>
      </c>
      <c r="L1408" s="215">
        <v>99.359436802011473</v>
      </c>
      <c r="M1408" s="215">
        <v>82.687905486171218</v>
      </c>
      <c r="N1408" s="215">
        <v>0</v>
      </c>
      <c r="O1408" s="215">
        <v>82.687905486171218</v>
      </c>
      <c r="P1408" s="215">
        <v>9.0242794792818906</v>
      </c>
      <c r="Q1408" s="215">
        <v>0</v>
      </c>
      <c r="R1408" s="215">
        <v>9.0242794792818906</v>
      </c>
      <c r="S1408" s="213" t="s">
        <v>192</v>
      </c>
      <c r="T1408" s="212">
        <f>VLOOKUP(A1408,'Groupe de branches'!$Z$27:$AM$86,14,FALSE)</f>
        <v>0</v>
      </c>
      <c r="U1408" s="212">
        <f>VLOOKUP(D1408,'Groupe de branches'!$Z$27:$AM$86,14,FALSE)</f>
        <v>0</v>
      </c>
      <c r="V1408" s="212">
        <v>2019</v>
      </c>
      <c r="W1408" s="212" t="str">
        <f>VLOOKUP(D1408,'Table corresp.'!$M$4:$S$63,7,FALSE)</f>
        <v>Consommation finale</v>
      </c>
      <c r="X1408" s="228">
        <f>IFERROR(G1408/SUMIFS('Comp2016-2017 (3)'!$I$5:$I$289,'Comp2016-2017 (3)'!$A$5:$A$289,A1408,'Comp2016-2017 (3)'!$R$5:$R$289,V1408),0)</f>
        <v>1.0000000168126191</v>
      </c>
      <c r="Y1408" s="214">
        <f>IFERROR(IF(RIGHT(F1408,3)="Exp",VLOOKUP(F1408,#REF!,2,FALSE),VLOOKUP(F1408,#REF!,9,FALSE)),1)</f>
        <v>1</v>
      </c>
      <c r="Z1408" s="225">
        <f t="shared" si="168"/>
        <v>1</v>
      </c>
      <c r="AA1408" s="225">
        <f t="shared" si="164"/>
        <v>1.0000000168126191</v>
      </c>
      <c r="AB1408" s="222">
        <f>IFERROR(SUMIFS('Comp2016-2017 (3)'!$G$5:$G$289,'Comp2016-2017 (3)'!$A$5:$A$289,A1408,'Comp2016-2017 (3)'!$R$5:$R$289,V1408)*AA1408/SUMIFS($AA$4:$AA$1858,$A$4:$A$1858,A1408,$V$4:$V$1858,V1408),0)</f>
        <v>31177.083871466446</v>
      </c>
      <c r="AC1408" s="222" t="str">
        <f>IF($W1408=AC$3,$AB1408,IF(NOT($W1408=0),"",SUMIFS('Val-Vol (2)'!AC$4:AC$1858,'Val-Vol (2)'!$A$4:$A$1858,$D1408,'Val-Vol (2)'!$V$4:$V$1858,$V1408)/SUMIFS('Comp2016-2017 (3)'!$G$5:$G$289,'Comp2016-2017 (3)'!$A$5:$A$289,$D1408,'Comp2016-2017 (3)'!$R$5:$R$289,$V1408)*$AB1408))</f>
        <v/>
      </c>
      <c r="AD1408" s="222" t="str">
        <f>IF($W1408=AD$3,$AB1408,IF(NOT($W1408=0),"",SUMIFS('Val-Vol (2)'!AD$4:AD$1858,'Val-Vol (2)'!$A$4:$A$1858,$D1408,'Val-Vol (2)'!$V$4:$V$1858,$V1408)/SUMIFS('Comp2016-2017 (3)'!$G$5:$G$289,'Comp2016-2017 (3)'!$A$5:$A$289,$D1408,'Comp2016-2017 (3)'!$R$5:$R$289,$V1408)*$AB1408))</f>
        <v/>
      </c>
      <c r="AE1408" s="222" t="str">
        <f>IF($W1408=AE$3,$AB1408,IF(NOT($W1408=0),"",SUMIFS('Val-Vol (2)'!AE$4:AE$1858,'Val-Vol (2)'!$A$4:$A$1858,$D1408,'Val-Vol (2)'!$V$4:$V$1858,$V1408)/SUMIFS('Comp2016-2017 (3)'!$G$5:$G$289,'Comp2016-2017 (3)'!$A$5:$A$289,$D1408,'Comp2016-2017 (3)'!$R$5:$R$289,$V1408)*$AB1408))</f>
        <v/>
      </c>
      <c r="AF1408" s="222" t="str">
        <f>IF($W1408=AF$3,$AB1408,IF(NOT($W1408=0),"",SUMIFS('Val-Vol (2)'!AF$4:AF$1858,'Val-Vol (2)'!$A$4:$A$1858,$D1408,'Val-Vol (2)'!$V$4:$V$1858,$V1408)/SUMIFS('Comp2016-2017 (3)'!$G$5:$G$289,'Comp2016-2017 (3)'!$A$5:$A$289,$D1408,'Comp2016-2017 (3)'!$R$5:$R$289,$V1408)*$AB1408))</f>
        <v/>
      </c>
      <c r="AG1408" s="222" t="str">
        <f>IF($W1408=AG$3,$AB1408,IF(NOT($W1408=0),"",SUMIFS('Val-Vol (2)'!AG$4:AG$1858,'Val-Vol (2)'!$A$4:$A$1858,$D1408,'Val-Vol (2)'!$V$4:$V$1858,$V1408)/SUMIFS('Comp2016-2017 (3)'!$G$5:$G$289,'Comp2016-2017 (3)'!$A$5:$A$289,$D1408,'Comp2016-2017 (3)'!$R$5:$R$289,$V1408)*$AB1408))</f>
        <v/>
      </c>
      <c r="AH1408" s="222" t="str">
        <f>IF($W1408=AH$3,$AB1408,IF(NOT($W1408=0),"",SUMIFS('Val-Vol (2)'!AH$4:AH$1858,'Val-Vol (2)'!$A$4:$A$1858,$D1408,'Val-Vol (2)'!$V$4:$V$1858,$V1408)/SUMIFS('Comp2016-2017 (3)'!$G$5:$G$289,'Comp2016-2017 (3)'!$A$5:$A$289,$D1408,'Comp2016-2017 (3)'!$R$5:$R$289,$V1408)*$AB1408))</f>
        <v/>
      </c>
      <c r="AI1408" s="222" t="str">
        <f>IF($W1408=AI$3,$AB1408,IF(NOT($W1408=0),"",SUMIFS('Val-Vol (2)'!AI$4:AI$1858,'Val-Vol (2)'!$A$4:$A$1858,$D1408,'Val-Vol (2)'!$V$4:$V$1858,$V1408)/SUMIFS('Comp2016-2017 (3)'!$G$5:$G$289,'Comp2016-2017 (3)'!$A$5:$A$289,$D1408,'Comp2016-2017 (3)'!$R$5:$R$289,$V1408)*$AB1408))</f>
        <v/>
      </c>
      <c r="AJ1408" s="222">
        <f>IF($W1408=AJ$3,$AB1408,IF(NOT($W1408=0),"",SUMIFS('Val-Vol (2)'!AJ$4:AJ$1858,'Val-Vol (2)'!$A$4:$A$1858,$D1408,'Val-Vol (2)'!$V$4:$V$1858,$V1408)/SUMIFS('Comp2016-2017 (3)'!$G$5:$G$289,'Comp2016-2017 (3)'!$A$5:$A$289,$D1408,'Comp2016-2017 (3)'!$R$5:$R$289,$V1408)*$AB1408))</f>
        <v>31177.083871466446</v>
      </c>
      <c r="AK1408" s="222">
        <f t="shared" si="165"/>
        <v>0</v>
      </c>
      <c r="AL1408" s="212" t="str">
        <f t="shared" si="166"/>
        <v/>
      </c>
      <c r="AM1408" s="212" t="str">
        <f>VLOOKUP(A1408,'Table corresp.'!$M$4:$U$63,8,FALSE)</f>
        <v xml:space="preserve">Mise en œuvre </v>
      </c>
      <c r="AN1408" s="212" t="str">
        <f>VLOOKUP(D1408,'Table corresp.'!$M$4:$U$63,9,FALSE)</f>
        <v>Consommation finale française</v>
      </c>
    </row>
    <row r="1409" spans="1:40" x14ac:dyDescent="0.25">
      <c r="A1409" t="s">
        <v>21</v>
      </c>
      <c r="B1409" t="str">
        <f>VLOOKUP(LEFT(A1409,3),'Table corresp.'!$A$4:$D$63,3,FALSE)</f>
        <v>Transformation</v>
      </c>
      <c r="C1409" t="str">
        <f>VLOOKUP(A1409,'Table corresp.'!$M$4:$P$63,4,FALSE)</f>
        <v>Mise en oeuvre de produits bois</v>
      </c>
      <c r="D1409" t="s">
        <v>54</v>
      </c>
      <c r="E1409" t="str">
        <f>VLOOKUP(LEFT(D1409,3),'Table corresp.'!$A$4:$D$63,4,FALSE)</f>
        <v>Consommation finale</v>
      </c>
      <c r="F1409" t="str">
        <f t="shared" si="167"/>
        <v>54  - Con</v>
      </c>
      <c r="G1409" s="213">
        <v>14554601.429646425</v>
      </c>
      <c r="H1409" s="213">
        <v>0</v>
      </c>
      <c r="I1409" s="213">
        <v>14554601.429646425</v>
      </c>
      <c r="J1409" s="215">
        <v>2490.713431263111</v>
      </c>
      <c r="K1409" s="215">
        <v>0</v>
      </c>
      <c r="L1409" s="215">
        <v>2490.713431263111</v>
      </c>
      <c r="M1409" s="215">
        <v>1028.2222502642319</v>
      </c>
      <c r="N1409" s="215">
        <v>0</v>
      </c>
      <c r="O1409" s="215">
        <v>1028.2222502642319</v>
      </c>
      <c r="P1409" s="215">
        <v>338.08418601370505</v>
      </c>
      <c r="Q1409" s="215">
        <v>0</v>
      </c>
      <c r="R1409" s="215">
        <v>338.08418601370505</v>
      </c>
      <c r="S1409" s="213" t="s">
        <v>192</v>
      </c>
      <c r="T1409" s="212">
        <f>VLOOKUP(A1409,'Groupe de branches'!$Z$27:$AM$86,14,FALSE)</f>
        <v>0</v>
      </c>
      <c r="U1409" s="212">
        <f>VLOOKUP(D1409,'Groupe de branches'!$Z$27:$AM$86,14,FALSE)</f>
        <v>0</v>
      </c>
      <c r="V1409" s="212">
        <v>2019</v>
      </c>
      <c r="W1409" s="212" t="str">
        <f>VLOOKUP(D1409,'Table corresp.'!$M$4:$S$63,7,FALSE)</f>
        <v>Consommation finale</v>
      </c>
      <c r="X1409" s="228">
        <f>IFERROR(G1409/SUMIFS('Comp2016-2017 (3)'!$I$5:$I$289,'Comp2016-2017 (3)'!$A$5:$A$289,A1409,'Comp2016-2017 (3)'!$R$5:$R$289,V1409),0)</f>
        <v>1.0000000003197937</v>
      </c>
      <c r="Y1409" s="214">
        <f>IFERROR(IF(RIGHT(F1409,3)="Exp",VLOOKUP(F1409,#REF!,2,FALSE),VLOOKUP(F1409,#REF!,9,FALSE)),1)</f>
        <v>1</v>
      </c>
      <c r="Z1409" s="225">
        <f t="shared" si="168"/>
        <v>1</v>
      </c>
      <c r="AA1409" s="225">
        <f t="shared" si="164"/>
        <v>1.0000000003197937</v>
      </c>
      <c r="AB1409" s="222">
        <f>IFERROR(SUMIFS('Comp2016-2017 (3)'!$G$5:$G$289,'Comp2016-2017 (3)'!$A$5:$A$289,A1409,'Comp2016-2017 (3)'!$R$5:$R$289,V1409)*AA1409/SUMIFS($AA$4:$AA$1858,$A$4:$A$1858,A1409,$V$4:$V$1858,V1409),0)</f>
        <v>5330521.9033899838</v>
      </c>
      <c r="AC1409" s="222" t="str">
        <f>IF($W1409=AC$3,$AB1409,IF(NOT($W1409=0),"",SUMIFS('Val-Vol (2)'!AC$4:AC$1858,'Val-Vol (2)'!$A$4:$A$1858,$D1409,'Val-Vol (2)'!$V$4:$V$1858,$V1409)/SUMIFS('Comp2016-2017 (3)'!$G$5:$G$289,'Comp2016-2017 (3)'!$A$5:$A$289,$D1409,'Comp2016-2017 (3)'!$R$5:$R$289,$V1409)*$AB1409))</f>
        <v/>
      </c>
      <c r="AD1409" s="222" t="str">
        <f>IF($W1409=AD$3,$AB1409,IF(NOT($W1409=0),"",SUMIFS('Val-Vol (2)'!AD$4:AD$1858,'Val-Vol (2)'!$A$4:$A$1858,$D1409,'Val-Vol (2)'!$V$4:$V$1858,$V1409)/SUMIFS('Comp2016-2017 (3)'!$G$5:$G$289,'Comp2016-2017 (3)'!$A$5:$A$289,$D1409,'Comp2016-2017 (3)'!$R$5:$R$289,$V1409)*$AB1409))</f>
        <v/>
      </c>
      <c r="AE1409" s="222" t="str">
        <f>IF($W1409=AE$3,$AB1409,IF(NOT($W1409=0),"",SUMIFS('Val-Vol (2)'!AE$4:AE$1858,'Val-Vol (2)'!$A$4:$A$1858,$D1409,'Val-Vol (2)'!$V$4:$V$1858,$V1409)/SUMIFS('Comp2016-2017 (3)'!$G$5:$G$289,'Comp2016-2017 (3)'!$A$5:$A$289,$D1409,'Comp2016-2017 (3)'!$R$5:$R$289,$V1409)*$AB1409))</f>
        <v/>
      </c>
      <c r="AF1409" s="222" t="str">
        <f>IF($W1409=AF$3,$AB1409,IF(NOT($W1409=0),"",SUMIFS('Val-Vol (2)'!AF$4:AF$1858,'Val-Vol (2)'!$A$4:$A$1858,$D1409,'Val-Vol (2)'!$V$4:$V$1858,$V1409)/SUMIFS('Comp2016-2017 (3)'!$G$5:$G$289,'Comp2016-2017 (3)'!$A$5:$A$289,$D1409,'Comp2016-2017 (3)'!$R$5:$R$289,$V1409)*$AB1409))</f>
        <v/>
      </c>
      <c r="AG1409" s="222" t="str">
        <f>IF($W1409=AG$3,$AB1409,IF(NOT($W1409=0),"",SUMIFS('Val-Vol (2)'!AG$4:AG$1858,'Val-Vol (2)'!$A$4:$A$1858,$D1409,'Val-Vol (2)'!$V$4:$V$1858,$V1409)/SUMIFS('Comp2016-2017 (3)'!$G$5:$G$289,'Comp2016-2017 (3)'!$A$5:$A$289,$D1409,'Comp2016-2017 (3)'!$R$5:$R$289,$V1409)*$AB1409))</f>
        <v/>
      </c>
      <c r="AH1409" s="222" t="str">
        <f>IF($W1409=AH$3,$AB1409,IF(NOT($W1409=0),"",SUMIFS('Val-Vol (2)'!AH$4:AH$1858,'Val-Vol (2)'!$A$4:$A$1858,$D1409,'Val-Vol (2)'!$V$4:$V$1858,$V1409)/SUMIFS('Comp2016-2017 (3)'!$G$5:$G$289,'Comp2016-2017 (3)'!$A$5:$A$289,$D1409,'Comp2016-2017 (3)'!$R$5:$R$289,$V1409)*$AB1409))</f>
        <v/>
      </c>
      <c r="AI1409" s="222" t="str">
        <f>IF($W1409=AI$3,$AB1409,IF(NOT($W1409=0),"",SUMIFS('Val-Vol (2)'!AI$4:AI$1858,'Val-Vol (2)'!$A$4:$A$1858,$D1409,'Val-Vol (2)'!$V$4:$V$1858,$V1409)/SUMIFS('Comp2016-2017 (3)'!$G$5:$G$289,'Comp2016-2017 (3)'!$A$5:$A$289,$D1409,'Comp2016-2017 (3)'!$R$5:$R$289,$V1409)*$AB1409))</f>
        <v/>
      </c>
      <c r="AJ1409" s="222">
        <f>IF($W1409=AJ$3,$AB1409,IF(NOT($W1409=0),"",SUMIFS('Val-Vol (2)'!AJ$4:AJ$1858,'Val-Vol (2)'!$A$4:$A$1858,$D1409,'Val-Vol (2)'!$V$4:$V$1858,$V1409)/SUMIFS('Comp2016-2017 (3)'!$G$5:$G$289,'Comp2016-2017 (3)'!$A$5:$A$289,$D1409,'Comp2016-2017 (3)'!$R$5:$R$289,$V1409)*$AB1409))</f>
        <v>5330521.9033899838</v>
      </c>
      <c r="AK1409" s="222">
        <f t="shared" si="165"/>
        <v>0</v>
      </c>
      <c r="AL1409" s="212" t="str">
        <f t="shared" si="166"/>
        <v/>
      </c>
      <c r="AM1409" s="212" t="str">
        <f>VLOOKUP(A1409,'Table corresp.'!$M$4:$U$63,8,FALSE)</f>
        <v xml:space="preserve">Mise en œuvre </v>
      </c>
      <c r="AN1409" s="212" t="str">
        <f>VLOOKUP(D1409,'Table corresp.'!$M$4:$U$63,9,FALSE)</f>
        <v>Consommation finale française</v>
      </c>
    </row>
    <row r="1410" spans="1:40" x14ac:dyDescent="0.25">
      <c r="A1410" t="s">
        <v>22</v>
      </c>
      <c r="B1410" t="str">
        <f>VLOOKUP(LEFT(A1410,3),'Table corresp.'!$A$4:$D$63,3,FALSE)</f>
        <v>Transformation</v>
      </c>
      <c r="C1410" t="str">
        <f>VLOOKUP(A1410,'Table corresp.'!$M$4:$P$63,4,FALSE)</f>
        <v>Mise en oeuvre de produits bois</v>
      </c>
      <c r="D1410" t="s">
        <v>54</v>
      </c>
      <c r="E1410" t="str">
        <f>VLOOKUP(LEFT(D1410,3),'Table corresp.'!$A$4:$D$63,4,FALSE)</f>
        <v>Consommation finale</v>
      </c>
      <c r="F1410" t="str">
        <f t="shared" si="167"/>
        <v>55  - Con</v>
      </c>
      <c r="G1410" s="213">
        <v>2103201.9987688423</v>
      </c>
      <c r="H1410" s="213">
        <v>0</v>
      </c>
      <c r="I1410" s="213">
        <v>2103201.9987688423</v>
      </c>
      <c r="J1410" s="215">
        <v>320.13144811018293</v>
      </c>
      <c r="K1410" s="215">
        <v>0</v>
      </c>
      <c r="L1410" s="215">
        <v>320.13144811018293</v>
      </c>
      <c r="M1410" s="215">
        <v>232.1824064761625</v>
      </c>
      <c r="N1410" s="215">
        <v>0</v>
      </c>
      <c r="O1410" s="215">
        <v>232.1824064761625</v>
      </c>
      <c r="P1410" s="215">
        <v>78.155688189086675</v>
      </c>
      <c r="Q1410" s="215">
        <v>0</v>
      </c>
      <c r="R1410" s="215">
        <v>78.155688189086675</v>
      </c>
      <c r="S1410" s="213" t="s">
        <v>192</v>
      </c>
      <c r="T1410" s="212">
        <f>VLOOKUP(A1410,'Groupe de branches'!$Z$27:$AM$86,14,FALSE)</f>
        <v>0</v>
      </c>
      <c r="U1410" s="212">
        <f>VLOOKUP(D1410,'Groupe de branches'!$Z$27:$AM$86,14,FALSE)</f>
        <v>0</v>
      </c>
      <c r="V1410" s="212">
        <v>2019</v>
      </c>
      <c r="W1410" s="212" t="str">
        <f>VLOOKUP(D1410,'Table corresp.'!$M$4:$S$63,7,FALSE)</f>
        <v>Consommation finale</v>
      </c>
      <c r="X1410" s="228">
        <f>IFERROR(G1410/SUMIFS('Comp2016-2017 (3)'!$I$5:$I$289,'Comp2016-2017 (3)'!$A$5:$A$289,A1410,'Comp2016-2017 (3)'!$R$5:$R$289,V1410),0)</f>
        <v>1.0000000004977858</v>
      </c>
      <c r="Y1410" s="214">
        <f>IFERROR(IF(RIGHT(F1410,3)="Exp",VLOOKUP(F1410,#REF!,2,FALSE),VLOOKUP(F1410,#REF!,9,FALSE)),1)</f>
        <v>1</v>
      </c>
      <c r="Z1410" s="225">
        <f t="shared" si="168"/>
        <v>1</v>
      </c>
      <c r="AA1410" s="225">
        <f t="shared" si="164"/>
        <v>1.0000000004977858</v>
      </c>
      <c r="AB1410" s="222">
        <f>IFERROR(SUMIFS('Comp2016-2017 (3)'!$G$5:$G$289,'Comp2016-2017 (3)'!$A$5:$A$289,A1410,'Comp2016-2017 (3)'!$R$5:$R$289,V1410)*AA1410/SUMIFS($AA$4:$AA$1858,$A$4:$A$1858,A1410,$V$4:$V$1858,V1410),0)</f>
        <v>522660.92206860898</v>
      </c>
      <c r="AC1410" s="222" t="str">
        <f>IF($W1410=AC$3,$AB1410,IF(NOT($W1410=0),"",SUMIFS('Val-Vol (2)'!AC$4:AC$1858,'Val-Vol (2)'!$A$4:$A$1858,$D1410,'Val-Vol (2)'!$V$4:$V$1858,$V1410)/SUMIFS('Comp2016-2017 (3)'!$G$5:$G$289,'Comp2016-2017 (3)'!$A$5:$A$289,$D1410,'Comp2016-2017 (3)'!$R$5:$R$289,$V1410)*$AB1410))</f>
        <v/>
      </c>
      <c r="AD1410" s="222" t="str">
        <f>IF($W1410=AD$3,$AB1410,IF(NOT($W1410=0),"",SUMIFS('Val-Vol (2)'!AD$4:AD$1858,'Val-Vol (2)'!$A$4:$A$1858,$D1410,'Val-Vol (2)'!$V$4:$V$1858,$V1410)/SUMIFS('Comp2016-2017 (3)'!$G$5:$G$289,'Comp2016-2017 (3)'!$A$5:$A$289,$D1410,'Comp2016-2017 (3)'!$R$5:$R$289,$V1410)*$AB1410))</f>
        <v/>
      </c>
      <c r="AE1410" s="222" t="str">
        <f>IF($W1410=AE$3,$AB1410,IF(NOT($W1410=0),"",SUMIFS('Val-Vol (2)'!AE$4:AE$1858,'Val-Vol (2)'!$A$4:$A$1858,$D1410,'Val-Vol (2)'!$V$4:$V$1858,$V1410)/SUMIFS('Comp2016-2017 (3)'!$G$5:$G$289,'Comp2016-2017 (3)'!$A$5:$A$289,$D1410,'Comp2016-2017 (3)'!$R$5:$R$289,$V1410)*$AB1410))</f>
        <v/>
      </c>
      <c r="AF1410" s="222" t="str">
        <f>IF($W1410=AF$3,$AB1410,IF(NOT($W1410=0),"",SUMIFS('Val-Vol (2)'!AF$4:AF$1858,'Val-Vol (2)'!$A$4:$A$1858,$D1410,'Val-Vol (2)'!$V$4:$V$1858,$V1410)/SUMIFS('Comp2016-2017 (3)'!$G$5:$G$289,'Comp2016-2017 (3)'!$A$5:$A$289,$D1410,'Comp2016-2017 (3)'!$R$5:$R$289,$V1410)*$AB1410))</f>
        <v/>
      </c>
      <c r="AG1410" s="222" t="str">
        <f>IF($W1410=AG$3,$AB1410,IF(NOT($W1410=0),"",SUMIFS('Val-Vol (2)'!AG$4:AG$1858,'Val-Vol (2)'!$A$4:$A$1858,$D1410,'Val-Vol (2)'!$V$4:$V$1858,$V1410)/SUMIFS('Comp2016-2017 (3)'!$G$5:$G$289,'Comp2016-2017 (3)'!$A$5:$A$289,$D1410,'Comp2016-2017 (3)'!$R$5:$R$289,$V1410)*$AB1410))</f>
        <v/>
      </c>
      <c r="AH1410" s="222" t="str">
        <f>IF($W1410=AH$3,$AB1410,IF(NOT($W1410=0),"",SUMIFS('Val-Vol (2)'!AH$4:AH$1858,'Val-Vol (2)'!$A$4:$A$1858,$D1410,'Val-Vol (2)'!$V$4:$V$1858,$V1410)/SUMIFS('Comp2016-2017 (3)'!$G$5:$G$289,'Comp2016-2017 (3)'!$A$5:$A$289,$D1410,'Comp2016-2017 (3)'!$R$5:$R$289,$V1410)*$AB1410))</f>
        <v/>
      </c>
      <c r="AI1410" s="222" t="str">
        <f>IF($W1410=AI$3,$AB1410,IF(NOT($W1410=0),"",SUMIFS('Val-Vol (2)'!AI$4:AI$1858,'Val-Vol (2)'!$A$4:$A$1858,$D1410,'Val-Vol (2)'!$V$4:$V$1858,$V1410)/SUMIFS('Comp2016-2017 (3)'!$G$5:$G$289,'Comp2016-2017 (3)'!$A$5:$A$289,$D1410,'Comp2016-2017 (3)'!$R$5:$R$289,$V1410)*$AB1410))</f>
        <v/>
      </c>
      <c r="AJ1410" s="222">
        <f>IF($W1410=AJ$3,$AB1410,IF(NOT($W1410=0),"",SUMIFS('Val-Vol (2)'!AJ$4:AJ$1858,'Val-Vol (2)'!$A$4:$A$1858,$D1410,'Val-Vol (2)'!$V$4:$V$1858,$V1410)/SUMIFS('Comp2016-2017 (3)'!$G$5:$G$289,'Comp2016-2017 (3)'!$A$5:$A$289,$D1410,'Comp2016-2017 (3)'!$R$5:$R$289,$V1410)*$AB1410))</f>
        <v>522660.92206860898</v>
      </c>
      <c r="AK1410" s="222">
        <f t="shared" si="165"/>
        <v>0</v>
      </c>
      <c r="AL1410" s="212" t="str">
        <f t="shared" si="166"/>
        <v/>
      </c>
      <c r="AM1410" s="212" t="str">
        <f>VLOOKUP(A1410,'Table corresp.'!$M$4:$U$63,8,FALSE)</f>
        <v xml:space="preserve">Mise en œuvre </v>
      </c>
      <c r="AN1410" s="212" t="str">
        <f>VLOOKUP(D1410,'Table corresp.'!$M$4:$U$63,9,FALSE)</f>
        <v>Consommation finale française</v>
      </c>
    </row>
    <row r="1411" spans="1:40" x14ac:dyDescent="0.25">
      <c r="A1411" t="s">
        <v>23</v>
      </c>
      <c r="B1411" t="str">
        <f>VLOOKUP(LEFT(A1411,3),'Table corresp.'!$A$4:$D$63,3,FALSE)</f>
        <v>Transformation</v>
      </c>
      <c r="C1411" t="str">
        <f>VLOOKUP(A1411,'Table corresp.'!$M$4:$P$63,4,FALSE)</f>
        <v>Mise en oeuvre de produits bois</v>
      </c>
      <c r="D1411" t="s">
        <v>54</v>
      </c>
      <c r="E1411" t="str">
        <f>VLOOKUP(LEFT(D1411,3),'Table corresp.'!$A$4:$D$63,4,FALSE)</f>
        <v>Consommation finale</v>
      </c>
      <c r="F1411" t="str">
        <f t="shared" si="167"/>
        <v>56  - Con</v>
      </c>
      <c r="G1411" s="213">
        <v>349616.51380141405</v>
      </c>
      <c r="H1411" s="213">
        <v>0</v>
      </c>
      <c r="I1411" s="213">
        <v>349616.51380141405</v>
      </c>
      <c r="J1411" s="215">
        <v>407.98427492837999</v>
      </c>
      <c r="K1411" s="215">
        <v>0</v>
      </c>
      <c r="L1411" s="215">
        <v>407.98427492837999</v>
      </c>
      <c r="M1411" s="215">
        <v>9.1145305502728657</v>
      </c>
      <c r="N1411" s="215">
        <v>0</v>
      </c>
      <c r="O1411" s="215">
        <v>9.1145305502728657</v>
      </c>
      <c r="P1411" s="215">
        <v>2.7258491414276067</v>
      </c>
      <c r="Q1411" s="215">
        <v>0</v>
      </c>
      <c r="R1411" s="215">
        <v>2.7258491414276067</v>
      </c>
      <c r="S1411" s="213" t="s">
        <v>192</v>
      </c>
      <c r="T1411" s="212">
        <f>VLOOKUP(A1411,'Groupe de branches'!$Z$27:$AM$86,14,FALSE)</f>
        <v>0</v>
      </c>
      <c r="U1411" s="212">
        <f>VLOOKUP(D1411,'Groupe de branches'!$Z$27:$AM$86,14,FALSE)</f>
        <v>0</v>
      </c>
      <c r="V1411" s="212">
        <v>2019</v>
      </c>
      <c r="W1411" s="212" t="str">
        <f>VLOOKUP(D1411,'Table corresp.'!$M$4:$S$63,7,FALSE)</f>
        <v>Consommation finale</v>
      </c>
      <c r="X1411" s="228">
        <f>IFERROR(G1411/SUMIFS('Comp2016-2017 (3)'!$I$5:$I$289,'Comp2016-2017 (3)'!$A$5:$A$289,A1411,'Comp2016-2017 (3)'!$R$5:$R$289,V1411),0)</f>
        <v>1.000000029112591</v>
      </c>
      <c r="Y1411" s="214">
        <f>IFERROR(IF(RIGHT(F1411,3)="Exp",VLOOKUP(F1411,#REF!,2,FALSE),VLOOKUP(F1411,#REF!,9,FALSE)),1)</f>
        <v>1</v>
      </c>
      <c r="Z1411" s="225">
        <f t="shared" si="168"/>
        <v>1</v>
      </c>
      <c r="AA1411" s="225">
        <f t="shared" si="164"/>
        <v>1.000000029112591</v>
      </c>
      <c r="AB1411" s="222">
        <f>IFERROR(SUMIFS('Comp2016-2017 (3)'!$G$5:$G$289,'Comp2016-2017 (3)'!$A$5:$A$289,A1411,'Comp2016-2017 (3)'!$R$5:$R$289,V1411)*AA1411/SUMIFS($AA$4:$AA$1858,$A$4:$A$1858,A1411,$V$4:$V$1858,V1411),0)</f>
        <v>128510.82418884923</v>
      </c>
      <c r="AC1411" s="222" t="str">
        <f>IF($W1411=AC$3,$AB1411,IF(NOT($W1411=0),"",SUMIFS('Val-Vol (2)'!AC$4:AC$1858,'Val-Vol (2)'!$A$4:$A$1858,$D1411,'Val-Vol (2)'!$V$4:$V$1858,$V1411)/SUMIFS('Comp2016-2017 (3)'!$G$5:$G$289,'Comp2016-2017 (3)'!$A$5:$A$289,$D1411,'Comp2016-2017 (3)'!$R$5:$R$289,$V1411)*$AB1411))</f>
        <v/>
      </c>
      <c r="AD1411" s="222" t="str">
        <f>IF($W1411=AD$3,$AB1411,IF(NOT($W1411=0),"",SUMIFS('Val-Vol (2)'!AD$4:AD$1858,'Val-Vol (2)'!$A$4:$A$1858,$D1411,'Val-Vol (2)'!$V$4:$V$1858,$V1411)/SUMIFS('Comp2016-2017 (3)'!$G$5:$G$289,'Comp2016-2017 (3)'!$A$5:$A$289,$D1411,'Comp2016-2017 (3)'!$R$5:$R$289,$V1411)*$AB1411))</f>
        <v/>
      </c>
      <c r="AE1411" s="222" t="str">
        <f>IF($W1411=AE$3,$AB1411,IF(NOT($W1411=0),"",SUMIFS('Val-Vol (2)'!AE$4:AE$1858,'Val-Vol (2)'!$A$4:$A$1858,$D1411,'Val-Vol (2)'!$V$4:$V$1858,$V1411)/SUMIFS('Comp2016-2017 (3)'!$G$5:$G$289,'Comp2016-2017 (3)'!$A$5:$A$289,$D1411,'Comp2016-2017 (3)'!$R$5:$R$289,$V1411)*$AB1411))</f>
        <v/>
      </c>
      <c r="AF1411" s="222" t="str">
        <f>IF($W1411=AF$3,$AB1411,IF(NOT($W1411=0),"",SUMIFS('Val-Vol (2)'!AF$4:AF$1858,'Val-Vol (2)'!$A$4:$A$1858,$D1411,'Val-Vol (2)'!$V$4:$V$1858,$V1411)/SUMIFS('Comp2016-2017 (3)'!$G$5:$G$289,'Comp2016-2017 (3)'!$A$5:$A$289,$D1411,'Comp2016-2017 (3)'!$R$5:$R$289,$V1411)*$AB1411))</f>
        <v/>
      </c>
      <c r="AG1411" s="222" t="str">
        <f>IF($W1411=AG$3,$AB1411,IF(NOT($W1411=0),"",SUMIFS('Val-Vol (2)'!AG$4:AG$1858,'Val-Vol (2)'!$A$4:$A$1858,$D1411,'Val-Vol (2)'!$V$4:$V$1858,$V1411)/SUMIFS('Comp2016-2017 (3)'!$G$5:$G$289,'Comp2016-2017 (3)'!$A$5:$A$289,$D1411,'Comp2016-2017 (3)'!$R$5:$R$289,$V1411)*$AB1411))</f>
        <v/>
      </c>
      <c r="AH1411" s="222" t="str">
        <f>IF($W1411=AH$3,$AB1411,IF(NOT($W1411=0),"",SUMIFS('Val-Vol (2)'!AH$4:AH$1858,'Val-Vol (2)'!$A$4:$A$1858,$D1411,'Val-Vol (2)'!$V$4:$V$1858,$V1411)/SUMIFS('Comp2016-2017 (3)'!$G$5:$G$289,'Comp2016-2017 (3)'!$A$5:$A$289,$D1411,'Comp2016-2017 (3)'!$R$5:$R$289,$V1411)*$AB1411))</f>
        <v/>
      </c>
      <c r="AI1411" s="222" t="str">
        <f>IF($W1411=AI$3,$AB1411,IF(NOT($W1411=0),"",SUMIFS('Val-Vol (2)'!AI$4:AI$1858,'Val-Vol (2)'!$A$4:$A$1858,$D1411,'Val-Vol (2)'!$V$4:$V$1858,$V1411)/SUMIFS('Comp2016-2017 (3)'!$G$5:$G$289,'Comp2016-2017 (3)'!$A$5:$A$289,$D1411,'Comp2016-2017 (3)'!$R$5:$R$289,$V1411)*$AB1411))</f>
        <v/>
      </c>
      <c r="AJ1411" s="222">
        <f>IF($W1411=AJ$3,$AB1411,IF(NOT($W1411=0),"",SUMIFS('Val-Vol (2)'!AJ$4:AJ$1858,'Val-Vol (2)'!$A$4:$A$1858,$D1411,'Val-Vol (2)'!$V$4:$V$1858,$V1411)/SUMIFS('Comp2016-2017 (3)'!$G$5:$G$289,'Comp2016-2017 (3)'!$A$5:$A$289,$D1411,'Comp2016-2017 (3)'!$R$5:$R$289,$V1411)*$AB1411))</f>
        <v>128510.82418884923</v>
      </c>
      <c r="AK1411" s="222">
        <f t="shared" si="165"/>
        <v>0</v>
      </c>
      <c r="AL1411" s="212" t="str">
        <f t="shared" si="166"/>
        <v/>
      </c>
      <c r="AM1411" s="212" t="str">
        <f>VLOOKUP(A1411,'Table corresp.'!$M$4:$U$63,8,FALSE)</f>
        <v xml:space="preserve">Mise en œuvre </v>
      </c>
      <c r="AN1411" s="212" t="str">
        <f>VLOOKUP(D1411,'Table corresp.'!$M$4:$U$63,9,FALSE)</f>
        <v>Consommation finale française</v>
      </c>
    </row>
    <row r="1412" spans="1:40" x14ac:dyDescent="0.25">
      <c r="A1412" t="s">
        <v>24</v>
      </c>
      <c r="B1412" t="str">
        <f>VLOOKUP(LEFT(A1412,3),'Table corresp.'!$A$4:$D$63,3,FALSE)</f>
        <v>Transformation</v>
      </c>
      <c r="C1412" t="str">
        <f>VLOOKUP(A1412,'Table corresp.'!$M$4:$P$63,4,FALSE)</f>
        <v>Mise en oeuvre de produits bois</v>
      </c>
      <c r="D1412" t="s">
        <v>54</v>
      </c>
      <c r="E1412" t="str">
        <f>VLOOKUP(LEFT(D1412,3),'Table corresp.'!$A$4:$D$63,4,FALSE)</f>
        <v>Consommation finale</v>
      </c>
      <c r="F1412" t="str">
        <f t="shared" si="167"/>
        <v>57  - Con</v>
      </c>
      <c r="G1412" s="213">
        <v>5909983.1256054053</v>
      </c>
      <c r="H1412" s="213">
        <v>0</v>
      </c>
      <c r="I1412" s="213">
        <v>5909983.1256054053</v>
      </c>
      <c r="J1412" s="215">
        <v>5397.3922970007852</v>
      </c>
      <c r="K1412" s="215">
        <v>0</v>
      </c>
      <c r="L1412" s="215">
        <v>5397.3922970007852</v>
      </c>
      <c r="M1412" s="215">
        <v>191.31291695047844</v>
      </c>
      <c r="N1412" s="215">
        <v>0</v>
      </c>
      <c r="O1412" s="215">
        <v>191.31291695047844</v>
      </c>
      <c r="P1412" s="215">
        <v>39.70341315032406</v>
      </c>
      <c r="Q1412" s="215">
        <v>0</v>
      </c>
      <c r="R1412" s="215">
        <v>39.70341315032406</v>
      </c>
      <c r="S1412" s="213" t="s">
        <v>192</v>
      </c>
      <c r="T1412" s="212">
        <f>VLOOKUP(A1412,'Groupe de branches'!$Z$27:$AM$86,14,FALSE)</f>
        <v>0</v>
      </c>
      <c r="U1412" s="212">
        <f>VLOOKUP(D1412,'Groupe de branches'!$Z$27:$AM$86,14,FALSE)</f>
        <v>0</v>
      </c>
      <c r="V1412" s="212">
        <v>2019</v>
      </c>
      <c r="W1412" s="212" t="str">
        <f>VLOOKUP(D1412,'Table corresp.'!$M$4:$S$63,7,FALSE)</f>
        <v>Consommation finale</v>
      </c>
      <c r="X1412" s="228">
        <f>IFERROR(G1412/SUMIFS('Comp2016-2017 (3)'!$I$5:$I$289,'Comp2016-2017 (3)'!$A$5:$A$289,A1412,'Comp2016-2017 (3)'!$R$5:$R$289,V1412),0)</f>
        <v>1.0000000007445993</v>
      </c>
      <c r="Y1412" s="214">
        <f>IFERROR(IF(RIGHT(F1412,3)="Exp",VLOOKUP(F1412,#REF!,2,FALSE),VLOOKUP(F1412,#REF!,9,FALSE)),1)</f>
        <v>1</v>
      </c>
      <c r="Z1412" s="225">
        <f t="shared" si="168"/>
        <v>1</v>
      </c>
      <c r="AA1412" s="225">
        <f t="shared" si="164"/>
        <v>1.0000000007445993</v>
      </c>
      <c r="AB1412" s="222">
        <f>IFERROR(SUMIFS('Comp2016-2017 (3)'!$G$5:$G$289,'Comp2016-2017 (3)'!$A$5:$A$289,A1412,'Comp2016-2017 (3)'!$R$5:$R$289,V1412)*AA1412/SUMIFS($AA$4:$AA$1858,$A$4:$A$1858,A1412,$V$4:$V$1858,V1412),0)</f>
        <v>2301094.7745756833</v>
      </c>
      <c r="AC1412" s="222" t="str">
        <f>IF($W1412=AC$3,$AB1412,IF(NOT($W1412=0),"",SUMIFS('Val-Vol (2)'!AC$4:AC$1858,'Val-Vol (2)'!$A$4:$A$1858,$D1412,'Val-Vol (2)'!$V$4:$V$1858,$V1412)/SUMIFS('Comp2016-2017 (3)'!$G$5:$G$289,'Comp2016-2017 (3)'!$A$5:$A$289,$D1412,'Comp2016-2017 (3)'!$R$5:$R$289,$V1412)*$AB1412))</f>
        <v/>
      </c>
      <c r="AD1412" s="222" t="str">
        <f>IF($W1412=AD$3,$AB1412,IF(NOT($W1412=0),"",SUMIFS('Val-Vol (2)'!AD$4:AD$1858,'Val-Vol (2)'!$A$4:$A$1858,$D1412,'Val-Vol (2)'!$V$4:$V$1858,$V1412)/SUMIFS('Comp2016-2017 (3)'!$G$5:$G$289,'Comp2016-2017 (3)'!$A$5:$A$289,$D1412,'Comp2016-2017 (3)'!$R$5:$R$289,$V1412)*$AB1412))</f>
        <v/>
      </c>
      <c r="AE1412" s="222" t="str">
        <f>IF($W1412=AE$3,$AB1412,IF(NOT($W1412=0),"",SUMIFS('Val-Vol (2)'!AE$4:AE$1858,'Val-Vol (2)'!$A$4:$A$1858,$D1412,'Val-Vol (2)'!$V$4:$V$1858,$V1412)/SUMIFS('Comp2016-2017 (3)'!$G$5:$G$289,'Comp2016-2017 (3)'!$A$5:$A$289,$D1412,'Comp2016-2017 (3)'!$R$5:$R$289,$V1412)*$AB1412))</f>
        <v/>
      </c>
      <c r="AF1412" s="222" t="str">
        <f>IF($W1412=AF$3,$AB1412,IF(NOT($W1412=0),"",SUMIFS('Val-Vol (2)'!AF$4:AF$1858,'Val-Vol (2)'!$A$4:$A$1858,$D1412,'Val-Vol (2)'!$V$4:$V$1858,$V1412)/SUMIFS('Comp2016-2017 (3)'!$G$5:$G$289,'Comp2016-2017 (3)'!$A$5:$A$289,$D1412,'Comp2016-2017 (3)'!$R$5:$R$289,$V1412)*$AB1412))</f>
        <v/>
      </c>
      <c r="AG1412" s="222" t="str">
        <f>IF($W1412=AG$3,$AB1412,IF(NOT($W1412=0),"",SUMIFS('Val-Vol (2)'!AG$4:AG$1858,'Val-Vol (2)'!$A$4:$A$1858,$D1412,'Val-Vol (2)'!$V$4:$V$1858,$V1412)/SUMIFS('Comp2016-2017 (3)'!$G$5:$G$289,'Comp2016-2017 (3)'!$A$5:$A$289,$D1412,'Comp2016-2017 (3)'!$R$5:$R$289,$V1412)*$AB1412))</f>
        <v/>
      </c>
      <c r="AH1412" s="222" t="str">
        <f>IF($W1412=AH$3,$AB1412,IF(NOT($W1412=0),"",SUMIFS('Val-Vol (2)'!AH$4:AH$1858,'Val-Vol (2)'!$A$4:$A$1858,$D1412,'Val-Vol (2)'!$V$4:$V$1858,$V1412)/SUMIFS('Comp2016-2017 (3)'!$G$5:$G$289,'Comp2016-2017 (3)'!$A$5:$A$289,$D1412,'Comp2016-2017 (3)'!$R$5:$R$289,$V1412)*$AB1412))</f>
        <v/>
      </c>
      <c r="AI1412" s="222" t="str">
        <f>IF($W1412=AI$3,$AB1412,IF(NOT($W1412=0),"",SUMIFS('Val-Vol (2)'!AI$4:AI$1858,'Val-Vol (2)'!$A$4:$A$1858,$D1412,'Val-Vol (2)'!$V$4:$V$1858,$V1412)/SUMIFS('Comp2016-2017 (3)'!$G$5:$G$289,'Comp2016-2017 (3)'!$A$5:$A$289,$D1412,'Comp2016-2017 (3)'!$R$5:$R$289,$V1412)*$AB1412))</f>
        <v/>
      </c>
      <c r="AJ1412" s="222">
        <f>IF($W1412=AJ$3,$AB1412,IF(NOT($W1412=0),"",SUMIFS('Val-Vol (2)'!AJ$4:AJ$1858,'Val-Vol (2)'!$A$4:$A$1858,$D1412,'Val-Vol (2)'!$V$4:$V$1858,$V1412)/SUMIFS('Comp2016-2017 (3)'!$G$5:$G$289,'Comp2016-2017 (3)'!$A$5:$A$289,$D1412,'Comp2016-2017 (3)'!$R$5:$R$289,$V1412)*$AB1412))</f>
        <v>2301094.7745756833</v>
      </c>
      <c r="AK1412" s="222">
        <f t="shared" si="165"/>
        <v>0</v>
      </c>
      <c r="AL1412" s="212" t="str">
        <f t="shared" si="166"/>
        <v/>
      </c>
      <c r="AM1412" s="212" t="str">
        <f>VLOOKUP(A1412,'Table corresp.'!$M$4:$U$63,8,FALSE)</f>
        <v xml:space="preserve">Mise en œuvre </v>
      </c>
      <c r="AN1412" s="212" t="str">
        <f>VLOOKUP(D1412,'Table corresp.'!$M$4:$U$63,9,FALSE)</f>
        <v>Consommation finale française</v>
      </c>
    </row>
    <row r="1413" spans="1:40" x14ac:dyDescent="0.25">
      <c r="A1413" t="s">
        <v>25</v>
      </c>
      <c r="B1413" t="str">
        <f>VLOOKUP(LEFT(A1413,3),'Table corresp.'!$A$4:$D$63,3,FALSE)</f>
        <v>Transformation</v>
      </c>
      <c r="C1413" t="str">
        <f>VLOOKUP(A1413,'Table corresp.'!$M$4:$P$63,4,FALSE)</f>
        <v>Mise en oeuvre de produits bois</v>
      </c>
      <c r="D1413" t="s">
        <v>54</v>
      </c>
      <c r="E1413" t="str">
        <f>VLOOKUP(LEFT(D1413,3),'Table corresp.'!$A$4:$D$63,4,FALSE)</f>
        <v>Consommation finale</v>
      </c>
      <c r="F1413" t="str">
        <f t="shared" si="167"/>
        <v>58  - Con</v>
      </c>
      <c r="G1413" s="213">
        <v>888147.95304111228</v>
      </c>
      <c r="H1413" s="213">
        <v>0</v>
      </c>
      <c r="I1413" s="213">
        <v>888147.95304111228</v>
      </c>
      <c r="J1413" s="215">
        <v>830.30176749069494</v>
      </c>
      <c r="K1413" s="215">
        <v>0</v>
      </c>
      <c r="L1413" s="215">
        <v>830.30176749069494</v>
      </c>
      <c r="M1413" s="215">
        <v>14.954042549579027</v>
      </c>
      <c r="N1413" s="215">
        <v>0</v>
      </c>
      <c r="O1413" s="215">
        <v>14.954042549579027</v>
      </c>
      <c r="P1413" s="215">
        <v>3.1974253726295392</v>
      </c>
      <c r="Q1413" s="215">
        <v>0</v>
      </c>
      <c r="R1413" s="215">
        <v>3.1974253726295392</v>
      </c>
      <c r="S1413" s="213" t="s">
        <v>192</v>
      </c>
      <c r="T1413" s="212">
        <f>VLOOKUP(A1413,'Groupe de branches'!$Z$27:$AM$86,14,FALSE)</f>
        <v>0</v>
      </c>
      <c r="U1413" s="212">
        <f>VLOOKUP(D1413,'Groupe de branches'!$Z$27:$AM$86,14,FALSE)</f>
        <v>0</v>
      </c>
      <c r="V1413" s="212">
        <v>2019</v>
      </c>
      <c r="W1413" s="212" t="str">
        <f>VLOOKUP(D1413,'Table corresp.'!$M$4:$S$63,7,FALSE)</f>
        <v>Consommation finale</v>
      </c>
      <c r="X1413" s="228">
        <f>IFERROR(G1413/SUMIFS('Comp2016-2017 (3)'!$I$5:$I$289,'Comp2016-2017 (3)'!$A$5:$A$289,A1413,'Comp2016-2017 (3)'!$R$5:$R$289,V1413),0)</f>
        <v>1.000000001833437</v>
      </c>
      <c r="Y1413" s="214">
        <f>IFERROR(IF(RIGHT(F1413,3)="Exp",VLOOKUP(F1413,#REF!,2,FALSE),VLOOKUP(F1413,#REF!,9,FALSE)),1)</f>
        <v>1</v>
      </c>
      <c r="Z1413" s="225">
        <f t="shared" si="168"/>
        <v>1</v>
      </c>
      <c r="AA1413" s="225">
        <f t="shared" si="164"/>
        <v>1.000000001833437</v>
      </c>
      <c r="AB1413" s="222">
        <f>IFERROR(SUMIFS('Comp2016-2017 (3)'!$G$5:$G$289,'Comp2016-2017 (3)'!$A$5:$A$289,A1413,'Comp2016-2017 (3)'!$R$5:$R$289,V1413)*AA1413/SUMIFS($AA$4:$AA$1858,$A$4:$A$1858,A1413,$V$4:$V$1858,V1413),0)</f>
        <v>367009.26693280542</v>
      </c>
      <c r="AC1413" s="222" t="str">
        <f>IF($W1413=AC$3,$AB1413,IF(NOT($W1413=0),"",SUMIFS('Val-Vol (2)'!AC$4:AC$1858,'Val-Vol (2)'!$A$4:$A$1858,$D1413,'Val-Vol (2)'!$V$4:$V$1858,$V1413)/SUMIFS('Comp2016-2017 (3)'!$G$5:$G$289,'Comp2016-2017 (3)'!$A$5:$A$289,$D1413,'Comp2016-2017 (3)'!$R$5:$R$289,$V1413)*$AB1413))</f>
        <v/>
      </c>
      <c r="AD1413" s="222" t="str">
        <f>IF($W1413=AD$3,$AB1413,IF(NOT($W1413=0),"",SUMIFS('Val-Vol (2)'!AD$4:AD$1858,'Val-Vol (2)'!$A$4:$A$1858,$D1413,'Val-Vol (2)'!$V$4:$V$1858,$V1413)/SUMIFS('Comp2016-2017 (3)'!$G$5:$G$289,'Comp2016-2017 (3)'!$A$5:$A$289,$D1413,'Comp2016-2017 (3)'!$R$5:$R$289,$V1413)*$AB1413))</f>
        <v/>
      </c>
      <c r="AE1413" s="222" t="str">
        <f>IF($W1413=AE$3,$AB1413,IF(NOT($W1413=0),"",SUMIFS('Val-Vol (2)'!AE$4:AE$1858,'Val-Vol (2)'!$A$4:$A$1858,$D1413,'Val-Vol (2)'!$V$4:$V$1858,$V1413)/SUMIFS('Comp2016-2017 (3)'!$G$5:$G$289,'Comp2016-2017 (3)'!$A$5:$A$289,$D1413,'Comp2016-2017 (3)'!$R$5:$R$289,$V1413)*$AB1413))</f>
        <v/>
      </c>
      <c r="AF1413" s="222" t="str">
        <f>IF($W1413=AF$3,$AB1413,IF(NOT($W1413=0),"",SUMIFS('Val-Vol (2)'!AF$4:AF$1858,'Val-Vol (2)'!$A$4:$A$1858,$D1413,'Val-Vol (2)'!$V$4:$V$1858,$V1413)/SUMIFS('Comp2016-2017 (3)'!$G$5:$G$289,'Comp2016-2017 (3)'!$A$5:$A$289,$D1413,'Comp2016-2017 (3)'!$R$5:$R$289,$V1413)*$AB1413))</f>
        <v/>
      </c>
      <c r="AG1413" s="222" t="str">
        <f>IF($W1413=AG$3,$AB1413,IF(NOT($W1413=0),"",SUMIFS('Val-Vol (2)'!AG$4:AG$1858,'Val-Vol (2)'!$A$4:$A$1858,$D1413,'Val-Vol (2)'!$V$4:$V$1858,$V1413)/SUMIFS('Comp2016-2017 (3)'!$G$5:$G$289,'Comp2016-2017 (3)'!$A$5:$A$289,$D1413,'Comp2016-2017 (3)'!$R$5:$R$289,$V1413)*$AB1413))</f>
        <v/>
      </c>
      <c r="AH1413" s="222" t="str">
        <f>IF($W1413=AH$3,$AB1413,IF(NOT($W1413=0),"",SUMIFS('Val-Vol (2)'!AH$4:AH$1858,'Val-Vol (2)'!$A$4:$A$1858,$D1413,'Val-Vol (2)'!$V$4:$V$1858,$V1413)/SUMIFS('Comp2016-2017 (3)'!$G$5:$G$289,'Comp2016-2017 (3)'!$A$5:$A$289,$D1413,'Comp2016-2017 (3)'!$R$5:$R$289,$V1413)*$AB1413))</f>
        <v/>
      </c>
      <c r="AI1413" s="222" t="str">
        <f>IF($W1413=AI$3,$AB1413,IF(NOT($W1413=0),"",SUMIFS('Val-Vol (2)'!AI$4:AI$1858,'Val-Vol (2)'!$A$4:$A$1858,$D1413,'Val-Vol (2)'!$V$4:$V$1858,$V1413)/SUMIFS('Comp2016-2017 (3)'!$G$5:$G$289,'Comp2016-2017 (3)'!$A$5:$A$289,$D1413,'Comp2016-2017 (3)'!$R$5:$R$289,$V1413)*$AB1413))</f>
        <v/>
      </c>
      <c r="AJ1413" s="222">
        <f>IF($W1413=AJ$3,$AB1413,IF(NOT($W1413=0),"",SUMIFS('Val-Vol (2)'!AJ$4:AJ$1858,'Val-Vol (2)'!$A$4:$A$1858,$D1413,'Val-Vol (2)'!$V$4:$V$1858,$V1413)/SUMIFS('Comp2016-2017 (3)'!$G$5:$G$289,'Comp2016-2017 (3)'!$A$5:$A$289,$D1413,'Comp2016-2017 (3)'!$R$5:$R$289,$V1413)*$AB1413))</f>
        <v>367009.26693280542</v>
      </c>
      <c r="AK1413" s="222">
        <f t="shared" si="165"/>
        <v>0</v>
      </c>
      <c r="AL1413" s="212" t="str">
        <f t="shared" si="166"/>
        <v/>
      </c>
      <c r="AM1413" s="212" t="str">
        <f>VLOOKUP(A1413,'Table corresp.'!$M$4:$U$63,8,FALSE)</f>
        <v xml:space="preserve">Mise en œuvre </v>
      </c>
      <c r="AN1413" s="212" t="str">
        <f>VLOOKUP(D1413,'Table corresp.'!$M$4:$U$63,9,FALSE)</f>
        <v>Consommation finale française</v>
      </c>
    </row>
    <row r="1414" spans="1:40" x14ac:dyDescent="0.25">
      <c r="A1414" t="s">
        <v>26</v>
      </c>
      <c r="B1414" t="str">
        <f>VLOOKUP(LEFT(A1414,3),'Table corresp.'!$A$4:$D$63,3,FALSE)</f>
        <v>Transformation</v>
      </c>
      <c r="C1414" t="str">
        <f>VLOOKUP(A1414,'Table corresp.'!$M$4:$P$63,4,FALSE)</f>
        <v>Mise en oeuvre de produits bois</v>
      </c>
      <c r="D1414" t="s">
        <v>54</v>
      </c>
      <c r="E1414" t="str">
        <f>VLOOKUP(LEFT(D1414,3),'Table corresp.'!$A$4:$D$63,4,FALSE)</f>
        <v>Consommation finale</v>
      </c>
      <c r="F1414" t="str">
        <f t="shared" si="167"/>
        <v>59  - Con</v>
      </c>
      <c r="G1414" s="213">
        <v>300133.35637605679</v>
      </c>
      <c r="H1414" s="213">
        <v>0</v>
      </c>
      <c r="I1414" s="213">
        <v>300133.35637605679</v>
      </c>
      <c r="J1414" s="215">
        <v>203.69000039396039</v>
      </c>
      <c r="K1414" s="215">
        <v>0</v>
      </c>
      <c r="L1414" s="215">
        <v>203.69000039396039</v>
      </c>
      <c r="M1414" s="215">
        <v>8.9034960652805886</v>
      </c>
      <c r="N1414" s="215">
        <v>0</v>
      </c>
      <c r="O1414" s="215">
        <v>8.9034960652805886</v>
      </c>
      <c r="P1414" s="215">
        <v>4.0654827102941375</v>
      </c>
      <c r="Q1414" s="215">
        <v>0</v>
      </c>
      <c r="R1414" s="215">
        <v>4.0654827102941375</v>
      </c>
      <c r="S1414" s="213" t="s">
        <v>192</v>
      </c>
      <c r="T1414" s="212">
        <f>VLOOKUP(A1414,'Groupe de branches'!$Z$27:$AM$86,14,FALSE)</f>
        <v>0</v>
      </c>
      <c r="U1414" s="212">
        <f>VLOOKUP(D1414,'Groupe de branches'!$Z$27:$AM$86,14,FALSE)</f>
        <v>0</v>
      </c>
      <c r="V1414" s="212">
        <v>2019</v>
      </c>
      <c r="W1414" s="212" t="str">
        <f>VLOOKUP(D1414,'Table corresp.'!$M$4:$S$63,7,FALSE)</f>
        <v>Consommation finale</v>
      </c>
      <c r="X1414" s="228">
        <f>IFERROR(G1414/SUMIFS('Comp2016-2017 (3)'!$I$5:$I$289,'Comp2016-2017 (3)'!$A$5:$A$289,A1414,'Comp2016-2017 (3)'!$R$5:$R$289,V1414),0)</f>
        <v>0.99999999982443055</v>
      </c>
      <c r="Y1414" s="214">
        <f>IFERROR(IF(RIGHT(F1414,3)="Exp",VLOOKUP(F1414,#REF!,2,FALSE),VLOOKUP(F1414,#REF!,9,FALSE)),1)</f>
        <v>1</v>
      </c>
      <c r="Z1414" s="225">
        <f t="shared" si="168"/>
        <v>1</v>
      </c>
      <c r="AA1414" s="225">
        <f t="shared" si="164"/>
        <v>0.99999999982443055</v>
      </c>
      <c r="AB1414" s="222">
        <f>IFERROR(SUMIFS('Comp2016-2017 (3)'!$G$5:$G$289,'Comp2016-2017 (3)'!$A$5:$A$289,A1414,'Comp2016-2017 (3)'!$R$5:$R$289,V1414)*AA1414/SUMIFS($AA$4:$AA$1858,$A$4:$A$1858,A1414,$V$4:$V$1858,V1414),0)</f>
        <v>102703.63949911247</v>
      </c>
      <c r="AC1414" s="222" t="str">
        <f>IF($W1414=AC$3,$AB1414,IF(NOT($W1414=0),"",SUMIFS('Val-Vol (2)'!AC$4:AC$1858,'Val-Vol (2)'!$A$4:$A$1858,$D1414,'Val-Vol (2)'!$V$4:$V$1858,$V1414)/SUMIFS('Comp2016-2017 (3)'!$G$5:$G$289,'Comp2016-2017 (3)'!$A$5:$A$289,$D1414,'Comp2016-2017 (3)'!$R$5:$R$289,$V1414)*$AB1414))</f>
        <v/>
      </c>
      <c r="AD1414" s="222" t="str">
        <f>IF($W1414=AD$3,$AB1414,IF(NOT($W1414=0),"",SUMIFS('Val-Vol (2)'!AD$4:AD$1858,'Val-Vol (2)'!$A$4:$A$1858,$D1414,'Val-Vol (2)'!$V$4:$V$1858,$V1414)/SUMIFS('Comp2016-2017 (3)'!$G$5:$G$289,'Comp2016-2017 (3)'!$A$5:$A$289,$D1414,'Comp2016-2017 (3)'!$R$5:$R$289,$V1414)*$AB1414))</f>
        <v/>
      </c>
      <c r="AE1414" s="222" t="str">
        <f>IF($W1414=AE$3,$AB1414,IF(NOT($W1414=0),"",SUMIFS('Val-Vol (2)'!AE$4:AE$1858,'Val-Vol (2)'!$A$4:$A$1858,$D1414,'Val-Vol (2)'!$V$4:$V$1858,$V1414)/SUMIFS('Comp2016-2017 (3)'!$G$5:$G$289,'Comp2016-2017 (3)'!$A$5:$A$289,$D1414,'Comp2016-2017 (3)'!$R$5:$R$289,$V1414)*$AB1414))</f>
        <v/>
      </c>
      <c r="AF1414" s="222" t="str">
        <f>IF($W1414=AF$3,$AB1414,IF(NOT($W1414=0),"",SUMIFS('Val-Vol (2)'!AF$4:AF$1858,'Val-Vol (2)'!$A$4:$A$1858,$D1414,'Val-Vol (2)'!$V$4:$V$1858,$V1414)/SUMIFS('Comp2016-2017 (3)'!$G$5:$G$289,'Comp2016-2017 (3)'!$A$5:$A$289,$D1414,'Comp2016-2017 (3)'!$R$5:$R$289,$V1414)*$AB1414))</f>
        <v/>
      </c>
      <c r="AG1414" s="222" t="str">
        <f>IF($W1414=AG$3,$AB1414,IF(NOT($W1414=0),"",SUMIFS('Val-Vol (2)'!AG$4:AG$1858,'Val-Vol (2)'!$A$4:$A$1858,$D1414,'Val-Vol (2)'!$V$4:$V$1858,$V1414)/SUMIFS('Comp2016-2017 (3)'!$G$5:$G$289,'Comp2016-2017 (3)'!$A$5:$A$289,$D1414,'Comp2016-2017 (3)'!$R$5:$R$289,$V1414)*$AB1414))</f>
        <v/>
      </c>
      <c r="AH1414" s="222" t="str">
        <f>IF($W1414=AH$3,$AB1414,IF(NOT($W1414=0),"",SUMIFS('Val-Vol (2)'!AH$4:AH$1858,'Val-Vol (2)'!$A$4:$A$1858,$D1414,'Val-Vol (2)'!$V$4:$V$1858,$V1414)/SUMIFS('Comp2016-2017 (3)'!$G$5:$G$289,'Comp2016-2017 (3)'!$A$5:$A$289,$D1414,'Comp2016-2017 (3)'!$R$5:$R$289,$V1414)*$AB1414))</f>
        <v/>
      </c>
      <c r="AI1414" s="222" t="str">
        <f>IF($W1414=AI$3,$AB1414,IF(NOT($W1414=0),"",SUMIFS('Val-Vol (2)'!AI$4:AI$1858,'Val-Vol (2)'!$A$4:$A$1858,$D1414,'Val-Vol (2)'!$V$4:$V$1858,$V1414)/SUMIFS('Comp2016-2017 (3)'!$G$5:$G$289,'Comp2016-2017 (3)'!$A$5:$A$289,$D1414,'Comp2016-2017 (3)'!$R$5:$R$289,$V1414)*$AB1414))</f>
        <v/>
      </c>
      <c r="AJ1414" s="222">
        <f>IF($W1414=AJ$3,$AB1414,IF(NOT($W1414=0),"",SUMIFS('Val-Vol (2)'!AJ$4:AJ$1858,'Val-Vol (2)'!$A$4:$A$1858,$D1414,'Val-Vol (2)'!$V$4:$V$1858,$V1414)/SUMIFS('Comp2016-2017 (3)'!$G$5:$G$289,'Comp2016-2017 (3)'!$A$5:$A$289,$D1414,'Comp2016-2017 (3)'!$R$5:$R$289,$V1414)*$AB1414))</f>
        <v>102703.63949911247</v>
      </c>
      <c r="AK1414" s="222">
        <f t="shared" si="165"/>
        <v>0</v>
      </c>
      <c r="AL1414" s="212" t="str">
        <f t="shared" si="166"/>
        <v/>
      </c>
      <c r="AM1414" s="212" t="str">
        <f>VLOOKUP(A1414,'Table corresp.'!$M$4:$U$63,8,FALSE)</f>
        <v xml:space="preserve">Mise en œuvre </v>
      </c>
      <c r="AN1414" s="212" t="str">
        <f>VLOOKUP(D1414,'Table corresp.'!$M$4:$U$63,9,FALSE)</f>
        <v>Consommation finale française</v>
      </c>
    </row>
    <row r="1415" spans="1:40" x14ac:dyDescent="0.25">
      <c r="A1415" t="s">
        <v>27</v>
      </c>
      <c r="B1415" t="str">
        <f>VLOOKUP(LEFT(A1415,3),'Table corresp.'!$A$4:$D$63,3,FALSE)</f>
        <v>Transformation</v>
      </c>
      <c r="C1415" t="str">
        <f>VLOOKUP(A1415,'Table corresp.'!$M$4:$P$63,4,FALSE)</f>
        <v>Mise en oeuvre de produits bois</v>
      </c>
      <c r="D1415" t="s">
        <v>54</v>
      </c>
      <c r="E1415" t="str">
        <f>VLOOKUP(LEFT(D1415,3),'Table corresp.'!$A$4:$D$63,4,FALSE)</f>
        <v>Consommation finale</v>
      </c>
      <c r="F1415" t="str">
        <f t="shared" si="167"/>
        <v>60  - Con</v>
      </c>
      <c r="G1415" s="213">
        <v>2091063.7953333331</v>
      </c>
      <c r="H1415" s="213">
        <v>0</v>
      </c>
      <c r="I1415" s="213">
        <v>2091063.7953333331</v>
      </c>
      <c r="J1415" s="215"/>
      <c r="K1415" s="215"/>
      <c r="L1415" s="215"/>
      <c r="M1415" s="215"/>
      <c r="N1415" s="215"/>
      <c r="O1415" s="215"/>
      <c r="P1415" s="215"/>
      <c r="Q1415" s="215"/>
      <c r="R1415" s="215"/>
      <c r="S1415" s="213"/>
      <c r="T1415" s="212">
        <f>VLOOKUP(A1415,'Groupe de branches'!$Z$27:$AM$86,14,FALSE)</f>
        <v>1</v>
      </c>
      <c r="U1415" s="212">
        <f>VLOOKUP(D1415,'Groupe de branches'!$Z$27:$AM$86,14,FALSE)</f>
        <v>0</v>
      </c>
      <c r="V1415" s="212">
        <v>2019</v>
      </c>
      <c r="W1415" s="212" t="str">
        <f>VLOOKUP(D1415,'Table corresp.'!$M$4:$S$63,7,FALSE)</f>
        <v>Consommation finale</v>
      </c>
      <c r="X1415" s="228">
        <f>IFERROR(G1415/SUMIFS('Comp2016-2017 (3)'!$I$5:$I$289,'Comp2016-2017 (3)'!$A$5:$A$289,A1415,'Comp2016-2017 (3)'!$R$5:$R$289,V1415),0)</f>
        <v>1</v>
      </c>
      <c r="Y1415" s="214">
        <f>IFERROR(IF(RIGHT(F1415,3)="Exp",VLOOKUP(F1415,#REF!,2,FALSE),VLOOKUP(F1415,#REF!,9,FALSE)),1)</f>
        <v>1</v>
      </c>
      <c r="Z1415" s="225">
        <f t="shared" si="168"/>
        <v>1</v>
      </c>
      <c r="AA1415" s="225">
        <f t="shared" si="164"/>
        <v>1</v>
      </c>
      <c r="AB1415" s="222">
        <f>IFERROR(SUMIFS('Comp2016-2017 (3)'!$G$5:$G$289,'Comp2016-2017 (3)'!$A$5:$A$289,A1415,'Comp2016-2017 (3)'!$R$5:$R$289,V1415)*AA1415/SUMIFS($AA$4:$AA$1858,$A$4:$A$1858,A1415,$V$4:$V$1858,V1415),0)</f>
        <v>823985.01869507483</v>
      </c>
      <c r="AC1415" s="222" t="str">
        <f>IF($W1415=AC$3,$AB1415,IF(NOT($W1415=0),"",SUMIFS('Val-Vol (2)'!AC$4:AC$1858,'Val-Vol (2)'!$A$4:$A$1858,$D1415,'Val-Vol (2)'!$V$4:$V$1858,$V1415)/SUMIFS('Comp2016-2017 (3)'!$G$5:$G$289,'Comp2016-2017 (3)'!$A$5:$A$289,$D1415,'Comp2016-2017 (3)'!$R$5:$R$289,$V1415)*$AB1415))</f>
        <v/>
      </c>
      <c r="AD1415" s="222" t="str">
        <f>IF($W1415=AD$3,$AB1415,IF(NOT($W1415=0),"",SUMIFS('Val-Vol (2)'!AD$4:AD$1858,'Val-Vol (2)'!$A$4:$A$1858,$D1415,'Val-Vol (2)'!$V$4:$V$1858,$V1415)/SUMIFS('Comp2016-2017 (3)'!$G$5:$G$289,'Comp2016-2017 (3)'!$A$5:$A$289,$D1415,'Comp2016-2017 (3)'!$R$5:$R$289,$V1415)*$AB1415))</f>
        <v/>
      </c>
      <c r="AE1415" s="222" t="str">
        <f>IF($W1415=AE$3,$AB1415,IF(NOT($W1415=0),"",SUMIFS('Val-Vol (2)'!AE$4:AE$1858,'Val-Vol (2)'!$A$4:$A$1858,$D1415,'Val-Vol (2)'!$V$4:$V$1858,$V1415)/SUMIFS('Comp2016-2017 (3)'!$G$5:$G$289,'Comp2016-2017 (3)'!$A$5:$A$289,$D1415,'Comp2016-2017 (3)'!$R$5:$R$289,$V1415)*$AB1415))</f>
        <v/>
      </c>
      <c r="AF1415" s="222" t="str">
        <f>IF($W1415=AF$3,$AB1415,IF(NOT($W1415=0),"",SUMIFS('Val-Vol (2)'!AF$4:AF$1858,'Val-Vol (2)'!$A$4:$A$1858,$D1415,'Val-Vol (2)'!$V$4:$V$1858,$V1415)/SUMIFS('Comp2016-2017 (3)'!$G$5:$G$289,'Comp2016-2017 (3)'!$A$5:$A$289,$D1415,'Comp2016-2017 (3)'!$R$5:$R$289,$V1415)*$AB1415))</f>
        <v/>
      </c>
      <c r="AG1415" s="222" t="str">
        <f>IF($W1415=AG$3,$AB1415,IF(NOT($W1415=0),"",SUMIFS('Val-Vol (2)'!AG$4:AG$1858,'Val-Vol (2)'!$A$4:$A$1858,$D1415,'Val-Vol (2)'!$V$4:$V$1858,$V1415)/SUMIFS('Comp2016-2017 (3)'!$G$5:$G$289,'Comp2016-2017 (3)'!$A$5:$A$289,$D1415,'Comp2016-2017 (3)'!$R$5:$R$289,$V1415)*$AB1415))</f>
        <v/>
      </c>
      <c r="AH1415" s="222" t="str">
        <f>IF($W1415=AH$3,$AB1415,IF(NOT($W1415=0),"",SUMIFS('Val-Vol (2)'!AH$4:AH$1858,'Val-Vol (2)'!$A$4:$A$1858,$D1415,'Val-Vol (2)'!$V$4:$V$1858,$V1415)/SUMIFS('Comp2016-2017 (3)'!$G$5:$G$289,'Comp2016-2017 (3)'!$A$5:$A$289,$D1415,'Comp2016-2017 (3)'!$R$5:$R$289,$V1415)*$AB1415))</f>
        <v/>
      </c>
      <c r="AI1415" s="222" t="str">
        <f>IF($W1415=AI$3,$AB1415,IF(NOT($W1415=0),"",SUMIFS('Val-Vol (2)'!AI$4:AI$1858,'Val-Vol (2)'!$A$4:$A$1858,$D1415,'Val-Vol (2)'!$V$4:$V$1858,$V1415)/SUMIFS('Comp2016-2017 (3)'!$G$5:$G$289,'Comp2016-2017 (3)'!$A$5:$A$289,$D1415,'Comp2016-2017 (3)'!$R$5:$R$289,$V1415)*$AB1415))</f>
        <v/>
      </c>
      <c r="AJ1415" s="222">
        <f>IF($W1415=AJ$3,$AB1415,IF(NOT($W1415=0),"",SUMIFS('Val-Vol (2)'!AJ$4:AJ$1858,'Val-Vol (2)'!$A$4:$A$1858,$D1415,'Val-Vol (2)'!$V$4:$V$1858,$V1415)/SUMIFS('Comp2016-2017 (3)'!$G$5:$G$289,'Comp2016-2017 (3)'!$A$5:$A$289,$D1415,'Comp2016-2017 (3)'!$R$5:$R$289,$V1415)*$AB1415))</f>
        <v>823985.01869507483</v>
      </c>
      <c r="AK1415" s="222">
        <f t="shared" si="165"/>
        <v>0</v>
      </c>
      <c r="AL1415" s="212" t="str">
        <f t="shared" si="166"/>
        <v/>
      </c>
      <c r="AM1415" s="212" t="str">
        <f>VLOOKUP(A1415,'Table corresp.'!$M$4:$U$63,8,FALSE)</f>
        <v xml:space="preserve">Mise en œuvre </v>
      </c>
      <c r="AN1415" s="212" t="str">
        <f>VLOOKUP(D1415,'Table corresp.'!$M$4:$U$63,9,FALSE)</f>
        <v>Consommation finale française</v>
      </c>
    </row>
    <row r="1416" spans="1:40" x14ac:dyDescent="0.25">
      <c r="A1416" t="s">
        <v>104</v>
      </c>
      <c r="B1416" t="str">
        <f>VLOOKUP(LEFT(A1416,3),'Table corresp.'!$A$4:$D$63,3,FALSE)</f>
        <v>Transformation</v>
      </c>
      <c r="C1416" t="str">
        <f>VLOOKUP(A1416,'Table corresp.'!$M$4:$P$63,4,FALSE)</f>
        <v>Commerces et services</v>
      </c>
      <c r="D1416" t="s">
        <v>19</v>
      </c>
      <c r="E1416" t="str">
        <f>VLOOKUP(LEFT(D1416,3),'Table corresp.'!$A$4:$D$63,4,FALSE)</f>
        <v>Transformation</v>
      </c>
      <c r="F1416" t="str">
        <f t="shared" si="167"/>
        <v xml:space="preserve">61  - 52 </v>
      </c>
      <c r="G1416" s="213">
        <v>52440.596779334075</v>
      </c>
      <c r="H1416" s="213">
        <v>0</v>
      </c>
      <c r="I1416" s="213">
        <v>52440.596779334075</v>
      </c>
      <c r="J1416" s="215"/>
      <c r="K1416" s="215"/>
      <c r="L1416" s="215"/>
      <c r="M1416" s="215"/>
      <c r="N1416" s="215"/>
      <c r="O1416" s="215"/>
      <c r="P1416" s="215"/>
      <c r="Q1416" s="215"/>
      <c r="R1416" s="215"/>
      <c r="S1416" s="213"/>
      <c r="T1416" s="212">
        <f>VLOOKUP(A1416,'Groupe de branches'!$Z$27:$AM$86,14,FALSE)</f>
        <v>0</v>
      </c>
      <c r="U1416" s="212">
        <f>VLOOKUP(D1416,'Groupe de branches'!$Z$27:$AM$86,14,FALSE)</f>
        <v>0</v>
      </c>
      <c r="V1416" s="212">
        <v>2019</v>
      </c>
      <c r="W1416" s="212" t="str">
        <f>VLOOKUP(D1416,'Table corresp.'!$M$4:$S$63,7,FALSE)</f>
        <v>Construction</v>
      </c>
      <c r="X1416" s="228">
        <f>IFERROR(G1416/SUMIFS('Comp2016-2017 (3)'!$I$5:$I$289,'Comp2016-2017 (3)'!$A$5:$A$289,A1416,'Comp2016-2017 (3)'!$R$5:$R$289,V1416),0)</f>
        <v>3.2997389736918077E-2</v>
      </c>
      <c r="Y1416" s="214">
        <f>IFERROR(IF(RIGHT(F1416,3)="Exp",VLOOKUP(F1416,#REF!,2,FALSE),VLOOKUP(F1416,#REF!,9,FALSE)),1)</f>
        <v>1</v>
      </c>
      <c r="Z1416" s="225">
        <f t="shared" si="168"/>
        <v>0.1111111111111111</v>
      </c>
      <c r="AA1416" s="225">
        <f t="shared" si="164"/>
        <v>3.6663766374353418E-3</v>
      </c>
      <c r="AB1416" s="222">
        <f>IFERROR(SUMIFS('Comp2016-2017 (3)'!$G$5:$G$289,'Comp2016-2017 (3)'!$A$5:$A$289,A1416,'Comp2016-2017 (3)'!$R$5:$R$289,V1416)*AA1416/SUMIFS($AA$4:$AA$1858,$A$4:$A$1858,A1416,$V$4:$V$1858,V1416),0)</f>
        <v>52440.59670684002</v>
      </c>
      <c r="AC1416" s="222" t="str">
        <f>IF($W1416=AC$3,$AB1416,IF(NOT($W1416=0),"",SUMIFS('Val-Vol (2)'!AC$4:AC$1858,'Val-Vol (2)'!$A$4:$A$1858,$D1416,'Val-Vol (2)'!$V$4:$V$1858,$V1416)/SUMIFS('Comp2016-2017 (3)'!$G$5:$G$289,'Comp2016-2017 (3)'!$A$5:$A$289,$D1416,'Comp2016-2017 (3)'!$R$5:$R$289,$V1416)*$AB1416))</f>
        <v/>
      </c>
      <c r="AD1416" s="222">
        <f>IF($W1416=AD$3,$AB1416,IF(NOT($W1416=0),"",SUMIFS('Val-Vol (2)'!AD$4:AD$1858,'Val-Vol (2)'!$A$4:$A$1858,$D1416,'Val-Vol (2)'!$V$4:$V$1858,$V1416)/SUMIFS('Comp2016-2017 (3)'!$G$5:$G$289,'Comp2016-2017 (3)'!$A$5:$A$289,$D1416,'Comp2016-2017 (3)'!$R$5:$R$289,$V1416)*$AB1416))</f>
        <v>52440.59670684002</v>
      </c>
      <c r="AE1416" s="222" t="str">
        <f>IF($W1416=AE$3,$AB1416,IF(NOT($W1416=0),"",SUMIFS('Val-Vol (2)'!AE$4:AE$1858,'Val-Vol (2)'!$A$4:$A$1858,$D1416,'Val-Vol (2)'!$V$4:$V$1858,$V1416)/SUMIFS('Comp2016-2017 (3)'!$G$5:$G$289,'Comp2016-2017 (3)'!$A$5:$A$289,$D1416,'Comp2016-2017 (3)'!$R$5:$R$289,$V1416)*$AB1416))</f>
        <v/>
      </c>
      <c r="AF1416" s="222" t="str">
        <f>IF($W1416=AF$3,$AB1416,IF(NOT($W1416=0),"",SUMIFS('Val-Vol (2)'!AF$4:AF$1858,'Val-Vol (2)'!$A$4:$A$1858,$D1416,'Val-Vol (2)'!$V$4:$V$1858,$V1416)/SUMIFS('Comp2016-2017 (3)'!$G$5:$G$289,'Comp2016-2017 (3)'!$A$5:$A$289,$D1416,'Comp2016-2017 (3)'!$R$5:$R$289,$V1416)*$AB1416))</f>
        <v/>
      </c>
      <c r="AG1416" s="222" t="str">
        <f>IF($W1416=AG$3,$AB1416,IF(NOT($W1416=0),"",SUMIFS('Val-Vol (2)'!AG$4:AG$1858,'Val-Vol (2)'!$A$4:$A$1858,$D1416,'Val-Vol (2)'!$V$4:$V$1858,$V1416)/SUMIFS('Comp2016-2017 (3)'!$G$5:$G$289,'Comp2016-2017 (3)'!$A$5:$A$289,$D1416,'Comp2016-2017 (3)'!$R$5:$R$289,$V1416)*$AB1416))</f>
        <v/>
      </c>
      <c r="AH1416" s="222" t="str">
        <f>IF($W1416=AH$3,$AB1416,IF(NOT($W1416=0),"",SUMIFS('Val-Vol (2)'!AH$4:AH$1858,'Val-Vol (2)'!$A$4:$A$1858,$D1416,'Val-Vol (2)'!$V$4:$V$1858,$V1416)/SUMIFS('Comp2016-2017 (3)'!$G$5:$G$289,'Comp2016-2017 (3)'!$A$5:$A$289,$D1416,'Comp2016-2017 (3)'!$R$5:$R$289,$V1416)*$AB1416))</f>
        <v/>
      </c>
      <c r="AI1416" s="222" t="str">
        <f>IF($W1416=AI$3,$AB1416,IF(NOT($W1416=0),"",SUMIFS('Val-Vol (2)'!AI$4:AI$1858,'Val-Vol (2)'!$A$4:$A$1858,$D1416,'Val-Vol (2)'!$V$4:$V$1858,$V1416)/SUMIFS('Comp2016-2017 (3)'!$G$5:$G$289,'Comp2016-2017 (3)'!$A$5:$A$289,$D1416,'Comp2016-2017 (3)'!$R$5:$R$289,$V1416)*$AB1416))</f>
        <v/>
      </c>
      <c r="AJ1416" s="222" t="str">
        <f>IF($W1416=AJ$3,$AB1416,IF(NOT($W1416=0),"",SUMIFS('Val-Vol (2)'!AJ$4:AJ$1858,'Val-Vol (2)'!$A$4:$A$1858,$D1416,'Val-Vol (2)'!$V$4:$V$1858,$V1416)/SUMIFS('Comp2016-2017 (3)'!$G$5:$G$289,'Comp2016-2017 (3)'!$A$5:$A$289,$D1416,'Comp2016-2017 (3)'!$R$5:$R$289,$V1416)*$AB1416))</f>
        <v/>
      </c>
      <c r="AK1416" s="222">
        <f t="shared" si="165"/>
        <v>0</v>
      </c>
      <c r="AL1416" s="212" t="str">
        <f t="shared" si="166"/>
        <v/>
      </c>
      <c r="AM1416" s="212" t="str">
        <f>VLOOKUP(A1416,'Table corresp.'!$M$4:$U$63,8,FALSE)</f>
        <v xml:space="preserve">Mise en œuvre </v>
      </c>
      <c r="AN1416" s="212" t="str">
        <f>VLOOKUP(D1416,'Table corresp.'!$M$4:$U$63,9,FALSE)</f>
        <v xml:space="preserve">Mise en œuvre </v>
      </c>
    </row>
    <row r="1417" spans="1:40" x14ac:dyDescent="0.25">
      <c r="A1417" t="s">
        <v>104</v>
      </c>
      <c r="B1417" t="str">
        <f>VLOOKUP(LEFT(A1417,3),'Table corresp.'!$A$4:$D$63,3,FALSE)</f>
        <v>Transformation</v>
      </c>
      <c r="C1417" t="str">
        <f>VLOOKUP(A1417,'Table corresp.'!$M$4:$P$63,4,FALSE)</f>
        <v>Commerces et services</v>
      </c>
      <c r="D1417" t="s">
        <v>20</v>
      </c>
      <c r="E1417" t="str">
        <f>VLOOKUP(LEFT(D1417,3),'Table corresp.'!$A$4:$D$63,4,FALSE)</f>
        <v>Transformation</v>
      </c>
      <c r="F1417" t="str">
        <f t="shared" si="167"/>
        <v xml:space="preserve">61  - 53 </v>
      </c>
      <c r="G1417" s="213">
        <v>8947.368313299643</v>
      </c>
      <c r="H1417" s="213">
        <v>0</v>
      </c>
      <c r="I1417" s="213">
        <v>8947.368313299643</v>
      </c>
      <c r="J1417" s="215"/>
      <c r="K1417" s="215"/>
      <c r="L1417" s="215"/>
      <c r="M1417" s="215"/>
      <c r="N1417" s="215"/>
      <c r="O1417" s="215"/>
      <c r="P1417" s="215"/>
      <c r="Q1417" s="215"/>
      <c r="R1417" s="215"/>
      <c r="S1417" s="213"/>
      <c r="T1417" s="212">
        <f>VLOOKUP(A1417,'Groupe de branches'!$Z$27:$AM$86,14,FALSE)</f>
        <v>0</v>
      </c>
      <c r="U1417" s="212">
        <f>VLOOKUP(D1417,'Groupe de branches'!$Z$27:$AM$86,14,FALSE)</f>
        <v>0</v>
      </c>
      <c r="V1417" s="212">
        <v>2019</v>
      </c>
      <c r="W1417" s="212" t="str">
        <f>VLOOKUP(D1417,'Table corresp.'!$M$4:$S$63,7,FALSE)</f>
        <v>Construction</v>
      </c>
      <c r="X1417" s="228">
        <f>IFERROR(G1417/SUMIFS('Comp2016-2017 (3)'!$I$5:$I$289,'Comp2016-2017 (3)'!$A$5:$A$289,A1417,'Comp2016-2017 (3)'!$R$5:$R$289,V1417),0)</f>
        <v>5.6299854976106694E-3</v>
      </c>
      <c r="Y1417" s="214">
        <f>IFERROR(IF(RIGHT(F1417,3)="Exp",VLOOKUP(F1417,#REF!,2,FALSE),VLOOKUP(F1417,#REF!,9,FALSE)),1)</f>
        <v>1</v>
      </c>
      <c r="Z1417" s="225">
        <f t="shared" si="168"/>
        <v>0.1111111111111111</v>
      </c>
      <c r="AA1417" s="225">
        <f t="shared" si="164"/>
        <v>6.2555394417896325E-4</v>
      </c>
      <c r="AB1417" s="222">
        <f>IFERROR(SUMIFS('Comp2016-2017 (3)'!$G$5:$G$289,'Comp2016-2017 (3)'!$A$5:$A$289,A1417,'Comp2016-2017 (3)'!$R$5:$R$289,V1417)*AA1417/SUMIFS($AA$4:$AA$1858,$A$4:$A$1858,A1417,$V$4:$V$1858,V1417),0)</f>
        <v>8947.3683009307715</v>
      </c>
      <c r="AC1417" s="222" t="str">
        <f>IF($W1417=AC$3,$AB1417,IF(NOT($W1417=0),"",SUMIFS('Val-Vol (2)'!AC$4:AC$1858,'Val-Vol (2)'!$A$4:$A$1858,$D1417,'Val-Vol (2)'!$V$4:$V$1858,$V1417)/SUMIFS('Comp2016-2017 (3)'!$G$5:$G$289,'Comp2016-2017 (3)'!$A$5:$A$289,$D1417,'Comp2016-2017 (3)'!$R$5:$R$289,$V1417)*$AB1417))</f>
        <v/>
      </c>
      <c r="AD1417" s="222">
        <f>IF($W1417=AD$3,$AB1417,IF(NOT($W1417=0),"",SUMIFS('Val-Vol (2)'!AD$4:AD$1858,'Val-Vol (2)'!$A$4:$A$1858,$D1417,'Val-Vol (2)'!$V$4:$V$1858,$V1417)/SUMIFS('Comp2016-2017 (3)'!$G$5:$G$289,'Comp2016-2017 (3)'!$A$5:$A$289,$D1417,'Comp2016-2017 (3)'!$R$5:$R$289,$V1417)*$AB1417))</f>
        <v>8947.3683009307715</v>
      </c>
      <c r="AE1417" s="222" t="str">
        <f>IF($W1417=AE$3,$AB1417,IF(NOT($W1417=0),"",SUMIFS('Val-Vol (2)'!AE$4:AE$1858,'Val-Vol (2)'!$A$4:$A$1858,$D1417,'Val-Vol (2)'!$V$4:$V$1858,$V1417)/SUMIFS('Comp2016-2017 (3)'!$G$5:$G$289,'Comp2016-2017 (3)'!$A$5:$A$289,$D1417,'Comp2016-2017 (3)'!$R$5:$R$289,$V1417)*$AB1417))</f>
        <v/>
      </c>
      <c r="AF1417" s="222" t="str">
        <f>IF($W1417=AF$3,$AB1417,IF(NOT($W1417=0),"",SUMIFS('Val-Vol (2)'!AF$4:AF$1858,'Val-Vol (2)'!$A$4:$A$1858,$D1417,'Val-Vol (2)'!$V$4:$V$1858,$V1417)/SUMIFS('Comp2016-2017 (3)'!$G$5:$G$289,'Comp2016-2017 (3)'!$A$5:$A$289,$D1417,'Comp2016-2017 (3)'!$R$5:$R$289,$V1417)*$AB1417))</f>
        <v/>
      </c>
      <c r="AG1417" s="222" t="str">
        <f>IF($W1417=AG$3,$AB1417,IF(NOT($W1417=0),"",SUMIFS('Val-Vol (2)'!AG$4:AG$1858,'Val-Vol (2)'!$A$4:$A$1858,$D1417,'Val-Vol (2)'!$V$4:$V$1858,$V1417)/SUMIFS('Comp2016-2017 (3)'!$G$5:$G$289,'Comp2016-2017 (3)'!$A$5:$A$289,$D1417,'Comp2016-2017 (3)'!$R$5:$R$289,$V1417)*$AB1417))</f>
        <v/>
      </c>
      <c r="AH1417" s="222" t="str">
        <f>IF($W1417=AH$3,$AB1417,IF(NOT($W1417=0),"",SUMIFS('Val-Vol (2)'!AH$4:AH$1858,'Val-Vol (2)'!$A$4:$A$1858,$D1417,'Val-Vol (2)'!$V$4:$V$1858,$V1417)/SUMIFS('Comp2016-2017 (3)'!$G$5:$G$289,'Comp2016-2017 (3)'!$A$5:$A$289,$D1417,'Comp2016-2017 (3)'!$R$5:$R$289,$V1417)*$AB1417))</f>
        <v/>
      </c>
      <c r="AI1417" s="222" t="str">
        <f>IF($W1417=AI$3,$AB1417,IF(NOT($W1417=0),"",SUMIFS('Val-Vol (2)'!AI$4:AI$1858,'Val-Vol (2)'!$A$4:$A$1858,$D1417,'Val-Vol (2)'!$V$4:$V$1858,$V1417)/SUMIFS('Comp2016-2017 (3)'!$G$5:$G$289,'Comp2016-2017 (3)'!$A$5:$A$289,$D1417,'Comp2016-2017 (3)'!$R$5:$R$289,$V1417)*$AB1417))</f>
        <v/>
      </c>
      <c r="AJ1417" s="222" t="str">
        <f>IF($W1417=AJ$3,$AB1417,IF(NOT($W1417=0),"",SUMIFS('Val-Vol (2)'!AJ$4:AJ$1858,'Val-Vol (2)'!$A$4:$A$1858,$D1417,'Val-Vol (2)'!$V$4:$V$1858,$V1417)/SUMIFS('Comp2016-2017 (3)'!$G$5:$G$289,'Comp2016-2017 (3)'!$A$5:$A$289,$D1417,'Comp2016-2017 (3)'!$R$5:$R$289,$V1417)*$AB1417))</f>
        <v/>
      </c>
      <c r="AK1417" s="222">
        <f t="shared" si="165"/>
        <v>0</v>
      </c>
      <c r="AL1417" s="212" t="str">
        <f t="shared" si="166"/>
        <v/>
      </c>
      <c r="AM1417" s="212" t="str">
        <f>VLOOKUP(A1417,'Table corresp.'!$M$4:$U$63,8,FALSE)</f>
        <v xml:space="preserve">Mise en œuvre </v>
      </c>
      <c r="AN1417" s="212" t="str">
        <f>VLOOKUP(D1417,'Table corresp.'!$M$4:$U$63,9,FALSE)</f>
        <v xml:space="preserve">Mise en œuvre </v>
      </c>
    </row>
    <row r="1418" spans="1:40" x14ac:dyDescent="0.25">
      <c r="A1418" t="s">
        <v>104</v>
      </c>
      <c r="B1418" t="str">
        <f>VLOOKUP(LEFT(A1418,3),'Table corresp.'!$A$4:$D$63,3,FALSE)</f>
        <v>Transformation</v>
      </c>
      <c r="C1418" t="str">
        <f>VLOOKUP(A1418,'Table corresp.'!$M$4:$P$63,4,FALSE)</f>
        <v>Commerces et services</v>
      </c>
      <c r="D1418" t="s">
        <v>21</v>
      </c>
      <c r="E1418" t="str">
        <f>VLOOKUP(LEFT(D1418,3),'Table corresp.'!$A$4:$D$63,4,FALSE)</f>
        <v>Transformation</v>
      </c>
      <c r="F1418" t="str">
        <f t="shared" si="167"/>
        <v xml:space="preserve">61  - 54 </v>
      </c>
      <c r="G1418" s="213">
        <v>623932.92648895714</v>
      </c>
      <c r="H1418" s="213">
        <v>0</v>
      </c>
      <c r="I1418" s="213">
        <v>623932.92648895714</v>
      </c>
      <c r="J1418" s="215"/>
      <c r="K1418" s="215"/>
      <c r="L1418" s="215"/>
      <c r="M1418" s="215"/>
      <c r="N1418" s="215"/>
      <c r="O1418" s="215"/>
      <c r="P1418" s="215"/>
      <c r="Q1418" s="215"/>
      <c r="R1418" s="215"/>
      <c r="S1418" s="213"/>
      <c r="T1418" s="212">
        <f>VLOOKUP(A1418,'Groupe de branches'!$Z$27:$AM$86,14,FALSE)</f>
        <v>0</v>
      </c>
      <c r="U1418" s="212">
        <f>VLOOKUP(D1418,'Groupe de branches'!$Z$27:$AM$86,14,FALSE)</f>
        <v>0</v>
      </c>
      <c r="V1418" s="212">
        <v>2019</v>
      </c>
      <c r="W1418" s="212" t="str">
        <f>VLOOKUP(D1418,'Table corresp.'!$M$4:$S$63,7,FALSE)</f>
        <v>Construction</v>
      </c>
      <c r="X1418" s="228">
        <f>IFERROR(G1418/SUMIFS('Comp2016-2017 (3)'!$I$5:$I$289,'Comp2016-2017 (3)'!$A$5:$A$289,A1418,'Comp2016-2017 (3)'!$R$5:$R$289,V1418),0)</f>
        <v>0.39259961193205584</v>
      </c>
      <c r="Y1418" s="214">
        <f>IFERROR(IF(RIGHT(F1418,3)="Exp",VLOOKUP(F1418,#REF!,2,FALSE),VLOOKUP(F1418,#REF!,9,FALSE)),1)</f>
        <v>1</v>
      </c>
      <c r="Z1418" s="225">
        <f t="shared" si="168"/>
        <v>0.1111111111111111</v>
      </c>
      <c r="AA1418" s="225">
        <f t="shared" si="164"/>
        <v>4.362217910356176E-2</v>
      </c>
      <c r="AB1418" s="222">
        <f>IFERROR(SUMIFS('Comp2016-2017 (3)'!$G$5:$G$289,'Comp2016-2017 (3)'!$A$5:$A$289,A1418,'Comp2016-2017 (3)'!$R$5:$R$289,V1418)*AA1418/SUMIFS($AA$4:$AA$1858,$A$4:$A$1858,A1418,$V$4:$V$1858,V1418),0)</f>
        <v>623932.92562643019</v>
      </c>
      <c r="AC1418" s="222" t="str">
        <f>IF($W1418=AC$3,$AB1418,IF(NOT($W1418=0),"",SUMIFS('Val-Vol (2)'!AC$4:AC$1858,'Val-Vol (2)'!$A$4:$A$1858,$D1418,'Val-Vol (2)'!$V$4:$V$1858,$V1418)/SUMIFS('Comp2016-2017 (3)'!$G$5:$G$289,'Comp2016-2017 (3)'!$A$5:$A$289,$D1418,'Comp2016-2017 (3)'!$R$5:$R$289,$V1418)*$AB1418))</f>
        <v/>
      </c>
      <c r="AD1418" s="222">
        <f>IF($W1418=AD$3,$AB1418,IF(NOT($W1418=0),"",SUMIFS('Val-Vol (2)'!AD$4:AD$1858,'Val-Vol (2)'!$A$4:$A$1858,$D1418,'Val-Vol (2)'!$V$4:$V$1858,$V1418)/SUMIFS('Comp2016-2017 (3)'!$G$5:$G$289,'Comp2016-2017 (3)'!$A$5:$A$289,$D1418,'Comp2016-2017 (3)'!$R$5:$R$289,$V1418)*$AB1418))</f>
        <v>623932.92562643019</v>
      </c>
      <c r="AE1418" s="222" t="str">
        <f>IF($W1418=AE$3,$AB1418,IF(NOT($W1418=0),"",SUMIFS('Val-Vol (2)'!AE$4:AE$1858,'Val-Vol (2)'!$A$4:$A$1858,$D1418,'Val-Vol (2)'!$V$4:$V$1858,$V1418)/SUMIFS('Comp2016-2017 (3)'!$G$5:$G$289,'Comp2016-2017 (3)'!$A$5:$A$289,$D1418,'Comp2016-2017 (3)'!$R$5:$R$289,$V1418)*$AB1418))</f>
        <v/>
      </c>
      <c r="AF1418" s="222" t="str">
        <f>IF($W1418=AF$3,$AB1418,IF(NOT($W1418=0),"",SUMIFS('Val-Vol (2)'!AF$4:AF$1858,'Val-Vol (2)'!$A$4:$A$1858,$D1418,'Val-Vol (2)'!$V$4:$V$1858,$V1418)/SUMIFS('Comp2016-2017 (3)'!$G$5:$G$289,'Comp2016-2017 (3)'!$A$5:$A$289,$D1418,'Comp2016-2017 (3)'!$R$5:$R$289,$V1418)*$AB1418))</f>
        <v/>
      </c>
      <c r="AG1418" s="222" t="str">
        <f>IF($W1418=AG$3,$AB1418,IF(NOT($W1418=0),"",SUMIFS('Val-Vol (2)'!AG$4:AG$1858,'Val-Vol (2)'!$A$4:$A$1858,$D1418,'Val-Vol (2)'!$V$4:$V$1858,$V1418)/SUMIFS('Comp2016-2017 (3)'!$G$5:$G$289,'Comp2016-2017 (3)'!$A$5:$A$289,$D1418,'Comp2016-2017 (3)'!$R$5:$R$289,$V1418)*$AB1418))</f>
        <v/>
      </c>
      <c r="AH1418" s="222" t="str">
        <f>IF($W1418=AH$3,$AB1418,IF(NOT($W1418=0),"",SUMIFS('Val-Vol (2)'!AH$4:AH$1858,'Val-Vol (2)'!$A$4:$A$1858,$D1418,'Val-Vol (2)'!$V$4:$V$1858,$V1418)/SUMIFS('Comp2016-2017 (3)'!$G$5:$G$289,'Comp2016-2017 (3)'!$A$5:$A$289,$D1418,'Comp2016-2017 (3)'!$R$5:$R$289,$V1418)*$AB1418))</f>
        <v/>
      </c>
      <c r="AI1418" s="222" t="str">
        <f>IF($W1418=AI$3,$AB1418,IF(NOT($W1418=0),"",SUMIFS('Val-Vol (2)'!AI$4:AI$1858,'Val-Vol (2)'!$A$4:$A$1858,$D1418,'Val-Vol (2)'!$V$4:$V$1858,$V1418)/SUMIFS('Comp2016-2017 (3)'!$G$5:$G$289,'Comp2016-2017 (3)'!$A$5:$A$289,$D1418,'Comp2016-2017 (3)'!$R$5:$R$289,$V1418)*$AB1418))</f>
        <v/>
      </c>
      <c r="AJ1418" s="222" t="str">
        <f>IF($W1418=AJ$3,$AB1418,IF(NOT($W1418=0),"",SUMIFS('Val-Vol (2)'!AJ$4:AJ$1858,'Val-Vol (2)'!$A$4:$A$1858,$D1418,'Val-Vol (2)'!$V$4:$V$1858,$V1418)/SUMIFS('Comp2016-2017 (3)'!$G$5:$G$289,'Comp2016-2017 (3)'!$A$5:$A$289,$D1418,'Comp2016-2017 (3)'!$R$5:$R$289,$V1418)*$AB1418))</f>
        <v/>
      </c>
      <c r="AK1418" s="222">
        <f t="shared" si="165"/>
        <v>0</v>
      </c>
      <c r="AL1418" s="212" t="str">
        <f t="shared" si="166"/>
        <v/>
      </c>
      <c r="AM1418" s="212" t="str">
        <f>VLOOKUP(A1418,'Table corresp.'!$M$4:$U$63,8,FALSE)</f>
        <v xml:space="preserve">Mise en œuvre </v>
      </c>
      <c r="AN1418" s="212" t="str">
        <f>VLOOKUP(D1418,'Table corresp.'!$M$4:$U$63,9,FALSE)</f>
        <v xml:space="preserve">Mise en œuvre </v>
      </c>
    </row>
    <row r="1419" spans="1:40" x14ac:dyDescent="0.25">
      <c r="A1419" t="s">
        <v>104</v>
      </c>
      <c r="B1419" t="str">
        <f>VLOOKUP(LEFT(A1419,3),'Table corresp.'!$A$4:$D$63,3,FALSE)</f>
        <v>Transformation</v>
      </c>
      <c r="C1419" t="str">
        <f>VLOOKUP(A1419,'Table corresp.'!$M$4:$P$63,4,FALSE)</f>
        <v>Commerces et services</v>
      </c>
      <c r="D1419" t="s">
        <v>22</v>
      </c>
      <c r="E1419" t="str">
        <f>VLOOKUP(LEFT(D1419,3),'Table corresp.'!$A$4:$D$63,4,FALSE)</f>
        <v>Transformation</v>
      </c>
      <c r="F1419" t="str">
        <f t="shared" si="167"/>
        <v xml:space="preserve">61  - 55 </v>
      </c>
      <c r="G1419" s="213">
        <v>133174.03461175846</v>
      </c>
      <c r="H1419" s="213">
        <v>0</v>
      </c>
      <c r="I1419" s="213">
        <v>133174.03461175846</v>
      </c>
      <c r="J1419" s="215"/>
      <c r="K1419" s="215"/>
      <c r="L1419" s="215"/>
      <c r="M1419" s="215"/>
      <c r="N1419" s="215"/>
      <c r="O1419" s="215"/>
      <c r="P1419" s="215"/>
      <c r="Q1419" s="215"/>
      <c r="R1419" s="215"/>
      <c r="S1419" s="213"/>
      <c r="T1419" s="212">
        <f>VLOOKUP(A1419,'Groupe de branches'!$Z$27:$AM$86,14,FALSE)</f>
        <v>0</v>
      </c>
      <c r="U1419" s="212">
        <f>VLOOKUP(D1419,'Groupe de branches'!$Z$27:$AM$86,14,FALSE)</f>
        <v>0</v>
      </c>
      <c r="V1419" s="212">
        <v>2019</v>
      </c>
      <c r="W1419" s="212" t="str">
        <f>VLOOKUP(D1419,'Table corresp.'!$M$4:$S$63,7,FALSE)</f>
        <v>Construction</v>
      </c>
      <c r="X1419" s="228">
        <f>IFERROR(G1419/SUMIFS('Comp2016-2017 (3)'!$I$5:$I$289,'Comp2016-2017 (3)'!$A$5:$A$289,A1419,'Comp2016-2017 (3)'!$R$5:$R$289,V1419),0)</f>
        <v>8.3797587991099404E-2</v>
      </c>
      <c r="Y1419" s="214">
        <f>IFERROR(IF(RIGHT(F1419,3)="Exp",VLOOKUP(F1419,#REF!,2,FALSE),VLOOKUP(F1419,#REF!,9,FALSE)),1)</f>
        <v>1</v>
      </c>
      <c r="Z1419" s="225">
        <f t="shared" si="168"/>
        <v>0.1111111111111111</v>
      </c>
      <c r="AA1419" s="225">
        <f t="shared" si="164"/>
        <v>9.3108431101221554E-3</v>
      </c>
      <c r="AB1419" s="222">
        <f>IFERROR(SUMIFS('Comp2016-2017 (3)'!$G$5:$G$289,'Comp2016-2017 (3)'!$A$5:$A$289,A1419,'Comp2016-2017 (3)'!$R$5:$R$289,V1419)*AA1419/SUMIFS($AA$4:$AA$1858,$A$4:$A$1858,A1419,$V$4:$V$1858,V1419),0)</f>
        <v>133174.03442765822</v>
      </c>
      <c r="AC1419" s="222" t="str">
        <f>IF($W1419=AC$3,$AB1419,IF(NOT($W1419=0),"",SUMIFS('Val-Vol (2)'!AC$4:AC$1858,'Val-Vol (2)'!$A$4:$A$1858,$D1419,'Val-Vol (2)'!$V$4:$V$1858,$V1419)/SUMIFS('Comp2016-2017 (3)'!$G$5:$G$289,'Comp2016-2017 (3)'!$A$5:$A$289,$D1419,'Comp2016-2017 (3)'!$R$5:$R$289,$V1419)*$AB1419))</f>
        <v/>
      </c>
      <c r="AD1419" s="222">
        <f>IF($W1419=AD$3,$AB1419,IF(NOT($W1419=0),"",SUMIFS('Val-Vol (2)'!AD$4:AD$1858,'Val-Vol (2)'!$A$4:$A$1858,$D1419,'Val-Vol (2)'!$V$4:$V$1858,$V1419)/SUMIFS('Comp2016-2017 (3)'!$G$5:$G$289,'Comp2016-2017 (3)'!$A$5:$A$289,$D1419,'Comp2016-2017 (3)'!$R$5:$R$289,$V1419)*$AB1419))</f>
        <v>133174.03442765822</v>
      </c>
      <c r="AE1419" s="222" t="str">
        <f>IF($W1419=AE$3,$AB1419,IF(NOT($W1419=0),"",SUMIFS('Val-Vol (2)'!AE$4:AE$1858,'Val-Vol (2)'!$A$4:$A$1858,$D1419,'Val-Vol (2)'!$V$4:$V$1858,$V1419)/SUMIFS('Comp2016-2017 (3)'!$G$5:$G$289,'Comp2016-2017 (3)'!$A$5:$A$289,$D1419,'Comp2016-2017 (3)'!$R$5:$R$289,$V1419)*$AB1419))</f>
        <v/>
      </c>
      <c r="AF1419" s="222" t="str">
        <f>IF($W1419=AF$3,$AB1419,IF(NOT($W1419=0),"",SUMIFS('Val-Vol (2)'!AF$4:AF$1858,'Val-Vol (2)'!$A$4:$A$1858,$D1419,'Val-Vol (2)'!$V$4:$V$1858,$V1419)/SUMIFS('Comp2016-2017 (3)'!$G$5:$G$289,'Comp2016-2017 (3)'!$A$5:$A$289,$D1419,'Comp2016-2017 (3)'!$R$5:$R$289,$V1419)*$AB1419))</f>
        <v/>
      </c>
      <c r="AG1419" s="222" t="str">
        <f>IF($W1419=AG$3,$AB1419,IF(NOT($W1419=0),"",SUMIFS('Val-Vol (2)'!AG$4:AG$1858,'Val-Vol (2)'!$A$4:$A$1858,$D1419,'Val-Vol (2)'!$V$4:$V$1858,$V1419)/SUMIFS('Comp2016-2017 (3)'!$G$5:$G$289,'Comp2016-2017 (3)'!$A$5:$A$289,$D1419,'Comp2016-2017 (3)'!$R$5:$R$289,$V1419)*$AB1419))</f>
        <v/>
      </c>
      <c r="AH1419" s="222" t="str">
        <f>IF($W1419=AH$3,$AB1419,IF(NOT($W1419=0),"",SUMIFS('Val-Vol (2)'!AH$4:AH$1858,'Val-Vol (2)'!$A$4:$A$1858,$D1419,'Val-Vol (2)'!$V$4:$V$1858,$V1419)/SUMIFS('Comp2016-2017 (3)'!$G$5:$G$289,'Comp2016-2017 (3)'!$A$5:$A$289,$D1419,'Comp2016-2017 (3)'!$R$5:$R$289,$V1419)*$AB1419))</f>
        <v/>
      </c>
      <c r="AI1419" s="222" t="str">
        <f>IF($W1419=AI$3,$AB1419,IF(NOT($W1419=0),"",SUMIFS('Val-Vol (2)'!AI$4:AI$1858,'Val-Vol (2)'!$A$4:$A$1858,$D1419,'Val-Vol (2)'!$V$4:$V$1858,$V1419)/SUMIFS('Comp2016-2017 (3)'!$G$5:$G$289,'Comp2016-2017 (3)'!$A$5:$A$289,$D1419,'Comp2016-2017 (3)'!$R$5:$R$289,$V1419)*$AB1419))</f>
        <v/>
      </c>
      <c r="AJ1419" s="222" t="str">
        <f>IF($W1419=AJ$3,$AB1419,IF(NOT($W1419=0),"",SUMIFS('Val-Vol (2)'!AJ$4:AJ$1858,'Val-Vol (2)'!$A$4:$A$1858,$D1419,'Val-Vol (2)'!$V$4:$V$1858,$V1419)/SUMIFS('Comp2016-2017 (3)'!$G$5:$G$289,'Comp2016-2017 (3)'!$A$5:$A$289,$D1419,'Comp2016-2017 (3)'!$R$5:$R$289,$V1419)*$AB1419))</f>
        <v/>
      </c>
      <c r="AK1419" s="222">
        <f t="shared" si="165"/>
        <v>0</v>
      </c>
      <c r="AL1419" s="212" t="str">
        <f t="shared" si="166"/>
        <v/>
      </c>
      <c r="AM1419" s="212" t="str">
        <f>VLOOKUP(A1419,'Table corresp.'!$M$4:$U$63,8,FALSE)</f>
        <v xml:space="preserve">Mise en œuvre </v>
      </c>
      <c r="AN1419" s="212" t="str">
        <f>VLOOKUP(D1419,'Table corresp.'!$M$4:$U$63,9,FALSE)</f>
        <v xml:space="preserve">Mise en œuvre </v>
      </c>
    </row>
    <row r="1420" spans="1:40" x14ac:dyDescent="0.25">
      <c r="A1420" t="s">
        <v>104</v>
      </c>
      <c r="B1420" t="str">
        <f>VLOOKUP(LEFT(A1420,3),'Table corresp.'!$A$4:$D$63,3,FALSE)</f>
        <v>Transformation</v>
      </c>
      <c r="C1420" t="str">
        <f>VLOOKUP(A1420,'Table corresp.'!$M$4:$P$63,4,FALSE)</f>
        <v>Commerces et services</v>
      </c>
      <c r="D1420" t="s">
        <v>23</v>
      </c>
      <c r="E1420" t="str">
        <f>VLOOKUP(LEFT(D1420,3),'Table corresp.'!$A$4:$D$63,4,FALSE)</f>
        <v>Transformation</v>
      </c>
      <c r="F1420" t="str">
        <f t="shared" si="167"/>
        <v xml:space="preserve">61  - 56 </v>
      </c>
      <c r="G1420" s="213">
        <v>10989.283954164815</v>
      </c>
      <c r="H1420" s="213">
        <v>0</v>
      </c>
      <c r="I1420" s="213">
        <v>10989.283954164815</v>
      </c>
      <c r="J1420" s="215"/>
      <c r="K1420" s="215"/>
      <c r="L1420" s="215"/>
      <c r="M1420" s="215"/>
      <c r="N1420" s="215"/>
      <c r="O1420" s="215"/>
      <c r="P1420" s="215"/>
      <c r="Q1420" s="215"/>
      <c r="R1420" s="215"/>
      <c r="S1420" s="213"/>
      <c r="T1420" s="212">
        <f>VLOOKUP(A1420,'Groupe de branches'!$Z$27:$AM$86,14,FALSE)</f>
        <v>0</v>
      </c>
      <c r="U1420" s="212">
        <f>VLOOKUP(D1420,'Groupe de branches'!$Z$27:$AM$86,14,FALSE)</f>
        <v>0</v>
      </c>
      <c r="V1420" s="212">
        <v>2019</v>
      </c>
      <c r="W1420" s="212" t="str">
        <f>VLOOKUP(D1420,'Table corresp.'!$M$4:$S$63,7,FALSE)</f>
        <v>Construction</v>
      </c>
      <c r="X1420" s="228">
        <f>IFERROR(G1420/SUMIFS('Comp2016-2017 (3)'!$I$5:$I$289,'Comp2016-2017 (3)'!$A$5:$A$289,A1420,'Comp2016-2017 (3)'!$R$5:$R$289,V1420),0)</f>
        <v>6.9148275922774755E-3</v>
      </c>
      <c r="Y1420" s="214">
        <f>IFERROR(IF(RIGHT(F1420,3)="Exp",VLOOKUP(F1420,#REF!,2,FALSE),VLOOKUP(F1420,#REF!,9,FALSE)),1)</f>
        <v>1</v>
      </c>
      <c r="Z1420" s="225">
        <f t="shared" si="168"/>
        <v>0.1111111111111111</v>
      </c>
      <c r="AA1420" s="225">
        <f t="shared" si="164"/>
        <v>7.6831417691971941E-4</v>
      </c>
      <c r="AB1420" s="222">
        <f>IFERROR(SUMIFS('Comp2016-2017 (3)'!$G$5:$G$289,'Comp2016-2017 (3)'!$A$5:$A$289,A1420,'Comp2016-2017 (3)'!$R$5:$R$289,V1420)*AA1420/SUMIFS($AA$4:$AA$1858,$A$4:$A$1858,A1420,$V$4:$V$1858,V1420),0)</f>
        <v>10989.283938973193</v>
      </c>
      <c r="AC1420" s="222" t="str">
        <f>IF($W1420=AC$3,$AB1420,IF(NOT($W1420=0),"",SUMIFS('Val-Vol (2)'!AC$4:AC$1858,'Val-Vol (2)'!$A$4:$A$1858,$D1420,'Val-Vol (2)'!$V$4:$V$1858,$V1420)/SUMIFS('Comp2016-2017 (3)'!$G$5:$G$289,'Comp2016-2017 (3)'!$A$5:$A$289,$D1420,'Comp2016-2017 (3)'!$R$5:$R$289,$V1420)*$AB1420))</f>
        <v/>
      </c>
      <c r="AD1420" s="222">
        <f>IF($W1420=AD$3,$AB1420,IF(NOT($W1420=0),"",SUMIFS('Val-Vol (2)'!AD$4:AD$1858,'Val-Vol (2)'!$A$4:$A$1858,$D1420,'Val-Vol (2)'!$V$4:$V$1858,$V1420)/SUMIFS('Comp2016-2017 (3)'!$G$5:$G$289,'Comp2016-2017 (3)'!$A$5:$A$289,$D1420,'Comp2016-2017 (3)'!$R$5:$R$289,$V1420)*$AB1420))</f>
        <v>10989.283938973193</v>
      </c>
      <c r="AE1420" s="222" t="str">
        <f>IF($W1420=AE$3,$AB1420,IF(NOT($W1420=0),"",SUMIFS('Val-Vol (2)'!AE$4:AE$1858,'Val-Vol (2)'!$A$4:$A$1858,$D1420,'Val-Vol (2)'!$V$4:$V$1858,$V1420)/SUMIFS('Comp2016-2017 (3)'!$G$5:$G$289,'Comp2016-2017 (3)'!$A$5:$A$289,$D1420,'Comp2016-2017 (3)'!$R$5:$R$289,$V1420)*$AB1420))</f>
        <v/>
      </c>
      <c r="AF1420" s="222" t="str">
        <f>IF($W1420=AF$3,$AB1420,IF(NOT($W1420=0),"",SUMIFS('Val-Vol (2)'!AF$4:AF$1858,'Val-Vol (2)'!$A$4:$A$1858,$D1420,'Val-Vol (2)'!$V$4:$V$1858,$V1420)/SUMIFS('Comp2016-2017 (3)'!$G$5:$G$289,'Comp2016-2017 (3)'!$A$5:$A$289,$D1420,'Comp2016-2017 (3)'!$R$5:$R$289,$V1420)*$AB1420))</f>
        <v/>
      </c>
      <c r="AG1420" s="222" t="str">
        <f>IF($W1420=AG$3,$AB1420,IF(NOT($W1420=0),"",SUMIFS('Val-Vol (2)'!AG$4:AG$1858,'Val-Vol (2)'!$A$4:$A$1858,$D1420,'Val-Vol (2)'!$V$4:$V$1858,$V1420)/SUMIFS('Comp2016-2017 (3)'!$G$5:$G$289,'Comp2016-2017 (3)'!$A$5:$A$289,$D1420,'Comp2016-2017 (3)'!$R$5:$R$289,$V1420)*$AB1420))</f>
        <v/>
      </c>
      <c r="AH1420" s="222" t="str">
        <f>IF($W1420=AH$3,$AB1420,IF(NOT($W1420=0),"",SUMIFS('Val-Vol (2)'!AH$4:AH$1858,'Val-Vol (2)'!$A$4:$A$1858,$D1420,'Val-Vol (2)'!$V$4:$V$1858,$V1420)/SUMIFS('Comp2016-2017 (3)'!$G$5:$G$289,'Comp2016-2017 (3)'!$A$5:$A$289,$D1420,'Comp2016-2017 (3)'!$R$5:$R$289,$V1420)*$AB1420))</f>
        <v/>
      </c>
      <c r="AI1420" s="222" t="str">
        <f>IF($W1420=AI$3,$AB1420,IF(NOT($W1420=0),"",SUMIFS('Val-Vol (2)'!AI$4:AI$1858,'Val-Vol (2)'!$A$4:$A$1858,$D1420,'Val-Vol (2)'!$V$4:$V$1858,$V1420)/SUMIFS('Comp2016-2017 (3)'!$G$5:$G$289,'Comp2016-2017 (3)'!$A$5:$A$289,$D1420,'Comp2016-2017 (3)'!$R$5:$R$289,$V1420)*$AB1420))</f>
        <v/>
      </c>
      <c r="AJ1420" s="222" t="str">
        <f>IF($W1420=AJ$3,$AB1420,IF(NOT($W1420=0),"",SUMIFS('Val-Vol (2)'!AJ$4:AJ$1858,'Val-Vol (2)'!$A$4:$A$1858,$D1420,'Val-Vol (2)'!$V$4:$V$1858,$V1420)/SUMIFS('Comp2016-2017 (3)'!$G$5:$G$289,'Comp2016-2017 (3)'!$A$5:$A$289,$D1420,'Comp2016-2017 (3)'!$R$5:$R$289,$V1420)*$AB1420))</f>
        <v/>
      </c>
      <c r="AK1420" s="222">
        <f t="shared" si="165"/>
        <v>0</v>
      </c>
      <c r="AL1420" s="212" t="str">
        <f t="shared" si="166"/>
        <v/>
      </c>
      <c r="AM1420" s="212" t="str">
        <f>VLOOKUP(A1420,'Table corresp.'!$M$4:$U$63,8,FALSE)</f>
        <v xml:space="preserve">Mise en œuvre </v>
      </c>
      <c r="AN1420" s="212" t="str">
        <f>VLOOKUP(D1420,'Table corresp.'!$M$4:$U$63,9,FALSE)</f>
        <v xml:space="preserve">Mise en œuvre </v>
      </c>
    </row>
    <row r="1421" spans="1:40" x14ac:dyDescent="0.25">
      <c r="A1421" t="s">
        <v>104</v>
      </c>
      <c r="B1421" t="str">
        <f>VLOOKUP(LEFT(A1421,3),'Table corresp.'!$A$4:$D$63,3,FALSE)</f>
        <v>Transformation</v>
      </c>
      <c r="C1421" t="str">
        <f>VLOOKUP(A1421,'Table corresp.'!$M$4:$P$63,4,FALSE)</f>
        <v>Commerces et services</v>
      </c>
      <c r="D1421" t="s">
        <v>24</v>
      </c>
      <c r="E1421" t="str">
        <f>VLOOKUP(LEFT(D1421,3),'Table corresp.'!$A$4:$D$63,4,FALSE)</f>
        <v>Transformation</v>
      </c>
      <c r="F1421" t="str">
        <f t="shared" si="167"/>
        <v xml:space="preserve">61  - 57 </v>
      </c>
      <c r="G1421" s="213">
        <v>443122.97058671917</v>
      </c>
      <c r="H1421" s="213">
        <v>0</v>
      </c>
      <c r="I1421" s="213">
        <v>443122.97058671917</v>
      </c>
      <c r="J1421" s="215"/>
      <c r="K1421" s="215"/>
      <c r="L1421" s="215"/>
      <c r="M1421" s="215"/>
      <c r="N1421" s="215"/>
      <c r="O1421" s="215"/>
      <c r="P1421" s="215"/>
      <c r="Q1421" s="215"/>
      <c r="R1421" s="215"/>
      <c r="S1421" s="213"/>
      <c r="T1421" s="212">
        <f>VLOOKUP(A1421,'Groupe de branches'!$Z$27:$AM$86,14,FALSE)</f>
        <v>0</v>
      </c>
      <c r="U1421" s="212">
        <f>VLOOKUP(D1421,'Groupe de branches'!$Z$27:$AM$86,14,FALSE)</f>
        <v>0</v>
      </c>
      <c r="V1421" s="212">
        <v>2019</v>
      </c>
      <c r="W1421" s="212" t="str">
        <f>VLOOKUP(D1421,'Table corresp.'!$M$4:$S$63,7,FALSE)</f>
        <v>Construction</v>
      </c>
      <c r="X1421" s="228">
        <f>IFERROR(G1421/SUMIFS('Comp2016-2017 (3)'!$I$5:$I$289,'Comp2016-2017 (3)'!$A$5:$A$289,A1421,'Comp2016-2017 (3)'!$R$5:$R$289,V1421),0)</f>
        <v>0.27882789784713308</v>
      </c>
      <c r="Y1421" s="214">
        <f>IFERROR(IF(RIGHT(F1421,3)="Exp",VLOOKUP(F1421,#REF!,2,FALSE),VLOOKUP(F1421,#REF!,9,FALSE)),1)</f>
        <v>1</v>
      </c>
      <c r="Z1421" s="225">
        <f t="shared" si="168"/>
        <v>0.1111111111111111</v>
      </c>
      <c r="AA1421" s="225">
        <f t="shared" si="164"/>
        <v>3.0980877538570342E-2</v>
      </c>
      <c r="AB1421" s="222">
        <f>IFERROR(SUMIFS('Comp2016-2017 (3)'!$G$5:$G$289,'Comp2016-2017 (3)'!$A$5:$A$289,A1421,'Comp2016-2017 (3)'!$R$5:$R$289,V1421)*AA1421/SUMIFS($AA$4:$AA$1858,$A$4:$A$1858,A1421,$V$4:$V$1858,V1421),0)</f>
        <v>443122.96997414454</v>
      </c>
      <c r="AC1421" s="222" t="str">
        <f>IF($W1421=AC$3,$AB1421,IF(NOT($W1421=0),"",SUMIFS('Val-Vol (2)'!AC$4:AC$1858,'Val-Vol (2)'!$A$4:$A$1858,$D1421,'Val-Vol (2)'!$V$4:$V$1858,$V1421)/SUMIFS('Comp2016-2017 (3)'!$G$5:$G$289,'Comp2016-2017 (3)'!$A$5:$A$289,$D1421,'Comp2016-2017 (3)'!$R$5:$R$289,$V1421)*$AB1421))</f>
        <v/>
      </c>
      <c r="AD1421" s="222">
        <f>IF($W1421=AD$3,$AB1421,IF(NOT($W1421=0),"",SUMIFS('Val-Vol (2)'!AD$4:AD$1858,'Val-Vol (2)'!$A$4:$A$1858,$D1421,'Val-Vol (2)'!$V$4:$V$1858,$V1421)/SUMIFS('Comp2016-2017 (3)'!$G$5:$G$289,'Comp2016-2017 (3)'!$A$5:$A$289,$D1421,'Comp2016-2017 (3)'!$R$5:$R$289,$V1421)*$AB1421))</f>
        <v>443122.96997414454</v>
      </c>
      <c r="AE1421" s="222" t="str">
        <f>IF($W1421=AE$3,$AB1421,IF(NOT($W1421=0),"",SUMIFS('Val-Vol (2)'!AE$4:AE$1858,'Val-Vol (2)'!$A$4:$A$1858,$D1421,'Val-Vol (2)'!$V$4:$V$1858,$V1421)/SUMIFS('Comp2016-2017 (3)'!$G$5:$G$289,'Comp2016-2017 (3)'!$A$5:$A$289,$D1421,'Comp2016-2017 (3)'!$R$5:$R$289,$V1421)*$AB1421))</f>
        <v/>
      </c>
      <c r="AF1421" s="222" t="str">
        <f>IF($W1421=AF$3,$AB1421,IF(NOT($W1421=0),"",SUMIFS('Val-Vol (2)'!AF$4:AF$1858,'Val-Vol (2)'!$A$4:$A$1858,$D1421,'Val-Vol (2)'!$V$4:$V$1858,$V1421)/SUMIFS('Comp2016-2017 (3)'!$G$5:$G$289,'Comp2016-2017 (3)'!$A$5:$A$289,$D1421,'Comp2016-2017 (3)'!$R$5:$R$289,$V1421)*$AB1421))</f>
        <v/>
      </c>
      <c r="AG1421" s="222" t="str">
        <f>IF($W1421=AG$3,$AB1421,IF(NOT($W1421=0),"",SUMIFS('Val-Vol (2)'!AG$4:AG$1858,'Val-Vol (2)'!$A$4:$A$1858,$D1421,'Val-Vol (2)'!$V$4:$V$1858,$V1421)/SUMIFS('Comp2016-2017 (3)'!$G$5:$G$289,'Comp2016-2017 (3)'!$A$5:$A$289,$D1421,'Comp2016-2017 (3)'!$R$5:$R$289,$V1421)*$AB1421))</f>
        <v/>
      </c>
      <c r="AH1421" s="222" t="str">
        <f>IF($W1421=AH$3,$AB1421,IF(NOT($W1421=0),"",SUMIFS('Val-Vol (2)'!AH$4:AH$1858,'Val-Vol (2)'!$A$4:$A$1858,$D1421,'Val-Vol (2)'!$V$4:$V$1858,$V1421)/SUMIFS('Comp2016-2017 (3)'!$G$5:$G$289,'Comp2016-2017 (3)'!$A$5:$A$289,$D1421,'Comp2016-2017 (3)'!$R$5:$R$289,$V1421)*$AB1421))</f>
        <v/>
      </c>
      <c r="AI1421" s="222" t="str">
        <f>IF($W1421=AI$3,$AB1421,IF(NOT($W1421=0),"",SUMIFS('Val-Vol (2)'!AI$4:AI$1858,'Val-Vol (2)'!$A$4:$A$1858,$D1421,'Val-Vol (2)'!$V$4:$V$1858,$V1421)/SUMIFS('Comp2016-2017 (3)'!$G$5:$G$289,'Comp2016-2017 (3)'!$A$5:$A$289,$D1421,'Comp2016-2017 (3)'!$R$5:$R$289,$V1421)*$AB1421))</f>
        <v/>
      </c>
      <c r="AJ1421" s="222" t="str">
        <f>IF($W1421=AJ$3,$AB1421,IF(NOT($W1421=0),"",SUMIFS('Val-Vol (2)'!AJ$4:AJ$1858,'Val-Vol (2)'!$A$4:$A$1858,$D1421,'Val-Vol (2)'!$V$4:$V$1858,$V1421)/SUMIFS('Comp2016-2017 (3)'!$G$5:$G$289,'Comp2016-2017 (3)'!$A$5:$A$289,$D1421,'Comp2016-2017 (3)'!$R$5:$R$289,$V1421)*$AB1421))</f>
        <v/>
      </c>
      <c r="AK1421" s="222">
        <f t="shared" si="165"/>
        <v>0</v>
      </c>
      <c r="AL1421" s="212" t="str">
        <f t="shared" si="166"/>
        <v/>
      </c>
      <c r="AM1421" s="212" t="str">
        <f>VLOOKUP(A1421,'Table corresp.'!$M$4:$U$63,8,FALSE)</f>
        <v xml:space="preserve">Mise en œuvre </v>
      </c>
      <c r="AN1421" s="212" t="str">
        <f>VLOOKUP(D1421,'Table corresp.'!$M$4:$U$63,9,FALSE)</f>
        <v xml:space="preserve">Mise en œuvre </v>
      </c>
    </row>
    <row r="1422" spans="1:40" x14ac:dyDescent="0.25">
      <c r="A1422" t="s">
        <v>104</v>
      </c>
      <c r="B1422" t="str">
        <f>VLOOKUP(LEFT(A1422,3),'Table corresp.'!$A$4:$D$63,3,FALSE)</f>
        <v>Transformation</v>
      </c>
      <c r="C1422" t="str">
        <f>VLOOKUP(A1422,'Table corresp.'!$M$4:$P$63,4,FALSE)</f>
        <v>Commerces et services</v>
      </c>
      <c r="D1422" t="s">
        <v>25</v>
      </c>
      <c r="E1422" t="str">
        <f>VLOOKUP(LEFT(D1422,3),'Table corresp.'!$A$4:$D$63,4,FALSE)</f>
        <v>Transformation</v>
      </c>
      <c r="F1422" t="str">
        <f t="shared" si="167"/>
        <v xml:space="preserve">61  - 58 </v>
      </c>
      <c r="G1422" s="213">
        <v>37387.938969571122</v>
      </c>
      <c r="H1422" s="213">
        <v>0</v>
      </c>
      <c r="I1422" s="213">
        <v>37387.938969571122</v>
      </c>
      <c r="J1422" s="215"/>
      <c r="K1422" s="215"/>
      <c r="L1422" s="215"/>
      <c r="M1422" s="215"/>
      <c r="N1422" s="215"/>
      <c r="O1422" s="215"/>
      <c r="P1422" s="215"/>
      <c r="Q1422" s="215"/>
      <c r="R1422" s="215"/>
      <c r="S1422" s="213"/>
      <c r="T1422" s="212">
        <f>VLOOKUP(A1422,'Groupe de branches'!$Z$27:$AM$86,14,FALSE)</f>
        <v>0</v>
      </c>
      <c r="U1422" s="212">
        <f>VLOOKUP(D1422,'Groupe de branches'!$Z$27:$AM$86,14,FALSE)</f>
        <v>0</v>
      </c>
      <c r="V1422" s="212">
        <v>2019</v>
      </c>
      <c r="W1422" s="212" t="str">
        <f>VLOOKUP(D1422,'Table corresp.'!$M$4:$S$63,7,FALSE)</f>
        <v>Construction</v>
      </c>
      <c r="X1422" s="228">
        <f>IFERROR(G1422/SUMIFS('Comp2016-2017 (3)'!$I$5:$I$289,'Comp2016-2017 (3)'!$A$5:$A$289,A1422,'Comp2016-2017 (3)'!$R$5:$R$289,V1422),0)</f>
        <v>2.3525750456852675E-2</v>
      </c>
      <c r="Y1422" s="214">
        <f>IFERROR(IF(RIGHT(F1422,3)="Exp",VLOOKUP(F1422,#REF!,2,FALSE),VLOOKUP(F1422,#REF!,9,FALSE)),1)</f>
        <v>1</v>
      </c>
      <c r="Z1422" s="225">
        <f t="shared" si="168"/>
        <v>0.1111111111111111</v>
      </c>
      <c r="AA1422" s="225">
        <f t="shared" si="164"/>
        <v>2.6139722729836305E-3</v>
      </c>
      <c r="AB1422" s="222">
        <f>IFERROR(SUMIFS('Comp2016-2017 (3)'!$G$5:$G$289,'Comp2016-2017 (3)'!$A$5:$A$289,A1422,'Comp2016-2017 (3)'!$R$5:$R$289,V1422)*AA1422/SUMIFS($AA$4:$AA$1858,$A$4:$A$1858,A1422,$V$4:$V$1858,V1422),0)</f>
        <v>37387.938917885913</v>
      </c>
      <c r="AC1422" s="222" t="str">
        <f>IF($W1422=AC$3,$AB1422,IF(NOT($W1422=0),"",SUMIFS('Val-Vol (2)'!AC$4:AC$1858,'Val-Vol (2)'!$A$4:$A$1858,$D1422,'Val-Vol (2)'!$V$4:$V$1858,$V1422)/SUMIFS('Comp2016-2017 (3)'!$G$5:$G$289,'Comp2016-2017 (3)'!$A$5:$A$289,$D1422,'Comp2016-2017 (3)'!$R$5:$R$289,$V1422)*$AB1422))</f>
        <v/>
      </c>
      <c r="AD1422" s="222">
        <f>IF($W1422=AD$3,$AB1422,IF(NOT($W1422=0),"",SUMIFS('Val-Vol (2)'!AD$4:AD$1858,'Val-Vol (2)'!$A$4:$A$1858,$D1422,'Val-Vol (2)'!$V$4:$V$1858,$V1422)/SUMIFS('Comp2016-2017 (3)'!$G$5:$G$289,'Comp2016-2017 (3)'!$A$5:$A$289,$D1422,'Comp2016-2017 (3)'!$R$5:$R$289,$V1422)*$AB1422))</f>
        <v>37387.938917885913</v>
      </c>
      <c r="AE1422" s="222" t="str">
        <f>IF($W1422=AE$3,$AB1422,IF(NOT($W1422=0),"",SUMIFS('Val-Vol (2)'!AE$4:AE$1858,'Val-Vol (2)'!$A$4:$A$1858,$D1422,'Val-Vol (2)'!$V$4:$V$1858,$V1422)/SUMIFS('Comp2016-2017 (3)'!$G$5:$G$289,'Comp2016-2017 (3)'!$A$5:$A$289,$D1422,'Comp2016-2017 (3)'!$R$5:$R$289,$V1422)*$AB1422))</f>
        <v/>
      </c>
      <c r="AF1422" s="222" t="str">
        <f>IF($W1422=AF$3,$AB1422,IF(NOT($W1422=0),"",SUMIFS('Val-Vol (2)'!AF$4:AF$1858,'Val-Vol (2)'!$A$4:$A$1858,$D1422,'Val-Vol (2)'!$V$4:$V$1858,$V1422)/SUMIFS('Comp2016-2017 (3)'!$G$5:$G$289,'Comp2016-2017 (3)'!$A$5:$A$289,$D1422,'Comp2016-2017 (3)'!$R$5:$R$289,$V1422)*$AB1422))</f>
        <v/>
      </c>
      <c r="AG1422" s="222" t="str">
        <f>IF($W1422=AG$3,$AB1422,IF(NOT($W1422=0),"",SUMIFS('Val-Vol (2)'!AG$4:AG$1858,'Val-Vol (2)'!$A$4:$A$1858,$D1422,'Val-Vol (2)'!$V$4:$V$1858,$V1422)/SUMIFS('Comp2016-2017 (3)'!$G$5:$G$289,'Comp2016-2017 (3)'!$A$5:$A$289,$D1422,'Comp2016-2017 (3)'!$R$5:$R$289,$V1422)*$AB1422))</f>
        <v/>
      </c>
      <c r="AH1422" s="222" t="str">
        <f>IF($W1422=AH$3,$AB1422,IF(NOT($W1422=0),"",SUMIFS('Val-Vol (2)'!AH$4:AH$1858,'Val-Vol (2)'!$A$4:$A$1858,$D1422,'Val-Vol (2)'!$V$4:$V$1858,$V1422)/SUMIFS('Comp2016-2017 (3)'!$G$5:$G$289,'Comp2016-2017 (3)'!$A$5:$A$289,$D1422,'Comp2016-2017 (3)'!$R$5:$R$289,$V1422)*$AB1422))</f>
        <v/>
      </c>
      <c r="AI1422" s="222" t="str">
        <f>IF($W1422=AI$3,$AB1422,IF(NOT($W1422=0),"",SUMIFS('Val-Vol (2)'!AI$4:AI$1858,'Val-Vol (2)'!$A$4:$A$1858,$D1422,'Val-Vol (2)'!$V$4:$V$1858,$V1422)/SUMIFS('Comp2016-2017 (3)'!$G$5:$G$289,'Comp2016-2017 (3)'!$A$5:$A$289,$D1422,'Comp2016-2017 (3)'!$R$5:$R$289,$V1422)*$AB1422))</f>
        <v/>
      </c>
      <c r="AJ1422" s="222" t="str">
        <f>IF($W1422=AJ$3,$AB1422,IF(NOT($W1422=0),"",SUMIFS('Val-Vol (2)'!AJ$4:AJ$1858,'Val-Vol (2)'!$A$4:$A$1858,$D1422,'Val-Vol (2)'!$V$4:$V$1858,$V1422)/SUMIFS('Comp2016-2017 (3)'!$G$5:$G$289,'Comp2016-2017 (3)'!$A$5:$A$289,$D1422,'Comp2016-2017 (3)'!$R$5:$R$289,$V1422)*$AB1422))</f>
        <v/>
      </c>
      <c r="AK1422" s="222">
        <f t="shared" si="165"/>
        <v>0</v>
      </c>
      <c r="AL1422" s="212" t="str">
        <f t="shared" si="166"/>
        <v/>
      </c>
      <c r="AM1422" s="212" t="str">
        <f>VLOOKUP(A1422,'Table corresp.'!$M$4:$U$63,8,FALSE)</f>
        <v xml:space="preserve">Mise en œuvre </v>
      </c>
      <c r="AN1422" s="212" t="str">
        <f>VLOOKUP(D1422,'Table corresp.'!$M$4:$U$63,9,FALSE)</f>
        <v xml:space="preserve">Mise en œuvre </v>
      </c>
    </row>
    <row r="1423" spans="1:40" x14ac:dyDescent="0.25">
      <c r="A1423" t="s">
        <v>104</v>
      </c>
      <c r="B1423" t="str">
        <f>VLOOKUP(LEFT(A1423,3),'Table corresp.'!$A$4:$D$63,3,FALSE)</f>
        <v>Transformation</v>
      </c>
      <c r="C1423" t="str">
        <f>VLOOKUP(A1423,'Table corresp.'!$M$4:$P$63,4,FALSE)</f>
        <v>Commerces et services</v>
      </c>
      <c r="D1423" t="s">
        <v>26</v>
      </c>
      <c r="E1423" t="str">
        <f>VLOOKUP(LEFT(D1423,3),'Table corresp.'!$A$4:$D$63,4,FALSE)</f>
        <v>Transformation</v>
      </c>
      <c r="F1423" t="str">
        <f t="shared" si="167"/>
        <v xml:space="preserve">61  - 59 </v>
      </c>
      <c r="G1423" s="213">
        <v>8232.14591439588</v>
      </c>
      <c r="H1423" s="213">
        <v>0</v>
      </c>
      <c r="I1423" s="213">
        <v>8232.14591439588</v>
      </c>
      <c r="J1423" s="215"/>
      <c r="K1423" s="215"/>
      <c r="L1423" s="215"/>
      <c r="M1423" s="215"/>
      <c r="N1423" s="215"/>
      <c r="O1423" s="215"/>
      <c r="P1423" s="215"/>
      <c r="Q1423" s="215"/>
      <c r="R1423" s="215"/>
      <c r="S1423" s="213"/>
      <c r="T1423" s="212">
        <f>VLOOKUP(A1423,'Groupe de branches'!$Z$27:$AM$86,14,FALSE)</f>
        <v>0</v>
      </c>
      <c r="U1423" s="212">
        <f>VLOOKUP(D1423,'Groupe de branches'!$Z$27:$AM$86,14,FALSE)</f>
        <v>0</v>
      </c>
      <c r="V1423" s="212">
        <v>2019</v>
      </c>
      <c r="W1423" s="212" t="str">
        <f>VLOOKUP(D1423,'Table corresp.'!$M$4:$S$63,7,FALSE)</f>
        <v>Construction</v>
      </c>
      <c r="X1423" s="228">
        <f>IFERROR(G1423/SUMIFS('Comp2016-2017 (3)'!$I$5:$I$289,'Comp2016-2017 (3)'!$A$5:$A$289,A1423,'Comp2016-2017 (3)'!$R$5:$R$289,V1423),0)</f>
        <v>5.1799434749290841E-3</v>
      </c>
      <c r="Y1423" s="214">
        <f>IFERROR(IF(RIGHT(F1423,3)="Exp",VLOOKUP(F1423,#REF!,2,FALSE),VLOOKUP(F1423,#REF!,9,FALSE)),1)</f>
        <v>1</v>
      </c>
      <c r="Z1423" s="225">
        <f t="shared" si="168"/>
        <v>0.1111111111111111</v>
      </c>
      <c r="AA1423" s="225">
        <f t="shared" si="164"/>
        <v>5.755492749921204E-4</v>
      </c>
      <c r="AB1423" s="222">
        <f>IFERROR(SUMIFS('Comp2016-2017 (3)'!$G$5:$G$289,'Comp2016-2017 (3)'!$A$5:$A$289,A1423,'Comp2016-2017 (3)'!$R$5:$R$289,V1423)*AA1423/SUMIFS($AA$4:$AA$1858,$A$4:$A$1858,A1423,$V$4:$V$1858,V1423),0)</f>
        <v>8232.1459030157348</v>
      </c>
      <c r="AC1423" s="222" t="str">
        <f>IF($W1423=AC$3,$AB1423,IF(NOT($W1423=0),"",SUMIFS('Val-Vol (2)'!AC$4:AC$1858,'Val-Vol (2)'!$A$4:$A$1858,$D1423,'Val-Vol (2)'!$V$4:$V$1858,$V1423)/SUMIFS('Comp2016-2017 (3)'!$G$5:$G$289,'Comp2016-2017 (3)'!$A$5:$A$289,$D1423,'Comp2016-2017 (3)'!$R$5:$R$289,$V1423)*$AB1423))</f>
        <v/>
      </c>
      <c r="AD1423" s="222">
        <f>IF($W1423=AD$3,$AB1423,IF(NOT($W1423=0),"",SUMIFS('Val-Vol (2)'!AD$4:AD$1858,'Val-Vol (2)'!$A$4:$A$1858,$D1423,'Val-Vol (2)'!$V$4:$V$1858,$V1423)/SUMIFS('Comp2016-2017 (3)'!$G$5:$G$289,'Comp2016-2017 (3)'!$A$5:$A$289,$D1423,'Comp2016-2017 (3)'!$R$5:$R$289,$V1423)*$AB1423))</f>
        <v>8232.1459030157348</v>
      </c>
      <c r="AE1423" s="222" t="str">
        <f>IF($W1423=AE$3,$AB1423,IF(NOT($W1423=0),"",SUMIFS('Val-Vol (2)'!AE$4:AE$1858,'Val-Vol (2)'!$A$4:$A$1858,$D1423,'Val-Vol (2)'!$V$4:$V$1858,$V1423)/SUMIFS('Comp2016-2017 (3)'!$G$5:$G$289,'Comp2016-2017 (3)'!$A$5:$A$289,$D1423,'Comp2016-2017 (3)'!$R$5:$R$289,$V1423)*$AB1423))</f>
        <v/>
      </c>
      <c r="AF1423" s="222" t="str">
        <f>IF($W1423=AF$3,$AB1423,IF(NOT($W1423=0),"",SUMIFS('Val-Vol (2)'!AF$4:AF$1858,'Val-Vol (2)'!$A$4:$A$1858,$D1423,'Val-Vol (2)'!$V$4:$V$1858,$V1423)/SUMIFS('Comp2016-2017 (3)'!$G$5:$G$289,'Comp2016-2017 (3)'!$A$5:$A$289,$D1423,'Comp2016-2017 (3)'!$R$5:$R$289,$V1423)*$AB1423))</f>
        <v/>
      </c>
      <c r="AG1423" s="222" t="str">
        <f>IF($W1423=AG$3,$AB1423,IF(NOT($W1423=0),"",SUMIFS('Val-Vol (2)'!AG$4:AG$1858,'Val-Vol (2)'!$A$4:$A$1858,$D1423,'Val-Vol (2)'!$V$4:$V$1858,$V1423)/SUMIFS('Comp2016-2017 (3)'!$G$5:$G$289,'Comp2016-2017 (3)'!$A$5:$A$289,$D1423,'Comp2016-2017 (3)'!$R$5:$R$289,$V1423)*$AB1423))</f>
        <v/>
      </c>
      <c r="AH1423" s="222" t="str">
        <f>IF($W1423=AH$3,$AB1423,IF(NOT($W1423=0),"",SUMIFS('Val-Vol (2)'!AH$4:AH$1858,'Val-Vol (2)'!$A$4:$A$1858,$D1423,'Val-Vol (2)'!$V$4:$V$1858,$V1423)/SUMIFS('Comp2016-2017 (3)'!$G$5:$G$289,'Comp2016-2017 (3)'!$A$5:$A$289,$D1423,'Comp2016-2017 (3)'!$R$5:$R$289,$V1423)*$AB1423))</f>
        <v/>
      </c>
      <c r="AI1423" s="222" t="str">
        <f>IF($W1423=AI$3,$AB1423,IF(NOT($W1423=0),"",SUMIFS('Val-Vol (2)'!AI$4:AI$1858,'Val-Vol (2)'!$A$4:$A$1858,$D1423,'Val-Vol (2)'!$V$4:$V$1858,$V1423)/SUMIFS('Comp2016-2017 (3)'!$G$5:$G$289,'Comp2016-2017 (3)'!$A$5:$A$289,$D1423,'Comp2016-2017 (3)'!$R$5:$R$289,$V1423)*$AB1423))</f>
        <v/>
      </c>
      <c r="AJ1423" s="222" t="str">
        <f>IF($W1423=AJ$3,$AB1423,IF(NOT($W1423=0),"",SUMIFS('Val-Vol (2)'!AJ$4:AJ$1858,'Val-Vol (2)'!$A$4:$A$1858,$D1423,'Val-Vol (2)'!$V$4:$V$1858,$V1423)/SUMIFS('Comp2016-2017 (3)'!$G$5:$G$289,'Comp2016-2017 (3)'!$A$5:$A$289,$D1423,'Comp2016-2017 (3)'!$R$5:$R$289,$V1423)*$AB1423))</f>
        <v/>
      </c>
      <c r="AK1423" s="222">
        <f t="shared" si="165"/>
        <v>0</v>
      </c>
      <c r="AL1423" s="212" t="str">
        <f t="shared" si="166"/>
        <v/>
      </c>
      <c r="AM1423" s="212" t="str">
        <f>VLOOKUP(A1423,'Table corresp.'!$M$4:$U$63,8,FALSE)</f>
        <v xml:space="preserve">Mise en œuvre </v>
      </c>
      <c r="AN1423" s="212" t="str">
        <f>VLOOKUP(D1423,'Table corresp.'!$M$4:$U$63,9,FALSE)</f>
        <v xml:space="preserve">Mise en œuvre </v>
      </c>
    </row>
    <row r="1424" spans="1:40" x14ac:dyDescent="0.25">
      <c r="A1424" t="s">
        <v>104</v>
      </c>
      <c r="B1424" t="str">
        <f>VLOOKUP(LEFT(A1424,3),'Table corresp.'!$A$4:$D$63,3,FALSE)</f>
        <v>Transformation</v>
      </c>
      <c r="C1424" t="str">
        <f>VLOOKUP(A1424,'Table corresp.'!$M$4:$P$63,4,FALSE)</f>
        <v>Commerces et services</v>
      </c>
      <c r="D1424" t="s">
        <v>54</v>
      </c>
      <c r="E1424" t="str">
        <f>VLOOKUP(LEFT(D1424,3),'Table corresp.'!$A$4:$D$63,4,FALSE)</f>
        <v>Consommation finale</v>
      </c>
      <c r="F1424" t="str">
        <f t="shared" si="167"/>
        <v>61  - Con</v>
      </c>
      <c r="G1424" s="213">
        <v>271007.43657876295</v>
      </c>
      <c r="H1424" s="213">
        <v>0</v>
      </c>
      <c r="I1424" s="213">
        <v>271007.43657876295</v>
      </c>
      <c r="J1424" s="215"/>
      <c r="K1424" s="215"/>
      <c r="L1424" s="215"/>
      <c r="M1424" s="215"/>
      <c r="N1424" s="215"/>
      <c r="O1424" s="215"/>
      <c r="P1424" s="215"/>
      <c r="Q1424" s="215"/>
      <c r="R1424" s="215"/>
      <c r="S1424" s="213"/>
      <c r="T1424" s="212">
        <f>VLOOKUP(A1424,'Groupe de branches'!$Z$27:$AM$86,14,FALSE)</f>
        <v>0</v>
      </c>
      <c r="U1424" s="212">
        <f>VLOOKUP(D1424,'Groupe de branches'!$Z$27:$AM$86,14,FALSE)</f>
        <v>0</v>
      </c>
      <c r="V1424" s="212">
        <v>2019</v>
      </c>
      <c r="W1424" s="212" t="str">
        <f>VLOOKUP(D1424,'Table corresp.'!$M$4:$S$63,7,FALSE)</f>
        <v>Consommation finale</v>
      </c>
      <c r="X1424" s="228">
        <f>IFERROR(G1424/SUMIFS('Comp2016-2017 (3)'!$I$5:$I$289,'Comp2016-2017 (3)'!$A$5:$A$289,A1424,'Comp2016-2017 (3)'!$R$5:$R$289,V1424),0)</f>
        <v>0.17052700685352701</v>
      </c>
      <c r="Y1424" s="214">
        <f>IFERROR(IF(RIGHT(F1424,3)="Exp",VLOOKUP(F1424,#REF!,2,FALSE),VLOOKUP(F1424,#REF!,9,FALSE)),1)</f>
        <v>1</v>
      </c>
      <c r="Z1424" s="225">
        <f t="shared" si="168"/>
        <v>0.1111111111111111</v>
      </c>
      <c r="AA1424" s="225">
        <f t="shared" si="164"/>
        <v>1.8947445205947443E-2</v>
      </c>
      <c r="AB1424" s="222">
        <f>IFERROR(SUMIFS('Comp2016-2017 (3)'!$G$5:$G$289,'Comp2016-2017 (3)'!$A$5:$A$289,A1424,'Comp2016-2017 (3)'!$R$5:$R$289,V1424)*AA1424/SUMIFS($AA$4:$AA$1858,$A$4:$A$1858,A1424,$V$4:$V$1858,V1424),0)</f>
        <v>271007.43620412133</v>
      </c>
      <c r="AC1424" s="222" t="str">
        <f>IF($W1424=AC$3,$AB1424,IF(NOT($W1424=0),"",SUMIFS('Val-Vol (2)'!AC$4:AC$1858,'Val-Vol (2)'!$A$4:$A$1858,$D1424,'Val-Vol (2)'!$V$4:$V$1858,$V1424)/SUMIFS('Comp2016-2017 (3)'!$G$5:$G$289,'Comp2016-2017 (3)'!$A$5:$A$289,$D1424,'Comp2016-2017 (3)'!$R$5:$R$289,$V1424)*$AB1424))</f>
        <v/>
      </c>
      <c r="AD1424" s="222" t="str">
        <f>IF($W1424=AD$3,$AB1424,IF(NOT($W1424=0),"",SUMIFS('Val-Vol (2)'!AD$4:AD$1858,'Val-Vol (2)'!$A$4:$A$1858,$D1424,'Val-Vol (2)'!$V$4:$V$1858,$V1424)/SUMIFS('Comp2016-2017 (3)'!$G$5:$G$289,'Comp2016-2017 (3)'!$A$5:$A$289,$D1424,'Comp2016-2017 (3)'!$R$5:$R$289,$V1424)*$AB1424))</f>
        <v/>
      </c>
      <c r="AE1424" s="222" t="str">
        <f>IF($W1424=AE$3,$AB1424,IF(NOT($W1424=0),"",SUMIFS('Val-Vol (2)'!AE$4:AE$1858,'Val-Vol (2)'!$A$4:$A$1858,$D1424,'Val-Vol (2)'!$V$4:$V$1858,$V1424)/SUMIFS('Comp2016-2017 (3)'!$G$5:$G$289,'Comp2016-2017 (3)'!$A$5:$A$289,$D1424,'Comp2016-2017 (3)'!$R$5:$R$289,$V1424)*$AB1424))</f>
        <v/>
      </c>
      <c r="AF1424" s="222" t="str">
        <f>IF($W1424=AF$3,$AB1424,IF(NOT($W1424=0),"",SUMIFS('Val-Vol (2)'!AF$4:AF$1858,'Val-Vol (2)'!$A$4:$A$1858,$D1424,'Val-Vol (2)'!$V$4:$V$1858,$V1424)/SUMIFS('Comp2016-2017 (3)'!$G$5:$G$289,'Comp2016-2017 (3)'!$A$5:$A$289,$D1424,'Comp2016-2017 (3)'!$R$5:$R$289,$V1424)*$AB1424))</f>
        <v/>
      </c>
      <c r="AG1424" s="222" t="str">
        <f>IF($W1424=AG$3,$AB1424,IF(NOT($W1424=0),"",SUMIFS('Val-Vol (2)'!AG$4:AG$1858,'Val-Vol (2)'!$A$4:$A$1858,$D1424,'Val-Vol (2)'!$V$4:$V$1858,$V1424)/SUMIFS('Comp2016-2017 (3)'!$G$5:$G$289,'Comp2016-2017 (3)'!$A$5:$A$289,$D1424,'Comp2016-2017 (3)'!$R$5:$R$289,$V1424)*$AB1424))</f>
        <v/>
      </c>
      <c r="AH1424" s="222" t="str">
        <f>IF($W1424=AH$3,$AB1424,IF(NOT($W1424=0),"",SUMIFS('Val-Vol (2)'!AH$4:AH$1858,'Val-Vol (2)'!$A$4:$A$1858,$D1424,'Val-Vol (2)'!$V$4:$V$1858,$V1424)/SUMIFS('Comp2016-2017 (3)'!$G$5:$G$289,'Comp2016-2017 (3)'!$A$5:$A$289,$D1424,'Comp2016-2017 (3)'!$R$5:$R$289,$V1424)*$AB1424))</f>
        <v/>
      </c>
      <c r="AI1424" s="222" t="str">
        <f>IF($W1424=AI$3,$AB1424,IF(NOT($W1424=0),"",SUMIFS('Val-Vol (2)'!AI$4:AI$1858,'Val-Vol (2)'!$A$4:$A$1858,$D1424,'Val-Vol (2)'!$V$4:$V$1858,$V1424)/SUMIFS('Comp2016-2017 (3)'!$G$5:$G$289,'Comp2016-2017 (3)'!$A$5:$A$289,$D1424,'Comp2016-2017 (3)'!$R$5:$R$289,$V1424)*$AB1424))</f>
        <v/>
      </c>
      <c r="AJ1424" s="222">
        <f>IF($W1424=AJ$3,$AB1424,IF(NOT($W1424=0),"",SUMIFS('Val-Vol (2)'!AJ$4:AJ$1858,'Val-Vol (2)'!$A$4:$A$1858,$D1424,'Val-Vol (2)'!$V$4:$V$1858,$V1424)/SUMIFS('Comp2016-2017 (3)'!$G$5:$G$289,'Comp2016-2017 (3)'!$A$5:$A$289,$D1424,'Comp2016-2017 (3)'!$R$5:$R$289,$V1424)*$AB1424))</f>
        <v>271007.43620412133</v>
      </c>
      <c r="AK1424" s="222">
        <f t="shared" si="165"/>
        <v>0</v>
      </c>
      <c r="AL1424" s="212" t="str">
        <f t="shared" si="166"/>
        <v/>
      </c>
      <c r="AM1424" s="212" t="str">
        <f>VLOOKUP(A1424,'Table corresp.'!$M$4:$U$63,8,FALSE)</f>
        <v xml:space="preserve">Mise en œuvre </v>
      </c>
      <c r="AN1424" s="212" t="str">
        <f>VLOOKUP(D1424,'Table corresp.'!$M$4:$U$63,9,FALSE)</f>
        <v>Consommation finale française</v>
      </c>
    </row>
    <row r="1425" spans="1:40" x14ac:dyDescent="0.25">
      <c r="A1425" t="s">
        <v>105</v>
      </c>
      <c r="B1425" t="str">
        <f>VLOOKUP(LEFT(A1425,3),'Table corresp.'!$A$4:$D$63,3,FALSE)</f>
        <v>Transformation</v>
      </c>
      <c r="C1425" t="str">
        <f>VLOOKUP(A1425,'Table corresp.'!$M$4:$P$63,4,FALSE)</f>
        <v>Commerces et services</v>
      </c>
      <c r="D1425" t="s">
        <v>19</v>
      </c>
      <c r="E1425" t="str">
        <f>VLOOKUP(LEFT(D1425,3),'Table corresp.'!$A$4:$D$63,4,FALSE)</f>
        <v>Transformation</v>
      </c>
      <c r="F1425" t="str">
        <f t="shared" si="167"/>
        <v xml:space="preserve">62  - 52 </v>
      </c>
      <c r="G1425" s="213">
        <v>8893.4454033998445</v>
      </c>
      <c r="H1425" s="213">
        <v>0</v>
      </c>
      <c r="I1425" s="213">
        <v>8893.4454033998445</v>
      </c>
      <c r="J1425" s="215"/>
      <c r="K1425" s="215"/>
      <c r="L1425" s="215"/>
      <c r="M1425" s="215"/>
      <c r="N1425" s="215"/>
      <c r="O1425" s="215"/>
      <c r="P1425" s="215"/>
      <c r="Q1425" s="215"/>
      <c r="R1425" s="215"/>
      <c r="S1425" s="213"/>
      <c r="T1425" s="212">
        <f>VLOOKUP(A1425,'Groupe de branches'!$Z$27:$AM$86,14,FALSE)</f>
        <v>0</v>
      </c>
      <c r="U1425" s="212">
        <f>VLOOKUP(D1425,'Groupe de branches'!$Z$27:$AM$86,14,FALSE)</f>
        <v>0</v>
      </c>
      <c r="V1425" s="212">
        <v>2019</v>
      </c>
      <c r="W1425" s="212" t="str">
        <f>VLOOKUP(D1425,'Table corresp.'!$M$4:$S$63,7,FALSE)</f>
        <v>Construction</v>
      </c>
      <c r="X1425" s="228">
        <f>IFERROR(G1425/SUMIFS('Comp2016-2017 (3)'!$I$5:$I$289,'Comp2016-2017 (3)'!$A$5:$A$289,A1425,'Comp2016-2017 (3)'!$R$5:$R$289,V1425),0)</f>
        <v>4.427066526323048E-3</v>
      </c>
      <c r="Y1425" s="214">
        <f>IFERROR(IF(RIGHT(F1425,3)="Exp",VLOOKUP(F1425,#REF!,2,FALSE),VLOOKUP(F1425,#REF!,9,FALSE)),1)</f>
        <v>1</v>
      </c>
      <c r="Z1425" s="225">
        <f t="shared" si="168"/>
        <v>0.1111111111111111</v>
      </c>
      <c r="AA1425" s="225">
        <f t="shared" si="164"/>
        <v>4.9189628070256083E-4</v>
      </c>
      <c r="AB1425" s="222">
        <f>IFERROR(SUMIFS('Comp2016-2017 (3)'!$G$5:$G$289,'Comp2016-2017 (3)'!$A$5:$A$289,A1425,'Comp2016-2017 (3)'!$R$5:$R$289,V1425)*AA1425/SUMIFS($AA$4:$AA$1858,$A$4:$A$1858,A1425,$V$4:$V$1858,V1425),0)</f>
        <v>8893.4454029316821</v>
      </c>
      <c r="AC1425" s="222" t="str">
        <f>IF($W1425=AC$3,$AB1425,IF(NOT($W1425=0),"",SUMIFS('Val-Vol (2)'!AC$4:AC$1858,'Val-Vol (2)'!$A$4:$A$1858,$D1425,'Val-Vol (2)'!$V$4:$V$1858,$V1425)/SUMIFS('Comp2016-2017 (3)'!$G$5:$G$289,'Comp2016-2017 (3)'!$A$5:$A$289,$D1425,'Comp2016-2017 (3)'!$R$5:$R$289,$V1425)*$AB1425))</f>
        <v/>
      </c>
      <c r="AD1425" s="222">
        <f>IF($W1425=AD$3,$AB1425,IF(NOT($W1425=0),"",SUMIFS('Val-Vol (2)'!AD$4:AD$1858,'Val-Vol (2)'!$A$4:$A$1858,$D1425,'Val-Vol (2)'!$V$4:$V$1858,$V1425)/SUMIFS('Comp2016-2017 (3)'!$G$5:$G$289,'Comp2016-2017 (3)'!$A$5:$A$289,$D1425,'Comp2016-2017 (3)'!$R$5:$R$289,$V1425)*$AB1425))</f>
        <v>8893.4454029316821</v>
      </c>
      <c r="AE1425" s="222" t="str">
        <f>IF($W1425=AE$3,$AB1425,IF(NOT($W1425=0),"",SUMIFS('Val-Vol (2)'!AE$4:AE$1858,'Val-Vol (2)'!$A$4:$A$1858,$D1425,'Val-Vol (2)'!$V$4:$V$1858,$V1425)/SUMIFS('Comp2016-2017 (3)'!$G$5:$G$289,'Comp2016-2017 (3)'!$A$5:$A$289,$D1425,'Comp2016-2017 (3)'!$R$5:$R$289,$V1425)*$AB1425))</f>
        <v/>
      </c>
      <c r="AF1425" s="222" t="str">
        <f>IF($W1425=AF$3,$AB1425,IF(NOT($W1425=0),"",SUMIFS('Val-Vol (2)'!AF$4:AF$1858,'Val-Vol (2)'!$A$4:$A$1858,$D1425,'Val-Vol (2)'!$V$4:$V$1858,$V1425)/SUMIFS('Comp2016-2017 (3)'!$G$5:$G$289,'Comp2016-2017 (3)'!$A$5:$A$289,$D1425,'Comp2016-2017 (3)'!$R$5:$R$289,$V1425)*$AB1425))</f>
        <v/>
      </c>
      <c r="AG1425" s="222" t="str">
        <f>IF($W1425=AG$3,$AB1425,IF(NOT($W1425=0),"",SUMIFS('Val-Vol (2)'!AG$4:AG$1858,'Val-Vol (2)'!$A$4:$A$1858,$D1425,'Val-Vol (2)'!$V$4:$V$1858,$V1425)/SUMIFS('Comp2016-2017 (3)'!$G$5:$G$289,'Comp2016-2017 (3)'!$A$5:$A$289,$D1425,'Comp2016-2017 (3)'!$R$5:$R$289,$V1425)*$AB1425))</f>
        <v/>
      </c>
      <c r="AH1425" s="222" t="str">
        <f>IF($W1425=AH$3,$AB1425,IF(NOT($W1425=0),"",SUMIFS('Val-Vol (2)'!AH$4:AH$1858,'Val-Vol (2)'!$A$4:$A$1858,$D1425,'Val-Vol (2)'!$V$4:$V$1858,$V1425)/SUMIFS('Comp2016-2017 (3)'!$G$5:$G$289,'Comp2016-2017 (3)'!$A$5:$A$289,$D1425,'Comp2016-2017 (3)'!$R$5:$R$289,$V1425)*$AB1425))</f>
        <v/>
      </c>
      <c r="AI1425" s="222" t="str">
        <f>IF($W1425=AI$3,$AB1425,IF(NOT($W1425=0),"",SUMIFS('Val-Vol (2)'!AI$4:AI$1858,'Val-Vol (2)'!$A$4:$A$1858,$D1425,'Val-Vol (2)'!$V$4:$V$1858,$V1425)/SUMIFS('Comp2016-2017 (3)'!$G$5:$G$289,'Comp2016-2017 (3)'!$A$5:$A$289,$D1425,'Comp2016-2017 (3)'!$R$5:$R$289,$V1425)*$AB1425))</f>
        <v/>
      </c>
      <c r="AJ1425" s="222" t="str">
        <f>IF($W1425=AJ$3,$AB1425,IF(NOT($W1425=0),"",SUMIFS('Val-Vol (2)'!AJ$4:AJ$1858,'Val-Vol (2)'!$A$4:$A$1858,$D1425,'Val-Vol (2)'!$V$4:$V$1858,$V1425)/SUMIFS('Comp2016-2017 (3)'!$G$5:$G$289,'Comp2016-2017 (3)'!$A$5:$A$289,$D1425,'Comp2016-2017 (3)'!$R$5:$R$289,$V1425)*$AB1425))</f>
        <v/>
      </c>
      <c r="AK1425" s="222">
        <f t="shared" si="165"/>
        <v>0</v>
      </c>
      <c r="AL1425" s="212" t="str">
        <f t="shared" si="166"/>
        <v/>
      </c>
      <c r="AM1425" s="212" t="str">
        <f>VLOOKUP(A1425,'Table corresp.'!$M$4:$U$63,8,FALSE)</f>
        <v>Consommation finale française</v>
      </c>
      <c r="AN1425" s="212" t="str">
        <f>VLOOKUP(D1425,'Table corresp.'!$M$4:$U$63,9,FALSE)</f>
        <v xml:space="preserve">Mise en œuvre </v>
      </c>
    </row>
    <row r="1426" spans="1:40" x14ac:dyDescent="0.25">
      <c r="A1426" t="s">
        <v>105</v>
      </c>
      <c r="B1426" t="str">
        <f>VLOOKUP(LEFT(A1426,3),'Table corresp.'!$A$4:$D$63,3,FALSE)</f>
        <v>Transformation</v>
      </c>
      <c r="C1426" t="str">
        <f>VLOOKUP(A1426,'Table corresp.'!$M$4:$P$63,4,FALSE)</f>
        <v>Commerces et services</v>
      </c>
      <c r="D1426" t="s">
        <v>20</v>
      </c>
      <c r="E1426" t="str">
        <f>VLOOKUP(LEFT(D1426,3),'Table corresp.'!$A$4:$D$63,4,FALSE)</f>
        <v>Transformation</v>
      </c>
      <c r="F1426" t="str">
        <f t="shared" si="167"/>
        <v xml:space="preserve">62  - 53 </v>
      </c>
      <c r="G1426" s="213">
        <v>1567.307303140487</v>
      </c>
      <c r="H1426" s="213">
        <v>0</v>
      </c>
      <c r="I1426" s="213">
        <v>1567.307303140487</v>
      </c>
      <c r="J1426" s="215"/>
      <c r="K1426" s="215"/>
      <c r="L1426" s="215"/>
      <c r="M1426" s="215"/>
      <c r="N1426" s="215"/>
      <c r="O1426" s="215"/>
      <c r="P1426" s="215"/>
      <c r="Q1426" s="215"/>
      <c r="R1426" s="215"/>
      <c r="S1426" s="213"/>
      <c r="T1426" s="212">
        <f>VLOOKUP(A1426,'Groupe de branches'!$Z$27:$AM$86,14,FALSE)</f>
        <v>0</v>
      </c>
      <c r="U1426" s="212">
        <f>VLOOKUP(D1426,'Groupe de branches'!$Z$27:$AM$86,14,FALSE)</f>
        <v>0</v>
      </c>
      <c r="V1426" s="212">
        <v>2019</v>
      </c>
      <c r="W1426" s="212" t="str">
        <f>VLOOKUP(D1426,'Table corresp.'!$M$4:$S$63,7,FALSE)</f>
        <v>Construction</v>
      </c>
      <c r="X1426" s="228">
        <f>IFERROR(G1426/SUMIFS('Comp2016-2017 (3)'!$I$5:$I$289,'Comp2016-2017 (3)'!$A$5:$A$289,A1426,'Comp2016-2017 (3)'!$R$5:$R$289,V1426),0)</f>
        <v>7.8018960970316147E-4</v>
      </c>
      <c r="Y1426" s="214">
        <f>IFERROR(IF(RIGHT(F1426,3)="Exp",VLOOKUP(F1426,#REF!,2,FALSE),VLOOKUP(F1426,#REF!,9,FALSE)),1)</f>
        <v>1</v>
      </c>
      <c r="Z1426" s="225">
        <f t="shared" si="168"/>
        <v>0.1111111111111111</v>
      </c>
      <c r="AA1426" s="225">
        <f t="shared" si="164"/>
        <v>8.6687734411462381E-5</v>
      </c>
      <c r="AB1426" s="222">
        <f>IFERROR(SUMIFS('Comp2016-2017 (3)'!$G$5:$G$289,'Comp2016-2017 (3)'!$A$5:$A$289,A1426,'Comp2016-2017 (3)'!$R$5:$R$289,V1426)*AA1426/SUMIFS($AA$4:$AA$1858,$A$4:$A$1858,A1426,$V$4:$V$1858,V1426),0)</f>
        <v>1567.3073030579819</v>
      </c>
      <c r="AC1426" s="222" t="str">
        <f>IF($W1426=AC$3,$AB1426,IF(NOT($W1426=0),"",SUMIFS('Val-Vol (2)'!AC$4:AC$1858,'Val-Vol (2)'!$A$4:$A$1858,$D1426,'Val-Vol (2)'!$V$4:$V$1858,$V1426)/SUMIFS('Comp2016-2017 (3)'!$G$5:$G$289,'Comp2016-2017 (3)'!$A$5:$A$289,$D1426,'Comp2016-2017 (3)'!$R$5:$R$289,$V1426)*$AB1426))</f>
        <v/>
      </c>
      <c r="AD1426" s="222">
        <f>IF($W1426=AD$3,$AB1426,IF(NOT($W1426=0),"",SUMIFS('Val-Vol (2)'!AD$4:AD$1858,'Val-Vol (2)'!$A$4:$A$1858,$D1426,'Val-Vol (2)'!$V$4:$V$1858,$V1426)/SUMIFS('Comp2016-2017 (3)'!$G$5:$G$289,'Comp2016-2017 (3)'!$A$5:$A$289,$D1426,'Comp2016-2017 (3)'!$R$5:$R$289,$V1426)*$AB1426))</f>
        <v>1567.3073030579819</v>
      </c>
      <c r="AE1426" s="222" t="str">
        <f>IF($W1426=AE$3,$AB1426,IF(NOT($W1426=0),"",SUMIFS('Val-Vol (2)'!AE$4:AE$1858,'Val-Vol (2)'!$A$4:$A$1858,$D1426,'Val-Vol (2)'!$V$4:$V$1858,$V1426)/SUMIFS('Comp2016-2017 (3)'!$G$5:$G$289,'Comp2016-2017 (3)'!$A$5:$A$289,$D1426,'Comp2016-2017 (3)'!$R$5:$R$289,$V1426)*$AB1426))</f>
        <v/>
      </c>
      <c r="AF1426" s="222" t="str">
        <f>IF($W1426=AF$3,$AB1426,IF(NOT($W1426=0),"",SUMIFS('Val-Vol (2)'!AF$4:AF$1858,'Val-Vol (2)'!$A$4:$A$1858,$D1426,'Val-Vol (2)'!$V$4:$V$1858,$V1426)/SUMIFS('Comp2016-2017 (3)'!$G$5:$G$289,'Comp2016-2017 (3)'!$A$5:$A$289,$D1426,'Comp2016-2017 (3)'!$R$5:$R$289,$V1426)*$AB1426))</f>
        <v/>
      </c>
      <c r="AG1426" s="222" t="str">
        <f>IF($W1426=AG$3,$AB1426,IF(NOT($W1426=0),"",SUMIFS('Val-Vol (2)'!AG$4:AG$1858,'Val-Vol (2)'!$A$4:$A$1858,$D1426,'Val-Vol (2)'!$V$4:$V$1858,$V1426)/SUMIFS('Comp2016-2017 (3)'!$G$5:$G$289,'Comp2016-2017 (3)'!$A$5:$A$289,$D1426,'Comp2016-2017 (3)'!$R$5:$R$289,$V1426)*$AB1426))</f>
        <v/>
      </c>
      <c r="AH1426" s="222" t="str">
        <f>IF($W1426=AH$3,$AB1426,IF(NOT($W1426=0),"",SUMIFS('Val-Vol (2)'!AH$4:AH$1858,'Val-Vol (2)'!$A$4:$A$1858,$D1426,'Val-Vol (2)'!$V$4:$V$1858,$V1426)/SUMIFS('Comp2016-2017 (3)'!$G$5:$G$289,'Comp2016-2017 (3)'!$A$5:$A$289,$D1426,'Comp2016-2017 (3)'!$R$5:$R$289,$V1426)*$AB1426))</f>
        <v/>
      </c>
      <c r="AI1426" s="222" t="str">
        <f>IF($W1426=AI$3,$AB1426,IF(NOT($W1426=0),"",SUMIFS('Val-Vol (2)'!AI$4:AI$1858,'Val-Vol (2)'!$A$4:$A$1858,$D1426,'Val-Vol (2)'!$V$4:$V$1858,$V1426)/SUMIFS('Comp2016-2017 (3)'!$G$5:$G$289,'Comp2016-2017 (3)'!$A$5:$A$289,$D1426,'Comp2016-2017 (3)'!$R$5:$R$289,$V1426)*$AB1426))</f>
        <v/>
      </c>
      <c r="AJ1426" s="222" t="str">
        <f>IF($W1426=AJ$3,$AB1426,IF(NOT($W1426=0),"",SUMIFS('Val-Vol (2)'!AJ$4:AJ$1858,'Val-Vol (2)'!$A$4:$A$1858,$D1426,'Val-Vol (2)'!$V$4:$V$1858,$V1426)/SUMIFS('Comp2016-2017 (3)'!$G$5:$G$289,'Comp2016-2017 (3)'!$A$5:$A$289,$D1426,'Comp2016-2017 (3)'!$R$5:$R$289,$V1426)*$AB1426))</f>
        <v/>
      </c>
      <c r="AK1426" s="222">
        <f t="shared" si="165"/>
        <v>0</v>
      </c>
      <c r="AL1426" s="212" t="str">
        <f t="shared" si="166"/>
        <v/>
      </c>
      <c r="AM1426" s="212" t="str">
        <f>VLOOKUP(A1426,'Table corresp.'!$M$4:$U$63,8,FALSE)</f>
        <v>Consommation finale française</v>
      </c>
      <c r="AN1426" s="212" t="str">
        <f>VLOOKUP(D1426,'Table corresp.'!$M$4:$U$63,9,FALSE)</f>
        <v xml:space="preserve">Mise en œuvre </v>
      </c>
    </row>
    <row r="1427" spans="1:40" x14ac:dyDescent="0.25">
      <c r="A1427" t="s">
        <v>105</v>
      </c>
      <c r="B1427" t="str">
        <f>VLOOKUP(LEFT(A1427,3),'Table corresp.'!$A$4:$D$63,3,FALSE)</f>
        <v>Transformation</v>
      </c>
      <c r="C1427" t="str">
        <f>VLOOKUP(A1427,'Table corresp.'!$M$4:$P$63,4,FALSE)</f>
        <v>Commerces et services</v>
      </c>
      <c r="D1427" t="s">
        <v>21</v>
      </c>
      <c r="E1427" t="str">
        <f>VLOOKUP(LEFT(D1427,3),'Table corresp.'!$A$4:$D$63,4,FALSE)</f>
        <v>Transformation</v>
      </c>
      <c r="F1427" t="str">
        <f t="shared" si="167"/>
        <v xml:space="preserve">62  - 54 </v>
      </c>
      <c r="G1427" s="213">
        <v>96022.106285294081</v>
      </c>
      <c r="H1427" s="213">
        <v>0</v>
      </c>
      <c r="I1427" s="213">
        <v>96022.106285294081</v>
      </c>
      <c r="J1427" s="215"/>
      <c r="K1427" s="215"/>
      <c r="L1427" s="215"/>
      <c r="M1427" s="215"/>
      <c r="N1427" s="215"/>
      <c r="O1427" s="215"/>
      <c r="P1427" s="215"/>
      <c r="Q1427" s="215"/>
      <c r="R1427" s="215"/>
      <c r="S1427" s="213"/>
      <c r="T1427" s="212">
        <f>VLOOKUP(A1427,'Groupe de branches'!$Z$27:$AM$86,14,FALSE)</f>
        <v>0</v>
      </c>
      <c r="U1427" s="212">
        <f>VLOOKUP(D1427,'Groupe de branches'!$Z$27:$AM$86,14,FALSE)</f>
        <v>0</v>
      </c>
      <c r="V1427" s="212">
        <v>2019</v>
      </c>
      <c r="W1427" s="212" t="str">
        <f>VLOOKUP(D1427,'Table corresp.'!$M$4:$S$63,7,FALSE)</f>
        <v>Construction</v>
      </c>
      <c r="X1427" s="228">
        <f>IFERROR(G1427/SUMIFS('Comp2016-2017 (3)'!$I$5:$I$289,'Comp2016-2017 (3)'!$A$5:$A$289,A1427,'Comp2016-2017 (3)'!$R$5:$R$289,V1427),0)</f>
        <v>4.7798826353636893E-2</v>
      </c>
      <c r="Y1427" s="214">
        <f>IFERROR(IF(RIGHT(F1427,3)="Exp",VLOOKUP(F1427,#REF!,2,FALSE),VLOOKUP(F1427,#REF!,9,FALSE)),1)</f>
        <v>1</v>
      </c>
      <c r="Z1427" s="225">
        <f t="shared" si="168"/>
        <v>0.1111111111111111</v>
      </c>
      <c r="AA1427" s="225">
        <f t="shared" si="164"/>
        <v>5.3109807059596543E-3</v>
      </c>
      <c r="AB1427" s="222">
        <f>IFERROR(SUMIFS('Comp2016-2017 (3)'!$G$5:$G$289,'Comp2016-2017 (3)'!$A$5:$A$289,A1427,'Comp2016-2017 (3)'!$R$5:$R$289,V1427)*AA1427/SUMIFS($AA$4:$AA$1858,$A$4:$A$1858,A1427,$V$4:$V$1858,V1427),0)</f>
        <v>96022.106280239357</v>
      </c>
      <c r="AC1427" s="222" t="str">
        <f>IF($W1427=AC$3,$AB1427,IF(NOT($W1427=0),"",SUMIFS('Val-Vol (2)'!AC$4:AC$1858,'Val-Vol (2)'!$A$4:$A$1858,$D1427,'Val-Vol (2)'!$V$4:$V$1858,$V1427)/SUMIFS('Comp2016-2017 (3)'!$G$5:$G$289,'Comp2016-2017 (3)'!$A$5:$A$289,$D1427,'Comp2016-2017 (3)'!$R$5:$R$289,$V1427)*$AB1427))</f>
        <v/>
      </c>
      <c r="AD1427" s="222">
        <f>IF($W1427=AD$3,$AB1427,IF(NOT($W1427=0),"",SUMIFS('Val-Vol (2)'!AD$4:AD$1858,'Val-Vol (2)'!$A$4:$A$1858,$D1427,'Val-Vol (2)'!$V$4:$V$1858,$V1427)/SUMIFS('Comp2016-2017 (3)'!$G$5:$G$289,'Comp2016-2017 (3)'!$A$5:$A$289,$D1427,'Comp2016-2017 (3)'!$R$5:$R$289,$V1427)*$AB1427))</f>
        <v>96022.106280239357</v>
      </c>
      <c r="AE1427" s="222" t="str">
        <f>IF($W1427=AE$3,$AB1427,IF(NOT($W1427=0),"",SUMIFS('Val-Vol (2)'!AE$4:AE$1858,'Val-Vol (2)'!$A$4:$A$1858,$D1427,'Val-Vol (2)'!$V$4:$V$1858,$V1427)/SUMIFS('Comp2016-2017 (3)'!$G$5:$G$289,'Comp2016-2017 (3)'!$A$5:$A$289,$D1427,'Comp2016-2017 (3)'!$R$5:$R$289,$V1427)*$AB1427))</f>
        <v/>
      </c>
      <c r="AF1427" s="222" t="str">
        <f>IF($W1427=AF$3,$AB1427,IF(NOT($W1427=0),"",SUMIFS('Val-Vol (2)'!AF$4:AF$1858,'Val-Vol (2)'!$A$4:$A$1858,$D1427,'Val-Vol (2)'!$V$4:$V$1858,$V1427)/SUMIFS('Comp2016-2017 (3)'!$G$5:$G$289,'Comp2016-2017 (3)'!$A$5:$A$289,$D1427,'Comp2016-2017 (3)'!$R$5:$R$289,$V1427)*$AB1427))</f>
        <v/>
      </c>
      <c r="AG1427" s="222" t="str">
        <f>IF($W1427=AG$3,$AB1427,IF(NOT($W1427=0),"",SUMIFS('Val-Vol (2)'!AG$4:AG$1858,'Val-Vol (2)'!$A$4:$A$1858,$D1427,'Val-Vol (2)'!$V$4:$V$1858,$V1427)/SUMIFS('Comp2016-2017 (3)'!$G$5:$G$289,'Comp2016-2017 (3)'!$A$5:$A$289,$D1427,'Comp2016-2017 (3)'!$R$5:$R$289,$V1427)*$AB1427))</f>
        <v/>
      </c>
      <c r="AH1427" s="222" t="str">
        <f>IF($W1427=AH$3,$AB1427,IF(NOT($W1427=0),"",SUMIFS('Val-Vol (2)'!AH$4:AH$1858,'Val-Vol (2)'!$A$4:$A$1858,$D1427,'Val-Vol (2)'!$V$4:$V$1858,$V1427)/SUMIFS('Comp2016-2017 (3)'!$G$5:$G$289,'Comp2016-2017 (3)'!$A$5:$A$289,$D1427,'Comp2016-2017 (3)'!$R$5:$R$289,$V1427)*$AB1427))</f>
        <v/>
      </c>
      <c r="AI1427" s="222" t="str">
        <f>IF($W1427=AI$3,$AB1427,IF(NOT($W1427=0),"",SUMIFS('Val-Vol (2)'!AI$4:AI$1858,'Val-Vol (2)'!$A$4:$A$1858,$D1427,'Val-Vol (2)'!$V$4:$V$1858,$V1427)/SUMIFS('Comp2016-2017 (3)'!$G$5:$G$289,'Comp2016-2017 (3)'!$A$5:$A$289,$D1427,'Comp2016-2017 (3)'!$R$5:$R$289,$V1427)*$AB1427))</f>
        <v/>
      </c>
      <c r="AJ1427" s="222" t="str">
        <f>IF($W1427=AJ$3,$AB1427,IF(NOT($W1427=0),"",SUMIFS('Val-Vol (2)'!AJ$4:AJ$1858,'Val-Vol (2)'!$A$4:$A$1858,$D1427,'Val-Vol (2)'!$V$4:$V$1858,$V1427)/SUMIFS('Comp2016-2017 (3)'!$G$5:$G$289,'Comp2016-2017 (3)'!$A$5:$A$289,$D1427,'Comp2016-2017 (3)'!$R$5:$R$289,$V1427)*$AB1427))</f>
        <v/>
      </c>
      <c r="AK1427" s="222">
        <f t="shared" si="165"/>
        <v>0</v>
      </c>
      <c r="AL1427" s="212" t="str">
        <f t="shared" si="166"/>
        <v/>
      </c>
      <c r="AM1427" s="212" t="str">
        <f>VLOOKUP(A1427,'Table corresp.'!$M$4:$U$63,8,FALSE)</f>
        <v>Consommation finale française</v>
      </c>
      <c r="AN1427" s="212" t="str">
        <f>VLOOKUP(D1427,'Table corresp.'!$M$4:$U$63,9,FALSE)</f>
        <v xml:space="preserve">Mise en œuvre </v>
      </c>
    </row>
    <row r="1428" spans="1:40" x14ac:dyDescent="0.25">
      <c r="A1428" t="s">
        <v>105</v>
      </c>
      <c r="B1428" t="str">
        <f>VLOOKUP(LEFT(A1428,3),'Table corresp.'!$A$4:$D$63,3,FALSE)</f>
        <v>Transformation</v>
      </c>
      <c r="C1428" t="str">
        <f>VLOOKUP(A1428,'Table corresp.'!$M$4:$P$63,4,FALSE)</f>
        <v>Commerces et services</v>
      </c>
      <c r="D1428" t="s">
        <v>22</v>
      </c>
      <c r="E1428" t="str">
        <f>VLOOKUP(LEFT(D1428,3),'Table corresp.'!$A$4:$D$63,4,FALSE)</f>
        <v>Transformation</v>
      </c>
      <c r="F1428" t="str">
        <f t="shared" si="167"/>
        <v xml:space="preserve">62  - 55 </v>
      </c>
      <c r="G1428" s="213">
        <v>21537.56620471158</v>
      </c>
      <c r="H1428" s="213">
        <v>0</v>
      </c>
      <c r="I1428" s="213">
        <v>21537.56620471158</v>
      </c>
      <c r="J1428" s="215"/>
      <c r="K1428" s="215"/>
      <c r="L1428" s="215"/>
      <c r="M1428" s="215"/>
      <c r="N1428" s="215"/>
      <c r="O1428" s="215"/>
      <c r="P1428" s="215"/>
      <c r="Q1428" s="215"/>
      <c r="R1428" s="215"/>
      <c r="S1428" s="213"/>
      <c r="T1428" s="212">
        <f>VLOOKUP(A1428,'Groupe de branches'!$Z$27:$AM$86,14,FALSE)</f>
        <v>0</v>
      </c>
      <c r="U1428" s="212">
        <f>VLOOKUP(D1428,'Groupe de branches'!$Z$27:$AM$86,14,FALSE)</f>
        <v>0</v>
      </c>
      <c r="V1428" s="212">
        <v>2019</v>
      </c>
      <c r="W1428" s="212" t="str">
        <f>VLOOKUP(D1428,'Table corresp.'!$M$4:$S$63,7,FALSE)</f>
        <v>Construction</v>
      </c>
      <c r="X1428" s="228">
        <f>IFERROR(G1428/SUMIFS('Comp2016-2017 (3)'!$I$5:$I$289,'Comp2016-2017 (3)'!$A$5:$A$289,A1428,'Comp2016-2017 (3)'!$R$5:$R$289,V1428),0)</f>
        <v>1.0721181058456245E-2</v>
      </c>
      <c r="Y1428" s="214">
        <f>IFERROR(IF(RIGHT(F1428,3)="Exp",VLOOKUP(F1428,#REF!,2,FALSE),VLOOKUP(F1428,#REF!,9,FALSE)),1)</f>
        <v>1</v>
      </c>
      <c r="Z1428" s="225">
        <f t="shared" si="168"/>
        <v>0.1111111111111111</v>
      </c>
      <c r="AA1428" s="225">
        <f t="shared" si="164"/>
        <v>1.1912423398284715E-3</v>
      </c>
      <c r="AB1428" s="222">
        <f>IFERROR(SUMIFS('Comp2016-2017 (3)'!$G$5:$G$289,'Comp2016-2017 (3)'!$A$5:$A$289,A1428,'Comp2016-2017 (3)'!$R$5:$R$289,V1428)*AA1428/SUMIFS($AA$4:$AA$1858,$A$4:$A$1858,A1428,$V$4:$V$1858,V1428),0)</f>
        <v>21537.566203577815</v>
      </c>
      <c r="AC1428" s="222" t="str">
        <f>IF($W1428=AC$3,$AB1428,IF(NOT($W1428=0),"",SUMIFS('Val-Vol (2)'!AC$4:AC$1858,'Val-Vol (2)'!$A$4:$A$1858,$D1428,'Val-Vol (2)'!$V$4:$V$1858,$V1428)/SUMIFS('Comp2016-2017 (3)'!$G$5:$G$289,'Comp2016-2017 (3)'!$A$5:$A$289,$D1428,'Comp2016-2017 (3)'!$R$5:$R$289,$V1428)*$AB1428))</f>
        <v/>
      </c>
      <c r="AD1428" s="222">
        <f>IF($W1428=AD$3,$AB1428,IF(NOT($W1428=0),"",SUMIFS('Val-Vol (2)'!AD$4:AD$1858,'Val-Vol (2)'!$A$4:$A$1858,$D1428,'Val-Vol (2)'!$V$4:$V$1858,$V1428)/SUMIFS('Comp2016-2017 (3)'!$G$5:$G$289,'Comp2016-2017 (3)'!$A$5:$A$289,$D1428,'Comp2016-2017 (3)'!$R$5:$R$289,$V1428)*$AB1428))</f>
        <v>21537.566203577815</v>
      </c>
      <c r="AE1428" s="222" t="str">
        <f>IF($W1428=AE$3,$AB1428,IF(NOT($W1428=0),"",SUMIFS('Val-Vol (2)'!AE$4:AE$1858,'Val-Vol (2)'!$A$4:$A$1858,$D1428,'Val-Vol (2)'!$V$4:$V$1858,$V1428)/SUMIFS('Comp2016-2017 (3)'!$G$5:$G$289,'Comp2016-2017 (3)'!$A$5:$A$289,$D1428,'Comp2016-2017 (3)'!$R$5:$R$289,$V1428)*$AB1428))</f>
        <v/>
      </c>
      <c r="AF1428" s="222" t="str">
        <f>IF($W1428=AF$3,$AB1428,IF(NOT($W1428=0),"",SUMIFS('Val-Vol (2)'!AF$4:AF$1858,'Val-Vol (2)'!$A$4:$A$1858,$D1428,'Val-Vol (2)'!$V$4:$V$1858,$V1428)/SUMIFS('Comp2016-2017 (3)'!$G$5:$G$289,'Comp2016-2017 (3)'!$A$5:$A$289,$D1428,'Comp2016-2017 (3)'!$R$5:$R$289,$V1428)*$AB1428))</f>
        <v/>
      </c>
      <c r="AG1428" s="222" t="str">
        <f>IF($W1428=AG$3,$AB1428,IF(NOT($W1428=0),"",SUMIFS('Val-Vol (2)'!AG$4:AG$1858,'Val-Vol (2)'!$A$4:$A$1858,$D1428,'Val-Vol (2)'!$V$4:$V$1858,$V1428)/SUMIFS('Comp2016-2017 (3)'!$G$5:$G$289,'Comp2016-2017 (3)'!$A$5:$A$289,$D1428,'Comp2016-2017 (3)'!$R$5:$R$289,$V1428)*$AB1428))</f>
        <v/>
      </c>
      <c r="AH1428" s="222" t="str">
        <f>IF($W1428=AH$3,$AB1428,IF(NOT($W1428=0),"",SUMIFS('Val-Vol (2)'!AH$4:AH$1858,'Val-Vol (2)'!$A$4:$A$1858,$D1428,'Val-Vol (2)'!$V$4:$V$1858,$V1428)/SUMIFS('Comp2016-2017 (3)'!$G$5:$G$289,'Comp2016-2017 (3)'!$A$5:$A$289,$D1428,'Comp2016-2017 (3)'!$R$5:$R$289,$V1428)*$AB1428))</f>
        <v/>
      </c>
      <c r="AI1428" s="222" t="str">
        <f>IF($W1428=AI$3,$AB1428,IF(NOT($W1428=0),"",SUMIFS('Val-Vol (2)'!AI$4:AI$1858,'Val-Vol (2)'!$A$4:$A$1858,$D1428,'Val-Vol (2)'!$V$4:$V$1858,$V1428)/SUMIFS('Comp2016-2017 (3)'!$G$5:$G$289,'Comp2016-2017 (3)'!$A$5:$A$289,$D1428,'Comp2016-2017 (3)'!$R$5:$R$289,$V1428)*$AB1428))</f>
        <v/>
      </c>
      <c r="AJ1428" s="222" t="str">
        <f>IF($W1428=AJ$3,$AB1428,IF(NOT($W1428=0),"",SUMIFS('Val-Vol (2)'!AJ$4:AJ$1858,'Val-Vol (2)'!$A$4:$A$1858,$D1428,'Val-Vol (2)'!$V$4:$V$1858,$V1428)/SUMIFS('Comp2016-2017 (3)'!$G$5:$G$289,'Comp2016-2017 (3)'!$A$5:$A$289,$D1428,'Comp2016-2017 (3)'!$R$5:$R$289,$V1428)*$AB1428))</f>
        <v/>
      </c>
      <c r="AK1428" s="222">
        <f t="shared" si="165"/>
        <v>0</v>
      </c>
      <c r="AL1428" s="212" t="str">
        <f t="shared" si="166"/>
        <v/>
      </c>
      <c r="AM1428" s="212" t="str">
        <f>VLOOKUP(A1428,'Table corresp.'!$M$4:$U$63,8,FALSE)</f>
        <v>Consommation finale française</v>
      </c>
      <c r="AN1428" s="212" t="str">
        <f>VLOOKUP(D1428,'Table corresp.'!$M$4:$U$63,9,FALSE)</f>
        <v xml:space="preserve">Mise en œuvre </v>
      </c>
    </row>
    <row r="1429" spans="1:40" x14ac:dyDescent="0.25">
      <c r="A1429" t="s">
        <v>105</v>
      </c>
      <c r="B1429" t="str">
        <f>VLOOKUP(LEFT(A1429,3),'Table corresp.'!$A$4:$D$63,3,FALSE)</f>
        <v>Transformation</v>
      </c>
      <c r="C1429" t="str">
        <f>VLOOKUP(A1429,'Table corresp.'!$M$4:$P$63,4,FALSE)</f>
        <v>Commerces et services</v>
      </c>
      <c r="D1429" t="s">
        <v>23</v>
      </c>
      <c r="E1429" t="str">
        <f>VLOOKUP(LEFT(D1429,3),'Table corresp.'!$A$4:$D$63,4,FALSE)</f>
        <v>Transformation</v>
      </c>
      <c r="F1429" t="str">
        <f t="shared" si="167"/>
        <v xml:space="preserve">62  - 56 </v>
      </c>
      <c r="G1429" s="213">
        <v>1886.006210340249</v>
      </c>
      <c r="H1429" s="213">
        <v>0</v>
      </c>
      <c r="I1429" s="213">
        <v>1886.006210340249</v>
      </c>
      <c r="J1429" s="215"/>
      <c r="K1429" s="215"/>
      <c r="L1429" s="215"/>
      <c r="M1429" s="215"/>
      <c r="N1429" s="215"/>
      <c r="O1429" s="215"/>
      <c r="P1429" s="215"/>
      <c r="Q1429" s="215"/>
      <c r="R1429" s="215"/>
      <c r="S1429" s="213"/>
      <c r="T1429" s="212">
        <f>VLOOKUP(A1429,'Groupe de branches'!$Z$27:$AM$86,14,FALSE)</f>
        <v>0</v>
      </c>
      <c r="U1429" s="212">
        <f>VLOOKUP(D1429,'Groupe de branches'!$Z$27:$AM$86,14,FALSE)</f>
        <v>0</v>
      </c>
      <c r="V1429" s="212">
        <v>2019</v>
      </c>
      <c r="W1429" s="212" t="str">
        <f>VLOOKUP(D1429,'Table corresp.'!$M$4:$S$63,7,FALSE)</f>
        <v>Construction</v>
      </c>
      <c r="X1429" s="228">
        <f>IFERROR(G1429/SUMIFS('Comp2016-2017 (3)'!$I$5:$I$289,'Comp2016-2017 (3)'!$A$5:$A$289,A1429,'Comp2016-2017 (3)'!$R$5:$R$289,V1429),0)</f>
        <v>9.3883467919450092E-4</v>
      </c>
      <c r="Y1429" s="214">
        <f>IFERROR(IF(RIGHT(F1429,3)="Exp",VLOOKUP(F1429,#REF!,2,FALSE),VLOOKUP(F1429,#REF!,9,FALSE)),1)</f>
        <v>1</v>
      </c>
      <c r="Z1429" s="225">
        <f t="shared" si="168"/>
        <v>0.1111111111111111</v>
      </c>
      <c r="AA1429" s="225">
        <f t="shared" si="164"/>
        <v>1.0431496435494454E-4</v>
      </c>
      <c r="AB1429" s="222">
        <f>IFERROR(SUMIFS('Comp2016-2017 (3)'!$G$5:$G$289,'Comp2016-2017 (3)'!$A$5:$A$289,A1429,'Comp2016-2017 (3)'!$R$5:$R$289,V1429)*AA1429/SUMIFS($AA$4:$AA$1858,$A$4:$A$1858,A1429,$V$4:$V$1858,V1429),0)</f>
        <v>1886.0062102409672</v>
      </c>
      <c r="AC1429" s="222" t="str">
        <f>IF($W1429=AC$3,$AB1429,IF(NOT($W1429=0),"",SUMIFS('Val-Vol (2)'!AC$4:AC$1858,'Val-Vol (2)'!$A$4:$A$1858,$D1429,'Val-Vol (2)'!$V$4:$V$1858,$V1429)/SUMIFS('Comp2016-2017 (3)'!$G$5:$G$289,'Comp2016-2017 (3)'!$A$5:$A$289,$D1429,'Comp2016-2017 (3)'!$R$5:$R$289,$V1429)*$AB1429))</f>
        <v/>
      </c>
      <c r="AD1429" s="222">
        <f>IF($W1429=AD$3,$AB1429,IF(NOT($W1429=0),"",SUMIFS('Val-Vol (2)'!AD$4:AD$1858,'Val-Vol (2)'!$A$4:$A$1858,$D1429,'Val-Vol (2)'!$V$4:$V$1858,$V1429)/SUMIFS('Comp2016-2017 (3)'!$G$5:$G$289,'Comp2016-2017 (3)'!$A$5:$A$289,$D1429,'Comp2016-2017 (3)'!$R$5:$R$289,$V1429)*$AB1429))</f>
        <v>1886.0062102409672</v>
      </c>
      <c r="AE1429" s="222" t="str">
        <f>IF($W1429=AE$3,$AB1429,IF(NOT($W1429=0),"",SUMIFS('Val-Vol (2)'!AE$4:AE$1858,'Val-Vol (2)'!$A$4:$A$1858,$D1429,'Val-Vol (2)'!$V$4:$V$1858,$V1429)/SUMIFS('Comp2016-2017 (3)'!$G$5:$G$289,'Comp2016-2017 (3)'!$A$5:$A$289,$D1429,'Comp2016-2017 (3)'!$R$5:$R$289,$V1429)*$AB1429))</f>
        <v/>
      </c>
      <c r="AF1429" s="222" t="str">
        <f>IF($W1429=AF$3,$AB1429,IF(NOT($W1429=0),"",SUMIFS('Val-Vol (2)'!AF$4:AF$1858,'Val-Vol (2)'!$A$4:$A$1858,$D1429,'Val-Vol (2)'!$V$4:$V$1858,$V1429)/SUMIFS('Comp2016-2017 (3)'!$G$5:$G$289,'Comp2016-2017 (3)'!$A$5:$A$289,$D1429,'Comp2016-2017 (3)'!$R$5:$R$289,$V1429)*$AB1429))</f>
        <v/>
      </c>
      <c r="AG1429" s="222" t="str">
        <f>IF($W1429=AG$3,$AB1429,IF(NOT($W1429=0),"",SUMIFS('Val-Vol (2)'!AG$4:AG$1858,'Val-Vol (2)'!$A$4:$A$1858,$D1429,'Val-Vol (2)'!$V$4:$V$1858,$V1429)/SUMIFS('Comp2016-2017 (3)'!$G$5:$G$289,'Comp2016-2017 (3)'!$A$5:$A$289,$D1429,'Comp2016-2017 (3)'!$R$5:$R$289,$V1429)*$AB1429))</f>
        <v/>
      </c>
      <c r="AH1429" s="222" t="str">
        <f>IF($W1429=AH$3,$AB1429,IF(NOT($W1429=0),"",SUMIFS('Val-Vol (2)'!AH$4:AH$1858,'Val-Vol (2)'!$A$4:$A$1858,$D1429,'Val-Vol (2)'!$V$4:$V$1858,$V1429)/SUMIFS('Comp2016-2017 (3)'!$G$5:$G$289,'Comp2016-2017 (3)'!$A$5:$A$289,$D1429,'Comp2016-2017 (3)'!$R$5:$R$289,$V1429)*$AB1429))</f>
        <v/>
      </c>
      <c r="AI1429" s="222" t="str">
        <f>IF($W1429=AI$3,$AB1429,IF(NOT($W1429=0),"",SUMIFS('Val-Vol (2)'!AI$4:AI$1858,'Val-Vol (2)'!$A$4:$A$1858,$D1429,'Val-Vol (2)'!$V$4:$V$1858,$V1429)/SUMIFS('Comp2016-2017 (3)'!$G$5:$G$289,'Comp2016-2017 (3)'!$A$5:$A$289,$D1429,'Comp2016-2017 (3)'!$R$5:$R$289,$V1429)*$AB1429))</f>
        <v/>
      </c>
      <c r="AJ1429" s="222" t="str">
        <f>IF($W1429=AJ$3,$AB1429,IF(NOT($W1429=0),"",SUMIFS('Val-Vol (2)'!AJ$4:AJ$1858,'Val-Vol (2)'!$A$4:$A$1858,$D1429,'Val-Vol (2)'!$V$4:$V$1858,$V1429)/SUMIFS('Comp2016-2017 (3)'!$G$5:$G$289,'Comp2016-2017 (3)'!$A$5:$A$289,$D1429,'Comp2016-2017 (3)'!$R$5:$R$289,$V1429)*$AB1429))</f>
        <v/>
      </c>
      <c r="AK1429" s="222">
        <f t="shared" si="165"/>
        <v>0</v>
      </c>
      <c r="AL1429" s="212" t="str">
        <f t="shared" si="166"/>
        <v/>
      </c>
      <c r="AM1429" s="212" t="str">
        <f>VLOOKUP(A1429,'Table corresp.'!$M$4:$U$63,8,FALSE)</f>
        <v>Consommation finale française</v>
      </c>
      <c r="AN1429" s="212" t="str">
        <f>VLOOKUP(D1429,'Table corresp.'!$M$4:$U$63,9,FALSE)</f>
        <v xml:space="preserve">Mise en œuvre </v>
      </c>
    </row>
    <row r="1430" spans="1:40" x14ac:dyDescent="0.25">
      <c r="A1430" t="s">
        <v>105</v>
      </c>
      <c r="B1430" t="str">
        <f>VLOOKUP(LEFT(A1430,3),'Table corresp.'!$A$4:$D$63,3,FALSE)</f>
        <v>Transformation</v>
      </c>
      <c r="C1430" t="str">
        <f>VLOOKUP(A1430,'Table corresp.'!$M$4:$P$63,4,FALSE)</f>
        <v>Commerces et services</v>
      </c>
      <c r="D1430" t="s">
        <v>24</v>
      </c>
      <c r="E1430" t="str">
        <f>VLOOKUP(LEFT(D1430,3),'Table corresp.'!$A$4:$D$63,4,FALSE)</f>
        <v>Transformation</v>
      </c>
      <c r="F1430" t="str">
        <f t="shared" si="167"/>
        <v xml:space="preserve">62  - 57 </v>
      </c>
      <c r="G1430" s="213">
        <v>69355.413856210958</v>
      </c>
      <c r="H1430" s="213">
        <v>0</v>
      </c>
      <c r="I1430" s="213">
        <v>69355.413856210958</v>
      </c>
      <c r="J1430" s="215"/>
      <c r="K1430" s="215"/>
      <c r="L1430" s="215"/>
      <c r="M1430" s="215"/>
      <c r="N1430" s="215"/>
      <c r="O1430" s="215"/>
      <c r="P1430" s="215"/>
      <c r="Q1430" s="215"/>
      <c r="R1430" s="215"/>
      <c r="S1430" s="213"/>
      <c r="T1430" s="212">
        <f>VLOOKUP(A1430,'Groupe de branches'!$Z$27:$AM$86,14,FALSE)</f>
        <v>0</v>
      </c>
      <c r="U1430" s="212">
        <f>VLOOKUP(D1430,'Groupe de branches'!$Z$27:$AM$86,14,FALSE)</f>
        <v>0</v>
      </c>
      <c r="V1430" s="212">
        <v>2019</v>
      </c>
      <c r="W1430" s="212" t="str">
        <f>VLOOKUP(D1430,'Table corresp.'!$M$4:$S$63,7,FALSE)</f>
        <v>Construction</v>
      </c>
      <c r="X1430" s="228">
        <f>IFERROR(G1430/SUMIFS('Comp2016-2017 (3)'!$I$5:$I$289,'Comp2016-2017 (3)'!$A$5:$A$289,A1430,'Comp2016-2017 (3)'!$R$5:$R$289,V1430),0)</f>
        <v>3.4524418509921426E-2</v>
      </c>
      <c r="Y1430" s="214">
        <f>IFERROR(IF(RIGHT(F1430,3)="Exp",VLOOKUP(F1430,#REF!,2,FALSE),VLOOKUP(F1430,#REF!,9,FALSE)),1)</f>
        <v>1</v>
      </c>
      <c r="Z1430" s="225">
        <f t="shared" si="168"/>
        <v>0.1111111111111111</v>
      </c>
      <c r="AA1430" s="225">
        <f t="shared" si="164"/>
        <v>3.8360465011023806E-3</v>
      </c>
      <c r="AB1430" s="222">
        <f>IFERROR(SUMIFS('Comp2016-2017 (3)'!$G$5:$G$289,'Comp2016-2017 (3)'!$A$5:$A$289,A1430,'Comp2016-2017 (3)'!$R$5:$R$289,V1430)*AA1430/SUMIFS($AA$4:$AA$1858,$A$4:$A$1858,A1430,$V$4:$V$1858,V1430),0)</f>
        <v>69355.413852559999</v>
      </c>
      <c r="AC1430" s="222" t="str">
        <f>IF($W1430=AC$3,$AB1430,IF(NOT($W1430=0),"",SUMIFS('Val-Vol (2)'!AC$4:AC$1858,'Val-Vol (2)'!$A$4:$A$1858,$D1430,'Val-Vol (2)'!$V$4:$V$1858,$V1430)/SUMIFS('Comp2016-2017 (3)'!$G$5:$G$289,'Comp2016-2017 (3)'!$A$5:$A$289,$D1430,'Comp2016-2017 (3)'!$R$5:$R$289,$V1430)*$AB1430))</f>
        <v/>
      </c>
      <c r="AD1430" s="222">
        <f>IF($W1430=AD$3,$AB1430,IF(NOT($W1430=0),"",SUMIFS('Val-Vol (2)'!AD$4:AD$1858,'Val-Vol (2)'!$A$4:$A$1858,$D1430,'Val-Vol (2)'!$V$4:$V$1858,$V1430)/SUMIFS('Comp2016-2017 (3)'!$G$5:$G$289,'Comp2016-2017 (3)'!$A$5:$A$289,$D1430,'Comp2016-2017 (3)'!$R$5:$R$289,$V1430)*$AB1430))</f>
        <v>69355.413852559999</v>
      </c>
      <c r="AE1430" s="222" t="str">
        <f>IF($W1430=AE$3,$AB1430,IF(NOT($W1430=0),"",SUMIFS('Val-Vol (2)'!AE$4:AE$1858,'Val-Vol (2)'!$A$4:$A$1858,$D1430,'Val-Vol (2)'!$V$4:$V$1858,$V1430)/SUMIFS('Comp2016-2017 (3)'!$G$5:$G$289,'Comp2016-2017 (3)'!$A$5:$A$289,$D1430,'Comp2016-2017 (3)'!$R$5:$R$289,$V1430)*$AB1430))</f>
        <v/>
      </c>
      <c r="AF1430" s="222" t="str">
        <f>IF($W1430=AF$3,$AB1430,IF(NOT($W1430=0),"",SUMIFS('Val-Vol (2)'!AF$4:AF$1858,'Val-Vol (2)'!$A$4:$A$1858,$D1430,'Val-Vol (2)'!$V$4:$V$1858,$V1430)/SUMIFS('Comp2016-2017 (3)'!$G$5:$G$289,'Comp2016-2017 (3)'!$A$5:$A$289,$D1430,'Comp2016-2017 (3)'!$R$5:$R$289,$V1430)*$AB1430))</f>
        <v/>
      </c>
      <c r="AG1430" s="222" t="str">
        <f>IF($W1430=AG$3,$AB1430,IF(NOT($W1430=0),"",SUMIFS('Val-Vol (2)'!AG$4:AG$1858,'Val-Vol (2)'!$A$4:$A$1858,$D1430,'Val-Vol (2)'!$V$4:$V$1858,$V1430)/SUMIFS('Comp2016-2017 (3)'!$G$5:$G$289,'Comp2016-2017 (3)'!$A$5:$A$289,$D1430,'Comp2016-2017 (3)'!$R$5:$R$289,$V1430)*$AB1430))</f>
        <v/>
      </c>
      <c r="AH1430" s="222" t="str">
        <f>IF($W1430=AH$3,$AB1430,IF(NOT($W1430=0),"",SUMIFS('Val-Vol (2)'!AH$4:AH$1858,'Val-Vol (2)'!$A$4:$A$1858,$D1430,'Val-Vol (2)'!$V$4:$V$1858,$V1430)/SUMIFS('Comp2016-2017 (3)'!$G$5:$G$289,'Comp2016-2017 (3)'!$A$5:$A$289,$D1430,'Comp2016-2017 (3)'!$R$5:$R$289,$V1430)*$AB1430))</f>
        <v/>
      </c>
      <c r="AI1430" s="222" t="str">
        <f>IF($W1430=AI$3,$AB1430,IF(NOT($W1430=0),"",SUMIFS('Val-Vol (2)'!AI$4:AI$1858,'Val-Vol (2)'!$A$4:$A$1858,$D1430,'Val-Vol (2)'!$V$4:$V$1858,$V1430)/SUMIFS('Comp2016-2017 (3)'!$G$5:$G$289,'Comp2016-2017 (3)'!$A$5:$A$289,$D1430,'Comp2016-2017 (3)'!$R$5:$R$289,$V1430)*$AB1430))</f>
        <v/>
      </c>
      <c r="AJ1430" s="222" t="str">
        <f>IF($W1430=AJ$3,$AB1430,IF(NOT($W1430=0),"",SUMIFS('Val-Vol (2)'!AJ$4:AJ$1858,'Val-Vol (2)'!$A$4:$A$1858,$D1430,'Val-Vol (2)'!$V$4:$V$1858,$V1430)/SUMIFS('Comp2016-2017 (3)'!$G$5:$G$289,'Comp2016-2017 (3)'!$A$5:$A$289,$D1430,'Comp2016-2017 (3)'!$R$5:$R$289,$V1430)*$AB1430))</f>
        <v/>
      </c>
      <c r="AK1430" s="222">
        <f t="shared" si="165"/>
        <v>0</v>
      </c>
      <c r="AL1430" s="212" t="str">
        <f t="shared" si="166"/>
        <v/>
      </c>
      <c r="AM1430" s="212" t="str">
        <f>VLOOKUP(A1430,'Table corresp.'!$M$4:$U$63,8,FALSE)</f>
        <v>Consommation finale française</v>
      </c>
      <c r="AN1430" s="212" t="str">
        <f>VLOOKUP(D1430,'Table corresp.'!$M$4:$U$63,9,FALSE)</f>
        <v xml:space="preserve">Mise en œuvre </v>
      </c>
    </row>
    <row r="1431" spans="1:40" x14ac:dyDescent="0.25">
      <c r="A1431" t="s">
        <v>105</v>
      </c>
      <c r="B1431" t="str">
        <f>VLOOKUP(LEFT(A1431,3),'Table corresp.'!$A$4:$D$63,3,FALSE)</f>
        <v>Transformation</v>
      </c>
      <c r="C1431" t="str">
        <f>VLOOKUP(A1431,'Table corresp.'!$M$4:$P$63,4,FALSE)</f>
        <v>Commerces et services</v>
      </c>
      <c r="D1431" t="s">
        <v>25</v>
      </c>
      <c r="E1431" t="str">
        <f>VLOOKUP(LEFT(D1431,3),'Table corresp.'!$A$4:$D$63,4,FALSE)</f>
        <v>Transformation</v>
      </c>
      <c r="F1431" t="str">
        <f t="shared" si="167"/>
        <v xml:space="preserve">62  - 58 </v>
      </c>
      <c r="G1431" s="213">
        <v>6243.0917990352</v>
      </c>
      <c r="H1431" s="213">
        <v>0</v>
      </c>
      <c r="I1431" s="213">
        <v>6243.0917990352</v>
      </c>
      <c r="J1431" s="215"/>
      <c r="K1431" s="215"/>
      <c r="L1431" s="215"/>
      <c r="M1431" s="215"/>
      <c r="N1431" s="215"/>
      <c r="O1431" s="215"/>
      <c r="P1431" s="215"/>
      <c r="Q1431" s="215"/>
      <c r="R1431" s="215"/>
      <c r="S1431" s="213"/>
      <c r="T1431" s="212">
        <f>VLOOKUP(A1431,'Groupe de branches'!$Z$27:$AM$86,14,FALSE)</f>
        <v>0</v>
      </c>
      <c r="U1431" s="212">
        <f>VLOOKUP(D1431,'Groupe de branches'!$Z$27:$AM$86,14,FALSE)</f>
        <v>0</v>
      </c>
      <c r="V1431" s="212">
        <v>2019</v>
      </c>
      <c r="W1431" s="212" t="str">
        <f>VLOOKUP(D1431,'Table corresp.'!$M$4:$S$63,7,FALSE)</f>
        <v>Construction</v>
      </c>
      <c r="X1431" s="228">
        <f>IFERROR(G1431/SUMIFS('Comp2016-2017 (3)'!$I$5:$I$289,'Comp2016-2017 (3)'!$A$5:$A$289,A1431,'Comp2016-2017 (3)'!$R$5:$R$289,V1431),0)</f>
        <v>3.10774750061487E-3</v>
      </c>
      <c r="Y1431" s="214">
        <f>IFERROR(IF(RIGHT(F1431,3)="Exp",VLOOKUP(F1431,#REF!,2,FALSE),VLOOKUP(F1431,#REF!,9,FALSE)),1)</f>
        <v>1</v>
      </c>
      <c r="Z1431" s="225">
        <f t="shared" si="168"/>
        <v>0.1111111111111111</v>
      </c>
      <c r="AA1431" s="225">
        <f t="shared" si="164"/>
        <v>3.4530527784609662E-4</v>
      </c>
      <c r="AB1431" s="222">
        <f>IFERROR(SUMIFS('Comp2016-2017 (3)'!$G$5:$G$289,'Comp2016-2017 (3)'!$A$5:$A$289,A1431,'Comp2016-2017 (3)'!$R$5:$R$289,V1431)*AA1431/SUMIFS($AA$4:$AA$1858,$A$4:$A$1858,A1431,$V$4:$V$1858,V1431),0)</f>
        <v>6243.091798706555</v>
      </c>
      <c r="AC1431" s="222" t="str">
        <f>IF($W1431=AC$3,$AB1431,IF(NOT($W1431=0),"",SUMIFS('Val-Vol (2)'!AC$4:AC$1858,'Val-Vol (2)'!$A$4:$A$1858,$D1431,'Val-Vol (2)'!$V$4:$V$1858,$V1431)/SUMIFS('Comp2016-2017 (3)'!$G$5:$G$289,'Comp2016-2017 (3)'!$A$5:$A$289,$D1431,'Comp2016-2017 (3)'!$R$5:$R$289,$V1431)*$AB1431))</f>
        <v/>
      </c>
      <c r="AD1431" s="222">
        <f>IF($W1431=AD$3,$AB1431,IF(NOT($W1431=0),"",SUMIFS('Val-Vol (2)'!AD$4:AD$1858,'Val-Vol (2)'!$A$4:$A$1858,$D1431,'Val-Vol (2)'!$V$4:$V$1858,$V1431)/SUMIFS('Comp2016-2017 (3)'!$G$5:$G$289,'Comp2016-2017 (3)'!$A$5:$A$289,$D1431,'Comp2016-2017 (3)'!$R$5:$R$289,$V1431)*$AB1431))</f>
        <v>6243.091798706555</v>
      </c>
      <c r="AE1431" s="222" t="str">
        <f>IF($W1431=AE$3,$AB1431,IF(NOT($W1431=0),"",SUMIFS('Val-Vol (2)'!AE$4:AE$1858,'Val-Vol (2)'!$A$4:$A$1858,$D1431,'Val-Vol (2)'!$V$4:$V$1858,$V1431)/SUMIFS('Comp2016-2017 (3)'!$G$5:$G$289,'Comp2016-2017 (3)'!$A$5:$A$289,$D1431,'Comp2016-2017 (3)'!$R$5:$R$289,$V1431)*$AB1431))</f>
        <v/>
      </c>
      <c r="AF1431" s="222" t="str">
        <f>IF($W1431=AF$3,$AB1431,IF(NOT($W1431=0),"",SUMIFS('Val-Vol (2)'!AF$4:AF$1858,'Val-Vol (2)'!$A$4:$A$1858,$D1431,'Val-Vol (2)'!$V$4:$V$1858,$V1431)/SUMIFS('Comp2016-2017 (3)'!$G$5:$G$289,'Comp2016-2017 (3)'!$A$5:$A$289,$D1431,'Comp2016-2017 (3)'!$R$5:$R$289,$V1431)*$AB1431))</f>
        <v/>
      </c>
      <c r="AG1431" s="222" t="str">
        <f>IF($W1431=AG$3,$AB1431,IF(NOT($W1431=0),"",SUMIFS('Val-Vol (2)'!AG$4:AG$1858,'Val-Vol (2)'!$A$4:$A$1858,$D1431,'Val-Vol (2)'!$V$4:$V$1858,$V1431)/SUMIFS('Comp2016-2017 (3)'!$G$5:$G$289,'Comp2016-2017 (3)'!$A$5:$A$289,$D1431,'Comp2016-2017 (3)'!$R$5:$R$289,$V1431)*$AB1431))</f>
        <v/>
      </c>
      <c r="AH1431" s="222" t="str">
        <f>IF($W1431=AH$3,$AB1431,IF(NOT($W1431=0),"",SUMIFS('Val-Vol (2)'!AH$4:AH$1858,'Val-Vol (2)'!$A$4:$A$1858,$D1431,'Val-Vol (2)'!$V$4:$V$1858,$V1431)/SUMIFS('Comp2016-2017 (3)'!$G$5:$G$289,'Comp2016-2017 (3)'!$A$5:$A$289,$D1431,'Comp2016-2017 (3)'!$R$5:$R$289,$V1431)*$AB1431))</f>
        <v/>
      </c>
      <c r="AI1431" s="222" t="str">
        <f>IF($W1431=AI$3,$AB1431,IF(NOT($W1431=0),"",SUMIFS('Val-Vol (2)'!AI$4:AI$1858,'Val-Vol (2)'!$A$4:$A$1858,$D1431,'Val-Vol (2)'!$V$4:$V$1858,$V1431)/SUMIFS('Comp2016-2017 (3)'!$G$5:$G$289,'Comp2016-2017 (3)'!$A$5:$A$289,$D1431,'Comp2016-2017 (3)'!$R$5:$R$289,$V1431)*$AB1431))</f>
        <v/>
      </c>
      <c r="AJ1431" s="222" t="str">
        <f>IF($W1431=AJ$3,$AB1431,IF(NOT($W1431=0),"",SUMIFS('Val-Vol (2)'!AJ$4:AJ$1858,'Val-Vol (2)'!$A$4:$A$1858,$D1431,'Val-Vol (2)'!$V$4:$V$1858,$V1431)/SUMIFS('Comp2016-2017 (3)'!$G$5:$G$289,'Comp2016-2017 (3)'!$A$5:$A$289,$D1431,'Comp2016-2017 (3)'!$R$5:$R$289,$V1431)*$AB1431))</f>
        <v/>
      </c>
      <c r="AK1431" s="222">
        <f t="shared" si="165"/>
        <v>0</v>
      </c>
      <c r="AL1431" s="212" t="str">
        <f t="shared" si="166"/>
        <v/>
      </c>
      <c r="AM1431" s="212" t="str">
        <f>VLOOKUP(A1431,'Table corresp.'!$M$4:$U$63,8,FALSE)</f>
        <v>Consommation finale française</v>
      </c>
      <c r="AN1431" s="212" t="str">
        <f>VLOOKUP(D1431,'Table corresp.'!$M$4:$U$63,9,FALSE)</f>
        <v xml:space="preserve">Mise en œuvre </v>
      </c>
    </row>
    <row r="1432" spans="1:40" x14ac:dyDescent="0.25">
      <c r="A1432" t="s">
        <v>105</v>
      </c>
      <c r="B1432" t="str">
        <f>VLOOKUP(LEFT(A1432,3),'Table corresp.'!$A$4:$D$63,3,FALSE)</f>
        <v>Transformation</v>
      </c>
      <c r="C1432" t="str">
        <f>VLOOKUP(A1432,'Table corresp.'!$M$4:$P$63,4,FALSE)</f>
        <v>Commerces et services</v>
      </c>
      <c r="D1432" t="s">
        <v>26</v>
      </c>
      <c r="E1432" t="str">
        <f>VLOOKUP(LEFT(D1432,3),'Table corresp.'!$A$4:$D$63,4,FALSE)</f>
        <v>Transformation</v>
      </c>
      <c r="F1432" t="str">
        <f t="shared" si="167"/>
        <v xml:space="preserve">62  - 59 </v>
      </c>
      <c r="G1432" s="213">
        <v>1418.1219640211136</v>
      </c>
      <c r="H1432" s="213">
        <v>0</v>
      </c>
      <c r="I1432" s="213">
        <v>1418.1219640211136</v>
      </c>
      <c r="J1432" s="215"/>
      <c r="K1432" s="215"/>
      <c r="L1432" s="215"/>
      <c r="M1432" s="215"/>
      <c r="N1432" s="215"/>
      <c r="O1432" s="215"/>
      <c r="P1432" s="215"/>
      <c r="Q1432" s="215"/>
      <c r="R1432" s="215"/>
      <c r="S1432" s="213"/>
      <c r="T1432" s="212">
        <f>VLOOKUP(A1432,'Groupe de branches'!$Z$27:$AM$86,14,FALSE)</f>
        <v>0</v>
      </c>
      <c r="U1432" s="212">
        <f>VLOOKUP(D1432,'Groupe de branches'!$Z$27:$AM$86,14,FALSE)</f>
        <v>0</v>
      </c>
      <c r="V1432" s="212">
        <v>2019</v>
      </c>
      <c r="W1432" s="212" t="str">
        <f>VLOOKUP(D1432,'Table corresp.'!$M$4:$S$63,7,FALSE)</f>
        <v>Construction</v>
      </c>
      <c r="X1432" s="228">
        <f>IFERROR(G1432/SUMIFS('Comp2016-2017 (3)'!$I$5:$I$289,'Comp2016-2017 (3)'!$A$5:$A$289,A1432,'Comp2016-2017 (3)'!$R$5:$R$289,V1432),0)</f>
        <v>7.0592666760638451E-4</v>
      </c>
      <c r="Y1432" s="214">
        <f>IFERROR(IF(RIGHT(F1432,3)="Exp",VLOOKUP(F1432,#REF!,2,FALSE),VLOOKUP(F1432,#REF!,9,FALSE)),1)</f>
        <v>1</v>
      </c>
      <c r="Z1432" s="225">
        <f t="shared" si="168"/>
        <v>0.1111111111111111</v>
      </c>
      <c r="AA1432" s="225">
        <f t="shared" si="164"/>
        <v>7.8436296400709389E-5</v>
      </c>
      <c r="AB1432" s="222">
        <f>IFERROR(SUMIFS('Comp2016-2017 (3)'!$G$5:$G$289,'Comp2016-2017 (3)'!$A$5:$A$289,A1432,'Comp2016-2017 (3)'!$R$5:$R$289,V1432)*AA1432/SUMIFS($AA$4:$AA$1858,$A$4:$A$1858,A1432,$V$4:$V$1858,V1432),0)</f>
        <v>1418.1219639464621</v>
      </c>
      <c r="AC1432" s="222" t="str">
        <f>IF($W1432=AC$3,$AB1432,IF(NOT($W1432=0),"",SUMIFS('Val-Vol (2)'!AC$4:AC$1858,'Val-Vol (2)'!$A$4:$A$1858,$D1432,'Val-Vol (2)'!$V$4:$V$1858,$V1432)/SUMIFS('Comp2016-2017 (3)'!$G$5:$G$289,'Comp2016-2017 (3)'!$A$5:$A$289,$D1432,'Comp2016-2017 (3)'!$R$5:$R$289,$V1432)*$AB1432))</f>
        <v/>
      </c>
      <c r="AD1432" s="222">
        <f>IF($W1432=AD$3,$AB1432,IF(NOT($W1432=0),"",SUMIFS('Val-Vol (2)'!AD$4:AD$1858,'Val-Vol (2)'!$A$4:$A$1858,$D1432,'Val-Vol (2)'!$V$4:$V$1858,$V1432)/SUMIFS('Comp2016-2017 (3)'!$G$5:$G$289,'Comp2016-2017 (3)'!$A$5:$A$289,$D1432,'Comp2016-2017 (3)'!$R$5:$R$289,$V1432)*$AB1432))</f>
        <v>1418.1219639464621</v>
      </c>
      <c r="AE1432" s="222" t="str">
        <f>IF($W1432=AE$3,$AB1432,IF(NOT($W1432=0),"",SUMIFS('Val-Vol (2)'!AE$4:AE$1858,'Val-Vol (2)'!$A$4:$A$1858,$D1432,'Val-Vol (2)'!$V$4:$V$1858,$V1432)/SUMIFS('Comp2016-2017 (3)'!$G$5:$G$289,'Comp2016-2017 (3)'!$A$5:$A$289,$D1432,'Comp2016-2017 (3)'!$R$5:$R$289,$V1432)*$AB1432))</f>
        <v/>
      </c>
      <c r="AF1432" s="222" t="str">
        <f>IF($W1432=AF$3,$AB1432,IF(NOT($W1432=0),"",SUMIFS('Val-Vol (2)'!AF$4:AF$1858,'Val-Vol (2)'!$A$4:$A$1858,$D1432,'Val-Vol (2)'!$V$4:$V$1858,$V1432)/SUMIFS('Comp2016-2017 (3)'!$G$5:$G$289,'Comp2016-2017 (3)'!$A$5:$A$289,$D1432,'Comp2016-2017 (3)'!$R$5:$R$289,$V1432)*$AB1432))</f>
        <v/>
      </c>
      <c r="AG1432" s="222" t="str">
        <f>IF($W1432=AG$3,$AB1432,IF(NOT($W1432=0),"",SUMIFS('Val-Vol (2)'!AG$4:AG$1858,'Val-Vol (2)'!$A$4:$A$1858,$D1432,'Val-Vol (2)'!$V$4:$V$1858,$V1432)/SUMIFS('Comp2016-2017 (3)'!$G$5:$G$289,'Comp2016-2017 (3)'!$A$5:$A$289,$D1432,'Comp2016-2017 (3)'!$R$5:$R$289,$V1432)*$AB1432))</f>
        <v/>
      </c>
      <c r="AH1432" s="222" t="str">
        <f>IF($W1432=AH$3,$AB1432,IF(NOT($W1432=0),"",SUMIFS('Val-Vol (2)'!AH$4:AH$1858,'Val-Vol (2)'!$A$4:$A$1858,$D1432,'Val-Vol (2)'!$V$4:$V$1858,$V1432)/SUMIFS('Comp2016-2017 (3)'!$G$5:$G$289,'Comp2016-2017 (3)'!$A$5:$A$289,$D1432,'Comp2016-2017 (3)'!$R$5:$R$289,$V1432)*$AB1432))</f>
        <v/>
      </c>
      <c r="AI1432" s="222" t="str">
        <f>IF($W1432=AI$3,$AB1432,IF(NOT($W1432=0),"",SUMIFS('Val-Vol (2)'!AI$4:AI$1858,'Val-Vol (2)'!$A$4:$A$1858,$D1432,'Val-Vol (2)'!$V$4:$V$1858,$V1432)/SUMIFS('Comp2016-2017 (3)'!$G$5:$G$289,'Comp2016-2017 (3)'!$A$5:$A$289,$D1432,'Comp2016-2017 (3)'!$R$5:$R$289,$V1432)*$AB1432))</f>
        <v/>
      </c>
      <c r="AJ1432" s="222" t="str">
        <f>IF($W1432=AJ$3,$AB1432,IF(NOT($W1432=0),"",SUMIFS('Val-Vol (2)'!AJ$4:AJ$1858,'Val-Vol (2)'!$A$4:$A$1858,$D1432,'Val-Vol (2)'!$V$4:$V$1858,$V1432)/SUMIFS('Comp2016-2017 (3)'!$G$5:$G$289,'Comp2016-2017 (3)'!$A$5:$A$289,$D1432,'Comp2016-2017 (3)'!$R$5:$R$289,$V1432)*$AB1432))</f>
        <v/>
      </c>
      <c r="AK1432" s="222">
        <f t="shared" si="165"/>
        <v>0</v>
      </c>
      <c r="AL1432" s="212" t="str">
        <f t="shared" si="166"/>
        <v/>
      </c>
      <c r="AM1432" s="212" t="str">
        <f>VLOOKUP(A1432,'Table corresp.'!$M$4:$U$63,8,FALSE)</f>
        <v>Consommation finale française</v>
      </c>
      <c r="AN1432" s="212" t="str">
        <f>VLOOKUP(D1432,'Table corresp.'!$M$4:$U$63,9,FALSE)</f>
        <v xml:space="preserve">Mise en œuvre </v>
      </c>
    </row>
    <row r="1433" spans="1:40" x14ac:dyDescent="0.25">
      <c r="A1433" t="s">
        <v>105</v>
      </c>
      <c r="B1433" t="str">
        <f>VLOOKUP(LEFT(A1433,3),'Table corresp.'!$A$4:$D$63,3,FALSE)</f>
        <v>Transformation</v>
      </c>
      <c r="C1433" t="str">
        <f>VLOOKUP(A1433,'Table corresp.'!$M$4:$P$63,4,FALSE)</f>
        <v>Commerces et services</v>
      </c>
      <c r="D1433" t="s">
        <v>54</v>
      </c>
      <c r="E1433" t="str">
        <f>VLOOKUP(LEFT(D1433,3),'Table corresp.'!$A$4:$D$63,4,FALSE)</f>
        <v>Consommation finale</v>
      </c>
      <c r="F1433" t="str">
        <f t="shared" si="167"/>
        <v>62  - Con</v>
      </c>
      <c r="G1433" s="213">
        <v>1801956.9410795965</v>
      </c>
      <c r="H1433" s="213">
        <v>0</v>
      </c>
      <c r="I1433" s="213">
        <v>1801956.9410795965</v>
      </c>
      <c r="J1433" s="215"/>
      <c r="K1433" s="215"/>
      <c r="L1433" s="215"/>
      <c r="M1433" s="215"/>
      <c r="N1433" s="215"/>
      <c r="O1433" s="215"/>
      <c r="P1433" s="215"/>
      <c r="Q1433" s="215"/>
      <c r="R1433" s="215"/>
      <c r="S1433" s="213"/>
      <c r="T1433" s="212">
        <f>VLOOKUP(A1433,'Groupe de branches'!$Z$27:$AM$86,14,FALSE)</f>
        <v>0</v>
      </c>
      <c r="U1433" s="212">
        <f>VLOOKUP(D1433,'Groupe de branches'!$Z$27:$AM$86,14,FALSE)</f>
        <v>0</v>
      </c>
      <c r="V1433" s="212">
        <v>2019</v>
      </c>
      <c r="W1433" s="212" t="str">
        <f>VLOOKUP(D1433,'Table corresp.'!$M$4:$S$63,7,FALSE)</f>
        <v>Consommation finale</v>
      </c>
      <c r="X1433" s="228">
        <f>IFERROR(G1433/SUMIFS('Comp2016-2017 (3)'!$I$5:$I$289,'Comp2016-2017 (3)'!$A$5:$A$289,A1433,'Comp2016-2017 (3)'!$R$5:$R$289,V1433),0)</f>
        <v>0.8969958091471848</v>
      </c>
      <c r="Y1433" s="214">
        <f>IFERROR(IF(RIGHT(F1433,3)="Exp",VLOOKUP(F1433,#REF!,2,FALSE),VLOOKUP(F1433,#REF!,9,FALSE)),1)</f>
        <v>1</v>
      </c>
      <c r="Z1433" s="225">
        <f t="shared" si="168"/>
        <v>0.1111111111111111</v>
      </c>
      <c r="AA1433" s="225">
        <f t="shared" si="164"/>
        <v>9.9666201016353859E-2</v>
      </c>
      <c r="AB1433" s="222">
        <f>IFERROR(SUMIFS('Comp2016-2017 (3)'!$G$5:$G$289,'Comp2016-2017 (3)'!$A$5:$A$289,A1433,'Comp2016-2017 (3)'!$R$5:$R$289,V1433)*AA1433/SUMIFS($AA$4:$AA$1858,$A$4:$A$1858,A1433,$V$4:$V$1858,V1433),0)</f>
        <v>1801956.9409847392</v>
      </c>
      <c r="AC1433" s="222" t="str">
        <f>IF($W1433=AC$3,$AB1433,IF(NOT($W1433=0),"",SUMIFS('Val-Vol (2)'!AC$4:AC$1858,'Val-Vol (2)'!$A$4:$A$1858,$D1433,'Val-Vol (2)'!$V$4:$V$1858,$V1433)/SUMIFS('Comp2016-2017 (3)'!$G$5:$G$289,'Comp2016-2017 (3)'!$A$5:$A$289,$D1433,'Comp2016-2017 (3)'!$R$5:$R$289,$V1433)*$AB1433))</f>
        <v/>
      </c>
      <c r="AD1433" s="222" t="str">
        <f>IF($W1433=AD$3,$AB1433,IF(NOT($W1433=0),"",SUMIFS('Val-Vol (2)'!AD$4:AD$1858,'Val-Vol (2)'!$A$4:$A$1858,$D1433,'Val-Vol (2)'!$V$4:$V$1858,$V1433)/SUMIFS('Comp2016-2017 (3)'!$G$5:$G$289,'Comp2016-2017 (3)'!$A$5:$A$289,$D1433,'Comp2016-2017 (3)'!$R$5:$R$289,$V1433)*$AB1433))</f>
        <v/>
      </c>
      <c r="AE1433" s="222" t="str">
        <f>IF($W1433=AE$3,$AB1433,IF(NOT($W1433=0),"",SUMIFS('Val-Vol (2)'!AE$4:AE$1858,'Val-Vol (2)'!$A$4:$A$1858,$D1433,'Val-Vol (2)'!$V$4:$V$1858,$V1433)/SUMIFS('Comp2016-2017 (3)'!$G$5:$G$289,'Comp2016-2017 (3)'!$A$5:$A$289,$D1433,'Comp2016-2017 (3)'!$R$5:$R$289,$V1433)*$AB1433))</f>
        <v/>
      </c>
      <c r="AF1433" s="222" t="str">
        <f>IF($W1433=AF$3,$AB1433,IF(NOT($W1433=0),"",SUMIFS('Val-Vol (2)'!AF$4:AF$1858,'Val-Vol (2)'!$A$4:$A$1858,$D1433,'Val-Vol (2)'!$V$4:$V$1858,$V1433)/SUMIFS('Comp2016-2017 (3)'!$G$5:$G$289,'Comp2016-2017 (3)'!$A$5:$A$289,$D1433,'Comp2016-2017 (3)'!$R$5:$R$289,$V1433)*$AB1433))</f>
        <v/>
      </c>
      <c r="AG1433" s="222" t="str">
        <f>IF($W1433=AG$3,$AB1433,IF(NOT($W1433=0),"",SUMIFS('Val-Vol (2)'!AG$4:AG$1858,'Val-Vol (2)'!$A$4:$A$1858,$D1433,'Val-Vol (2)'!$V$4:$V$1858,$V1433)/SUMIFS('Comp2016-2017 (3)'!$G$5:$G$289,'Comp2016-2017 (3)'!$A$5:$A$289,$D1433,'Comp2016-2017 (3)'!$R$5:$R$289,$V1433)*$AB1433))</f>
        <v/>
      </c>
      <c r="AH1433" s="222" t="str">
        <f>IF($W1433=AH$3,$AB1433,IF(NOT($W1433=0),"",SUMIFS('Val-Vol (2)'!AH$4:AH$1858,'Val-Vol (2)'!$A$4:$A$1858,$D1433,'Val-Vol (2)'!$V$4:$V$1858,$V1433)/SUMIFS('Comp2016-2017 (3)'!$G$5:$G$289,'Comp2016-2017 (3)'!$A$5:$A$289,$D1433,'Comp2016-2017 (3)'!$R$5:$R$289,$V1433)*$AB1433))</f>
        <v/>
      </c>
      <c r="AI1433" s="222" t="str">
        <f>IF($W1433=AI$3,$AB1433,IF(NOT($W1433=0),"",SUMIFS('Val-Vol (2)'!AI$4:AI$1858,'Val-Vol (2)'!$A$4:$A$1858,$D1433,'Val-Vol (2)'!$V$4:$V$1858,$V1433)/SUMIFS('Comp2016-2017 (3)'!$G$5:$G$289,'Comp2016-2017 (3)'!$A$5:$A$289,$D1433,'Comp2016-2017 (3)'!$R$5:$R$289,$V1433)*$AB1433))</f>
        <v/>
      </c>
      <c r="AJ1433" s="222">
        <f>IF($W1433=AJ$3,$AB1433,IF(NOT($W1433=0),"",SUMIFS('Val-Vol (2)'!AJ$4:AJ$1858,'Val-Vol (2)'!$A$4:$A$1858,$D1433,'Val-Vol (2)'!$V$4:$V$1858,$V1433)/SUMIFS('Comp2016-2017 (3)'!$G$5:$G$289,'Comp2016-2017 (3)'!$A$5:$A$289,$D1433,'Comp2016-2017 (3)'!$R$5:$R$289,$V1433)*$AB1433))</f>
        <v>1801956.9409847392</v>
      </c>
      <c r="AK1433" s="222">
        <f t="shared" si="165"/>
        <v>0</v>
      </c>
      <c r="AL1433" s="212" t="str">
        <f t="shared" si="166"/>
        <v/>
      </c>
      <c r="AM1433" s="212" t="str">
        <f>VLOOKUP(A1433,'Table corresp.'!$M$4:$U$63,8,FALSE)</f>
        <v>Consommation finale française</v>
      </c>
      <c r="AN1433" s="212" t="str">
        <f>VLOOKUP(D1433,'Table corresp.'!$M$4:$U$63,9,FALSE)</f>
        <v>Consommation finale française</v>
      </c>
    </row>
    <row r="1434" spans="1:40" x14ac:dyDescent="0.25">
      <c r="A1434" t="s">
        <v>106</v>
      </c>
      <c r="B1434" t="str">
        <f>VLOOKUP(LEFT(A1434,3),'Table corresp.'!$A$4:$D$63,3,FALSE)</f>
        <v>Transformation</v>
      </c>
      <c r="C1434" t="str">
        <f>VLOOKUP(A1434,'Table corresp.'!$M$4:$P$63,4,FALSE)</f>
        <v>Production et transformation de produits bois</v>
      </c>
      <c r="D1434" t="s">
        <v>2</v>
      </c>
      <c r="E1434" t="str">
        <f>VLOOKUP(LEFT(D1434,3),'Table corresp.'!$A$4:$D$63,4,FALSE)</f>
        <v>Transformation</v>
      </c>
      <c r="F1434" t="str">
        <f t="shared" si="167"/>
        <v xml:space="preserve">63  - 04 </v>
      </c>
      <c r="G1434" s="213">
        <v>38711.038147254018</v>
      </c>
      <c r="H1434" s="213">
        <v>0</v>
      </c>
      <c r="I1434" s="213">
        <v>38711.038147254018</v>
      </c>
      <c r="J1434" s="215"/>
      <c r="K1434" s="215"/>
      <c r="L1434" s="215"/>
      <c r="M1434" s="215"/>
      <c r="N1434" s="215"/>
      <c r="O1434" s="215"/>
      <c r="P1434" s="215"/>
      <c r="Q1434" s="215"/>
      <c r="R1434" s="215"/>
      <c r="S1434" s="213"/>
      <c r="T1434" s="212">
        <f>VLOOKUP(A1434,'Groupe de branches'!$Z$27:$AM$86,14,FALSE)</f>
        <v>0</v>
      </c>
      <c r="U1434" s="212">
        <f>VLOOKUP(D1434,'Groupe de branches'!$Z$27:$AM$86,14,FALSE)</f>
        <v>0</v>
      </c>
      <c r="V1434" s="212">
        <v>2019</v>
      </c>
      <c r="W1434" s="212" t="str">
        <f>VLOOKUP(D1434,'Table corresp.'!$M$4:$S$63,7,FALSE)</f>
        <v>Energie</v>
      </c>
      <c r="X1434" s="228">
        <f>IFERROR(G1434/SUMIFS('Comp2016-2017 (3)'!$I$5:$I$289,'Comp2016-2017 (3)'!$A$5:$A$289,A1434,'Comp2016-2017 (3)'!$R$5:$R$289,V1434),0)</f>
        <v>8.9277759440304458E-2</v>
      </c>
      <c r="Y1434" s="214">
        <f>IFERROR(IF(RIGHT(F1434,3)="Exp",VLOOKUP(F1434,#REF!,2,FALSE),VLOOKUP(F1434,#REF!,9,FALSE)),1)</f>
        <v>1</v>
      </c>
      <c r="Z1434" s="225">
        <f t="shared" si="168"/>
        <v>5.8823529411764705E-2</v>
      </c>
      <c r="AA1434" s="225">
        <f t="shared" si="164"/>
        <v>5.2516329082532036E-3</v>
      </c>
      <c r="AB1434" s="222">
        <f>IFERROR(SUMIFS('Comp2016-2017 (3)'!$G$5:$G$289,'Comp2016-2017 (3)'!$A$5:$A$289,A1434,'Comp2016-2017 (3)'!$R$5:$R$289,V1434)*AA1434/SUMIFS($AA$4:$AA$1858,$A$4:$A$1858,A1434,$V$4:$V$1858,V1434),0)</f>
        <v>19781.340573656027</v>
      </c>
      <c r="AC1434" s="222" t="str">
        <f>IF($W1434=AC$3,$AB1434,IF(NOT($W1434=0),"",SUMIFS('Val-Vol (2)'!AC$4:AC$1858,'Val-Vol (2)'!$A$4:$A$1858,$D1434,'Val-Vol (2)'!$V$4:$V$1858,$V1434)/SUMIFS('Comp2016-2017 (3)'!$G$5:$G$289,'Comp2016-2017 (3)'!$A$5:$A$289,$D1434,'Comp2016-2017 (3)'!$R$5:$R$289,$V1434)*$AB1434))</f>
        <v/>
      </c>
      <c r="AD1434" s="222" t="str">
        <f>IF($W1434=AD$3,$AB1434,IF(NOT($W1434=0),"",SUMIFS('Val-Vol (2)'!AD$4:AD$1858,'Val-Vol (2)'!$A$4:$A$1858,$D1434,'Val-Vol (2)'!$V$4:$V$1858,$V1434)/SUMIFS('Comp2016-2017 (3)'!$G$5:$G$289,'Comp2016-2017 (3)'!$A$5:$A$289,$D1434,'Comp2016-2017 (3)'!$R$5:$R$289,$V1434)*$AB1434))</f>
        <v/>
      </c>
      <c r="AE1434" s="222" t="str">
        <f>IF($W1434=AE$3,$AB1434,IF(NOT($W1434=0),"",SUMIFS('Val-Vol (2)'!AE$4:AE$1858,'Val-Vol (2)'!$A$4:$A$1858,$D1434,'Val-Vol (2)'!$V$4:$V$1858,$V1434)/SUMIFS('Comp2016-2017 (3)'!$G$5:$G$289,'Comp2016-2017 (3)'!$A$5:$A$289,$D1434,'Comp2016-2017 (3)'!$R$5:$R$289,$V1434)*$AB1434))</f>
        <v/>
      </c>
      <c r="AF1434" s="222" t="str">
        <f>IF($W1434=AF$3,$AB1434,IF(NOT($W1434=0),"",SUMIFS('Val-Vol (2)'!AF$4:AF$1858,'Val-Vol (2)'!$A$4:$A$1858,$D1434,'Val-Vol (2)'!$V$4:$V$1858,$V1434)/SUMIFS('Comp2016-2017 (3)'!$G$5:$G$289,'Comp2016-2017 (3)'!$A$5:$A$289,$D1434,'Comp2016-2017 (3)'!$R$5:$R$289,$V1434)*$AB1434))</f>
        <v/>
      </c>
      <c r="AG1434" s="222" t="str">
        <f>IF($W1434=AG$3,$AB1434,IF(NOT($W1434=0),"",SUMIFS('Val-Vol (2)'!AG$4:AG$1858,'Val-Vol (2)'!$A$4:$A$1858,$D1434,'Val-Vol (2)'!$V$4:$V$1858,$V1434)/SUMIFS('Comp2016-2017 (3)'!$G$5:$G$289,'Comp2016-2017 (3)'!$A$5:$A$289,$D1434,'Comp2016-2017 (3)'!$R$5:$R$289,$V1434)*$AB1434))</f>
        <v/>
      </c>
      <c r="AH1434" s="222">
        <f>IF($W1434=AH$3,$AB1434,IF(NOT($W1434=0),"",SUMIFS('Val-Vol (2)'!AH$4:AH$1858,'Val-Vol (2)'!$A$4:$A$1858,$D1434,'Val-Vol (2)'!$V$4:$V$1858,$V1434)/SUMIFS('Comp2016-2017 (3)'!$G$5:$G$289,'Comp2016-2017 (3)'!$A$5:$A$289,$D1434,'Comp2016-2017 (3)'!$R$5:$R$289,$V1434)*$AB1434))</f>
        <v>19781.340573656027</v>
      </c>
      <c r="AI1434" s="222" t="str">
        <f>IF($W1434=AI$3,$AB1434,IF(NOT($W1434=0),"",SUMIFS('Val-Vol (2)'!AI$4:AI$1858,'Val-Vol (2)'!$A$4:$A$1858,$D1434,'Val-Vol (2)'!$V$4:$V$1858,$V1434)/SUMIFS('Comp2016-2017 (3)'!$G$5:$G$289,'Comp2016-2017 (3)'!$A$5:$A$289,$D1434,'Comp2016-2017 (3)'!$R$5:$R$289,$V1434)*$AB1434))</f>
        <v/>
      </c>
      <c r="AJ1434" s="222" t="str">
        <f>IF($W1434=AJ$3,$AB1434,IF(NOT($W1434=0),"",SUMIFS('Val-Vol (2)'!AJ$4:AJ$1858,'Val-Vol (2)'!$A$4:$A$1858,$D1434,'Val-Vol (2)'!$V$4:$V$1858,$V1434)/SUMIFS('Comp2016-2017 (3)'!$G$5:$G$289,'Comp2016-2017 (3)'!$A$5:$A$289,$D1434,'Comp2016-2017 (3)'!$R$5:$R$289,$V1434)*$AB1434))</f>
        <v/>
      </c>
      <c r="AK1434" s="222">
        <f t="shared" si="165"/>
        <v>0</v>
      </c>
      <c r="AL1434" s="212" t="str">
        <f t="shared" si="166"/>
        <v/>
      </c>
      <c r="AM1434" s="212" t="str">
        <f>VLOOKUP(A1434,'Table corresp.'!$M$4:$U$63,8,FALSE)</f>
        <v>Production intermédiaire</v>
      </c>
      <c r="AN1434" s="212" t="str">
        <f>VLOOKUP(D1434,'Table corresp.'!$M$4:$U$63,9,FALSE)</f>
        <v>Production intermédiaire</v>
      </c>
    </row>
    <row r="1435" spans="1:40" x14ac:dyDescent="0.25">
      <c r="A1435" t="s">
        <v>106</v>
      </c>
      <c r="B1435" t="str">
        <f>VLOOKUP(LEFT(A1435,3),'Table corresp.'!$A$4:$D$63,3,FALSE)</f>
        <v>Transformation</v>
      </c>
      <c r="C1435" t="str">
        <f>VLOOKUP(A1435,'Table corresp.'!$M$4:$P$63,4,FALSE)</f>
        <v>Production et transformation de produits bois</v>
      </c>
      <c r="D1435" t="s">
        <v>3</v>
      </c>
      <c r="E1435" t="str">
        <f>VLOOKUP(LEFT(D1435,3),'Table corresp.'!$A$4:$D$63,4,FALSE)</f>
        <v>Transformation</v>
      </c>
      <c r="F1435" t="str">
        <f t="shared" si="167"/>
        <v xml:space="preserve">63  - 06 </v>
      </c>
      <c r="G1435" s="213">
        <v>61238.29747259416</v>
      </c>
      <c r="H1435" s="213">
        <v>0</v>
      </c>
      <c r="I1435" s="213">
        <v>61238.29747259416</v>
      </c>
      <c r="J1435" s="215"/>
      <c r="K1435" s="215"/>
      <c r="L1435" s="215"/>
      <c r="M1435" s="215"/>
      <c r="N1435" s="215"/>
      <c r="O1435" s="215"/>
      <c r="P1435" s="215"/>
      <c r="Q1435" s="215"/>
      <c r="R1435" s="215"/>
      <c r="S1435" s="213"/>
      <c r="T1435" s="212">
        <f>VLOOKUP(A1435,'Groupe de branches'!$Z$27:$AM$86,14,FALSE)</f>
        <v>0</v>
      </c>
      <c r="U1435" s="212">
        <f>VLOOKUP(D1435,'Groupe de branches'!$Z$27:$AM$86,14,FALSE)</f>
        <v>0</v>
      </c>
      <c r="V1435" s="212">
        <v>2019</v>
      </c>
      <c r="W1435" s="212">
        <f>VLOOKUP(D1435,'Table corresp.'!$M$4:$S$63,7,FALSE)</f>
        <v>0</v>
      </c>
      <c r="X1435" s="228">
        <f>IFERROR(G1435/SUMIFS('Comp2016-2017 (3)'!$I$5:$I$289,'Comp2016-2017 (3)'!$A$5:$A$289,A1435,'Comp2016-2017 (3)'!$R$5:$R$289,V1435),0)</f>
        <v>0.14123150016011352</v>
      </c>
      <c r="Y1435" s="214">
        <f>IFERROR(IF(RIGHT(F1435,3)="Exp",VLOOKUP(F1435,#REF!,2,FALSE),VLOOKUP(F1435,#REF!,9,FALSE)),1)</f>
        <v>1</v>
      </c>
      <c r="Z1435" s="225">
        <f t="shared" si="168"/>
        <v>5.8823529411764705E-2</v>
      </c>
      <c r="AA1435" s="225">
        <f t="shared" si="164"/>
        <v>8.3077353035360887E-3</v>
      </c>
      <c r="AB1435" s="222">
        <f>IFERROR(SUMIFS('Comp2016-2017 (3)'!$G$5:$G$289,'Comp2016-2017 (3)'!$A$5:$A$289,A1435,'Comp2016-2017 (3)'!$R$5:$R$289,V1435)*AA1435/SUMIFS($AA$4:$AA$1858,$A$4:$A$1858,A1435,$V$4:$V$1858,V1435),0)</f>
        <v>31292.770135697676</v>
      </c>
      <c r="AC1435" s="222">
        <f>IF($W1435=AC$3,$AB1435,IF(NOT($W1435=0),"",SUMIFS('Val-Vol (2)'!AC$4:AC$1858,'Val-Vol (2)'!$A$4:$A$1858,$D1435,'Val-Vol (2)'!$V$4:$V$1858,$V1435)/SUMIFS('Comp2016-2017 (3)'!$G$5:$G$289,'Comp2016-2017 (3)'!$A$5:$A$289,$D1435,'Comp2016-2017 (3)'!$R$5:$R$289,$V1435)*$AB1435))</f>
        <v>2366.4582128054544</v>
      </c>
      <c r="AD1435" s="222">
        <f>IF($W1435=AD$3,$AB1435,IF(NOT($W1435=0),"",SUMIFS('Val-Vol (2)'!AD$4:AD$1858,'Val-Vol (2)'!$A$4:$A$1858,$D1435,'Val-Vol (2)'!$V$4:$V$1858,$V1435)/SUMIFS('Comp2016-2017 (3)'!$G$5:$G$289,'Comp2016-2017 (3)'!$A$5:$A$289,$D1435,'Comp2016-2017 (3)'!$R$5:$R$289,$V1435)*$AB1435))</f>
        <v>118.6472021142142</v>
      </c>
      <c r="AE1435" s="222">
        <f>IF($W1435=AE$3,$AB1435,IF(NOT($W1435=0),"",SUMIFS('Val-Vol (2)'!AE$4:AE$1858,'Val-Vol (2)'!$A$4:$A$1858,$D1435,'Val-Vol (2)'!$V$4:$V$1858,$V1435)/SUMIFS('Comp2016-2017 (3)'!$G$5:$G$289,'Comp2016-2017 (3)'!$A$5:$A$289,$D1435,'Comp2016-2017 (3)'!$R$5:$R$289,$V1435)*$AB1435))</f>
        <v>0</v>
      </c>
      <c r="AF1435" s="222">
        <f>IF($W1435=AF$3,$AB1435,IF(NOT($W1435=0),"",SUMIFS('Val-Vol (2)'!AF$4:AF$1858,'Val-Vol (2)'!$A$4:$A$1858,$D1435,'Val-Vol (2)'!$V$4:$V$1858,$V1435)/SUMIFS('Comp2016-2017 (3)'!$G$5:$G$289,'Comp2016-2017 (3)'!$A$5:$A$289,$D1435,'Comp2016-2017 (3)'!$R$5:$R$289,$V1435)*$AB1435))</f>
        <v>1890.7550522975487</v>
      </c>
      <c r="AG1435" s="222">
        <f>IF($W1435=AG$3,$AB1435,IF(NOT($W1435=0),"",SUMIFS('Val-Vol (2)'!AG$4:AG$1858,'Val-Vol (2)'!$A$4:$A$1858,$D1435,'Val-Vol (2)'!$V$4:$V$1858,$V1435)/SUMIFS('Comp2016-2017 (3)'!$G$5:$G$289,'Comp2016-2017 (3)'!$A$5:$A$289,$D1435,'Comp2016-2017 (3)'!$R$5:$R$289,$V1435)*$AB1435))</f>
        <v>758.24938901168537</v>
      </c>
      <c r="AH1435" s="222">
        <f>IF($W1435=AH$3,$AB1435,IF(NOT($W1435=0),"",SUMIFS('Val-Vol (2)'!AH$4:AH$1858,'Val-Vol (2)'!$A$4:$A$1858,$D1435,'Val-Vol (2)'!$V$4:$V$1858,$V1435)/SUMIFS('Comp2016-2017 (3)'!$G$5:$G$289,'Comp2016-2017 (3)'!$A$5:$A$289,$D1435,'Comp2016-2017 (3)'!$R$5:$R$289,$V1435)*$AB1435))</f>
        <v>5784.3768293792664</v>
      </c>
      <c r="AI1435" s="222">
        <f>IF($W1435=AI$3,$AB1435,IF(NOT($W1435=0),"",SUMIFS('Val-Vol (2)'!AI$4:AI$1858,'Val-Vol (2)'!$A$4:$A$1858,$D1435,'Val-Vol (2)'!$V$4:$V$1858,$V1435)/SUMIFS('Comp2016-2017 (3)'!$G$5:$G$289,'Comp2016-2017 (3)'!$A$5:$A$289,$D1435,'Comp2016-2017 (3)'!$R$5:$R$289,$V1435)*$AB1435))</f>
        <v>378.81918032174451</v>
      </c>
      <c r="AJ1435" s="222">
        <f>IF($W1435=AJ$3,$AB1435,IF(NOT($W1435=0),"",SUMIFS('Val-Vol (2)'!AJ$4:AJ$1858,'Val-Vol (2)'!$A$4:$A$1858,$D1435,'Val-Vol (2)'!$V$4:$V$1858,$V1435)/SUMIFS('Comp2016-2017 (3)'!$G$5:$G$289,'Comp2016-2017 (3)'!$A$5:$A$289,$D1435,'Comp2016-2017 (3)'!$R$5:$R$289,$V1435)*$AB1435))</f>
        <v>0</v>
      </c>
      <c r="AK1435" s="222">
        <f t="shared" si="165"/>
        <v>-19995.464269767763</v>
      </c>
      <c r="AL1435" s="212" t="str">
        <f t="shared" si="166"/>
        <v/>
      </c>
      <c r="AM1435" s="212" t="str">
        <f>VLOOKUP(A1435,'Table corresp.'!$M$4:$U$63,8,FALSE)</f>
        <v>Production intermédiaire</v>
      </c>
      <c r="AN1435" s="212" t="str">
        <f>VLOOKUP(D1435,'Table corresp.'!$M$4:$U$63,9,FALSE)</f>
        <v>Production intermédiaire</v>
      </c>
    </row>
    <row r="1436" spans="1:40" x14ac:dyDescent="0.25">
      <c r="A1436" t="s">
        <v>106</v>
      </c>
      <c r="B1436" t="str">
        <f>VLOOKUP(LEFT(A1436,3),'Table corresp.'!$A$4:$D$63,3,FALSE)</f>
        <v>Transformation</v>
      </c>
      <c r="C1436" t="str">
        <f>VLOOKUP(A1436,'Table corresp.'!$M$4:$P$63,4,FALSE)</f>
        <v>Production et transformation de produits bois</v>
      </c>
      <c r="D1436" t="s">
        <v>4</v>
      </c>
      <c r="E1436" t="str">
        <f>VLOOKUP(LEFT(D1436,3),'Table corresp.'!$A$4:$D$63,4,FALSE)</f>
        <v>Transformation</v>
      </c>
      <c r="F1436" t="str">
        <f t="shared" si="167"/>
        <v xml:space="preserve">63  - 08 </v>
      </c>
      <c r="G1436" s="213">
        <v>16487.475024420914</v>
      </c>
      <c r="H1436" s="213">
        <v>0</v>
      </c>
      <c r="I1436" s="213">
        <v>16487.475024420914</v>
      </c>
      <c r="J1436" s="215"/>
      <c r="K1436" s="215"/>
      <c r="L1436" s="215"/>
      <c r="M1436" s="215"/>
      <c r="N1436" s="215"/>
      <c r="O1436" s="215"/>
      <c r="P1436" s="215"/>
      <c r="Q1436" s="215"/>
      <c r="R1436" s="215"/>
      <c r="S1436" s="213"/>
      <c r="T1436" s="212">
        <f>VLOOKUP(A1436,'Groupe de branches'!$Z$27:$AM$86,14,FALSE)</f>
        <v>0</v>
      </c>
      <c r="U1436" s="212">
        <f>VLOOKUP(D1436,'Groupe de branches'!$Z$27:$AM$86,14,FALSE)</f>
        <v>0</v>
      </c>
      <c r="V1436" s="212">
        <v>2019</v>
      </c>
      <c r="W1436" s="212">
        <f>VLOOKUP(D1436,'Table corresp.'!$M$4:$S$63,7,FALSE)</f>
        <v>0</v>
      </c>
      <c r="X1436" s="228">
        <f>IFERROR(G1436/SUMIFS('Comp2016-2017 (3)'!$I$5:$I$289,'Comp2016-2017 (3)'!$A$5:$A$289,A1436,'Comp2016-2017 (3)'!$R$5:$R$289,V1436),0)</f>
        <v>3.8024421443026903E-2</v>
      </c>
      <c r="Y1436" s="214">
        <f>IFERROR(IF(RIGHT(F1436,3)="Exp",VLOOKUP(F1436,#REF!,2,FALSE),VLOOKUP(F1436,#REF!,9,FALSE)),1)</f>
        <v>1</v>
      </c>
      <c r="Z1436" s="225">
        <f t="shared" si="168"/>
        <v>5.8823529411764705E-2</v>
      </c>
      <c r="AA1436" s="225">
        <f t="shared" si="164"/>
        <v>2.2367306731192293E-3</v>
      </c>
      <c r="AB1436" s="222">
        <f>IFERROR(SUMIFS('Comp2016-2017 (3)'!$G$5:$G$289,'Comp2016-2017 (3)'!$A$5:$A$289,A1436,'Comp2016-2017 (3)'!$R$5:$R$289,V1436)*AA1436/SUMIFS($AA$4:$AA$1858,$A$4:$A$1858,A1436,$V$4:$V$1858,V1436),0)</f>
        <v>8425.0997717262944</v>
      </c>
      <c r="AC1436" s="222">
        <f>IF($W1436=AC$3,$AB1436,IF(NOT($W1436=0),"",SUMIFS('Val-Vol (2)'!AC$4:AC$1858,'Val-Vol (2)'!$A$4:$A$1858,$D1436,'Val-Vol (2)'!$V$4:$V$1858,$V1436)/SUMIFS('Comp2016-2017 (3)'!$G$5:$G$289,'Comp2016-2017 (3)'!$A$5:$A$289,$D1436,'Comp2016-2017 (3)'!$R$5:$R$289,$V1436)*$AB1436))</f>
        <v>0</v>
      </c>
      <c r="AD1436" s="222">
        <f>IF($W1436=AD$3,$AB1436,IF(NOT($W1436=0),"",SUMIFS('Val-Vol (2)'!AD$4:AD$1858,'Val-Vol (2)'!$A$4:$A$1858,$D1436,'Val-Vol (2)'!$V$4:$V$1858,$V1436)/SUMIFS('Comp2016-2017 (3)'!$G$5:$G$289,'Comp2016-2017 (3)'!$A$5:$A$289,$D1436,'Comp2016-2017 (3)'!$R$5:$R$289,$V1436)*$AB1436))</f>
        <v>0</v>
      </c>
      <c r="AE1436" s="222">
        <f>IF($W1436=AE$3,$AB1436,IF(NOT($W1436=0),"",SUMIFS('Val-Vol (2)'!AE$4:AE$1858,'Val-Vol (2)'!$A$4:$A$1858,$D1436,'Val-Vol (2)'!$V$4:$V$1858,$V1436)/SUMIFS('Comp2016-2017 (3)'!$G$5:$G$289,'Comp2016-2017 (3)'!$A$5:$A$289,$D1436,'Comp2016-2017 (3)'!$R$5:$R$289,$V1436)*$AB1436))</f>
        <v>0</v>
      </c>
      <c r="AF1436" s="222">
        <f>IF($W1436=AF$3,$AB1436,IF(NOT($W1436=0),"",SUMIFS('Val-Vol (2)'!AF$4:AF$1858,'Val-Vol (2)'!$A$4:$A$1858,$D1436,'Val-Vol (2)'!$V$4:$V$1858,$V1436)/SUMIFS('Comp2016-2017 (3)'!$G$5:$G$289,'Comp2016-2017 (3)'!$A$5:$A$289,$D1436,'Comp2016-2017 (3)'!$R$5:$R$289,$V1436)*$AB1436))</f>
        <v>0</v>
      </c>
      <c r="AG1436" s="222">
        <f>IF($W1436=AG$3,$AB1436,IF(NOT($W1436=0),"",SUMIFS('Val-Vol (2)'!AG$4:AG$1858,'Val-Vol (2)'!$A$4:$A$1858,$D1436,'Val-Vol (2)'!$V$4:$V$1858,$V1436)/SUMIFS('Comp2016-2017 (3)'!$G$5:$G$289,'Comp2016-2017 (3)'!$A$5:$A$289,$D1436,'Comp2016-2017 (3)'!$R$5:$R$289,$V1436)*$AB1436))</f>
        <v>0</v>
      </c>
      <c r="AH1436" s="222">
        <f>IF($W1436=AH$3,$AB1436,IF(NOT($W1436=0),"",SUMIFS('Val-Vol (2)'!AH$4:AH$1858,'Val-Vol (2)'!$A$4:$A$1858,$D1436,'Val-Vol (2)'!$V$4:$V$1858,$V1436)/SUMIFS('Comp2016-2017 (3)'!$G$5:$G$289,'Comp2016-2017 (3)'!$A$5:$A$289,$D1436,'Comp2016-2017 (3)'!$R$5:$R$289,$V1436)*$AB1436))</f>
        <v>0</v>
      </c>
      <c r="AI1436" s="222">
        <f>IF($W1436=AI$3,$AB1436,IF(NOT($W1436=0),"",SUMIFS('Val-Vol (2)'!AI$4:AI$1858,'Val-Vol (2)'!$A$4:$A$1858,$D1436,'Val-Vol (2)'!$V$4:$V$1858,$V1436)/SUMIFS('Comp2016-2017 (3)'!$G$5:$G$289,'Comp2016-2017 (3)'!$A$5:$A$289,$D1436,'Comp2016-2017 (3)'!$R$5:$R$289,$V1436)*$AB1436))</f>
        <v>0</v>
      </c>
      <c r="AJ1436" s="222">
        <f>IF($W1436=AJ$3,$AB1436,IF(NOT($W1436=0),"",SUMIFS('Val-Vol (2)'!AJ$4:AJ$1858,'Val-Vol (2)'!$A$4:$A$1858,$D1436,'Val-Vol (2)'!$V$4:$V$1858,$V1436)/SUMIFS('Comp2016-2017 (3)'!$G$5:$G$289,'Comp2016-2017 (3)'!$A$5:$A$289,$D1436,'Comp2016-2017 (3)'!$R$5:$R$289,$V1436)*$AB1436))</f>
        <v>0</v>
      </c>
      <c r="AK1436" s="222">
        <f t="shared" si="165"/>
        <v>-8425.0997717262944</v>
      </c>
      <c r="AL1436" s="212" t="str">
        <f t="shared" si="166"/>
        <v/>
      </c>
      <c r="AM1436" s="212" t="str">
        <f>VLOOKUP(A1436,'Table corresp.'!$M$4:$U$63,8,FALSE)</f>
        <v>Production intermédiaire</v>
      </c>
      <c r="AN1436" s="212" t="str">
        <f>VLOOKUP(D1436,'Table corresp.'!$M$4:$U$63,9,FALSE)</f>
        <v>Production intermédiaire</v>
      </c>
    </row>
    <row r="1437" spans="1:40" x14ac:dyDescent="0.25">
      <c r="A1437" t="s">
        <v>106</v>
      </c>
      <c r="B1437" t="str">
        <f>VLOOKUP(LEFT(A1437,3),'Table corresp.'!$A$4:$D$63,3,FALSE)</f>
        <v>Transformation</v>
      </c>
      <c r="C1437" t="str">
        <f>VLOOKUP(A1437,'Table corresp.'!$M$4:$P$63,4,FALSE)</f>
        <v>Production et transformation de produits bois</v>
      </c>
      <c r="D1437" t="s">
        <v>5</v>
      </c>
      <c r="E1437" t="str">
        <f>VLOOKUP(LEFT(D1437,3),'Table corresp.'!$A$4:$D$63,4,FALSE)</f>
        <v>Transformation</v>
      </c>
      <c r="F1437" t="str">
        <f t="shared" si="167"/>
        <v xml:space="preserve">63  - 09 </v>
      </c>
      <c r="G1437" s="213">
        <v>7651.6414993563822</v>
      </c>
      <c r="H1437" s="213">
        <v>0</v>
      </c>
      <c r="I1437" s="213">
        <v>7651.6414993563822</v>
      </c>
      <c r="J1437" s="215"/>
      <c r="K1437" s="215"/>
      <c r="L1437" s="215"/>
      <c r="M1437" s="215"/>
      <c r="N1437" s="215"/>
      <c r="O1437" s="215"/>
      <c r="P1437" s="215"/>
      <c r="Q1437" s="215"/>
      <c r="R1437" s="215"/>
      <c r="S1437" s="213"/>
      <c r="T1437" s="212">
        <f>VLOOKUP(A1437,'Groupe de branches'!$Z$27:$AM$86,14,FALSE)</f>
        <v>0</v>
      </c>
      <c r="U1437" s="212">
        <f>VLOOKUP(D1437,'Groupe de branches'!$Z$27:$AM$86,14,FALSE)</f>
        <v>0</v>
      </c>
      <c r="V1437" s="212">
        <v>2019</v>
      </c>
      <c r="W1437" s="212">
        <f>VLOOKUP(D1437,'Table corresp.'!$M$4:$S$63,7,FALSE)</f>
        <v>0</v>
      </c>
      <c r="X1437" s="228">
        <f>IFERROR(G1437/SUMIFS('Comp2016-2017 (3)'!$I$5:$I$289,'Comp2016-2017 (3)'!$A$5:$A$289,A1437,'Comp2016-2017 (3)'!$R$5:$R$289,V1437),0)</f>
        <v>1.7646682749877299E-2</v>
      </c>
      <c r="Y1437" s="214">
        <f>IFERROR(IF(RIGHT(F1437,3)="Exp",VLOOKUP(F1437,#REF!,2,FALSE),VLOOKUP(F1437,#REF!,9,FALSE)),1)</f>
        <v>1</v>
      </c>
      <c r="Z1437" s="225">
        <f t="shared" si="168"/>
        <v>5.8823529411764705E-2</v>
      </c>
      <c r="AA1437" s="225">
        <f t="shared" ref="AA1437:AA1500" si="169">X1437*Z1437</f>
        <v>1.0380401617574881E-3</v>
      </c>
      <c r="AB1437" s="222">
        <f>IFERROR(SUMIFS('Comp2016-2017 (3)'!$G$5:$G$289,'Comp2016-2017 (3)'!$A$5:$A$289,A1437,'Comp2016-2017 (3)'!$R$5:$R$289,V1437)*AA1437/SUMIFS($AA$4:$AA$1858,$A$4:$A$1858,A1437,$V$4:$V$1858,V1437),0)</f>
        <v>3909.9888220648345</v>
      </c>
      <c r="AC1437" s="222">
        <f>IF($W1437=AC$3,$AB1437,IF(NOT($W1437=0),"",SUMIFS('Val-Vol (2)'!AC$4:AC$1858,'Val-Vol (2)'!$A$4:$A$1858,$D1437,'Val-Vol (2)'!$V$4:$V$1858,$V1437)/SUMIFS('Comp2016-2017 (3)'!$G$5:$G$289,'Comp2016-2017 (3)'!$A$5:$A$289,$D1437,'Comp2016-2017 (3)'!$R$5:$R$289,$V1437)*$AB1437))</f>
        <v>0</v>
      </c>
      <c r="AD1437" s="222">
        <f>IF($W1437=AD$3,$AB1437,IF(NOT($W1437=0),"",SUMIFS('Val-Vol (2)'!AD$4:AD$1858,'Val-Vol (2)'!$A$4:$A$1858,$D1437,'Val-Vol (2)'!$V$4:$V$1858,$V1437)/SUMIFS('Comp2016-2017 (3)'!$G$5:$G$289,'Comp2016-2017 (3)'!$A$5:$A$289,$D1437,'Comp2016-2017 (3)'!$R$5:$R$289,$V1437)*$AB1437))</f>
        <v>0</v>
      </c>
      <c r="AE1437" s="222">
        <f>IF($W1437=AE$3,$AB1437,IF(NOT($W1437=0),"",SUMIFS('Val-Vol (2)'!AE$4:AE$1858,'Val-Vol (2)'!$A$4:$A$1858,$D1437,'Val-Vol (2)'!$V$4:$V$1858,$V1437)/SUMIFS('Comp2016-2017 (3)'!$G$5:$G$289,'Comp2016-2017 (3)'!$A$5:$A$289,$D1437,'Comp2016-2017 (3)'!$R$5:$R$289,$V1437)*$AB1437))</f>
        <v>0</v>
      </c>
      <c r="AF1437" s="222">
        <f>IF($W1437=AF$3,$AB1437,IF(NOT($W1437=0),"",SUMIFS('Val-Vol (2)'!AF$4:AF$1858,'Val-Vol (2)'!$A$4:$A$1858,$D1437,'Val-Vol (2)'!$V$4:$V$1858,$V1437)/SUMIFS('Comp2016-2017 (3)'!$G$5:$G$289,'Comp2016-2017 (3)'!$A$5:$A$289,$D1437,'Comp2016-2017 (3)'!$R$5:$R$289,$V1437)*$AB1437))</f>
        <v>0</v>
      </c>
      <c r="AG1437" s="222">
        <f>IF($W1437=AG$3,$AB1437,IF(NOT($W1437=0),"",SUMIFS('Val-Vol (2)'!AG$4:AG$1858,'Val-Vol (2)'!$A$4:$A$1858,$D1437,'Val-Vol (2)'!$V$4:$V$1858,$V1437)/SUMIFS('Comp2016-2017 (3)'!$G$5:$G$289,'Comp2016-2017 (3)'!$A$5:$A$289,$D1437,'Comp2016-2017 (3)'!$R$5:$R$289,$V1437)*$AB1437))</f>
        <v>0</v>
      </c>
      <c r="AH1437" s="222">
        <f>IF($W1437=AH$3,$AB1437,IF(NOT($W1437=0),"",SUMIFS('Val-Vol (2)'!AH$4:AH$1858,'Val-Vol (2)'!$A$4:$A$1858,$D1437,'Val-Vol (2)'!$V$4:$V$1858,$V1437)/SUMIFS('Comp2016-2017 (3)'!$G$5:$G$289,'Comp2016-2017 (3)'!$A$5:$A$289,$D1437,'Comp2016-2017 (3)'!$R$5:$R$289,$V1437)*$AB1437))</f>
        <v>0</v>
      </c>
      <c r="AI1437" s="222">
        <f>IF($W1437=AI$3,$AB1437,IF(NOT($W1437=0),"",SUMIFS('Val-Vol (2)'!AI$4:AI$1858,'Val-Vol (2)'!$A$4:$A$1858,$D1437,'Val-Vol (2)'!$V$4:$V$1858,$V1437)/SUMIFS('Comp2016-2017 (3)'!$G$5:$G$289,'Comp2016-2017 (3)'!$A$5:$A$289,$D1437,'Comp2016-2017 (3)'!$R$5:$R$289,$V1437)*$AB1437))</f>
        <v>0</v>
      </c>
      <c r="AJ1437" s="222">
        <f>IF($W1437=AJ$3,$AB1437,IF(NOT($W1437=0),"",SUMIFS('Val-Vol (2)'!AJ$4:AJ$1858,'Val-Vol (2)'!$A$4:$A$1858,$D1437,'Val-Vol (2)'!$V$4:$V$1858,$V1437)/SUMIFS('Comp2016-2017 (3)'!$G$5:$G$289,'Comp2016-2017 (3)'!$A$5:$A$289,$D1437,'Comp2016-2017 (3)'!$R$5:$R$289,$V1437)*$AB1437))</f>
        <v>0</v>
      </c>
      <c r="AK1437" s="222">
        <f t="shared" ref="AK1437:AK1487" si="170">SUM(AC1437:AJ1437)-AB1437</f>
        <v>-3909.9888220648345</v>
      </c>
      <c r="AL1437" s="212" t="str">
        <f t="shared" si="166"/>
        <v/>
      </c>
      <c r="AM1437" s="212" t="str">
        <f>VLOOKUP(A1437,'Table corresp.'!$M$4:$U$63,8,FALSE)</f>
        <v>Production intermédiaire</v>
      </c>
      <c r="AN1437" s="212" t="str">
        <f>VLOOKUP(D1437,'Table corresp.'!$M$4:$U$63,9,FALSE)</f>
        <v>Production intermédiaire</v>
      </c>
    </row>
    <row r="1438" spans="1:40" x14ac:dyDescent="0.25">
      <c r="A1438" t="s">
        <v>106</v>
      </c>
      <c r="B1438" t="str">
        <f>VLOOKUP(LEFT(A1438,3),'Table corresp.'!$A$4:$D$63,3,FALSE)</f>
        <v>Transformation</v>
      </c>
      <c r="C1438" t="str">
        <f>VLOOKUP(A1438,'Table corresp.'!$M$4:$P$63,4,FALSE)</f>
        <v>Production et transformation de produits bois</v>
      </c>
      <c r="D1438" t="s">
        <v>82</v>
      </c>
      <c r="E1438" t="str">
        <f>VLOOKUP(LEFT(D1438,3),'Table corresp.'!$A$4:$D$63,4,FALSE)</f>
        <v>Transformation</v>
      </c>
      <c r="F1438" t="str">
        <f t="shared" si="167"/>
        <v xml:space="preserve">63  - 10 </v>
      </c>
      <c r="G1438" s="213">
        <v>6526.18242576173</v>
      </c>
      <c r="H1438" s="213">
        <v>0</v>
      </c>
      <c r="I1438" s="213">
        <v>6526.1824257617309</v>
      </c>
      <c r="J1438" s="215"/>
      <c r="K1438" s="215"/>
      <c r="L1438" s="215"/>
      <c r="M1438" s="215"/>
      <c r="N1438" s="215"/>
      <c r="O1438" s="215"/>
      <c r="P1438" s="215"/>
      <c r="Q1438" s="215"/>
      <c r="R1438" s="215"/>
      <c r="S1438" s="213"/>
      <c r="T1438" s="212">
        <f>VLOOKUP(A1438,'Groupe de branches'!$Z$27:$AM$86,14,FALSE)</f>
        <v>0</v>
      </c>
      <c r="U1438" s="212">
        <f>VLOOKUP(D1438,'Groupe de branches'!$Z$27:$AM$86,14,FALSE)</f>
        <v>0</v>
      </c>
      <c r="V1438" s="212">
        <v>2019</v>
      </c>
      <c r="W1438" s="212">
        <f>VLOOKUP(D1438,'Table corresp.'!$M$4:$S$63,7,FALSE)</f>
        <v>0</v>
      </c>
      <c r="X1438" s="228">
        <f>IFERROR(G1438/SUMIFS('Comp2016-2017 (3)'!$I$5:$I$289,'Comp2016-2017 (3)'!$A$5:$A$289,A1438,'Comp2016-2017 (3)'!$R$5:$R$289,V1438),0)</f>
        <v>1.5051080326349459E-2</v>
      </c>
      <c r="Y1438" s="214">
        <f>IFERROR(IF(RIGHT(F1438,3)="Exp",VLOOKUP(F1438,#REF!,2,FALSE),VLOOKUP(F1438,#REF!,9,FALSE)),1)</f>
        <v>1</v>
      </c>
      <c r="Z1438" s="225">
        <f t="shared" si="168"/>
        <v>5.8823529411764705E-2</v>
      </c>
      <c r="AA1438" s="225">
        <f t="shared" si="169"/>
        <v>8.8535766625585054E-4</v>
      </c>
      <c r="AB1438" s="222">
        <f>IFERROR(SUMIFS('Comp2016-2017 (3)'!$G$5:$G$289,'Comp2016-2017 (3)'!$A$5:$A$289,A1438,'Comp2016-2017 (3)'!$R$5:$R$289,V1438)*AA1438/SUMIFS($AA$4:$AA$1858,$A$4:$A$1858,A1438,$V$4:$V$1858,V1438),0)</f>
        <v>3334.879233120203</v>
      </c>
      <c r="AC1438" s="222">
        <f>IF($W1438=AC$3,$AB1438,IF(NOT($W1438=0),"",SUMIFS('Val-Vol (2)'!AC$4:AC$1858,'Val-Vol (2)'!$A$4:$A$1858,$D1438,'Val-Vol (2)'!$V$4:$V$1858,$V1438)/SUMIFS('Comp2016-2017 (3)'!$G$5:$G$289,'Comp2016-2017 (3)'!$A$5:$A$289,$D1438,'Comp2016-2017 (3)'!$R$5:$R$289,$V1438)*$AB1438))</f>
        <v>0</v>
      </c>
      <c r="AD1438" s="222">
        <f>IF($W1438=AD$3,$AB1438,IF(NOT($W1438=0),"",SUMIFS('Val-Vol (2)'!AD$4:AD$1858,'Val-Vol (2)'!$A$4:$A$1858,$D1438,'Val-Vol (2)'!$V$4:$V$1858,$V1438)/SUMIFS('Comp2016-2017 (3)'!$G$5:$G$289,'Comp2016-2017 (3)'!$A$5:$A$289,$D1438,'Comp2016-2017 (3)'!$R$5:$R$289,$V1438)*$AB1438))</f>
        <v>0</v>
      </c>
      <c r="AE1438" s="222">
        <f>IF($W1438=AE$3,$AB1438,IF(NOT($W1438=0),"",SUMIFS('Val-Vol (2)'!AE$4:AE$1858,'Val-Vol (2)'!$A$4:$A$1858,$D1438,'Val-Vol (2)'!$V$4:$V$1858,$V1438)/SUMIFS('Comp2016-2017 (3)'!$G$5:$G$289,'Comp2016-2017 (3)'!$A$5:$A$289,$D1438,'Comp2016-2017 (3)'!$R$5:$R$289,$V1438)*$AB1438))</f>
        <v>0</v>
      </c>
      <c r="AF1438" s="222">
        <f>IF($W1438=AF$3,$AB1438,IF(NOT($W1438=0),"",SUMIFS('Val-Vol (2)'!AF$4:AF$1858,'Val-Vol (2)'!$A$4:$A$1858,$D1438,'Val-Vol (2)'!$V$4:$V$1858,$V1438)/SUMIFS('Comp2016-2017 (3)'!$G$5:$G$289,'Comp2016-2017 (3)'!$A$5:$A$289,$D1438,'Comp2016-2017 (3)'!$R$5:$R$289,$V1438)*$AB1438))</f>
        <v>0</v>
      </c>
      <c r="AG1438" s="222">
        <f>IF($W1438=AG$3,$AB1438,IF(NOT($W1438=0),"",SUMIFS('Val-Vol (2)'!AG$4:AG$1858,'Val-Vol (2)'!$A$4:$A$1858,$D1438,'Val-Vol (2)'!$V$4:$V$1858,$V1438)/SUMIFS('Comp2016-2017 (3)'!$G$5:$G$289,'Comp2016-2017 (3)'!$A$5:$A$289,$D1438,'Comp2016-2017 (3)'!$R$5:$R$289,$V1438)*$AB1438))</f>
        <v>0</v>
      </c>
      <c r="AH1438" s="222">
        <f>IF($W1438=AH$3,$AB1438,IF(NOT($W1438=0),"",SUMIFS('Val-Vol (2)'!AH$4:AH$1858,'Val-Vol (2)'!$A$4:$A$1858,$D1438,'Val-Vol (2)'!$V$4:$V$1858,$V1438)/SUMIFS('Comp2016-2017 (3)'!$G$5:$G$289,'Comp2016-2017 (3)'!$A$5:$A$289,$D1438,'Comp2016-2017 (3)'!$R$5:$R$289,$V1438)*$AB1438))</f>
        <v>0</v>
      </c>
      <c r="AI1438" s="222">
        <f>IF($W1438=AI$3,$AB1438,IF(NOT($W1438=0),"",SUMIFS('Val-Vol (2)'!AI$4:AI$1858,'Val-Vol (2)'!$A$4:$A$1858,$D1438,'Val-Vol (2)'!$V$4:$V$1858,$V1438)/SUMIFS('Comp2016-2017 (3)'!$G$5:$G$289,'Comp2016-2017 (3)'!$A$5:$A$289,$D1438,'Comp2016-2017 (3)'!$R$5:$R$289,$V1438)*$AB1438))</f>
        <v>0</v>
      </c>
      <c r="AJ1438" s="222">
        <f>IF($W1438=AJ$3,$AB1438,IF(NOT($W1438=0),"",SUMIFS('Val-Vol (2)'!AJ$4:AJ$1858,'Val-Vol (2)'!$A$4:$A$1858,$D1438,'Val-Vol (2)'!$V$4:$V$1858,$V1438)/SUMIFS('Comp2016-2017 (3)'!$G$5:$G$289,'Comp2016-2017 (3)'!$A$5:$A$289,$D1438,'Comp2016-2017 (3)'!$R$5:$R$289,$V1438)*$AB1438))</f>
        <v>0</v>
      </c>
      <c r="AK1438" s="222">
        <f t="shared" si="170"/>
        <v>-3334.879233120203</v>
      </c>
      <c r="AL1438" s="212" t="str">
        <f t="shared" ref="AL1438:AL1501" si="171">IF(A1438=D1438,"remplir à la main","")</f>
        <v/>
      </c>
      <c r="AM1438" s="212" t="str">
        <f>VLOOKUP(A1438,'Table corresp.'!$M$4:$U$63,8,FALSE)</f>
        <v>Production intermédiaire</v>
      </c>
      <c r="AN1438" s="212" t="str">
        <f>VLOOKUP(D1438,'Table corresp.'!$M$4:$U$63,9,FALSE)</f>
        <v>Production intermédiaire</v>
      </c>
    </row>
    <row r="1439" spans="1:40" x14ac:dyDescent="0.25">
      <c r="A1439" t="s">
        <v>106</v>
      </c>
      <c r="B1439" t="str">
        <f>VLOOKUP(LEFT(A1439,3),'Table corresp.'!$A$4:$D$63,3,FALSE)</f>
        <v>Transformation</v>
      </c>
      <c r="C1439" t="str">
        <f>VLOOKUP(A1439,'Table corresp.'!$M$4:$P$63,4,FALSE)</f>
        <v>Production et transformation de produits bois</v>
      </c>
      <c r="D1439" t="s">
        <v>7</v>
      </c>
      <c r="E1439" t="str">
        <f>VLOOKUP(LEFT(D1439,3),'Table corresp.'!$A$4:$D$63,4,FALSE)</f>
        <v>Transformation</v>
      </c>
      <c r="F1439" t="str">
        <f t="shared" si="167"/>
        <v xml:space="preserve">63  - 12 </v>
      </c>
      <c r="G1439" s="213">
        <v>67746.08277360021</v>
      </c>
      <c r="H1439" s="213">
        <v>0</v>
      </c>
      <c r="I1439" s="213">
        <v>67746.08277360021</v>
      </c>
      <c r="J1439" s="215"/>
      <c r="K1439" s="215"/>
      <c r="L1439" s="215"/>
      <c r="M1439" s="215"/>
      <c r="N1439" s="215"/>
      <c r="O1439" s="215"/>
      <c r="P1439" s="215"/>
      <c r="Q1439" s="215"/>
      <c r="R1439" s="215"/>
      <c r="S1439" s="213"/>
      <c r="T1439" s="212">
        <f>VLOOKUP(A1439,'Groupe de branches'!$Z$27:$AM$86,14,FALSE)</f>
        <v>0</v>
      </c>
      <c r="U1439" s="212">
        <f>VLOOKUP(D1439,'Groupe de branches'!$Z$27:$AM$86,14,FALSE)</f>
        <v>0</v>
      </c>
      <c r="V1439" s="212">
        <v>2019</v>
      </c>
      <c r="W1439" s="212">
        <f>VLOOKUP(D1439,'Table corresp.'!$M$4:$S$63,7,FALSE)</f>
        <v>0</v>
      </c>
      <c r="X1439" s="228">
        <f>IFERROR(G1439/SUMIFS('Comp2016-2017 (3)'!$I$5:$I$289,'Comp2016-2017 (3)'!$A$5:$A$289,A1439,'Comp2016-2017 (3)'!$R$5:$R$289,V1439),0)</f>
        <v>0.15624015191422774</v>
      </c>
      <c r="Y1439" s="214">
        <f>IFERROR(IF(RIGHT(F1439,3)="Exp",VLOOKUP(F1439,#REF!,2,FALSE),VLOOKUP(F1439,#REF!,9,FALSE)),1)</f>
        <v>1</v>
      </c>
      <c r="Z1439" s="225">
        <f t="shared" si="168"/>
        <v>5.8823529411764705E-2</v>
      </c>
      <c r="AA1439" s="225">
        <f t="shared" si="169"/>
        <v>9.1905971714251605E-3</v>
      </c>
      <c r="AB1439" s="222">
        <f>IFERROR(SUMIFS('Comp2016-2017 (3)'!$G$5:$G$289,'Comp2016-2017 (3)'!$A$5:$A$289,A1439,'Comp2016-2017 (3)'!$R$5:$R$289,V1439)*AA1439/SUMIFS($AA$4:$AA$1858,$A$4:$A$1858,A1439,$V$4:$V$1858,V1439),0)</f>
        <v>34618.248438029506</v>
      </c>
      <c r="AC1439" s="222">
        <f>IF($W1439=AC$3,$AB1439,IF(NOT($W1439=0),"",SUMIFS('Val-Vol (2)'!AC$4:AC$1858,'Val-Vol (2)'!$A$4:$A$1858,$D1439,'Val-Vol (2)'!$V$4:$V$1858,$V1439)/SUMIFS('Comp2016-2017 (3)'!$G$5:$G$289,'Comp2016-2017 (3)'!$A$5:$A$289,$D1439,'Comp2016-2017 (3)'!$R$5:$R$289,$V1439)*$AB1439))</f>
        <v>0</v>
      </c>
      <c r="AD1439" s="222">
        <f>IF($W1439=AD$3,$AB1439,IF(NOT($W1439=0),"",SUMIFS('Val-Vol (2)'!AD$4:AD$1858,'Val-Vol (2)'!$A$4:$A$1858,$D1439,'Val-Vol (2)'!$V$4:$V$1858,$V1439)/SUMIFS('Comp2016-2017 (3)'!$G$5:$G$289,'Comp2016-2017 (3)'!$A$5:$A$289,$D1439,'Comp2016-2017 (3)'!$R$5:$R$289,$V1439)*$AB1439))</f>
        <v>0</v>
      </c>
      <c r="AE1439" s="222">
        <f>IF($W1439=AE$3,$AB1439,IF(NOT($W1439=0),"",SUMIFS('Val-Vol (2)'!AE$4:AE$1858,'Val-Vol (2)'!$A$4:$A$1858,$D1439,'Val-Vol (2)'!$V$4:$V$1858,$V1439)/SUMIFS('Comp2016-2017 (3)'!$G$5:$G$289,'Comp2016-2017 (3)'!$A$5:$A$289,$D1439,'Comp2016-2017 (3)'!$R$5:$R$289,$V1439)*$AB1439))</f>
        <v>0</v>
      </c>
      <c r="AF1439" s="222">
        <f>IF($W1439=AF$3,$AB1439,IF(NOT($W1439=0),"",SUMIFS('Val-Vol (2)'!AF$4:AF$1858,'Val-Vol (2)'!$A$4:$A$1858,$D1439,'Val-Vol (2)'!$V$4:$V$1858,$V1439)/SUMIFS('Comp2016-2017 (3)'!$G$5:$G$289,'Comp2016-2017 (3)'!$A$5:$A$289,$D1439,'Comp2016-2017 (3)'!$R$5:$R$289,$V1439)*$AB1439))</f>
        <v>0</v>
      </c>
      <c r="AG1439" s="222">
        <f>IF($W1439=AG$3,$AB1439,IF(NOT($W1439=0),"",SUMIFS('Val-Vol (2)'!AG$4:AG$1858,'Val-Vol (2)'!$A$4:$A$1858,$D1439,'Val-Vol (2)'!$V$4:$V$1858,$V1439)/SUMIFS('Comp2016-2017 (3)'!$G$5:$G$289,'Comp2016-2017 (3)'!$A$5:$A$289,$D1439,'Comp2016-2017 (3)'!$R$5:$R$289,$V1439)*$AB1439))</f>
        <v>0</v>
      </c>
      <c r="AH1439" s="222">
        <f>IF($W1439=AH$3,$AB1439,IF(NOT($W1439=0),"",SUMIFS('Val-Vol (2)'!AH$4:AH$1858,'Val-Vol (2)'!$A$4:$A$1858,$D1439,'Val-Vol (2)'!$V$4:$V$1858,$V1439)/SUMIFS('Comp2016-2017 (3)'!$G$5:$G$289,'Comp2016-2017 (3)'!$A$5:$A$289,$D1439,'Comp2016-2017 (3)'!$R$5:$R$289,$V1439)*$AB1439))</f>
        <v>0</v>
      </c>
      <c r="AI1439" s="222">
        <f>IF($W1439=AI$3,$AB1439,IF(NOT($W1439=0),"",SUMIFS('Val-Vol (2)'!AI$4:AI$1858,'Val-Vol (2)'!$A$4:$A$1858,$D1439,'Val-Vol (2)'!$V$4:$V$1858,$V1439)/SUMIFS('Comp2016-2017 (3)'!$G$5:$G$289,'Comp2016-2017 (3)'!$A$5:$A$289,$D1439,'Comp2016-2017 (3)'!$R$5:$R$289,$V1439)*$AB1439))</f>
        <v>0</v>
      </c>
      <c r="AJ1439" s="222">
        <f>IF($W1439=AJ$3,$AB1439,IF(NOT($W1439=0),"",SUMIFS('Val-Vol (2)'!AJ$4:AJ$1858,'Val-Vol (2)'!$A$4:$A$1858,$D1439,'Val-Vol (2)'!$V$4:$V$1858,$V1439)/SUMIFS('Comp2016-2017 (3)'!$G$5:$G$289,'Comp2016-2017 (3)'!$A$5:$A$289,$D1439,'Comp2016-2017 (3)'!$R$5:$R$289,$V1439)*$AB1439))</f>
        <v>0</v>
      </c>
      <c r="AK1439" s="222">
        <f t="shared" si="170"/>
        <v>-34618.248438029506</v>
      </c>
      <c r="AL1439" s="212" t="str">
        <f t="shared" si="171"/>
        <v/>
      </c>
      <c r="AM1439" s="212" t="str">
        <f>VLOOKUP(A1439,'Table corresp.'!$M$4:$U$63,8,FALSE)</f>
        <v>Production intermédiaire</v>
      </c>
      <c r="AN1439" s="212" t="str">
        <f>VLOOKUP(D1439,'Table corresp.'!$M$4:$U$63,9,FALSE)</f>
        <v>Production intermédiaire</v>
      </c>
    </row>
    <row r="1440" spans="1:40" x14ac:dyDescent="0.25">
      <c r="A1440" t="s">
        <v>106</v>
      </c>
      <c r="B1440" t="str">
        <f>VLOOKUP(LEFT(A1440,3),'Table corresp.'!$A$4:$D$63,3,FALSE)</f>
        <v>Transformation</v>
      </c>
      <c r="C1440" t="str">
        <f>VLOOKUP(A1440,'Table corresp.'!$M$4:$P$63,4,FALSE)</f>
        <v>Production et transformation de produits bois</v>
      </c>
      <c r="D1440" t="s">
        <v>8</v>
      </c>
      <c r="E1440" t="str">
        <f>VLOOKUP(LEFT(D1440,3),'Table corresp.'!$A$4:$D$63,4,FALSE)</f>
        <v>Transformation</v>
      </c>
      <c r="F1440" t="str">
        <f t="shared" si="167"/>
        <v xml:space="preserve">63  - 13 </v>
      </c>
      <c r="G1440" s="213">
        <v>24350.584792677109</v>
      </c>
      <c r="H1440" s="213">
        <v>0</v>
      </c>
      <c r="I1440" s="213">
        <v>24350.584792677109</v>
      </c>
      <c r="J1440" s="215"/>
      <c r="K1440" s="215"/>
      <c r="L1440" s="215"/>
      <c r="M1440" s="215"/>
      <c r="N1440" s="215"/>
      <c r="O1440" s="215"/>
      <c r="P1440" s="215"/>
      <c r="Q1440" s="215"/>
      <c r="R1440" s="215"/>
      <c r="S1440" s="213"/>
      <c r="T1440" s="212">
        <f>VLOOKUP(A1440,'Groupe de branches'!$Z$27:$AM$86,14,FALSE)</f>
        <v>0</v>
      </c>
      <c r="U1440" s="212">
        <f>VLOOKUP(D1440,'Groupe de branches'!$Z$27:$AM$86,14,FALSE)</f>
        <v>0</v>
      </c>
      <c r="V1440" s="212">
        <v>2019</v>
      </c>
      <c r="W1440" s="212">
        <f>VLOOKUP(D1440,'Table corresp.'!$M$4:$S$63,7,FALSE)</f>
        <v>0</v>
      </c>
      <c r="X1440" s="228">
        <f>IFERROR(G1440/SUMIFS('Comp2016-2017 (3)'!$I$5:$I$289,'Comp2016-2017 (3)'!$A$5:$A$289,A1440,'Comp2016-2017 (3)'!$R$5:$R$289,V1440),0)</f>
        <v>5.6158805224539657E-2</v>
      </c>
      <c r="Y1440" s="214">
        <f>IFERROR(IF(RIGHT(F1440,3)="Exp",VLOOKUP(F1440,#REF!,2,FALSE),VLOOKUP(F1440,#REF!,9,FALSE)),1)</f>
        <v>1</v>
      </c>
      <c r="Z1440" s="225">
        <f t="shared" si="168"/>
        <v>5.8823529411764705E-2</v>
      </c>
      <c r="AA1440" s="225">
        <f t="shared" si="169"/>
        <v>3.303459130855274E-3</v>
      </c>
      <c r="AB1440" s="222">
        <f>IFERROR(SUMIFS('Comp2016-2017 (3)'!$G$5:$G$289,'Comp2016-2017 (3)'!$A$5:$A$289,A1440,'Comp2016-2017 (3)'!$R$5:$R$289,V1440)*AA1440/SUMIFS($AA$4:$AA$1858,$A$4:$A$1858,A1440,$V$4:$V$1858,V1440),0)</f>
        <v>12443.148879638189</v>
      </c>
      <c r="AC1440" s="222">
        <f>IF($W1440=AC$3,$AB1440,IF(NOT($W1440=0),"",SUMIFS('Val-Vol (2)'!AC$4:AC$1858,'Val-Vol (2)'!$A$4:$A$1858,$D1440,'Val-Vol (2)'!$V$4:$V$1858,$V1440)/SUMIFS('Comp2016-2017 (3)'!$G$5:$G$289,'Comp2016-2017 (3)'!$A$5:$A$289,$D1440,'Comp2016-2017 (3)'!$R$5:$R$289,$V1440)*$AB1440))</f>
        <v>0</v>
      </c>
      <c r="AD1440" s="222">
        <f>IF($W1440=AD$3,$AB1440,IF(NOT($W1440=0),"",SUMIFS('Val-Vol (2)'!AD$4:AD$1858,'Val-Vol (2)'!$A$4:$A$1858,$D1440,'Val-Vol (2)'!$V$4:$V$1858,$V1440)/SUMIFS('Comp2016-2017 (3)'!$G$5:$G$289,'Comp2016-2017 (3)'!$A$5:$A$289,$D1440,'Comp2016-2017 (3)'!$R$5:$R$289,$V1440)*$AB1440))</f>
        <v>0</v>
      </c>
      <c r="AE1440" s="222">
        <f>IF($W1440=AE$3,$AB1440,IF(NOT($W1440=0),"",SUMIFS('Val-Vol (2)'!AE$4:AE$1858,'Val-Vol (2)'!$A$4:$A$1858,$D1440,'Val-Vol (2)'!$V$4:$V$1858,$V1440)/SUMIFS('Comp2016-2017 (3)'!$G$5:$G$289,'Comp2016-2017 (3)'!$A$5:$A$289,$D1440,'Comp2016-2017 (3)'!$R$5:$R$289,$V1440)*$AB1440))</f>
        <v>0</v>
      </c>
      <c r="AF1440" s="222">
        <f>IF($W1440=AF$3,$AB1440,IF(NOT($W1440=0),"",SUMIFS('Val-Vol (2)'!AF$4:AF$1858,'Val-Vol (2)'!$A$4:$A$1858,$D1440,'Val-Vol (2)'!$V$4:$V$1858,$V1440)/SUMIFS('Comp2016-2017 (3)'!$G$5:$G$289,'Comp2016-2017 (3)'!$A$5:$A$289,$D1440,'Comp2016-2017 (3)'!$R$5:$R$289,$V1440)*$AB1440))</f>
        <v>0</v>
      </c>
      <c r="AG1440" s="222">
        <f>IF($W1440=AG$3,$AB1440,IF(NOT($W1440=0),"",SUMIFS('Val-Vol (2)'!AG$4:AG$1858,'Val-Vol (2)'!$A$4:$A$1858,$D1440,'Val-Vol (2)'!$V$4:$V$1858,$V1440)/SUMIFS('Comp2016-2017 (3)'!$G$5:$G$289,'Comp2016-2017 (3)'!$A$5:$A$289,$D1440,'Comp2016-2017 (3)'!$R$5:$R$289,$V1440)*$AB1440))</f>
        <v>0</v>
      </c>
      <c r="AH1440" s="222">
        <f>IF($W1440=AH$3,$AB1440,IF(NOT($W1440=0),"",SUMIFS('Val-Vol (2)'!AH$4:AH$1858,'Val-Vol (2)'!$A$4:$A$1858,$D1440,'Val-Vol (2)'!$V$4:$V$1858,$V1440)/SUMIFS('Comp2016-2017 (3)'!$G$5:$G$289,'Comp2016-2017 (3)'!$A$5:$A$289,$D1440,'Comp2016-2017 (3)'!$R$5:$R$289,$V1440)*$AB1440))</f>
        <v>0</v>
      </c>
      <c r="AI1440" s="222">
        <f>IF($W1440=AI$3,$AB1440,IF(NOT($W1440=0),"",SUMIFS('Val-Vol (2)'!AI$4:AI$1858,'Val-Vol (2)'!$A$4:$A$1858,$D1440,'Val-Vol (2)'!$V$4:$V$1858,$V1440)/SUMIFS('Comp2016-2017 (3)'!$G$5:$G$289,'Comp2016-2017 (3)'!$A$5:$A$289,$D1440,'Comp2016-2017 (3)'!$R$5:$R$289,$V1440)*$AB1440))</f>
        <v>0</v>
      </c>
      <c r="AJ1440" s="222">
        <f>IF($W1440=AJ$3,$AB1440,IF(NOT($W1440=0),"",SUMIFS('Val-Vol (2)'!AJ$4:AJ$1858,'Val-Vol (2)'!$A$4:$A$1858,$D1440,'Val-Vol (2)'!$V$4:$V$1858,$V1440)/SUMIFS('Comp2016-2017 (3)'!$G$5:$G$289,'Comp2016-2017 (3)'!$A$5:$A$289,$D1440,'Comp2016-2017 (3)'!$R$5:$R$289,$V1440)*$AB1440))</f>
        <v>0</v>
      </c>
      <c r="AK1440" s="222">
        <f t="shared" si="170"/>
        <v>-12443.148879638189</v>
      </c>
      <c r="AL1440" s="212" t="str">
        <f t="shared" si="171"/>
        <v/>
      </c>
      <c r="AM1440" s="212" t="str">
        <f>VLOOKUP(A1440,'Table corresp.'!$M$4:$U$63,8,FALSE)</f>
        <v>Production intermédiaire</v>
      </c>
      <c r="AN1440" s="212" t="str">
        <f>VLOOKUP(D1440,'Table corresp.'!$M$4:$U$63,9,FALSE)</f>
        <v>Production intermédiaire</v>
      </c>
    </row>
    <row r="1441" spans="1:40" x14ac:dyDescent="0.25">
      <c r="A1441" t="s">
        <v>106</v>
      </c>
      <c r="B1441" t="str">
        <f>VLOOKUP(LEFT(A1441,3),'Table corresp.'!$A$4:$D$63,3,FALSE)</f>
        <v>Transformation</v>
      </c>
      <c r="C1441" t="str">
        <f>VLOOKUP(A1441,'Table corresp.'!$M$4:$P$63,4,FALSE)</f>
        <v>Production et transformation de produits bois</v>
      </c>
      <c r="D1441" t="s">
        <v>83</v>
      </c>
      <c r="E1441" t="str">
        <f>VLOOKUP(LEFT(D1441,3),'Table corresp.'!$A$4:$D$63,4,FALSE)</f>
        <v>Transformation</v>
      </c>
      <c r="F1441" t="str">
        <f t="shared" si="167"/>
        <v xml:space="preserve">63  - 14 </v>
      </c>
      <c r="G1441" s="213">
        <v>9685.4916779195555</v>
      </c>
      <c r="H1441" s="213">
        <v>0</v>
      </c>
      <c r="I1441" s="213">
        <v>9685.4916779195555</v>
      </c>
      <c r="J1441" s="215"/>
      <c r="K1441" s="215"/>
      <c r="L1441" s="215"/>
      <c r="M1441" s="215"/>
      <c r="N1441" s="215"/>
      <c r="O1441" s="215"/>
      <c r="P1441" s="215"/>
      <c r="Q1441" s="215"/>
      <c r="R1441" s="215"/>
      <c r="S1441" s="213"/>
      <c r="T1441" s="212">
        <f>VLOOKUP(A1441,'Groupe de branches'!$Z$27:$AM$86,14,FALSE)</f>
        <v>0</v>
      </c>
      <c r="U1441" s="212">
        <f>VLOOKUP(D1441,'Groupe de branches'!$Z$27:$AM$86,14,FALSE)</f>
        <v>0</v>
      </c>
      <c r="V1441" s="212">
        <v>2019</v>
      </c>
      <c r="W1441" s="212">
        <f>VLOOKUP(D1441,'Table corresp.'!$M$4:$S$63,7,FALSE)</f>
        <v>0</v>
      </c>
      <c r="X1441" s="228">
        <f>IFERROR(G1441/SUMIFS('Comp2016-2017 (3)'!$I$5:$I$289,'Comp2016-2017 (3)'!$A$5:$A$289,A1441,'Comp2016-2017 (3)'!$R$5:$R$289,V1441),0)</f>
        <v>2.2337272195933362E-2</v>
      </c>
      <c r="Y1441" s="214">
        <f>IFERROR(IF(RIGHT(F1441,3)="Exp",VLOOKUP(F1441,#REF!,2,FALSE),VLOOKUP(F1441,#REF!,9,FALSE)),1)</f>
        <v>1</v>
      </c>
      <c r="Z1441" s="225">
        <f t="shared" si="168"/>
        <v>5.8823529411764705E-2</v>
      </c>
      <c r="AA1441" s="225">
        <f t="shared" si="169"/>
        <v>1.31395718799608E-3</v>
      </c>
      <c r="AB1441" s="222">
        <f>IFERROR(SUMIFS('Comp2016-2017 (3)'!$G$5:$G$289,'Comp2016-2017 (3)'!$A$5:$A$289,A1441,'Comp2016-2017 (3)'!$R$5:$R$289,V1441)*AA1441/SUMIFS($AA$4:$AA$1858,$A$4:$A$1858,A1441,$V$4:$V$1858,V1441),0)</f>
        <v>4949.286267535259</v>
      </c>
      <c r="AC1441" s="222">
        <f>IF($W1441=AC$3,$AB1441,IF(NOT($W1441=0),"",SUMIFS('Val-Vol (2)'!AC$4:AC$1858,'Val-Vol (2)'!$A$4:$A$1858,$D1441,'Val-Vol (2)'!$V$4:$V$1858,$V1441)/SUMIFS('Comp2016-2017 (3)'!$G$5:$G$289,'Comp2016-2017 (3)'!$A$5:$A$289,$D1441,'Comp2016-2017 (3)'!$R$5:$R$289,$V1441)*$AB1441))</f>
        <v>0</v>
      </c>
      <c r="AD1441" s="222">
        <f>IF($W1441=AD$3,$AB1441,IF(NOT($W1441=0),"",SUMIFS('Val-Vol (2)'!AD$4:AD$1858,'Val-Vol (2)'!$A$4:$A$1858,$D1441,'Val-Vol (2)'!$V$4:$V$1858,$V1441)/SUMIFS('Comp2016-2017 (3)'!$G$5:$G$289,'Comp2016-2017 (3)'!$A$5:$A$289,$D1441,'Comp2016-2017 (3)'!$R$5:$R$289,$V1441)*$AB1441))</f>
        <v>0</v>
      </c>
      <c r="AE1441" s="222">
        <f>IF($W1441=AE$3,$AB1441,IF(NOT($W1441=0),"",SUMIFS('Val-Vol (2)'!AE$4:AE$1858,'Val-Vol (2)'!$A$4:$A$1858,$D1441,'Val-Vol (2)'!$V$4:$V$1858,$V1441)/SUMIFS('Comp2016-2017 (3)'!$G$5:$G$289,'Comp2016-2017 (3)'!$A$5:$A$289,$D1441,'Comp2016-2017 (3)'!$R$5:$R$289,$V1441)*$AB1441))</f>
        <v>0</v>
      </c>
      <c r="AF1441" s="222">
        <f>IF($W1441=AF$3,$AB1441,IF(NOT($W1441=0),"",SUMIFS('Val-Vol (2)'!AF$4:AF$1858,'Val-Vol (2)'!$A$4:$A$1858,$D1441,'Val-Vol (2)'!$V$4:$V$1858,$V1441)/SUMIFS('Comp2016-2017 (3)'!$G$5:$G$289,'Comp2016-2017 (3)'!$A$5:$A$289,$D1441,'Comp2016-2017 (3)'!$R$5:$R$289,$V1441)*$AB1441))</f>
        <v>0</v>
      </c>
      <c r="AG1441" s="222">
        <f>IF($W1441=AG$3,$AB1441,IF(NOT($W1441=0),"",SUMIFS('Val-Vol (2)'!AG$4:AG$1858,'Val-Vol (2)'!$A$4:$A$1858,$D1441,'Val-Vol (2)'!$V$4:$V$1858,$V1441)/SUMIFS('Comp2016-2017 (3)'!$G$5:$G$289,'Comp2016-2017 (3)'!$A$5:$A$289,$D1441,'Comp2016-2017 (3)'!$R$5:$R$289,$V1441)*$AB1441))</f>
        <v>0</v>
      </c>
      <c r="AH1441" s="222">
        <f>IF($W1441=AH$3,$AB1441,IF(NOT($W1441=0),"",SUMIFS('Val-Vol (2)'!AH$4:AH$1858,'Val-Vol (2)'!$A$4:$A$1858,$D1441,'Val-Vol (2)'!$V$4:$V$1858,$V1441)/SUMIFS('Comp2016-2017 (3)'!$G$5:$G$289,'Comp2016-2017 (3)'!$A$5:$A$289,$D1441,'Comp2016-2017 (3)'!$R$5:$R$289,$V1441)*$AB1441))</f>
        <v>0</v>
      </c>
      <c r="AI1441" s="222">
        <f>IF($W1441=AI$3,$AB1441,IF(NOT($W1441=0),"",SUMIFS('Val-Vol (2)'!AI$4:AI$1858,'Val-Vol (2)'!$A$4:$A$1858,$D1441,'Val-Vol (2)'!$V$4:$V$1858,$V1441)/SUMIFS('Comp2016-2017 (3)'!$G$5:$G$289,'Comp2016-2017 (3)'!$A$5:$A$289,$D1441,'Comp2016-2017 (3)'!$R$5:$R$289,$V1441)*$AB1441))</f>
        <v>0</v>
      </c>
      <c r="AJ1441" s="222">
        <f>IF($W1441=AJ$3,$AB1441,IF(NOT($W1441=0),"",SUMIFS('Val-Vol (2)'!AJ$4:AJ$1858,'Val-Vol (2)'!$A$4:$A$1858,$D1441,'Val-Vol (2)'!$V$4:$V$1858,$V1441)/SUMIFS('Comp2016-2017 (3)'!$G$5:$G$289,'Comp2016-2017 (3)'!$A$5:$A$289,$D1441,'Comp2016-2017 (3)'!$R$5:$R$289,$V1441)*$AB1441))</f>
        <v>0</v>
      </c>
      <c r="AK1441" s="222">
        <f t="shared" si="170"/>
        <v>-4949.286267535259</v>
      </c>
      <c r="AL1441" s="212" t="str">
        <f t="shared" si="171"/>
        <v/>
      </c>
      <c r="AM1441" s="212" t="str">
        <f>VLOOKUP(A1441,'Table corresp.'!$M$4:$U$63,8,FALSE)</f>
        <v>Production intermédiaire</v>
      </c>
      <c r="AN1441" s="212" t="str">
        <f>VLOOKUP(D1441,'Table corresp.'!$M$4:$U$63,9,FALSE)</f>
        <v>Production intermédiaire</v>
      </c>
    </row>
    <row r="1442" spans="1:40" x14ac:dyDescent="0.25">
      <c r="A1442" t="s">
        <v>106</v>
      </c>
      <c r="B1442" t="str">
        <f>VLOOKUP(LEFT(A1442,3),'Table corresp.'!$A$4:$D$63,3,FALSE)</f>
        <v>Transformation</v>
      </c>
      <c r="C1442" t="str">
        <f>VLOOKUP(A1442,'Table corresp.'!$M$4:$P$63,4,FALSE)</f>
        <v>Production et transformation de produits bois</v>
      </c>
      <c r="D1442" t="s">
        <v>9</v>
      </c>
      <c r="E1442" t="str">
        <f>VLOOKUP(LEFT(D1442,3),'Table corresp.'!$A$4:$D$63,4,FALSE)</f>
        <v>Transformation</v>
      </c>
      <c r="F1442" t="str">
        <f t="shared" si="167"/>
        <v xml:space="preserve">63  - 15 </v>
      </c>
      <c r="G1442" s="213">
        <v>25472.364375733021</v>
      </c>
      <c r="H1442" s="213">
        <v>0</v>
      </c>
      <c r="I1442" s="213">
        <v>25472.364375733021</v>
      </c>
      <c r="J1442" s="215"/>
      <c r="K1442" s="215"/>
      <c r="L1442" s="215"/>
      <c r="M1442" s="215"/>
      <c r="N1442" s="215"/>
      <c r="O1442" s="215"/>
      <c r="P1442" s="215"/>
      <c r="Q1442" s="215"/>
      <c r="R1442" s="215"/>
      <c r="S1442" s="213"/>
      <c r="T1442" s="212">
        <f>VLOOKUP(A1442,'Groupe de branches'!$Z$27:$AM$86,14,FALSE)</f>
        <v>0</v>
      </c>
      <c r="U1442" s="212">
        <f>VLOOKUP(D1442,'Groupe de branches'!$Z$27:$AM$86,14,FALSE)</f>
        <v>0</v>
      </c>
      <c r="V1442" s="212">
        <v>2019</v>
      </c>
      <c r="W1442" s="212">
        <f>VLOOKUP(D1442,'Table corresp.'!$M$4:$S$63,7,FALSE)</f>
        <v>0</v>
      </c>
      <c r="X1442" s="228">
        <f>IFERROR(G1442/SUMIFS('Comp2016-2017 (3)'!$I$5:$I$289,'Comp2016-2017 (3)'!$A$5:$A$289,A1442,'Comp2016-2017 (3)'!$R$5:$R$289,V1442),0)</f>
        <v>5.8745921782358324E-2</v>
      </c>
      <c r="Y1442" s="214">
        <f>IFERROR(IF(RIGHT(F1442,3)="Exp",VLOOKUP(F1442,#REF!,2,FALSE),VLOOKUP(F1442,#REF!,9,FALSE)),1)</f>
        <v>1</v>
      </c>
      <c r="Z1442" s="225">
        <f t="shared" si="168"/>
        <v>5.8823529411764705E-2</v>
      </c>
      <c r="AA1442" s="225">
        <f t="shared" si="169"/>
        <v>3.4556424577857838E-3</v>
      </c>
      <c r="AB1442" s="222">
        <f>IFERROR(SUMIFS('Comp2016-2017 (3)'!$G$5:$G$289,'Comp2016-2017 (3)'!$A$5:$A$289,A1442,'Comp2016-2017 (3)'!$R$5:$R$289,V1442)*AA1442/SUMIFS($AA$4:$AA$1858,$A$4:$A$1858,A1442,$V$4:$V$1858,V1442),0)</f>
        <v>13016.378248909885</v>
      </c>
      <c r="AC1442" s="222">
        <f>IF($W1442=AC$3,$AB1442,IF(NOT($W1442=0),"",SUMIFS('Val-Vol (2)'!AC$4:AC$1858,'Val-Vol (2)'!$A$4:$A$1858,$D1442,'Val-Vol (2)'!$V$4:$V$1858,$V1442)/SUMIFS('Comp2016-2017 (3)'!$G$5:$G$289,'Comp2016-2017 (3)'!$A$5:$A$289,$D1442,'Comp2016-2017 (3)'!$R$5:$R$289,$V1442)*$AB1442))</f>
        <v>0</v>
      </c>
      <c r="AD1442" s="222">
        <f>IF($W1442=AD$3,$AB1442,IF(NOT($W1442=0),"",SUMIFS('Val-Vol (2)'!AD$4:AD$1858,'Val-Vol (2)'!$A$4:$A$1858,$D1442,'Val-Vol (2)'!$V$4:$V$1858,$V1442)/SUMIFS('Comp2016-2017 (3)'!$G$5:$G$289,'Comp2016-2017 (3)'!$A$5:$A$289,$D1442,'Comp2016-2017 (3)'!$R$5:$R$289,$V1442)*$AB1442))</f>
        <v>0</v>
      </c>
      <c r="AE1442" s="222">
        <f>IF($W1442=AE$3,$AB1442,IF(NOT($W1442=0),"",SUMIFS('Val-Vol (2)'!AE$4:AE$1858,'Val-Vol (2)'!$A$4:$A$1858,$D1442,'Val-Vol (2)'!$V$4:$V$1858,$V1442)/SUMIFS('Comp2016-2017 (3)'!$G$5:$G$289,'Comp2016-2017 (3)'!$A$5:$A$289,$D1442,'Comp2016-2017 (3)'!$R$5:$R$289,$V1442)*$AB1442))</f>
        <v>0</v>
      </c>
      <c r="AF1442" s="222">
        <f>IF($W1442=AF$3,$AB1442,IF(NOT($W1442=0),"",SUMIFS('Val-Vol (2)'!AF$4:AF$1858,'Val-Vol (2)'!$A$4:$A$1858,$D1442,'Val-Vol (2)'!$V$4:$V$1858,$V1442)/SUMIFS('Comp2016-2017 (3)'!$G$5:$G$289,'Comp2016-2017 (3)'!$A$5:$A$289,$D1442,'Comp2016-2017 (3)'!$R$5:$R$289,$V1442)*$AB1442))</f>
        <v>0</v>
      </c>
      <c r="AG1442" s="222">
        <f>IF($W1442=AG$3,$AB1442,IF(NOT($W1442=0),"",SUMIFS('Val-Vol (2)'!AG$4:AG$1858,'Val-Vol (2)'!$A$4:$A$1858,$D1442,'Val-Vol (2)'!$V$4:$V$1858,$V1442)/SUMIFS('Comp2016-2017 (3)'!$G$5:$G$289,'Comp2016-2017 (3)'!$A$5:$A$289,$D1442,'Comp2016-2017 (3)'!$R$5:$R$289,$V1442)*$AB1442))</f>
        <v>0</v>
      </c>
      <c r="AH1442" s="222">
        <f>IF($W1442=AH$3,$AB1442,IF(NOT($W1442=0),"",SUMIFS('Val-Vol (2)'!AH$4:AH$1858,'Val-Vol (2)'!$A$4:$A$1858,$D1442,'Val-Vol (2)'!$V$4:$V$1858,$V1442)/SUMIFS('Comp2016-2017 (3)'!$G$5:$G$289,'Comp2016-2017 (3)'!$A$5:$A$289,$D1442,'Comp2016-2017 (3)'!$R$5:$R$289,$V1442)*$AB1442))</f>
        <v>0</v>
      </c>
      <c r="AI1442" s="222">
        <f>IF($W1442=AI$3,$AB1442,IF(NOT($W1442=0),"",SUMIFS('Val-Vol (2)'!AI$4:AI$1858,'Val-Vol (2)'!$A$4:$A$1858,$D1442,'Val-Vol (2)'!$V$4:$V$1858,$V1442)/SUMIFS('Comp2016-2017 (3)'!$G$5:$G$289,'Comp2016-2017 (3)'!$A$5:$A$289,$D1442,'Comp2016-2017 (3)'!$R$5:$R$289,$V1442)*$AB1442))</f>
        <v>0</v>
      </c>
      <c r="AJ1442" s="222">
        <f>IF($W1442=AJ$3,$AB1442,IF(NOT($W1442=0),"",SUMIFS('Val-Vol (2)'!AJ$4:AJ$1858,'Val-Vol (2)'!$A$4:$A$1858,$D1442,'Val-Vol (2)'!$V$4:$V$1858,$V1442)/SUMIFS('Comp2016-2017 (3)'!$G$5:$G$289,'Comp2016-2017 (3)'!$A$5:$A$289,$D1442,'Comp2016-2017 (3)'!$R$5:$R$289,$V1442)*$AB1442))</f>
        <v>0</v>
      </c>
      <c r="AK1442" s="222">
        <f t="shared" si="170"/>
        <v>-13016.378248909885</v>
      </c>
      <c r="AL1442" s="212" t="str">
        <f t="shared" si="171"/>
        <v/>
      </c>
      <c r="AM1442" s="212" t="str">
        <f>VLOOKUP(A1442,'Table corresp.'!$M$4:$U$63,8,FALSE)</f>
        <v>Production intermédiaire</v>
      </c>
      <c r="AN1442" s="212" t="str">
        <f>VLOOKUP(D1442,'Table corresp.'!$M$4:$U$63,9,FALSE)</f>
        <v>Production intermédiaire</v>
      </c>
    </row>
    <row r="1443" spans="1:40" x14ac:dyDescent="0.25">
      <c r="A1443" t="s">
        <v>106</v>
      </c>
      <c r="B1443" t="str">
        <f>VLOOKUP(LEFT(A1443,3),'Table corresp.'!$A$4:$D$63,3,FALSE)</f>
        <v>Transformation</v>
      </c>
      <c r="C1443" t="str">
        <f>VLOOKUP(A1443,'Table corresp.'!$M$4:$P$63,4,FALSE)</f>
        <v>Production et transformation de produits bois</v>
      </c>
      <c r="D1443" t="s">
        <v>10</v>
      </c>
      <c r="E1443" t="str">
        <f>VLOOKUP(LEFT(D1443,3),'Table corresp.'!$A$4:$D$63,4,FALSE)</f>
        <v>Transformation</v>
      </c>
      <c r="F1443" t="str">
        <f t="shared" si="167"/>
        <v xml:space="preserve">63  - 16 </v>
      </c>
      <c r="G1443" s="213">
        <v>3006.4594019895821</v>
      </c>
      <c r="H1443" s="213">
        <v>0</v>
      </c>
      <c r="I1443" s="213">
        <v>3006.4594019895817</v>
      </c>
      <c r="J1443" s="215"/>
      <c r="K1443" s="215"/>
      <c r="L1443" s="215"/>
      <c r="M1443" s="215"/>
      <c r="N1443" s="215"/>
      <c r="O1443" s="215"/>
      <c r="P1443" s="215"/>
      <c r="Q1443" s="215"/>
      <c r="R1443" s="215"/>
      <c r="S1443" s="213"/>
      <c r="T1443" s="212">
        <f>VLOOKUP(A1443,'Groupe de branches'!$Z$27:$AM$86,14,FALSE)</f>
        <v>0</v>
      </c>
      <c r="U1443" s="212">
        <f>VLOOKUP(D1443,'Groupe de branches'!$Z$27:$AM$86,14,FALSE)</f>
        <v>0</v>
      </c>
      <c r="V1443" s="212">
        <v>2019</v>
      </c>
      <c r="W1443" s="212" t="str">
        <f>VLOOKUP(D1443,'Table corresp.'!$M$4:$S$63,7,FALSE)</f>
        <v>Emballage bois et carton</v>
      </c>
      <c r="X1443" s="228">
        <f>IFERROR(G1443/SUMIFS('Comp2016-2017 (3)'!$I$5:$I$289,'Comp2016-2017 (3)'!$A$5:$A$289,A1443,'Comp2016-2017 (3)'!$R$5:$R$289,V1443),0)</f>
        <v>6.9336802138153788E-3</v>
      </c>
      <c r="Y1443" s="214">
        <f>IFERROR(IF(RIGHT(F1443,3)="Exp",VLOOKUP(F1443,#REF!,2,FALSE),VLOOKUP(F1443,#REF!,9,FALSE)),1)</f>
        <v>1</v>
      </c>
      <c r="Z1443" s="225">
        <f t="shared" si="168"/>
        <v>5.8823529411764705E-2</v>
      </c>
      <c r="AA1443" s="225">
        <f t="shared" si="169"/>
        <v>4.0786354198913994E-4</v>
      </c>
      <c r="AB1443" s="222">
        <f>IFERROR(SUMIFS('Comp2016-2017 (3)'!$G$5:$G$289,'Comp2016-2017 (3)'!$A$5:$A$289,A1443,'Comp2016-2017 (3)'!$R$5:$R$289,V1443)*AA1443/SUMIFS($AA$4:$AA$1858,$A$4:$A$1858,A1443,$V$4:$V$1858,V1443),0)</f>
        <v>1536.3007606615893</v>
      </c>
      <c r="AC1443" s="222" t="str">
        <f>IF($W1443=AC$3,$AB1443,IF(NOT($W1443=0),"",SUMIFS('Val-Vol (2)'!AC$4:AC$1858,'Val-Vol (2)'!$A$4:$A$1858,$D1443,'Val-Vol (2)'!$V$4:$V$1858,$V1443)/SUMIFS('Comp2016-2017 (3)'!$G$5:$G$289,'Comp2016-2017 (3)'!$A$5:$A$289,$D1443,'Comp2016-2017 (3)'!$R$5:$R$289,$V1443)*$AB1443))</f>
        <v/>
      </c>
      <c r="AD1443" s="222" t="str">
        <f>IF($W1443=AD$3,$AB1443,IF(NOT($W1443=0),"",SUMIFS('Val-Vol (2)'!AD$4:AD$1858,'Val-Vol (2)'!$A$4:$A$1858,$D1443,'Val-Vol (2)'!$V$4:$V$1858,$V1443)/SUMIFS('Comp2016-2017 (3)'!$G$5:$G$289,'Comp2016-2017 (3)'!$A$5:$A$289,$D1443,'Comp2016-2017 (3)'!$R$5:$R$289,$V1443)*$AB1443))</f>
        <v/>
      </c>
      <c r="AE1443" s="222" t="str">
        <f>IF($W1443=AE$3,$AB1443,IF(NOT($W1443=0),"",SUMIFS('Val-Vol (2)'!AE$4:AE$1858,'Val-Vol (2)'!$A$4:$A$1858,$D1443,'Val-Vol (2)'!$V$4:$V$1858,$V1443)/SUMIFS('Comp2016-2017 (3)'!$G$5:$G$289,'Comp2016-2017 (3)'!$A$5:$A$289,$D1443,'Comp2016-2017 (3)'!$R$5:$R$289,$V1443)*$AB1443))</f>
        <v/>
      </c>
      <c r="AF1443" s="222" t="str">
        <f>IF($W1443=AF$3,$AB1443,IF(NOT($W1443=0),"",SUMIFS('Val-Vol (2)'!AF$4:AF$1858,'Val-Vol (2)'!$A$4:$A$1858,$D1443,'Val-Vol (2)'!$V$4:$V$1858,$V1443)/SUMIFS('Comp2016-2017 (3)'!$G$5:$G$289,'Comp2016-2017 (3)'!$A$5:$A$289,$D1443,'Comp2016-2017 (3)'!$R$5:$R$289,$V1443)*$AB1443))</f>
        <v/>
      </c>
      <c r="AG1443" s="222">
        <f>IF($W1443=AG$3,$AB1443,IF(NOT($W1443=0),"",SUMIFS('Val-Vol (2)'!AG$4:AG$1858,'Val-Vol (2)'!$A$4:$A$1858,$D1443,'Val-Vol (2)'!$V$4:$V$1858,$V1443)/SUMIFS('Comp2016-2017 (3)'!$G$5:$G$289,'Comp2016-2017 (3)'!$A$5:$A$289,$D1443,'Comp2016-2017 (3)'!$R$5:$R$289,$V1443)*$AB1443))</f>
        <v>1536.3007606615893</v>
      </c>
      <c r="AH1443" s="222" t="str">
        <f>IF($W1443=AH$3,$AB1443,IF(NOT($W1443=0),"",SUMIFS('Val-Vol (2)'!AH$4:AH$1858,'Val-Vol (2)'!$A$4:$A$1858,$D1443,'Val-Vol (2)'!$V$4:$V$1858,$V1443)/SUMIFS('Comp2016-2017 (3)'!$G$5:$G$289,'Comp2016-2017 (3)'!$A$5:$A$289,$D1443,'Comp2016-2017 (3)'!$R$5:$R$289,$V1443)*$AB1443))</f>
        <v/>
      </c>
      <c r="AI1443" s="222" t="str">
        <f>IF($W1443=AI$3,$AB1443,IF(NOT($W1443=0),"",SUMIFS('Val-Vol (2)'!AI$4:AI$1858,'Val-Vol (2)'!$A$4:$A$1858,$D1443,'Val-Vol (2)'!$V$4:$V$1858,$V1443)/SUMIFS('Comp2016-2017 (3)'!$G$5:$G$289,'Comp2016-2017 (3)'!$A$5:$A$289,$D1443,'Comp2016-2017 (3)'!$R$5:$R$289,$V1443)*$AB1443))</f>
        <v/>
      </c>
      <c r="AJ1443" s="222" t="str">
        <f>IF($W1443=AJ$3,$AB1443,IF(NOT($W1443=0),"",SUMIFS('Val-Vol (2)'!AJ$4:AJ$1858,'Val-Vol (2)'!$A$4:$A$1858,$D1443,'Val-Vol (2)'!$V$4:$V$1858,$V1443)/SUMIFS('Comp2016-2017 (3)'!$G$5:$G$289,'Comp2016-2017 (3)'!$A$5:$A$289,$D1443,'Comp2016-2017 (3)'!$R$5:$R$289,$V1443)*$AB1443))</f>
        <v/>
      </c>
      <c r="AK1443" s="222">
        <f t="shared" si="170"/>
        <v>0</v>
      </c>
      <c r="AL1443" s="212" t="str">
        <f t="shared" si="171"/>
        <v/>
      </c>
      <c r="AM1443" s="212" t="str">
        <f>VLOOKUP(A1443,'Table corresp.'!$M$4:$U$63,8,FALSE)</f>
        <v>Production intermédiaire</v>
      </c>
      <c r="AN1443" s="212" t="str">
        <f>VLOOKUP(D1443,'Table corresp.'!$M$4:$U$63,9,FALSE)</f>
        <v>Production intermédiaire</v>
      </c>
    </row>
    <row r="1444" spans="1:40" x14ac:dyDescent="0.25">
      <c r="A1444" t="s">
        <v>106</v>
      </c>
      <c r="B1444" t="str">
        <f>VLOOKUP(LEFT(A1444,3),'Table corresp.'!$A$4:$D$63,3,FALSE)</f>
        <v>Transformation</v>
      </c>
      <c r="C1444" t="str">
        <f>VLOOKUP(A1444,'Table corresp.'!$M$4:$P$63,4,FALSE)</f>
        <v>Production et transformation de produits bois</v>
      </c>
      <c r="D1444" t="s">
        <v>84</v>
      </c>
      <c r="E1444" t="str">
        <f>VLOOKUP(LEFT(D1444,3),'Table corresp.'!$A$4:$D$63,4,FALSE)</f>
        <v>Transformation</v>
      </c>
      <c r="F1444" t="str">
        <f t="shared" si="167"/>
        <v xml:space="preserve">63  - 17 </v>
      </c>
      <c r="G1444" s="213">
        <v>3094.2566759290048</v>
      </c>
      <c r="H1444" s="213">
        <v>0</v>
      </c>
      <c r="I1444" s="213">
        <v>3094.2566759290048</v>
      </c>
      <c r="J1444" s="215"/>
      <c r="K1444" s="215"/>
      <c r="L1444" s="215"/>
      <c r="M1444" s="215"/>
      <c r="N1444" s="215"/>
      <c r="O1444" s="215"/>
      <c r="P1444" s="215"/>
      <c r="Q1444" s="215"/>
      <c r="R1444" s="215"/>
      <c r="S1444" s="213"/>
      <c r="T1444" s="212">
        <f>VLOOKUP(A1444,'Groupe de branches'!$Z$27:$AM$86,14,FALSE)</f>
        <v>0</v>
      </c>
      <c r="U1444" s="212">
        <f>VLOOKUP(D1444,'Groupe de branches'!$Z$27:$AM$86,14,FALSE)</f>
        <v>0</v>
      </c>
      <c r="V1444" s="212">
        <v>2019</v>
      </c>
      <c r="W1444" s="212" t="str">
        <f>VLOOKUP(D1444,'Table corresp.'!$M$4:$S$63,7,FALSE)</f>
        <v>Construction</v>
      </c>
      <c r="X1444" s="228">
        <f>IFERROR(G1444/SUMIFS('Comp2016-2017 (3)'!$I$5:$I$289,'Comp2016-2017 (3)'!$A$5:$A$289,A1444,'Comp2016-2017 (3)'!$R$5:$R$289,V1444),0)</f>
        <v>7.1361636468987742E-3</v>
      </c>
      <c r="Y1444" s="214">
        <f>IFERROR(IF(RIGHT(F1444,3)="Exp",VLOOKUP(F1444,#REF!,2,FALSE),VLOOKUP(F1444,#REF!,9,FALSE)),1)</f>
        <v>1</v>
      </c>
      <c r="Z1444" s="225">
        <f t="shared" si="168"/>
        <v>5.8823529411764705E-2</v>
      </c>
      <c r="AA1444" s="225">
        <f t="shared" si="169"/>
        <v>4.1977433217051612E-4</v>
      </c>
      <c r="AB1444" s="222">
        <f>IFERROR(SUMIFS('Comp2016-2017 (3)'!$G$5:$G$289,'Comp2016-2017 (3)'!$A$5:$A$289,A1444,'Comp2016-2017 (3)'!$R$5:$R$289,V1444)*AA1444/SUMIFS($AA$4:$AA$1858,$A$4:$A$1858,A1444,$V$4:$V$1858,V1444),0)</f>
        <v>1581.1651678270039</v>
      </c>
      <c r="AC1444" s="222" t="str">
        <f>IF($W1444=AC$3,$AB1444,IF(NOT($W1444=0),"",SUMIFS('Val-Vol (2)'!AC$4:AC$1858,'Val-Vol (2)'!$A$4:$A$1858,$D1444,'Val-Vol (2)'!$V$4:$V$1858,$V1444)/SUMIFS('Comp2016-2017 (3)'!$G$5:$G$289,'Comp2016-2017 (3)'!$A$5:$A$289,$D1444,'Comp2016-2017 (3)'!$R$5:$R$289,$V1444)*$AB1444))</f>
        <v/>
      </c>
      <c r="AD1444" s="222">
        <f>IF($W1444=AD$3,$AB1444,IF(NOT($W1444=0),"",SUMIFS('Val-Vol (2)'!AD$4:AD$1858,'Val-Vol (2)'!$A$4:$A$1858,$D1444,'Val-Vol (2)'!$V$4:$V$1858,$V1444)/SUMIFS('Comp2016-2017 (3)'!$G$5:$G$289,'Comp2016-2017 (3)'!$A$5:$A$289,$D1444,'Comp2016-2017 (3)'!$R$5:$R$289,$V1444)*$AB1444))</f>
        <v>1581.1651678270039</v>
      </c>
      <c r="AE1444" s="222" t="str">
        <f>IF($W1444=AE$3,$AB1444,IF(NOT($W1444=0),"",SUMIFS('Val-Vol (2)'!AE$4:AE$1858,'Val-Vol (2)'!$A$4:$A$1858,$D1444,'Val-Vol (2)'!$V$4:$V$1858,$V1444)/SUMIFS('Comp2016-2017 (3)'!$G$5:$G$289,'Comp2016-2017 (3)'!$A$5:$A$289,$D1444,'Comp2016-2017 (3)'!$R$5:$R$289,$V1444)*$AB1444))</f>
        <v/>
      </c>
      <c r="AF1444" s="222" t="str">
        <f>IF($W1444=AF$3,$AB1444,IF(NOT($W1444=0),"",SUMIFS('Val-Vol (2)'!AF$4:AF$1858,'Val-Vol (2)'!$A$4:$A$1858,$D1444,'Val-Vol (2)'!$V$4:$V$1858,$V1444)/SUMIFS('Comp2016-2017 (3)'!$G$5:$G$289,'Comp2016-2017 (3)'!$A$5:$A$289,$D1444,'Comp2016-2017 (3)'!$R$5:$R$289,$V1444)*$AB1444))</f>
        <v/>
      </c>
      <c r="AG1444" s="222" t="str">
        <f>IF($W1444=AG$3,$AB1444,IF(NOT($W1444=0),"",SUMIFS('Val-Vol (2)'!AG$4:AG$1858,'Val-Vol (2)'!$A$4:$A$1858,$D1444,'Val-Vol (2)'!$V$4:$V$1858,$V1444)/SUMIFS('Comp2016-2017 (3)'!$G$5:$G$289,'Comp2016-2017 (3)'!$A$5:$A$289,$D1444,'Comp2016-2017 (3)'!$R$5:$R$289,$V1444)*$AB1444))</f>
        <v/>
      </c>
      <c r="AH1444" s="222" t="str">
        <f>IF($W1444=AH$3,$AB1444,IF(NOT($W1444=0),"",SUMIFS('Val-Vol (2)'!AH$4:AH$1858,'Val-Vol (2)'!$A$4:$A$1858,$D1444,'Val-Vol (2)'!$V$4:$V$1858,$V1444)/SUMIFS('Comp2016-2017 (3)'!$G$5:$G$289,'Comp2016-2017 (3)'!$A$5:$A$289,$D1444,'Comp2016-2017 (3)'!$R$5:$R$289,$V1444)*$AB1444))</f>
        <v/>
      </c>
      <c r="AI1444" s="222" t="str">
        <f>IF($W1444=AI$3,$AB1444,IF(NOT($W1444=0),"",SUMIFS('Val-Vol (2)'!AI$4:AI$1858,'Val-Vol (2)'!$A$4:$A$1858,$D1444,'Val-Vol (2)'!$V$4:$V$1858,$V1444)/SUMIFS('Comp2016-2017 (3)'!$G$5:$G$289,'Comp2016-2017 (3)'!$A$5:$A$289,$D1444,'Comp2016-2017 (3)'!$R$5:$R$289,$V1444)*$AB1444))</f>
        <v/>
      </c>
      <c r="AJ1444" s="222" t="str">
        <f>IF($W1444=AJ$3,$AB1444,IF(NOT($W1444=0),"",SUMIFS('Val-Vol (2)'!AJ$4:AJ$1858,'Val-Vol (2)'!$A$4:$A$1858,$D1444,'Val-Vol (2)'!$V$4:$V$1858,$V1444)/SUMIFS('Comp2016-2017 (3)'!$G$5:$G$289,'Comp2016-2017 (3)'!$A$5:$A$289,$D1444,'Comp2016-2017 (3)'!$R$5:$R$289,$V1444)*$AB1444))</f>
        <v/>
      </c>
      <c r="AK1444" s="222">
        <f t="shared" si="170"/>
        <v>0</v>
      </c>
      <c r="AL1444" s="212" t="str">
        <f t="shared" si="171"/>
        <v/>
      </c>
      <c r="AM1444" s="212" t="str">
        <f>VLOOKUP(A1444,'Table corresp.'!$M$4:$U$63,8,FALSE)</f>
        <v>Production intermédiaire</v>
      </c>
      <c r="AN1444" s="212" t="str">
        <f>VLOOKUP(D1444,'Table corresp.'!$M$4:$U$63,9,FALSE)</f>
        <v>Production intermédiaire</v>
      </c>
    </row>
    <row r="1445" spans="1:40" x14ac:dyDescent="0.25">
      <c r="A1445" t="s">
        <v>106</v>
      </c>
      <c r="B1445" t="str">
        <f>VLOOKUP(LEFT(A1445,3),'Table corresp.'!$A$4:$D$63,3,FALSE)</f>
        <v>Transformation</v>
      </c>
      <c r="C1445" t="str">
        <f>VLOOKUP(A1445,'Table corresp.'!$M$4:$P$63,4,FALSE)</f>
        <v>Production et transformation de produits bois</v>
      </c>
      <c r="D1445" t="s">
        <v>86</v>
      </c>
      <c r="E1445" t="str">
        <f>VLOOKUP(LEFT(D1445,3),'Table corresp.'!$A$4:$D$63,4,FALSE)</f>
        <v>Transformation</v>
      </c>
      <c r="F1445" t="str">
        <f t="shared" si="167"/>
        <v xml:space="preserve">63  - 30 </v>
      </c>
      <c r="G1445" s="213">
        <v>29254.972184533442</v>
      </c>
      <c r="H1445" s="213">
        <v>0</v>
      </c>
      <c r="I1445" s="213">
        <v>29254.972184533442</v>
      </c>
      <c r="J1445" s="215"/>
      <c r="K1445" s="215"/>
      <c r="L1445" s="215"/>
      <c r="M1445" s="215"/>
      <c r="N1445" s="215"/>
      <c r="O1445" s="215"/>
      <c r="P1445" s="215"/>
      <c r="Q1445" s="215"/>
      <c r="R1445" s="215"/>
      <c r="S1445" s="213"/>
      <c r="T1445" s="212">
        <f>VLOOKUP(A1445,'Groupe de branches'!$Z$27:$AM$86,14,FALSE)</f>
        <v>0</v>
      </c>
      <c r="U1445" s="212">
        <f>VLOOKUP(D1445,'Groupe de branches'!$Z$27:$AM$86,14,FALSE)</f>
        <v>1</v>
      </c>
      <c r="V1445" s="212">
        <v>2019</v>
      </c>
      <c r="W1445" s="212" t="str">
        <f>VLOOKUP(D1445,'Table corresp.'!$M$4:$S$63,7,FALSE)</f>
        <v>Energie</v>
      </c>
      <c r="X1445" s="228">
        <f>IFERROR(G1445/SUMIFS('Comp2016-2017 (3)'!$I$5:$I$289,'Comp2016-2017 (3)'!$A$5:$A$289,A1445,'Comp2016-2017 (3)'!$R$5:$R$289,V1445),0)</f>
        <v>6.7469602834943479E-2</v>
      </c>
      <c r="Y1445" s="214">
        <f>IFERROR(IF(RIGHT(F1445,3)="Exp",VLOOKUP(F1445,#REF!,2,FALSE),VLOOKUP(F1445,#REF!,9,FALSE)),1)</f>
        <v>1</v>
      </c>
      <c r="Z1445" s="225">
        <f t="shared" si="168"/>
        <v>5.8823529411764705E-2</v>
      </c>
      <c r="AA1445" s="225">
        <f t="shared" si="169"/>
        <v>3.9688001667613814E-3</v>
      </c>
      <c r="AB1445" s="222">
        <f>IFERROR(SUMIFS('Comp2016-2017 (3)'!$G$5:$G$289,'Comp2016-2017 (3)'!$A$5:$A$289,A1445,'Comp2016-2017 (3)'!$R$5:$R$289,V1445)*AA1445/SUMIFS($AA$4:$AA$1858,$A$4:$A$1858,A1445,$V$4:$V$1858,V1445),0)</f>
        <v>14949.290847064</v>
      </c>
      <c r="AC1445" s="222" t="str">
        <f>IF($W1445=AC$3,$AB1445,IF(NOT($W1445=0),"",SUMIFS('Val-Vol (2)'!AC$4:AC$1858,'Val-Vol (2)'!$A$4:$A$1858,$D1445,'Val-Vol (2)'!$V$4:$V$1858,$V1445)/SUMIFS('Comp2016-2017 (3)'!$G$5:$G$289,'Comp2016-2017 (3)'!$A$5:$A$289,$D1445,'Comp2016-2017 (3)'!$R$5:$R$289,$V1445)*$AB1445))</f>
        <v/>
      </c>
      <c r="AD1445" s="222" t="str">
        <f>IF($W1445=AD$3,$AB1445,IF(NOT($W1445=0),"",SUMIFS('Val-Vol (2)'!AD$4:AD$1858,'Val-Vol (2)'!$A$4:$A$1858,$D1445,'Val-Vol (2)'!$V$4:$V$1858,$V1445)/SUMIFS('Comp2016-2017 (3)'!$G$5:$G$289,'Comp2016-2017 (3)'!$A$5:$A$289,$D1445,'Comp2016-2017 (3)'!$R$5:$R$289,$V1445)*$AB1445))</f>
        <v/>
      </c>
      <c r="AE1445" s="222" t="str">
        <f>IF($W1445=AE$3,$AB1445,IF(NOT($W1445=0),"",SUMIFS('Val-Vol (2)'!AE$4:AE$1858,'Val-Vol (2)'!$A$4:$A$1858,$D1445,'Val-Vol (2)'!$V$4:$V$1858,$V1445)/SUMIFS('Comp2016-2017 (3)'!$G$5:$G$289,'Comp2016-2017 (3)'!$A$5:$A$289,$D1445,'Comp2016-2017 (3)'!$R$5:$R$289,$V1445)*$AB1445))</f>
        <v/>
      </c>
      <c r="AF1445" s="222" t="str">
        <f>IF($W1445=AF$3,$AB1445,IF(NOT($W1445=0),"",SUMIFS('Val-Vol (2)'!AF$4:AF$1858,'Val-Vol (2)'!$A$4:$A$1858,$D1445,'Val-Vol (2)'!$V$4:$V$1858,$V1445)/SUMIFS('Comp2016-2017 (3)'!$G$5:$G$289,'Comp2016-2017 (3)'!$A$5:$A$289,$D1445,'Comp2016-2017 (3)'!$R$5:$R$289,$V1445)*$AB1445))</f>
        <v/>
      </c>
      <c r="AG1445" s="222" t="str">
        <f>IF($W1445=AG$3,$AB1445,IF(NOT($W1445=0),"",SUMIFS('Val-Vol (2)'!AG$4:AG$1858,'Val-Vol (2)'!$A$4:$A$1858,$D1445,'Val-Vol (2)'!$V$4:$V$1858,$V1445)/SUMIFS('Comp2016-2017 (3)'!$G$5:$G$289,'Comp2016-2017 (3)'!$A$5:$A$289,$D1445,'Comp2016-2017 (3)'!$R$5:$R$289,$V1445)*$AB1445))</f>
        <v/>
      </c>
      <c r="AH1445" s="222">
        <f>IF($W1445=AH$3,$AB1445,IF(NOT($W1445=0),"",SUMIFS('Val-Vol (2)'!AH$4:AH$1858,'Val-Vol (2)'!$A$4:$A$1858,$D1445,'Val-Vol (2)'!$V$4:$V$1858,$V1445)/SUMIFS('Comp2016-2017 (3)'!$G$5:$G$289,'Comp2016-2017 (3)'!$A$5:$A$289,$D1445,'Comp2016-2017 (3)'!$R$5:$R$289,$V1445)*$AB1445))</f>
        <v>14949.290847064</v>
      </c>
      <c r="AI1445" s="222" t="str">
        <f>IF($W1445=AI$3,$AB1445,IF(NOT($W1445=0),"",SUMIFS('Val-Vol (2)'!AI$4:AI$1858,'Val-Vol (2)'!$A$4:$A$1858,$D1445,'Val-Vol (2)'!$V$4:$V$1858,$V1445)/SUMIFS('Comp2016-2017 (3)'!$G$5:$G$289,'Comp2016-2017 (3)'!$A$5:$A$289,$D1445,'Comp2016-2017 (3)'!$R$5:$R$289,$V1445)*$AB1445))</f>
        <v/>
      </c>
      <c r="AJ1445" s="222" t="str">
        <f>IF($W1445=AJ$3,$AB1445,IF(NOT($W1445=0),"",SUMIFS('Val-Vol (2)'!AJ$4:AJ$1858,'Val-Vol (2)'!$A$4:$A$1858,$D1445,'Val-Vol (2)'!$V$4:$V$1858,$V1445)/SUMIFS('Comp2016-2017 (3)'!$G$5:$G$289,'Comp2016-2017 (3)'!$A$5:$A$289,$D1445,'Comp2016-2017 (3)'!$R$5:$R$289,$V1445)*$AB1445))</f>
        <v/>
      </c>
      <c r="AK1445" s="222">
        <f t="shared" si="170"/>
        <v>0</v>
      </c>
      <c r="AL1445" s="212" t="str">
        <f t="shared" si="171"/>
        <v/>
      </c>
      <c r="AM1445" s="212" t="str">
        <f>VLOOKUP(A1445,'Table corresp.'!$M$4:$U$63,8,FALSE)</f>
        <v>Production intermédiaire</v>
      </c>
      <c r="AN1445" s="212" t="str">
        <f>VLOOKUP(D1445,'Table corresp.'!$M$4:$U$63,9,FALSE)</f>
        <v>Production intermédiaire</v>
      </c>
    </row>
    <row r="1446" spans="1:40" x14ac:dyDescent="0.25">
      <c r="A1446" t="s">
        <v>106</v>
      </c>
      <c r="B1446" t="str">
        <f>VLOOKUP(LEFT(A1446,3),'Table corresp.'!$A$4:$D$63,3,FALSE)</f>
        <v>Transformation</v>
      </c>
      <c r="C1446" t="str">
        <f>VLOOKUP(A1446,'Table corresp.'!$M$4:$P$63,4,FALSE)</f>
        <v>Production et transformation de produits bois</v>
      </c>
      <c r="D1446" t="s">
        <v>87</v>
      </c>
      <c r="E1446" t="str">
        <f>VLOOKUP(LEFT(D1446,3),'Table corresp.'!$A$4:$D$63,4,FALSE)</f>
        <v>Transformation</v>
      </c>
      <c r="F1446" t="str">
        <f t="shared" si="167"/>
        <v xml:space="preserve">63  - 31 </v>
      </c>
      <c r="G1446" s="213">
        <v>38719.32112233193</v>
      </c>
      <c r="H1446" s="213">
        <v>0</v>
      </c>
      <c r="I1446" s="213">
        <v>38719.32112233193</v>
      </c>
      <c r="J1446" s="215"/>
      <c r="K1446" s="215"/>
      <c r="L1446" s="215"/>
      <c r="M1446" s="215"/>
      <c r="N1446" s="215"/>
      <c r="O1446" s="215"/>
      <c r="P1446" s="215"/>
      <c r="Q1446" s="215"/>
      <c r="R1446" s="215"/>
      <c r="S1446" s="213"/>
      <c r="T1446" s="212">
        <f>VLOOKUP(A1446,'Groupe de branches'!$Z$27:$AM$86,14,FALSE)</f>
        <v>0</v>
      </c>
      <c r="U1446" s="212">
        <f>VLOOKUP(D1446,'Groupe de branches'!$Z$27:$AM$86,14,FALSE)</f>
        <v>0</v>
      </c>
      <c r="V1446" s="212">
        <v>2019</v>
      </c>
      <c r="W1446" s="212">
        <f>VLOOKUP(D1446,'Table corresp.'!$M$4:$S$63,7,FALSE)</f>
        <v>0</v>
      </c>
      <c r="X1446" s="228">
        <f>IFERROR(G1446/SUMIFS('Comp2016-2017 (3)'!$I$5:$I$289,'Comp2016-2017 (3)'!$A$5:$A$289,A1446,'Comp2016-2017 (3)'!$R$5:$R$289,V1446),0)</f>
        <v>8.9296862143095401E-2</v>
      </c>
      <c r="Y1446" s="214">
        <f>IFERROR(IF(RIGHT(F1446,3)="Exp",VLOOKUP(F1446,#REF!,2,FALSE),VLOOKUP(F1446,#REF!,9,FALSE)),1)</f>
        <v>1</v>
      </c>
      <c r="Z1446" s="225">
        <f t="shared" si="168"/>
        <v>5.8823529411764705E-2</v>
      </c>
      <c r="AA1446" s="225">
        <f t="shared" si="169"/>
        <v>5.2527565966526708E-3</v>
      </c>
      <c r="AB1446" s="222">
        <f>IFERROR(SUMIFS('Comp2016-2017 (3)'!$G$5:$G$289,'Comp2016-2017 (3)'!$A$5:$A$289,A1446,'Comp2016-2017 (3)'!$R$5:$R$289,V1446)*AA1446/SUMIFS($AA$4:$AA$1858,$A$4:$A$1858,A1446,$V$4:$V$1858,V1446),0)</f>
        <v>19785.573173938046</v>
      </c>
      <c r="AC1446" s="222">
        <f>IF($W1446=AC$3,$AB1446,IF(NOT($W1446=0),"",SUMIFS('Val-Vol (2)'!AC$4:AC$1858,'Val-Vol (2)'!$A$4:$A$1858,$D1446,'Val-Vol (2)'!$V$4:$V$1858,$V1446)/SUMIFS('Comp2016-2017 (3)'!$G$5:$G$289,'Comp2016-2017 (3)'!$A$5:$A$289,$D1446,'Comp2016-2017 (3)'!$R$5:$R$289,$V1446)*$AB1446))</f>
        <v>0</v>
      </c>
      <c r="AD1446" s="222">
        <f>IF($W1446=AD$3,$AB1446,IF(NOT($W1446=0),"",SUMIFS('Val-Vol (2)'!AD$4:AD$1858,'Val-Vol (2)'!$A$4:$A$1858,$D1446,'Val-Vol (2)'!$V$4:$V$1858,$V1446)/SUMIFS('Comp2016-2017 (3)'!$G$5:$G$289,'Comp2016-2017 (3)'!$A$5:$A$289,$D1446,'Comp2016-2017 (3)'!$R$5:$R$289,$V1446)*$AB1446))</f>
        <v>0</v>
      </c>
      <c r="AE1446" s="222">
        <f>IF($W1446=AE$3,$AB1446,IF(NOT($W1446=0),"",SUMIFS('Val-Vol (2)'!AE$4:AE$1858,'Val-Vol (2)'!$A$4:$A$1858,$D1446,'Val-Vol (2)'!$V$4:$V$1858,$V1446)/SUMIFS('Comp2016-2017 (3)'!$G$5:$G$289,'Comp2016-2017 (3)'!$A$5:$A$289,$D1446,'Comp2016-2017 (3)'!$R$5:$R$289,$V1446)*$AB1446))</f>
        <v>0</v>
      </c>
      <c r="AF1446" s="222">
        <f>IF($W1446=AF$3,$AB1446,IF(NOT($W1446=0),"",SUMIFS('Val-Vol (2)'!AF$4:AF$1858,'Val-Vol (2)'!$A$4:$A$1858,$D1446,'Val-Vol (2)'!$V$4:$V$1858,$V1446)/SUMIFS('Comp2016-2017 (3)'!$G$5:$G$289,'Comp2016-2017 (3)'!$A$5:$A$289,$D1446,'Comp2016-2017 (3)'!$R$5:$R$289,$V1446)*$AB1446))</f>
        <v>0</v>
      </c>
      <c r="AG1446" s="222">
        <f>IF($W1446=AG$3,$AB1446,IF(NOT($W1446=0),"",SUMIFS('Val-Vol (2)'!AG$4:AG$1858,'Val-Vol (2)'!$A$4:$A$1858,$D1446,'Val-Vol (2)'!$V$4:$V$1858,$V1446)/SUMIFS('Comp2016-2017 (3)'!$G$5:$G$289,'Comp2016-2017 (3)'!$A$5:$A$289,$D1446,'Comp2016-2017 (3)'!$R$5:$R$289,$V1446)*$AB1446))</f>
        <v>0</v>
      </c>
      <c r="AH1446" s="222">
        <f>IF($W1446=AH$3,$AB1446,IF(NOT($W1446=0),"",SUMIFS('Val-Vol (2)'!AH$4:AH$1858,'Val-Vol (2)'!$A$4:$A$1858,$D1446,'Val-Vol (2)'!$V$4:$V$1858,$V1446)/SUMIFS('Comp2016-2017 (3)'!$G$5:$G$289,'Comp2016-2017 (3)'!$A$5:$A$289,$D1446,'Comp2016-2017 (3)'!$R$5:$R$289,$V1446)*$AB1446))</f>
        <v>0</v>
      </c>
      <c r="AI1446" s="222">
        <f>IF($W1446=AI$3,$AB1446,IF(NOT($W1446=0),"",SUMIFS('Val-Vol (2)'!AI$4:AI$1858,'Val-Vol (2)'!$A$4:$A$1858,$D1446,'Val-Vol (2)'!$V$4:$V$1858,$V1446)/SUMIFS('Comp2016-2017 (3)'!$G$5:$G$289,'Comp2016-2017 (3)'!$A$5:$A$289,$D1446,'Comp2016-2017 (3)'!$R$5:$R$289,$V1446)*$AB1446))</f>
        <v>0</v>
      </c>
      <c r="AJ1446" s="222">
        <f>IF($W1446=AJ$3,$AB1446,IF(NOT($W1446=0),"",SUMIFS('Val-Vol (2)'!AJ$4:AJ$1858,'Val-Vol (2)'!$A$4:$A$1858,$D1446,'Val-Vol (2)'!$V$4:$V$1858,$V1446)/SUMIFS('Comp2016-2017 (3)'!$G$5:$G$289,'Comp2016-2017 (3)'!$A$5:$A$289,$D1446,'Comp2016-2017 (3)'!$R$5:$R$289,$V1446)*$AB1446))</f>
        <v>0</v>
      </c>
      <c r="AK1446" s="222">
        <f t="shared" si="170"/>
        <v>-19785.573173938046</v>
      </c>
      <c r="AL1446" s="212" t="str">
        <f t="shared" si="171"/>
        <v/>
      </c>
      <c r="AM1446" s="212" t="str">
        <f>VLOOKUP(A1446,'Table corresp.'!$M$4:$U$63,8,FALSE)</f>
        <v>Production intermédiaire</v>
      </c>
      <c r="AN1446" s="212" t="str">
        <f>VLOOKUP(D1446,'Table corresp.'!$M$4:$U$63,9,FALSE)</f>
        <v>Production intermédiaire</v>
      </c>
    </row>
    <row r="1447" spans="1:40" x14ac:dyDescent="0.25">
      <c r="A1447" t="s">
        <v>106</v>
      </c>
      <c r="B1447" t="str">
        <f>VLOOKUP(LEFT(A1447,3),'Table corresp.'!$A$4:$D$63,3,FALSE)</f>
        <v>Transformation</v>
      </c>
      <c r="C1447" t="str">
        <f>VLOOKUP(A1447,'Table corresp.'!$M$4:$P$63,4,FALSE)</f>
        <v>Production et transformation de produits bois</v>
      </c>
      <c r="D1447" t="s">
        <v>91</v>
      </c>
      <c r="E1447" t="str">
        <f>VLOOKUP(LEFT(D1447,3),'Table corresp.'!$A$4:$D$63,4,FALSE)</f>
        <v>Transformation</v>
      </c>
      <c r="F1447" t="str">
        <f t="shared" si="167"/>
        <v xml:space="preserve">63  - 37 </v>
      </c>
      <c r="G1447" s="213">
        <v>12489.654658439529</v>
      </c>
      <c r="H1447" s="213">
        <v>0</v>
      </c>
      <c r="I1447" s="213">
        <v>12489.654658439529</v>
      </c>
      <c r="J1447" s="215"/>
      <c r="K1447" s="215"/>
      <c r="L1447" s="215"/>
      <c r="M1447" s="215"/>
      <c r="N1447" s="215"/>
      <c r="O1447" s="215"/>
      <c r="P1447" s="215"/>
      <c r="Q1447" s="215"/>
      <c r="R1447" s="215"/>
      <c r="S1447" s="213"/>
      <c r="T1447" s="212">
        <f>VLOOKUP(A1447,'Groupe de branches'!$Z$27:$AM$86,14,FALSE)</f>
        <v>0</v>
      </c>
      <c r="U1447" s="212">
        <f>VLOOKUP(D1447,'Groupe de branches'!$Z$27:$AM$86,14,FALSE)</f>
        <v>0</v>
      </c>
      <c r="V1447" s="212">
        <v>2019</v>
      </c>
      <c r="W1447" s="212" t="str">
        <f>VLOOKUP(D1447,'Table corresp.'!$M$4:$S$63,7,FALSE)</f>
        <v>Emballage bois et carton</v>
      </c>
      <c r="X1447" s="228">
        <f>IFERROR(G1447/SUMIFS('Comp2016-2017 (3)'!$I$5:$I$289,'Comp2016-2017 (3)'!$A$5:$A$289,A1447,'Comp2016-2017 (3)'!$R$5:$R$289,V1447),0)</f>
        <v>2.8804404052587738E-2</v>
      </c>
      <c r="Y1447" s="214">
        <f>IFERROR(IF(RIGHT(F1447,3)="Exp",VLOOKUP(F1447,#REF!,2,FALSE),VLOOKUP(F1447,#REF!,9,FALSE)),1)</f>
        <v>1</v>
      </c>
      <c r="Z1447" s="225">
        <f t="shared" si="168"/>
        <v>5.8823529411764705E-2</v>
      </c>
      <c r="AA1447" s="225">
        <f t="shared" si="169"/>
        <v>1.6943767089757492E-3</v>
      </c>
      <c r="AB1447" s="222">
        <f>IFERROR(SUMIFS('Comp2016-2017 (3)'!$G$5:$G$289,'Comp2016-2017 (3)'!$A$5:$A$289,A1447,'Comp2016-2017 (3)'!$R$5:$R$289,V1447)*AA1447/SUMIFS($AA$4:$AA$1858,$A$4:$A$1858,A1447,$V$4:$V$1858,V1447),0)</f>
        <v>6382.2135564056753</v>
      </c>
      <c r="AC1447" s="222" t="str">
        <f>IF($W1447=AC$3,$AB1447,IF(NOT($W1447=0),"",SUMIFS('Val-Vol (2)'!AC$4:AC$1858,'Val-Vol (2)'!$A$4:$A$1858,$D1447,'Val-Vol (2)'!$V$4:$V$1858,$V1447)/SUMIFS('Comp2016-2017 (3)'!$G$5:$G$289,'Comp2016-2017 (3)'!$A$5:$A$289,$D1447,'Comp2016-2017 (3)'!$R$5:$R$289,$V1447)*$AB1447))</f>
        <v/>
      </c>
      <c r="AD1447" s="222" t="str">
        <f>IF($W1447=AD$3,$AB1447,IF(NOT($W1447=0),"",SUMIFS('Val-Vol (2)'!AD$4:AD$1858,'Val-Vol (2)'!$A$4:$A$1858,$D1447,'Val-Vol (2)'!$V$4:$V$1858,$V1447)/SUMIFS('Comp2016-2017 (3)'!$G$5:$G$289,'Comp2016-2017 (3)'!$A$5:$A$289,$D1447,'Comp2016-2017 (3)'!$R$5:$R$289,$V1447)*$AB1447))</f>
        <v/>
      </c>
      <c r="AE1447" s="222" t="str">
        <f>IF($W1447=AE$3,$AB1447,IF(NOT($W1447=0),"",SUMIFS('Val-Vol (2)'!AE$4:AE$1858,'Val-Vol (2)'!$A$4:$A$1858,$D1447,'Val-Vol (2)'!$V$4:$V$1858,$V1447)/SUMIFS('Comp2016-2017 (3)'!$G$5:$G$289,'Comp2016-2017 (3)'!$A$5:$A$289,$D1447,'Comp2016-2017 (3)'!$R$5:$R$289,$V1447)*$AB1447))</f>
        <v/>
      </c>
      <c r="AF1447" s="222" t="str">
        <f>IF($W1447=AF$3,$AB1447,IF(NOT($W1447=0),"",SUMIFS('Val-Vol (2)'!AF$4:AF$1858,'Val-Vol (2)'!$A$4:$A$1858,$D1447,'Val-Vol (2)'!$V$4:$V$1858,$V1447)/SUMIFS('Comp2016-2017 (3)'!$G$5:$G$289,'Comp2016-2017 (3)'!$A$5:$A$289,$D1447,'Comp2016-2017 (3)'!$R$5:$R$289,$V1447)*$AB1447))</f>
        <v/>
      </c>
      <c r="AG1447" s="222">
        <f>IF($W1447=AG$3,$AB1447,IF(NOT($W1447=0),"",SUMIFS('Val-Vol (2)'!AG$4:AG$1858,'Val-Vol (2)'!$A$4:$A$1858,$D1447,'Val-Vol (2)'!$V$4:$V$1858,$V1447)/SUMIFS('Comp2016-2017 (3)'!$G$5:$G$289,'Comp2016-2017 (3)'!$A$5:$A$289,$D1447,'Comp2016-2017 (3)'!$R$5:$R$289,$V1447)*$AB1447))</f>
        <v>6382.2135564056753</v>
      </c>
      <c r="AH1447" s="222" t="str">
        <f>IF($W1447=AH$3,$AB1447,IF(NOT($W1447=0),"",SUMIFS('Val-Vol (2)'!AH$4:AH$1858,'Val-Vol (2)'!$A$4:$A$1858,$D1447,'Val-Vol (2)'!$V$4:$V$1858,$V1447)/SUMIFS('Comp2016-2017 (3)'!$G$5:$G$289,'Comp2016-2017 (3)'!$A$5:$A$289,$D1447,'Comp2016-2017 (3)'!$R$5:$R$289,$V1447)*$AB1447))</f>
        <v/>
      </c>
      <c r="AI1447" s="222" t="str">
        <f>IF($W1447=AI$3,$AB1447,IF(NOT($W1447=0),"",SUMIFS('Val-Vol (2)'!AI$4:AI$1858,'Val-Vol (2)'!$A$4:$A$1858,$D1447,'Val-Vol (2)'!$V$4:$V$1858,$V1447)/SUMIFS('Comp2016-2017 (3)'!$G$5:$G$289,'Comp2016-2017 (3)'!$A$5:$A$289,$D1447,'Comp2016-2017 (3)'!$R$5:$R$289,$V1447)*$AB1447))</f>
        <v/>
      </c>
      <c r="AJ1447" s="222" t="str">
        <f>IF($W1447=AJ$3,$AB1447,IF(NOT($W1447=0),"",SUMIFS('Val-Vol (2)'!AJ$4:AJ$1858,'Val-Vol (2)'!$A$4:$A$1858,$D1447,'Val-Vol (2)'!$V$4:$V$1858,$V1447)/SUMIFS('Comp2016-2017 (3)'!$G$5:$G$289,'Comp2016-2017 (3)'!$A$5:$A$289,$D1447,'Comp2016-2017 (3)'!$R$5:$R$289,$V1447)*$AB1447))</f>
        <v/>
      </c>
      <c r="AK1447" s="222">
        <f t="shared" si="170"/>
        <v>0</v>
      </c>
      <c r="AL1447" s="212" t="str">
        <f t="shared" si="171"/>
        <v/>
      </c>
      <c r="AM1447" s="212" t="str">
        <f>VLOOKUP(A1447,'Table corresp.'!$M$4:$U$63,8,FALSE)</f>
        <v>Production intermédiaire</v>
      </c>
      <c r="AN1447" s="212" t="str">
        <f>VLOOKUP(D1447,'Table corresp.'!$M$4:$U$63,9,FALSE)</f>
        <v>Production finale</v>
      </c>
    </row>
    <row r="1448" spans="1:40" x14ac:dyDescent="0.25">
      <c r="A1448" t="s">
        <v>106</v>
      </c>
      <c r="B1448" t="str">
        <f>VLOOKUP(LEFT(A1448,3),'Table corresp.'!$A$4:$D$63,3,FALSE)</f>
        <v>Transformation</v>
      </c>
      <c r="C1448" t="str">
        <f>VLOOKUP(A1448,'Table corresp.'!$M$4:$P$63,4,FALSE)</f>
        <v>Production et transformation de produits bois</v>
      </c>
      <c r="D1448" t="s">
        <v>95</v>
      </c>
      <c r="E1448" t="str">
        <f>VLOOKUP(LEFT(D1448,3),'Table corresp.'!$A$4:$D$63,4,FALSE)</f>
        <v>Transformation</v>
      </c>
      <c r="F1448" t="str">
        <f t="shared" si="167"/>
        <v xml:space="preserve">63  - 43 </v>
      </c>
      <c r="G1448" s="213">
        <v>39643.586063714152</v>
      </c>
      <c r="H1448" s="213">
        <v>0</v>
      </c>
      <c r="I1448" s="213">
        <v>39643.586063714152</v>
      </c>
      <c r="J1448" s="215"/>
      <c r="K1448" s="215"/>
      <c r="L1448" s="215"/>
      <c r="M1448" s="215"/>
      <c r="N1448" s="215"/>
      <c r="O1448" s="215"/>
      <c r="P1448" s="215"/>
      <c r="Q1448" s="215"/>
      <c r="R1448" s="215"/>
      <c r="S1448" s="213"/>
      <c r="T1448" s="212">
        <f>VLOOKUP(A1448,'Groupe de branches'!$Z$27:$AM$86,14,FALSE)</f>
        <v>0</v>
      </c>
      <c r="U1448" s="212">
        <f>VLOOKUP(D1448,'Groupe de branches'!$Z$27:$AM$86,14,FALSE)</f>
        <v>0</v>
      </c>
      <c r="V1448" s="212">
        <v>2019</v>
      </c>
      <c r="W1448" s="212" t="str">
        <f>VLOOKUP(D1448,'Table corresp.'!$M$4:$S$63,7,FALSE)</f>
        <v>Pate &amp; papier &amp; carton</v>
      </c>
      <c r="X1448" s="228">
        <f>IFERROR(G1448/SUMIFS('Comp2016-2017 (3)'!$I$5:$I$289,'Comp2016-2017 (3)'!$A$5:$A$289,A1448,'Comp2016-2017 (3)'!$R$5:$R$289,V1448),0)</f>
        <v>9.1428458376240668E-2</v>
      </c>
      <c r="Y1448" s="214">
        <f>IFERROR(IF(RIGHT(F1448,3)="Exp",VLOOKUP(F1448,#REF!,2,FALSE),VLOOKUP(F1448,#REF!,9,FALSE)),1)</f>
        <v>1</v>
      </c>
      <c r="Z1448" s="225">
        <f t="shared" si="168"/>
        <v>5.8823529411764705E-2</v>
      </c>
      <c r="AA1448" s="225">
        <f t="shared" si="169"/>
        <v>5.3781446103670976E-3</v>
      </c>
      <c r="AB1448" s="222">
        <f>IFERROR(SUMIFS('Comp2016-2017 (3)'!$G$5:$G$289,'Comp2016-2017 (3)'!$A$5:$A$289,A1448,'Comp2016-2017 (3)'!$R$5:$R$289,V1448)*AA1448/SUMIFS($AA$4:$AA$1858,$A$4:$A$1858,A1448,$V$4:$V$1858,V1448),0)</f>
        <v>20257.872560904212</v>
      </c>
      <c r="AC1448" s="222" t="str">
        <f>IF($W1448=AC$3,$AB1448,IF(NOT($W1448=0),"",SUMIFS('Val-Vol (2)'!AC$4:AC$1858,'Val-Vol (2)'!$A$4:$A$1858,$D1448,'Val-Vol (2)'!$V$4:$V$1858,$V1448)/SUMIFS('Comp2016-2017 (3)'!$G$5:$G$289,'Comp2016-2017 (3)'!$A$5:$A$289,$D1448,'Comp2016-2017 (3)'!$R$5:$R$289,$V1448)*$AB1448))</f>
        <v/>
      </c>
      <c r="AD1448" s="222" t="str">
        <f>IF($W1448=AD$3,$AB1448,IF(NOT($W1448=0),"",SUMIFS('Val-Vol (2)'!AD$4:AD$1858,'Val-Vol (2)'!$A$4:$A$1858,$D1448,'Val-Vol (2)'!$V$4:$V$1858,$V1448)/SUMIFS('Comp2016-2017 (3)'!$G$5:$G$289,'Comp2016-2017 (3)'!$A$5:$A$289,$D1448,'Comp2016-2017 (3)'!$R$5:$R$289,$V1448)*$AB1448))</f>
        <v/>
      </c>
      <c r="AE1448" s="222" t="str">
        <f>IF($W1448=AE$3,$AB1448,IF(NOT($W1448=0),"",SUMIFS('Val-Vol (2)'!AE$4:AE$1858,'Val-Vol (2)'!$A$4:$A$1858,$D1448,'Val-Vol (2)'!$V$4:$V$1858,$V1448)/SUMIFS('Comp2016-2017 (3)'!$G$5:$G$289,'Comp2016-2017 (3)'!$A$5:$A$289,$D1448,'Comp2016-2017 (3)'!$R$5:$R$289,$V1448)*$AB1448))</f>
        <v/>
      </c>
      <c r="AF1448" s="222">
        <f>IF($W1448=AF$3,$AB1448,IF(NOT($W1448=0),"",SUMIFS('Val-Vol (2)'!AF$4:AF$1858,'Val-Vol (2)'!$A$4:$A$1858,$D1448,'Val-Vol (2)'!$V$4:$V$1858,$V1448)/SUMIFS('Comp2016-2017 (3)'!$G$5:$G$289,'Comp2016-2017 (3)'!$A$5:$A$289,$D1448,'Comp2016-2017 (3)'!$R$5:$R$289,$V1448)*$AB1448))</f>
        <v>20257.872560904212</v>
      </c>
      <c r="AG1448" s="222" t="str">
        <f>IF($W1448=AG$3,$AB1448,IF(NOT($W1448=0),"",SUMIFS('Val-Vol (2)'!AG$4:AG$1858,'Val-Vol (2)'!$A$4:$A$1858,$D1448,'Val-Vol (2)'!$V$4:$V$1858,$V1448)/SUMIFS('Comp2016-2017 (3)'!$G$5:$G$289,'Comp2016-2017 (3)'!$A$5:$A$289,$D1448,'Comp2016-2017 (3)'!$R$5:$R$289,$V1448)*$AB1448))</f>
        <v/>
      </c>
      <c r="AH1448" s="222" t="str">
        <f>IF($W1448=AH$3,$AB1448,IF(NOT($W1448=0),"",SUMIFS('Val-Vol (2)'!AH$4:AH$1858,'Val-Vol (2)'!$A$4:$A$1858,$D1448,'Val-Vol (2)'!$V$4:$V$1858,$V1448)/SUMIFS('Comp2016-2017 (3)'!$G$5:$G$289,'Comp2016-2017 (3)'!$A$5:$A$289,$D1448,'Comp2016-2017 (3)'!$R$5:$R$289,$V1448)*$AB1448))</f>
        <v/>
      </c>
      <c r="AI1448" s="222" t="str">
        <f>IF($W1448=AI$3,$AB1448,IF(NOT($W1448=0),"",SUMIFS('Val-Vol (2)'!AI$4:AI$1858,'Val-Vol (2)'!$A$4:$A$1858,$D1448,'Val-Vol (2)'!$V$4:$V$1858,$V1448)/SUMIFS('Comp2016-2017 (3)'!$G$5:$G$289,'Comp2016-2017 (3)'!$A$5:$A$289,$D1448,'Comp2016-2017 (3)'!$R$5:$R$289,$V1448)*$AB1448))</f>
        <v/>
      </c>
      <c r="AJ1448" s="222" t="str">
        <f>IF($W1448=AJ$3,$AB1448,IF(NOT($W1448=0),"",SUMIFS('Val-Vol (2)'!AJ$4:AJ$1858,'Val-Vol (2)'!$A$4:$A$1858,$D1448,'Val-Vol (2)'!$V$4:$V$1858,$V1448)/SUMIFS('Comp2016-2017 (3)'!$G$5:$G$289,'Comp2016-2017 (3)'!$A$5:$A$289,$D1448,'Comp2016-2017 (3)'!$R$5:$R$289,$V1448)*$AB1448))</f>
        <v/>
      </c>
      <c r="AK1448" s="222">
        <f t="shared" si="170"/>
        <v>0</v>
      </c>
      <c r="AL1448" s="212" t="str">
        <f t="shared" si="171"/>
        <v/>
      </c>
      <c r="AM1448" s="212" t="str">
        <f>VLOOKUP(A1448,'Table corresp.'!$M$4:$U$63,8,FALSE)</f>
        <v>Production intermédiaire</v>
      </c>
      <c r="AN1448" s="212" t="str">
        <f>VLOOKUP(D1448,'Table corresp.'!$M$4:$U$63,9,FALSE)</f>
        <v>Production intermédiaire</v>
      </c>
    </row>
    <row r="1449" spans="1:40" x14ac:dyDescent="0.25">
      <c r="A1449" t="s">
        <v>106</v>
      </c>
      <c r="B1449" t="str">
        <f>VLOOKUP(LEFT(A1449,3),'Table corresp.'!$A$4:$D$63,3,FALSE)</f>
        <v>Transformation</v>
      </c>
      <c r="C1449" t="str">
        <f>VLOOKUP(A1449,'Table corresp.'!$M$4:$P$63,4,FALSE)</f>
        <v>Production et transformation de produits bois</v>
      </c>
      <c r="D1449" t="s">
        <v>98</v>
      </c>
      <c r="E1449" t="str">
        <f>VLOOKUP(LEFT(D1449,3),'Table corresp.'!$A$4:$D$63,4,FALSE)</f>
        <v>Transformation</v>
      </c>
      <c r="F1449" t="str">
        <f t="shared" si="167"/>
        <v xml:space="preserve">63  - 46 </v>
      </c>
      <c r="G1449" s="213">
        <v>8576.0199664121355</v>
      </c>
      <c r="H1449" s="213">
        <v>0</v>
      </c>
      <c r="I1449" s="213">
        <v>8576.0199664121355</v>
      </c>
      <c r="J1449" s="215"/>
      <c r="K1449" s="215"/>
      <c r="L1449" s="215"/>
      <c r="M1449" s="215"/>
      <c r="N1449" s="215"/>
      <c r="O1449" s="215"/>
      <c r="P1449" s="215"/>
      <c r="Q1449" s="215"/>
      <c r="R1449" s="215"/>
      <c r="S1449" s="213"/>
      <c r="T1449" s="212">
        <f>VLOOKUP(A1449,'Groupe de branches'!$Z$27:$AM$86,14,FALSE)</f>
        <v>0</v>
      </c>
      <c r="U1449" s="212">
        <f>VLOOKUP(D1449,'Groupe de branches'!$Z$27:$AM$86,14,FALSE)</f>
        <v>0</v>
      </c>
      <c r="V1449" s="212">
        <v>2019</v>
      </c>
      <c r="W1449" s="212" t="str">
        <f>VLOOKUP(D1449,'Table corresp.'!$M$4:$S$63,7,FALSE)</f>
        <v>Produits de consommation courante</v>
      </c>
      <c r="X1449" s="228">
        <f>IFERROR(G1449/SUMIFS('Comp2016-2017 (3)'!$I$5:$I$289,'Comp2016-2017 (3)'!$A$5:$A$289,A1449,'Comp2016-2017 (3)'!$R$5:$R$289,V1449),0)</f>
        <v>1.9778540802861472E-2</v>
      </c>
      <c r="Y1449" s="214">
        <f>IFERROR(IF(RIGHT(F1449,3)="Exp",VLOOKUP(F1449,#REF!,2,FALSE),VLOOKUP(F1449,#REF!,9,FALSE)),1)</f>
        <v>1</v>
      </c>
      <c r="Z1449" s="225">
        <f t="shared" si="168"/>
        <v>5.8823529411764705E-2</v>
      </c>
      <c r="AA1449" s="225">
        <f t="shared" si="169"/>
        <v>1.1634435766389101E-3</v>
      </c>
      <c r="AB1449" s="222">
        <f>IFERROR(SUMIFS('Comp2016-2017 (3)'!$G$5:$G$289,'Comp2016-2017 (3)'!$A$5:$A$289,A1449,'Comp2016-2017 (3)'!$R$5:$R$289,V1449)*AA1449/SUMIFS($AA$4:$AA$1858,$A$4:$A$1858,A1449,$V$4:$V$1858,V1449),0)</f>
        <v>4382.3462206504109</v>
      </c>
      <c r="AC1449" s="222" t="str">
        <f>IF($W1449=AC$3,$AB1449,IF(NOT($W1449=0),"",SUMIFS('Val-Vol (2)'!AC$4:AC$1858,'Val-Vol (2)'!$A$4:$A$1858,$D1449,'Val-Vol (2)'!$V$4:$V$1858,$V1449)/SUMIFS('Comp2016-2017 (3)'!$G$5:$G$289,'Comp2016-2017 (3)'!$A$5:$A$289,$D1449,'Comp2016-2017 (3)'!$R$5:$R$289,$V1449)*$AB1449))</f>
        <v/>
      </c>
      <c r="AD1449" s="222" t="str">
        <f>IF($W1449=AD$3,$AB1449,IF(NOT($W1449=0),"",SUMIFS('Val-Vol (2)'!AD$4:AD$1858,'Val-Vol (2)'!$A$4:$A$1858,$D1449,'Val-Vol (2)'!$V$4:$V$1858,$V1449)/SUMIFS('Comp2016-2017 (3)'!$G$5:$G$289,'Comp2016-2017 (3)'!$A$5:$A$289,$D1449,'Comp2016-2017 (3)'!$R$5:$R$289,$V1449)*$AB1449))</f>
        <v/>
      </c>
      <c r="AE1449" s="222" t="str">
        <f>IF($W1449=AE$3,$AB1449,IF(NOT($W1449=0),"",SUMIFS('Val-Vol (2)'!AE$4:AE$1858,'Val-Vol (2)'!$A$4:$A$1858,$D1449,'Val-Vol (2)'!$V$4:$V$1858,$V1449)/SUMIFS('Comp2016-2017 (3)'!$G$5:$G$289,'Comp2016-2017 (3)'!$A$5:$A$289,$D1449,'Comp2016-2017 (3)'!$R$5:$R$289,$V1449)*$AB1449))</f>
        <v/>
      </c>
      <c r="AF1449" s="222" t="str">
        <f>IF($W1449=AF$3,$AB1449,IF(NOT($W1449=0),"",SUMIFS('Val-Vol (2)'!AF$4:AF$1858,'Val-Vol (2)'!$A$4:$A$1858,$D1449,'Val-Vol (2)'!$V$4:$V$1858,$V1449)/SUMIFS('Comp2016-2017 (3)'!$G$5:$G$289,'Comp2016-2017 (3)'!$A$5:$A$289,$D1449,'Comp2016-2017 (3)'!$R$5:$R$289,$V1449)*$AB1449))</f>
        <v/>
      </c>
      <c r="AG1449" s="222" t="str">
        <f>IF($W1449=AG$3,$AB1449,IF(NOT($W1449=0),"",SUMIFS('Val-Vol (2)'!AG$4:AG$1858,'Val-Vol (2)'!$A$4:$A$1858,$D1449,'Val-Vol (2)'!$V$4:$V$1858,$V1449)/SUMIFS('Comp2016-2017 (3)'!$G$5:$G$289,'Comp2016-2017 (3)'!$A$5:$A$289,$D1449,'Comp2016-2017 (3)'!$R$5:$R$289,$V1449)*$AB1449))</f>
        <v/>
      </c>
      <c r="AH1449" s="222" t="str">
        <f>IF($W1449=AH$3,$AB1449,IF(NOT($W1449=0),"",SUMIFS('Val-Vol (2)'!AH$4:AH$1858,'Val-Vol (2)'!$A$4:$A$1858,$D1449,'Val-Vol (2)'!$V$4:$V$1858,$V1449)/SUMIFS('Comp2016-2017 (3)'!$G$5:$G$289,'Comp2016-2017 (3)'!$A$5:$A$289,$D1449,'Comp2016-2017 (3)'!$R$5:$R$289,$V1449)*$AB1449))</f>
        <v/>
      </c>
      <c r="AI1449" s="222">
        <f>IF($W1449=AI$3,$AB1449,IF(NOT($W1449=0),"",SUMIFS('Val-Vol (2)'!AI$4:AI$1858,'Val-Vol (2)'!$A$4:$A$1858,$D1449,'Val-Vol (2)'!$V$4:$V$1858,$V1449)/SUMIFS('Comp2016-2017 (3)'!$G$5:$G$289,'Comp2016-2017 (3)'!$A$5:$A$289,$D1449,'Comp2016-2017 (3)'!$R$5:$R$289,$V1449)*$AB1449))</f>
        <v>4382.3462206504109</v>
      </c>
      <c r="AJ1449" s="222" t="str">
        <f>IF($W1449=AJ$3,$AB1449,IF(NOT($W1449=0),"",SUMIFS('Val-Vol (2)'!AJ$4:AJ$1858,'Val-Vol (2)'!$A$4:$A$1858,$D1449,'Val-Vol (2)'!$V$4:$V$1858,$V1449)/SUMIFS('Comp2016-2017 (3)'!$G$5:$G$289,'Comp2016-2017 (3)'!$A$5:$A$289,$D1449,'Comp2016-2017 (3)'!$R$5:$R$289,$V1449)*$AB1449))</f>
        <v/>
      </c>
      <c r="AK1449" s="222">
        <f t="shared" si="170"/>
        <v>0</v>
      </c>
      <c r="AL1449" s="212" t="str">
        <f t="shared" si="171"/>
        <v/>
      </c>
      <c r="AM1449" s="212" t="str">
        <f>VLOOKUP(A1449,'Table corresp.'!$M$4:$U$63,8,FALSE)</f>
        <v>Production intermédiaire</v>
      </c>
      <c r="AN1449" s="212" t="str">
        <f>VLOOKUP(D1449,'Table corresp.'!$M$4:$U$63,9,FALSE)</f>
        <v>Production intermédiaire</v>
      </c>
    </row>
    <row r="1450" spans="1:40" x14ac:dyDescent="0.25">
      <c r="A1450" t="s">
        <v>106</v>
      </c>
      <c r="B1450" t="str">
        <f>VLOOKUP(LEFT(A1450,3),'Table corresp.'!$A$4:$D$63,3,FALSE)</f>
        <v>Transformation</v>
      </c>
      <c r="C1450" t="str">
        <f>VLOOKUP(A1450,'Table corresp.'!$M$4:$P$63,4,FALSE)</f>
        <v>Production et transformation de produits bois</v>
      </c>
      <c r="D1450" t="s">
        <v>53</v>
      </c>
      <c r="E1450" t="str">
        <f>VLOOKUP(LEFT(D1450,3),'Table corresp.'!$A$4:$D$63,4,FALSE)</f>
        <v>Exportation</v>
      </c>
      <c r="F1450" t="str">
        <f t="shared" ref="F1450:F1513" si="172">LEFT(A1450,3)&amp;" - "&amp;LEFT(D1450,3)</f>
        <v>63  - Exp</v>
      </c>
      <c r="G1450" s="213">
        <v>40948.828700127335</v>
      </c>
      <c r="H1450" s="213">
        <v>0</v>
      </c>
      <c r="I1450" s="213">
        <v>40948.828700127335</v>
      </c>
      <c r="J1450" s="215"/>
      <c r="K1450" s="215"/>
      <c r="L1450" s="215"/>
      <c r="M1450" s="215"/>
      <c r="N1450" s="215"/>
      <c r="O1450" s="215"/>
      <c r="P1450" s="215"/>
      <c r="Q1450" s="215"/>
      <c r="R1450" s="215"/>
      <c r="S1450" s="213"/>
      <c r="T1450" s="212">
        <f>VLOOKUP(A1450,'Groupe de branches'!$Z$27:$AM$86,14,FALSE)</f>
        <v>0</v>
      </c>
      <c r="U1450" s="212">
        <f>VLOOKUP(D1450,'Groupe de branches'!$Z$27:$AM$86,14,FALSE)</f>
        <v>0</v>
      </c>
      <c r="V1450" s="212">
        <v>2019</v>
      </c>
      <c r="W1450" s="212" t="str">
        <f>VLOOKUP(D1450,'Table corresp.'!$M$4:$S$63,7,FALSE)</f>
        <v>Exportation</v>
      </c>
      <c r="X1450" s="228">
        <f>IFERROR(G1450/SUMIFS('Comp2016-2017 (3)'!$I$5:$I$289,'Comp2016-2017 (3)'!$A$5:$A$289,A1450,'Comp2016-2017 (3)'!$R$5:$R$289,V1450),0)</f>
        <v>9.4438688627923817E-2</v>
      </c>
      <c r="Y1450" s="214">
        <f>IFERROR(IF(RIGHT(F1450,3)="Exp",VLOOKUP(F1450,#REF!,2,FALSE),VLOOKUP(F1450,#REF!,9,FALSE)),1)</f>
        <v>1</v>
      </c>
      <c r="Z1450" s="225">
        <f t="shared" si="168"/>
        <v>5.8823529411764705E-2</v>
      </c>
      <c r="AA1450" s="225">
        <f t="shared" si="169"/>
        <v>5.555216978113166E-3</v>
      </c>
      <c r="AB1450" s="222">
        <f>IFERROR(SUMIFS('Comp2016-2017 (3)'!$G$5:$G$289,'Comp2016-2017 (3)'!$A$5:$A$289,A1450,'Comp2016-2017 (3)'!$R$5:$R$289,V1450)*AA1450/SUMIFS($AA$4:$AA$1858,$A$4:$A$1858,A1450,$V$4:$V$1858,V1450),0)</f>
        <v>20924.85155082255</v>
      </c>
      <c r="AC1450" s="222">
        <f>IF($W1450=AC$3,$AB1450,IF(NOT($W1450=0),"",SUMIFS('Val-Vol (2)'!AC$4:AC$1858,'Val-Vol (2)'!$A$4:$A$1858,$D1450,'Val-Vol (2)'!$V$4:$V$1858,$V1450)/SUMIFS('Comp2016-2017 (3)'!$G$5:$G$289,'Comp2016-2017 (3)'!$A$5:$A$289,$D1450,'Comp2016-2017 (3)'!$R$5:$R$289,$V1450)*$AB1450))</f>
        <v>20924.85155082255</v>
      </c>
      <c r="AD1450" s="222" t="str">
        <f>IF($W1450=AD$3,$AB1450,IF(NOT($W1450=0),"",SUMIFS('Val-Vol (2)'!AD$4:AD$1858,'Val-Vol (2)'!$A$4:$A$1858,$D1450,'Val-Vol (2)'!$V$4:$V$1858,$V1450)/SUMIFS('Comp2016-2017 (3)'!$G$5:$G$289,'Comp2016-2017 (3)'!$A$5:$A$289,$D1450,'Comp2016-2017 (3)'!$R$5:$R$289,$V1450)*$AB1450))</f>
        <v/>
      </c>
      <c r="AE1450" s="222" t="str">
        <f>IF($W1450=AE$3,$AB1450,IF(NOT($W1450=0),"",SUMIFS('Val-Vol (2)'!AE$4:AE$1858,'Val-Vol (2)'!$A$4:$A$1858,$D1450,'Val-Vol (2)'!$V$4:$V$1858,$V1450)/SUMIFS('Comp2016-2017 (3)'!$G$5:$G$289,'Comp2016-2017 (3)'!$A$5:$A$289,$D1450,'Comp2016-2017 (3)'!$R$5:$R$289,$V1450)*$AB1450))</f>
        <v/>
      </c>
      <c r="AF1450" s="222" t="str">
        <f>IF($W1450=AF$3,$AB1450,IF(NOT($W1450=0),"",SUMIFS('Val-Vol (2)'!AF$4:AF$1858,'Val-Vol (2)'!$A$4:$A$1858,$D1450,'Val-Vol (2)'!$V$4:$V$1858,$V1450)/SUMIFS('Comp2016-2017 (3)'!$G$5:$G$289,'Comp2016-2017 (3)'!$A$5:$A$289,$D1450,'Comp2016-2017 (3)'!$R$5:$R$289,$V1450)*$AB1450))</f>
        <v/>
      </c>
      <c r="AG1450" s="222" t="str">
        <f>IF($W1450=AG$3,$AB1450,IF(NOT($W1450=0),"",SUMIFS('Val-Vol (2)'!AG$4:AG$1858,'Val-Vol (2)'!$A$4:$A$1858,$D1450,'Val-Vol (2)'!$V$4:$V$1858,$V1450)/SUMIFS('Comp2016-2017 (3)'!$G$5:$G$289,'Comp2016-2017 (3)'!$A$5:$A$289,$D1450,'Comp2016-2017 (3)'!$R$5:$R$289,$V1450)*$AB1450))</f>
        <v/>
      </c>
      <c r="AH1450" s="222" t="str">
        <f>IF($W1450=AH$3,$AB1450,IF(NOT($W1450=0),"",SUMIFS('Val-Vol (2)'!AH$4:AH$1858,'Val-Vol (2)'!$A$4:$A$1858,$D1450,'Val-Vol (2)'!$V$4:$V$1858,$V1450)/SUMIFS('Comp2016-2017 (3)'!$G$5:$G$289,'Comp2016-2017 (3)'!$A$5:$A$289,$D1450,'Comp2016-2017 (3)'!$R$5:$R$289,$V1450)*$AB1450))</f>
        <v/>
      </c>
      <c r="AI1450" s="222" t="str">
        <f>IF($W1450=AI$3,$AB1450,IF(NOT($W1450=0),"",SUMIFS('Val-Vol (2)'!AI$4:AI$1858,'Val-Vol (2)'!$A$4:$A$1858,$D1450,'Val-Vol (2)'!$V$4:$V$1858,$V1450)/SUMIFS('Comp2016-2017 (3)'!$G$5:$G$289,'Comp2016-2017 (3)'!$A$5:$A$289,$D1450,'Comp2016-2017 (3)'!$R$5:$R$289,$V1450)*$AB1450))</f>
        <v/>
      </c>
      <c r="AJ1450" s="222" t="str">
        <f>IF($W1450=AJ$3,$AB1450,IF(NOT($W1450=0),"",SUMIFS('Val-Vol (2)'!AJ$4:AJ$1858,'Val-Vol (2)'!$A$4:$A$1858,$D1450,'Val-Vol (2)'!$V$4:$V$1858,$V1450)/SUMIFS('Comp2016-2017 (3)'!$G$5:$G$289,'Comp2016-2017 (3)'!$A$5:$A$289,$D1450,'Comp2016-2017 (3)'!$R$5:$R$289,$V1450)*$AB1450))</f>
        <v/>
      </c>
      <c r="AK1450" s="222">
        <f t="shared" si="170"/>
        <v>0</v>
      </c>
      <c r="AL1450" s="212" t="str">
        <f t="shared" si="171"/>
        <v/>
      </c>
      <c r="AM1450" s="212" t="str">
        <f>VLOOKUP(A1450,'Table corresp.'!$M$4:$U$63,8,FALSE)</f>
        <v>Production intermédiaire</v>
      </c>
      <c r="AN1450" s="212" t="str">
        <f>VLOOKUP(D1450,'Table corresp.'!$M$4:$U$63,9,FALSE)</f>
        <v>Exportation</v>
      </c>
    </row>
    <row r="1451" spans="1:40" x14ac:dyDescent="0.25">
      <c r="A1451" t="s">
        <v>107</v>
      </c>
      <c r="B1451" t="str">
        <f>VLOOKUP(LEFT(A1451,3),'Table corresp.'!$A$4:$D$63,3,FALSE)</f>
        <v>Transformation</v>
      </c>
      <c r="C1451" t="str">
        <f>VLOOKUP(A1451,'Table corresp.'!$M$4:$P$63,4,FALSE)</f>
        <v>Commerces et services</v>
      </c>
      <c r="D1451" t="s">
        <v>59</v>
      </c>
      <c r="E1451" t="str">
        <f>VLOOKUP(LEFT(D1451,3),'Table corresp.'!$A$4:$D$63,4,FALSE)</f>
        <v>Transformation</v>
      </c>
      <c r="F1451" t="str">
        <f t="shared" si="172"/>
        <v xml:space="preserve">64  - 07 </v>
      </c>
      <c r="G1451" s="213">
        <v>0.99999663214050882</v>
      </c>
      <c r="H1451" s="213">
        <v>0</v>
      </c>
      <c r="I1451" s="213">
        <v>0.99999663214050882</v>
      </c>
      <c r="J1451" s="215"/>
      <c r="K1451" s="215"/>
      <c r="L1451" s="215"/>
      <c r="M1451" s="215"/>
      <c r="N1451" s="215"/>
      <c r="O1451" s="215"/>
      <c r="P1451" s="215"/>
      <c r="Q1451" s="215"/>
      <c r="R1451" s="215"/>
      <c r="S1451" s="213"/>
      <c r="T1451" s="212">
        <f>VLOOKUP(A1451,'Groupe de branches'!$Z$27:$AM$86,14,FALSE)</f>
        <v>0</v>
      </c>
      <c r="U1451" s="212">
        <f>VLOOKUP(D1451,'Groupe de branches'!$Z$27:$AM$86,14,FALSE)</f>
        <v>0</v>
      </c>
      <c r="V1451" s="212">
        <v>2019</v>
      </c>
      <c r="W1451" s="212" t="str">
        <f>VLOOKUP(D1451,'Table corresp.'!$M$4:$S$63,7,FALSE)</f>
        <v>Produits de consommation courante</v>
      </c>
      <c r="X1451" s="228">
        <f>IFERROR(G1451/SUMIFS('Comp2016-2017 (3)'!$I$5:$I$289,'Comp2016-2017 (3)'!$A$5:$A$289,A1451,'Comp2016-2017 (3)'!$R$5:$R$289,V1451),0)</f>
        <v>1.5467931054301369E-6</v>
      </c>
      <c r="Y1451" s="214">
        <f>IFERROR(IF(RIGHT(F1451,3)="Exp",VLOOKUP(F1451,#REF!,2,FALSE),VLOOKUP(F1451,#REF!,9,FALSE)),1)</f>
        <v>1</v>
      </c>
      <c r="Z1451" s="225">
        <f t="shared" si="168"/>
        <v>0.5</v>
      </c>
      <c r="AA1451" s="225">
        <f t="shared" si="169"/>
        <v>7.7339655271506846E-7</v>
      </c>
      <c r="AB1451" s="222">
        <f>IFERROR(SUMIFS('Comp2016-2017 (3)'!$G$5:$G$289,'Comp2016-2017 (3)'!$A$5:$A$289,A1451,'Comp2016-2017 (3)'!$R$5:$R$289,V1451)*AA1451/SUMIFS($AA$4:$AA$1858,$A$4:$A$1858,A1451,$V$4:$V$1858,V1451),0)</f>
        <v>0.99999663214050882</v>
      </c>
      <c r="AC1451" s="222" t="str">
        <f>IF($W1451=AC$3,$AB1451,IF(NOT($W1451=0),"",SUMIFS('Val-Vol (2)'!AC$4:AC$1858,'Val-Vol (2)'!$A$4:$A$1858,$D1451,'Val-Vol (2)'!$V$4:$V$1858,$V1451)/SUMIFS('Comp2016-2017 (3)'!$G$5:$G$289,'Comp2016-2017 (3)'!$A$5:$A$289,$D1451,'Comp2016-2017 (3)'!$R$5:$R$289,$V1451)*$AB1451))</f>
        <v/>
      </c>
      <c r="AD1451" s="222" t="str">
        <f>IF($W1451=AD$3,$AB1451,IF(NOT($W1451=0),"",SUMIFS('Val-Vol (2)'!AD$4:AD$1858,'Val-Vol (2)'!$A$4:$A$1858,$D1451,'Val-Vol (2)'!$V$4:$V$1858,$V1451)/SUMIFS('Comp2016-2017 (3)'!$G$5:$G$289,'Comp2016-2017 (3)'!$A$5:$A$289,$D1451,'Comp2016-2017 (3)'!$R$5:$R$289,$V1451)*$AB1451))</f>
        <v/>
      </c>
      <c r="AE1451" s="222" t="str">
        <f>IF($W1451=AE$3,$AB1451,IF(NOT($W1451=0),"",SUMIFS('Val-Vol (2)'!AE$4:AE$1858,'Val-Vol (2)'!$A$4:$A$1858,$D1451,'Val-Vol (2)'!$V$4:$V$1858,$V1451)/SUMIFS('Comp2016-2017 (3)'!$G$5:$G$289,'Comp2016-2017 (3)'!$A$5:$A$289,$D1451,'Comp2016-2017 (3)'!$R$5:$R$289,$V1451)*$AB1451))</f>
        <v/>
      </c>
      <c r="AF1451" s="222" t="str">
        <f>IF($W1451=AF$3,$AB1451,IF(NOT($W1451=0),"",SUMIFS('Val-Vol (2)'!AF$4:AF$1858,'Val-Vol (2)'!$A$4:$A$1858,$D1451,'Val-Vol (2)'!$V$4:$V$1858,$V1451)/SUMIFS('Comp2016-2017 (3)'!$G$5:$G$289,'Comp2016-2017 (3)'!$A$5:$A$289,$D1451,'Comp2016-2017 (3)'!$R$5:$R$289,$V1451)*$AB1451))</f>
        <v/>
      </c>
      <c r="AG1451" s="222" t="str">
        <f>IF($W1451=AG$3,$AB1451,IF(NOT($W1451=0),"",SUMIFS('Val-Vol (2)'!AG$4:AG$1858,'Val-Vol (2)'!$A$4:$A$1858,$D1451,'Val-Vol (2)'!$V$4:$V$1858,$V1451)/SUMIFS('Comp2016-2017 (3)'!$G$5:$G$289,'Comp2016-2017 (3)'!$A$5:$A$289,$D1451,'Comp2016-2017 (3)'!$R$5:$R$289,$V1451)*$AB1451))</f>
        <v/>
      </c>
      <c r="AH1451" s="222" t="str">
        <f>IF($W1451=AH$3,$AB1451,IF(NOT($W1451=0),"",SUMIFS('Val-Vol (2)'!AH$4:AH$1858,'Val-Vol (2)'!$A$4:$A$1858,$D1451,'Val-Vol (2)'!$V$4:$V$1858,$V1451)/SUMIFS('Comp2016-2017 (3)'!$G$5:$G$289,'Comp2016-2017 (3)'!$A$5:$A$289,$D1451,'Comp2016-2017 (3)'!$R$5:$R$289,$V1451)*$AB1451))</f>
        <v/>
      </c>
      <c r="AI1451" s="222">
        <f>IF($W1451=AI$3,$AB1451,IF(NOT($W1451=0),"",SUMIFS('Val-Vol (2)'!AI$4:AI$1858,'Val-Vol (2)'!$A$4:$A$1858,$D1451,'Val-Vol (2)'!$V$4:$V$1858,$V1451)/SUMIFS('Comp2016-2017 (3)'!$G$5:$G$289,'Comp2016-2017 (3)'!$A$5:$A$289,$D1451,'Comp2016-2017 (3)'!$R$5:$R$289,$V1451)*$AB1451))</f>
        <v>0.99999663214050882</v>
      </c>
      <c r="AJ1451" s="222" t="str">
        <f>IF($W1451=AJ$3,$AB1451,IF(NOT($W1451=0),"",SUMIFS('Val-Vol (2)'!AJ$4:AJ$1858,'Val-Vol (2)'!$A$4:$A$1858,$D1451,'Val-Vol (2)'!$V$4:$V$1858,$V1451)/SUMIFS('Comp2016-2017 (3)'!$G$5:$G$289,'Comp2016-2017 (3)'!$A$5:$A$289,$D1451,'Comp2016-2017 (3)'!$R$5:$R$289,$V1451)*$AB1451))</f>
        <v/>
      </c>
      <c r="AK1451" s="222">
        <f t="shared" si="170"/>
        <v>0</v>
      </c>
      <c r="AL1451" s="212" t="str">
        <f t="shared" si="171"/>
        <v/>
      </c>
      <c r="AM1451" s="212" t="str">
        <f>VLOOKUP(A1451,'Table corresp.'!$M$4:$U$63,8,FALSE)</f>
        <v>Production finale</v>
      </c>
      <c r="AN1451" s="212" t="str">
        <f>VLOOKUP(D1451,'Table corresp.'!$M$4:$U$63,9,FALSE)</f>
        <v>Production intermédiaire</v>
      </c>
    </row>
    <row r="1452" spans="1:40" x14ac:dyDescent="0.25">
      <c r="A1452" t="s">
        <v>107</v>
      </c>
      <c r="B1452" t="str">
        <f>VLOOKUP(LEFT(A1452,3),'Table corresp.'!$A$4:$D$63,3,FALSE)</f>
        <v>Transformation</v>
      </c>
      <c r="C1452" t="str">
        <f>VLOOKUP(A1452,'Table corresp.'!$M$4:$P$63,4,FALSE)</f>
        <v>Commerces et services</v>
      </c>
      <c r="D1452" t="s">
        <v>54</v>
      </c>
      <c r="E1452" t="str">
        <f>VLOOKUP(LEFT(D1452,3),'Table corresp.'!$A$4:$D$63,4,FALSE)</f>
        <v>Consommation finale</v>
      </c>
      <c r="F1452" t="str">
        <f t="shared" si="172"/>
        <v>64  - Con</v>
      </c>
      <c r="G1452" s="213">
        <v>646495.69605789729</v>
      </c>
      <c r="H1452" s="213">
        <v>0</v>
      </c>
      <c r="I1452" s="213">
        <v>646495.69605789729</v>
      </c>
      <c r="J1452" s="215"/>
      <c r="K1452" s="215"/>
      <c r="L1452" s="215"/>
      <c r="M1452" s="215"/>
      <c r="N1452" s="215"/>
      <c r="O1452" s="215"/>
      <c r="P1452" s="215"/>
      <c r="Q1452" s="215"/>
      <c r="R1452" s="215"/>
      <c r="S1452" s="213"/>
      <c r="T1452" s="212">
        <f>VLOOKUP(A1452,'Groupe de branches'!$Z$27:$AM$86,14,FALSE)</f>
        <v>0</v>
      </c>
      <c r="U1452" s="212">
        <f>VLOOKUP(D1452,'Groupe de branches'!$Z$27:$AM$86,14,FALSE)</f>
        <v>0</v>
      </c>
      <c r="V1452" s="212">
        <v>2019</v>
      </c>
      <c r="W1452" s="212" t="str">
        <f>VLOOKUP(D1452,'Table corresp.'!$M$4:$S$63,7,FALSE)</f>
        <v>Consommation finale</v>
      </c>
      <c r="X1452" s="228">
        <f>IFERROR(G1452/SUMIFS('Comp2016-2017 (3)'!$I$5:$I$289,'Comp2016-2017 (3)'!$A$5:$A$289,A1452,'Comp2016-2017 (3)'!$R$5:$R$289,V1452),0)</f>
        <v>0.99999845320689462</v>
      </c>
      <c r="Y1452" s="214">
        <f>IFERROR(IF(RIGHT(F1452,3)="Exp",VLOOKUP(F1452,#REF!,2,FALSE),VLOOKUP(F1452,#REF!,9,FALSE)),1)</f>
        <v>1</v>
      </c>
      <c r="Z1452" s="225">
        <f t="shared" si="168"/>
        <v>0.5</v>
      </c>
      <c r="AA1452" s="225">
        <f t="shared" si="169"/>
        <v>0.49999922660344731</v>
      </c>
      <c r="AB1452" s="222">
        <f>IFERROR(SUMIFS('Comp2016-2017 (3)'!$G$5:$G$289,'Comp2016-2017 (3)'!$A$5:$A$289,A1452,'Comp2016-2017 (3)'!$R$5:$R$289,V1452)*AA1452/SUMIFS($AA$4:$AA$1858,$A$4:$A$1858,A1452,$V$4:$V$1858,V1452),0)</f>
        <v>646495.69605789729</v>
      </c>
      <c r="AC1452" s="222" t="str">
        <f>IF($W1452=AC$3,$AB1452,IF(NOT($W1452=0),"",SUMIFS('Val-Vol (2)'!AC$4:AC$1858,'Val-Vol (2)'!$A$4:$A$1858,$D1452,'Val-Vol (2)'!$V$4:$V$1858,$V1452)/SUMIFS('Comp2016-2017 (3)'!$G$5:$G$289,'Comp2016-2017 (3)'!$A$5:$A$289,$D1452,'Comp2016-2017 (3)'!$R$5:$R$289,$V1452)*$AB1452))</f>
        <v/>
      </c>
      <c r="AD1452" s="222" t="str">
        <f>IF($W1452=AD$3,$AB1452,IF(NOT($W1452=0),"",SUMIFS('Val-Vol (2)'!AD$4:AD$1858,'Val-Vol (2)'!$A$4:$A$1858,$D1452,'Val-Vol (2)'!$V$4:$V$1858,$V1452)/SUMIFS('Comp2016-2017 (3)'!$G$5:$G$289,'Comp2016-2017 (3)'!$A$5:$A$289,$D1452,'Comp2016-2017 (3)'!$R$5:$R$289,$V1452)*$AB1452))</f>
        <v/>
      </c>
      <c r="AE1452" s="222" t="str">
        <f>IF($W1452=AE$3,$AB1452,IF(NOT($W1452=0),"",SUMIFS('Val-Vol (2)'!AE$4:AE$1858,'Val-Vol (2)'!$A$4:$A$1858,$D1452,'Val-Vol (2)'!$V$4:$V$1858,$V1452)/SUMIFS('Comp2016-2017 (3)'!$G$5:$G$289,'Comp2016-2017 (3)'!$A$5:$A$289,$D1452,'Comp2016-2017 (3)'!$R$5:$R$289,$V1452)*$AB1452))</f>
        <v/>
      </c>
      <c r="AF1452" s="222" t="str">
        <f>IF($W1452=AF$3,$AB1452,IF(NOT($W1452=0),"",SUMIFS('Val-Vol (2)'!AF$4:AF$1858,'Val-Vol (2)'!$A$4:$A$1858,$D1452,'Val-Vol (2)'!$V$4:$V$1858,$V1452)/SUMIFS('Comp2016-2017 (3)'!$G$5:$G$289,'Comp2016-2017 (3)'!$A$5:$A$289,$D1452,'Comp2016-2017 (3)'!$R$5:$R$289,$V1452)*$AB1452))</f>
        <v/>
      </c>
      <c r="AG1452" s="222" t="str">
        <f>IF($W1452=AG$3,$AB1452,IF(NOT($W1452=0),"",SUMIFS('Val-Vol (2)'!AG$4:AG$1858,'Val-Vol (2)'!$A$4:$A$1858,$D1452,'Val-Vol (2)'!$V$4:$V$1858,$V1452)/SUMIFS('Comp2016-2017 (3)'!$G$5:$G$289,'Comp2016-2017 (3)'!$A$5:$A$289,$D1452,'Comp2016-2017 (3)'!$R$5:$R$289,$V1452)*$AB1452))</f>
        <v/>
      </c>
      <c r="AH1452" s="222" t="str">
        <f>IF($W1452=AH$3,$AB1452,IF(NOT($W1452=0),"",SUMIFS('Val-Vol (2)'!AH$4:AH$1858,'Val-Vol (2)'!$A$4:$A$1858,$D1452,'Val-Vol (2)'!$V$4:$V$1858,$V1452)/SUMIFS('Comp2016-2017 (3)'!$G$5:$G$289,'Comp2016-2017 (3)'!$A$5:$A$289,$D1452,'Comp2016-2017 (3)'!$R$5:$R$289,$V1452)*$AB1452))</f>
        <v/>
      </c>
      <c r="AI1452" s="222" t="str">
        <f>IF($W1452=AI$3,$AB1452,IF(NOT($W1452=0),"",SUMIFS('Val-Vol (2)'!AI$4:AI$1858,'Val-Vol (2)'!$A$4:$A$1858,$D1452,'Val-Vol (2)'!$V$4:$V$1858,$V1452)/SUMIFS('Comp2016-2017 (3)'!$G$5:$G$289,'Comp2016-2017 (3)'!$A$5:$A$289,$D1452,'Comp2016-2017 (3)'!$R$5:$R$289,$V1452)*$AB1452))</f>
        <v/>
      </c>
      <c r="AJ1452" s="222">
        <f>IF($W1452=AJ$3,$AB1452,IF(NOT($W1452=0),"",SUMIFS('Val-Vol (2)'!AJ$4:AJ$1858,'Val-Vol (2)'!$A$4:$A$1858,$D1452,'Val-Vol (2)'!$V$4:$V$1858,$V1452)/SUMIFS('Comp2016-2017 (3)'!$G$5:$G$289,'Comp2016-2017 (3)'!$A$5:$A$289,$D1452,'Comp2016-2017 (3)'!$R$5:$R$289,$V1452)*$AB1452))</f>
        <v>646495.69605789729</v>
      </c>
      <c r="AK1452" s="222">
        <f t="shared" si="170"/>
        <v>0</v>
      </c>
      <c r="AL1452" s="212" t="str">
        <f t="shared" si="171"/>
        <v/>
      </c>
      <c r="AM1452" s="212" t="str">
        <f>VLOOKUP(A1452,'Table corresp.'!$M$4:$U$63,8,FALSE)</f>
        <v>Production finale</v>
      </c>
      <c r="AN1452" s="212" t="str">
        <f>VLOOKUP(D1452,'Table corresp.'!$M$4:$U$63,9,FALSE)</f>
        <v>Consommation finale française</v>
      </c>
    </row>
    <row r="1453" spans="1:40" x14ac:dyDescent="0.25">
      <c r="A1453" t="s">
        <v>52</v>
      </c>
      <c r="B1453" t="str">
        <f>VLOOKUP(LEFT(A1453,3),'Table corresp.'!$A$4:$D$63,3,FALSE)</f>
        <v>Importation</v>
      </c>
      <c r="C1453" t="str">
        <f>VLOOKUP(A1453,'Table corresp.'!$M$4:$P$63,4,FALSE)</f>
        <v>Importation</v>
      </c>
      <c r="D1453" t="s">
        <v>80</v>
      </c>
      <c r="E1453" t="str">
        <f>VLOOKUP(LEFT(D1453,3),'Table corresp.'!$A$4:$D$63,4,FALSE)</f>
        <v>Transformation</v>
      </c>
      <c r="F1453" t="str">
        <f t="shared" si="172"/>
        <v xml:space="preserve">Imp - 01 </v>
      </c>
      <c r="G1453" s="213">
        <v>0</v>
      </c>
      <c r="H1453" s="213">
        <v>9450.8449999999993</v>
      </c>
      <c r="I1453" s="213">
        <v>9450.8449999999993</v>
      </c>
      <c r="J1453" s="215"/>
      <c r="K1453" s="215"/>
      <c r="L1453" s="215"/>
      <c r="M1453" s="215"/>
      <c r="N1453" s="215"/>
      <c r="O1453" s="215"/>
      <c r="P1453" s="215"/>
      <c r="Q1453" s="215"/>
      <c r="R1453" s="215"/>
      <c r="S1453" s="213"/>
      <c r="T1453" s="212">
        <f>VLOOKUP(A1453,'Groupe de branches'!$Z$27:$AM$86,14,FALSE)</f>
        <v>0</v>
      </c>
      <c r="U1453" s="212">
        <f>VLOOKUP(D1453,'Groupe de branches'!$Z$27:$AM$86,14,FALSE)</f>
        <v>0</v>
      </c>
      <c r="V1453" s="212">
        <v>2019</v>
      </c>
      <c r="W1453" s="212">
        <f>VLOOKUP(D1453,'Table corresp.'!$M$4:$S$63,7,FALSE)</f>
        <v>0</v>
      </c>
      <c r="X1453" s="228">
        <f>IFERROR(G1453/SUMIFS('Comp2016-2017 (3)'!$I$5:$I$289,'Comp2016-2017 (3)'!$A$5:$A$289,A1453,'Comp2016-2017 (3)'!$R$5:$R$289,V1453),0)</f>
        <v>0</v>
      </c>
      <c r="Y1453" s="214">
        <f>IFERROR(IF(RIGHT(F1453,3)="Exp",VLOOKUP(F1453,#REF!,2,FALSE),VLOOKUP(F1453,#REF!,9,FALSE)),0)</f>
        <v>0</v>
      </c>
      <c r="Z1453" s="225">
        <f t="shared" si="168"/>
        <v>0</v>
      </c>
      <c r="AA1453" s="225">
        <f t="shared" si="169"/>
        <v>0</v>
      </c>
      <c r="AB1453" s="222">
        <f>IFERROR(SUMIFS('Comp2016-2017 (3)'!$G$5:$G$289,'Comp2016-2017 (3)'!$A$5:$A$289,A1453,'Comp2016-2017 (3)'!$R$5:$R$289,V1453)*AA1453/SUMIFS($AA$4:$AA$1858,$A$4:$A$1858,A1453,$V$4:$V$1858,V1453),0)</f>
        <v>0</v>
      </c>
      <c r="AC1453" s="222">
        <f>IF($W1453=AC$3,$AB1453,IF(NOT($W1453=0),"",SUMIFS('Val-Vol (2)'!AC$4:AC$1858,'Val-Vol (2)'!$A$4:$A$1858,$D1453,'Val-Vol (2)'!$V$4:$V$1858,$V1453)/SUMIFS('Comp2016-2017 (3)'!$G$5:$G$289,'Comp2016-2017 (3)'!$A$5:$A$289,$D1453,'Comp2016-2017 (3)'!$R$5:$R$289,$V1453)*$AB1453))</f>
        <v>0</v>
      </c>
      <c r="AD1453" s="222">
        <f>IF($W1453=AD$3,$AB1453,IF(NOT($W1453=0),"",SUMIFS('Val-Vol (2)'!AD$4:AD$1858,'Val-Vol (2)'!$A$4:$A$1858,$D1453,'Val-Vol (2)'!$V$4:$V$1858,$V1453)/SUMIFS('Comp2016-2017 (3)'!$G$5:$G$289,'Comp2016-2017 (3)'!$A$5:$A$289,$D1453,'Comp2016-2017 (3)'!$R$5:$R$289,$V1453)*$AB1453))</f>
        <v>0</v>
      </c>
      <c r="AE1453" s="222">
        <f>IF($W1453=AE$3,$AB1453,IF(NOT($W1453=0),"",SUMIFS('Val-Vol (2)'!AE$4:AE$1858,'Val-Vol (2)'!$A$4:$A$1858,$D1453,'Val-Vol (2)'!$V$4:$V$1858,$V1453)/SUMIFS('Comp2016-2017 (3)'!$G$5:$G$289,'Comp2016-2017 (3)'!$A$5:$A$289,$D1453,'Comp2016-2017 (3)'!$R$5:$R$289,$V1453)*$AB1453))</f>
        <v>0</v>
      </c>
      <c r="AF1453" s="222">
        <f>IF($W1453=AF$3,$AB1453,IF(NOT($W1453=0),"",SUMIFS('Val-Vol (2)'!AF$4:AF$1858,'Val-Vol (2)'!$A$4:$A$1858,$D1453,'Val-Vol (2)'!$V$4:$V$1858,$V1453)/SUMIFS('Comp2016-2017 (3)'!$G$5:$G$289,'Comp2016-2017 (3)'!$A$5:$A$289,$D1453,'Comp2016-2017 (3)'!$R$5:$R$289,$V1453)*$AB1453))</f>
        <v>0</v>
      </c>
      <c r="AG1453" s="222">
        <f>IF($W1453=AG$3,$AB1453,IF(NOT($W1453=0),"",SUMIFS('Val-Vol (2)'!AG$4:AG$1858,'Val-Vol (2)'!$A$4:$A$1858,$D1453,'Val-Vol (2)'!$V$4:$V$1858,$V1453)/SUMIFS('Comp2016-2017 (3)'!$G$5:$G$289,'Comp2016-2017 (3)'!$A$5:$A$289,$D1453,'Comp2016-2017 (3)'!$R$5:$R$289,$V1453)*$AB1453))</f>
        <v>0</v>
      </c>
      <c r="AH1453" s="222">
        <f>IF($W1453=AH$3,$AB1453,IF(NOT($W1453=0),"",SUMIFS('Val-Vol (2)'!AH$4:AH$1858,'Val-Vol (2)'!$A$4:$A$1858,$D1453,'Val-Vol (2)'!$V$4:$V$1858,$V1453)/SUMIFS('Comp2016-2017 (3)'!$G$5:$G$289,'Comp2016-2017 (3)'!$A$5:$A$289,$D1453,'Comp2016-2017 (3)'!$R$5:$R$289,$V1453)*$AB1453))</f>
        <v>0</v>
      </c>
      <c r="AI1453" s="222">
        <f>IF($W1453=AI$3,$AB1453,IF(NOT($W1453=0),"",SUMIFS('Val-Vol (2)'!AI$4:AI$1858,'Val-Vol (2)'!$A$4:$A$1858,$D1453,'Val-Vol (2)'!$V$4:$V$1858,$V1453)/SUMIFS('Comp2016-2017 (3)'!$G$5:$G$289,'Comp2016-2017 (3)'!$A$5:$A$289,$D1453,'Comp2016-2017 (3)'!$R$5:$R$289,$V1453)*$AB1453))</f>
        <v>0</v>
      </c>
      <c r="AJ1453" s="222">
        <f>IF($W1453=AJ$3,$AB1453,IF(NOT($W1453=0),"",SUMIFS('Val-Vol (2)'!AJ$4:AJ$1858,'Val-Vol (2)'!$A$4:$A$1858,$D1453,'Val-Vol (2)'!$V$4:$V$1858,$V1453)/SUMIFS('Comp2016-2017 (3)'!$G$5:$G$289,'Comp2016-2017 (3)'!$A$5:$A$289,$D1453,'Comp2016-2017 (3)'!$R$5:$R$289,$V1453)*$AB1453))</f>
        <v>0</v>
      </c>
      <c r="AK1453" s="222">
        <f t="shared" si="170"/>
        <v>0</v>
      </c>
      <c r="AL1453" s="212" t="str">
        <f t="shared" si="171"/>
        <v/>
      </c>
      <c r="AM1453" s="212" t="str">
        <f>VLOOKUP(A1453,'Table corresp.'!$M$4:$U$63,8,FALSE)</f>
        <v>Importation</v>
      </c>
      <c r="AN1453" s="212" t="str">
        <f>VLOOKUP(D1453,'Table corresp.'!$M$4:$U$63,9,FALSE)</f>
        <v>Production intermédiaire</v>
      </c>
    </row>
    <row r="1454" spans="1:40" x14ac:dyDescent="0.25">
      <c r="A1454" t="s">
        <v>52</v>
      </c>
      <c r="B1454" t="str">
        <f>VLOOKUP(LEFT(A1454,3),'Table corresp.'!$A$4:$D$63,3,FALSE)</f>
        <v>Importation</v>
      </c>
      <c r="C1454" t="str">
        <f>VLOOKUP(A1454,'Table corresp.'!$M$4:$P$63,4,FALSE)</f>
        <v>Importation</v>
      </c>
      <c r="D1454" t="s">
        <v>0</v>
      </c>
      <c r="E1454" t="str">
        <f>VLOOKUP(LEFT(D1454,3),'Table corresp.'!$A$4:$D$63,4,FALSE)</f>
        <v>Transformation</v>
      </c>
      <c r="F1454" t="str">
        <f t="shared" si="172"/>
        <v xml:space="preserve">Imp - 02 </v>
      </c>
      <c r="G1454" s="213">
        <v>0</v>
      </c>
      <c r="H1454" s="213">
        <v>54686.49500000001</v>
      </c>
      <c r="I1454" s="213">
        <v>54686.49500000001</v>
      </c>
      <c r="J1454" s="215">
        <v>0</v>
      </c>
      <c r="K1454" s="215">
        <v>328.94797750384015</v>
      </c>
      <c r="L1454" s="215">
        <v>328.94797750384015</v>
      </c>
      <c r="M1454" s="215"/>
      <c r="N1454" s="215"/>
      <c r="O1454" s="215"/>
      <c r="P1454" s="215"/>
      <c r="Q1454" s="215"/>
      <c r="R1454" s="215"/>
      <c r="S1454" s="213"/>
      <c r="T1454" s="212">
        <f>VLOOKUP(A1454,'Groupe de branches'!$Z$27:$AM$86,14,FALSE)</f>
        <v>0</v>
      </c>
      <c r="U1454" s="212">
        <f>VLOOKUP(D1454,'Groupe de branches'!$Z$27:$AM$86,14,FALSE)</f>
        <v>0</v>
      </c>
      <c r="V1454" s="212">
        <v>2019</v>
      </c>
      <c r="W1454" s="212">
        <f>VLOOKUP(D1454,'Table corresp.'!$M$4:$S$63,7,FALSE)</f>
        <v>0</v>
      </c>
      <c r="X1454" s="228">
        <f>IFERROR(G1454/SUMIFS('Comp2016-2017 (3)'!$I$5:$I$289,'Comp2016-2017 (3)'!$A$5:$A$289,A1454,'Comp2016-2017 (3)'!$R$5:$R$289,V1454),0)</f>
        <v>0</v>
      </c>
      <c r="Y1454" s="214">
        <f>IFERROR(IF(RIGHT(F1454,3)="Exp",VLOOKUP(F1454,#REF!,2,FALSE),VLOOKUP(F1454,#REF!,9,FALSE)),0)</f>
        <v>0</v>
      </c>
      <c r="Z1454" s="225">
        <f t="shared" si="168"/>
        <v>0</v>
      </c>
      <c r="AA1454" s="225">
        <f t="shared" si="169"/>
        <v>0</v>
      </c>
      <c r="AB1454" s="222">
        <f>IFERROR(SUMIFS('Comp2016-2017 (3)'!$G$5:$G$289,'Comp2016-2017 (3)'!$A$5:$A$289,A1454,'Comp2016-2017 (3)'!$R$5:$R$289,V1454)*AA1454/SUMIFS($AA$4:$AA$1858,$A$4:$A$1858,A1454,$V$4:$V$1858,V1454),0)</f>
        <v>0</v>
      </c>
      <c r="AC1454" s="222">
        <f>IF($W1454=AC$3,$AB1454,IF(NOT($W1454=0),"",SUMIFS('Val-Vol (2)'!AC$4:AC$1858,'Val-Vol (2)'!$A$4:$A$1858,$D1454,'Val-Vol (2)'!$V$4:$V$1858,$V1454)/SUMIFS('Comp2016-2017 (3)'!$G$5:$G$289,'Comp2016-2017 (3)'!$A$5:$A$289,$D1454,'Comp2016-2017 (3)'!$R$5:$R$289,$V1454)*$AB1454))</f>
        <v>0</v>
      </c>
      <c r="AD1454" s="222">
        <f>IF($W1454=AD$3,$AB1454,IF(NOT($W1454=0),"",SUMIFS('Val-Vol (2)'!AD$4:AD$1858,'Val-Vol (2)'!$A$4:$A$1858,$D1454,'Val-Vol (2)'!$V$4:$V$1858,$V1454)/SUMIFS('Comp2016-2017 (3)'!$G$5:$G$289,'Comp2016-2017 (3)'!$A$5:$A$289,$D1454,'Comp2016-2017 (3)'!$R$5:$R$289,$V1454)*$AB1454))</f>
        <v>0</v>
      </c>
      <c r="AE1454" s="222">
        <f>IF($W1454=AE$3,$AB1454,IF(NOT($W1454=0),"",SUMIFS('Val-Vol (2)'!AE$4:AE$1858,'Val-Vol (2)'!$A$4:$A$1858,$D1454,'Val-Vol (2)'!$V$4:$V$1858,$V1454)/SUMIFS('Comp2016-2017 (3)'!$G$5:$G$289,'Comp2016-2017 (3)'!$A$5:$A$289,$D1454,'Comp2016-2017 (3)'!$R$5:$R$289,$V1454)*$AB1454))</f>
        <v>0</v>
      </c>
      <c r="AF1454" s="222">
        <f>IF($W1454=AF$3,$AB1454,IF(NOT($W1454=0),"",SUMIFS('Val-Vol (2)'!AF$4:AF$1858,'Val-Vol (2)'!$A$4:$A$1858,$D1454,'Val-Vol (2)'!$V$4:$V$1858,$V1454)/SUMIFS('Comp2016-2017 (3)'!$G$5:$G$289,'Comp2016-2017 (3)'!$A$5:$A$289,$D1454,'Comp2016-2017 (3)'!$R$5:$R$289,$V1454)*$AB1454))</f>
        <v>0</v>
      </c>
      <c r="AG1454" s="222">
        <f>IF($W1454=AG$3,$AB1454,IF(NOT($W1454=0),"",SUMIFS('Val-Vol (2)'!AG$4:AG$1858,'Val-Vol (2)'!$A$4:$A$1858,$D1454,'Val-Vol (2)'!$V$4:$V$1858,$V1454)/SUMIFS('Comp2016-2017 (3)'!$G$5:$G$289,'Comp2016-2017 (3)'!$A$5:$A$289,$D1454,'Comp2016-2017 (3)'!$R$5:$R$289,$V1454)*$AB1454))</f>
        <v>0</v>
      </c>
      <c r="AH1454" s="222">
        <f>IF($W1454=AH$3,$AB1454,IF(NOT($W1454=0),"",SUMIFS('Val-Vol (2)'!AH$4:AH$1858,'Val-Vol (2)'!$A$4:$A$1858,$D1454,'Val-Vol (2)'!$V$4:$V$1858,$V1454)/SUMIFS('Comp2016-2017 (3)'!$G$5:$G$289,'Comp2016-2017 (3)'!$A$5:$A$289,$D1454,'Comp2016-2017 (3)'!$R$5:$R$289,$V1454)*$AB1454))</f>
        <v>0</v>
      </c>
      <c r="AI1454" s="222">
        <f>IF($W1454=AI$3,$AB1454,IF(NOT($W1454=0),"",SUMIFS('Val-Vol (2)'!AI$4:AI$1858,'Val-Vol (2)'!$A$4:$A$1858,$D1454,'Val-Vol (2)'!$V$4:$V$1858,$V1454)/SUMIFS('Comp2016-2017 (3)'!$G$5:$G$289,'Comp2016-2017 (3)'!$A$5:$A$289,$D1454,'Comp2016-2017 (3)'!$R$5:$R$289,$V1454)*$AB1454))</f>
        <v>0</v>
      </c>
      <c r="AJ1454" s="222">
        <f>IF($W1454=AJ$3,$AB1454,IF(NOT($W1454=0),"",SUMIFS('Val-Vol (2)'!AJ$4:AJ$1858,'Val-Vol (2)'!$A$4:$A$1858,$D1454,'Val-Vol (2)'!$V$4:$V$1858,$V1454)/SUMIFS('Comp2016-2017 (3)'!$G$5:$G$289,'Comp2016-2017 (3)'!$A$5:$A$289,$D1454,'Comp2016-2017 (3)'!$R$5:$R$289,$V1454)*$AB1454))</f>
        <v>0</v>
      </c>
      <c r="AK1454" s="222">
        <f t="shared" si="170"/>
        <v>0</v>
      </c>
      <c r="AL1454" s="212" t="str">
        <f t="shared" si="171"/>
        <v/>
      </c>
      <c r="AM1454" s="212" t="str">
        <f>VLOOKUP(A1454,'Table corresp.'!$M$4:$U$63,8,FALSE)</f>
        <v>Importation</v>
      </c>
      <c r="AN1454" s="212" t="str">
        <f>VLOOKUP(D1454,'Table corresp.'!$M$4:$U$63,9,FALSE)</f>
        <v>Production intermédiaire</v>
      </c>
    </row>
    <row r="1455" spans="1:40" x14ac:dyDescent="0.25">
      <c r="A1455" t="s">
        <v>52</v>
      </c>
      <c r="B1455" t="str">
        <f>VLOOKUP(LEFT(A1455,3),'Table corresp.'!$A$4:$D$63,3,FALSE)</f>
        <v>Importation</v>
      </c>
      <c r="C1455" t="str">
        <f>VLOOKUP(A1455,'Table corresp.'!$M$4:$P$63,4,FALSE)</f>
        <v>Importation</v>
      </c>
      <c r="D1455" t="s">
        <v>1</v>
      </c>
      <c r="E1455" t="str">
        <f>VLOOKUP(LEFT(D1455,3),'Table corresp.'!$A$4:$D$63,4,FALSE)</f>
        <v>Transformation</v>
      </c>
      <c r="F1455" t="str">
        <f t="shared" si="172"/>
        <v xml:space="preserve">Imp - 03 </v>
      </c>
      <c r="G1455" s="213">
        <v>0</v>
      </c>
      <c r="H1455" s="213">
        <v>58511.6</v>
      </c>
      <c r="I1455" s="213">
        <v>58511.6</v>
      </c>
      <c r="J1455" s="215"/>
      <c r="K1455" s="215"/>
      <c r="L1455" s="215"/>
      <c r="M1455" s="215">
        <v>0</v>
      </c>
      <c r="N1455" s="215">
        <v>499.30817099999996</v>
      </c>
      <c r="O1455" s="215">
        <v>499.30817099999996</v>
      </c>
      <c r="P1455" s="215"/>
      <c r="Q1455" s="215"/>
      <c r="R1455" s="215"/>
      <c r="S1455" s="213"/>
      <c r="T1455" s="212">
        <f>VLOOKUP(A1455,'Groupe de branches'!$Z$27:$AM$86,14,FALSE)</f>
        <v>0</v>
      </c>
      <c r="U1455" s="212">
        <f>VLOOKUP(D1455,'Groupe de branches'!$Z$27:$AM$86,14,FALSE)</f>
        <v>0</v>
      </c>
      <c r="V1455" s="212">
        <v>2019</v>
      </c>
      <c r="W1455" s="212">
        <f>VLOOKUP(D1455,'Table corresp.'!$M$4:$S$63,7,FALSE)</f>
        <v>0</v>
      </c>
      <c r="X1455" s="228">
        <f>IFERROR(G1455/SUMIFS('Comp2016-2017 (3)'!$I$5:$I$289,'Comp2016-2017 (3)'!$A$5:$A$289,A1455,'Comp2016-2017 (3)'!$R$5:$R$289,V1455),0)</f>
        <v>0</v>
      </c>
      <c r="Y1455" s="214">
        <f>IFERROR(IF(RIGHT(F1455,3)="Exp",VLOOKUP(F1455,#REF!,2,FALSE),VLOOKUP(F1455,#REF!,9,FALSE)),0)</f>
        <v>0</v>
      </c>
      <c r="Z1455" s="225">
        <f t="shared" si="168"/>
        <v>0</v>
      </c>
      <c r="AA1455" s="225">
        <f t="shared" si="169"/>
        <v>0</v>
      </c>
      <c r="AB1455" s="222">
        <f>IFERROR(SUMIFS('Comp2016-2017 (3)'!$G$5:$G$289,'Comp2016-2017 (3)'!$A$5:$A$289,A1455,'Comp2016-2017 (3)'!$R$5:$R$289,V1455)*AA1455/SUMIFS($AA$4:$AA$1858,$A$4:$A$1858,A1455,$V$4:$V$1858,V1455),0)</f>
        <v>0</v>
      </c>
      <c r="AC1455" s="222">
        <f>IF($W1455=AC$3,$AB1455,IF(NOT($W1455=0),"",SUMIFS('Val-Vol (2)'!AC$4:AC$1858,'Val-Vol (2)'!$A$4:$A$1858,$D1455,'Val-Vol (2)'!$V$4:$V$1858,$V1455)/SUMIFS('Comp2016-2017 (3)'!$G$5:$G$289,'Comp2016-2017 (3)'!$A$5:$A$289,$D1455,'Comp2016-2017 (3)'!$R$5:$R$289,$V1455)*$AB1455))</f>
        <v>0</v>
      </c>
      <c r="AD1455" s="222">
        <f>IF($W1455=AD$3,$AB1455,IF(NOT($W1455=0),"",SUMIFS('Val-Vol (2)'!AD$4:AD$1858,'Val-Vol (2)'!$A$4:$A$1858,$D1455,'Val-Vol (2)'!$V$4:$V$1858,$V1455)/SUMIFS('Comp2016-2017 (3)'!$G$5:$G$289,'Comp2016-2017 (3)'!$A$5:$A$289,$D1455,'Comp2016-2017 (3)'!$R$5:$R$289,$V1455)*$AB1455))</f>
        <v>0</v>
      </c>
      <c r="AE1455" s="222">
        <f>IF($W1455=AE$3,$AB1455,IF(NOT($W1455=0),"",SUMIFS('Val-Vol (2)'!AE$4:AE$1858,'Val-Vol (2)'!$A$4:$A$1858,$D1455,'Val-Vol (2)'!$V$4:$V$1858,$V1455)/SUMIFS('Comp2016-2017 (3)'!$G$5:$G$289,'Comp2016-2017 (3)'!$A$5:$A$289,$D1455,'Comp2016-2017 (3)'!$R$5:$R$289,$V1455)*$AB1455))</f>
        <v>0</v>
      </c>
      <c r="AF1455" s="222">
        <f>IF($W1455=AF$3,$AB1455,IF(NOT($W1455=0),"",SUMIFS('Val-Vol (2)'!AF$4:AF$1858,'Val-Vol (2)'!$A$4:$A$1858,$D1455,'Val-Vol (2)'!$V$4:$V$1858,$V1455)/SUMIFS('Comp2016-2017 (3)'!$G$5:$G$289,'Comp2016-2017 (3)'!$A$5:$A$289,$D1455,'Comp2016-2017 (3)'!$R$5:$R$289,$V1455)*$AB1455))</f>
        <v>0</v>
      </c>
      <c r="AG1455" s="222">
        <f>IF($W1455=AG$3,$AB1455,IF(NOT($W1455=0),"",SUMIFS('Val-Vol (2)'!AG$4:AG$1858,'Val-Vol (2)'!$A$4:$A$1858,$D1455,'Val-Vol (2)'!$V$4:$V$1858,$V1455)/SUMIFS('Comp2016-2017 (3)'!$G$5:$G$289,'Comp2016-2017 (3)'!$A$5:$A$289,$D1455,'Comp2016-2017 (3)'!$R$5:$R$289,$V1455)*$AB1455))</f>
        <v>0</v>
      </c>
      <c r="AH1455" s="222">
        <f>IF($W1455=AH$3,$AB1455,IF(NOT($W1455=0),"",SUMIFS('Val-Vol (2)'!AH$4:AH$1858,'Val-Vol (2)'!$A$4:$A$1858,$D1455,'Val-Vol (2)'!$V$4:$V$1858,$V1455)/SUMIFS('Comp2016-2017 (3)'!$G$5:$G$289,'Comp2016-2017 (3)'!$A$5:$A$289,$D1455,'Comp2016-2017 (3)'!$R$5:$R$289,$V1455)*$AB1455))</f>
        <v>0</v>
      </c>
      <c r="AI1455" s="222">
        <f>IF($W1455=AI$3,$AB1455,IF(NOT($W1455=0),"",SUMIFS('Val-Vol (2)'!AI$4:AI$1858,'Val-Vol (2)'!$A$4:$A$1858,$D1455,'Val-Vol (2)'!$V$4:$V$1858,$V1455)/SUMIFS('Comp2016-2017 (3)'!$G$5:$G$289,'Comp2016-2017 (3)'!$A$5:$A$289,$D1455,'Comp2016-2017 (3)'!$R$5:$R$289,$V1455)*$AB1455))</f>
        <v>0</v>
      </c>
      <c r="AJ1455" s="222">
        <f>IF($W1455=AJ$3,$AB1455,IF(NOT($W1455=0),"",SUMIFS('Val-Vol (2)'!AJ$4:AJ$1858,'Val-Vol (2)'!$A$4:$A$1858,$D1455,'Val-Vol (2)'!$V$4:$V$1858,$V1455)/SUMIFS('Comp2016-2017 (3)'!$G$5:$G$289,'Comp2016-2017 (3)'!$A$5:$A$289,$D1455,'Comp2016-2017 (3)'!$R$5:$R$289,$V1455)*$AB1455))</f>
        <v>0</v>
      </c>
      <c r="AK1455" s="222">
        <f t="shared" si="170"/>
        <v>0</v>
      </c>
      <c r="AL1455" s="212" t="str">
        <f t="shared" si="171"/>
        <v/>
      </c>
      <c r="AM1455" s="212" t="str">
        <f>VLOOKUP(A1455,'Table corresp.'!$M$4:$U$63,8,FALSE)</f>
        <v>Importation</v>
      </c>
      <c r="AN1455" s="212" t="str">
        <f>VLOOKUP(D1455,'Table corresp.'!$M$4:$U$63,9,FALSE)</f>
        <v>Production intermédiaire</v>
      </c>
    </row>
    <row r="1456" spans="1:40" x14ac:dyDescent="0.25">
      <c r="A1456" t="s">
        <v>52</v>
      </c>
      <c r="B1456" t="str">
        <f>VLOOKUP(LEFT(A1456,3),'Table corresp.'!$A$4:$D$63,3,FALSE)</f>
        <v>Importation</v>
      </c>
      <c r="C1456" t="str">
        <f>VLOOKUP(A1456,'Table corresp.'!$M$4:$P$63,4,FALSE)</f>
        <v>Importation</v>
      </c>
      <c r="D1456" t="s">
        <v>2</v>
      </c>
      <c r="E1456" t="str">
        <f>VLOOKUP(LEFT(D1456,3),'Table corresp.'!$A$4:$D$63,4,FALSE)</f>
        <v>Transformation</v>
      </c>
      <c r="F1456" t="str">
        <f t="shared" si="172"/>
        <v xml:space="preserve">Imp - 04 </v>
      </c>
      <c r="G1456" s="213">
        <v>0</v>
      </c>
      <c r="H1456" s="213">
        <v>15056.373999999998</v>
      </c>
      <c r="I1456" s="213">
        <v>15056.373999999998</v>
      </c>
      <c r="J1456" s="215"/>
      <c r="K1456" s="215"/>
      <c r="L1456" s="215"/>
      <c r="M1456" s="215"/>
      <c r="N1456" s="215"/>
      <c r="O1456" s="215"/>
      <c r="P1456" s="215">
        <v>0</v>
      </c>
      <c r="Q1456" s="215">
        <v>126.19270099999997</v>
      </c>
      <c r="R1456" s="215">
        <v>126.19270099999997</v>
      </c>
      <c r="S1456" s="213" t="s">
        <v>198</v>
      </c>
      <c r="T1456" s="212">
        <f>VLOOKUP(A1456,'Groupe de branches'!$Z$27:$AM$86,14,FALSE)</f>
        <v>0</v>
      </c>
      <c r="U1456" s="212">
        <f>VLOOKUP(D1456,'Groupe de branches'!$Z$27:$AM$86,14,FALSE)</f>
        <v>0</v>
      </c>
      <c r="V1456" s="212">
        <v>2019</v>
      </c>
      <c r="W1456" s="212" t="str">
        <f>VLOOKUP(D1456,'Table corresp.'!$M$4:$S$63,7,FALSE)</f>
        <v>Energie</v>
      </c>
      <c r="X1456" s="228">
        <f>IFERROR(G1456/SUMIFS('Comp2016-2017 (3)'!$I$5:$I$289,'Comp2016-2017 (3)'!$A$5:$A$289,A1456,'Comp2016-2017 (3)'!$R$5:$R$289,V1456),0)</f>
        <v>0</v>
      </c>
      <c r="Y1456" s="214">
        <f>IFERROR(IF(RIGHT(F1456,3)="Exp",VLOOKUP(F1456,#REF!,2,FALSE),VLOOKUP(F1456,#REF!,9,FALSE)),0)</f>
        <v>0</v>
      </c>
      <c r="Z1456" s="225">
        <f t="shared" si="168"/>
        <v>0</v>
      </c>
      <c r="AA1456" s="225">
        <f t="shared" si="169"/>
        <v>0</v>
      </c>
      <c r="AB1456" s="222">
        <f>IFERROR(SUMIFS('Comp2016-2017 (3)'!$G$5:$G$289,'Comp2016-2017 (3)'!$A$5:$A$289,A1456,'Comp2016-2017 (3)'!$R$5:$R$289,V1456)*AA1456/SUMIFS($AA$4:$AA$1858,$A$4:$A$1858,A1456,$V$4:$V$1858,V1456),0)</f>
        <v>0</v>
      </c>
      <c r="AC1456" s="222" t="str">
        <f>IF($W1456=AC$3,$AB1456,IF(NOT($W1456=0),"",SUMIFS('Val-Vol (2)'!AC$4:AC$1858,'Val-Vol (2)'!$A$4:$A$1858,$D1456,'Val-Vol (2)'!$V$4:$V$1858,$V1456)/SUMIFS('Comp2016-2017 (3)'!$G$5:$G$289,'Comp2016-2017 (3)'!$A$5:$A$289,$D1456,'Comp2016-2017 (3)'!$R$5:$R$289,$V1456)*$AB1456))</f>
        <v/>
      </c>
      <c r="AD1456" s="222" t="str">
        <f>IF($W1456=AD$3,$AB1456,IF(NOT($W1456=0),"",SUMIFS('Val-Vol (2)'!AD$4:AD$1858,'Val-Vol (2)'!$A$4:$A$1858,$D1456,'Val-Vol (2)'!$V$4:$V$1858,$V1456)/SUMIFS('Comp2016-2017 (3)'!$G$5:$G$289,'Comp2016-2017 (3)'!$A$5:$A$289,$D1456,'Comp2016-2017 (3)'!$R$5:$R$289,$V1456)*$AB1456))</f>
        <v/>
      </c>
      <c r="AE1456" s="222" t="str">
        <f>IF($W1456=AE$3,$AB1456,IF(NOT($W1456=0),"",SUMIFS('Val-Vol (2)'!AE$4:AE$1858,'Val-Vol (2)'!$A$4:$A$1858,$D1456,'Val-Vol (2)'!$V$4:$V$1858,$V1456)/SUMIFS('Comp2016-2017 (3)'!$G$5:$G$289,'Comp2016-2017 (3)'!$A$5:$A$289,$D1456,'Comp2016-2017 (3)'!$R$5:$R$289,$V1456)*$AB1456))</f>
        <v/>
      </c>
      <c r="AF1456" s="222" t="str">
        <f>IF($W1456=AF$3,$AB1456,IF(NOT($W1456=0),"",SUMIFS('Val-Vol (2)'!AF$4:AF$1858,'Val-Vol (2)'!$A$4:$A$1858,$D1456,'Val-Vol (2)'!$V$4:$V$1858,$V1456)/SUMIFS('Comp2016-2017 (3)'!$G$5:$G$289,'Comp2016-2017 (3)'!$A$5:$A$289,$D1456,'Comp2016-2017 (3)'!$R$5:$R$289,$V1456)*$AB1456))</f>
        <v/>
      </c>
      <c r="AG1456" s="222" t="str">
        <f>IF($W1456=AG$3,$AB1456,IF(NOT($W1456=0),"",SUMIFS('Val-Vol (2)'!AG$4:AG$1858,'Val-Vol (2)'!$A$4:$A$1858,$D1456,'Val-Vol (2)'!$V$4:$V$1858,$V1456)/SUMIFS('Comp2016-2017 (3)'!$G$5:$G$289,'Comp2016-2017 (3)'!$A$5:$A$289,$D1456,'Comp2016-2017 (3)'!$R$5:$R$289,$V1456)*$AB1456))</f>
        <v/>
      </c>
      <c r="AH1456" s="222">
        <f>IF($W1456=AH$3,$AB1456,IF(NOT($W1456=0),"",SUMIFS('Val-Vol (2)'!AH$4:AH$1858,'Val-Vol (2)'!$A$4:$A$1858,$D1456,'Val-Vol (2)'!$V$4:$V$1858,$V1456)/SUMIFS('Comp2016-2017 (3)'!$G$5:$G$289,'Comp2016-2017 (3)'!$A$5:$A$289,$D1456,'Comp2016-2017 (3)'!$R$5:$R$289,$V1456)*$AB1456))</f>
        <v>0</v>
      </c>
      <c r="AI1456" s="222" t="str">
        <f>IF($W1456=AI$3,$AB1456,IF(NOT($W1456=0),"",SUMIFS('Val-Vol (2)'!AI$4:AI$1858,'Val-Vol (2)'!$A$4:$A$1858,$D1456,'Val-Vol (2)'!$V$4:$V$1858,$V1456)/SUMIFS('Comp2016-2017 (3)'!$G$5:$G$289,'Comp2016-2017 (3)'!$A$5:$A$289,$D1456,'Comp2016-2017 (3)'!$R$5:$R$289,$V1456)*$AB1456))</f>
        <v/>
      </c>
      <c r="AJ1456" s="222" t="str">
        <f>IF($W1456=AJ$3,$AB1456,IF(NOT($W1456=0),"",SUMIFS('Val-Vol (2)'!AJ$4:AJ$1858,'Val-Vol (2)'!$A$4:$A$1858,$D1456,'Val-Vol (2)'!$V$4:$V$1858,$V1456)/SUMIFS('Comp2016-2017 (3)'!$G$5:$G$289,'Comp2016-2017 (3)'!$A$5:$A$289,$D1456,'Comp2016-2017 (3)'!$R$5:$R$289,$V1456)*$AB1456))</f>
        <v/>
      </c>
      <c r="AK1456" s="222">
        <f t="shared" si="170"/>
        <v>0</v>
      </c>
      <c r="AL1456" s="212" t="str">
        <f t="shared" si="171"/>
        <v/>
      </c>
      <c r="AM1456" s="212" t="str">
        <f>VLOOKUP(A1456,'Table corresp.'!$M$4:$U$63,8,FALSE)</f>
        <v>Importation</v>
      </c>
      <c r="AN1456" s="212" t="str">
        <f>VLOOKUP(D1456,'Table corresp.'!$M$4:$U$63,9,FALSE)</f>
        <v>Production intermédiaire</v>
      </c>
    </row>
    <row r="1457" spans="1:40" x14ac:dyDescent="0.25">
      <c r="A1457" t="s">
        <v>52</v>
      </c>
      <c r="B1457" t="str">
        <f>VLOOKUP(LEFT(A1457,3),'Table corresp.'!$A$4:$D$63,3,FALSE)</f>
        <v>Importation</v>
      </c>
      <c r="C1457" t="str">
        <f>VLOOKUP(A1457,'Table corresp.'!$M$4:$P$63,4,FALSE)</f>
        <v>Importation</v>
      </c>
      <c r="D1457" t="s">
        <v>59</v>
      </c>
      <c r="E1457" t="str">
        <f>VLOOKUP(LEFT(D1457,3),'Table corresp.'!$A$4:$D$63,4,FALSE)</f>
        <v>Transformation</v>
      </c>
      <c r="F1457" t="str">
        <f t="shared" si="172"/>
        <v xml:space="preserve">Imp - 07 </v>
      </c>
      <c r="G1457" s="213"/>
      <c r="H1457" s="213"/>
      <c r="I1457" s="213"/>
      <c r="J1457" s="215"/>
      <c r="K1457" s="215"/>
      <c r="L1457" s="215"/>
      <c r="M1457" s="215"/>
      <c r="N1457" s="215"/>
      <c r="O1457" s="215"/>
      <c r="P1457" s="215"/>
      <c r="Q1457" s="215"/>
      <c r="R1457" s="215"/>
      <c r="S1457" s="213"/>
      <c r="T1457" s="212">
        <f>VLOOKUP(A1457,'Groupe de branches'!$Z$27:$AM$86,14,FALSE)</f>
        <v>0</v>
      </c>
      <c r="U1457" s="212">
        <f>VLOOKUP(D1457,'Groupe de branches'!$Z$27:$AM$86,14,FALSE)</f>
        <v>0</v>
      </c>
      <c r="V1457" s="212">
        <v>2019</v>
      </c>
      <c r="W1457" s="212" t="str">
        <f>VLOOKUP(D1457,'Table corresp.'!$M$4:$S$63,7,FALSE)</f>
        <v>Produits de consommation courante</v>
      </c>
      <c r="X1457" s="228">
        <f>IFERROR(G1457/SUMIFS('Comp2016-2017 (3)'!$I$5:$I$289,'Comp2016-2017 (3)'!$A$5:$A$289,A1457,'Comp2016-2017 (3)'!$R$5:$R$289,V1457),0)</f>
        <v>0</v>
      </c>
      <c r="Y1457" s="214">
        <f>IFERROR(IF(RIGHT(F1457,3)="Exp",VLOOKUP(F1457,#REF!,2,FALSE),VLOOKUP(F1457,#REF!,9,FALSE)),0)</f>
        <v>0</v>
      </c>
      <c r="Z1457" s="225">
        <f t="shared" si="168"/>
        <v>0</v>
      </c>
      <c r="AA1457" s="225">
        <f t="shared" si="169"/>
        <v>0</v>
      </c>
      <c r="AB1457" s="222">
        <f>IFERROR(SUMIFS('Comp2016-2017 (3)'!$G$5:$G$289,'Comp2016-2017 (3)'!$A$5:$A$289,A1457,'Comp2016-2017 (3)'!$R$5:$R$289,V1457)*AA1457/SUMIFS($AA$4:$AA$1858,$A$4:$A$1858,A1457,$V$4:$V$1858,V1457),0)</f>
        <v>0</v>
      </c>
      <c r="AC1457" s="222" t="str">
        <f>IF($W1457=AC$3,$AB1457,IF(NOT($W1457=0),"",SUMIFS('Val-Vol (2)'!AC$4:AC$1858,'Val-Vol (2)'!$A$4:$A$1858,$D1457,'Val-Vol (2)'!$V$4:$V$1858,$V1457)/SUMIFS('Comp2016-2017 (3)'!$G$5:$G$289,'Comp2016-2017 (3)'!$A$5:$A$289,$D1457,'Comp2016-2017 (3)'!$R$5:$R$289,$V1457)*$AB1457))</f>
        <v/>
      </c>
      <c r="AD1457" s="222" t="str">
        <f>IF($W1457=AD$3,$AB1457,IF(NOT($W1457=0),"",SUMIFS('Val-Vol (2)'!AD$4:AD$1858,'Val-Vol (2)'!$A$4:$A$1858,$D1457,'Val-Vol (2)'!$V$4:$V$1858,$V1457)/SUMIFS('Comp2016-2017 (3)'!$G$5:$G$289,'Comp2016-2017 (3)'!$A$5:$A$289,$D1457,'Comp2016-2017 (3)'!$R$5:$R$289,$V1457)*$AB1457))</f>
        <v/>
      </c>
      <c r="AE1457" s="222" t="str">
        <f>IF($W1457=AE$3,$AB1457,IF(NOT($W1457=0),"",SUMIFS('Val-Vol (2)'!AE$4:AE$1858,'Val-Vol (2)'!$A$4:$A$1858,$D1457,'Val-Vol (2)'!$V$4:$V$1858,$V1457)/SUMIFS('Comp2016-2017 (3)'!$G$5:$G$289,'Comp2016-2017 (3)'!$A$5:$A$289,$D1457,'Comp2016-2017 (3)'!$R$5:$R$289,$V1457)*$AB1457))</f>
        <v/>
      </c>
      <c r="AF1457" s="222" t="str">
        <f>IF($W1457=AF$3,$AB1457,IF(NOT($W1457=0),"",SUMIFS('Val-Vol (2)'!AF$4:AF$1858,'Val-Vol (2)'!$A$4:$A$1858,$D1457,'Val-Vol (2)'!$V$4:$V$1858,$V1457)/SUMIFS('Comp2016-2017 (3)'!$G$5:$G$289,'Comp2016-2017 (3)'!$A$5:$A$289,$D1457,'Comp2016-2017 (3)'!$R$5:$R$289,$V1457)*$AB1457))</f>
        <v/>
      </c>
      <c r="AG1457" s="222" t="str">
        <f>IF($W1457=AG$3,$AB1457,IF(NOT($W1457=0),"",SUMIFS('Val-Vol (2)'!AG$4:AG$1858,'Val-Vol (2)'!$A$4:$A$1858,$D1457,'Val-Vol (2)'!$V$4:$V$1858,$V1457)/SUMIFS('Comp2016-2017 (3)'!$G$5:$G$289,'Comp2016-2017 (3)'!$A$5:$A$289,$D1457,'Comp2016-2017 (3)'!$R$5:$R$289,$V1457)*$AB1457))</f>
        <v/>
      </c>
      <c r="AH1457" s="222" t="str">
        <f>IF($W1457=AH$3,$AB1457,IF(NOT($W1457=0),"",SUMIFS('Val-Vol (2)'!AH$4:AH$1858,'Val-Vol (2)'!$A$4:$A$1858,$D1457,'Val-Vol (2)'!$V$4:$V$1858,$V1457)/SUMIFS('Comp2016-2017 (3)'!$G$5:$G$289,'Comp2016-2017 (3)'!$A$5:$A$289,$D1457,'Comp2016-2017 (3)'!$R$5:$R$289,$V1457)*$AB1457))</f>
        <v/>
      </c>
      <c r="AI1457" s="222">
        <f>IF($W1457=AI$3,$AB1457,IF(NOT($W1457=0),"",SUMIFS('Val-Vol (2)'!AI$4:AI$1858,'Val-Vol (2)'!$A$4:$A$1858,$D1457,'Val-Vol (2)'!$V$4:$V$1858,$V1457)/SUMIFS('Comp2016-2017 (3)'!$G$5:$G$289,'Comp2016-2017 (3)'!$A$5:$A$289,$D1457,'Comp2016-2017 (3)'!$R$5:$R$289,$V1457)*$AB1457))</f>
        <v>0</v>
      </c>
      <c r="AJ1457" s="222" t="str">
        <f>IF($W1457=AJ$3,$AB1457,IF(NOT($W1457=0),"",SUMIFS('Val-Vol (2)'!AJ$4:AJ$1858,'Val-Vol (2)'!$A$4:$A$1858,$D1457,'Val-Vol (2)'!$V$4:$V$1858,$V1457)/SUMIFS('Comp2016-2017 (3)'!$G$5:$G$289,'Comp2016-2017 (3)'!$A$5:$A$289,$D1457,'Comp2016-2017 (3)'!$R$5:$R$289,$V1457)*$AB1457))</f>
        <v/>
      </c>
      <c r="AK1457" s="222">
        <f t="shared" si="170"/>
        <v>0</v>
      </c>
      <c r="AL1457" s="212" t="str">
        <f t="shared" si="171"/>
        <v/>
      </c>
      <c r="AM1457" s="212" t="str">
        <f>VLOOKUP(A1457,'Table corresp.'!$M$4:$U$63,8,FALSE)</f>
        <v>Importation</v>
      </c>
      <c r="AN1457" s="212" t="str">
        <f>VLOOKUP(D1457,'Table corresp.'!$M$4:$U$63,9,FALSE)</f>
        <v>Production intermédiaire</v>
      </c>
    </row>
    <row r="1458" spans="1:40" x14ac:dyDescent="0.25">
      <c r="A1458" t="s">
        <v>52</v>
      </c>
      <c r="B1458" t="str">
        <f>VLOOKUP(LEFT(A1458,3),'Table corresp.'!$A$4:$D$63,3,FALSE)</f>
        <v>Importation</v>
      </c>
      <c r="C1458" t="str">
        <f>VLOOKUP(A1458,'Table corresp.'!$M$4:$P$63,4,FALSE)</f>
        <v>Importation</v>
      </c>
      <c r="D1458" t="s">
        <v>4</v>
      </c>
      <c r="E1458" t="str">
        <f>VLOOKUP(LEFT(D1458,3),'Table corresp.'!$A$4:$D$63,4,FALSE)</f>
        <v>Transformation</v>
      </c>
      <c r="F1458" t="str">
        <f t="shared" si="172"/>
        <v xml:space="preserve">Imp - 08 </v>
      </c>
      <c r="G1458" s="213">
        <v>0</v>
      </c>
      <c r="H1458" s="213">
        <v>36331.406000000003</v>
      </c>
      <c r="I1458" s="213">
        <v>36331.406000000003</v>
      </c>
      <c r="J1458" s="215">
        <v>0</v>
      </c>
      <c r="K1458" s="215">
        <v>83.044044340745941</v>
      </c>
      <c r="L1458" s="215">
        <v>83.044044340745941</v>
      </c>
      <c r="M1458" s="215"/>
      <c r="N1458" s="215"/>
      <c r="O1458" s="215"/>
      <c r="P1458" s="215"/>
      <c r="Q1458" s="215"/>
      <c r="R1458" s="215"/>
      <c r="S1458" s="213"/>
      <c r="T1458" s="212">
        <f>VLOOKUP(A1458,'Groupe de branches'!$Z$27:$AM$86,14,FALSE)</f>
        <v>0</v>
      </c>
      <c r="U1458" s="212">
        <f>VLOOKUP(D1458,'Groupe de branches'!$Z$27:$AM$86,14,FALSE)</f>
        <v>0</v>
      </c>
      <c r="V1458" s="212">
        <v>2019</v>
      </c>
      <c r="W1458" s="212">
        <f>VLOOKUP(D1458,'Table corresp.'!$M$4:$S$63,7,FALSE)</f>
        <v>0</v>
      </c>
      <c r="X1458" s="228">
        <f>IFERROR(G1458/SUMIFS('Comp2016-2017 (3)'!$I$5:$I$289,'Comp2016-2017 (3)'!$A$5:$A$289,A1458,'Comp2016-2017 (3)'!$R$5:$R$289,V1458),0)</f>
        <v>0</v>
      </c>
      <c r="Y1458" s="214">
        <f>IFERROR(IF(RIGHT(F1458,3)="Exp",VLOOKUP(F1458,#REF!,2,FALSE),VLOOKUP(F1458,#REF!,9,FALSE)),0)</f>
        <v>0</v>
      </c>
      <c r="Z1458" s="225">
        <f t="shared" si="168"/>
        <v>0</v>
      </c>
      <c r="AA1458" s="225">
        <f t="shared" si="169"/>
        <v>0</v>
      </c>
      <c r="AB1458" s="222">
        <f>IFERROR(SUMIFS('Comp2016-2017 (3)'!$G$5:$G$289,'Comp2016-2017 (3)'!$A$5:$A$289,A1458,'Comp2016-2017 (3)'!$R$5:$R$289,V1458)*AA1458/SUMIFS($AA$4:$AA$1858,$A$4:$A$1858,A1458,$V$4:$V$1858,V1458),0)</f>
        <v>0</v>
      </c>
      <c r="AC1458" s="222">
        <f>IF($W1458=AC$3,$AB1458,IF(NOT($W1458=0),"",SUMIFS('Val-Vol (2)'!AC$4:AC$1858,'Val-Vol (2)'!$A$4:$A$1858,$D1458,'Val-Vol (2)'!$V$4:$V$1858,$V1458)/SUMIFS('Comp2016-2017 (3)'!$G$5:$G$289,'Comp2016-2017 (3)'!$A$5:$A$289,$D1458,'Comp2016-2017 (3)'!$R$5:$R$289,$V1458)*$AB1458))</f>
        <v>0</v>
      </c>
      <c r="AD1458" s="222">
        <f>IF($W1458=AD$3,$AB1458,IF(NOT($W1458=0),"",SUMIFS('Val-Vol (2)'!AD$4:AD$1858,'Val-Vol (2)'!$A$4:$A$1858,$D1458,'Val-Vol (2)'!$V$4:$V$1858,$V1458)/SUMIFS('Comp2016-2017 (3)'!$G$5:$G$289,'Comp2016-2017 (3)'!$A$5:$A$289,$D1458,'Comp2016-2017 (3)'!$R$5:$R$289,$V1458)*$AB1458))</f>
        <v>0</v>
      </c>
      <c r="AE1458" s="222">
        <f>IF($W1458=AE$3,$AB1458,IF(NOT($W1458=0),"",SUMIFS('Val-Vol (2)'!AE$4:AE$1858,'Val-Vol (2)'!$A$4:$A$1858,$D1458,'Val-Vol (2)'!$V$4:$V$1858,$V1458)/SUMIFS('Comp2016-2017 (3)'!$G$5:$G$289,'Comp2016-2017 (3)'!$A$5:$A$289,$D1458,'Comp2016-2017 (3)'!$R$5:$R$289,$V1458)*$AB1458))</f>
        <v>0</v>
      </c>
      <c r="AF1458" s="222">
        <f>IF($W1458=AF$3,$AB1458,IF(NOT($W1458=0),"",SUMIFS('Val-Vol (2)'!AF$4:AF$1858,'Val-Vol (2)'!$A$4:$A$1858,$D1458,'Val-Vol (2)'!$V$4:$V$1858,$V1458)/SUMIFS('Comp2016-2017 (3)'!$G$5:$G$289,'Comp2016-2017 (3)'!$A$5:$A$289,$D1458,'Comp2016-2017 (3)'!$R$5:$R$289,$V1458)*$AB1458))</f>
        <v>0</v>
      </c>
      <c r="AG1458" s="222">
        <f>IF($W1458=AG$3,$AB1458,IF(NOT($W1458=0),"",SUMIFS('Val-Vol (2)'!AG$4:AG$1858,'Val-Vol (2)'!$A$4:$A$1858,$D1458,'Val-Vol (2)'!$V$4:$V$1858,$V1458)/SUMIFS('Comp2016-2017 (3)'!$G$5:$G$289,'Comp2016-2017 (3)'!$A$5:$A$289,$D1458,'Comp2016-2017 (3)'!$R$5:$R$289,$V1458)*$AB1458))</f>
        <v>0</v>
      </c>
      <c r="AH1458" s="222">
        <f>IF($W1458=AH$3,$AB1458,IF(NOT($W1458=0),"",SUMIFS('Val-Vol (2)'!AH$4:AH$1858,'Val-Vol (2)'!$A$4:$A$1858,$D1458,'Val-Vol (2)'!$V$4:$V$1858,$V1458)/SUMIFS('Comp2016-2017 (3)'!$G$5:$G$289,'Comp2016-2017 (3)'!$A$5:$A$289,$D1458,'Comp2016-2017 (3)'!$R$5:$R$289,$V1458)*$AB1458))</f>
        <v>0</v>
      </c>
      <c r="AI1458" s="222">
        <f>IF($W1458=AI$3,$AB1458,IF(NOT($W1458=0),"",SUMIFS('Val-Vol (2)'!AI$4:AI$1858,'Val-Vol (2)'!$A$4:$A$1858,$D1458,'Val-Vol (2)'!$V$4:$V$1858,$V1458)/SUMIFS('Comp2016-2017 (3)'!$G$5:$G$289,'Comp2016-2017 (3)'!$A$5:$A$289,$D1458,'Comp2016-2017 (3)'!$R$5:$R$289,$V1458)*$AB1458))</f>
        <v>0</v>
      </c>
      <c r="AJ1458" s="222">
        <f>IF($W1458=AJ$3,$AB1458,IF(NOT($W1458=0),"",SUMIFS('Val-Vol (2)'!AJ$4:AJ$1858,'Val-Vol (2)'!$A$4:$A$1858,$D1458,'Val-Vol (2)'!$V$4:$V$1858,$V1458)/SUMIFS('Comp2016-2017 (3)'!$G$5:$G$289,'Comp2016-2017 (3)'!$A$5:$A$289,$D1458,'Comp2016-2017 (3)'!$R$5:$R$289,$V1458)*$AB1458))</f>
        <v>0</v>
      </c>
      <c r="AK1458" s="222">
        <f t="shared" si="170"/>
        <v>0</v>
      </c>
      <c r="AL1458" s="212" t="str">
        <f t="shared" si="171"/>
        <v/>
      </c>
      <c r="AM1458" s="212" t="str">
        <f>VLOOKUP(A1458,'Table corresp.'!$M$4:$U$63,8,FALSE)</f>
        <v>Importation</v>
      </c>
      <c r="AN1458" s="212" t="str">
        <f>VLOOKUP(D1458,'Table corresp.'!$M$4:$U$63,9,FALSE)</f>
        <v>Production intermédiaire</v>
      </c>
    </row>
    <row r="1459" spans="1:40" x14ac:dyDescent="0.25">
      <c r="A1459" t="s">
        <v>52</v>
      </c>
      <c r="B1459" t="str">
        <f>VLOOKUP(LEFT(A1459,3),'Table corresp.'!$A$4:$D$63,3,FALSE)</f>
        <v>Importation</v>
      </c>
      <c r="C1459" t="str">
        <f>VLOOKUP(A1459,'Table corresp.'!$M$4:$P$63,4,FALSE)</f>
        <v>Importation</v>
      </c>
      <c r="D1459" t="s">
        <v>5</v>
      </c>
      <c r="E1459" t="str">
        <f>VLOOKUP(LEFT(D1459,3),'Table corresp.'!$A$4:$D$63,4,FALSE)</f>
        <v>Transformation</v>
      </c>
      <c r="F1459" t="str">
        <f t="shared" si="172"/>
        <v xml:space="preserve">Imp - 09 </v>
      </c>
      <c r="G1459" s="213">
        <v>0</v>
      </c>
      <c r="H1459" s="213">
        <v>23454.205000000016</v>
      </c>
      <c r="I1459" s="213">
        <v>23454.205000000016</v>
      </c>
      <c r="J1459" s="215">
        <v>0</v>
      </c>
      <c r="K1459" s="215">
        <v>83.862197967392333</v>
      </c>
      <c r="L1459" s="215">
        <v>83.862197967392333</v>
      </c>
      <c r="M1459" s="215"/>
      <c r="N1459" s="215"/>
      <c r="O1459" s="215"/>
      <c r="P1459" s="215"/>
      <c r="Q1459" s="215"/>
      <c r="R1459" s="215"/>
      <c r="S1459" s="213"/>
      <c r="T1459" s="212">
        <f>VLOOKUP(A1459,'Groupe de branches'!$Z$27:$AM$86,14,FALSE)</f>
        <v>0</v>
      </c>
      <c r="U1459" s="212">
        <f>VLOOKUP(D1459,'Groupe de branches'!$Z$27:$AM$86,14,FALSE)</f>
        <v>0</v>
      </c>
      <c r="V1459" s="212">
        <v>2019</v>
      </c>
      <c r="W1459" s="212">
        <f>VLOOKUP(D1459,'Table corresp.'!$M$4:$S$63,7,FALSE)</f>
        <v>0</v>
      </c>
      <c r="X1459" s="228">
        <f>IFERROR(G1459/SUMIFS('Comp2016-2017 (3)'!$I$5:$I$289,'Comp2016-2017 (3)'!$A$5:$A$289,A1459,'Comp2016-2017 (3)'!$R$5:$R$289,V1459),0)</f>
        <v>0</v>
      </c>
      <c r="Y1459" s="214">
        <f>IFERROR(IF(RIGHT(F1459,3)="Exp",VLOOKUP(F1459,#REF!,2,FALSE),VLOOKUP(F1459,#REF!,9,FALSE)),0)</f>
        <v>0</v>
      </c>
      <c r="Z1459" s="225">
        <f t="shared" si="168"/>
        <v>0</v>
      </c>
      <c r="AA1459" s="225">
        <f t="shared" si="169"/>
        <v>0</v>
      </c>
      <c r="AB1459" s="222">
        <f>IFERROR(SUMIFS('Comp2016-2017 (3)'!$G$5:$G$289,'Comp2016-2017 (3)'!$A$5:$A$289,A1459,'Comp2016-2017 (3)'!$R$5:$R$289,V1459)*AA1459/SUMIFS($AA$4:$AA$1858,$A$4:$A$1858,A1459,$V$4:$V$1858,V1459),0)</f>
        <v>0</v>
      </c>
      <c r="AC1459" s="222">
        <f>IF($W1459=AC$3,$AB1459,IF(NOT($W1459=0),"",SUMIFS('Val-Vol (2)'!AC$4:AC$1858,'Val-Vol (2)'!$A$4:$A$1858,$D1459,'Val-Vol (2)'!$V$4:$V$1858,$V1459)/SUMIFS('Comp2016-2017 (3)'!$G$5:$G$289,'Comp2016-2017 (3)'!$A$5:$A$289,$D1459,'Comp2016-2017 (3)'!$R$5:$R$289,$V1459)*$AB1459))</f>
        <v>0</v>
      </c>
      <c r="AD1459" s="222">
        <f>IF($W1459=AD$3,$AB1459,IF(NOT($W1459=0),"",SUMIFS('Val-Vol (2)'!AD$4:AD$1858,'Val-Vol (2)'!$A$4:$A$1858,$D1459,'Val-Vol (2)'!$V$4:$V$1858,$V1459)/SUMIFS('Comp2016-2017 (3)'!$G$5:$G$289,'Comp2016-2017 (3)'!$A$5:$A$289,$D1459,'Comp2016-2017 (3)'!$R$5:$R$289,$V1459)*$AB1459))</f>
        <v>0</v>
      </c>
      <c r="AE1459" s="222">
        <f>IF($W1459=AE$3,$AB1459,IF(NOT($W1459=0),"",SUMIFS('Val-Vol (2)'!AE$4:AE$1858,'Val-Vol (2)'!$A$4:$A$1858,$D1459,'Val-Vol (2)'!$V$4:$V$1858,$V1459)/SUMIFS('Comp2016-2017 (3)'!$G$5:$G$289,'Comp2016-2017 (3)'!$A$5:$A$289,$D1459,'Comp2016-2017 (3)'!$R$5:$R$289,$V1459)*$AB1459))</f>
        <v>0</v>
      </c>
      <c r="AF1459" s="222">
        <f>IF($W1459=AF$3,$AB1459,IF(NOT($W1459=0),"",SUMIFS('Val-Vol (2)'!AF$4:AF$1858,'Val-Vol (2)'!$A$4:$A$1858,$D1459,'Val-Vol (2)'!$V$4:$V$1858,$V1459)/SUMIFS('Comp2016-2017 (3)'!$G$5:$G$289,'Comp2016-2017 (3)'!$A$5:$A$289,$D1459,'Comp2016-2017 (3)'!$R$5:$R$289,$V1459)*$AB1459))</f>
        <v>0</v>
      </c>
      <c r="AG1459" s="222">
        <f>IF($W1459=AG$3,$AB1459,IF(NOT($W1459=0),"",SUMIFS('Val-Vol (2)'!AG$4:AG$1858,'Val-Vol (2)'!$A$4:$A$1858,$D1459,'Val-Vol (2)'!$V$4:$V$1858,$V1459)/SUMIFS('Comp2016-2017 (3)'!$G$5:$G$289,'Comp2016-2017 (3)'!$A$5:$A$289,$D1459,'Comp2016-2017 (3)'!$R$5:$R$289,$V1459)*$AB1459))</f>
        <v>0</v>
      </c>
      <c r="AH1459" s="222">
        <f>IF($W1459=AH$3,$AB1459,IF(NOT($W1459=0),"",SUMIFS('Val-Vol (2)'!AH$4:AH$1858,'Val-Vol (2)'!$A$4:$A$1858,$D1459,'Val-Vol (2)'!$V$4:$V$1858,$V1459)/SUMIFS('Comp2016-2017 (3)'!$G$5:$G$289,'Comp2016-2017 (3)'!$A$5:$A$289,$D1459,'Comp2016-2017 (3)'!$R$5:$R$289,$V1459)*$AB1459))</f>
        <v>0</v>
      </c>
      <c r="AI1459" s="222">
        <f>IF($W1459=AI$3,$AB1459,IF(NOT($W1459=0),"",SUMIFS('Val-Vol (2)'!AI$4:AI$1858,'Val-Vol (2)'!$A$4:$A$1858,$D1459,'Val-Vol (2)'!$V$4:$V$1858,$V1459)/SUMIFS('Comp2016-2017 (3)'!$G$5:$G$289,'Comp2016-2017 (3)'!$A$5:$A$289,$D1459,'Comp2016-2017 (3)'!$R$5:$R$289,$V1459)*$AB1459))</f>
        <v>0</v>
      </c>
      <c r="AJ1459" s="222">
        <f>IF($W1459=AJ$3,$AB1459,IF(NOT($W1459=0),"",SUMIFS('Val-Vol (2)'!AJ$4:AJ$1858,'Val-Vol (2)'!$A$4:$A$1858,$D1459,'Val-Vol (2)'!$V$4:$V$1858,$V1459)/SUMIFS('Comp2016-2017 (3)'!$G$5:$G$289,'Comp2016-2017 (3)'!$A$5:$A$289,$D1459,'Comp2016-2017 (3)'!$R$5:$R$289,$V1459)*$AB1459))</f>
        <v>0</v>
      </c>
      <c r="AK1459" s="222">
        <f t="shared" si="170"/>
        <v>0</v>
      </c>
      <c r="AL1459" s="212" t="str">
        <f t="shared" si="171"/>
        <v/>
      </c>
      <c r="AM1459" s="212" t="str">
        <f>VLOOKUP(A1459,'Table corresp.'!$M$4:$U$63,8,FALSE)</f>
        <v>Importation</v>
      </c>
      <c r="AN1459" s="212" t="str">
        <f>VLOOKUP(D1459,'Table corresp.'!$M$4:$U$63,9,FALSE)</f>
        <v>Production intermédiaire</v>
      </c>
    </row>
    <row r="1460" spans="1:40" x14ac:dyDescent="0.25">
      <c r="A1460" t="s">
        <v>52</v>
      </c>
      <c r="B1460" t="str">
        <f>VLOOKUP(LEFT(A1460,3),'Table corresp.'!$A$4:$D$63,3,FALSE)</f>
        <v>Importation</v>
      </c>
      <c r="C1460" t="str">
        <f>VLOOKUP(A1460,'Table corresp.'!$M$4:$P$63,4,FALSE)</f>
        <v>Importation</v>
      </c>
      <c r="D1460" t="s">
        <v>82</v>
      </c>
      <c r="E1460" t="str">
        <f>VLOOKUP(LEFT(D1460,3),'Table corresp.'!$A$4:$D$63,4,FALSE)</f>
        <v>Transformation</v>
      </c>
      <c r="F1460" t="str">
        <f t="shared" si="172"/>
        <v xml:space="preserve">Imp - 10 </v>
      </c>
      <c r="G1460" s="213">
        <v>0</v>
      </c>
      <c r="H1460" s="213">
        <v>10896.133999999998</v>
      </c>
      <c r="I1460" s="213">
        <v>10896.133999999998</v>
      </c>
      <c r="J1460" s="215">
        <v>0</v>
      </c>
      <c r="K1460" s="215">
        <v>39.795262932397733</v>
      </c>
      <c r="L1460" s="215">
        <v>39.795262932397733</v>
      </c>
      <c r="M1460" s="215"/>
      <c r="N1460" s="215"/>
      <c r="O1460" s="215"/>
      <c r="P1460" s="215"/>
      <c r="Q1460" s="215"/>
      <c r="R1460" s="215"/>
      <c r="S1460" s="213"/>
      <c r="T1460" s="212">
        <f>VLOOKUP(A1460,'Groupe de branches'!$Z$27:$AM$86,14,FALSE)</f>
        <v>0</v>
      </c>
      <c r="U1460" s="212">
        <f>VLOOKUP(D1460,'Groupe de branches'!$Z$27:$AM$86,14,FALSE)</f>
        <v>0</v>
      </c>
      <c r="V1460" s="212">
        <v>2019</v>
      </c>
      <c r="W1460" s="212">
        <f>VLOOKUP(D1460,'Table corresp.'!$M$4:$S$63,7,FALSE)</f>
        <v>0</v>
      </c>
      <c r="X1460" s="228">
        <f>IFERROR(G1460/SUMIFS('Comp2016-2017 (3)'!$I$5:$I$289,'Comp2016-2017 (3)'!$A$5:$A$289,A1460,'Comp2016-2017 (3)'!$R$5:$R$289,V1460),0)</f>
        <v>0</v>
      </c>
      <c r="Y1460" s="214">
        <f>IFERROR(IF(RIGHT(F1460,3)="Exp",VLOOKUP(F1460,#REF!,2,FALSE),VLOOKUP(F1460,#REF!,9,FALSE)),0)</f>
        <v>0</v>
      </c>
      <c r="Z1460" s="225">
        <f t="shared" si="168"/>
        <v>0</v>
      </c>
      <c r="AA1460" s="225">
        <f t="shared" si="169"/>
        <v>0</v>
      </c>
      <c r="AB1460" s="222">
        <f>IFERROR(SUMIFS('Comp2016-2017 (3)'!$G$5:$G$289,'Comp2016-2017 (3)'!$A$5:$A$289,A1460,'Comp2016-2017 (3)'!$R$5:$R$289,V1460)*AA1460/SUMIFS($AA$4:$AA$1858,$A$4:$A$1858,A1460,$V$4:$V$1858,V1460),0)</f>
        <v>0</v>
      </c>
      <c r="AC1460" s="222">
        <f>IF($W1460=AC$3,$AB1460,IF(NOT($W1460=0),"",SUMIFS('Val-Vol (2)'!AC$4:AC$1858,'Val-Vol (2)'!$A$4:$A$1858,$D1460,'Val-Vol (2)'!$V$4:$V$1858,$V1460)/SUMIFS('Comp2016-2017 (3)'!$G$5:$G$289,'Comp2016-2017 (3)'!$A$5:$A$289,$D1460,'Comp2016-2017 (3)'!$R$5:$R$289,$V1460)*$AB1460))</f>
        <v>0</v>
      </c>
      <c r="AD1460" s="222">
        <f>IF($W1460=AD$3,$AB1460,IF(NOT($W1460=0),"",SUMIFS('Val-Vol (2)'!AD$4:AD$1858,'Val-Vol (2)'!$A$4:$A$1858,$D1460,'Val-Vol (2)'!$V$4:$V$1858,$V1460)/SUMIFS('Comp2016-2017 (3)'!$G$5:$G$289,'Comp2016-2017 (3)'!$A$5:$A$289,$D1460,'Comp2016-2017 (3)'!$R$5:$R$289,$V1460)*$AB1460))</f>
        <v>0</v>
      </c>
      <c r="AE1460" s="222">
        <f>IF($W1460=AE$3,$AB1460,IF(NOT($W1460=0),"",SUMIFS('Val-Vol (2)'!AE$4:AE$1858,'Val-Vol (2)'!$A$4:$A$1858,$D1460,'Val-Vol (2)'!$V$4:$V$1858,$V1460)/SUMIFS('Comp2016-2017 (3)'!$G$5:$G$289,'Comp2016-2017 (3)'!$A$5:$A$289,$D1460,'Comp2016-2017 (3)'!$R$5:$R$289,$V1460)*$AB1460))</f>
        <v>0</v>
      </c>
      <c r="AF1460" s="222">
        <f>IF($W1460=AF$3,$AB1460,IF(NOT($W1460=0),"",SUMIFS('Val-Vol (2)'!AF$4:AF$1858,'Val-Vol (2)'!$A$4:$A$1858,$D1460,'Val-Vol (2)'!$V$4:$V$1858,$V1460)/SUMIFS('Comp2016-2017 (3)'!$G$5:$G$289,'Comp2016-2017 (3)'!$A$5:$A$289,$D1460,'Comp2016-2017 (3)'!$R$5:$R$289,$V1460)*$AB1460))</f>
        <v>0</v>
      </c>
      <c r="AG1460" s="222">
        <f>IF($W1460=AG$3,$AB1460,IF(NOT($W1460=0),"",SUMIFS('Val-Vol (2)'!AG$4:AG$1858,'Val-Vol (2)'!$A$4:$A$1858,$D1460,'Val-Vol (2)'!$V$4:$V$1858,$V1460)/SUMIFS('Comp2016-2017 (3)'!$G$5:$G$289,'Comp2016-2017 (3)'!$A$5:$A$289,$D1460,'Comp2016-2017 (3)'!$R$5:$R$289,$V1460)*$AB1460))</f>
        <v>0</v>
      </c>
      <c r="AH1460" s="222">
        <f>IF($W1460=AH$3,$AB1460,IF(NOT($W1460=0),"",SUMIFS('Val-Vol (2)'!AH$4:AH$1858,'Val-Vol (2)'!$A$4:$A$1858,$D1460,'Val-Vol (2)'!$V$4:$V$1858,$V1460)/SUMIFS('Comp2016-2017 (3)'!$G$5:$G$289,'Comp2016-2017 (3)'!$A$5:$A$289,$D1460,'Comp2016-2017 (3)'!$R$5:$R$289,$V1460)*$AB1460))</f>
        <v>0</v>
      </c>
      <c r="AI1460" s="222">
        <f>IF($W1460=AI$3,$AB1460,IF(NOT($W1460=0),"",SUMIFS('Val-Vol (2)'!AI$4:AI$1858,'Val-Vol (2)'!$A$4:$A$1858,$D1460,'Val-Vol (2)'!$V$4:$V$1858,$V1460)/SUMIFS('Comp2016-2017 (3)'!$G$5:$G$289,'Comp2016-2017 (3)'!$A$5:$A$289,$D1460,'Comp2016-2017 (3)'!$R$5:$R$289,$V1460)*$AB1460))</f>
        <v>0</v>
      </c>
      <c r="AJ1460" s="222">
        <f>IF($W1460=AJ$3,$AB1460,IF(NOT($W1460=0),"",SUMIFS('Val-Vol (2)'!AJ$4:AJ$1858,'Val-Vol (2)'!$A$4:$A$1858,$D1460,'Val-Vol (2)'!$V$4:$V$1858,$V1460)/SUMIFS('Comp2016-2017 (3)'!$G$5:$G$289,'Comp2016-2017 (3)'!$A$5:$A$289,$D1460,'Comp2016-2017 (3)'!$R$5:$R$289,$V1460)*$AB1460))</f>
        <v>0</v>
      </c>
      <c r="AK1460" s="222">
        <f t="shared" si="170"/>
        <v>0</v>
      </c>
      <c r="AL1460" s="212" t="str">
        <f t="shared" si="171"/>
        <v/>
      </c>
      <c r="AM1460" s="212" t="str">
        <f>VLOOKUP(A1460,'Table corresp.'!$M$4:$U$63,8,FALSE)</f>
        <v>Importation</v>
      </c>
      <c r="AN1460" s="212" t="str">
        <f>VLOOKUP(D1460,'Table corresp.'!$M$4:$U$63,9,FALSE)</f>
        <v>Production intermédiaire</v>
      </c>
    </row>
    <row r="1461" spans="1:40" x14ac:dyDescent="0.25">
      <c r="A1461" t="s">
        <v>52</v>
      </c>
      <c r="B1461" t="str">
        <f>VLOOKUP(LEFT(A1461,3),'Table corresp.'!$A$4:$D$63,3,FALSE)</f>
        <v>Importation</v>
      </c>
      <c r="C1461" t="str">
        <f>VLOOKUP(A1461,'Table corresp.'!$M$4:$P$63,4,FALSE)</f>
        <v>Importation</v>
      </c>
      <c r="D1461" t="s">
        <v>6</v>
      </c>
      <c r="E1461" t="str">
        <f>VLOOKUP(LEFT(D1461,3),'Table corresp.'!$A$4:$D$63,4,FALSE)</f>
        <v>Transformation</v>
      </c>
      <c r="F1461" t="str">
        <f t="shared" si="172"/>
        <v xml:space="preserve">Imp - 11 </v>
      </c>
      <c r="G1461" s="213">
        <v>0</v>
      </c>
      <c r="H1461" s="213">
        <v>74412.103999999992</v>
      </c>
      <c r="I1461" s="213">
        <v>74412.103999999992</v>
      </c>
      <c r="J1461" s="215">
        <v>0</v>
      </c>
      <c r="K1461" s="215">
        <v>258.62376538931233</v>
      </c>
      <c r="L1461" s="215">
        <v>258.62376538931233</v>
      </c>
      <c r="M1461" s="215"/>
      <c r="N1461" s="215"/>
      <c r="O1461" s="215"/>
      <c r="P1461" s="215"/>
      <c r="Q1461" s="215"/>
      <c r="R1461" s="215"/>
      <c r="S1461" s="213"/>
      <c r="T1461" s="212">
        <f>VLOOKUP(A1461,'Groupe de branches'!$Z$27:$AM$86,14,FALSE)</f>
        <v>0</v>
      </c>
      <c r="U1461" s="212">
        <f>VLOOKUP(D1461,'Groupe de branches'!$Z$27:$AM$86,14,FALSE)</f>
        <v>0</v>
      </c>
      <c r="V1461" s="212">
        <v>2019</v>
      </c>
      <c r="W1461" s="212">
        <f>VLOOKUP(D1461,'Table corresp.'!$M$4:$S$63,7,FALSE)</f>
        <v>0</v>
      </c>
      <c r="X1461" s="228">
        <f>IFERROR(G1461/SUMIFS('Comp2016-2017 (3)'!$I$5:$I$289,'Comp2016-2017 (3)'!$A$5:$A$289,A1461,'Comp2016-2017 (3)'!$R$5:$R$289,V1461),0)</f>
        <v>0</v>
      </c>
      <c r="Y1461" s="214">
        <f>IFERROR(IF(RIGHT(F1461,3)="Exp",VLOOKUP(F1461,#REF!,2,FALSE),VLOOKUP(F1461,#REF!,9,FALSE)),0)</f>
        <v>0</v>
      </c>
      <c r="Z1461" s="225">
        <f t="shared" si="168"/>
        <v>0</v>
      </c>
      <c r="AA1461" s="225">
        <f t="shared" si="169"/>
        <v>0</v>
      </c>
      <c r="AB1461" s="222">
        <f>IFERROR(SUMIFS('Comp2016-2017 (3)'!$G$5:$G$289,'Comp2016-2017 (3)'!$A$5:$A$289,A1461,'Comp2016-2017 (3)'!$R$5:$R$289,V1461)*AA1461/SUMIFS($AA$4:$AA$1858,$A$4:$A$1858,A1461,$V$4:$V$1858,V1461),0)</f>
        <v>0</v>
      </c>
      <c r="AC1461" s="222">
        <f>IF($W1461=AC$3,$AB1461,IF(NOT($W1461=0),"",SUMIFS('Val-Vol (2)'!AC$4:AC$1858,'Val-Vol (2)'!$A$4:$A$1858,$D1461,'Val-Vol (2)'!$V$4:$V$1858,$V1461)/SUMIFS('Comp2016-2017 (3)'!$G$5:$G$289,'Comp2016-2017 (3)'!$A$5:$A$289,$D1461,'Comp2016-2017 (3)'!$R$5:$R$289,$V1461)*$AB1461))</f>
        <v>0</v>
      </c>
      <c r="AD1461" s="222">
        <f>IF($W1461=AD$3,$AB1461,IF(NOT($W1461=0),"",SUMIFS('Val-Vol (2)'!AD$4:AD$1858,'Val-Vol (2)'!$A$4:$A$1858,$D1461,'Val-Vol (2)'!$V$4:$V$1858,$V1461)/SUMIFS('Comp2016-2017 (3)'!$G$5:$G$289,'Comp2016-2017 (3)'!$A$5:$A$289,$D1461,'Comp2016-2017 (3)'!$R$5:$R$289,$V1461)*$AB1461))</f>
        <v>0</v>
      </c>
      <c r="AE1461" s="222">
        <f>IF($W1461=AE$3,$AB1461,IF(NOT($W1461=0),"",SUMIFS('Val-Vol (2)'!AE$4:AE$1858,'Val-Vol (2)'!$A$4:$A$1858,$D1461,'Val-Vol (2)'!$V$4:$V$1858,$V1461)/SUMIFS('Comp2016-2017 (3)'!$G$5:$G$289,'Comp2016-2017 (3)'!$A$5:$A$289,$D1461,'Comp2016-2017 (3)'!$R$5:$R$289,$V1461)*$AB1461))</f>
        <v>0</v>
      </c>
      <c r="AF1461" s="222">
        <f>IF($W1461=AF$3,$AB1461,IF(NOT($W1461=0),"",SUMIFS('Val-Vol (2)'!AF$4:AF$1858,'Val-Vol (2)'!$A$4:$A$1858,$D1461,'Val-Vol (2)'!$V$4:$V$1858,$V1461)/SUMIFS('Comp2016-2017 (3)'!$G$5:$G$289,'Comp2016-2017 (3)'!$A$5:$A$289,$D1461,'Comp2016-2017 (3)'!$R$5:$R$289,$V1461)*$AB1461))</f>
        <v>0</v>
      </c>
      <c r="AG1461" s="222">
        <f>IF($W1461=AG$3,$AB1461,IF(NOT($W1461=0),"",SUMIFS('Val-Vol (2)'!AG$4:AG$1858,'Val-Vol (2)'!$A$4:$A$1858,$D1461,'Val-Vol (2)'!$V$4:$V$1858,$V1461)/SUMIFS('Comp2016-2017 (3)'!$G$5:$G$289,'Comp2016-2017 (3)'!$A$5:$A$289,$D1461,'Comp2016-2017 (3)'!$R$5:$R$289,$V1461)*$AB1461))</f>
        <v>0</v>
      </c>
      <c r="AH1461" s="222">
        <f>IF($W1461=AH$3,$AB1461,IF(NOT($W1461=0),"",SUMIFS('Val-Vol (2)'!AH$4:AH$1858,'Val-Vol (2)'!$A$4:$A$1858,$D1461,'Val-Vol (2)'!$V$4:$V$1858,$V1461)/SUMIFS('Comp2016-2017 (3)'!$G$5:$G$289,'Comp2016-2017 (3)'!$A$5:$A$289,$D1461,'Comp2016-2017 (3)'!$R$5:$R$289,$V1461)*$AB1461))</f>
        <v>0</v>
      </c>
      <c r="AI1461" s="222">
        <f>IF($W1461=AI$3,$AB1461,IF(NOT($W1461=0),"",SUMIFS('Val-Vol (2)'!AI$4:AI$1858,'Val-Vol (2)'!$A$4:$A$1858,$D1461,'Val-Vol (2)'!$V$4:$V$1858,$V1461)/SUMIFS('Comp2016-2017 (3)'!$G$5:$G$289,'Comp2016-2017 (3)'!$A$5:$A$289,$D1461,'Comp2016-2017 (3)'!$R$5:$R$289,$V1461)*$AB1461))</f>
        <v>0</v>
      </c>
      <c r="AJ1461" s="222">
        <f>IF($W1461=AJ$3,$AB1461,IF(NOT($W1461=0),"",SUMIFS('Val-Vol (2)'!AJ$4:AJ$1858,'Val-Vol (2)'!$A$4:$A$1858,$D1461,'Val-Vol (2)'!$V$4:$V$1858,$V1461)/SUMIFS('Comp2016-2017 (3)'!$G$5:$G$289,'Comp2016-2017 (3)'!$A$5:$A$289,$D1461,'Comp2016-2017 (3)'!$R$5:$R$289,$V1461)*$AB1461))</f>
        <v>0</v>
      </c>
      <c r="AK1461" s="222">
        <f t="shared" si="170"/>
        <v>0</v>
      </c>
      <c r="AL1461" s="212" t="str">
        <f t="shared" si="171"/>
        <v/>
      </c>
      <c r="AM1461" s="212" t="str">
        <f>VLOOKUP(A1461,'Table corresp.'!$M$4:$U$63,8,FALSE)</f>
        <v>Importation</v>
      </c>
      <c r="AN1461" s="212" t="str">
        <f>VLOOKUP(D1461,'Table corresp.'!$M$4:$U$63,9,FALSE)</f>
        <v>Production intermédiaire</v>
      </c>
    </row>
    <row r="1462" spans="1:40" x14ac:dyDescent="0.25">
      <c r="A1462" t="s">
        <v>52</v>
      </c>
      <c r="B1462" t="str">
        <f>VLOOKUP(LEFT(A1462,3),'Table corresp.'!$A$4:$D$63,3,FALSE)</f>
        <v>Importation</v>
      </c>
      <c r="C1462" t="str">
        <f>VLOOKUP(A1462,'Table corresp.'!$M$4:$P$63,4,FALSE)</f>
        <v>Importation</v>
      </c>
      <c r="D1462" t="s">
        <v>7</v>
      </c>
      <c r="E1462" t="str">
        <f>VLOOKUP(LEFT(D1462,3),'Table corresp.'!$A$4:$D$63,4,FALSE)</f>
        <v>Transformation</v>
      </c>
      <c r="F1462" t="str">
        <f t="shared" si="172"/>
        <v xml:space="preserve">Imp - 12 </v>
      </c>
      <c r="G1462" s="213">
        <v>0</v>
      </c>
      <c r="H1462" s="213">
        <v>307946.90499999991</v>
      </c>
      <c r="I1462" s="213">
        <v>307946.90499999991</v>
      </c>
      <c r="J1462" s="215">
        <v>0</v>
      </c>
      <c r="K1462" s="215">
        <v>2776.8867741124618</v>
      </c>
      <c r="L1462" s="215">
        <v>2776.8867741124618</v>
      </c>
      <c r="M1462" s="215"/>
      <c r="N1462" s="215"/>
      <c r="O1462" s="215"/>
      <c r="P1462" s="215"/>
      <c r="Q1462" s="215"/>
      <c r="R1462" s="215"/>
      <c r="S1462" s="213"/>
      <c r="T1462" s="212">
        <f>VLOOKUP(A1462,'Groupe de branches'!$Z$27:$AM$86,14,FALSE)</f>
        <v>0</v>
      </c>
      <c r="U1462" s="212">
        <f>VLOOKUP(D1462,'Groupe de branches'!$Z$27:$AM$86,14,FALSE)</f>
        <v>0</v>
      </c>
      <c r="V1462" s="212">
        <v>2019</v>
      </c>
      <c r="W1462" s="212">
        <f>VLOOKUP(D1462,'Table corresp.'!$M$4:$S$63,7,FALSE)</f>
        <v>0</v>
      </c>
      <c r="X1462" s="228">
        <f>IFERROR(G1462/SUMIFS('Comp2016-2017 (3)'!$I$5:$I$289,'Comp2016-2017 (3)'!$A$5:$A$289,A1462,'Comp2016-2017 (3)'!$R$5:$R$289,V1462),0)</f>
        <v>0</v>
      </c>
      <c r="Y1462" s="214">
        <f>IFERROR(IF(RIGHT(F1462,3)="Exp",VLOOKUP(F1462,#REF!,2,FALSE),VLOOKUP(F1462,#REF!,9,FALSE)),0)</f>
        <v>0</v>
      </c>
      <c r="Z1462" s="225">
        <f t="shared" si="168"/>
        <v>0</v>
      </c>
      <c r="AA1462" s="225">
        <f t="shared" si="169"/>
        <v>0</v>
      </c>
      <c r="AB1462" s="222">
        <f>IFERROR(SUMIFS('Comp2016-2017 (3)'!$G$5:$G$289,'Comp2016-2017 (3)'!$A$5:$A$289,A1462,'Comp2016-2017 (3)'!$R$5:$R$289,V1462)*AA1462/SUMIFS($AA$4:$AA$1858,$A$4:$A$1858,A1462,$V$4:$V$1858,V1462),0)</f>
        <v>0</v>
      </c>
      <c r="AC1462" s="222">
        <f>IF($W1462=AC$3,$AB1462,IF(NOT($W1462=0),"",SUMIFS('Val-Vol (2)'!AC$4:AC$1858,'Val-Vol (2)'!$A$4:$A$1858,$D1462,'Val-Vol (2)'!$V$4:$V$1858,$V1462)/SUMIFS('Comp2016-2017 (3)'!$G$5:$G$289,'Comp2016-2017 (3)'!$A$5:$A$289,$D1462,'Comp2016-2017 (3)'!$R$5:$R$289,$V1462)*$AB1462))</f>
        <v>0</v>
      </c>
      <c r="AD1462" s="222">
        <f>IF($W1462=AD$3,$AB1462,IF(NOT($W1462=0),"",SUMIFS('Val-Vol (2)'!AD$4:AD$1858,'Val-Vol (2)'!$A$4:$A$1858,$D1462,'Val-Vol (2)'!$V$4:$V$1858,$V1462)/SUMIFS('Comp2016-2017 (3)'!$G$5:$G$289,'Comp2016-2017 (3)'!$A$5:$A$289,$D1462,'Comp2016-2017 (3)'!$R$5:$R$289,$V1462)*$AB1462))</f>
        <v>0</v>
      </c>
      <c r="AE1462" s="222">
        <f>IF($W1462=AE$3,$AB1462,IF(NOT($W1462=0),"",SUMIFS('Val-Vol (2)'!AE$4:AE$1858,'Val-Vol (2)'!$A$4:$A$1858,$D1462,'Val-Vol (2)'!$V$4:$V$1858,$V1462)/SUMIFS('Comp2016-2017 (3)'!$G$5:$G$289,'Comp2016-2017 (3)'!$A$5:$A$289,$D1462,'Comp2016-2017 (3)'!$R$5:$R$289,$V1462)*$AB1462))</f>
        <v>0</v>
      </c>
      <c r="AF1462" s="222">
        <f>IF($W1462=AF$3,$AB1462,IF(NOT($W1462=0),"",SUMIFS('Val-Vol (2)'!AF$4:AF$1858,'Val-Vol (2)'!$A$4:$A$1858,$D1462,'Val-Vol (2)'!$V$4:$V$1858,$V1462)/SUMIFS('Comp2016-2017 (3)'!$G$5:$G$289,'Comp2016-2017 (3)'!$A$5:$A$289,$D1462,'Comp2016-2017 (3)'!$R$5:$R$289,$V1462)*$AB1462))</f>
        <v>0</v>
      </c>
      <c r="AG1462" s="222">
        <f>IF($W1462=AG$3,$AB1462,IF(NOT($W1462=0),"",SUMIFS('Val-Vol (2)'!AG$4:AG$1858,'Val-Vol (2)'!$A$4:$A$1858,$D1462,'Val-Vol (2)'!$V$4:$V$1858,$V1462)/SUMIFS('Comp2016-2017 (3)'!$G$5:$G$289,'Comp2016-2017 (3)'!$A$5:$A$289,$D1462,'Comp2016-2017 (3)'!$R$5:$R$289,$V1462)*$AB1462))</f>
        <v>0</v>
      </c>
      <c r="AH1462" s="222">
        <f>IF($W1462=AH$3,$AB1462,IF(NOT($W1462=0),"",SUMIFS('Val-Vol (2)'!AH$4:AH$1858,'Val-Vol (2)'!$A$4:$A$1858,$D1462,'Val-Vol (2)'!$V$4:$V$1858,$V1462)/SUMIFS('Comp2016-2017 (3)'!$G$5:$G$289,'Comp2016-2017 (3)'!$A$5:$A$289,$D1462,'Comp2016-2017 (3)'!$R$5:$R$289,$V1462)*$AB1462))</f>
        <v>0</v>
      </c>
      <c r="AI1462" s="222">
        <f>IF($W1462=AI$3,$AB1462,IF(NOT($W1462=0),"",SUMIFS('Val-Vol (2)'!AI$4:AI$1858,'Val-Vol (2)'!$A$4:$A$1858,$D1462,'Val-Vol (2)'!$V$4:$V$1858,$V1462)/SUMIFS('Comp2016-2017 (3)'!$G$5:$G$289,'Comp2016-2017 (3)'!$A$5:$A$289,$D1462,'Comp2016-2017 (3)'!$R$5:$R$289,$V1462)*$AB1462))</f>
        <v>0</v>
      </c>
      <c r="AJ1462" s="222">
        <f>IF($W1462=AJ$3,$AB1462,IF(NOT($W1462=0),"",SUMIFS('Val-Vol (2)'!AJ$4:AJ$1858,'Val-Vol (2)'!$A$4:$A$1858,$D1462,'Val-Vol (2)'!$V$4:$V$1858,$V1462)/SUMIFS('Comp2016-2017 (3)'!$G$5:$G$289,'Comp2016-2017 (3)'!$A$5:$A$289,$D1462,'Comp2016-2017 (3)'!$R$5:$R$289,$V1462)*$AB1462))</f>
        <v>0</v>
      </c>
      <c r="AK1462" s="222">
        <f t="shared" si="170"/>
        <v>0</v>
      </c>
      <c r="AL1462" s="212" t="str">
        <f t="shared" si="171"/>
        <v/>
      </c>
      <c r="AM1462" s="212" t="str">
        <f>VLOOKUP(A1462,'Table corresp.'!$M$4:$U$63,8,FALSE)</f>
        <v>Importation</v>
      </c>
      <c r="AN1462" s="212" t="str">
        <f>VLOOKUP(D1462,'Table corresp.'!$M$4:$U$63,9,FALSE)</f>
        <v>Production intermédiaire</v>
      </c>
    </row>
    <row r="1463" spans="1:40" x14ac:dyDescent="0.25">
      <c r="A1463" t="s">
        <v>52</v>
      </c>
      <c r="B1463" t="str">
        <f>VLOOKUP(LEFT(A1463,3),'Table corresp.'!$A$4:$D$63,3,FALSE)</f>
        <v>Importation</v>
      </c>
      <c r="C1463" t="str">
        <f>VLOOKUP(A1463,'Table corresp.'!$M$4:$P$63,4,FALSE)</f>
        <v>Importation</v>
      </c>
      <c r="D1463" t="s">
        <v>83</v>
      </c>
      <c r="E1463" t="str">
        <f>VLOOKUP(LEFT(D1463,3),'Table corresp.'!$A$4:$D$63,4,FALSE)</f>
        <v>Transformation</v>
      </c>
      <c r="F1463" t="str">
        <f t="shared" si="172"/>
        <v xml:space="preserve">Imp - 14 </v>
      </c>
      <c r="G1463" s="213">
        <v>0</v>
      </c>
      <c r="H1463" s="213">
        <v>137768.81200000012</v>
      </c>
      <c r="I1463" s="213">
        <v>137768.81200000012</v>
      </c>
      <c r="J1463" s="215">
        <v>0</v>
      </c>
      <c r="K1463" s="215">
        <v>611.04112636989839</v>
      </c>
      <c r="L1463" s="215">
        <v>611.04112636989839</v>
      </c>
      <c r="M1463" s="215"/>
      <c r="N1463" s="215"/>
      <c r="O1463" s="215"/>
      <c r="P1463" s="215"/>
      <c r="Q1463" s="215"/>
      <c r="R1463" s="215"/>
      <c r="S1463" s="213"/>
      <c r="T1463" s="212">
        <f>VLOOKUP(A1463,'Groupe de branches'!$Z$27:$AM$86,14,FALSE)</f>
        <v>0</v>
      </c>
      <c r="U1463" s="212">
        <f>VLOOKUP(D1463,'Groupe de branches'!$Z$27:$AM$86,14,FALSE)</f>
        <v>0</v>
      </c>
      <c r="V1463" s="212">
        <v>2019</v>
      </c>
      <c r="W1463" s="212">
        <f>VLOOKUP(D1463,'Table corresp.'!$M$4:$S$63,7,FALSE)</f>
        <v>0</v>
      </c>
      <c r="X1463" s="228">
        <f>IFERROR(G1463/SUMIFS('Comp2016-2017 (3)'!$I$5:$I$289,'Comp2016-2017 (3)'!$A$5:$A$289,A1463,'Comp2016-2017 (3)'!$R$5:$R$289,V1463),0)</f>
        <v>0</v>
      </c>
      <c r="Y1463" s="214">
        <f>IFERROR(IF(RIGHT(F1463,3)="Exp",VLOOKUP(F1463,#REF!,2,FALSE),VLOOKUP(F1463,#REF!,9,FALSE)),0)</f>
        <v>0</v>
      </c>
      <c r="Z1463" s="225">
        <f t="shared" si="168"/>
        <v>0</v>
      </c>
      <c r="AA1463" s="225">
        <f t="shared" si="169"/>
        <v>0</v>
      </c>
      <c r="AB1463" s="222">
        <f>IFERROR(SUMIFS('Comp2016-2017 (3)'!$G$5:$G$289,'Comp2016-2017 (3)'!$A$5:$A$289,A1463,'Comp2016-2017 (3)'!$R$5:$R$289,V1463)*AA1463/SUMIFS($AA$4:$AA$1858,$A$4:$A$1858,A1463,$V$4:$V$1858,V1463),0)</f>
        <v>0</v>
      </c>
      <c r="AC1463" s="222">
        <f>IF($W1463=AC$3,$AB1463,IF(NOT($W1463=0),"",SUMIFS('Val-Vol (2)'!AC$4:AC$1858,'Val-Vol (2)'!$A$4:$A$1858,$D1463,'Val-Vol (2)'!$V$4:$V$1858,$V1463)/SUMIFS('Comp2016-2017 (3)'!$G$5:$G$289,'Comp2016-2017 (3)'!$A$5:$A$289,$D1463,'Comp2016-2017 (3)'!$R$5:$R$289,$V1463)*$AB1463))</f>
        <v>0</v>
      </c>
      <c r="AD1463" s="222">
        <f>IF($W1463=AD$3,$AB1463,IF(NOT($W1463=0),"",SUMIFS('Val-Vol (2)'!AD$4:AD$1858,'Val-Vol (2)'!$A$4:$A$1858,$D1463,'Val-Vol (2)'!$V$4:$V$1858,$V1463)/SUMIFS('Comp2016-2017 (3)'!$G$5:$G$289,'Comp2016-2017 (3)'!$A$5:$A$289,$D1463,'Comp2016-2017 (3)'!$R$5:$R$289,$V1463)*$AB1463))</f>
        <v>0</v>
      </c>
      <c r="AE1463" s="222">
        <f>IF($W1463=AE$3,$AB1463,IF(NOT($W1463=0),"",SUMIFS('Val-Vol (2)'!AE$4:AE$1858,'Val-Vol (2)'!$A$4:$A$1858,$D1463,'Val-Vol (2)'!$V$4:$V$1858,$V1463)/SUMIFS('Comp2016-2017 (3)'!$G$5:$G$289,'Comp2016-2017 (3)'!$A$5:$A$289,$D1463,'Comp2016-2017 (3)'!$R$5:$R$289,$V1463)*$AB1463))</f>
        <v>0</v>
      </c>
      <c r="AF1463" s="222">
        <f>IF($W1463=AF$3,$AB1463,IF(NOT($W1463=0),"",SUMIFS('Val-Vol (2)'!AF$4:AF$1858,'Val-Vol (2)'!$A$4:$A$1858,$D1463,'Val-Vol (2)'!$V$4:$V$1858,$V1463)/SUMIFS('Comp2016-2017 (3)'!$G$5:$G$289,'Comp2016-2017 (3)'!$A$5:$A$289,$D1463,'Comp2016-2017 (3)'!$R$5:$R$289,$V1463)*$AB1463))</f>
        <v>0</v>
      </c>
      <c r="AG1463" s="222">
        <f>IF($W1463=AG$3,$AB1463,IF(NOT($W1463=0),"",SUMIFS('Val-Vol (2)'!AG$4:AG$1858,'Val-Vol (2)'!$A$4:$A$1858,$D1463,'Val-Vol (2)'!$V$4:$V$1858,$V1463)/SUMIFS('Comp2016-2017 (3)'!$G$5:$G$289,'Comp2016-2017 (3)'!$A$5:$A$289,$D1463,'Comp2016-2017 (3)'!$R$5:$R$289,$V1463)*$AB1463))</f>
        <v>0</v>
      </c>
      <c r="AH1463" s="222">
        <f>IF($W1463=AH$3,$AB1463,IF(NOT($W1463=0),"",SUMIFS('Val-Vol (2)'!AH$4:AH$1858,'Val-Vol (2)'!$A$4:$A$1858,$D1463,'Val-Vol (2)'!$V$4:$V$1858,$V1463)/SUMIFS('Comp2016-2017 (3)'!$G$5:$G$289,'Comp2016-2017 (3)'!$A$5:$A$289,$D1463,'Comp2016-2017 (3)'!$R$5:$R$289,$V1463)*$AB1463))</f>
        <v>0</v>
      </c>
      <c r="AI1463" s="222">
        <f>IF($W1463=AI$3,$AB1463,IF(NOT($W1463=0),"",SUMIFS('Val-Vol (2)'!AI$4:AI$1858,'Val-Vol (2)'!$A$4:$A$1858,$D1463,'Val-Vol (2)'!$V$4:$V$1858,$V1463)/SUMIFS('Comp2016-2017 (3)'!$G$5:$G$289,'Comp2016-2017 (3)'!$A$5:$A$289,$D1463,'Comp2016-2017 (3)'!$R$5:$R$289,$V1463)*$AB1463))</f>
        <v>0</v>
      </c>
      <c r="AJ1463" s="222">
        <f>IF($W1463=AJ$3,$AB1463,IF(NOT($W1463=0),"",SUMIFS('Val-Vol (2)'!AJ$4:AJ$1858,'Val-Vol (2)'!$A$4:$A$1858,$D1463,'Val-Vol (2)'!$V$4:$V$1858,$V1463)/SUMIFS('Comp2016-2017 (3)'!$G$5:$G$289,'Comp2016-2017 (3)'!$A$5:$A$289,$D1463,'Comp2016-2017 (3)'!$R$5:$R$289,$V1463)*$AB1463))</f>
        <v>0</v>
      </c>
      <c r="AK1463" s="222">
        <f t="shared" si="170"/>
        <v>0</v>
      </c>
      <c r="AL1463" s="212" t="str">
        <f t="shared" si="171"/>
        <v/>
      </c>
      <c r="AM1463" s="212" t="str">
        <f>VLOOKUP(A1463,'Table corresp.'!$M$4:$U$63,8,FALSE)</f>
        <v>Importation</v>
      </c>
      <c r="AN1463" s="212" t="str">
        <f>VLOOKUP(D1463,'Table corresp.'!$M$4:$U$63,9,FALSE)</f>
        <v>Production intermédiaire</v>
      </c>
    </row>
    <row r="1464" spans="1:40" x14ac:dyDescent="0.25">
      <c r="A1464" t="s">
        <v>52</v>
      </c>
      <c r="B1464" t="str">
        <f>VLOOKUP(LEFT(A1464,3),'Table corresp.'!$A$4:$D$63,3,FALSE)</f>
        <v>Importation</v>
      </c>
      <c r="C1464" t="str">
        <f>VLOOKUP(A1464,'Table corresp.'!$M$4:$P$63,4,FALSE)</f>
        <v>Importation</v>
      </c>
      <c r="D1464" t="s">
        <v>84</v>
      </c>
      <c r="E1464" t="str">
        <f>VLOOKUP(LEFT(D1464,3),'Table corresp.'!$A$4:$D$63,4,FALSE)</f>
        <v>Transformation</v>
      </c>
      <c r="F1464" t="str">
        <f t="shared" si="172"/>
        <v xml:space="preserve">Imp - 17 </v>
      </c>
      <c r="G1464" s="213">
        <v>0</v>
      </c>
      <c r="H1464" s="213">
        <v>8017.6229999999996</v>
      </c>
      <c r="I1464" s="213">
        <v>8017.6229999999996</v>
      </c>
      <c r="J1464" s="215">
        <v>0</v>
      </c>
      <c r="K1464" s="215">
        <v>37.290498794853939</v>
      </c>
      <c r="L1464" s="215">
        <v>37.290498794853939</v>
      </c>
      <c r="M1464" s="215"/>
      <c r="N1464" s="215"/>
      <c r="O1464" s="215"/>
      <c r="P1464" s="215"/>
      <c r="Q1464" s="215"/>
      <c r="R1464" s="215"/>
      <c r="S1464" s="213"/>
      <c r="T1464" s="212">
        <f>VLOOKUP(A1464,'Groupe de branches'!$Z$27:$AM$86,14,FALSE)</f>
        <v>0</v>
      </c>
      <c r="U1464" s="212">
        <f>VLOOKUP(D1464,'Groupe de branches'!$Z$27:$AM$86,14,FALSE)</f>
        <v>0</v>
      </c>
      <c r="V1464" s="212">
        <v>2019</v>
      </c>
      <c r="W1464" s="212" t="str">
        <f>VLOOKUP(D1464,'Table corresp.'!$M$4:$S$63,7,FALSE)</f>
        <v>Construction</v>
      </c>
      <c r="X1464" s="228">
        <f>IFERROR(G1464/SUMIFS('Comp2016-2017 (3)'!$I$5:$I$289,'Comp2016-2017 (3)'!$A$5:$A$289,A1464,'Comp2016-2017 (3)'!$R$5:$R$289,V1464),0)</f>
        <v>0</v>
      </c>
      <c r="Y1464" s="214">
        <f>IFERROR(IF(RIGHT(F1464,3)="Exp",VLOOKUP(F1464,#REF!,2,FALSE),VLOOKUP(F1464,#REF!,9,FALSE)),0)</f>
        <v>0</v>
      </c>
      <c r="Z1464" s="225">
        <f t="shared" si="168"/>
        <v>0</v>
      </c>
      <c r="AA1464" s="225">
        <f t="shared" si="169"/>
        <v>0</v>
      </c>
      <c r="AB1464" s="222">
        <f>IFERROR(SUMIFS('Comp2016-2017 (3)'!$G$5:$G$289,'Comp2016-2017 (3)'!$A$5:$A$289,A1464,'Comp2016-2017 (3)'!$R$5:$R$289,V1464)*AA1464/SUMIFS($AA$4:$AA$1858,$A$4:$A$1858,A1464,$V$4:$V$1858,V1464),0)</f>
        <v>0</v>
      </c>
      <c r="AC1464" s="222" t="str">
        <f>IF($W1464=AC$3,$AB1464,IF(NOT($W1464=0),"",SUMIFS('Val-Vol (2)'!AC$4:AC$1858,'Val-Vol (2)'!$A$4:$A$1858,$D1464,'Val-Vol (2)'!$V$4:$V$1858,$V1464)/SUMIFS('Comp2016-2017 (3)'!$G$5:$G$289,'Comp2016-2017 (3)'!$A$5:$A$289,$D1464,'Comp2016-2017 (3)'!$R$5:$R$289,$V1464)*$AB1464))</f>
        <v/>
      </c>
      <c r="AD1464" s="222">
        <f>IF($W1464=AD$3,$AB1464,IF(NOT($W1464=0),"",SUMIFS('Val-Vol (2)'!AD$4:AD$1858,'Val-Vol (2)'!$A$4:$A$1858,$D1464,'Val-Vol (2)'!$V$4:$V$1858,$V1464)/SUMIFS('Comp2016-2017 (3)'!$G$5:$G$289,'Comp2016-2017 (3)'!$A$5:$A$289,$D1464,'Comp2016-2017 (3)'!$R$5:$R$289,$V1464)*$AB1464))</f>
        <v>0</v>
      </c>
      <c r="AE1464" s="222" t="str">
        <f>IF($W1464=AE$3,$AB1464,IF(NOT($W1464=0),"",SUMIFS('Val-Vol (2)'!AE$4:AE$1858,'Val-Vol (2)'!$A$4:$A$1858,$D1464,'Val-Vol (2)'!$V$4:$V$1858,$V1464)/SUMIFS('Comp2016-2017 (3)'!$G$5:$G$289,'Comp2016-2017 (3)'!$A$5:$A$289,$D1464,'Comp2016-2017 (3)'!$R$5:$R$289,$V1464)*$AB1464))</f>
        <v/>
      </c>
      <c r="AF1464" s="222" t="str">
        <f>IF($W1464=AF$3,$AB1464,IF(NOT($W1464=0),"",SUMIFS('Val-Vol (2)'!AF$4:AF$1858,'Val-Vol (2)'!$A$4:$A$1858,$D1464,'Val-Vol (2)'!$V$4:$V$1858,$V1464)/SUMIFS('Comp2016-2017 (3)'!$G$5:$G$289,'Comp2016-2017 (3)'!$A$5:$A$289,$D1464,'Comp2016-2017 (3)'!$R$5:$R$289,$V1464)*$AB1464))</f>
        <v/>
      </c>
      <c r="AG1464" s="222" t="str">
        <f>IF($W1464=AG$3,$AB1464,IF(NOT($W1464=0),"",SUMIFS('Val-Vol (2)'!AG$4:AG$1858,'Val-Vol (2)'!$A$4:$A$1858,$D1464,'Val-Vol (2)'!$V$4:$V$1858,$V1464)/SUMIFS('Comp2016-2017 (3)'!$G$5:$G$289,'Comp2016-2017 (3)'!$A$5:$A$289,$D1464,'Comp2016-2017 (3)'!$R$5:$R$289,$V1464)*$AB1464))</f>
        <v/>
      </c>
      <c r="AH1464" s="222" t="str">
        <f>IF($W1464=AH$3,$AB1464,IF(NOT($W1464=0),"",SUMIFS('Val-Vol (2)'!AH$4:AH$1858,'Val-Vol (2)'!$A$4:$A$1858,$D1464,'Val-Vol (2)'!$V$4:$V$1858,$V1464)/SUMIFS('Comp2016-2017 (3)'!$G$5:$G$289,'Comp2016-2017 (3)'!$A$5:$A$289,$D1464,'Comp2016-2017 (3)'!$R$5:$R$289,$V1464)*$AB1464))</f>
        <v/>
      </c>
      <c r="AI1464" s="222" t="str">
        <f>IF($W1464=AI$3,$AB1464,IF(NOT($W1464=0),"",SUMIFS('Val-Vol (2)'!AI$4:AI$1858,'Val-Vol (2)'!$A$4:$A$1858,$D1464,'Val-Vol (2)'!$V$4:$V$1858,$V1464)/SUMIFS('Comp2016-2017 (3)'!$G$5:$G$289,'Comp2016-2017 (3)'!$A$5:$A$289,$D1464,'Comp2016-2017 (3)'!$R$5:$R$289,$V1464)*$AB1464))</f>
        <v/>
      </c>
      <c r="AJ1464" s="222" t="str">
        <f>IF($W1464=AJ$3,$AB1464,IF(NOT($W1464=0),"",SUMIFS('Val-Vol (2)'!AJ$4:AJ$1858,'Val-Vol (2)'!$A$4:$A$1858,$D1464,'Val-Vol (2)'!$V$4:$V$1858,$V1464)/SUMIFS('Comp2016-2017 (3)'!$G$5:$G$289,'Comp2016-2017 (3)'!$A$5:$A$289,$D1464,'Comp2016-2017 (3)'!$R$5:$R$289,$V1464)*$AB1464))</f>
        <v/>
      </c>
      <c r="AK1464" s="222">
        <f t="shared" si="170"/>
        <v>0</v>
      </c>
      <c r="AL1464" s="212" t="str">
        <f t="shared" si="171"/>
        <v/>
      </c>
      <c r="AM1464" s="212" t="str">
        <f>VLOOKUP(A1464,'Table corresp.'!$M$4:$U$63,8,FALSE)</f>
        <v>Importation</v>
      </c>
      <c r="AN1464" s="212" t="str">
        <f>VLOOKUP(D1464,'Table corresp.'!$M$4:$U$63,9,FALSE)</f>
        <v>Production intermédiaire</v>
      </c>
    </row>
    <row r="1465" spans="1:40" x14ac:dyDescent="0.25">
      <c r="A1465" t="s">
        <v>52</v>
      </c>
      <c r="B1465" t="str">
        <f>VLOOKUP(LEFT(A1465,3),'Table corresp.'!$A$4:$D$63,3,FALSE)</f>
        <v>Importation</v>
      </c>
      <c r="C1465" t="str">
        <f>VLOOKUP(A1465,'Table corresp.'!$M$4:$P$63,4,FALSE)</f>
        <v>Importation</v>
      </c>
      <c r="D1465" t="s">
        <v>11</v>
      </c>
      <c r="E1465" t="str">
        <f>VLOOKUP(LEFT(D1465,3),'Table corresp.'!$A$4:$D$63,4,FALSE)</f>
        <v>Transformation</v>
      </c>
      <c r="F1465" t="str">
        <f t="shared" si="172"/>
        <v xml:space="preserve">Imp - 18 </v>
      </c>
      <c r="G1465" s="213">
        <v>0</v>
      </c>
      <c r="H1465" s="213">
        <v>50000.895999999979</v>
      </c>
      <c r="I1465" s="213">
        <v>50000.895999999979</v>
      </c>
      <c r="J1465" s="215"/>
      <c r="K1465" s="215"/>
      <c r="L1465" s="215"/>
      <c r="M1465" s="215">
        <v>0</v>
      </c>
      <c r="N1465" s="215">
        <v>876.05243299999995</v>
      </c>
      <c r="O1465" s="215">
        <v>876.05243299999995</v>
      </c>
      <c r="P1465" s="215"/>
      <c r="Q1465" s="215"/>
      <c r="R1465" s="215"/>
      <c r="S1465" s="213"/>
      <c r="T1465" s="212">
        <f>VLOOKUP(A1465,'Groupe de branches'!$Z$27:$AM$86,14,FALSE)</f>
        <v>0</v>
      </c>
      <c r="U1465" s="212">
        <f>VLOOKUP(D1465,'Groupe de branches'!$Z$27:$AM$86,14,FALSE)</f>
        <v>0</v>
      </c>
      <c r="V1465" s="212">
        <v>2019</v>
      </c>
      <c r="W1465" s="212">
        <f>VLOOKUP(D1465,'Table corresp.'!$M$4:$S$63,7,FALSE)</f>
        <v>0</v>
      </c>
      <c r="X1465" s="228">
        <f>IFERROR(G1465/SUMIFS('Comp2016-2017 (3)'!$I$5:$I$289,'Comp2016-2017 (3)'!$A$5:$A$289,A1465,'Comp2016-2017 (3)'!$R$5:$R$289,V1465),0)</f>
        <v>0</v>
      </c>
      <c r="Y1465" s="214">
        <f>IFERROR(IF(RIGHT(F1465,3)="Exp",VLOOKUP(F1465,#REF!,2,FALSE),VLOOKUP(F1465,#REF!,9,FALSE)),0)</f>
        <v>0</v>
      </c>
      <c r="Z1465" s="225">
        <f t="shared" si="168"/>
        <v>0</v>
      </c>
      <c r="AA1465" s="225">
        <f t="shared" si="169"/>
        <v>0</v>
      </c>
      <c r="AB1465" s="222">
        <f>IFERROR(SUMIFS('Comp2016-2017 (3)'!$G$5:$G$289,'Comp2016-2017 (3)'!$A$5:$A$289,A1465,'Comp2016-2017 (3)'!$R$5:$R$289,V1465)*AA1465/SUMIFS($AA$4:$AA$1858,$A$4:$A$1858,A1465,$V$4:$V$1858,V1465),0)</f>
        <v>0</v>
      </c>
      <c r="AC1465" s="222">
        <f>IF($W1465=AC$3,$AB1465,IF(NOT($W1465=0),"",SUMIFS('Val-Vol (2)'!AC$4:AC$1858,'Val-Vol (2)'!$A$4:$A$1858,$D1465,'Val-Vol (2)'!$V$4:$V$1858,$V1465)/SUMIFS('Comp2016-2017 (3)'!$G$5:$G$289,'Comp2016-2017 (3)'!$A$5:$A$289,$D1465,'Comp2016-2017 (3)'!$R$5:$R$289,$V1465)*$AB1465))</f>
        <v>0</v>
      </c>
      <c r="AD1465" s="222">
        <f>IF($W1465=AD$3,$AB1465,IF(NOT($W1465=0),"",SUMIFS('Val-Vol (2)'!AD$4:AD$1858,'Val-Vol (2)'!$A$4:$A$1858,$D1465,'Val-Vol (2)'!$V$4:$V$1858,$V1465)/SUMIFS('Comp2016-2017 (3)'!$G$5:$G$289,'Comp2016-2017 (3)'!$A$5:$A$289,$D1465,'Comp2016-2017 (3)'!$R$5:$R$289,$V1465)*$AB1465))</f>
        <v>0</v>
      </c>
      <c r="AE1465" s="222">
        <f>IF($W1465=AE$3,$AB1465,IF(NOT($W1465=0),"",SUMIFS('Val-Vol (2)'!AE$4:AE$1858,'Val-Vol (2)'!$A$4:$A$1858,$D1465,'Val-Vol (2)'!$V$4:$V$1858,$V1465)/SUMIFS('Comp2016-2017 (3)'!$G$5:$G$289,'Comp2016-2017 (3)'!$A$5:$A$289,$D1465,'Comp2016-2017 (3)'!$R$5:$R$289,$V1465)*$AB1465))</f>
        <v>0</v>
      </c>
      <c r="AF1465" s="222">
        <f>IF($W1465=AF$3,$AB1465,IF(NOT($W1465=0),"",SUMIFS('Val-Vol (2)'!AF$4:AF$1858,'Val-Vol (2)'!$A$4:$A$1858,$D1465,'Val-Vol (2)'!$V$4:$V$1858,$V1465)/SUMIFS('Comp2016-2017 (3)'!$G$5:$G$289,'Comp2016-2017 (3)'!$A$5:$A$289,$D1465,'Comp2016-2017 (3)'!$R$5:$R$289,$V1465)*$AB1465))</f>
        <v>0</v>
      </c>
      <c r="AG1465" s="222">
        <f>IF($W1465=AG$3,$AB1465,IF(NOT($W1465=0),"",SUMIFS('Val-Vol (2)'!AG$4:AG$1858,'Val-Vol (2)'!$A$4:$A$1858,$D1465,'Val-Vol (2)'!$V$4:$V$1858,$V1465)/SUMIFS('Comp2016-2017 (3)'!$G$5:$G$289,'Comp2016-2017 (3)'!$A$5:$A$289,$D1465,'Comp2016-2017 (3)'!$R$5:$R$289,$V1465)*$AB1465))</f>
        <v>0</v>
      </c>
      <c r="AH1465" s="222">
        <f>IF($W1465=AH$3,$AB1465,IF(NOT($W1465=0),"",SUMIFS('Val-Vol (2)'!AH$4:AH$1858,'Val-Vol (2)'!$A$4:$A$1858,$D1465,'Val-Vol (2)'!$V$4:$V$1858,$V1465)/SUMIFS('Comp2016-2017 (3)'!$G$5:$G$289,'Comp2016-2017 (3)'!$A$5:$A$289,$D1465,'Comp2016-2017 (3)'!$R$5:$R$289,$V1465)*$AB1465))</f>
        <v>0</v>
      </c>
      <c r="AI1465" s="222">
        <f>IF($W1465=AI$3,$AB1465,IF(NOT($W1465=0),"",SUMIFS('Val-Vol (2)'!AI$4:AI$1858,'Val-Vol (2)'!$A$4:$A$1858,$D1465,'Val-Vol (2)'!$V$4:$V$1858,$V1465)/SUMIFS('Comp2016-2017 (3)'!$G$5:$G$289,'Comp2016-2017 (3)'!$A$5:$A$289,$D1465,'Comp2016-2017 (3)'!$R$5:$R$289,$V1465)*$AB1465))</f>
        <v>0</v>
      </c>
      <c r="AJ1465" s="222">
        <f>IF($W1465=AJ$3,$AB1465,IF(NOT($W1465=0),"",SUMIFS('Val-Vol (2)'!AJ$4:AJ$1858,'Val-Vol (2)'!$A$4:$A$1858,$D1465,'Val-Vol (2)'!$V$4:$V$1858,$V1465)/SUMIFS('Comp2016-2017 (3)'!$G$5:$G$289,'Comp2016-2017 (3)'!$A$5:$A$289,$D1465,'Comp2016-2017 (3)'!$R$5:$R$289,$V1465)*$AB1465))</f>
        <v>0</v>
      </c>
      <c r="AK1465" s="222">
        <f t="shared" si="170"/>
        <v>0</v>
      </c>
      <c r="AL1465" s="212" t="str">
        <f t="shared" si="171"/>
        <v/>
      </c>
      <c r="AM1465" s="212" t="str">
        <f>VLOOKUP(A1465,'Table corresp.'!$M$4:$U$63,8,FALSE)</f>
        <v>Importation</v>
      </c>
      <c r="AN1465" s="212" t="str">
        <f>VLOOKUP(D1465,'Table corresp.'!$M$4:$U$63,9,FALSE)</f>
        <v>Production intermédiaire</v>
      </c>
    </row>
    <row r="1466" spans="1:40" x14ac:dyDescent="0.25">
      <c r="A1466" t="s">
        <v>52</v>
      </c>
      <c r="B1466" t="str">
        <f>VLOOKUP(LEFT(A1466,3),'Table corresp.'!$A$4:$D$63,3,FALSE)</f>
        <v>Importation</v>
      </c>
      <c r="C1466" t="str">
        <f>VLOOKUP(A1466,'Table corresp.'!$M$4:$P$63,4,FALSE)</f>
        <v>Importation</v>
      </c>
      <c r="D1466" t="s">
        <v>12</v>
      </c>
      <c r="E1466" t="str">
        <f>VLOOKUP(LEFT(D1466,3),'Table corresp.'!$A$4:$D$63,4,FALSE)</f>
        <v>Transformation</v>
      </c>
      <c r="F1466" t="str">
        <f t="shared" si="172"/>
        <v xml:space="preserve">Imp - 19 </v>
      </c>
      <c r="G1466" s="213">
        <v>0</v>
      </c>
      <c r="H1466" s="213">
        <v>58967.51399999993</v>
      </c>
      <c r="I1466" s="213">
        <v>58967.51399999993</v>
      </c>
      <c r="J1466" s="215"/>
      <c r="K1466" s="215"/>
      <c r="L1466" s="215"/>
      <c r="M1466" s="215"/>
      <c r="N1466" s="215"/>
      <c r="O1466" s="215"/>
      <c r="P1466" s="215">
        <v>0</v>
      </c>
      <c r="Q1466" s="215">
        <v>792.00816999999904</v>
      </c>
      <c r="R1466" s="215">
        <v>792.00816999999904</v>
      </c>
      <c r="S1466" s="213" t="s">
        <v>198</v>
      </c>
      <c r="T1466" s="212">
        <f>VLOOKUP(A1466,'Groupe de branches'!$Z$27:$AM$86,14,FALSE)</f>
        <v>0</v>
      </c>
      <c r="U1466" s="212">
        <f>VLOOKUP(D1466,'Groupe de branches'!$Z$27:$AM$86,14,FALSE)</f>
        <v>0</v>
      </c>
      <c r="V1466" s="212">
        <v>2019</v>
      </c>
      <c r="W1466" s="212" t="str">
        <f>VLOOKUP(D1466,'Table corresp.'!$M$4:$S$63,7,FALSE)</f>
        <v>Energie</v>
      </c>
      <c r="X1466" s="228">
        <f>IFERROR(G1466/SUMIFS('Comp2016-2017 (3)'!$I$5:$I$289,'Comp2016-2017 (3)'!$A$5:$A$289,A1466,'Comp2016-2017 (3)'!$R$5:$R$289,V1466),0)</f>
        <v>0</v>
      </c>
      <c r="Y1466" s="214">
        <f>IFERROR(IF(RIGHT(F1466,3)="Exp",VLOOKUP(F1466,#REF!,2,FALSE),VLOOKUP(F1466,#REF!,9,FALSE)),0)</f>
        <v>0</v>
      </c>
      <c r="Z1466" s="225">
        <f t="shared" si="168"/>
        <v>0</v>
      </c>
      <c r="AA1466" s="225">
        <f t="shared" si="169"/>
        <v>0</v>
      </c>
      <c r="AB1466" s="222">
        <f>IFERROR(SUMIFS('Comp2016-2017 (3)'!$G$5:$G$289,'Comp2016-2017 (3)'!$A$5:$A$289,A1466,'Comp2016-2017 (3)'!$R$5:$R$289,V1466)*AA1466/SUMIFS($AA$4:$AA$1858,$A$4:$A$1858,A1466,$V$4:$V$1858,V1466),0)</f>
        <v>0</v>
      </c>
      <c r="AC1466" s="222" t="str">
        <f>IF($W1466=AC$3,$AB1466,IF(NOT($W1466=0),"",SUMIFS('Val-Vol (2)'!AC$4:AC$1858,'Val-Vol (2)'!$A$4:$A$1858,$D1466,'Val-Vol (2)'!$V$4:$V$1858,$V1466)/SUMIFS('Comp2016-2017 (3)'!$G$5:$G$289,'Comp2016-2017 (3)'!$A$5:$A$289,$D1466,'Comp2016-2017 (3)'!$R$5:$R$289,$V1466)*$AB1466))</f>
        <v/>
      </c>
      <c r="AD1466" s="222" t="str">
        <f>IF($W1466=AD$3,$AB1466,IF(NOT($W1466=0),"",SUMIFS('Val-Vol (2)'!AD$4:AD$1858,'Val-Vol (2)'!$A$4:$A$1858,$D1466,'Val-Vol (2)'!$V$4:$V$1858,$V1466)/SUMIFS('Comp2016-2017 (3)'!$G$5:$G$289,'Comp2016-2017 (3)'!$A$5:$A$289,$D1466,'Comp2016-2017 (3)'!$R$5:$R$289,$V1466)*$AB1466))</f>
        <v/>
      </c>
      <c r="AE1466" s="222" t="str">
        <f>IF($W1466=AE$3,$AB1466,IF(NOT($W1466=0),"",SUMIFS('Val-Vol (2)'!AE$4:AE$1858,'Val-Vol (2)'!$A$4:$A$1858,$D1466,'Val-Vol (2)'!$V$4:$V$1858,$V1466)/SUMIFS('Comp2016-2017 (3)'!$G$5:$G$289,'Comp2016-2017 (3)'!$A$5:$A$289,$D1466,'Comp2016-2017 (3)'!$R$5:$R$289,$V1466)*$AB1466))</f>
        <v/>
      </c>
      <c r="AF1466" s="222" t="str">
        <f>IF($W1466=AF$3,$AB1466,IF(NOT($W1466=0),"",SUMIFS('Val-Vol (2)'!AF$4:AF$1858,'Val-Vol (2)'!$A$4:$A$1858,$D1466,'Val-Vol (2)'!$V$4:$V$1858,$V1466)/SUMIFS('Comp2016-2017 (3)'!$G$5:$G$289,'Comp2016-2017 (3)'!$A$5:$A$289,$D1466,'Comp2016-2017 (3)'!$R$5:$R$289,$V1466)*$AB1466))</f>
        <v/>
      </c>
      <c r="AG1466" s="222" t="str">
        <f>IF($W1466=AG$3,$AB1466,IF(NOT($W1466=0),"",SUMIFS('Val-Vol (2)'!AG$4:AG$1858,'Val-Vol (2)'!$A$4:$A$1858,$D1466,'Val-Vol (2)'!$V$4:$V$1858,$V1466)/SUMIFS('Comp2016-2017 (3)'!$G$5:$G$289,'Comp2016-2017 (3)'!$A$5:$A$289,$D1466,'Comp2016-2017 (3)'!$R$5:$R$289,$V1466)*$AB1466))</f>
        <v/>
      </c>
      <c r="AH1466" s="222">
        <f>IF($W1466=AH$3,$AB1466,IF(NOT($W1466=0),"",SUMIFS('Val-Vol (2)'!AH$4:AH$1858,'Val-Vol (2)'!$A$4:$A$1858,$D1466,'Val-Vol (2)'!$V$4:$V$1858,$V1466)/SUMIFS('Comp2016-2017 (3)'!$G$5:$G$289,'Comp2016-2017 (3)'!$A$5:$A$289,$D1466,'Comp2016-2017 (3)'!$R$5:$R$289,$V1466)*$AB1466))</f>
        <v>0</v>
      </c>
      <c r="AI1466" s="222" t="str">
        <f>IF($W1466=AI$3,$AB1466,IF(NOT($W1466=0),"",SUMIFS('Val-Vol (2)'!AI$4:AI$1858,'Val-Vol (2)'!$A$4:$A$1858,$D1466,'Val-Vol (2)'!$V$4:$V$1858,$V1466)/SUMIFS('Comp2016-2017 (3)'!$G$5:$G$289,'Comp2016-2017 (3)'!$A$5:$A$289,$D1466,'Comp2016-2017 (3)'!$R$5:$R$289,$V1466)*$AB1466))</f>
        <v/>
      </c>
      <c r="AJ1466" s="222" t="str">
        <f>IF($W1466=AJ$3,$AB1466,IF(NOT($W1466=0),"",SUMIFS('Val-Vol (2)'!AJ$4:AJ$1858,'Val-Vol (2)'!$A$4:$A$1858,$D1466,'Val-Vol (2)'!$V$4:$V$1858,$V1466)/SUMIFS('Comp2016-2017 (3)'!$G$5:$G$289,'Comp2016-2017 (3)'!$A$5:$A$289,$D1466,'Comp2016-2017 (3)'!$R$5:$R$289,$V1466)*$AB1466))</f>
        <v/>
      </c>
      <c r="AK1466" s="222">
        <f t="shared" si="170"/>
        <v>0</v>
      </c>
      <c r="AL1466" s="212" t="str">
        <f t="shared" si="171"/>
        <v/>
      </c>
      <c r="AM1466" s="212" t="str">
        <f>VLOOKUP(A1466,'Table corresp.'!$M$4:$U$63,8,FALSE)</f>
        <v>Importation</v>
      </c>
      <c r="AN1466" s="212" t="str">
        <f>VLOOKUP(D1466,'Table corresp.'!$M$4:$U$63,9,FALSE)</f>
        <v>Production intermédiaire</v>
      </c>
    </row>
    <row r="1467" spans="1:40" x14ac:dyDescent="0.25">
      <c r="A1467" t="s">
        <v>52</v>
      </c>
      <c r="B1467" t="str">
        <f>VLOOKUP(LEFT(A1467,3),'Table corresp.'!$A$4:$D$63,3,FALSE)</f>
        <v>Importation</v>
      </c>
      <c r="C1467" t="str">
        <f>VLOOKUP(A1467,'Table corresp.'!$M$4:$P$63,4,FALSE)</f>
        <v>Importation</v>
      </c>
      <c r="D1467" t="s">
        <v>13</v>
      </c>
      <c r="E1467" t="str">
        <f>VLOOKUP(LEFT(D1467,3),'Table corresp.'!$A$4:$D$63,4,FALSE)</f>
        <v>Transformation</v>
      </c>
      <c r="F1467" t="str">
        <f t="shared" si="172"/>
        <v xml:space="preserve">Imp - 20 </v>
      </c>
      <c r="G1467" s="213">
        <v>0</v>
      </c>
      <c r="H1467" s="213">
        <v>293522.59299999924</v>
      </c>
      <c r="I1467" s="213">
        <v>293522.59299999924</v>
      </c>
      <c r="J1467" s="215">
        <v>0</v>
      </c>
      <c r="K1467" s="215">
        <v>820.0286180119175</v>
      </c>
      <c r="L1467" s="215">
        <v>820.0286180119175</v>
      </c>
      <c r="M1467" s="215"/>
      <c r="N1467" s="215"/>
      <c r="O1467" s="215"/>
      <c r="P1467" s="215"/>
      <c r="Q1467" s="215"/>
      <c r="R1467" s="215"/>
      <c r="S1467" s="213"/>
      <c r="T1467" s="212">
        <f>VLOOKUP(A1467,'Groupe de branches'!$Z$27:$AM$86,14,FALSE)</f>
        <v>0</v>
      </c>
      <c r="U1467" s="212">
        <f>VLOOKUP(D1467,'Groupe de branches'!$Z$27:$AM$86,14,FALSE)</f>
        <v>0</v>
      </c>
      <c r="V1467" s="212">
        <v>2019</v>
      </c>
      <c r="W1467" s="212">
        <f>VLOOKUP(D1467,'Table corresp.'!$M$4:$S$63,7,FALSE)</f>
        <v>0</v>
      </c>
      <c r="X1467" s="228">
        <f>IFERROR(G1467/SUMIFS('Comp2016-2017 (3)'!$I$5:$I$289,'Comp2016-2017 (3)'!$A$5:$A$289,A1467,'Comp2016-2017 (3)'!$R$5:$R$289,V1467),0)</f>
        <v>0</v>
      </c>
      <c r="Y1467" s="214">
        <f>IFERROR(IF(RIGHT(F1467,3)="Exp",VLOOKUP(F1467,#REF!,2,FALSE),VLOOKUP(F1467,#REF!,9,FALSE)),0)</f>
        <v>0</v>
      </c>
      <c r="Z1467" s="225">
        <f t="shared" si="168"/>
        <v>0</v>
      </c>
      <c r="AA1467" s="225">
        <f t="shared" si="169"/>
        <v>0</v>
      </c>
      <c r="AB1467" s="222">
        <f>IFERROR(SUMIFS('Comp2016-2017 (3)'!$G$5:$G$289,'Comp2016-2017 (3)'!$A$5:$A$289,A1467,'Comp2016-2017 (3)'!$R$5:$R$289,V1467)*AA1467/SUMIFS($AA$4:$AA$1858,$A$4:$A$1858,A1467,$V$4:$V$1858,V1467),0)</f>
        <v>0</v>
      </c>
      <c r="AC1467" s="222">
        <f>IF($W1467=AC$3,$AB1467,IF(NOT($W1467=0),"",SUMIFS('Val-Vol (2)'!AC$4:AC$1858,'Val-Vol (2)'!$A$4:$A$1858,$D1467,'Val-Vol (2)'!$V$4:$V$1858,$V1467)/SUMIFS('Comp2016-2017 (3)'!$G$5:$G$289,'Comp2016-2017 (3)'!$A$5:$A$289,$D1467,'Comp2016-2017 (3)'!$R$5:$R$289,$V1467)*$AB1467))</f>
        <v>0</v>
      </c>
      <c r="AD1467" s="222">
        <f>IF($W1467=AD$3,$AB1467,IF(NOT($W1467=0),"",SUMIFS('Val-Vol (2)'!AD$4:AD$1858,'Val-Vol (2)'!$A$4:$A$1858,$D1467,'Val-Vol (2)'!$V$4:$V$1858,$V1467)/SUMIFS('Comp2016-2017 (3)'!$G$5:$G$289,'Comp2016-2017 (3)'!$A$5:$A$289,$D1467,'Comp2016-2017 (3)'!$R$5:$R$289,$V1467)*$AB1467))</f>
        <v>0</v>
      </c>
      <c r="AE1467" s="222">
        <f>IF($W1467=AE$3,$AB1467,IF(NOT($W1467=0),"",SUMIFS('Val-Vol (2)'!AE$4:AE$1858,'Val-Vol (2)'!$A$4:$A$1858,$D1467,'Val-Vol (2)'!$V$4:$V$1858,$V1467)/SUMIFS('Comp2016-2017 (3)'!$G$5:$G$289,'Comp2016-2017 (3)'!$A$5:$A$289,$D1467,'Comp2016-2017 (3)'!$R$5:$R$289,$V1467)*$AB1467))</f>
        <v>0</v>
      </c>
      <c r="AF1467" s="222">
        <f>IF($W1467=AF$3,$AB1467,IF(NOT($W1467=0),"",SUMIFS('Val-Vol (2)'!AF$4:AF$1858,'Val-Vol (2)'!$A$4:$A$1858,$D1467,'Val-Vol (2)'!$V$4:$V$1858,$V1467)/SUMIFS('Comp2016-2017 (3)'!$G$5:$G$289,'Comp2016-2017 (3)'!$A$5:$A$289,$D1467,'Comp2016-2017 (3)'!$R$5:$R$289,$V1467)*$AB1467))</f>
        <v>0</v>
      </c>
      <c r="AG1467" s="222">
        <f>IF($W1467=AG$3,$AB1467,IF(NOT($W1467=0),"",SUMIFS('Val-Vol (2)'!AG$4:AG$1858,'Val-Vol (2)'!$A$4:$A$1858,$D1467,'Val-Vol (2)'!$V$4:$V$1858,$V1467)/SUMIFS('Comp2016-2017 (3)'!$G$5:$G$289,'Comp2016-2017 (3)'!$A$5:$A$289,$D1467,'Comp2016-2017 (3)'!$R$5:$R$289,$V1467)*$AB1467))</f>
        <v>0</v>
      </c>
      <c r="AH1467" s="222">
        <f>IF($W1467=AH$3,$AB1467,IF(NOT($W1467=0),"",SUMIFS('Val-Vol (2)'!AH$4:AH$1858,'Val-Vol (2)'!$A$4:$A$1858,$D1467,'Val-Vol (2)'!$V$4:$V$1858,$V1467)/SUMIFS('Comp2016-2017 (3)'!$G$5:$G$289,'Comp2016-2017 (3)'!$A$5:$A$289,$D1467,'Comp2016-2017 (3)'!$R$5:$R$289,$V1467)*$AB1467))</f>
        <v>0</v>
      </c>
      <c r="AI1467" s="222">
        <f>IF($W1467=AI$3,$AB1467,IF(NOT($W1467=0),"",SUMIFS('Val-Vol (2)'!AI$4:AI$1858,'Val-Vol (2)'!$A$4:$A$1858,$D1467,'Val-Vol (2)'!$V$4:$V$1858,$V1467)/SUMIFS('Comp2016-2017 (3)'!$G$5:$G$289,'Comp2016-2017 (3)'!$A$5:$A$289,$D1467,'Comp2016-2017 (3)'!$R$5:$R$289,$V1467)*$AB1467))</f>
        <v>0</v>
      </c>
      <c r="AJ1467" s="222">
        <f>IF($W1467=AJ$3,$AB1467,IF(NOT($W1467=0),"",SUMIFS('Val-Vol (2)'!AJ$4:AJ$1858,'Val-Vol (2)'!$A$4:$A$1858,$D1467,'Val-Vol (2)'!$V$4:$V$1858,$V1467)/SUMIFS('Comp2016-2017 (3)'!$G$5:$G$289,'Comp2016-2017 (3)'!$A$5:$A$289,$D1467,'Comp2016-2017 (3)'!$R$5:$R$289,$V1467)*$AB1467))</f>
        <v>0</v>
      </c>
      <c r="AK1467" s="222">
        <f t="shared" si="170"/>
        <v>0</v>
      </c>
      <c r="AL1467" s="212" t="str">
        <f t="shared" si="171"/>
        <v/>
      </c>
      <c r="AM1467" s="212" t="str">
        <f>VLOOKUP(A1467,'Table corresp.'!$M$4:$U$63,8,FALSE)</f>
        <v>Importation</v>
      </c>
      <c r="AN1467" s="212" t="str">
        <f>VLOOKUP(D1467,'Table corresp.'!$M$4:$U$63,9,FALSE)</f>
        <v>Production intermédiaire</v>
      </c>
    </row>
    <row r="1468" spans="1:40" x14ac:dyDescent="0.25">
      <c r="A1468" t="s">
        <v>52</v>
      </c>
      <c r="B1468" t="str">
        <f>VLOOKUP(LEFT(A1468,3),'Table corresp.'!$A$4:$D$63,3,FALSE)</f>
        <v>Importation</v>
      </c>
      <c r="C1468" t="str">
        <f>VLOOKUP(A1468,'Table corresp.'!$M$4:$P$63,4,FALSE)</f>
        <v>Importation</v>
      </c>
      <c r="D1468" t="s">
        <v>14</v>
      </c>
      <c r="E1468" t="str">
        <f>VLOOKUP(LEFT(D1468,3),'Table corresp.'!$A$4:$D$63,4,FALSE)</f>
        <v>Transformation</v>
      </c>
      <c r="F1468" t="str">
        <f t="shared" si="172"/>
        <v>Imp - 20b</v>
      </c>
      <c r="G1468" s="213">
        <v>0</v>
      </c>
      <c r="H1468" s="213">
        <v>445319.010490541</v>
      </c>
      <c r="I1468" s="213">
        <v>445319.010490541</v>
      </c>
      <c r="J1468" s="215">
        <v>0</v>
      </c>
      <c r="K1468" s="215">
        <v>1680.9875204331133</v>
      </c>
      <c r="L1468" s="215">
        <v>1680.9875204331133</v>
      </c>
      <c r="M1468" s="215"/>
      <c r="N1468" s="215"/>
      <c r="O1468" s="215"/>
      <c r="P1468" s="215"/>
      <c r="Q1468" s="215"/>
      <c r="R1468" s="215"/>
      <c r="S1468" s="213"/>
      <c r="T1468" s="212">
        <f>VLOOKUP(A1468,'Groupe de branches'!$Z$27:$AM$86,14,FALSE)</f>
        <v>0</v>
      </c>
      <c r="U1468" s="212">
        <f>VLOOKUP(D1468,'Groupe de branches'!$Z$27:$AM$86,14,FALSE)</f>
        <v>0</v>
      </c>
      <c r="V1468" s="212">
        <v>2019</v>
      </c>
      <c r="W1468" s="212">
        <f>VLOOKUP(D1468,'Table corresp.'!$M$4:$S$63,7,FALSE)</f>
        <v>0</v>
      </c>
      <c r="X1468" s="228">
        <f>IFERROR(G1468/SUMIFS('Comp2016-2017 (3)'!$I$5:$I$289,'Comp2016-2017 (3)'!$A$5:$A$289,A1468,'Comp2016-2017 (3)'!$R$5:$R$289,V1468),0)</f>
        <v>0</v>
      </c>
      <c r="Y1468" s="214">
        <f>IFERROR(IF(RIGHT(F1468,3)="Exp",VLOOKUP(F1468,#REF!,2,FALSE),VLOOKUP(F1468,#REF!,9,FALSE)),0)</f>
        <v>0</v>
      </c>
      <c r="Z1468" s="225">
        <f t="shared" si="168"/>
        <v>0</v>
      </c>
      <c r="AA1468" s="225">
        <f t="shared" si="169"/>
        <v>0</v>
      </c>
      <c r="AB1468" s="222">
        <f>IFERROR(SUMIFS('Comp2016-2017 (3)'!$G$5:$G$289,'Comp2016-2017 (3)'!$A$5:$A$289,A1468,'Comp2016-2017 (3)'!$R$5:$R$289,V1468)*AA1468/SUMIFS($AA$4:$AA$1858,$A$4:$A$1858,A1468,$V$4:$V$1858,V1468),0)</f>
        <v>0</v>
      </c>
      <c r="AC1468" s="222">
        <f>IF($W1468=AC$3,$AB1468,IF(NOT($W1468=0),"",SUMIFS('Val-Vol (2)'!AC$4:AC$1858,'Val-Vol (2)'!$A$4:$A$1858,$D1468,'Val-Vol (2)'!$V$4:$V$1858,$V1468)/SUMIFS('Comp2016-2017 (3)'!$G$5:$G$289,'Comp2016-2017 (3)'!$A$5:$A$289,$D1468,'Comp2016-2017 (3)'!$R$5:$R$289,$V1468)*$AB1468))</f>
        <v>0</v>
      </c>
      <c r="AD1468" s="222">
        <f>IF($W1468=AD$3,$AB1468,IF(NOT($W1468=0),"",SUMIFS('Val-Vol (2)'!AD$4:AD$1858,'Val-Vol (2)'!$A$4:$A$1858,$D1468,'Val-Vol (2)'!$V$4:$V$1858,$V1468)/SUMIFS('Comp2016-2017 (3)'!$G$5:$G$289,'Comp2016-2017 (3)'!$A$5:$A$289,$D1468,'Comp2016-2017 (3)'!$R$5:$R$289,$V1468)*$AB1468))</f>
        <v>0</v>
      </c>
      <c r="AE1468" s="222">
        <f>IF($W1468=AE$3,$AB1468,IF(NOT($W1468=0),"",SUMIFS('Val-Vol (2)'!AE$4:AE$1858,'Val-Vol (2)'!$A$4:$A$1858,$D1468,'Val-Vol (2)'!$V$4:$V$1858,$V1468)/SUMIFS('Comp2016-2017 (3)'!$G$5:$G$289,'Comp2016-2017 (3)'!$A$5:$A$289,$D1468,'Comp2016-2017 (3)'!$R$5:$R$289,$V1468)*$AB1468))</f>
        <v>0</v>
      </c>
      <c r="AF1468" s="222">
        <f>IF($W1468=AF$3,$AB1468,IF(NOT($W1468=0),"",SUMIFS('Val-Vol (2)'!AF$4:AF$1858,'Val-Vol (2)'!$A$4:$A$1858,$D1468,'Val-Vol (2)'!$V$4:$V$1858,$V1468)/SUMIFS('Comp2016-2017 (3)'!$G$5:$G$289,'Comp2016-2017 (3)'!$A$5:$A$289,$D1468,'Comp2016-2017 (3)'!$R$5:$R$289,$V1468)*$AB1468))</f>
        <v>0</v>
      </c>
      <c r="AG1468" s="222">
        <f>IF($W1468=AG$3,$AB1468,IF(NOT($W1468=0),"",SUMIFS('Val-Vol (2)'!AG$4:AG$1858,'Val-Vol (2)'!$A$4:$A$1858,$D1468,'Val-Vol (2)'!$V$4:$V$1858,$V1468)/SUMIFS('Comp2016-2017 (3)'!$G$5:$G$289,'Comp2016-2017 (3)'!$A$5:$A$289,$D1468,'Comp2016-2017 (3)'!$R$5:$R$289,$V1468)*$AB1468))</f>
        <v>0</v>
      </c>
      <c r="AH1468" s="222">
        <f>IF($W1468=AH$3,$AB1468,IF(NOT($W1468=0),"",SUMIFS('Val-Vol (2)'!AH$4:AH$1858,'Val-Vol (2)'!$A$4:$A$1858,$D1468,'Val-Vol (2)'!$V$4:$V$1858,$V1468)/SUMIFS('Comp2016-2017 (3)'!$G$5:$G$289,'Comp2016-2017 (3)'!$A$5:$A$289,$D1468,'Comp2016-2017 (3)'!$R$5:$R$289,$V1468)*$AB1468))</f>
        <v>0</v>
      </c>
      <c r="AI1468" s="222">
        <f>IF($W1468=AI$3,$AB1468,IF(NOT($W1468=0),"",SUMIFS('Val-Vol (2)'!AI$4:AI$1858,'Val-Vol (2)'!$A$4:$A$1858,$D1468,'Val-Vol (2)'!$V$4:$V$1858,$V1468)/SUMIFS('Comp2016-2017 (3)'!$G$5:$G$289,'Comp2016-2017 (3)'!$A$5:$A$289,$D1468,'Comp2016-2017 (3)'!$R$5:$R$289,$V1468)*$AB1468))</f>
        <v>0</v>
      </c>
      <c r="AJ1468" s="222">
        <f>IF($W1468=AJ$3,$AB1468,IF(NOT($W1468=0),"",SUMIFS('Val-Vol (2)'!AJ$4:AJ$1858,'Val-Vol (2)'!$A$4:$A$1858,$D1468,'Val-Vol (2)'!$V$4:$V$1858,$V1468)/SUMIFS('Comp2016-2017 (3)'!$G$5:$G$289,'Comp2016-2017 (3)'!$A$5:$A$289,$D1468,'Comp2016-2017 (3)'!$R$5:$R$289,$V1468)*$AB1468))</f>
        <v>0</v>
      </c>
      <c r="AK1468" s="222">
        <f t="shared" si="170"/>
        <v>0</v>
      </c>
      <c r="AL1468" s="212" t="str">
        <f t="shared" si="171"/>
        <v/>
      </c>
      <c r="AM1468" s="212" t="str">
        <f>VLOOKUP(A1468,'Table corresp.'!$M$4:$U$63,8,FALSE)</f>
        <v>Importation</v>
      </c>
      <c r="AN1468" s="212" t="str">
        <f>VLOOKUP(D1468,'Table corresp.'!$M$4:$U$63,9,FALSE)</f>
        <v>Production intermédiaire</v>
      </c>
    </row>
    <row r="1469" spans="1:40" x14ac:dyDescent="0.25">
      <c r="A1469" t="s">
        <v>52</v>
      </c>
      <c r="B1469" t="str">
        <f>VLOOKUP(LEFT(A1469,3),'Table corresp.'!$A$4:$D$63,3,FALSE)</f>
        <v>Importation</v>
      </c>
      <c r="C1469" t="str">
        <f>VLOOKUP(A1469,'Table corresp.'!$M$4:$P$63,4,FALSE)</f>
        <v>Importation</v>
      </c>
      <c r="D1469" t="s">
        <v>85</v>
      </c>
      <c r="E1469" t="str">
        <f>VLOOKUP(LEFT(D1469,3),'Table corresp.'!$A$4:$D$63,4,FALSE)</f>
        <v>Transformation</v>
      </c>
      <c r="F1469" t="str">
        <f t="shared" si="172"/>
        <v xml:space="preserve">Imp - 29 </v>
      </c>
      <c r="G1469" s="213">
        <v>0</v>
      </c>
      <c r="H1469" s="213">
        <v>194790</v>
      </c>
      <c r="I1469" s="213">
        <v>194790</v>
      </c>
      <c r="J1469" s="215">
        <v>0</v>
      </c>
      <c r="K1469" s="215">
        <v>810.61826229568101</v>
      </c>
      <c r="L1469" s="215">
        <v>810.61826229568101</v>
      </c>
      <c r="M1469" s="215"/>
      <c r="N1469" s="215"/>
      <c r="O1469" s="215"/>
      <c r="P1469" s="215"/>
      <c r="Q1469" s="215"/>
      <c r="R1469" s="215"/>
      <c r="S1469" s="213"/>
      <c r="T1469" s="212">
        <f>VLOOKUP(A1469,'Groupe de branches'!$Z$27:$AM$86,14,FALSE)</f>
        <v>0</v>
      </c>
      <c r="U1469" s="212">
        <f>VLOOKUP(D1469,'Groupe de branches'!$Z$27:$AM$86,14,FALSE)</f>
        <v>0</v>
      </c>
      <c r="V1469" s="212">
        <v>2019</v>
      </c>
      <c r="W1469" s="212" t="str">
        <f>VLOOKUP(D1469,'Table corresp.'!$M$4:$S$63,7,FALSE)</f>
        <v>Construction</v>
      </c>
      <c r="X1469" s="228">
        <f>IFERROR(G1469/SUMIFS('Comp2016-2017 (3)'!$I$5:$I$289,'Comp2016-2017 (3)'!$A$5:$A$289,A1469,'Comp2016-2017 (3)'!$R$5:$R$289,V1469),0)</f>
        <v>0</v>
      </c>
      <c r="Y1469" s="214">
        <f>IFERROR(IF(RIGHT(F1469,3)="Exp",VLOOKUP(F1469,#REF!,2,FALSE),VLOOKUP(F1469,#REF!,9,FALSE)),0)</f>
        <v>0</v>
      </c>
      <c r="Z1469" s="225">
        <f t="shared" si="168"/>
        <v>0</v>
      </c>
      <c r="AA1469" s="225">
        <f t="shared" si="169"/>
        <v>0</v>
      </c>
      <c r="AB1469" s="222">
        <f>IFERROR(SUMIFS('Comp2016-2017 (3)'!$G$5:$G$289,'Comp2016-2017 (3)'!$A$5:$A$289,A1469,'Comp2016-2017 (3)'!$R$5:$R$289,V1469)*AA1469/SUMIFS($AA$4:$AA$1858,$A$4:$A$1858,A1469,$V$4:$V$1858,V1469),0)</f>
        <v>0</v>
      </c>
      <c r="AC1469" s="222" t="str">
        <f>IF($W1469=AC$3,$AB1469,IF(NOT($W1469=0),"",SUMIFS('Val-Vol (2)'!AC$4:AC$1858,'Val-Vol (2)'!$A$4:$A$1858,$D1469,'Val-Vol (2)'!$V$4:$V$1858,$V1469)/SUMIFS('Comp2016-2017 (3)'!$G$5:$G$289,'Comp2016-2017 (3)'!$A$5:$A$289,$D1469,'Comp2016-2017 (3)'!$R$5:$R$289,$V1469)*$AB1469))</f>
        <v/>
      </c>
      <c r="AD1469" s="222">
        <f>IF($W1469=AD$3,$AB1469,IF(NOT($W1469=0),"",SUMIFS('Val-Vol (2)'!AD$4:AD$1858,'Val-Vol (2)'!$A$4:$A$1858,$D1469,'Val-Vol (2)'!$V$4:$V$1858,$V1469)/SUMIFS('Comp2016-2017 (3)'!$G$5:$G$289,'Comp2016-2017 (3)'!$A$5:$A$289,$D1469,'Comp2016-2017 (3)'!$R$5:$R$289,$V1469)*$AB1469))</f>
        <v>0</v>
      </c>
      <c r="AE1469" s="222" t="str">
        <f>IF($W1469=AE$3,$AB1469,IF(NOT($W1469=0),"",SUMIFS('Val-Vol (2)'!AE$4:AE$1858,'Val-Vol (2)'!$A$4:$A$1858,$D1469,'Val-Vol (2)'!$V$4:$V$1858,$V1469)/SUMIFS('Comp2016-2017 (3)'!$G$5:$G$289,'Comp2016-2017 (3)'!$A$5:$A$289,$D1469,'Comp2016-2017 (3)'!$R$5:$R$289,$V1469)*$AB1469))</f>
        <v/>
      </c>
      <c r="AF1469" s="222" t="str">
        <f>IF($W1469=AF$3,$AB1469,IF(NOT($W1469=0),"",SUMIFS('Val-Vol (2)'!AF$4:AF$1858,'Val-Vol (2)'!$A$4:$A$1858,$D1469,'Val-Vol (2)'!$V$4:$V$1858,$V1469)/SUMIFS('Comp2016-2017 (3)'!$G$5:$G$289,'Comp2016-2017 (3)'!$A$5:$A$289,$D1469,'Comp2016-2017 (3)'!$R$5:$R$289,$V1469)*$AB1469))</f>
        <v/>
      </c>
      <c r="AG1469" s="222" t="str">
        <f>IF($W1469=AG$3,$AB1469,IF(NOT($W1469=0),"",SUMIFS('Val-Vol (2)'!AG$4:AG$1858,'Val-Vol (2)'!$A$4:$A$1858,$D1469,'Val-Vol (2)'!$V$4:$V$1858,$V1469)/SUMIFS('Comp2016-2017 (3)'!$G$5:$G$289,'Comp2016-2017 (3)'!$A$5:$A$289,$D1469,'Comp2016-2017 (3)'!$R$5:$R$289,$V1469)*$AB1469))</f>
        <v/>
      </c>
      <c r="AH1469" s="222" t="str">
        <f>IF($W1469=AH$3,$AB1469,IF(NOT($W1469=0),"",SUMIFS('Val-Vol (2)'!AH$4:AH$1858,'Val-Vol (2)'!$A$4:$A$1858,$D1469,'Val-Vol (2)'!$V$4:$V$1858,$V1469)/SUMIFS('Comp2016-2017 (3)'!$G$5:$G$289,'Comp2016-2017 (3)'!$A$5:$A$289,$D1469,'Comp2016-2017 (3)'!$R$5:$R$289,$V1469)*$AB1469))</f>
        <v/>
      </c>
      <c r="AI1469" s="222" t="str">
        <f>IF($W1469=AI$3,$AB1469,IF(NOT($W1469=0),"",SUMIFS('Val-Vol (2)'!AI$4:AI$1858,'Val-Vol (2)'!$A$4:$A$1858,$D1469,'Val-Vol (2)'!$V$4:$V$1858,$V1469)/SUMIFS('Comp2016-2017 (3)'!$G$5:$G$289,'Comp2016-2017 (3)'!$A$5:$A$289,$D1469,'Comp2016-2017 (3)'!$R$5:$R$289,$V1469)*$AB1469))</f>
        <v/>
      </c>
      <c r="AJ1469" s="222" t="str">
        <f>IF($W1469=AJ$3,$AB1469,IF(NOT($W1469=0),"",SUMIFS('Val-Vol (2)'!AJ$4:AJ$1858,'Val-Vol (2)'!$A$4:$A$1858,$D1469,'Val-Vol (2)'!$V$4:$V$1858,$V1469)/SUMIFS('Comp2016-2017 (3)'!$G$5:$G$289,'Comp2016-2017 (3)'!$A$5:$A$289,$D1469,'Comp2016-2017 (3)'!$R$5:$R$289,$V1469)*$AB1469))</f>
        <v/>
      </c>
      <c r="AK1469" s="222">
        <f t="shared" si="170"/>
        <v>0</v>
      </c>
      <c r="AL1469" s="212" t="str">
        <f t="shared" si="171"/>
        <v/>
      </c>
      <c r="AM1469" s="212" t="str">
        <f>VLOOKUP(A1469,'Table corresp.'!$M$4:$U$63,8,FALSE)</f>
        <v>Importation</v>
      </c>
      <c r="AN1469" s="212" t="str">
        <f>VLOOKUP(D1469,'Table corresp.'!$M$4:$U$63,9,FALSE)</f>
        <v>Production intermédiaire</v>
      </c>
    </row>
    <row r="1470" spans="1:40" x14ac:dyDescent="0.25">
      <c r="A1470" t="s">
        <v>52</v>
      </c>
      <c r="B1470" t="str">
        <f>VLOOKUP(LEFT(A1470,3),'Table corresp.'!$A$4:$D$63,3,FALSE)</f>
        <v>Importation</v>
      </c>
      <c r="C1470" t="str">
        <f>VLOOKUP(A1470,'Table corresp.'!$M$4:$P$63,4,FALSE)</f>
        <v>Importation</v>
      </c>
      <c r="D1470" t="s">
        <v>86</v>
      </c>
      <c r="E1470" t="str">
        <f>VLOOKUP(LEFT(D1470,3),'Table corresp.'!$A$4:$D$63,4,FALSE)</f>
        <v>Transformation</v>
      </c>
      <c r="F1470" t="str">
        <f t="shared" si="172"/>
        <v xml:space="preserve">Imp - 30 </v>
      </c>
      <c r="G1470" s="213">
        <v>0</v>
      </c>
      <c r="H1470" s="213">
        <v>148790.32499999981</v>
      </c>
      <c r="I1470" s="213">
        <v>148790.32499999981</v>
      </c>
      <c r="J1470" s="215"/>
      <c r="K1470" s="215"/>
      <c r="L1470" s="215"/>
      <c r="M1470" s="215"/>
      <c r="N1470" s="215"/>
      <c r="O1470" s="215"/>
      <c r="P1470" s="215">
        <v>0</v>
      </c>
      <c r="Q1470" s="215">
        <v>1470.3291060368335</v>
      </c>
      <c r="R1470" s="215">
        <v>1470.3291060368335</v>
      </c>
      <c r="S1470" s="213" t="s">
        <v>198</v>
      </c>
      <c r="T1470" s="212">
        <f>VLOOKUP(A1470,'Groupe de branches'!$Z$27:$AM$86,14,FALSE)</f>
        <v>0</v>
      </c>
      <c r="U1470" s="212">
        <f>VLOOKUP(D1470,'Groupe de branches'!$Z$27:$AM$86,14,FALSE)</f>
        <v>1</v>
      </c>
      <c r="V1470" s="212">
        <v>2019</v>
      </c>
      <c r="W1470" s="212" t="str">
        <f>VLOOKUP(D1470,'Table corresp.'!$M$4:$S$63,7,FALSE)</f>
        <v>Energie</v>
      </c>
      <c r="X1470" s="228">
        <f>IFERROR(G1470/SUMIFS('Comp2016-2017 (3)'!$I$5:$I$289,'Comp2016-2017 (3)'!$A$5:$A$289,A1470,'Comp2016-2017 (3)'!$R$5:$R$289,V1470),0)</f>
        <v>0</v>
      </c>
      <c r="Y1470" s="214">
        <f>IFERROR(IF(RIGHT(F1470,3)="Exp",VLOOKUP(F1470,#REF!,2,FALSE),VLOOKUP(F1470,#REF!,9,FALSE)),0)</f>
        <v>0</v>
      </c>
      <c r="Z1470" s="225">
        <f t="shared" si="168"/>
        <v>0</v>
      </c>
      <c r="AA1470" s="225">
        <f t="shared" si="169"/>
        <v>0</v>
      </c>
      <c r="AB1470" s="222">
        <f>IFERROR(SUMIFS('Comp2016-2017 (3)'!$G$5:$G$289,'Comp2016-2017 (3)'!$A$5:$A$289,A1470,'Comp2016-2017 (3)'!$R$5:$R$289,V1470)*AA1470/SUMIFS($AA$4:$AA$1858,$A$4:$A$1858,A1470,$V$4:$V$1858,V1470),0)</f>
        <v>0</v>
      </c>
      <c r="AC1470" s="222" t="str">
        <f>IF($W1470=AC$3,$AB1470,IF(NOT($W1470=0),"",SUMIFS('Val-Vol (2)'!AC$4:AC$1858,'Val-Vol (2)'!$A$4:$A$1858,$D1470,'Val-Vol (2)'!$V$4:$V$1858,$V1470)/SUMIFS('Comp2016-2017 (3)'!$G$5:$G$289,'Comp2016-2017 (3)'!$A$5:$A$289,$D1470,'Comp2016-2017 (3)'!$R$5:$R$289,$V1470)*$AB1470))</f>
        <v/>
      </c>
      <c r="AD1470" s="222" t="str">
        <f>IF($W1470=AD$3,$AB1470,IF(NOT($W1470=0),"",SUMIFS('Val-Vol (2)'!AD$4:AD$1858,'Val-Vol (2)'!$A$4:$A$1858,$D1470,'Val-Vol (2)'!$V$4:$V$1858,$V1470)/SUMIFS('Comp2016-2017 (3)'!$G$5:$G$289,'Comp2016-2017 (3)'!$A$5:$A$289,$D1470,'Comp2016-2017 (3)'!$R$5:$R$289,$V1470)*$AB1470))</f>
        <v/>
      </c>
      <c r="AE1470" s="222" t="str">
        <f>IF($W1470=AE$3,$AB1470,IF(NOT($W1470=0),"",SUMIFS('Val-Vol (2)'!AE$4:AE$1858,'Val-Vol (2)'!$A$4:$A$1858,$D1470,'Val-Vol (2)'!$V$4:$V$1858,$V1470)/SUMIFS('Comp2016-2017 (3)'!$G$5:$G$289,'Comp2016-2017 (3)'!$A$5:$A$289,$D1470,'Comp2016-2017 (3)'!$R$5:$R$289,$V1470)*$AB1470))</f>
        <v/>
      </c>
      <c r="AF1470" s="222" t="str">
        <f>IF($W1470=AF$3,$AB1470,IF(NOT($W1470=0),"",SUMIFS('Val-Vol (2)'!AF$4:AF$1858,'Val-Vol (2)'!$A$4:$A$1858,$D1470,'Val-Vol (2)'!$V$4:$V$1858,$V1470)/SUMIFS('Comp2016-2017 (3)'!$G$5:$G$289,'Comp2016-2017 (3)'!$A$5:$A$289,$D1470,'Comp2016-2017 (3)'!$R$5:$R$289,$V1470)*$AB1470))</f>
        <v/>
      </c>
      <c r="AG1470" s="222" t="str">
        <f>IF($W1470=AG$3,$AB1470,IF(NOT($W1470=0),"",SUMIFS('Val-Vol (2)'!AG$4:AG$1858,'Val-Vol (2)'!$A$4:$A$1858,$D1470,'Val-Vol (2)'!$V$4:$V$1858,$V1470)/SUMIFS('Comp2016-2017 (3)'!$G$5:$G$289,'Comp2016-2017 (3)'!$A$5:$A$289,$D1470,'Comp2016-2017 (3)'!$R$5:$R$289,$V1470)*$AB1470))</f>
        <v/>
      </c>
      <c r="AH1470" s="222">
        <f>IF($W1470=AH$3,$AB1470,IF(NOT($W1470=0),"",SUMIFS('Val-Vol (2)'!AH$4:AH$1858,'Val-Vol (2)'!$A$4:$A$1858,$D1470,'Val-Vol (2)'!$V$4:$V$1858,$V1470)/SUMIFS('Comp2016-2017 (3)'!$G$5:$G$289,'Comp2016-2017 (3)'!$A$5:$A$289,$D1470,'Comp2016-2017 (3)'!$R$5:$R$289,$V1470)*$AB1470))</f>
        <v>0</v>
      </c>
      <c r="AI1470" s="222" t="str">
        <f>IF($W1470=AI$3,$AB1470,IF(NOT($W1470=0),"",SUMIFS('Val-Vol (2)'!AI$4:AI$1858,'Val-Vol (2)'!$A$4:$A$1858,$D1470,'Val-Vol (2)'!$V$4:$V$1858,$V1470)/SUMIFS('Comp2016-2017 (3)'!$G$5:$G$289,'Comp2016-2017 (3)'!$A$5:$A$289,$D1470,'Comp2016-2017 (3)'!$R$5:$R$289,$V1470)*$AB1470))</f>
        <v/>
      </c>
      <c r="AJ1470" s="222" t="str">
        <f>IF($W1470=AJ$3,$AB1470,IF(NOT($W1470=0),"",SUMIFS('Val-Vol (2)'!AJ$4:AJ$1858,'Val-Vol (2)'!$A$4:$A$1858,$D1470,'Val-Vol (2)'!$V$4:$V$1858,$V1470)/SUMIFS('Comp2016-2017 (3)'!$G$5:$G$289,'Comp2016-2017 (3)'!$A$5:$A$289,$D1470,'Comp2016-2017 (3)'!$R$5:$R$289,$V1470)*$AB1470))</f>
        <v/>
      </c>
      <c r="AK1470" s="222">
        <f t="shared" si="170"/>
        <v>0</v>
      </c>
      <c r="AL1470" s="212" t="str">
        <f t="shared" si="171"/>
        <v/>
      </c>
      <c r="AM1470" s="212" t="str">
        <f>VLOOKUP(A1470,'Table corresp.'!$M$4:$U$63,8,FALSE)</f>
        <v>Importation</v>
      </c>
      <c r="AN1470" s="212" t="str">
        <f>VLOOKUP(D1470,'Table corresp.'!$M$4:$U$63,9,FALSE)</f>
        <v>Production intermédiaire</v>
      </c>
    </row>
    <row r="1471" spans="1:40" x14ac:dyDescent="0.25">
      <c r="A1471" t="s">
        <v>52</v>
      </c>
      <c r="B1471" t="str">
        <f>VLOOKUP(LEFT(A1471,3),'Table corresp.'!$A$4:$D$63,3,FALSE)</f>
        <v>Importation</v>
      </c>
      <c r="C1471" t="str">
        <f>VLOOKUP(A1471,'Table corresp.'!$M$4:$P$63,4,FALSE)</f>
        <v>Importation</v>
      </c>
      <c r="D1471" t="s">
        <v>87</v>
      </c>
      <c r="E1471" t="str">
        <f>VLOOKUP(LEFT(D1471,3),'Table corresp.'!$A$4:$D$63,4,FALSE)</f>
        <v>Transformation</v>
      </c>
      <c r="F1471" t="str">
        <f t="shared" si="172"/>
        <v xml:space="preserve">Imp - 31 </v>
      </c>
      <c r="G1471" s="213">
        <v>0</v>
      </c>
      <c r="H1471" s="213">
        <v>1133231.0590000004</v>
      </c>
      <c r="I1471" s="213">
        <v>1133231.0590000004</v>
      </c>
      <c r="J1471" s="215">
        <v>0</v>
      </c>
      <c r="K1471" s="215">
        <v>188.89776262096083</v>
      </c>
      <c r="L1471" s="215">
        <v>188.89776262096083</v>
      </c>
      <c r="M1471" s="215">
        <v>0</v>
      </c>
      <c r="N1471" s="215">
        <v>1984.5667481158096</v>
      </c>
      <c r="O1471" s="215">
        <v>1984.5667481158096</v>
      </c>
      <c r="P1471" s="215">
        <v>0</v>
      </c>
      <c r="Q1471" s="215">
        <v>609.9988091415097</v>
      </c>
      <c r="R1471" s="215">
        <v>609.9988091415097</v>
      </c>
      <c r="S1471" s="213" t="s">
        <v>192</v>
      </c>
      <c r="T1471" s="212">
        <f>VLOOKUP(A1471,'Groupe de branches'!$Z$27:$AM$86,14,FALSE)</f>
        <v>0</v>
      </c>
      <c r="U1471" s="212">
        <f>VLOOKUP(D1471,'Groupe de branches'!$Z$27:$AM$86,14,FALSE)</f>
        <v>0</v>
      </c>
      <c r="V1471" s="212">
        <v>2019</v>
      </c>
      <c r="W1471" s="212">
        <f>VLOOKUP(D1471,'Table corresp.'!$M$4:$S$63,7,FALSE)</f>
        <v>0</v>
      </c>
      <c r="X1471" s="228">
        <f>IFERROR(G1471/SUMIFS('Comp2016-2017 (3)'!$I$5:$I$289,'Comp2016-2017 (3)'!$A$5:$A$289,A1471,'Comp2016-2017 (3)'!$R$5:$R$289,V1471),0)</f>
        <v>0</v>
      </c>
      <c r="Y1471" s="214">
        <f>IFERROR(IF(RIGHT(F1471,3)="Exp",VLOOKUP(F1471,#REF!,2,FALSE),VLOOKUP(F1471,#REF!,9,FALSE)),0)</f>
        <v>0</v>
      </c>
      <c r="Z1471" s="225">
        <f t="shared" ref="Z1471:Z1487" si="173">IFERROR(Y1471/SUMIFS($Y$4:$Y$1858,$V$4:$V$1858,V1471,$A$4:$A$1858,A1471),0)</f>
        <v>0</v>
      </c>
      <c r="AA1471" s="225">
        <f t="shared" si="169"/>
        <v>0</v>
      </c>
      <c r="AB1471" s="222">
        <f>IFERROR(SUMIFS('Comp2016-2017 (3)'!$G$5:$G$289,'Comp2016-2017 (3)'!$A$5:$A$289,A1471,'Comp2016-2017 (3)'!$R$5:$R$289,V1471)*AA1471/SUMIFS($AA$4:$AA$1858,$A$4:$A$1858,A1471,$V$4:$V$1858,V1471),0)</f>
        <v>0</v>
      </c>
      <c r="AC1471" s="222">
        <f>IF($W1471=AC$3,$AB1471,IF(NOT($W1471=0),"",SUMIFS('Val-Vol (2)'!AC$4:AC$1858,'Val-Vol (2)'!$A$4:$A$1858,$D1471,'Val-Vol (2)'!$V$4:$V$1858,$V1471)/SUMIFS('Comp2016-2017 (3)'!$G$5:$G$289,'Comp2016-2017 (3)'!$A$5:$A$289,$D1471,'Comp2016-2017 (3)'!$R$5:$R$289,$V1471)*$AB1471))</f>
        <v>0</v>
      </c>
      <c r="AD1471" s="222">
        <f>IF($W1471=AD$3,$AB1471,IF(NOT($W1471=0),"",SUMIFS('Val-Vol (2)'!AD$4:AD$1858,'Val-Vol (2)'!$A$4:$A$1858,$D1471,'Val-Vol (2)'!$V$4:$V$1858,$V1471)/SUMIFS('Comp2016-2017 (3)'!$G$5:$G$289,'Comp2016-2017 (3)'!$A$5:$A$289,$D1471,'Comp2016-2017 (3)'!$R$5:$R$289,$V1471)*$AB1471))</f>
        <v>0</v>
      </c>
      <c r="AE1471" s="222">
        <f>IF($W1471=AE$3,$AB1471,IF(NOT($W1471=0),"",SUMIFS('Val-Vol (2)'!AE$4:AE$1858,'Val-Vol (2)'!$A$4:$A$1858,$D1471,'Val-Vol (2)'!$V$4:$V$1858,$V1471)/SUMIFS('Comp2016-2017 (3)'!$G$5:$G$289,'Comp2016-2017 (3)'!$A$5:$A$289,$D1471,'Comp2016-2017 (3)'!$R$5:$R$289,$V1471)*$AB1471))</f>
        <v>0</v>
      </c>
      <c r="AF1471" s="222">
        <f>IF($W1471=AF$3,$AB1471,IF(NOT($W1471=0),"",SUMIFS('Val-Vol (2)'!AF$4:AF$1858,'Val-Vol (2)'!$A$4:$A$1858,$D1471,'Val-Vol (2)'!$V$4:$V$1858,$V1471)/SUMIFS('Comp2016-2017 (3)'!$G$5:$G$289,'Comp2016-2017 (3)'!$A$5:$A$289,$D1471,'Comp2016-2017 (3)'!$R$5:$R$289,$V1471)*$AB1471))</f>
        <v>0</v>
      </c>
      <c r="AG1471" s="222">
        <f>IF($W1471=AG$3,$AB1471,IF(NOT($W1471=0),"",SUMIFS('Val-Vol (2)'!AG$4:AG$1858,'Val-Vol (2)'!$A$4:$A$1858,$D1471,'Val-Vol (2)'!$V$4:$V$1858,$V1471)/SUMIFS('Comp2016-2017 (3)'!$G$5:$G$289,'Comp2016-2017 (3)'!$A$5:$A$289,$D1471,'Comp2016-2017 (3)'!$R$5:$R$289,$V1471)*$AB1471))</f>
        <v>0</v>
      </c>
      <c r="AH1471" s="222">
        <f>IF($W1471=AH$3,$AB1471,IF(NOT($W1471=0),"",SUMIFS('Val-Vol (2)'!AH$4:AH$1858,'Val-Vol (2)'!$A$4:$A$1858,$D1471,'Val-Vol (2)'!$V$4:$V$1858,$V1471)/SUMIFS('Comp2016-2017 (3)'!$G$5:$G$289,'Comp2016-2017 (3)'!$A$5:$A$289,$D1471,'Comp2016-2017 (3)'!$R$5:$R$289,$V1471)*$AB1471))</f>
        <v>0</v>
      </c>
      <c r="AI1471" s="222">
        <f>IF($W1471=AI$3,$AB1471,IF(NOT($W1471=0),"",SUMIFS('Val-Vol (2)'!AI$4:AI$1858,'Val-Vol (2)'!$A$4:$A$1858,$D1471,'Val-Vol (2)'!$V$4:$V$1858,$V1471)/SUMIFS('Comp2016-2017 (3)'!$G$5:$G$289,'Comp2016-2017 (3)'!$A$5:$A$289,$D1471,'Comp2016-2017 (3)'!$R$5:$R$289,$V1471)*$AB1471))</f>
        <v>0</v>
      </c>
      <c r="AJ1471" s="222">
        <f>IF($W1471=AJ$3,$AB1471,IF(NOT($W1471=0),"",SUMIFS('Val-Vol (2)'!AJ$4:AJ$1858,'Val-Vol (2)'!$A$4:$A$1858,$D1471,'Val-Vol (2)'!$V$4:$V$1858,$V1471)/SUMIFS('Comp2016-2017 (3)'!$G$5:$G$289,'Comp2016-2017 (3)'!$A$5:$A$289,$D1471,'Comp2016-2017 (3)'!$R$5:$R$289,$V1471)*$AB1471))</f>
        <v>0</v>
      </c>
      <c r="AK1471" s="222">
        <f t="shared" si="170"/>
        <v>0</v>
      </c>
      <c r="AL1471" s="212" t="str">
        <f t="shared" si="171"/>
        <v/>
      </c>
      <c r="AM1471" s="212" t="str">
        <f>VLOOKUP(A1471,'Table corresp.'!$M$4:$U$63,8,FALSE)</f>
        <v>Importation</v>
      </c>
      <c r="AN1471" s="212" t="str">
        <f>VLOOKUP(D1471,'Table corresp.'!$M$4:$U$63,9,FALSE)</f>
        <v>Production intermédiaire</v>
      </c>
    </row>
    <row r="1472" spans="1:40" x14ac:dyDescent="0.25">
      <c r="A1472" t="s">
        <v>52</v>
      </c>
      <c r="B1472" t="str">
        <f>VLOOKUP(LEFT(A1472,3),'Table corresp.'!$A$4:$D$63,3,FALSE)</f>
        <v>Importation</v>
      </c>
      <c r="C1472" t="str">
        <f>VLOOKUP(A1472,'Table corresp.'!$M$4:$P$63,4,FALSE)</f>
        <v>Importation</v>
      </c>
      <c r="D1472" t="s">
        <v>89</v>
      </c>
      <c r="E1472" t="str">
        <f>VLOOKUP(LEFT(D1472,3),'Table corresp.'!$A$4:$D$63,4,FALSE)</f>
        <v>Transformation</v>
      </c>
      <c r="F1472" t="str">
        <f t="shared" si="172"/>
        <v xml:space="preserve">Imp - 33 </v>
      </c>
      <c r="G1472" s="213">
        <v>0</v>
      </c>
      <c r="H1472" s="213">
        <v>123199.01399999997</v>
      </c>
      <c r="I1472" s="213">
        <v>123199.01399999997</v>
      </c>
      <c r="J1472" s="215">
        <v>0</v>
      </c>
      <c r="K1472" s="215">
        <v>40.986633942718441</v>
      </c>
      <c r="L1472" s="215">
        <v>40.986633942718441</v>
      </c>
      <c r="M1472" s="215">
        <v>0</v>
      </c>
      <c r="N1472" s="215">
        <v>32.367313976019972</v>
      </c>
      <c r="O1472" s="215">
        <v>32.367313976019972</v>
      </c>
      <c r="P1472" s="215">
        <v>0</v>
      </c>
      <c r="Q1472" s="215">
        <v>9.6799735899958641</v>
      </c>
      <c r="R1472" s="215">
        <v>9.6799735899958641</v>
      </c>
      <c r="S1472" s="213" t="s">
        <v>192</v>
      </c>
      <c r="T1472" s="212">
        <f>VLOOKUP(A1472,'Groupe de branches'!$Z$27:$AM$86,14,FALSE)</f>
        <v>0</v>
      </c>
      <c r="U1472" s="212">
        <f>VLOOKUP(D1472,'Groupe de branches'!$Z$27:$AM$86,14,FALSE)</f>
        <v>0</v>
      </c>
      <c r="V1472" s="212">
        <v>2019</v>
      </c>
      <c r="W1472" s="212" t="str">
        <f>VLOOKUP(D1472,'Table corresp.'!$M$4:$S$63,7,FALSE)</f>
        <v>Construction</v>
      </c>
      <c r="X1472" s="228">
        <f>IFERROR(G1472/SUMIFS('Comp2016-2017 (3)'!$I$5:$I$289,'Comp2016-2017 (3)'!$A$5:$A$289,A1472,'Comp2016-2017 (3)'!$R$5:$R$289,V1472),0)</f>
        <v>0</v>
      </c>
      <c r="Y1472" s="214">
        <f>IFERROR(IF(RIGHT(F1472,3)="Exp",VLOOKUP(F1472,#REF!,2,FALSE),VLOOKUP(F1472,#REF!,9,FALSE)),0)</f>
        <v>0</v>
      </c>
      <c r="Z1472" s="225">
        <f t="shared" si="173"/>
        <v>0</v>
      </c>
      <c r="AA1472" s="225">
        <f t="shared" si="169"/>
        <v>0</v>
      </c>
      <c r="AB1472" s="222">
        <f>IFERROR(SUMIFS('Comp2016-2017 (3)'!$G$5:$G$289,'Comp2016-2017 (3)'!$A$5:$A$289,A1472,'Comp2016-2017 (3)'!$R$5:$R$289,V1472)*AA1472/SUMIFS($AA$4:$AA$1858,$A$4:$A$1858,A1472,$V$4:$V$1858,V1472),0)</f>
        <v>0</v>
      </c>
      <c r="AC1472" s="222" t="str">
        <f>IF($W1472=AC$3,$AB1472,IF(NOT($W1472=0),"",SUMIFS('Val-Vol (2)'!AC$4:AC$1858,'Val-Vol (2)'!$A$4:$A$1858,$D1472,'Val-Vol (2)'!$V$4:$V$1858,$V1472)/SUMIFS('Comp2016-2017 (3)'!$G$5:$G$289,'Comp2016-2017 (3)'!$A$5:$A$289,$D1472,'Comp2016-2017 (3)'!$R$5:$R$289,$V1472)*$AB1472))</f>
        <v/>
      </c>
      <c r="AD1472" s="222">
        <f>IF($W1472=AD$3,$AB1472,IF(NOT($W1472=0),"",SUMIFS('Val-Vol (2)'!AD$4:AD$1858,'Val-Vol (2)'!$A$4:$A$1858,$D1472,'Val-Vol (2)'!$V$4:$V$1858,$V1472)/SUMIFS('Comp2016-2017 (3)'!$G$5:$G$289,'Comp2016-2017 (3)'!$A$5:$A$289,$D1472,'Comp2016-2017 (3)'!$R$5:$R$289,$V1472)*$AB1472))</f>
        <v>0</v>
      </c>
      <c r="AE1472" s="222" t="str">
        <f>IF($W1472=AE$3,$AB1472,IF(NOT($W1472=0),"",SUMIFS('Val-Vol (2)'!AE$4:AE$1858,'Val-Vol (2)'!$A$4:$A$1858,$D1472,'Val-Vol (2)'!$V$4:$V$1858,$V1472)/SUMIFS('Comp2016-2017 (3)'!$G$5:$G$289,'Comp2016-2017 (3)'!$A$5:$A$289,$D1472,'Comp2016-2017 (3)'!$R$5:$R$289,$V1472)*$AB1472))</f>
        <v/>
      </c>
      <c r="AF1472" s="222" t="str">
        <f>IF($W1472=AF$3,$AB1472,IF(NOT($W1472=0),"",SUMIFS('Val-Vol (2)'!AF$4:AF$1858,'Val-Vol (2)'!$A$4:$A$1858,$D1472,'Val-Vol (2)'!$V$4:$V$1858,$V1472)/SUMIFS('Comp2016-2017 (3)'!$G$5:$G$289,'Comp2016-2017 (3)'!$A$5:$A$289,$D1472,'Comp2016-2017 (3)'!$R$5:$R$289,$V1472)*$AB1472))</f>
        <v/>
      </c>
      <c r="AG1472" s="222" t="str">
        <f>IF($W1472=AG$3,$AB1472,IF(NOT($W1472=0),"",SUMIFS('Val-Vol (2)'!AG$4:AG$1858,'Val-Vol (2)'!$A$4:$A$1858,$D1472,'Val-Vol (2)'!$V$4:$V$1858,$V1472)/SUMIFS('Comp2016-2017 (3)'!$G$5:$G$289,'Comp2016-2017 (3)'!$A$5:$A$289,$D1472,'Comp2016-2017 (3)'!$R$5:$R$289,$V1472)*$AB1472))</f>
        <v/>
      </c>
      <c r="AH1472" s="222" t="str">
        <f>IF($W1472=AH$3,$AB1472,IF(NOT($W1472=0),"",SUMIFS('Val-Vol (2)'!AH$4:AH$1858,'Val-Vol (2)'!$A$4:$A$1858,$D1472,'Val-Vol (2)'!$V$4:$V$1858,$V1472)/SUMIFS('Comp2016-2017 (3)'!$G$5:$G$289,'Comp2016-2017 (3)'!$A$5:$A$289,$D1472,'Comp2016-2017 (3)'!$R$5:$R$289,$V1472)*$AB1472))</f>
        <v/>
      </c>
      <c r="AI1472" s="222" t="str">
        <f>IF($W1472=AI$3,$AB1472,IF(NOT($W1472=0),"",SUMIFS('Val-Vol (2)'!AI$4:AI$1858,'Val-Vol (2)'!$A$4:$A$1858,$D1472,'Val-Vol (2)'!$V$4:$V$1858,$V1472)/SUMIFS('Comp2016-2017 (3)'!$G$5:$G$289,'Comp2016-2017 (3)'!$A$5:$A$289,$D1472,'Comp2016-2017 (3)'!$R$5:$R$289,$V1472)*$AB1472))</f>
        <v/>
      </c>
      <c r="AJ1472" s="222" t="str">
        <f>IF($W1472=AJ$3,$AB1472,IF(NOT($W1472=0),"",SUMIFS('Val-Vol (2)'!AJ$4:AJ$1858,'Val-Vol (2)'!$A$4:$A$1858,$D1472,'Val-Vol (2)'!$V$4:$V$1858,$V1472)/SUMIFS('Comp2016-2017 (3)'!$G$5:$G$289,'Comp2016-2017 (3)'!$A$5:$A$289,$D1472,'Comp2016-2017 (3)'!$R$5:$R$289,$V1472)*$AB1472))</f>
        <v/>
      </c>
      <c r="AK1472" s="222">
        <f t="shared" si="170"/>
        <v>0</v>
      </c>
      <c r="AL1472" s="212" t="str">
        <f t="shared" si="171"/>
        <v/>
      </c>
      <c r="AM1472" s="212" t="str">
        <f>VLOOKUP(A1472,'Table corresp.'!$M$4:$U$63,8,FALSE)</f>
        <v>Importation</v>
      </c>
      <c r="AN1472" s="212" t="str">
        <f>VLOOKUP(D1472,'Table corresp.'!$M$4:$U$63,9,FALSE)</f>
        <v>Production finale</v>
      </c>
    </row>
    <row r="1473" spans="1:40" x14ac:dyDescent="0.25">
      <c r="A1473" t="s">
        <v>52</v>
      </c>
      <c r="B1473" t="str">
        <f>VLOOKUP(LEFT(A1473,3),'Table corresp.'!$A$4:$D$63,3,FALSE)</f>
        <v>Importation</v>
      </c>
      <c r="C1473" t="str">
        <f>VLOOKUP(A1473,'Table corresp.'!$M$4:$P$63,4,FALSE)</f>
        <v>Importation</v>
      </c>
      <c r="D1473" t="s">
        <v>90</v>
      </c>
      <c r="E1473" t="str">
        <f>VLOOKUP(LEFT(D1473,3),'Table corresp.'!$A$4:$D$63,4,FALSE)</f>
        <v>Transformation</v>
      </c>
      <c r="F1473" t="str">
        <f t="shared" si="172"/>
        <v xml:space="preserve">Imp - 34 </v>
      </c>
      <c r="G1473" s="213">
        <v>0</v>
      </c>
      <c r="H1473" s="213">
        <v>178179.01899999965</v>
      </c>
      <c r="I1473" s="213">
        <v>178179.01899999965</v>
      </c>
      <c r="J1473" s="215">
        <v>0</v>
      </c>
      <c r="K1473" s="215">
        <v>262.19612235036988</v>
      </c>
      <c r="L1473" s="215">
        <v>262.19612235036988</v>
      </c>
      <c r="M1473" s="215">
        <v>0</v>
      </c>
      <c r="N1473" s="215">
        <v>30.441050266264497</v>
      </c>
      <c r="O1473" s="215">
        <v>30.441050266264497</v>
      </c>
      <c r="P1473" s="215">
        <v>0</v>
      </c>
      <c r="Q1473" s="215">
        <v>6.1262105636616218</v>
      </c>
      <c r="R1473" s="215">
        <v>6.1262105636616218</v>
      </c>
      <c r="S1473" s="213" t="s">
        <v>192</v>
      </c>
      <c r="T1473" s="212">
        <f>VLOOKUP(A1473,'Groupe de branches'!$Z$27:$AM$86,14,FALSE)</f>
        <v>0</v>
      </c>
      <c r="U1473" s="212">
        <f>VLOOKUP(D1473,'Groupe de branches'!$Z$27:$AM$86,14,FALSE)</f>
        <v>0</v>
      </c>
      <c r="V1473" s="212">
        <v>2019</v>
      </c>
      <c r="W1473" s="212" t="str">
        <f>VLOOKUP(D1473,'Table corresp.'!$M$4:$S$63,7,FALSE)</f>
        <v>Construction</v>
      </c>
      <c r="X1473" s="228">
        <f>IFERROR(G1473/SUMIFS('Comp2016-2017 (3)'!$I$5:$I$289,'Comp2016-2017 (3)'!$A$5:$A$289,A1473,'Comp2016-2017 (3)'!$R$5:$R$289,V1473),0)</f>
        <v>0</v>
      </c>
      <c r="Y1473" s="214">
        <f>IFERROR(IF(RIGHT(F1473,3)="Exp",VLOOKUP(F1473,#REF!,2,FALSE),VLOOKUP(F1473,#REF!,9,FALSE)),0)</f>
        <v>0</v>
      </c>
      <c r="Z1473" s="225">
        <f t="shared" si="173"/>
        <v>0</v>
      </c>
      <c r="AA1473" s="225">
        <f t="shared" si="169"/>
        <v>0</v>
      </c>
      <c r="AB1473" s="222">
        <f>IFERROR(SUMIFS('Comp2016-2017 (3)'!$G$5:$G$289,'Comp2016-2017 (3)'!$A$5:$A$289,A1473,'Comp2016-2017 (3)'!$R$5:$R$289,V1473)*AA1473/SUMIFS($AA$4:$AA$1858,$A$4:$A$1858,A1473,$V$4:$V$1858,V1473),0)</f>
        <v>0</v>
      </c>
      <c r="AC1473" s="222" t="str">
        <f>IF($W1473=AC$3,$AB1473,IF(NOT($W1473=0),"",SUMIFS('Val-Vol (2)'!AC$4:AC$1858,'Val-Vol (2)'!$A$4:$A$1858,$D1473,'Val-Vol (2)'!$V$4:$V$1858,$V1473)/SUMIFS('Comp2016-2017 (3)'!$G$5:$G$289,'Comp2016-2017 (3)'!$A$5:$A$289,$D1473,'Comp2016-2017 (3)'!$R$5:$R$289,$V1473)*$AB1473))</f>
        <v/>
      </c>
      <c r="AD1473" s="222">
        <f>IF($W1473=AD$3,$AB1473,IF(NOT($W1473=0),"",SUMIFS('Val-Vol (2)'!AD$4:AD$1858,'Val-Vol (2)'!$A$4:$A$1858,$D1473,'Val-Vol (2)'!$V$4:$V$1858,$V1473)/SUMIFS('Comp2016-2017 (3)'!$G$5:$G$289,'Comp2016-2017 (3)'!$A$5:$A$289,$D1473,'Comp2016-2017 (3)'!$R$5:$R$289,$V1473)*$AB1473))</f>
        <v>0</v>
      </c>
      <c r="AE1473" s="222" t="str">
        <f>IF($W1473=AE$3,$AB1473,IF(NOT($W1473=0),"",SUMIFS('Val-Vol (2)'!AE$4:AE$1858,'Val-Vol (2)'!$A$4:$A$1858,$D1473,'Val-Vol (2)'!$V$4:$V$1858,$V1473)/SUMIFS('Comp2016-2017 (3)'!$G$5:$G$289,'Comp2016-2017 (3)'!$A$5:$A$289,$D1473,'Comp2016-2017 (3)'!$R$5:$R$289,$V1473)*$AB1473))</f>
        <v/>
      </c>
      <c r="AF1473" s="222" t="str">
        <f>IF($W1473=AF$3,$AB1473,IF(NOT($W1473=0),"",SUMIFS('Val-Vol (2)'!AF$4:AF$1858,'Val-Vol (2)'!$A$4:$A$1858,$D1473,'Val-Vol (2)'!$V$4:$V$1858,$V1473)/SUMIFS('Comp2016-2017 (3)'!$G$5:$G$289,'Comp2016-2017 (3)'!$A$5:$A$289,$D1473,'Comp2016-2017 (3)'!$R$5:$R$289,$V1473)*$AB1473))</f>
        <v/>
      </c>
      <c r="AG1473" s="222" t="str">
        <f>IF($W1473=AG$3,$AB1473,IF(NOT($W1473=0),"",SUMIFS('Val-Vol (2)'!AG$4:AG$1858,'Val-Vol (2)'!$A$4:$A$1858,$D1473,'Val-Vol (2)'!$V$4:$V$1858,$V1473)/SUMIFS('Comp2016-2017 (3)'!$G$5:$G$289,'Comp2016-2017 (3)'!$A$5:$A$289,$D1473,'Comp2016-2017 (3)'!$R$5:$R$289,$V1473)*$AB1473))</f>
        <v/>
      </c>
      <c r="AH1473" s="222" t="str">
        <f>IF($W1473=AH$3,$AB1473,IF(NOT($W1473=0),"",SUMIFS('Val-Vol (2)'!AH$4:AH$1858,'Val-Vol (2)'!$A$4:$A$1858,$D1473,'Val-Vol (2)'!$V$4:$V$1858,$V1473)/SUMIFS('Comp2016-2017 (3)'!$G$5:$G$289,'Comp2016-2017 (3)'!$A$5:$A$289,$D1473,'Comp2016-2017 (3)'!$R$5:$R$289,$V1473)*$AB1473))</f>
        <v/>
      </c>
      <c r="AI1473" s="222" t="str">
        <f>IF($W1473=AI$3,$AB1473,IF(NOT($W1473=0),"",SUMIFS('Val-Vol (2)'!AI$4:AI$1858,'Val-Vol (2)'!$A$4:$A$1858,$D1473,'Val-Vol (2)'!$V$4:$V$1858,$V1473)/SUMIFS('Comp2016-2017 (3)'!$G$5:$G$289,'Comp2016-2017 (3)'!$A$5:$A$289,$D1473,'Comp2016-2017 (3)'!$R$5:$R$289,$V1473)*$AB1473))</f>
        <v/>
      </c>
      <c r="AJ1473" s="222" t="str">
        <f>IF($W1473=AJ$3,$AB1473,IF(NOT($W1473=0),"",SUMIFS('Val-Vol (2)'!AJ$4:AJ$1858,'Val-Vol (2)'!$A$4:$A$1858,$D1473,'Val-Vol (2)'!$V$4:$V$1858,$V1473)/SUMIFS('Comp2016-2017 (3)'!$G$5:$G$289,'Comp2016-2017 (3)'!$A$5:$A$289,$D1473,'Comp2016-2017 (3)'!$R$5:$R$289,$V1473)*$AB1473))</f>
        <v/>
      </c>
      <c r="AK1473" s="222">
        <f t="shared" si="170"/>
        <v>0</v>
      </c>
      <c r="AL1473" s="212" t="str">
        <f t="shared" si="171"/>
        <v/>
      </c>
      <c r="AM1473" s="212" t="str">
        <f>VLOOKUP(A1473,'Table corresp.'!$M$4:$U$63,8,FALSE)</f>
        <v>Importation</v>
      </c>
      <c r="AN1473" s="212" t="str">
        <f>VLOOKUP(D1473,'Table corresp.'!$M$4:$U$63,9,FALSE)</f>
        <v>Production finale</v>
      </c>
    </row>
    <row r="1474" spans="1:40" x14ac:dyDescent="0.25">
      <c r="A1474" t="s">
        <v>52</v>
      </c>
      <c r="B1474" t="str">
        <f>VLOOKUP(LEFT(A1474,3),'Table corresp.'!$A$4:$D$63,3,FALSE)</f>
        <v>Importation</v>
      </c>
      <c r="C1474" t="str">
        <f>VLOOKUP(A1474,'Table corresp.'!$M$4:$P$63,4,FALSE)</f>
        <v>Importation</v>
      </c>
      <c r="D1474" t="s">
        <v>15</v>
      </c>
      <c r="E1474" t="str">
        <f>VLOOKUP(LEFT(D1474,3),'Table corresp.'!$A$4:$D$63,4,FALSE)</f>
        <v>Transformation</v>
      </c>
      <c r="F1474" t="str">
        <f t="shared" si="172"/>
        <v xml:space="preserve">Imp - 35 </v>
      </c>
      <c r="G1474" s="213">
        <v>0</v>
      </c>
      <c r="H1474" s="213">
        <v>67203.898999999976</v>
      </c>
      <c r="I1474" s="213">
        <v>67203.898999999976</v>
      </c>
      <c r="J1474" s="215">
        <v>0</v>
      </c>
      <c r="K1474" s="215">
        <v>93.854602989171752</v>
      </c>
      <c r="L1474" s="215">
        <v>93.854602989171752</v>
      </c>
      <c r="M1474" s="215">
        <v>0</v>
      </c>
      <c r="N1474" s="215">
        <v>3.7955348637149999</v>
      </c>
      <c r="O1474" s="215">
        <v>3.7955348637149999</v>
      </c>
      <c r="P1474" s="215">
        <v>0</v>
      </c>
      <c r="Q1474" s="215">
        <v>1.657895953692208</v>
      </c>
      <c r="R1474" s="215">
        <v>1.657895953692208</v>
      </c>
      <c r="S1474" s="213" t="s">
        <v>192</v>
      </c>
      <c r="T1474" s="212">
        <f>VLOOKUP(A1474,'Groupe de branches'!$Z$27:$AM$86,14,FALSE)</f>
        <v>0</v>
      </c>
      <c r="U1474" s="212">
        <f>VLOOKUP(D1474,'Groupe de branches'!$Z$27:$AM$86,14,FALSE)</f>
        <v>0</v>
      </c>
      <c r="V1474" s="212">
        <v>2019</v>
      </c>
      <c r="W1474" s="212" t="str">
        <f>VLOOKUP(D1474,'Table corresp.'!$M$4:$S$63,7,FALSE)</f>
        <v>Construction</v>
      </c>
      <c r="X1474" s="228">
        <f>IFERROR(G1474/SUMIFS('Comp2016-2017 (3)'!$I$5:$I$289,'Comp2016-2017 (3)'!$A$5:$A$289,A1474,'Comp2016-2017 (3)'!$R$5:$R$289,V1474),0)</f>
        <v>0</v>
      </c>
      <c r="Y1474" s="214">
        <f>IFERROR(IF(RIGHT(F1474,3)="Exp",VLOOKUP(F1474,#REF!,2,FALSE),VLOOKUP(F1474,#REF!,9,FALSE)),0)</f>
        <v>0</v>
      </c>
      <c r="Z1474" s="225">
        <f t="shared" si="173"/>
        <v>0</v>
      </c>
      <c r="AA1474" s="225">
        <f t="shared" si="169"/>
        <v>0</v>
      </c>
      <c r="AB1474" s="222">
        <f>IFERROR(SUMIFS('Comp2016-2017 (3)'!$G$5:$G$289,'Comp2016-2017 (3)'!$A$5:$A$289,A1474,'Comp2016-2017 (3)'!$R$5:$R$289,V1474)*AA1474/SUMIFS($AA$4:$AA$1858,$A$4:$A$1858,A1474,$V$4:$V$1858,V1474),0)</f>
        <v>0</v>
      </c>
      <c r="AC1474" s="222" t="str">
        <f>IF($W1474=AC$3,$AB1474,IF(NOT($W1474=0),"",SUMIFS('Val-Vol (2)'!AC$4:AC$1858,'Val-Vol (2)'!$A$4:$A$1858,$D1474,'Val-Vol (2)'!$V$4:$V$1858,$V1474)/SUMIFS('Comp2016-2017 (3)'!$G$5:$G$289,'Comp2016-2017 (3)'!$A$5:$A$289,$D1474,'Comp2016-2017 (3)'!$R$5:$R$289,$V1474)*$AB1474))</f>
        <v/>
      </c>
      <c r="AD1474" s="222">
        <f>IF($W1474=AD$3,$AB1474,IF(NOT($W1474=0),"",SUMIFS('Val-Vol (2)'!AD$4:AD$1858,'Val-Vol (2)'!$A$4:$A$1858,$D1474,'Val-Vol (2)'!$V$4:$V$1858,$V1474)/SUMIFS('Comp2016-2017 (3)'!$G$5:$G$289,'Comp2016-2017 (3)'!$A$5:$A$289,$D1474,'Comp2016-2017 (3)'!$R$5:$R$289,$V1474)*$AB1474))</f>
        <v>0</v>
      </c>
      <c r="AE1474" s="222" t="str">
        <f>IF($W1474=AE$3,$AB1474,IF(NOT($W1474=0),"",SUMIFS('Val-Vol (2)'!AE$4:AE$1858,'Val-Vol (2)'!$A$4:$A$1858,$D1474,'Val-Vol (2)'!$V$4:$V$1858,$V1474)/SUMIFS('Comp2016-2017 (3)'!$G$5:$G$289,'Comp2016-2017 (3)'!$A$5:$A$289,$D1474,'Comp2016-2017 (3)'!$R$5:$R$289,$V1474)*$AB1474))</f>
        <v/>
      </c>
      <c r="AF1474" s="222" t="str">
        <f>IF($W1474=AF$3,$AB1474,IF(NOT($W1474=0),"",SUMIFS('Val-Vol (2)'!AF$4:AF$1858,'Val-Vol (2)'!$A$4:$A$1858,$D1474,'Val-Vol (2)'!$V$4:$V$1858,$V1474)/SUMIFS('Comp2016-2017 (3)'!$G$5:$G$289,'Comp2016-2017 (3)'!$A$5:$A$289,$D1474,'Comp2016-2017 (3)'!$R$5:$R$289,$V1474)*$AB1474))</f>
        <v/>
      </c>
      <c r="AG1474" s="222" t="str">
        <f>IF($W1474=AG$3,$AB1474,IF(NOT($W1474=0),"",SUMIFS('Val-Vol (2)'!AG$4:AG$1858,'Val-Vol (2)'!$A$4:$A$1858,$D1474,'Val-Vol (2)'!$V$4:$V$1858,$V1474)/SUMIFS('Comp2016-2017 (3)'!$G$5:$G$289,'Comp2016-2017 (3)'!$A$5:$A$289,$D1474,'Comp2016-2017 (3)'!$R$5:$R$289,$V1474)*$AB1474))</f>
        <v/>
      </c>
      <c r="AH1474" s="222" t="str">
        <f>IF($W1474=AH$3,$AB1474,IF(NOT($W1474=0),"",SUMIFS('Val-Vol (2)'!AH$4:AH$1858,'Val-Vol (2)'!$A$4:$A$1858,$D1474,'Val-Vol (2)'!$V$4:$V$1858,$V1474)/SUMIFS('Comp2016-2017 (3)'!$G$5:$G$289,'Comp2016-2017 (3)'!$A$5:$A$289,$D1474,'Comp2016-2017 (3)'!$R$5:$R$289,$V1474)*$AB1474))</f>
        <v/>
      </c>
      <c r="AI1474" s="222" t="str">
        <f>IF($W1474=AI$3,$AB1474,IF(NOT($W1474=0),"",SUMIFS('Val-Vol (2)'!AI$4:AI$1858,'Val-Vol (2)'!$A$4:$A$1858,$D1474,'Val-Vol (2)'!$V$4:$V$1858,$V1474)/SUMIFS('Comp2016-2017 (3)'!$G$5:$G$289,'Comp2016-2017 (3)'!$A$5:$A$289,$D1474,'Comp2016-2017 (3)'!$R$5:$R$289,$V1474)*$AB1474))</f>
        <v/>
      </c>
      <c r="AJ1474" s="222" t="str">
        <f>IF($W1474=AJ$3,$AB1474,IF(NOT($W1474=0),"",SUMIFS('Val-Vol (2)'!AJ$4:AJ$1858,'Val-Vol (2)'!$A$4:$A$1858,$D1474,'Val-Vol (2)'!$V$4:$V$1858,$V1474)/SUMIFS('Comp2016-2017 (3)'!$G$5:$G$289,'Comp2016-2017 (3)'!$A$5:$A$289,$D1474,'Comp2016-2017 (3)'!$R$5:$R$289,$V1474)*$AB1474))</f>
        <v/>
      </c>
      <c r="AK1474" s="222">
        <f t="shared" si="170"/>
        <v>0</v>
      </c>
      <c r="AL1474" s="212" t="str">
        <f t="shared" si="171"/>
        <v/>
      </c>
      <c r="AM1474" s="212" t="str">
        <f>VLOOKUP(A1474,'Table corresp.'!$M$4:$U$63,8,FALSE)</f>
        <v>Importation</v>
      </c>
      <c r="AN1474" s="212" t="str">
        <f>VLOOKUP(D1474,'Table corresp.'!$M$4:$U$63,9,FALSE)</f>
        <v>Production finale</v>
      </c>
    </row>
    <row r="1475" spans="1:40" x14ac:dyDescent="0.25">
      <c r="A1475" t="s">
        <v>52</v>
      </c>
      <c r="B1475" t="str">
        <f>VLOOKUP(LEFT(A1475,3),'Table corresp.'!$A$4:$D$63,3,FALSE)</f>
        <v>Importation</v>
      </c>
      <c r="C1475" t="str">
        <f>VLOOKUP(A1475,'Table corresp.'!$M$4:$P$63,4,FALSE)</f>
        <v>Importation</v>
      </c>
      <c r="D1475" t="s">
        <v>16</v>
      </c>
      <c r="E1475" t="str">
        <f>VLOOKUP(LEFT(D1475,3),'Table corresp.'!$A$4:$D$63,4,FALSE)</f>
        <v>Transformation</v>
      </c>
      <c r="F1475" t="str">
        <f t="shared" si="172"/>
        <v xml:space="preserve">Imp - 36 </v>
      </c>
      <c r="G1475" s="213">
        <v>0</v>
      </c>
      <c r="H1475" s="213">
        <v>97555.487999999998</v>
      </c>
      <c r="I1475" s="213">
        <v>97555.487999999998</v>
      </c>
      <c r="J1475" s="215">
        <v>0</v>
      </c>
      <c r="K1475" s="215">
        <v>52.734985977242154</v>
      </c>
      <c r="L1475" s="215">
        <v>52.734985977242154</v>
      </c>
      <c r="M1475" s="215">
        <v>0</v>
      </c>
      <c r="N1475" s="215">
        <v>34.890669913920469</v>
      </c>
      <c r="O1475" s="215">
        <v>34.890669913920469</v>
      </c>
      <c r="P1475" s="215">
        <v>0</v>
      </c>
      <c r="Q1475" s="215">
        <v>14.148694749514659</v>
      </c>
      <c r="R1475" s="215">
        <v>14.148694749514659</v>
      </c>
      <c r="S1475" s="213" t="s">
        <v>192</v>
      </c>
      <c r="T1475" s="212">
        <f>VLOOKUP(A1475,'Groupe de branches'!$Z$27:$AM$86,14,FALSE)</f>
        <v>0</v>
      </c>
      <c r="U1475" s="212">
        <f>VLOOKUP(D1475,'Groupe de branches'!$Z$27:$AM$86,14,FALSE)</f>
        <v>0</v>
      </c>
      <c r="V1475" s="212">
        <v>2019</v>
      </c>
      <c r="W1475" s="212" t="str">
        <f>VLOOKUP(D1475,'Table corresp.'!$M$4:$S$63,7,FALSE)</f>
        <v>Construction</v>
      </c>
      <c r="X1475" s="228">
        <f>IFERROR(G1475/SUMIFS('Comp2016-2017 (3)'!$I$5:$I$289,'Comp2016-2017 (3)'!$A$5:$A$289,A1475,'Comp2016-2017 (3)'!$R$5:$R$289,V1475),0)</f>
        <v>0</v>
      </c>
      <c r="Y1475" s="214">
        <f>IFERROR(IF(RIGHT(F1475,3)="Exp",VLOOKUP(F1475,#REF!,2,FALSE),VLOOKUP(F1475,#REF!,9,FALSE)),0)</f>
        <v>0</v>
      </c>
      <c r="Z1475" s="225">
        <f t="shared" si="173"/>
        <v>0</v>
      </c>
      <c r="AA1475" s="225">
        <f t="shared" si="169"/>
        <v>0</v>
      </c>
      <c r="AB1475" s="222">
        <f>IFERROR(SUMIFS('Comp2016-2017 (3)'!$G$5:$G$289,'Comp2016-2017 (3)'!$A$5:$A$289,A1475,'Comp2016-2017 (3)'!$R$5:$R$289,V1475)*AA1475/SUMIFS($AA$4:$AA$1858,$A$4:$A$1858,A1475,$V$4:$V$1858,V1475),0)</f>
        <v>0</v>
      </c>
      <c r="AC1475" s="222" t="str">
        <f>IF($W1475=AC$3,$AB1475,IF(NOT($W1475=0),"",SUMIFS('Val-Vol (2)'!AC$4:AC$1858,'Val-Vol (2)'!$A$4:$A$1858,$D1475,'Val-Vol (2)'!$V$4:$V$1858,$V1475)/SUMIFS('Comp2016-2017 (3)'!$G$5:$G$289,'Comp2016-2017 (3)'!$A$5:$A$289,$D1475,'Comp2016-2017 (3)'!$R$5:$R$289,$V1475)*$AB1475))</f>
        <v/>
      </c>
      <c r="AD1475" s="222">
        <f>IF($W1475=AD$3,$AB1475,IF(NOT($W1475=0),"",SUMIFS('Val-Vol (2)'!AD$4:AD$1858,'Val-Vol (2)'!$A$4:$A$1858,$D1475,'Val-Vol (2)'!$V$4:$V$1858,$V1475)/SUMIFS('Comp2016-2017 (3)'!$G$5:$G$289,'Comp2016-2017 (3)'!$A$5:$A$289,$D1475,'Comp2016-2017 (3)'!$R$5:$R$289,$V1475)*$AB1475))</f>
        <v>0</v>
      </c>
      <c r="AE1475" s="222" t="str">
        <f>IF($W1475=AE$3,$AB1475,IF(NOT($W1475=0),"",SUMIFS('Val-Vol (2)'!AE$4:AE$1858,'Val-Vol (2)'!$A$4:$A$1858,$D1475,'Val-Vol (2)'!$V$4:$V$1858,$V1475)/SUMIFS('Comp2016-2017 (3)'!$G$5:$G$289,'Comp2016-2017 (3)'!$A$5:$A$289,$D1475,'Comp2016-2017 (3)'!$R$5:$R$289,$V1475)*$AB1475))</f>
        <v/>
      </c>
      <c r="AF1475" s="222" t="str">
        <f>IF($W1475=AF$3,$AB1475,IF(NOT($W1475=0),"",SUMIFS('Val-Vol (2)'!AF$4:AF$1858,'Val-Vol (2)'!$A$4:$A$1858,$D1475,'Val-Vol (2)'!$V$4:$V$1858,$V1475)/SUMIFS('Comp2016-2017 (3)'!$G$5:$G$289,'Comp2016-2017 (3)'!$A$5:$A$289,$D1475,'Comp2016-2017 (3)'!$R$5:$R$289,$V1475)*$AB1475))</f>
        <v/>
      </c>
      <c r="AG1475" s="222" t="str">
        <f>IF($W1475=AG$3,$AB1475,IF(NOT($W1475=0),"",SUMIFS('Val-Vol (2)'!AG$4:AG$1858,'Val-Vol (2)'!$A$4:$A$1858,$D1475,'Val-Vol (2)'!$V$4:$V$1858,$V1475)/SUMIFS('Comp2016-2017 (3)'!$G$5:$G$289,'Comp2016-2017 (3)'!$A$5:$A$289,$D1475,'Comp2016-2017 (3)'!$R$5:$R$289,$V1475)*$AB1475))</f>
        <v/>
      </c>
      <c r="AH1475" s="222" t="str">
        <f>IF($W1475=AH$3,$AB1475,IF(NOT($W1475=0),"",SUMIFS('Val-Vol (2)'!AH$4:AH$1858,'Val-Vol (2)'!$A$4:$A$1858,$D1475,'Val-Vol (2)'!$V$4:$V$1858,$V1475)/SUMIFS('Comp2016-2017 (3)'!$G$5:$G$289,'Comp2016-2017 (3)'!$A$5:$A$289,$D1475,'Comp2016-2017 (3)'!$R$5:$R$289,$V1475)*$AB1475))</f>
        <v/>
      </c>
      <c r="AI1475" s="222" t="str">
        <f>IF($W1475=AI$3,$AB1475,IF(NOT($W1475=0),"",SUMIFS('Val-Vol (2)'!AI$4:AI$1858,'Val-Vol (2)'!$A$4:$A$1858,$D1475,'Val-Vol (2)'!$V$4:$V$1858,$V1475)/SUMIFS('Comp2016-2017 (3)'!$G$5:$G$289,'Comp2016-2017 (3)'!$A$5:$A$289,$D1475,'Comp2016-2017 (3)'!$R$5:$R$289,$V1475)*$AB1475))</f>
        <v/>
      </c>
      <c r="AJ1475" s="222" t="str">
        <f>IF($W1475=AJ$3,$AB1475,IF(NOT($W1475=0),"",SUMIFS('Val-Vol (2)'!AJ$4:AJ$1858,'Val-Vol (2)'!$A$4:$A$1858,$D1475,'Val-Vol (2)'!$V$4:$V$1858,$V1475)/SUMIFS('Comp2016-2017 (3)'!$G$5:$G$289,'Comp2016-2017 (3)'!$A$5:$A$289,$D1475,'Comp2016-2017 (3)'!$R$5:$R$289,$V1475)*$AB1475))</f>
        <v/>
      </c>
      <c r="AK1475" s="222">
        <f t="shared" si="170"/>
        <v>0</v>
      </c>
      <c r="AL1475" s="212" t="str">
        <f t="shared" si="171"/>
        <v/>
      </c>
      <c r="AM1475" s="212" t="str">
        <f>VLOOKUP(A1475,'Table corresp.'!$M$4:$U$63,8,FALSE)</f>
        <v>Importation</v>
      </c>
      <c r="AN1475" s="212" t="str">
        <f>VLOOKUP(D1475,'Table corresp.'!$M$4:$U$63,9,FALSE)</f>
        <v>Production finale</v>
      </c>
    </row>
    <row r="1476" spans="1:40" x14ac:dyDescent="0.25">
      <c r="A1476" t="s">
        <v>52</v>
      </c>
      <c r="B1476" t="str">
        <f>VLOOKUP(LEFT(A1476,3),'Table corresp.'!$A$4:$D$63,3,FALSE)</f>
        <v>Importation</v>
      </c>
      <c r="C1476" t="str">
        <f>VLOOKUP(A1476,'Table corresp.'!$M$4:$P$63,4,FALSE)</f>
        <v>Importation</v>
      </c>
      <c r="D1476" t="s">
        <v>91</v>
      </c>
      <c r="E1476" t="str">
        <f>VLOOKUP(LEFT(D1476,3),'Table corresp.'!$A$4:$D$63,4,FALSE)</f>
        <v>Transformation</v>
      </c>
      <c r="F1476" t="str">
        <f t="shared" si="172"/>
        <v xml:space="preserve">Imp - 37 </v>
      </c>
      <c r="G1476" s="213">
        <v>0</v>
      </c>
      <c r="H1476" s="213">
        <v>253530.81900000016</v>
      </c>
      <c r="I1476" s="213">
        <v>253530.81900000016</v>
      </c>
      <c r="J1476" s="215">
        <v>0</v>
      </c>
      <c r="K1476" s="215">
        <v>1119.6581024556992</v>
      </c>
      <c r="L1476" s="215">
        <v>1119.6581024556992</v>
      </c>
      <c r="M1476" s="215">
        <v>0</v>
      </c>
      <c r="N1476" s="215">
        <v>107.13398144358274</v>
      </c>
      <c r="O1476" s="215">
        <v>107.13398144358274</v>
      </c>
      <c r="P1476" s="215">
        <v>0</v>
      </c>
      <c r="Q1476" s="215">
        <v>6.1254629479105577E-4</v>
      </c>
      <c r="R1476" s="215">
        <v>6.1254629479105577E-4</v>
      </c>
      <c r="S1476" s="213"/>
      <c r="T1476" s="212">
        <f>VLOOKUP(A1476,'Groupe de branches'!$Z$27:$AM$86,14,FALSE)</f>
        <v>0</v>
      </c>
      <c r="U1476" s="212">
        <f>VLOOKUP(D1476,'Groupe de branches'!$Z$27:$AM$86,14,FALSE)</f>
        <v>0</v>
      </c>
      <c r="V1476" s="212">
        <v>2019</v>
      </c>
      <c r="W1476" s="212" t="str">
        <f>VLOOKUP(D1476,'Table corresp.'!$M$4:$S$63,7,FALSE)</f>
        <v>Emballage bois et carton</v>
      </c>
      <c r="X1476" s="228">
        <f>IFERROR(G1476/SUMIFS('Comp2016-2017 (3)'!$I$5:$I$289,'Comp2016-2017 (3)'!$A$5:$A$289,A1476,'Comp2016-2017 (3)'!$R$5:$R$289,V1476),0)</f>
        <v>0</v>
      </c>
      <c r="Y1476" s="214">
        <f>IFERROR(IF(RIGHT(F1476,3)="Exp",VLOOKUP(F1476,#REF!,2,FALSE),VLOOKUP(F1476,#REF!,9,FALSE)),0)</f>
        <v>0</v>
      </c>
      <c r="Z1476" s="225">
        <f t="shared" si="173"/>
        <v>0</v>
      </c>
      <c r="AA1476" s="225">
        <f t="shared" si="169"/>
        <v>0</v>
      </c>
      <c r="AB1476" s="222">
        <f>IFERROR(SUMIFS('Comp2016-2017 (3)'!$G$5:$G$289,'Comp2016-2017 (3)'!$A$5:$A$289,A1476,'Comp2016-2017 (3)'!$R$5:$R$289,V1476)*AA1476/SUMIFS($AA$4:$AA$1858,$A$4:$A$1858,A1476,$V$4:$V$1858,V1476),0)</f>
        <v>0</v>
      </c>
      <c r="AC1476" s="222" t="str">
        <f>IF($W1476=AC$3,$AB1476,IF(NOT($W1476=0),"",SUMIFS('Val-Vol (2)'!AC$4:AC$1858,'Val-Vol (2)'!$A$4:$A$1858,$D1476,'Val-Vol (2)'!$V$4:$V$1858,$V1476)/SUMIFS('Comp2016-2017 (3)'!$G$5:$G$289,'Comp2016-2017 (3)'!$A$5:$A$289,$D1476,'Comp2016-2017 (3)'!$R$5:$R$289,$V1476)*$AB1476))</f>
        <v/>
      </c>
      <c r="AD1476" s="222" t="str">
        <f>IF($W1476=AD$3,$AB1476,IF(NOT($W1476=0),"",SUMIFS('Val-Vol (2)'!AD$4:AD$1858,'Val-Vol (2)'!$A$4:$A$1858,$D1476,'Val-Vol (2)'!$V$4:$V$1858,$V1476)/SUMIFS('Comp2016-2017 (3)'!$G$5:$G$289,'Comp2016-2017 (3)'!$A$5:$A$289,$D1476,'Comp2016-2017 (3)'!$R$5:$R$289,$V1476)*$AB1476))</f>
        <v/>
      </c>
      <c r="AE1476" s="222" t="str">
        <f>IF($W1476=AE$3,$AB1476,IF(NOT($W1476=0),"",SUMIFS('Val-Vol (2)'!AE$4:AE$1858,'Val-Vol (2)'!$A$4:$A$1858,$D1476,'Val-Vol (2)'!$V$4:$V$1858,$V1476)/SUMIFS('Comp2016-2017 (3)'!$G$5:$G$289,'Comp2016-2017 (3)'!$A$5:$A$289,$D1476,'Comp2016-2017 (3)'!$R$5:$R$289,$V1476)*$AB1476))</f>
        <v/>
      </c>
      <c r="AF1476" s="222" t="str">
        <f>IF($W1476=AF$3,$AB1476,IF(NOT($W1476=0),"",SUMIFS('Val-Vol (2)'!AF$4:AF$1858,'Val-Vol (2)'!$A$4:$A$1858,$D1476,'Val-Vol (2)'!$V$4:$V$1858,$V1476)/SUMIFS('Comp2016-2017 (3)'!$G$5:$G$289,'Comp2016-2017 (3)'!$A$5:$A$289,$D1476,'Comp2016-2017 (3)'!$R$5:$R$289,$V1476)*$AB1476))</f>
        <v/>
      </c>
      <c r="AG1476" s="222">
        <f>IF($W1476=AG$3,$AB1476,IF(NOT($W1476=0),"",SUMIFS('Val-Vol (2)'!AG$4:AG$1858,'Val-Vol (2)'!$A$4:$A$1858,$D1476,'Val-Vol (2)'!$V$4:$V$1858,$V1476)/SUMIFS('Comp2016-2017 (3)'!$G$5:$G$289,'Comp2016-2017 (3)'!$A$5:$A$289,$D1476,'Comp2016-2017 (3)'!$R$5:$R$289,$V1476)*$AB1476))</f>
        <v>0</v>
      </c>
      <c r="AH1476" s="222" t="str">
        <f>IF($W1476=AH$3,$AB1476,IF(NOT($W1476=0),"",SUMIFS('Val-Vol (2)'!AH$4:AH$1858,'Val-Vol (2)'!$A$4:$A$1858,$D1476,'Val-Vol (2)'!$V$4:$V$1858,$V1476)/SUMIFS('Comp2016-2017 (3)'!$G$5:$G$289,'Comp2016-2017 (3)'!$A$5:$A$289,$D1476,'Comp2016-2017 (3)'!$R$5:$R$289,$V1476)*$AB1476))</f>
        <v/>
      </c>
      <c r="AI1476" s="222" t="str">
        <f>IF($W1476=AI$3,$AB1476,IF(NOT($W1476=0),"",SUMIFS('Val-Vol (2)'!AI$4:AI$1858,'Val-Vol (2)'!$A$4:$A$1858,$D1476,'Val-Vol (2)'!$V$4:$V$1858,$V1476)/SUMIFS('Comp2016-2017 (3)'!$G$5:$G$289,'Comp2016-2017 (3)'!$A$5:$A$289,$D1476,'Comp2016-2017 (3)'!$R$5:$R$289,$V1476)*$AB1476))</f>
        <v/>
      </c>
      <c r="AJ1476" s="222" t="str">
        <f>IF($W1476=AJ$3,$AB1476,IF(NOT($W1476=0),"",SUMIFS('Val-Vol (2)'!AJ$4:AJ$1858,'Val-Vol (2)'!$A$4:$A$1858,$D1476,'Val-Vol (2)'!$V$4:$V$1858,$V1476)/SUMIFS('Comp2016-2017 (3)'!$G$5:$G$289,'Comp2016-2017 (3)'!$A$5:$A$289,$D1476,'Comp2016-2017 (3)'!$R$5:$R$289,$V1476)*$AB1476))</f>
        <v/>
      </c>
      <c r="AK1476" s="222">
        <f t="shared" si="170"/>
        <v>0</v>
      </c>
      <c r="AL1476" s="212" t="str">
        <f t="shared" si="171"/>
        <v/>
      </c>
      <c r="AM1476" s="212" t="str">
        <f>VLOOKUP(A1476,'Table corresp.'!$M$4:$U$63,8,FALSE)</f>
        <v>Importation</v>
      </c>
      <c r="AN1476" s="212" t="str">
        <f>VLOOKUP(D1476,'Table corresp.'!$M$4:$U$63,9,FALSE)</f>
        <v>Production finale</v>
      </c>
    </row>
    <row r="1477" spans="1:40" x14ac:dyDescent="0.25">
      <c r="A1477" t="s">
        <v>52</v>
      </c>
      <c r="B1477" t="str">
        <f>VLOOKUP(LEFT(A1477,3),'Table corresp.'!$A$4:$D$63,3,FALSE)</f>
        <v>Importation</v>
      </c>
      <c r="C1477" t="str">
        <f>VLOOKUP(A1477,'Table corresp.'!$M$4:$P$63,4,FALSE)</f>
        <v>Importation</v>
      </c>
      <c r="D1477" t="s">
        <v>17</v>
      </c>
      <c r="E1477" t="str">
        <f>VLOOKUP(LEFT(D1477,3),'Table corresp.'!$A$4:$D$63,4,FALSE)</f>
        <v>Transformation</v>
      </c>
      <c r="F1477" t="str">
        <f t="shared" si="172"/>
        <v xml:space="preserve">Imp - 38 </v>
      </c>
      <c r="G1477" s="213">
        <v>0</v>
      </c>
      <c r="H1477" s="213">
        <v>40122.146999999983</v>
      </c>
      <c r="I1477" s="213">
        <v>40122.146999999983</v>
      </c>
      <c r="J1477" s="215">
        <v>0</v>
      </c>
      <c r="K1477" s="215">
        <v>47.121038214772973</v>
      </c>
      <c r="L1477" s="215">
        <v>47.121038214772973</v>
      </c>
      <c r="M1477" s="215"/>
      <c r="N1477" s="215"/>
      <c r="O1477" s="215"/>
      <c r="P1477" s="215"/>
      <c r="Q1477" s="215"/>
      <c r="R1477" s="215"/>
      <c r="S1477" s="213"/>
      <c r="T1477" s="212">
        <f>VLOOKUP(A1477,'Groupe de branches'!$Z$27:$AM$86,14,FALSE)</f>
        <v>0</v>
      </c>
      <c r="U1477" s="212">
        <f>VLOOKUP(D1477,'Groupe de branches'!$Z$27:$AM$86,14,FALSE)</f>
        <v>0</v>
      </c>
      <c r="V1477" s="212">
        <v>2019</v>
      </c>
      <c r="W1477" s="212" t="str">
        <f>VLOOKUP(D1477,'Table corresp.'!$M$4:$S$63,7,FALSE)</f>
        <v>Emballage bois et carton</v>
      </c>
      <c r="X1477" s="228">
        <f>IFERROR(G1477/SUMIFS('Comp2016-2017 (3)'!$I$5:$I$289,'Comp2016-2017 (3)'!$A$5:$A$289,A1477,'Comp2016-2017 (3)'!$R$5:$R$289,V1477),0)</f>
        <v>0</v>
      </c>
      <c r="Y1477" s="214">
        <f>IFERROR(IF(RIGHT(F1477,3)="Exp",VLOOKUP(F1477,#REF!,2,FALSE),VLOOKUP(F1477,#REF!,9,FALSE)),0)</f>
        <v>0</v>
      </c>
      <c r="Z1477" s="225">
        <f t="shared" si="173"/>
        <v>0</v>
      </c>
      <c r="AA1477" s="225">
        <f t="shared" si="169"/>
        <v>0</v>
      </c>
      <c r="AB1477" s="222">
        <f>IFERROR(SUMIFS('Comp2016-2017 (3)'!$G$5:$G$289,'Comp2016-2017 (3)'!$A$5:$A$289,A1477,'Comp2016-2017 (3)'!$R$5:$R$289,V1477)*AA1477/SUMIFS($AA$4:$AA$1858,$A$4:$A$1858,A1477,$V$4:$V$1858,V1477),0)</f>
        <v>0</v>
      </c>
      <c r="AC1477" s="222" t="str">
        <f>IF($W1477=AC$3,$AB1477,IF(NOT($W1477=0),"",SUMIFS('Val-Vol (2)'!AC$4:AC$1858,'Val-Vol (2)'!$A$4:$A$1858,$D1477,'Val-Vol (2)'!$V$4:$V$1858,$V1477)/SUMIFS('Comp2016-2017 (3)'!$G$5:$G$289,'Comp2016-2017 (3)'!$A$5:$A$289,$D1477,'Comp2016-2017 (3)'!$R$5:$R$289,$V1477)*$AB1477))</f>
        <v/>
      </c>
      <c r="AD1477" s="222" t="str">
        <f>IF($W1477=AD$3,$AB1477,IF(NOT($W1477=0),"",SUMIFS('Val-Vol (2)'!AD$4:AD$1858,'Val-Vol (2)'!$A$4:$A$1858,$D1477,'Val-Vol (2)'!$V$4:$V$1858,$V1477)/SUMIFS('Comp2016-2017 (3)'!$G$5:$G$289,'Comp2016-2017 (3)'!$A$5:$A$289,$D1477,'Comp2016-2017 (3)'!$R$5:$R$289,$V1477)*$AB1477))</f>
        <v/>
      </c>
      <c r="AE1477" s="222" t="str">
        <f>IF($W1477=AE$3,$AB1477,IF(NOT($W1477=0),"",SUMIFS('Val-Vol (2)'!AE$4:AE$1858,'Val-Vol (2)'!$A$4:$A$1858,$D1477,'Val-Vol (2)'!$V$4:$V$1858,$V1477)/SUMIFS('Comp2016-2017 (3)'!$G$5:$G$289,'Comp2016-2017 (3)'!$A$5:$A$289,$D1477,'Comp2016-2017 (3)'!$R$5:$R$289,$V1477)*$AB1477))</f>
        <v/>
      </c>
      <c r="AF1477" s="222" t="str">
        <f>IF($W1477=AF$3,$AB1477,IF(NOT($W1477=0),"",SUMIFS('Val-Vol (2)'!AF$4:AF$1858,'Val-Vol (2)'!$A$4:$A$1858,$D1477,'Val-Vol (2)'!$V$4:$V$1858,$V1477)/SUMIFS('Comp2016-2017 (3)'!$G$5:$G$289,'Comp2016-2017 (3)'!$A$5:$A$289,$D1477,'Comp2016-2017 (3)'!$R$5:$R$289,$V1477)*$AB1477))</f>
        <v/>
      </c>
      <c r="AG1477" s="222">
        <f>IF($W1477=AG$3,$AB1477,IF(NOT($W1477=0),"",SUMIFS('Val-Vol (2)'!AG$4:AG$1858,'Val-Vol (2)'!$A$4:$A$1858,$D1477,'Val-Vol (2)'!$V$4:$V$1858,$V1477)/SUMIFS('Comp2016-2017 (3)'!$G$5:$G$289,'Comp2016-2017 (3)'!$A$5:$A$289,$D1477,'Comp2016-2017 (3)'!$R$5:$R$289,$V1477)*$AB1477))</f>
        <v>0</v>
      </c>
      <c r="AH1477" s="222" t="str">
        <f>IF($W1477=AH$3,$AB1477,IF(NOT($W1477=0),"",SUMIFS('Val-Vol (2)'!AH$4:AH$1858,'Val-Vol (2)'!$A$4:$A$1858,$D1477,'Val-Vol (2)'!$V$4:$V$1858,$V1477)/SUMIFS('Comp2016-2017 (3)'!$G$5:$G$289,'Comp2016-2017 (3)'!$A$5:$A$289,$D1477,'Comp2016-2017 (3)'!$R$5:$R$289,$V1477)*$AB1477))</f>
        <v/>
      </c>
      <c r="AI1477" s="222" t="str">
        <f>IF($W1477=AI$3,$AB1477,IF(NOT($W1477=0),"",SUMIFS('Val-Vol (2)'!AI$4:AI$1858,'Val-Vol (2)'!$A$4:$A$1858,$D1477,'Val-Vol (2)'!$V$4:$V$1858,$V1477)/SUMIFS('Comp2016-2017 (3)'!$G$5:$G$289,'Comp2016-2017 (3)'!$A$5:$A$289,$D1477,'Comp2016-2017 (3)'!$R$5:$R$289,$V1477)*$AB1477))</f>
        <v/>
      </c>
      <c r="AJ1477" s="222" t="str">
        <f>IF($W1477=AJ$3,$AB1477,IF(NOT($W1477=0),"",SUMIFS('Val-Vol (2)'!AJ$4:AJ$1858,'Val-Vol (2)'!$A$4:$A$1858,$D1477,'Val-Vol (2)'!$V$4:$V$1858,$V1477)/SUMIFS('Comp2016-2017 (3)'!$G$5:$G$289,'Comp2016-2017 (3)'!$A$5:$A$289,$D1477,'Comp2016-2017 (3)'!$R$5:$R$289,$V1477)*$AB1477))</f>
        <v/>
      </c>
      <c r="AK1477" s="222">
        <f t="shared" si="170"/>
        <v>0</v>
      </c>
      <c r="AL1477" s="212" t="str">
        <f t="shared" si="171"/>
        <v/>
      </c>
      <c r="AM1477" s="212" t="str">
        <f>VLOOKUP(A1477,'Table corresp.'!$M$4:$U$63,8,FALSE)</f>
        <v>Importation</v>
      </c>
      <c r="AN1477" s="212" t="str">
        <f>VLOOKUP(D1477,'Table corresp.'!$M$4:$U$63,9,FALSE)</f>
        <v>Production finale</v>
      </c>
    </row>
    <row r="1478" spans="1:40" x14ac:dyDescent="0.25">
      <c r="A1478" t="s">
        <v>52</v>
      </c>
      <c r="B1478" t="str">
        <f>VLOOKUP(LEFT(A1478,3),'Table corresp.'!$A$4:$D$63,3,FALSE)</f>
        <v>Importation</v>
      </c>
      <c r="C1478" t="str">
        <f>VLOOKUP(A1478,'Table corresp.'!$M$4:$P$63,4,FALSE)</f>
        <v>Importation</v>
      </c>
      <c r="D1478" t="s">
        <v>18</v>
      </c>
      <c r="E1478" t="str">
        <f>VLOOKUP(LEFT(D1478,3),'Table corresp.'!$A$4:$D$63,4,FALSE)</f>
        <v>Transformation</v>
      </c>
      <c r="F1478" t="str">
        <f t="shared" si="172"/>
        <v xml:space="preserve">Imp - 39 </v>
      </c>
      <c r="G1478" s="213">
        <v>0</v>
      </c>
      <c r="H1478" s="213">
        <v>16666.793999999998</v>
      </c>
      <c r="I1478" s="213">
        <v>16666.793999999998</v>
      </c>
      <c r="J1478" s="215">
        <v>0</v>
      </c>
      <c r="K1478" s="215">
        <v>22.557727542642841</v>
      </c>
      <c r="L1478" s="215">
        <v>22.557727542642841</v>
      </c>
      <c r="M1478" s="215">
        <v>0</v>
      </c>
      <c r="N1478" s="215">
        <v>6.7393312981212858</v>
      </c>
      <c r="O1478" s="215">
        <v>6.7393312981212858</v>
      </c>
      <c r="P1478" s="215">
        <v>0</v>
      </c>
      <c r="Q1478" s="215">
        <v>2.5775252388551815</v>
      </c>
      <c r="R1478" s="215">
        <v>2.5775252388551815</v>
      </c>
      <c r="S1478" s="213" t="s">
        <v>192</v>
      </c>
      <c r="T1478" s="212">
        <f>VLOOKUP(A1478,'Groupe de branches'!$Z$27:$AM$86,14,FALSE)</f>
        <v>0</v>
      </c>
      <c r="U1478" s="212">
        <f>VLOOKUP(D1478,'Groupe de branches'!$Z$27:$AM$86,14,FALSE)</f>
        <v>0</v>
      </c>
      <c r="V1478" s="212">
        <v>2019</v>
      </c>
      <c r="W1478" s="212" t="str">
        <f>VLOOKUP(D1478,'Table corresp.'!$M$4:$S$63,7,FALSE)</f>
        <v>Construction</v>
      </c>
      <c r="X1478" s="228">
        <f>IFERROR(G1478/SUMIFS('Comp2016-2017 (3)'!$I$5:$I$289,'Comp2016-2017 (3)'!$A$5:$A$289,A1478,'Comp2016-2017 (3)'!$R$5:$R$289,V1478),0)</f>
        <v>0</v>
      </c>
      <c r="Y1478" s="214">
        <f>IFERROR(IF(RIGHT(F1478,3)="Exp",VLOOKUP(F1478,#REF!,2,FALSE),VLOOKUP(F1478,#REF!,9,FALSE)),0)</f>
        <v>0</v>
      </c>
      <c r="Z1478" s="225">
        <f t="shared" si="173"/>
        <v>0</v>
      </c>
      <c r="AA1478" s="225">
        <f t="shared" si="169"/>
        <v>0</v>
      </c>
      <c r="AB1478" s="222">
        <f>IFERROR(SUMIFS('Comp2016-2017 (3)'!$G$5:$G$289,'Comp2016-2017 (3)'!$A$5:$A$289,A1478,'Comp2016-2017 (3)'!$R$5:$R$289,V1478)*AA1478/SUMIFS($AA$4:$AA$1858,$A$4:$A$1858,A1478,$V$4:$V$1858,V1478),0)</f>
        <v>0</v>
      </c>
      <c r="AC1478" s="222" t="str">
        <f>IF($W1478=AC$3,$AB1478,IF(NOT($W1478=0),"",SUMIFS('Val-Vol (2)'!AC$4:AC$1858,'Val-Vol (2)'!$A$4:$A$1858,$D1478,'Val-Vol (2)'!$V$4:$V$1858,$V1478)/SUMIFS('Comp2016-2017 (3)'!$G$5:$G$289,'Comp2016-2017 (3)'!$A$5:$A$289,$D1478,'Comp2016-2017 (3)'!$R$5:$R$289,$V1478)*$AB1478))</f>
        <v/>
      </c>
      <c r="AD1478" s="222">
        <f>IF($W1478=AD$3,$AB1478,IF(NOT($W1478=0),"",SUMIFS('Val-Vol (2)'!AD$4:AD$1858,'Val-Vol (2)'!$A$4:$A$1858,$D1478,'Val-Vol (2)'!$V$4:$V$1858,$V1478)/SUMIFS('Comp2016-2017 (3)'!$G$5:$G$289,'Comp2016-2017 (3)'!$A$5:$A$289,$D1478,'Comp2016-2017 (3)'!$R$5:$R$289,$V1478)*$AB1478))</f>
        <v>0</v>
      </c>
      <c r="AE1478" s="222" t="str">
        <f>IF($W1478=AE$3,$AB1478,IF(NOT($W1478=0),"",SUMIFS('Val-Vol (2)'!AE$4:AE$1858,'Val-Vol (2)'!$A$4:$A$1858,$D1478,'Val-Vol (2)'!$V$4:$V$1858,$V1478)/SUMIFS('Comp2016-2017 (3)'!$G$5:$G$289,'Comp2016-2017 (3)'!$A$5:$A$289,$D1478,'Comp2016-2017 (3)'!$R$5:$R$289,$V1478)*$AB1478))</f>
        <v/>
      </c>
      <c r="AF1478" s="222" t="str">
        <f>IF($W1478=AF$3,$AB1478,IF(NOT($W1478=0),"",SUMIFS('Val-Vol (2)'!AF$4:AF$1858,'Val-Vol (2)'!$A$4:$A$1858,$D1478,'Val-Vol (2)'!$V$4:$V$1858,$V1478)/SUMIFS('Comp2016-2017 (3)'!$G$5:$G$289,'Comp2016-2017 (3)'!$A$5:$A$289,$D1478,'Comp2016-2017 (3)'!$R$5:$R$289,$V1478)*$AB1478))</f>
        <v/>
      </c>
      <c r="AG1478" s="222" t="str">
        <f>IF($W1478=AG$3,$AB1478,IF(NOT($W1478=0),"",SUMIFS('Val-Vol (2)'!AG$4:AG$1858,'Val-Vol (2)'!$A$4:$A$1858,$D1478,'Val-Vol (2)'!$V$4:$V$1858,$V1478)/SUMIFS('Comp2016-2017 (3)'!$G$5:$G$289,'Comp2016-2017 (3)'!$A$5:$A$289,$D1478,'Comp2016-2017 (3)'!$R$5:$R$289,$V1478)*$AB1478))</f>
        <v/>
      </c>
      <c r="AH1478" s="222" t="str">
        <f>IF($W1478=AH$3,$AB1478,IF(NOT($W1478=0),"",SUMIFS('Val-Vol (2)'!AH$4:AH$1858,'Val-Vol (2)'!$A$4:$A$1858,$D1478,'Val-Vol (2)'!$V$4:$V$1858,$V1478)/SUMIFS('Comp2016-2017 (3)'!$G$5:$G$289,'Comp2016-2017 (3)'!$A$5:$A$289,$D1478,'Comp2016-2017 (3)'!$R$5:$R$289,$V1478)*$AB1478))</f>
        <v/>
      </c>
      <c r="AI1478" s="222" t="str">
        <f>IF($W1478=AI$3,$AB1478,IF(NOT($W1478=0),"",SUMIFS('Val-Vol (2)'!AI$4:AI$1858,'Val-Vol (2)'!$A$4:$A$1858,$D1478,'Val-Vol (2)'!$V$4:$V$1858,$V1478)/SUMIFS('Comp2016-2017 (3)'!$G$5:$G$289,'Comp2016-2017 (3)'!$A$5:$A$289,$D1478,'Comp2016-2017 (3)'!$R$5:$R$289,$V1478)*$AB1478))</f>
        <v/>
      </c>
      <c r="AJ1478" s="222" t="str">
        <f>IF($W1478=AJ$3,$AB1478,IF(NOT($W1478=0),"",SUMIFS('Val-Vol (2)'!AJ$4:AJ$1858,'Val-Vol (2)'!$A$4:$A$1858,$D1478,'Val-Vol (2)'!$V$4:$V$1858,$V1478)/SUMIFS('Comp2016-2017 (3)'!$G$5:$G$289,'Comp2016-2017 (3)'!$A$5:$A$289,$D1478,'Comp2016-2017 (3)'!$R$5:$R$289,$V1478)*$AB1478))</f>
        <v/>
      </c>
      <c r="AK1478" s="222">
        <f t="shared" si="170"/>
        <v>0</v>
      </c>
      <c r="AL1478" s="212" t="str">
        <f t="shared" si="171"/>
        <v/>
      </c>
      <c r="AM1478" s="212" t="str">
        <f>VLOOKUP(A1478,'Table corresp.'!$M$4:$U$63,8,FALSE)</f>
        <v>Importation</v>
      </c>
      <c r="AN1478" s="212" t="str">
        <f>VLOOKUP(D1478,'Table corresp.'!$M$4:$U$63,9,FALSE)</f>
        <v>Production finale</v>
      </c>
    </row>
    <row r="1479" spans="1:40" x14ac:dyDescent="0.25">
      <c r="A1479" t="s">
        <v>52</v>
      </c>
      <c r="B1479" t="str">
        <f>VLOOKUP(LEFT(A1479,3),'Table corresp.'!$A$4:$D$63,3,FALSE)</f>
        <v>Importation</v>
      </c>
      <c r="C1479" t="str">
        <f>VLOOKUP(A1479,'Table corresp.'!$M$4:$P$63,4,FALSE)</f>
        <v>Importation</v>
      </c>
      <c r="D1479" t="s">
        <v>92</v>
      </c>
      <c r="E1479" t="str">
        <f>VLOOKUP(LEFT(D1479,3),'Table corresp.'!$A$4:$D$63,4,FALSE)</f>
        <v>Transformation</v>
      </c>
      <c r="F1479" t="str">
        <f t="shared" si="172"/>
        <v xml:space="preserve">Imp - 40 </v>
      </c>
      <c r="G1479" s="213">
        <v>0</v>
      </c>
      <c r="H1479" s="213">
        <v>30163.742000000027</v>
      </c>
      <c r="I1479" s="213">
        <v>30163.742000000027</v>
      </c>
      <c r="J1479" s="215">
        <v>0</v>
      </c>
      <c r="K1479" s="215">
        <v>60.317099221729215</v>
      </c>
      <c r="L1479" s="215">
        <v>60.317099221729215</v>
      </c>
      <c r="M1479" s="215"/>
      <c r="N1479" s="215"/>
      <c r="O1479" s="215"/>
      <c r="P1479" s="215"/>
      <c r="Q1479" s="215"/>
      <c r="R1479" s="215"/>
      <c r="S1479" s="213"/>
      <c r="T1479" s="212">
        <f>VLOOKUP(A1479,'Groupe de branches'!$Z$27:$AM$86,14,FALSE)</f>
        <v>0</v>
      </c>
      <c r="U1479" s="212">
        <f>VLOOKUP(D1479,'Groupe de branches'!$Z$27:$AM$86,14,FALSE)</f>
        <v>0</v>
      </c>
      <c r="V1479" s="212">
        <v>2019</v>
      </c>
      <c r="W1479" s="212" t="str">
        <f>VLOOKUP(D1479,'Table corresp.'!$M$4:$S$63,7,FALSE)</f>
        <v>Construction</v>
      </c>
      <c r="X1479" s="228">
        <f>IFERROR(G1479/SUMIFS('Comp2016-2017 (3)'!$I$5:$I$289,'Comp2016-2017 (3)'!$A$5:$A$289,A1479,'Comp2016-2017 (3)'!$R$5:$R$289,V1479),0)</f>
        <v>0</v>
      </c>
      <c r="Y1479" s="214">
        <f>IFERROR(IF(RIGHT(F1479,3)="Exp",VLOOKUP(F1479,#REF!,2,FALSE),VLOOKUP(F1479,#REF!,9,FALSE)),0)</f>
        <v>0</v>
      </c>
      <c r="Z1479" s="225">
        <f t="shared" si="173"/>
        <v>0</v>
      </c>
      <c r="AA1479" s="225">
        <f t="shared" si="169"/>
        <v>0</v>
      </c>
      <c r="AB1479" s="222">
        <f>IFERROR(SUMIFS('Comp2016-2017 (3)'!$G$5:$G$289,'Comp2016-2017 (3)'!$A$5:$A$289,A1479,'Comp2016-2017 (3)'!$R$5:$R$289,V1479)*AA1479/SUMIFS($AA$4:$AA$1858,$A$4:$A$1858,A1479,$V$4:$V$1858,V1479),0)</f>
        <v>0</v>
      </c>
      <c r="AC1479" s="222" t="str">
        <f>IF($W1479=AC$3,$AB1479,IF(NOT($W1479=0),"",SUMIFS('Val-Vol (2)'!AC$4:AC$1858,'Val-Vol (2)'!$A$4:$A$1858,$D1479,'Val-Vol (2)'!$V$4:$V$1858,$V1479)/SUMIFS('Comp2016-2017 (3)'!$G$5:$G$289,'Comp2016-2017 (3)'!$A$5:$A$289,$D1479,'Comp2016-2017 (3)'!$R$5:$R$289,$V1479)*$AB1479))</f>
        <v/>
      </c>
      <c r="AD1479" s="222">
        <f>IF($W1479=AD$3,$AB1479,IF(NOT($W1479=0),"",SUMIFS('Val-Vol (2)'!AD$4:AD$1858,'Val-Vol (2)'!$A$4:$A$1858,$D1479,'Val-Vol (2)'!$V$4:$V$1858,$V1479)/SUMIFS('Comp2016-2017 (3)'!$G$5:$G$289,'Comp2016-2017 (3)'!$A$5:$A$289,$D1479,'Comp2016-2017 (3)'!$R$5:$R$289,$V1479)*$AB1479))</f>
        <v>0</v>
      </c>
      <c r="AE1479" s="222" t="str">
        <f>IF($W1479=AE$3,$AB1479,IF(NOT($W1479=0),"",SUMIFS('Val-Vol (2)'!AE$4:AE$1858,'Val-Vol (2)'!$A$4:$A$1858,$D1479,'Val-Vol (2)'!$V$4:$V$1858,$V1479)/SUMIFS('Comp2016-2017 (3)'!$G$5:$G$289,'Comp2016-2017 (3)'!$A$5:$A$289,$D1479,'Comp2016-2017 (3)'!$R$5:$R$289,$V1479)*$AB1479))</f>
        <v/>
      </c>
      <c r="AF1479" s="222" t="str">
        <f>IF($W1479=AF$3,$AB1479,IF(NOT($W1479=0),"",SUMIFS('Val-Vol (2)'!AF$4:AF$1858,'Val-Vol (2)'!$A$4:$A$1858,$D1479,'Val-Vol (2)'!$V$4:$V$1858,$V1479)/SUMIFS('Comp2016-2017 (3)'!$G$5:$G$289,'Comp2016-2017 (3)'!$A$5:$A$289,$D1479,'Comp2016-2017 (3)'!$R$5:$R$289,$V1479)*$AB1479))</f>
        <v/>
      </c>
      <c r="AG1479" s="222" t="str">
        <f>IF($W1479=AG$3,$AB1479,IF(NOT($W1479=0),"",SUMIFS('Val-Vol (2)'!AG$4:AG$1858,'Val-Vol (2)'!$A$4:$A$1858,$D1479,'Val-Vol (2)'!$V$4:$V$1858,$V1479)/SUMIFS('Comp2016-2017 (3)'!$G$5:$G$289,'Comp2016-2017 (3)'!$A$5:$A$289,$D1479,'Comp2016-2017 (3)'!$R$5:$R$289,$V1479)*$AB1479))</f>
        <v/>
      </c>
      <c r="AH1479" s="222" t="str">
        <f>IF($W1479=AH$3,$AB1479,IF(NOT($W1479=0),"",SUMIFS('Val-Vol (2)'!AH$4:AH$1858,'Val-Vol (2)'!$A$4:$A$1858,$D1479,'Val-Vol (2)'!$V$4:$V$1858,$V1479)/SUMIFS('Comp2016-2017 (3)'!$G$5:$G$289,'Comp2016-2017 (3)'!$A$5:$A$289,$D1479,'Comp2016-2017 (3)'!$R$5:$R$289,$V1479)*$AB1479))</f>
        <v/>
      </c>
      <c r="AI1479" s="222" t="str">
        <f>IF($W1479=AI$3,$AB1479,IF(NOT($W1479=0),"",SUMIFS('Val-Vol (2)'!AI$4:AI$1858,'Val-Vol (2)'!$A$4:$A$1858,$D1479,'Val-Vol (2)'!$V$4:$V$1858,$V1479)/SUMIFS('Comp2016-2017 (3)'!$G$5:$G$289,'Comp2016-2017 (3)'!$A$5:$A$289,$D1479,'Comp2016-2017 (3)'!$R$5:$R$289,$V1479)*$AB1479))</f>
        <v/>
      </c>
      <c r="AJ1479" s="222" t="str">
        <f>IF($W1479=AJ$3,$AB1479,IF(NOT($W1479=0),"",SUMIFS('Val-Vol (2)'!AJ$4:AJ$1858,'Val-Vol (2)'!$A$4:$A$1858,$D1479,'Val-Vol (2)'!$V$4:$V$1858,$V1479)/SUMIFS('Comp2016-2017 (3)'!$G$5:$G$289,'Comp2016-2017 (3)'!$A$5:$A$289,$D1479,'Comp2016-2017 (3)'!$R$5:$R$289,$V1479)*$AB1479))</f>
        <v/>
      </c>
      <c r="AK1479" s="222">
        <f t="shared" si="170"/>
        <v>0</v>
      </c>
      <c r="AL1479" s="212" t="str">
        <f t="shared" si="171"/>
        <v/>
      </c>
      <c r="AM1479" s="212" t="str">
        <f>VLOOKUP(A1479,'Table corresp.'!$M$4:$U$63,8,FALSE)</f>
        <v>Importation</v>
      </c>
      <c r="AN1479" s="212" t="str">
        <f>VLOOKUP(D1479,'Table corresp.'!$M$4:$U$63,9,FALSE)</f>
        <v>Production finale</v>
      </c>
    </row>
    <row r="1480" spans="1:40" x14ac:dyDescent="0.25">
      <c r="A1480" t="s">
        <v>52</v>
      </c>
      <c r="B1480" t="str">
        <f>VLOOKUP(LEFT(A1480,3),'Table corresp.'!$A$4:$D$63,3,FALSE)</f>
        <v>Importation</v>
      </c>
      <c r="C1480" t="str">
        <f>VLOOKUP(A1480,'Table corresp.'!$M$4:$P$63,4,FALSE)</f>
        <v>Importation</v>
      </c>
      <c r="D1480" t="s">
        <v>93</v>
      </c>
      <c r="E1480" t="str">
        <f>VLOOKUP(LEFT(D1480,3),'Table corresp.'!$A$4:$D$63,4,FALSE)</f>
        <v>Transformation</v>
      </c>
      <c r="F1480" t="str">
        <f t="shared" si="172"/>
        <v xml:space="preserve">Imp - 41 </v>
      </c>
      <c r="G1480" s="213">
        <v>0</v>
      </c>
      <c r="H1480" s="213">
        <v>208205.40899999964</v>
      </c>
      <c r="I1480" s="213">
        <v>208205.40899999964</v>
      </c>
      <c r="J1480" s="215">
        <v>0</v>
      </c>
      <c r="K1480" s="215">
        <v>609.47377652260764</v>
      </c>
      <c r="L1480" s="215">
        <v>609.47377652260764</v>
      </c>
      <c r="M1480" s="215"/>
      <c r="N1480" s="215"/>
      <c r="O1480" s="215"/>
      <c r="P1480" s="215"/>
      <c r="Q1480" s="215"/>
      <c r="R1480" s="215"/>
      <c r="S1480" s="213"/>
      <c r="T1480" s="212">
        <f>VLOOKUP(A1480,'Groupe de branches'!$Z$27:$AM$86,14,FALSE)</f>
        <v>0</v>
      </c>
      <c r="U1480" s="212">
        <f>VLOOKUP(D1480,'Groupe de branches'!$Z$27:$AM$86,14,FALSE)</f>
        <v>0</v>
      </c>
      <c r="V1480" s="212">
        <v>2019</v>
      </c>
      <c r="W1480" s="212" t="str">
        <f>VLOOKUP(D1480,'Table corresp.'!$M$4:$S$63,7,FALSE)</f>
        <v>Produits de consommation courante</v>
      </c>
      <c r="X1480" s="228">
        <f>IFERROR(G1480/SUMIFS('Comp2016-2017 (3)'!$I$5:$I$289,'Comp2016-2017 (3)'!$A$5:$A$289,A1480,'Comp2016-2017 (3)'!$R$5:$R$289,V1480),0)</f>
        <v>0</v>
      </c>
      <c r="Y1480" s="214">
        <f>IFERROR(IF(RIGHT(F1480,3)="Exp",VLOOKUP(F1480,#REF!,2,FALSE),VLOOKUP(F1480,#REF!,9,FALSE)),0)</f>
        <v>0</v>
      </c>
      <c r="Z1480" s="225">
        <f t="shared" si="173"/>
        <v>0</v>
      </c>
      <c r="AA1480" s="225">
        <f t="shared" si="169"/>
        <v>0</v>
      </c>
      <c r="AB1480" s="222">
        <f>IFERROR(SUMIFS('Comp2016-2017 (3)'!$G$5:$G$289,'Comp2016-2017 (3)'!$A$5:$A$289,A1480,'Comp2016-2017 (3)'!$R$5:$R$289,V1480)*AA1480/SUMIFS($AA$4:$AA$1858,$A$4:$A$1858,A1480,$V$4:$V$1858,V1480),0)</f>
        <v>0</v>
      </c>
      <c r="AC1480" s="222" t="str">
        <f>IF($W1480=AC$3,$AB1480,IF(NOT($W1480=0),"",SUMIFS('Val-Vol (2)'!AC$4:AC$1858,'Val-Vol (2)'!$A$4:$A$1858,$D1480,'Val-Vol (2)'!$V$4:$V$1858,$V1480)/SUMIFS('Comp2016-2017 (3)'!$G$5:$G$289,'Comp2016-2017 (3)'!$A$5:$A$289,$D1480,'Comp2016-2017 (3)'!$R$5:$R$289,$V1480)*$AB1480))</f>
        <v/>
      </c>
      <c r="AD1480" s="222" t="str">
        <f>IF($W1480=AD$3,$AB1480,IF(NOT($W1480=0),"",SUMIFS('Val-Vol (2)'!AD$4:AD$1858,'Val-Vol (2)'!$A$4:$A$1858,$D1480,'Val-Vol (2)'!$V$4:$V$1858,$V1480)/SUMIFS('Comp2016-2017 (3)'!$G$5:$G$289,'Comp2016-2017 (3)'!$A$5:$A$289,$D1480,'Comp2016-2017 (3)'!$R$5:$R$289,$V1480)*$AB1480))</f>
        <v/>
      </c>
      <c r="AE1480" s="222" t="str">
        <f>IF($W1480=AE$3,$AB1480,IF(NOT($W1480=0),"",SUMIFS('Val-Vol (2)'!AE$4:AE$1858,'Val-Vol (2)'!$A$4:$A$1858,$D1480,'Val-Vol (2)'!$V$4:$V$1858,$V1480)/SUMIFS('Comp2016-2017 (3)'!$G$5:$G$289,'Comp2016-2017 (3)'!$A$5:$A$289,$D1480,'Comp2016-2017 (3)'!$R$5:$R$289,$V1480)*$AB1480))</f>
        <v/>
      </c>
      <c r="AF1480" s="222" t="str">
        <f>IF($W1480=AF$3,$AB1480,IF(NOT($W1480=0),"",SUMIFS('Val-Vol (2)'!AF$4:AF$1858,'Val-Vol (2)'!$A$4:$A$1858,$D1480,'Val-Vol (2)'!$V$4:$V$1858,$V1480)/SUMIFS('Comp2016-2017 (3)'!$G$5:$G$289,'Comp2016-2017 (3)'!$A$5:$A$289,$D1480,'Comp2016-2017 (3)'!$R$5:$R$289,$V1480)*$AB1480))</f>
        <v/>
      </c>
      <c r="AG1480" s="222" t="str">
        <f>IF($W1480=AG$3,$AB1480,IF(NOT($W1480=0),"",SUMIFS('Val-Vol (2)'!AG$4:AG$1858,'Val-Vol (2)'!$A$4:$A$1858,$D1480,'Val-Vol (2)'!$V$4:$V$1858,$V1480)/SUMIFS('Comp2016-2017 (3)'!$G$5:$G$289,'Comp2016-2017 (3)'!$A$5:$A$289,$D1480,'Comp2016-2017 (3)'!$R$5:$R$289,$V1480)*$AB1480))</f>
        <v/>
      </c>
      <c r="AH1480" s="222" t="str">
        <f>IF($W1480=AH$3,$AB1480,IF(NOT($W1480=0),"",SUMIFS('Val-Vol (2)'!AH$4:AH$1858,'Val-Vol (2)'!$A$4:$A$1858,$D1480,'Val-Vol (2)'!$V$4:$V$1858,$V1480)/SUMIFS('Comp2016-2017 (3)'!$G$5:$G$289,'Comp2016-2017 (3)'!$A$5:$A$289,$D1480,'Comp2016-2017 (3)'!$R$5:$R$289,$V1480)*$AB1480))</f>
        <v/>
      </c>
      <c r="AI1480" s="222">
        <f>IF($W1480=AI$3,$AB1480,IF(NOT($W1480=0),"",SUMIFS('Val-Vol (2)'!AI$4:AI$1858,'Val-Vol (2)'!$A$4:$A$1858,$D1480,'Val-Vol (2)'!$V$4:$V$1858,$V1480)/SUMIFS('Comp2016-2017 (3)'!$G$5:$G$289,'Comp2016-2017 (3)'!$A$5:$A$289,$D1480,'Comp2016-2017 (3)'!$R$5:$R$289,$V1480)*$AB1480))</f>
        <v>0</v>
      </c>
      <c r="AJ1480" s="222" t="str">
        <f>IF($W1480=AJ$3,$AB1480,IF(NOT($W1480=0),"",SUMIFS('Val-Vol (2)'!AJ$4:AJ$1858,'Val-Vol (2)'!$A$4:$A$1858,$D1480,'Val-Vol (2)'!$V$4:$V$1858,$V1480)/SUMIFS('Comp2016-2017 (3)'!$G$5:$G$289,'Comp2016-2017 (3)'!$A$5:$A$289,$D1480,'Comp2016-2017 (3)'!$R$5:$R$289,$V1480)*$AB1480))</f>
        <v/>
      </c>
      <c r="AK1480" s="222">
        <f t="shared" si="170"/>
        <v>0</v>
      </c>
      <c r="AL1480" s="212" t="str">
        <f t="shared" si="171"/>
        <v/>
      </c>
      <c r="AM1480" s="212" t="str">
        <f>VLOOKUP(A1480,'Table corresp.'!$M$4:$U$63,8,FALSE)</f>
        <v>Importation</v>
      </c>
      <c r="AN1480" s="212" t="str">
        <f>VLOOKUP(D1480,'Table corresp.'!$M$4:$U$63,9,FALSE)</f>
        <v>Production finale</v>
      </c>
    </row>
    <row r="1481" spans="1:40" x14ac:dyDescent="0.25">
      <c r="A1481" t="s">
        <v>52</v>
      </c>
      <c r="B1481" t="str">
        <f>VLOOKUP(LEFT(A1481,3),'Table corresp.'!$A$4:$D$63,3,FALSE)</f>
        <v>Importation</v>
      </c>
      <c r="C1481" t="str">
        <f>VLOOKUP(A1481,'Table corresp.'!$M$4:$P$63,4,FALSE)</f>
        <v>Importation</v>
      </c>
      <c r="D1481" t="s">
        <v>94</v>
      </c>
      <c r="E1481" t="str">
        <f>VLOOKUP(LEFT(D1481,3),'Table corresp.'!$A$4:$D$63,4,FALSE)</f>
        <v>Transformation</v>
      </c>
      <c r="F1481" t="str">
        <f t="shared" si="172"/>
        <v xml:space="preserve">Imp - 42 </v>
      </c>
      <c r="G1481" s="213">
        <v>0</v>
      </c>
      <c r="H1481" s="213">
        <v>282140.29199999938</v>
      </c>
      <c r="I1481" s="213">
        <v>282140.29199999938</v>
      </c>
      <c r="J1481" s="215">
        <v>0</v>
      </c>
      <c r="K1481" s="215">
        <v>34.433349964900266</v>
      </c>
      <c r="L1481" s="215">
        <v>34.433349964900266</v>
      </c>
      <c r="M1481" s="215"/>
      <c r="N1481" s="215"/>
      <c r="O1481" s="215"/>
      <c r="P1481" s="215"/>
      <c r="Q1481" s="215"/>
      <c r="R1481" s="215"/>
      <c r="S1481" s="213"/>
      <c r="T1481" s="212">
        <f>VLOOKUP(A1481,'Groupe de branches'!$Z$27:$AM$86,14,FALSE)</f>
        <v>0</v>
      </c>
      <c r="U1481" s="212">
        <f>VLOOKUP(D1481,'Groupe de branches'!$Z$27:$AM$86,14,FALSE)</f>
        <v>0</v>
      </c>
      <c r="V1481" s="212">
        <v>2019</v>
      </c>
      <c r="W1481" s="212" t="str">
        <f>VLOOKUP(D1481,'Table corresp.'!$M$4:$S$63,7,FALSE)</f>
        <v>Produits de consommation courante</v>
      </c>
      <c r="X1481" s="228">
        <f>IFERROR(G1481/SUMIFS('Comp2016-2017 (3)'!$I$5:$I$289,'Comp2016-2017 (3)'!$A$5:$A$289,A1481,'Comp2016-2017 (3)'!$R$5:$R$289,V1481),0)</f>
        <v>0</v>
      </c>
      <c r="Y1481" s="214">
        <f>IFERROR(IF(RIGHT(F1481,3)="Exp",VLOOKUP(F1481,#REF!,2,FALSE),VLOOKUP(F1481,#REF!,9,FALSE)),0)</f>
        <v>0</v>
      </c>
      <c r="Z1481" s="225">
        <f t="shared" si="173"/>
        <v>0</v>
      </c>
      <c r="AA1481" s="225">
        <f t="shared" si="169"/>
        <v>0</v>
      </c>
      <c r="AB1481" s="222">
        <f>IFERROR(SUMIFS('Comp2016-2017 (3)'!$G$5:$G$289,'Comp2016-2017 (3)'!$A$5:$A$289,A1481,'Comp2016-2017 (3)'!$R$5:$R$289,V1481)*AA1481/SUMIFS($AA$4:$AA$1858,$A$4:$A$1858,A1481,$V$4:$V$1858,V1481),0)</f>
        <v>0</v>
      </c>
      <c r="AC1481" s="222" t="str">
        <f>IF($W1481=AC$3,$AB1481,IF(NOT($W1481=0),"",SUMIFS('Val-Vol (2)'!AC$4:AC$1858,'Val-Vol (2)'!$A$4:$A$1858,$D1481,'Val-Vol (2)'!$V$4:$V$1858,$V1481)/SUMIFS('Comp2016-2017 (3)'!$G$5:$G$289,'Comp2016-2017 (3)'!$A$5:$A$289,$D1481,'Comp2016-2017 (3)'!$R$5:$R$289,$V1481)*$AB1481))</f>
        <v/>
      </c>
      <c r="AD1481" s="222" t="str">
        <f>IF($W1481=AD$3,$AB1481,IF(NOT($W1481=0),"",SUMIFS('Val-Vol (2)'!AD$4:AD$1858,'Val-Vol (2)'!$A$4:$A$1858,$D1481,'Val-Vol (2)'!$V$4:$V$1858,$V1481)/SUMIFS('Comp2016-2017 (3)'!$G$5:$G$289,'Comp2016-2017 (3)'!$A$5:$A$289,$D1481,'Comp2016-2017 (3)'!$R$5:$R$289,$V1481)*$AB1481))</f>
        <v/>
      </c>
      <c r="AE1481" s="222" t="str">
        <f>IF($W1481=AE$3,$AB1481,IF(NOT($W1481=0),"",SUMIFS('Val-Vol (2)'!AE$4:AE$1858,'Val-Vol (2)'!$A$4:$A$1858,$D1481,'Val-Vol (2)'!$V$4:$V$1858,$V1481)/SUMIFS('Comp2016-2017 (3)'!$G$5:$G$289,'Comp2016-2017 (3)'!$A$5:$A$289,$D1481,'Comp2016-2017 (3)'!$R$5:$R$289,$V1481)*$AB1481))</f>
        <v/>
      </c>
      <c r="AF1481" s="222" t="str">
        <f>IF($W1481=AF$3,$AB1481,IF(NOT($W1481=0),"",SUMIFS('Val-Vol (2)'!AF$4:AF$1858,'Val-Vol (2)'!$A$4:$A$1858,$D1481,'Val-Vol (2)'!$V$4:$V$1858,$V1481)/SUMIFS('Comp2016-2017 (3)'!$G$5:$G$289,'Comp2016-2017 (3)'!$A$5:$A$289,$D1481,'Comp2016-2017 (3)'!$R$5:$R$289,$V1481)*$AB1481))</f>
        <v/>
      </c>
      <c r="AG1481" s="222" t="str">
        <f>IF($W1481=AG$3,$AB1481,IF(NOT($W1481=0),"",SUMIFS('Val-Vol (2)'!AG$4:AG$1858,'Val-Vol (2)'!$A$4:$A$1858,$D1481,'Val-Vol (2)'!$V$4:$V$1858,$V1481)/SUMIFS('Comp2016-2017 (3)'!$G$5:$G$289,'Comp2016-2017 (3)'!$A$5:$A$289,$D1481,'Comp2016-2017 (3)'!$R$5:$R$289,$V1481)*$AB1481))</f>
        <v/>
      </c>
      <c r="AH1481" s="222" t="str">
        <f>IF($W1481=AH$3,$AB1481,IF(NOT($W1481=0),"",SUMIFS('Val-Vol (2)'!AH$4:AH$1858,'Val-Vol (2)'!$A$4:$A$1858,$D1481,'Val-Vol (2)'!$V$4:$V$1858,$V1481)/SUMIFS('Comp2016-2017 (3)'!$G$5:$G$289,'Comp2016-2017 (3)'!$A$5:$A$289,$D1481,'Comp2016-2017 (3)'!$R$5:$R$289,$V1481)*$AB1481))</f>
        <v/>
      </c>
      <c r="AI1481" s="222">
        <f>IF($W1481=AI$3,$AB1481,IF(NOT($W1481=0),"",SUMIFS('Val-Vol (2)'!AI$4:AI$1858,'Val-Vol (2)'!$A$4:$A$1858,$D1481,'Val-Vol (2)'!$V$4:$V$1858,$V1481)/SUMIFS('Comp2016-2017 (3)'!$G$5:$G$289,'Comp2016-2017 (3)'!$A$5:$A$289,$D1481,'Comp2016-2017 (3)'!$R$5:$R$289,$V1481)*$AB1481))</f>
        <v>0</v>
      </c>
      <c r="AJ1481" s="222" t="str">
        <f>IF($W1481=AJ$3,$AB1481,IF(NOT($W1481=0),"",SUMIFS('Val-Vol (2)'!AJ$4:AJ$1858,'Val-Vol (2)'!$A$4:$A$1858,$D1481,'Val-Vol (2)'!$V$4:$V$1858,$V1481)/SUMIFS('Comp2016-2017 (3)'!$G$5:$G$289,'Comp2016-2017 (3)'!$A$5:$A$289,$D1481,'Comp2016-2017 (3)'!$R$5:$R$289,$V1481)*$AB1481))</f>
        <v/>
      </c>
      <c r="AK1481" s="222">
        <f t="shared" si="170"/>
        <v>0</v>
      </c>
      <c r="AL1481" s="212" t="str">
        <f t="shared" si="171"/>
        <v/>
      </c>
      <c r="AM1481" s="212" t="str">
        <f>VLOOKUP(A1481,'Table corresp.'!$M$4:$U$63,8,FALSE)</f>
        <v>Importation</v>
      </c>
      <c r="AN1481" s="212" t="str">
        <f>VLOOKUP(D1481,'Table corresp.'!$M$4:$U$63,9,FALSE)</f>
        <v>Production finale</v>
      </c>
    </row>
    <row r="1482" spans="1:40" x14ac:dyDescent="0.25">
      <c r="A1482" t="s">
        <v>52</v>
      </c>
      <c r="B1482" t="str">
        <f>VLOOKUP(LEFT(A1482,3),'Table corresp.'!$A$4:$D$63,3,FALSE)</f>
        <v>Importation</v>
      </c>
      <c r="C1482" t="str">
        <f>VLOOKUP(A1482,'Table corresp.'!$M$4:$P$63,4,FALSE)</f>
        <v>Importation</v>
      </c>
      <c r="D1482" t="s">
        <v>95</v>
      </c>
      <c r="E1482" t="str">
        <f>VLOOKUP(LEFT(D1482,3),'Table corresp.'!$A$4:$D$63,4,FALSE)</f>
        <v>Transformation</v>
      </c>
      <c r="F1482" t="str">
        <f t="shared" si="172"/>
        <v xml:space="preserve">Imp - 43 </v>
      </c>
      <c r="G1482" s="213">
        <v>0</v>
      </c>
      <c r="H1482" s="213">
        <v>1029512.7240000004</v>
      </c>
      <c r="I1482" s="213">
        <v>1029512.7240000004</v>
      </c>
      <c r="J1482" s="215"/>
      <c r="K1482" s="215"/>
      <c r="L1482" s="215"/>
      <c r="M1482" s="215">
        <v>0</v>
      </c>
      <c r="N1482" s="215">
        <v>6419.5991760992756</v>
      </c>
      <c r="O1482" s="215">
        <v>6419.5991760992756</v>
      </c>
      <c r="P1482" s="215"/>
      <c r="Q1482" s="215"/>
      <c r="R1482" s="215"/>
      <c r="S1482" s="213"/>
      <c r="T1482" s="212">
        <f>VLOOKUP(A1482,'Groupe de branches'!$Z$27:$AM$86,14,FALSE)</f>
        <v>0</v>
      </c>
      <c r="U1482" s="212">
        <f>VLOOKUP(D1482,'Groupe de branches'!$Z$27:$AM$86,14,FALSE)</f>
        <v>0</v>
      </c>
      <c r="V1482" s="212">
        <v>2019</v>
      </c>
      <c r="W1482" s="212" t="str">
        <f>VLOOKUP(D1482,'Table corresp.'!$M$4:$S$63,7,FALSE)</f>
        <v>Pate &amp; papier &amp; carton</v>
      </c>
      <c r="X1482" s="228">
        <f>IFERROR(G1482/SUMIFS('Comp2016-2017 (3)'!$I$5:$I$289,'Comp2016-2017 (3)'!$A$5:$A$289,A1482,'Comp2016-2017 (3)'!$R$5:$R$289,V1482),0)</f>
        <v>0</v>
      </c>
      <c r="Y1482" s="214">
        <f>IFERROR(IF(RIGHT(F1482,3)="Exp",VLOOKUP(F1482,#REF!,2,FALSE),VLOOKUP(F1482,#REF!,9,FALSE)),0)</f>
        <v>0</v>
      </c>
      <c r="Z1482" s="225">
        <f t="shared" si="173"/>
        <v>0</v>
      </c>
      <c r="AA1482" s="225">
        <f t="shared" si="169"/>
        <v>0</v>
      </c>
      <c r="AB1482" s="222">
        <f>IFERROR(SUMIFS('Comp2016-2017 (3)'!$G$5:$G$289,'Comp2016-2017 (3)'!$A$5:$A$289,A1482,'Comp2016-2017 (3)'!$R$5:$R$289,V1482)*AA1482/SUMIFS($AA$4:$AA$1858,$A$4:$A$1858,A1482,$V$4:$V$1858,V1482),0)</f>
        <v>0</v>
      </c>
      <c r="AC1482" s="222" t="str">
        <f>IF($W1482=AC$3,$AB1482,IF(NOT($W1482=0),"",SUMIFS('Val-Vol (2)'!AC$4:AC$1858,'Val-Vol (2)'!$A$4:$A$1858,$D1482,'Val-Vol (2)'!$V$4:$V$1858,$V1482)/SUMIFS('Comp2016-2017 (3)'!$G$5:$G$289,'Comp2016-2017 (3)'!$A$5:$A$289,$D1482,'Comp2016-2017 (3)'!$R$5:$R$289,$V1482)*$AB1482))</f>
        <v/>
      </c>
      <c r="AD1482" s="222" t="str">
        <f>IF($W1482=AD$3,$AB1482,IF(NOT($W1482=0),"",SUMIFS('Val-Vol (2)'!AD$4:AD$1858,'Val-Vol (2)'!$A$4:$A$1858,$D1482,'Val-Vol (2)'!$V$4:$V$1858,$V1482)/SUMIFS('Comp2016-2017 (3)'!$G$5:$G$289,'Comp2016-2017 (3)'!$A$5:$A$289,$D1482,'Comp2016-2017 (3)'!$R$5:$R$289,$V1482)*$AB1482))</f>
        <v/>
      </c>
      <c r="AE1482" s="222" t="str">
        <f>IF($W1482=AE$3,$AB1482,IF(NOT($W1482=0),"",SUMIFS('Val-Vol (2)'!AE$4:AE$1858,'Val-Vol (2)'!$A$4:$A$1858,$D1482,'Val-Vol (2)'!$V$4:$V$1858,$V1482)/SUMIFS('Comp2016-2017 (3)'!$G$5:$G$289,'Comp2016-2017 (3)'!$A$5:$A$289,$D1482,'Comp2016-2017 (3)'!$R$5:$R$289,$V1482)*$AB1482))</f>
        <v/>
      </c>
      <c r="AF1482" s="222">
        <f>IF($W1482=AF$3,$AB1482,IF(NOT($W1482=0),"",SUMIFS('Val-Vol (2)'!AF$4:AF$1858,'Val-Vol (2)'!$A$4:$A$1858,$D1482,'Val-Vol (2)'!$V$4:$V$1858,$V1482)/SUMIFS('Comp2016-2017 (3)'!$G$5:$G$289,'Comp2016-2017 (3)'!$A$5:$A$289,$D1482,'Comp2016-2017 (3)'!$R$5:$R$289,$V1482)*$AB1482))</f>
        <v>0</v>
      </c>
      <c r="AG1482" s="222" t="str">
        <f>IF($W1482=AG$3,$AB1482,IF(NOT($W1482=0),"",SUMIFS('Val-Vol (2)'!AG$4:AG$1858,'Val-Vol (2)'!$A$4:$A$1858,$D1482,'Val-Vol (2)'!$V$4:$V$1858,$V1482)/SUMIFS('Comp2016-2017 (3)'!$G$5:$G$289,'Comp2016-2017 (3)'!$A$5:$A$289,$D1482,'Comp2016-2017 (3)'!$R$5:$R$289,$V1482)*$AB1482))</f>
        <v/>
      </c>
      <c r="AH1482" s="222" t="str">
        <f>IF($W1482=AH$3,$AB1482,IF(NOT($W1482=0),"",SUMIFS('Val-Vol (2)'!AH$4:AH$1858,'Val-Vol (2)'!$A$4:$A$1858,$D1482,'Val-Vol (2)'!$V$4:$V$1858,$V1482)/SUMIFS('Comp2016-2017 (3)'!$G$5:$G$289,'Comp2016-2017 (3)'!$A$5:$A$289,$D1482,'Comp2016-2017 (3)'!$R$5:$R$289,$V1482)*$AB1482))</f>
        <v/>
      </c>
      <c r="AI1482" s="222" t="str">
        <f>IF($W1482=AI$3,$AB1482,IF(NOT($W1482=0),"",SUMIFS('Val-Vol (2)'!AI$4:AI$1858,'Val-Vol (2)'!$A$4:$A$1858,$D1482,'Val-Vol (2)'!$V$4:$V$1858,$V1482)/SUMIFS('Comp2016-2017 (3)'!$G$5:$G$289,'Comp2016-2017 (3)'!$A$5:$A$289,$D1482,'Comp2016-2017 (3)'!$R$5:$R$289,$V1482)*$AB1482))</f>
        <v/>
      </c>
      <c r="AJ1482" s="222" t="str">
        <f>IF($W1482=AJ$3,$AB1482,IF(NOT($W1482=0),"",SUMIFS('Val-Vol (2)'!AJ$4:AJ$1858,'Val-Vol (2)'!$A$4:$A$1858,$D1482,'Val-Vol (2)'!$V$4:$V$1858,$V1482)/SUMIFS('Comp2016-2017 (3)'!$G$5:$G$289,'Comp2016-2017 (3)'!$A$5:$A$289,$D1482,'Comp2016-2017 (3)'!$R$5:$R$289,$V1482)*$AB1482))</f>
        <v/>
      </c>
      <c r="AK1482" s="222">
        <f t="shared" si="170"/>
        <v>0</v>
      </c>
      <c r="AL1482" s="212" t="str">
        <f t="shared" si="171"/>
        <v/>
      </c>
      <c r="AM1482" s="212" t="str">
        <f>VLOOKUP(A1482,'Table corresp.'!$M$4:$U$63,8,FALSE)</f>
        <v>Importation</v>
      </c>
      <c r="AN1482" s="212" t="str">
        <f>VLOOKUP(D1482,'Table corresp.'!$M$4:$U$63,9,FALSE)</f>
        <v>Production intermédiaire</v>
      </c>
    </row>
    <row r="1483" spans="1:40" x14ac:dyDescent="0.25">
      <c r="A1483" t="s">
        <v>52</v>
      </c>
      <c r="B1483" t="str">
        <f>VLOOKUP(LEFT(A1483,3),'Table corresp.'!$A$4:$D$63,3,FALSE)</f>
        <v>Importation</v>
      </c>
      <c r="C1483" t="str">
        <f>VLOOKUP(A1483,'Table corresp.'!$M$4:$P$63,4,FALSE)</f>
        <v>Importation</v>
      </c>
      <c r="D1483" t="s">
        <v>96</v>
      </c>
      <c r="E1483" t="str">
        <f>VLOOKUP(LEFT(D1483,3),'Table corresp.'!$A$4:$D$63,4,FALSE)</f>
        <v>Transformation</v>
      </c>
      <c r="F1483" t="str">
        <f t="shared" si="172"/>
        <v xml:space="preserve">Imp - 44 </v>
      </c>
      <c r="G1483" s="213">
        <v>0</v>
      </c>
      <c r="H1483" s="213">
        <v>4187062.4789999877</v>
      </c>
      <c r="I1483" s="213">
        <v>4187062.4789999877</v>
      </c>
      <c r="J1483" s="215"/>
      <c r="K1483" s="215"/>
      <c r="L1483" s="215"/>
      <c r="M1483" s="215">
        <v>0</v>
      </c>
      <c r="N1483" s="215">
        <v>5753.1867086281718</v>
      </c>
      <c r="O1483" s="215">
        <v>5753.1867086281718</v>
      </c>
      <c r="P1483" s="215"/>
      <c r="Q1483" s="215"/>
      <c r="R1483" s="215"/>
      <c r="S1483" s="213"/>
      <c r="T1483" s="212">
        <f>VLOOKUP(A1483,'Groupe de branches'!$Z$27:$AM$86,14,FALSE)</f>
        <v>0</v>
      </c>
      <c r="U1483" s="212">
        <f>VLOOKUP(D1483,'Groupe de branches'!$Z$27:$AM$86,14,FALSE)</f>
        <v>0</v>
      </c>
      <c r="V1483" s="212">
        <v>2019</v>
      </c>
      <c r="W1483" s="212" t="str">
        <f>VLOOKUP(D1483,'Table corresp.'!$M$4:$S$63,7,FALSE)</f>
        <v>Pate &amp; papier &amp; carton</v>
      </c>
      <c r="X1483" s="228">
        <f>IFERROR(G1483/SUMIFS('Comp2016-2017 (3)'!$I$5:$I$289,'Comp2016-2017 (3)'!$A$5:$A$289,A1483,'Comp2016-2017 (3)'!$R$5:$R$289,V1483),0)</f>
        <v>0</v>
      </c>
      <c r="Y1483" s="214">
        <f>IFERROR(IF(RIGHT(F1483,3)="Exp",VLOOKUP(F1483,#REF!,2,FALSE),VLOOKUP(F1483,#REF!,9,FALSE)),0)</f>
        <v>0</v>
      </c>
      <c r="Z1483" s="225">
        <f t="shared" si="173"/>
        <v>0</v>
      </c>
      <c r="AA1483" s="225">
        <f t="shared" si="169"/>
        <v>0</v>
      </c>
      <c r="AB1483" s="222">
        <f>IFERROR(SUMIFS('Comp2016-2017 (3)'!$G$5:$G$289,'Comp2016-2017 (3)'!$A$5:$A$289,A1483,'Comp2016-2017 (3)'!$R$5:$R$289,V1483)*AA1483/SUMIFS($AA$4:$AA$1858,$A$4:$A$1858,A1483,$V$4:$V$1858,V1483),0)</f>
        <v>0</v>
      </c>
      <c r="AC1483" s="222" t="str">
        <f>IF($W1483=AC$3,$AB1483,IF(NOT($W1483=0),"",SUMIFS('Val-Vol (2)'!AC$4:AC$1858,'Val-Vol (2)'!$A$4:$A$1858,$D1483,'Val-Vol (2)'!$V$4:$V$1858,$V1483)/SUMIFS('Comp2016-2017 (3)'!$G$5:$G$289,'Comp2016-2017 (3)'!$A$5:$A$289,$D1483,'Comp2016-2017 (3)'!$R$5:$R$289,$V1483)*$AB1483))</f>
        <v/>
      </c>
      <c r="AD1483" s="222" t="str">
        <f>IF($W1483=AD$3,$AB1483,IF(NOT($W1483=0),"",SUMIFS('Val-Vol (2)'!AD$4:AD$1858,'Val-Vol (2)'!$A$4:$A$1858,$D1483,'Val-Vol (2)'!$V$4:$V$1858,$V1483)/SUMIFS('Comp2016-2017 (3)'!$G$5:$G$289,'Comp2016-2017 (3)'!$A$5:$A$289,$D1483,'Comp2016-2017 (3)'!$R$5:$R$289,$V1483)*$AB1483))</f>
        <v/>
      </c>
      <c r="AE1483" s="222" t="str">
        <f>IF($W1483=AE$3,$AB1483,IF(NOT($W1483=0),"",SUMIFS('Val-Vol (2)'!AE$4:AE$1858,'Val-Vol (2)'!$A$4:$A$1858,$D1483,'Val-Vol (2)'!$V$4:$V$1858,$V1483)/SUMIFS('Comp2016-2017 (3)'!$G$5:$G$289,'Comp2016-2017 (3)'!$A$5:$A$289,$D1483,'Comp2016-2017 (3)'!$R$5:$R$289,$V1483)*$AB1483))</f>
        <v/>
      </c>
      <c r="AF1483" s="222">
        <f>IF($W1483=AF$3,$AB1483,IF(NOT($W1483=0),"",SUMIFS('Val-Vol (2)'!AF$4:AF$1858,'Val-Vol (2)'!$A$4:$A$1858,$D1483,'Val-Vol (2)'!$V$4:$V$1858,$V1483)/SUMIFS('Comp2016-2017 (3)'!$G$5:$G$289,'Comp2016-2017 (3)'!$A$5:$A$289,$D1483,'Comp2016-2017 (3)'!$R$5:$R$289,$V1483)*$AB1483))</f>
        <v>0</v>
      </c>
      <c r="AG1483" s="222" t="str">
        <f>IF($W1483=AG$3,$AB1483,IF(NOT($W1483=0),"",SUMIFS('Val-Vol (2)'!AG$4:AG$1858,'Val-Vol (2)'!$A$4:$A$1858,$D1483,'Val-Vol (2)'!$V$4:$V$1858,$V1483)/SUMIFS('Comp2016-2017 (3)'!$G$5:$G$289,'Comp2016-2017 (3)'!$A$5:$A$289,$D1483,'Comp2016-2017 (3)'!$R$5:$R$289,$V1483)*$AB1483))</f>
        <v/>
      </c>
      <c r="AH1483" s="222" t="str">
        <f>IF($W1483=AH$3,$AB1483,IF(NOT($W1483=0),"",SUMIFS('Val-Vol (2)'!AH$4:AH$1858,'Val-Vol (2)'!$A$4:$A$1858,$D1483,'Val-Vol (2)'!$V$4:$V$1858,$V1483)/SUMIFS('Comp2016-2017 (3)'!$G$5:$G$289,'Comp2016-2017 (3)'!$A$5:$A$289,$D1483,'Comp2016-2017 (3)'!$R$5:$R$289,$V1483)*$AB1483))</f>
        <v/>
      </c>
      <c r="AI1483" s="222" t="str">
        <f>IF($W1483=AI$3,$AB1483,IF(NOT($W1483=0),"",SUMIFS('Val-Vol (2)'!AI$4:AI$1858,'Val-Vol (2)'!$A$4:$A$1858,$D1483,'Val-Vol (2)'!$V$4:$V$1858,$V1483)/SUMIFS('Comp2016-2017 (3)'!$G$5:$G$289,'Comp2016-2017 (3)'!$A$5:$A$289,$D1483,'Comp2016-2017 (3)'!$R$5:$R$289,$V1483)*$AB1483))</f>
        <v/>
      </c>
      <c r="AJ1483" s="222" t="str">
        <f>IF($W1483=AJ$3,$AB1483,IF(NOT($W1483=0),"",SUMIFS('Val-Vol (2)'!AJ$4:AJ$1858,'Val-Vol (2)'!$A$4:$A$1858,$D1483,'Val-Vol (2)'!$V$4:$V$1858,$V1483)/SUMIFS('Comp2016-2017 (3)'!$G$5:$G$289,'Comp2016-2017 (3)'!$A$5:$A$289,$D1483,'Comp2016-2017 (3)'!$R$5:$R$289,$V1483)*$AB1483))</f>
        <v/>
      </c>
      <c r="AK1483" s="222">
        <f t="shared" si="170"/>
        <v>0</v>
      </c>
      <c r="AL1483" s="212" t="str">
        <f t="shared" si="171"/>
        <v/>
      </c>
      <c r="AM1483" s="212" t="str">
        <f>VLOOKUP(A1483,'Table corresp.'!$M$4:$U$63,8,FALSE)</f>
        <v>Importation</v>
      </c>
      <c r="AN1483" s="212" t="str">
        <f>VLOOKUP(D1483,'Table corresp.'!$M$4:$U$63,9,FALSE)</f>
        <v>Production intermédiaire</v>
      </c>
    </row>
    <row r="1484" spans="1:40" x14ac:dyDescent="0.25">
      <c r="A1484" t="s">
        <v>52</v>
      </c>
      <c r="B1484" t="str">
        <f>VLOOKUP(LEFT(A1484,3),'Table corresp.'!$A$4:$D$63,3,FALSE)</f>
        <v>Importation</v>
      </c>
      <c r="C1484" t="str">
        <f>VLOOKUP(A1484,'Table corresp.'!$M$4:$P$63,4,FALSE)</f>
        <v>Importation</v>
      </c>
      <c r="D1484" t="s">
        <v>97</v>
      </c>
      <c r="E1484" t="str">
        <f>VLOOKUP(LEFT(D1484,3),'Table corresp.'!$A$4:$D$63,4,FALSE)</f>
        <v>Transformation</v>
      </c>
      <c r="F1484" t="str">
        <f t="shared" si="172"/>
        <v xml:space="preserve">Imp - 45 </v>
      </c>
      <c r="G1484" s="213">
        <v>0</v>
      </c>
      <c r="H1484" s="213">
        <v>4039168.5950000114</v>
      </c>
      <c r="I1484" s="213">
        <v>4039168.5950000114</v>
      </c>
      <c r="J1484" s="215"/>
      <c r="K1484" s="215"/>
      <c r="L1484" s="215"/>
      <c r="M1484" s="215">
        <v>0</v>
      </c>
      <c r="N1484" s="215">
        <v>1760.7191124607371</v>
      </c>
      <c r="O1484" s="215">
        <v>1760.7191124607371</v>
      </c>
      <c r="P1484" s="215"/>
      <c r="Q1484" s="215"/>
      <c r="R1484" s="215"/>
      <c r="S1484" s="213"/>
      <c r="T1484" s="212">
        <f>VLOOKUP(A1484,'Groupe de branches'!$Z$27:$AM$86,14,FALSE)</f>
        <v>0</v>
      </c>
      <c r="U1484" s="212">
        <f>VLOOKUP(D1484,'Groupe de branches'!$Z$27:$AM$86,14,FALSE)</f>
        <v>0</v>
      </c>
      <c r="V1484" s="212">
        <v>2019</v>
      </c>
      <c r="W1484" s="212" t="str">
        <f>VLOOKUP(D1484,'Table corresp.'!$M$4:$S$63,7,FALSE)</f>
        <v>Pate &amp; papier &amp; carton</v>
      </c>
      <c r="X1484" s="228">
        <f>IFERROR(G1484/SUMIFS('Comp2016-2017 (3)'!$I$5:$I$289,'Comp2016-2017 (3)'!$A$5:$A$289,A1484,'Comp2016-2017 (3)'!$R$5:$R$289,V1484),0)</f>
        <v>0</v>
      </c>
      <c r="Y1484" s="214">
        <f>IFERROR(IF(RIGHT(F1484,3)="Exp",VLOOKUP(F1484,#REF!,2,FALSE),VLOOKUP(F1484,#REF!,9,FALSE)),0)</f>
        <v>0</v>
      </c>
      <c r="Z1484" s="225">
        <f t="shared" si="173"/>
        <v>0</v>
      </c>
      <c r="AA1484" s="225">
        <f t="shared" si="169"/>
        <v>0</v>
      </c>
      <c r="AB1484" s="222">
        <f>IFERROR(SUMIFS('Comp2016-2017 (3)'!$G$5:$G$289,'Comp2016-2017 (3)'!$A$5:$A$289,A1484,'Comp2016-2017 (3)'!$R$5:$R$289,V1484)*AA1484/SUMIFS($AA$4:$AA$1858,$A$4:$A$1858,A1484,$V$4:$V$1858,V1484),0)</f>
        <v>0</v>
      </c>
      <c r="AC1484" s="222" t="str">
        <f>IF($W1484=AC$3,$AB1484,IF(NOT($W1484=0),"",SUMIFS('Val-Vol (2)'!AC$4:AC$1858,'Val-Vol (2)'!$A$4:$A$1858,$D1484,'Val-Vol (2)'!$V$4:$V$1858,$V1484)/SUMIFS('Comp2016-2017 (3)'!$G$5:$G$289,'Comp2016-2017 (3)'!$A$5:$A$289,$D1484,'Comp2016-2017 (3)'!$R$5:$R$289,$V1484)*$AB1484))</f>
        <v/>
      </c>
      <c r="AD1484" s="222" t="str">
        <f>IF($W1484=AD$3,$AB1484,IF(NOT($W1484=0),"",SUMIFS('Val-Vol (2)'!AD$4:AD$1858,'Val-Vol (2)'!$A$4:$A$1858,$D1484,'Val-Vol (2)'!$V$4:$V$1858,$V1484)/SUMIFS('Comp2016-2017 (3)'!$G$5:$G$289,'Comp2016-2017 (3)'!$A$5:$A$289,$D1484,'Comp2016-2017 (3)'!$R$5:$R$289,$V1484)*$AB1484))</f>
        <v/>
      </c>
      <c r="AE1484" s="222" t="str">
        <f>IF($W1484=AE$3,$AB1484,IF(NOT($W1484=0),"",SUMIFS('Val-Vol (2)'!AE$4:AE$1858,'Val-Vol (2)'!$A$4:$A$1858,$D1484,'Val-Vol (2)'!$V$4:$V$1858,$V1484)/SUMIFS('Comp2016-2017 (3)'!$G$5:$G$289,'Comp2016-2017 (3)'!$A$5:$A$289,$D1484,'Comp2016-2017 (3)'!$R$5:$R$289,$V1484)*$AB1484))</f>
        <v/>
      </c>
      <c r="AF1484" s="222">
        <f>IF($W1484=AF$3,$AB1484,IF(NOT($W1484=0),"",SUMIFS('Val-Vol (2)'!AF$4:AF$1858,'Val-Vol (2)'!$A$4:$A$1858,$D1484,'Val-Vol (2)'!$V$4:$V$1858,$V1484)/SUMIFS('Comp2016-2017 (3)'!$G$5:$G$289,'Comp2016-2017 (3)'!$A$5:$A$289,$D1484,'Comp2016-2017 (3)'!$R$5:$R$289,$V1484)*$AB1484))</f>
        <v>0</v>
      </c>
      <c r="AG1484" s="222" t="str">
        <f>IF($W1484=AG$3,$AB1484,IF(NOT($W1484=0),"",SUMIFS('Val-Vol (2)'!AG$4:AG$1858,'Val-Vol (2)'!$A$4:$A$1858,$D1484,'Val-Vol (2)'!$V$4:$V$1858,$V1484)/SUMIFS('Comp2016-2017 (3)'!$G$5:$G$289,'Comp2016-2017 (3)'!$A$5:$A$289,$D1484,'Comp2016-2017 (3)'!$R$5:$R$289,$V1484)*$AB1484))</f>
        <v/>
      </c>
      <c r="AH1484" s="222" t="str">
        <f>IF($W1484=AH$3,$AB1484,IF(NOT($W1484=0),"",SUMIFS('Val-Vol (2)'!AH$4:AH$1858,'Val-Vol (2)'!$A$4:$A$1858,$D1484,'Val-Vol (2)'!$V$4:$V$1858,$V1484)/SUMIFS('Comp2016-2017 (3)'!$G$5:$G$289,'Comp2016-2017 (3)'!$A$5:$A$289,$D1484,'Comp2016-2017 (3)'!$R$5:$R$289,$V1484)*$AB1484))</f>
        <v/>
      </c>
      <c r="AI1484" s="222" t="str">
        <f>IF($W1484=AI$3,$AB1484,IF(NOT($W1484=0),"",SUMIFS('Val-Vol (2)'!AI$4:AI$1858,'Val-Vol (2)'!$A$4:$A$1858,$D1484,'Val-Vol (2)'!$V$4:$V$1858,$V1484)/SUMIFS('Comp2016-2017 (3)'!$G$5:$G$289,'Comp2016-2017 (3)'!$A$5:$A$289,$D1484,'Comp2016-2017 (3)'!$R$5:$R$289,$V1484)*$AB1484))</f>
        <v/>
      </c>
      <c r="AJ1484" s="222" t="str">
        <f>IF($W1484=AJ$3,$AB1484,IF(NOT($W1484=0),"",SUMIFS('Val-Vol (2)'!AJ$4:AJ$1858,'Val-Vol (2)'!$A$4:$A$1858,$D1484,'Val-Vol (2)'!$V$4:$V$1858,$V1484)/SUMIFS('Comp2016-2017 (3)'!$G$5:$G$289,'Comp2016-2017 (3)'!$A$5:$A$289,$D1484,'Comp2016-2017 (3)'!$R$5:$R$289,$V1484)*$AB1484))</f>
        <v/>
      </c>
      <c r="AK1484" s="222">
        <f t="shared" si="170"/>
        <v>0</v>
      </c>
      <c r="AL1484" s="212" t="str">
        <f t="shared" si="171"/>
        <v/>
      </c>
      <c r="AM1484" s="212" t="str">
        <f>VLOOKUP(A1484,'Table corresp.'!$M$4:$U$63,8,FALSE)</f>
        <v>Importation</v>
      </c>
      <c r="AN1484" s="212" t="str">
        <f>VLOOKUP(D1484,'Table corresp.'!$M$4:$U$63,9,FALSE)</f>
        <v>Production finale</v>
      </c>
    </row>
    <row r="1485" spans="1:40" x14ac:dyDescent="0.25">
      <c r="A1485" t="s">
        <v>52</v>
      </c>
      <c r="B1485" t="str">
        <f>VLOOKUP(LEFT(A1485,3),'Table corresp.'!$A$4:$D$63,3,FALSE)</f>
        <v>Importation</v>
      </c>
      <c r="C1485" t="str">
        <f>VLOOKUP(A1485,'Table corresp.'!$M$4:$P$63,4,FALSE)</f>
        <v>Importation</v>
      </c>
      <c r="D1485" t="s">
        <v>98</v>
      </c>
      <c r="E1485" t="str">
        <f>VLOOKUP(LEFT(D1485,3),'Table corresp.'!$A$4:$D$63,4,FALSE)</f>
        <v>Transformation</v>
      </c>
      <c r="F1485" t="str">
        <f t="shared" si="172"/>
        <v xml:space="preserve">Imp - 46 </v>
      </c>
      <c r="G1485" s="213">
        <v>0</v>
      </c>
      <c r="H1485" s="213">
        <v>27833.0445</v>
      </c>
      <c r="I1485" s="213">
        <v>27833.0445</v>
      </c>
      <c r="J1485" s="215"/>
      <c r="K1485" s="215"/>
      <c r="L1485" s="215"/>
      <c r="M1485" s="215">
        <v>0</v>
      </c>
      <c r="N1485" s="215">
        <v>119.06467480728656</v>
      </c>
      <c r="O1485" s="215">
        <v>119.06467480728656</v>
      </c>
      <c r="P1485" s="215"/>
      <c r="Q1485" s="215"/>
      <c r="R1485" s="215"/>
      <c r="S1485" s="213"/>
      <c r="T1485" s="212">
        <f>VLOOKUP(A1485,'Groupe de branches'!$Z$27:$AM$86,14,FALSE)</f>
        <v>0</v>
      </c>
      <c r="U1485" s="212">
        <f>VLOOKUP(D1485,'Groupe de branches'!$Z$27:$AM$86,14,FALSE)</f>
        <v>0</v>
      </c>
      <c r="V1485" s="212">
        <v>2019</v>
      </c>
      <c r="W1485" s="212" t="str">
        <f>VLOOKUP(D1485,'Table corresp.'!$M$4:$S$63,7,FALSE)</f>
        <v>Produits de consommation courante</v>
      </c>
      <c r="X1485" s="228">
        <f>IFERROR(G1485/SUMIFS('Comp2016-2017 (3)'!$I$5:$I$289,'Comp2016-2017 (3)'!$A$5:$A$289,A1485,'Comp2016-2017 (3)'!$R$5:$R$289,V1485),0)</f>
        <v>0</v>
      </c>
      <c r="Y1485" s="214">
        <f>IFERROR(IF(RIGHT(F1485,3)="Exp",VLOOKUP(F1485,#REF!,2,FALSE),VLOOKUP(F1485,#REF!,9,FALSE)),0)</f>
        <v>0</v>
      </c>
      <c r="Z1485" s="225">
        <f t="shared" si="173"/>
        <v>0</v>
      </c>
      <c r="AA1485" s="225">
        <f t="shared" si="169"/>
        <v>0</v>
      </c>
      <c r="AB1485" s="222">
        <f>IFERROR(SUMIFS('Comp2016-2017 (3)'!$G$5:$G$289,'Comp2016-2017 (3)'!$A$5:$A$289,A1485,'Comp2016-2017 (3)'!$R$5:$R$289,V1485)*AA1485/SUMIFS($AA$4:$AA$1858,$A$4:$A$1858,A1485,$V$4:$V$1858,V1485),0)</f>
        <v>0</v>
      </c>
      <c r="AC1485" s="222" t="str">
        <f>IF($W1485=AC$3,$AB1485,IF(NOT($W1485=0),"",SUMIFS('Val-Vol (2)'!AC$4:AC$1858,'Val-Vol (2)'!$A$4:$A$1858,$D1485,'Val-Vol (2)'!$V$4:$V$1858,$V1485)/SUMIFS('Comp2016-2017 (3)'!$G$5:$G$289,'Comp2016-2017 (3)'!$A$5:$A$289,$D1485,'Comp2016-2017 (3)'!$R$5:$R$289,$V1485)*$AB1485))</f>
        <v/>
      </c>
      <c r="AD1485" s="222" t="str">
        <f>IF($W1485=AD$3,$AB1485,IF(NOT($W1485=0),"",SUMIFS('Val-Vol (2)'!AD$4:AD$1858,'Val-Vol (2)'!$A$4:$A$1858,$D1485,'Val-Vol (2)'!$V$4:$V$1858,$V1485)/SUMIFS('Comp2016-2017 (3)'!$G$5:$G$289,'Comp2016-2017 (3)'!$A$5:$A$289,$D1485,'Comp2016-2017 (3)'!$R$5:$R$289,$V1485)*$AB1485))</f>
        <v/>
      </c>
      <c r="AE1485" s="222" t="str">
        <f>IF($W1485=AE$3,$AB1485,IF(NOT($W1485=0),"",SUMIFS('Val-Vol (2)'!AE$4:AE$1858,'Val-Vol (2)'!$A$4:$A$1858,$D1485,'Val-Vol (2)'!$V$4:$V$1858,$V1485)/SUMIFS('Comp2016-2017 (3)'!$G$5:$G$289,'Comp2016-2017 (3)'!$A$5:$A$289,$D1485,'Comp2016-2017 (3)'!$R$5:$R$289,$V1485)*$AB1485))</f>
        <v/>
      </c>
      <c r="AF1485" s="222" t="str">
        <f>IF($W1485=AF$3,$AB1485,IF(NOT($W1485=0),"",SUMIFS('Val-Vol (2)'!AF$4:AF$1858,'Val-Vol (2)'!$A$4:$A$1858,$D1485,'Val-Vol (2)'!$V$4:$V$1858,$V1485)/SUMIFS('Comp2016-2017 (3)'!$G$5:$G$289,'Comp2016-2017 (3)'!$A$5:$A$289,$D1485,'Comp2016-2017 (3)'!$R$5:$R$289,$V1485)*$AB1485))</f>
        <v/>
      </c>
      <c r="AG1485" s="222" t="str">
        <f>IF($W1485=AG$3,$AB1485,IF(NOT($W1485=0),"",SUMIFS('Val-Vol (2)'!AG$4:AG$1858,'Val-Vol (2)'!$A$4:$A$1858,$D1485,'Val-Vol (2)'!$V$4:$V$1858,$V1485)/SUMIFS('Comp2016-2017 (3)'!$G$5:$G$289,'Comp2016-2017 (3)'!$A$5:$A$289,$D1485,'Comp2016-2017 (3)'!$R$5:$R$289,$V1485)*$AB1485))</f>
        <v/>
      </c>
      <c r="AH1485" s="222" t="str">
        <f>IF($W1485=AH$3,$AB1485,IF(NOT($W1485=0),"",SUMIFS('Val-Vol (2)'!AH$4:AH$1858,'Val-Vol (2)'!$A$4:$A$1858,$D1485,'Val-Vol (2)'!$V$4:$V$1858,$V1485)/SUMIFS('Comp2016-2017 (3)'!$G$5:$G$289,'Comp2016-2017 (3)'!$A$5:$A$289,$D1485,'Comp2016-2017 (3)'!$R$5:$R$289,$V1485)*$AB1485))</f>
        <v/>
      </c>
      <c r="AI1485" s="222">
        <f>IF($W1485=AI$3,$AB1485,IF(NOT($W1485=0),"",SUMIFS('Val-Vol (2)'!AI$4:AI$1858,'Val-Vol (2)'!$A$4:$A$1858,$D1485,'Val-Vol (2)'!$V$4:$V$1858,$V1485)/SUMIFS('Comp2016-2017 (3)'!$G$5:$G$289,'Comp2016-2017 (3)'!$A$5:$A$289,$D1485,'Comp2016-2017 (3)'!$R$5:$R$289,$V1485)*$AB1485))</f>
        <v>0</v>
      </c>
      <c r="AJ1485" s="222" t="str">
        <f>IF($W1485=AJ$3,$AB1485,IF(NOT($W1485=0),"",SUMIFS('Val-Vol (2)'!AJ$4:AJ$1858,'Val-Vol (2)'!$A$4:$A$1858,$D1485,'Val-Vol (2)'!$V$4:$V$1858,$V1485)/SUMIFS('Comp2016-2017 (3)'!$G$5:$G$289,'Comp2016-2017 (3)'!$A$5:$A$289,$D1485,'Comp2016-2017 (3)'!$R$5:$R$289,$V1485)*$AB1485))</f>
        <v/>
      </c>
      <c r="AK1485" s="222">
        <f t="shared" si="170"/>
        <v>0</v>
      </c>
      <c r="AL1485" s="212" t="str">
        <f t="shared" si="171"/>
        <v/>
      </c>
      <c r="AM1485" s="212" t="str">
        <f>VLOOKUP(A1485,'Table corresp.'!$M$4:$U$63,8,FALSE)</f>
        <v>Importation</v>
      </c>
      <c r="AN1485" s="212" t="str">
        <f>VLOOKUP(D1485,'Table corresp.'!$M$4:$U$63,9,FALSE)</f>
        <v>Production intermédiaire</v>
      </c>
    </row>
    <row r="1486" spans="1:40" x14ac:dyDescent="0.25">
      <c r="A1486" t="s">
        <v>52</v>
      </c>
      <c r="B1486" t="str">
        <f>VLOOKUP(LEFT(A1486,3),'Table corresp.'!$A$4:$D$63,3,FALSE)</f>
        <v>Importation</v>
      </c>
      <c r="C1486" t="str">
        <f>VLOOKUP(A1486,'Table corresp.'!$M$4:$P$63,4,FALSE)</f>
        <v>Importation</v>
      </c>
      <c r="D1486" t="s">
        <v>99</v>
      </c>
      <c r="E1486" t="str">
        <f>VLOOKUP(LEFT(D1486,3),'Table corresp.'!$A$4:$D$63,4,FALSE)</f>
        <v>Transformation</v>
      </c>
      <c r="F1486" t="str">
        <f t="shared" si="172"/>
        <v xml:space="preserve">Imp - 47 </v>
      </c>
      <c r="G1486" s="213">
        <v>0</v>
      </c>
      <c r="H1486" s="213">
        <v>3751407.2050000043</v>
      </c>
      <c r="I1486" s="213">
        <v>3751407.2050000043</v>
      </c>
      <c r="J1486" s="215">
        <v>0</v>
      </c>
      <c r="K1486" s="215">
        <v>817.17288443625318</v>
      </c>
      <c r="L1486" s="215">
        <v>817.17288443625318</v>
      </c>
      <c r="M1486" s="215">
        <v>0</v>
      </c>
      <c r="N1486" s="215">
        <v>1633.1864566513764</v>
      </c>
      <c r="O1486" s="215">
        <v>1633.1864566513764</v>
      </c>
      <c r="P1486" s="215">
        <v>0</v>
      </c>
      <c r="Q1486" s="215">
        <v>439.15640116355632</v>
      </c>
      <c r="R1486" s="215">
        <v>439.15640116355632</v>
      </c>
      <c r="S1486" s="213" t="s">
        <v>192</v>
      </c>
      <c r="T1486" s="212">
        <f>VLOOKUP(A1486,'Groupe de branches'!$Z$27:$AM$86,14,FALSE)</f>
        <v>0</v>
      </c>
      <c r="U1486" s="212">
        <f>VLOOKUP(D1486,'Groupe de branches'!$Z$27:$AM$86,14,FALSE)</f>
        <v>0</v>
      </c>
      <c r="V1486" s="212">
        <v>2019</v>
      </c>
      <c r="W1486" s="212" t="str">
        <f>VLOOKUP(D1486,'Table corresp.'!$M$4:$S$63,7,FALSE)</f>
        <v>Meuble</v>
      </c>
      <c r="X1486" s="228">
        <f>IFERROR(G1486/SUMIFS('Comp2016-2017 (3)'!$I$5:$I$289,'Comp2016-2017 (3)'!$A$5:$A$289,A1486,'Comp2016-2017 (3)'!$R$5:$R$289,V1486),0)</f>
        <v>0</v>
      </c>
      <c r="Y1486" s="214">
        <f>IFERROR(IF(RIGHT(F1486,3)="Exp",VLOOKUP(F1486,#REF!,2,FALSE),VLOOKUP(F1486,#REF!,9,FALSE)),0)</f>
        <v>0</v>
      </c>
      <c r="Z1486" s="225">
        <f t="shared" si="173"/>
        <v>0</v>
      </c>
      <c r="AA1486" s="225">
        <f t="shared" si="169"/>
        <v>0</v>
      </c>
      <c r="AB1486" s="222">
        <f>IFERROR(SUMIFS('Comp2016-2017 (3)'!$G$5:$G$289,'Comp2016-2017 (3)'!$A$5:$A$289,A1486,'Comp2016-2017 (3)'!$R$5:$R$289,V1486)*AA1486/SUMIFS($AA$4:$AA$1858,$A$4:$A$1858,A1486,$V$4:$V$1858,V1486),0)</f>
        <v>0</v>
      </c>
      <c r="AC1486" s="222" t="str">
        <f>IF($W1486=AC$3,$AB1486,IF(NOT($W1486=0),"",SUMIFS('Val-Vol (2)'!AC$4:AC$1858,'Val-Vol (2)'!$A$4:$A$1858,$D1486,'Val-Vol (2)'!$V$4:$V$1858,$V1486)/SUMIFS('Comp2016-2017 (3)'!$G$5:$G$289,'Comp2016-2017 (3)'!$A$5:$A$289,$D1486,'Comp2016-2017 (3)'!$R$5:$R$289,$V1486)*$AB1486))</f>
        <v/>
      </c>
      <c r="AD1486" s="222" t="str">
        <f>IF($W1486=AD$3,$AB1486,IF(NOT($W1486=0),"",SUMIFS('Val-Vol (2)'!AD$4:AD$1858,'Val-Vol (2)'!$A$4:$A$1858,$D1486,'Val-Vol (2)'!$V$4:$V$1858,$V1486)/SUMIFS('Comp2016-2017 (3)'!$G$5:$G$289,'Comp2016-2017 (3)'!$A$5:$A$289,$D1486,'Comp2016-2017 (3)'!$R$5:$R$289,$V1486)*$AB1486))</f>
        <v/>
      </c>
      <c r="AE1486" s="222">
        <f>IF($W1486=AE$3,$AB1486,IF(NOT($W1486=0),"",SUMIFS('Val-Vol (2)'!AE$4:AE$1858,'Val-Vol (2)'!$A$4:$A$1858,$D1486,'Val-Vol (2)'!$V$4:$V$1858,$V1486)/SUMIFS('Comp2016-2017 (3)'!$G$5:$G$289,'Comp2016-2017 (3)'!$A$5:$A$289,$D1486,'Comp2016-2017 (3)'!$R$5:$R$289,$V1486)*$AB1486))</f>
        <v>0</v>
      </c>
      <c r="AF1486" s="222" t="str">
        <f>IF($W1486=AF$3,$AB1486,IF(NOT($W1486=0),"",SUMIFS('Val-Vol (2)'!AF$4:AF$1858,'Val-Vol (2)'!$A$4:$A$1858,$D1486,'Val-Vol (2)'!$V$4:$V$1858,$V1486)/SUMIFS('Comp2016-2017 (3)'!$G$5:$G$289,'Comp2016-2017 (3)'!$A$5:$A$289,$D1486,'Comp2016-2017 (3)'!$R$5:$R$289,$V1486)*$AB1486))</f>
        <v/>
      </c>
      <c r="AG1486" s="222" t="str">
        <f>IF($W1486=AG$3,$AB1486,IF(NOT($W1486=0),"",SUMIFS('Val-Vol (2)'!AG$4:AG$1858,'Val-Vol (2)'!$A$4:$A$1858,$D1486,'Val-Vol (2)'!$V$4:$V$1858,$V1486)/SUMIFS('Comp2016-2017 (3)'!$G$5:$G$289,'Comp2016-2017 (3)'!$A$5:$A$289,$D1486,'Comp2016-2017 (3)'!$R$5:$R$289,$V1486)*$AB1486))</f>
        <v/>
      </c>
      <c r="AH1486" s="222" t="str">
        <f>IF($W1486=AH$3,$AB1486,IF(NOT($W1486=0),"",SUMIFS('Val-Vol (2)'!AH$4:AH$1858,'Val-Vol (2)'!$A$4:$A$1858,$D1486,'Val-Vol (2)'!$V$4:$V$1858,$V1486)/SUMIFS('Comp2016-2017 (3)'!$G$5:$G$289,'Comp2016-2017 (3)'!$A$5:$A$289,$D1486,'Comp2016-2017 (3)'!$R$5:$R$289,$V1486)*$AB1486))</f>
        <v/>
      </c>
      <c r="AI1486" s="222" t="str">
        <f>IF($W1486=AI$3,$AB1486,IF(NOT($W1486=0),"",SUMIFS('Val-Vol (2)'!AI$4:AI$1858,'Val-Vol (2)'!$A$4:$A$1858,$D1486,'Val-Vol (2)'!$V$4:$V$1858,$V1486)/SUMIFS('Comp2016-2017 (3)'!$G$5:$G$289,'Comp2016-2017 (3)'!$A$5:$A$289,$D1486,'Comp2016-2017 (3)'!$R$5:$R$289,$V1486)*$AB1486))</f>
        <v/>
      </c>
      <c r="AJ1486" s="222" t="str">
        <f>IF($W1486=AJ$3,$AB1486,IF(NOT($W1486=0),"",SUMIFS('Val-Vol (2)'!AJ$4:AJ$1858,'Val-Vol (2)'!$A$4:$A$1858,$D1486,'Val-Vol (2)'!$V$4:$V$1858,$V1486)/SUMIFS('Comp2016-2017 (3)'!$G$5:$G$289,'Comp2016-2017 (3)'!$A$5:$A$289,$D1486,'Comp2016-2017 (3)'!$R$5:$R$289,$V1486)*$AB1486))</f>
        <v/>
      </c>
      <c r="AK1486" s="222">
        <f t="shared" si="170"/>
        <v>0</v>
      </c>
      <c r="AL1486" s="212" t="str">
        <f t="shared" si="171"/>
        <v/>
      </c>
      <c r="AM1486" s="212" t="str">
        <f>VLOOKUP(A1486,'Table corresp.'!$M$4:$U$63,8,FALSE)</f>
        <v>Importation</v>
      </c>
      <c r="AN1486" s="212" t="str">
        <f>VLOOKUP(D1486,'Table corresp.'!$M$4:$U$63,9,FALSE)</f>
        <v>Production finale</v>
      </c>
    </row>
    <row r="1487" spans="1:40" x14ac:dyDescent="0.25">
      <c r="A1487" t="s">
        <v>52</v>
      </c>
      <c r="B1487" t="str">
        <f>VLOOKUP(LEFT(A1487,3),'Table corresp.'!$A$4:$D$63,3,FALSE)</f>
        <v>Importation</v>
      </c>
      <c r="C1487" t="str">
        <f>VLOOKUP(A1487,'Table corresp.'!$M$4:$P$63,4,FALSE)</f>
        <v>Importation</v>
      </c>
      <c r="D1487" t="s">
        <v>100</v>
      </c>
      <c r="E1487" t="str">
        <f>VLOOKUP(LEFT(D1487,3),'Table corresp.'!$A$4:$D$63,4,FALSE)</f>
        <v>Transformation</v>
      </c>
      <c r="F1487" t="str">
        <f t="shared" si="172"/>
        <v xml:space="preserve">Imp - 48 </v>
      </c>
      <c r="G1487" s="213">
        <v>0</v>
      </c>
      <c r="H1487" s="213">
        <v>435412.22099999984</v>
      </c>
      <c r="I1487" s="213">
        <v>435412.22099999984</v>
      </c>
      <c r="J1487" s="215">
        <v>0</v>
      </c>
      <c r="K1487" s="215">
        <v>488.91754119453458</v>
      </c>
      <c r="L1487" s="215">
        <v>488.91754119453458</v>
      </c>
      <c r="M1487" s="215"/>
      <c r="N1487" s="215"/>
      <c r="O1487" s="215"/>
      <c r="P1487" s="215"/>
      <c r="Q1487" s="215"/>
      <c r="R1487" s="215"/>
      <c r="S1487" s="213"/>
      <c r="T1487" s="212">
        <f>VLOOKUP(A1487,'Groupe de branches'!$Z$27:$AM$86,14,FALSE)</f>
        <v>0</v>
      </c>
      <c r="U1487" s="212">
        <f>VLOOKUP(D1487,'Groupe de branches'!$Z$27:$AM$86,14,FALSE)</f>
        <v>0</v>
      </c>
      <c r="V1487" s="212">
        <v>2019</v>
      </c>
      <c r="W1487" s="212" t="str">
        <f>VLOOKUP(D1487,'Table corresp.'!$M$4:$S$63,7,FALSE)</f>
        <v>Produits de consommation courante</v>
      </c>
      <c r="X1487" s="228">
        <f>IFERROR(G1487/SUMIFS('Comp2016-2017 (3)'!$I$5:$I$289,'Comp2016-2017 (3)'!$A$5:$A$289,A1487,'Comp2016-2017 (3)'!$R$5:$R$289,V1487),0)</f>
        <v>0</v>
      </c>
      <c r="Y1487" s="214">
        <f>IFERROR(IF(RIGHT(F1487,3)="Exp",VLOOKUP(F1487,#REF!,2,FALSE),VLOOKUP(F1487,#REF!,9,FALSE)),0)</f>
        <v>0</v>
      </c>
      <c r="Z1487" s="225">
        <f t="shared" si="173"/>
        <v>0</v>
      </c>
      <c r="AA1487" s="225">
        <f t="shared" si="169"/>
        <v>0</v>
      </c>
      <c r="AB1487" s="222">
        <f>IFERROR(SUMIFS('Comp2016-2017 (3)'!$G$5:$G$289,'Comp2016-2017 (3)'!$A$5:$A$289,A1487,'Comp2016-2017 (3)'!$R$5:$R$289,V1487)*AA1487/SUMIFS($AA$4:$AA$1858,$A$4:$A$1858,A1487,$V$4:$V$1858,V1487),0)</f>
        <v>0</v>
      </c>
      <c r="AC1487" s="222" t="str">
        <f>IF($W1487=AC$3,$AB1487,IF(NOT($W1487=0),"",SUMIFS('Val-Vol (2)'!AC$4:AC$1858,'Val-Vol (2)'!$A$4:$A$1858,$D1487,'Val-Vol (2)'!$V$4:$V$1858,$V1487)/SUMIFS('Comp2016-2017 (3)'!$G$5:$G$289,'Comp2016-2017 (3)'!$A$5:$A$289,$D1487,'Comp2016-2017 (3)'!$R$5:$R$289,$V1487)*$AB1487))</f>
        <v/>
      </c>
      <c r="AD1487" s="222" t="str">
        <f>IF($W1487=AD$3,$AB1487,IF(NOT($W1487=0),"",SUMIFS('Val-Vol (2)'!AD$4:AD$1858,'Val-Vol (2)'!$A$4:$A$1858,$D1487,'Val-Vol (2)'!$V$4:$V$1858,$V1487)/SUMIFS('Comp2016-2017 (3)'!$G$5:$G$289,'Comp2016-2017 (3)'!$A$5:$A$289,$D1487,'Comp2016-2017 (3)'!$R$5:$R$289,$V1487)*$AB1487))</f>
        <v/>
      </c>
      <c r="AE1487" s="222" t="str">
        <f>IF($W1487=AE$3,$AB1487,IF(NOT($W1487=0),"",SUMIFS('Val-Vol (2)'!AE$4:AE$1858,'Val-Vol (2)'!$A$4:$A$1858,$D1487,'Val-Vol (2)'!$V$4:$V$1858,$V1487)/SUMIFS('Comp2016-2017 (3)'!$G$5:$G$289,'Comp2016-2017 (3)'!$A$5:$A$289,$D1487,'Comp2016-2017 (3)'!$R$5:$R$289,$V1487)*$AB1487))</f>
        <v/>
      </c>
      <c r="AF1487" s="222" t="str">
        <f>IF($W1487=AF$3,$AB1487,IF(NOT($W1487=0),"",SUMIFS('Val-Vol (2)'!AF$4:AF$1858,'Val-Vol (2)'!$A$4:$A$1858,$D1487,'Val-Vol (2)'!$V$4:$V$1858,$V1487)/SUMIFS('Comp2016-2017 (3)'!$G$5:$G$289,'Comp2016-2017 (3)'!$A$5:$A$289,$D1487,'Comp2016-2017 (3)'!$R$5:$R$289,$V1487)*$AB1487))</f>
        <v/>
      </c>
      <c r="AG1487" s="222" t="str">
        <f>IF($W1487=AG$3,$AB1487,IF(NOT($W1487=0),"",SUMIFS('Val-Vol (2)'!AG$4:AG$1858,'Val-Vol (2)'!$A$4:$A$1858,$D1487,'Val-Vol (2)'!$V$4:$V$1858,$V1487)/SUMIFS('Comp2016-2017 (3)'!$G$5:$G$289,'Comp2016-2017 (3)'!$A$5:$A$289,$D1487,'Comp2016-2017 (3)'!$R$5:$R$289,$V1487)*$AB1487))</f>
        <v/>
      </c>
      <c r="AH1487" s="222" t="str">
        <f>IF($W1487=AH$3,$AB1487,IF(NOT($W1487=0),"",SUMIFS('Val-Vol (2)'!AH$4:AH$1858,'Val-Vol (2)'!$A$4:$A$1858,$D1487,'Val-Vol (2)'!$V$4:$V$1858,$V1487)/SUMIFS('Comp2016-2017 (3)'!$G$5:$G$289,'Comp2016-2017 (3)'!$A$5:$A$289,$D1487,'Comp2016-2017 (3)'!$R$5:$R$289,$V1487)*$AB1487))</f>
        <v/>
      </c>
      <c r="AI1487" s="222">
        <f>IF($W1487=AI$3,$AB1487,IF(NOT($W1487=0),"",SUMIFS('Val-Vol (2)'!AI$4:AI$1858,'Val-Vol (2)'!$A$4:$A$1858,$D1487,'Val-Vol (2)'!$V$4:$V$1858,$V1487)/SUMIFS('Comp2016-2017 (3)'!$G$5:$G$289,'Comp2016-2017 (3)'!$A$5:$A$289,$D1487,'Comp2016-2017 (3)'!$R$5:$R$289,$V1487)*$AB1487))</f>
        <v>0</v>
      </c>
      <c r="AJ1487" s="222" t="str">
        <f>IF($W1487=AJ$3,$AB1487,IF(NOT($W1487=0),"",SUMIFS('Val-Vol (2)'!AJ$4:AJ$1858,'Val-Vol (2)'!$A$4:$A$1858,$D1487,'Val-Vol (2)'!$V$4:$V$1858,$V1487)/SUMIFS('Comp2016-2017 (3)'!$G$5:$G$289,'Comp2016-2017 (3)'!$A$5:$A$289,$D1487,'Comp2016-2017 (3)'!$R$5:$R$289,$V1487)*$AB1487))</f>
        <v/>
      </c>
      <c r="AK1487" s="222">
        <f t="shared" si="170"/>
        <v>0</v>
      </c>
      <c r="AL1487" s="212" t="str">
        <f t="shared" si="171"/>
        <v/>
      </c>
      <c r="AM1487" s="212" t="str">
        <f>VLOOKUP(A1487,'Table corresp.'!$M$4:$U$63,8,FALSE)</f>
        <v>Importation</v>
      </c>
      <c r="AN1487" s="212" t="str">
        <f>VLOOKUP(D1487,'Table corresp.'!$M$4:$U$63,9,FALSE)</f>
        <v>Production finale</v>
      </c>
    </row>
    <row r="1488" spans="1:40" x14ac:dyDescent="0.25">
      <c r="A1488" s="66" t="s">
        <v>80</v>
      </c>
      <c r="B1488" s="66">
        <f>VLOOKUP(LEFT(A1488,3),'Table corresp.'!$A$4:$D$63,3,FALSE)</f>
        <v>0</v>
      </c>
      <c r="C1488" s="66" t="str">
        <f>VLOOKUP(A1488,'Table corresp.'!$M$4:$P$63,4,FALSE)</f>
        <v>Production et transformation de produits bois</v>
      </c>
      <c r="D1488" s="66" t="s">
        <v>81</v>
      </c>
      <c r="E1488" s="66" t="str">
        <f>VLOOKUP(LEFT(D1488,3),'Table corresp.'!$A$4:$D$63,4,FALSE)</f>
        <v>Transformation</v>
      </c>
      <c r="F1488" s="66" t="str">
        <f t="shared" si="172"/>
        <v xml:space="preserve">01  - 05 </v>
      </c>
      <c r="G1488" s="238">
        <v>8690.3299870955598</v>
      </c>
      <c r="H1488" s="238">
        <v>5096.89374806449</v>
      </c>
      <c r="I1488" s="238">
        <v>13787.2237351601</v>
      </c>
      <c r="J1488" s="238"/>
      <c r="K1488" s="238"/>
      <c r="L1488" s="238"/>
      <c r="M1488" s="238"/>
      <c r="N1488" s="238"/>
      <c r="O1488" s="238"/>
      <c r="P1488" s="238"/>
      <c r="Q1488" s="238"/>
      <c r="R1488" s="238"/>
      <c r="S1488" s="238"/>
      <c r="T1488" s="218">
        <f>VLOOKUP(A1488,'Groupe de branches'!$Z$27:$AM$86,14,FALSE)</f>
        <v>0</v>
      </c>
      <c r="U1488" s="218">
        <f>VLOOKUP(D1488,'Groupe de branches'!$Z$27:$AM$86,14,FALSE)</f>
        <v>0</v>
      </c>
      <c r="V1488" s="218">
        <v>2020</v>
      </c>
      <c r="W1488" s="218">
        <f>VLOOKUP(D1488,'Table corresp.'!$M$4:$S$63,7,FALSE)</f>
        <v>0</v>
      </c>
      <c r="X1488" s="240">
        <f>IFERROR(G1488/SUMIFS('Comp2016-2017 (3)'!$I$5:$I$289,'Comp2016-2017 (3)'!$A$5:$A$289,A1488,'Comp2016-2017 (3)'!$R$5:$R$289,V1488),0)</f>
        <v>0.36907332807270815</v>
      </c>
      <c r="Y1488" s="219">
        <f>IFERROR(IF(RIGHT(F1488,3)="Exp",VLOOKUP(F1488,#REF!,2,FALSE),VLOOKUP(F1488,#REF!,9,FALSE)),1)</f>
        <v>1</v>
      </c>
      <c r="Z1488" s="226">
        <f>Y1488/SUMIFS($Y$4:$Y$1858,$V$4:$V$1858,V1488,$A$4:$A$1858,A1488)</f>
        <v>0.25</v>
      </c>
      <c r="AA1488" s="226">
        <f t="shared" si="169"/>
        <v>9.2268332018177038E-2</v>
      </c>
      <c r="AB1488" s="205">
        <f>IFERROR(SUMIFS('Comp2016-2017 (3)'!$G$5:$G$289,'Comp2016-2017 (3)'!$A$5:$A$289,A1488,'Comp2016-2017 (3)'!$R$5:$R$289,V1488)*AA1488/SUMIFS($AA$4:$AA$1858,$A$4:$A$1858,A1488,$V$4:$V$1858,V1488),0)</f>
        <v>4518.9715932896888</v>
      </c>
      <c r="AC1488" s="205">
        <f>IF($W1488=AC$3,$AB1488,IF(NOT($W1488=0),"",SUMIFS('Val-Vol (2)'!AC$4:AC$1858,'Val-Vol (2)'!$A$4:$A$1858,$D1488,'Val-Vol (2)'!$V$4:$V$1858,$V1488)/SUMIFS('Comp2016-2017 (3)'!$G$5:$G$289,'Comp2016-2017 (3)'!$A$5:$A$289,$D1488,'Comp2016-2017 (3)'!$R$5:$R$289,$V1488)*$AB1488))</f>
        <v>310.26480205931585</v>
      </c>
      <c r="AD1488" s="205">
        <f>IF($W1488=AD$3,$AB1488,IF(NOT($W1488=0),"",SUMIFS('Val-Vol (2)'!AD$4:AD$1858,'Val-Vol (2)'!$A$4:$A$1858,$D1488,'Val-Vol (2)'!$V$4:$V$1858,$V1488)/SUMIFS('Comp2016-2017 (3)'!$G$5:$G$289,'Comp2016-2017 (3)'!$A$5:$A$289,$D1488,'Comp2016-2017 (3)'!$R$5:$R$289,$V1488)*$AB1488))</f>
        <v>22.237158035093287</v>
      </c>
      <c r="AE1488" s="205">
        <f>IF($W1488=AE$3,$AB1488,IF(NOT($W1488=0),"",SUMIFS('Val-Vol (2)'!AE$4:AE$1858,'Val-Vol (2)'!$A$4:$A$1858,$D1488,'Val-Vol (2)'!$V$4:$V$1858,$V1488)/SUMIFS('Comp2016-2017 (3)'!$G$5:$G$289,'Comp2016-2017 (3)'!$A$5:$A$289,$D1488,'Comp2016-2017 (3)'!$R$5:$R$289,$V1488)*$AB1488))</f>
        <v>0</v>
      </c>
      <c r="AF1488" s="205">
        <f>IF($W1488=AF$3,$AB1488,IF(NOT($W1488=0),"",SUMIFS('Val-Vol (2)'!AF$4:AF$1858,'Val-Vol (2)'!$A$4:$A$1858,$D1488,'Val-Vol (2)'!$V$4:$V$1858,$V1488)/SUMIFS('Comp2016-2017 (3)'!$G$5:$G$289,'Comp2016-2017 (3)'!$A$5:$A$289,$D1488,'Comp2016-2017 (3)'!$R$5:$R$289,$V1488)*$AB1488))</f>
        <v>257.13623811072239</v>
      </c>
      <c r="AG1488" s="205">
        <f>IF($W1488=AG$3,$AB1488,IF(NOT($W1488=0),"",SUMIFS('Val-Vol (2)'!AG$4:AG$1858,'Val-Vol (2)'!$A$4:$A$1858,$D1488,'Val-Vol (2)'!$V$4:$V$1858,$V1488)/SUMIFS('Comp2016-2017 (3)'!$G$5:$G$289,'Comp2016-2017 (3)'!$A$5:$A$289,$D1488,'Comp2016-2017 (3)'!$R$5:$R$289,$V1488)*$AB1488))</f>
        <v>81.16282837641171</v>
      </c>
      <c r="AH1488" s="205">
        <f>IF($W1488=AH$3,$AB1488,IF(NOT($W1488=0),"",SUMIFS('Val-Vol (2)'!AH$4:AH$1858,'Val-Vol (2)'!$A$4:$A$1858,$D1488,'Val-Vol (2)'!$V$4:$V$1858,$V1488)/SUMIFS('Comp2016-2017 (3)'!$G$5:$G$289,'Comp2016-2017 (3)'!$A$5:$A$289,$D1488,'Comp2016-2017 (3)'!$R$5:$R$289,$V1488)*$AB1488))</f>
        <v>833.33023183556782</v>
      </c>
      <c r="AI1488" s="205">
        <f>IF($W1488=AI$3,$AB1488,IF(NOT($W1488=0),"",SUMIFS('Val-Vol (2)'!AI$4:AI$1858,'Val-Vol (2)'!$A$4:$A$1858,$D1488,'Val-Vol (2)'!$V$4:$V$1858,$V1488)/SUMIFS('Comp2016-2017 (3)'!$G$5:$G$289,'Comp2016-2017 (3)'!$A$5:$A$289,$D1488,'Comp2016-2017 (3)'!$R$5:$R$289,$V1488)*$AB1488))</f>
        <v>55.684698350659993</v>
      </c>
      <c r="AJ1488" s="205">
        <f>IF($W1488=AJ$3,$AB1488,IF(NOT($W1488=0),"",SUMIFS('Val-Vol (2)'!AJ$4:AJ$1858,'Val-Vol (2)'!$A$4:$A$1858,$D1488,'Val-Vol (2)'!$V$4:$V$1858,$V1488)/SUMIFS('Comp2016-2017 (3)'!$G$5:$G$289,'Comp2016-2017 (3)'!$A$5:$A$289,$D1488,'Comp2016-2017 (3)'!$R$5:$R$289,$V1488)*$AB1488))</f>
        <v>9.1044441284769032E-2</v>
      </c>
      <c r="AK1488" s="205">
        <f>SUM(AC1488:AJ1488)-AB1488</f>
        <v>-2959.0645920806328</v>
      </c>
      <c r="AL1488" s="218" t="str">
        <f t="shared" si="171"/>
        <v/>
      </c>
      <c r="AM1488" s="218" t="str">
        <f>VLOOKUP(A1488,'Table corresp.'!$M$4:$U$63,8,FALSE)</f>
        <v>Forêt</v>
      </c>
      <c r="AN1488" s="218" t="str">
        <f>VLOOKUP(D1488,'Table corresp.'!$M$4:$U$63,9,FALSE)</f>
        <v>Production intermédiaire</v>
      </c>
    </row>
    <row r="1489" spans="1:40" x14ac:dyDescent="0.25">
      <c r="A1489" t="s">
        <v>80</v>
      </c>
      <c r="B1489">
        <f>VLOOKUP(LEFT(A1489,3),'Table corresp.'!$A$4:$D$63,3,FALSE)</f>
        <v>0</v>
      </c>
      <c r="C1489" t="str">
        <f>VLOOKUP(A1489,'Table corresp.'!$M$4:$P$63,4,FALSE)</f>
        <v>Production et transformation de produits bois</v>
      </c>
      <c r="D1489" t="s">
        <v>3</v>
      </c>
      <c r="E1489" t="str">
        <f>VLOOKUP(LEFT(D1489,3),'Table corresp.'!$A$4:$D$63,4,FALSE)</f>
        <v>Transformation</v>
      </c>
      <c r="F1489" t="str">
        <f t="shared" si="172"/>
        <v xml:space="preserve">01  - 06 </v>
      </c>
      <c r="G1489" s="238">
        <v>5744.3970390840796</v>
      </c>
      <c r="H1489" s="238">
        <v>3627.0014879335999</v>
      </c>
      <c r="I1489" s="238">
        <v>9371.3985270176709</v>
      </c>
      <c r="J1489" s="238"/>
      <c r="K1489" s="238"/>
      <c r="L1489" s="238"/>
      <c r="M1489" s="238"/>
      <c r="N1489" s="238"/>
      <c r="O1489" s="238"/>
      <c r="P1489" s="238"/>
      <c r="Q1489" s="238"/>
      <c r="R1489" s="238"/>
      <c r="S1489" s="238"/>
      <c r="T1489" s="218">
        <f>VLOOKUP(A1489,'Groupe de branches'!$Z$27:$AM$86,14,FALSE)</f>
        <v>0</v>
      </c>
      <c r="U1489" s="218">
        <f>VLOOKUP(D1489,'Groupe de branches'!$Z$27:$AM$86,14,FALSE)</f>
        <v>0</v>
      </c>
      <c r="V1489" s="218">
        <v>2020</v>
      </c>
      <c r="W1489" s="218">
        <f>VLOOKUP(D1489,'Table corresp.'!$M$4:$S$63,7,FALSE)</f>
        <v>0</v>
      </c>
      <c r="X1489" s="240">
        <f>IFERROR(G1489/SUMIFS('Comp2016-2017 (3)'!$I$5:$I$289,'Comp2016-2017 (3)'!$A$5:$A$289,A1489,'Comp2016-2017 (3)'!$R$5:$R$289,V1489),0)</f>
        <v>0.24396124613610243</v>
      </c>
      <c r="Y1489" s="219">
        <f>IFERROR(IF(RIGHT(F1489,3)="Exp",VLOOKUP(F1489,#REF!,2,FALSE),VLOOKUP(F1489,#REF!,9,FALSE)),1)</f>
        <v>1</v>
      </c>
      <c r="Z1489" s="226">
        <f t="shared" ref="Z1489" si="174">Y1489/SUMIFS($Y$4:$Y$1858,$V$4:$V$1858,V1489,$A$4:$A$1858,A1489)</f>
        <v>0.25</v>
      </c>
      <c r="AA1489" s="226">
        <f t="shared" si="169"/>
        <v>6.0990311534025607E-2</v>
      </c>
      <c r="AB1489" s="205">
        <f>IFERROR(SUMIFS('Comp2016-2017 (3)'!$G$5:$G$289,'Comp2016-2017 (3)'!$A$5:$A$289,A1489,'Comp2016-2017 (3)'!$R$5:$R$289,V1489)*AA1489/SUMIFS($AA$4:$AA$1858,$A$4:$A$1858,A1489,$V$4:$V$1858,V1489),0)</f>
        <v>2987.0864603237201</v>
      </c>
      <c r="AC1489" s="205">
        <f>IF($W1489=AC$3,$AB1489,IF(NOT($W1489=0),"",SUMIFS('Val-Vol (2)'!AC$4:AC$1858,'Val-Vol (2)'!$A$4:$A$1858,$D1489,'Val-Vol (2)'!$V$4:$V$1858,$V1489)/SUMIFS('Comp2016-2017 (3)'!$G$5:$G$289,'Comp2016-2017 (3)'!$A$5:$A$289,$D1489,'Comp2016-2017 (3)'!$R$5:$R$289,$V1489)*$AB1489))</f>
        <v>193.49984463308616</v>
      </c>
      <c r="AD1489" s="205">
        <f>IF($W1489=AD$3,$AB1489,IF(NOT($W1489=0),"",SUMIFS('Val-Vol (2)'!AD$4:AD$1858,'Val-Vol (2)'!$A$4:$A$1858,$D1489,'Val-Vol (2)'!$V$4:$V$1858,$V1489)/SUMIFS('Comp2016-2017 (3)'!$G$5:$G$289,'Comp2016-2017 (3)'!$A$5:$A$289,$D1489,'Comp2016-2017 (3)'!$R$5:$R$289,$V1489)*$AB1489))</f>
        <v>15.181314133791899</v>
      </c>
      <c r="AE1489" s="205">
        <f>IF($W1489=AE$3,$AB1489,IF(NOT($W1489=0),"",SUMIFS('Val-Vol (2)'!AE$4:AE$1858,'Val-Vol (2)'!$A$4:$A$1858,$D1489,'Val-Vol (2)'!$V$4:$V$1858,$V1489)/SUMIFS('Comp2016-2017 (3)'!$G$5:$G$289,'Comp2016-2017 (3)'!$A$5:$A$289,$D1489,'Comp2016-2017 (3)'!$R$5:$R$289,$V1489)*$AB1489))</f>
        <v>0</v>
      </c>
      <c r="AF1489" s="205">
        <f>IF($W1489=AF$3,$AB1489,IF(NOT($W1489=0),"",SUMIFS('Val-Vol (2)'!AF$4:AF$1858,'Val-Vol (2)'!$A$4:$A$1858,$D1489,'Val-Vol (2)'!$V$4:$V$1858,$V1489)/SUMIFS('Comp2016-2017 (3)'!$G$5:$G$289,'Comp2016-2017 (3)'!$A$5:$A$289,$D1489,'Comp2016-2017 (3)'!$R$5:$R$289,$V1489)*$AB1489))</f>
        <v>175.54698310727719</v>
      </c>
      <c r="AG1489" s="205">
        <f>IF($W1489=AG$3,$AB1489,IF(NOT($W1489=0),"",SUMIFS('Val-Vol (2)'!AG$4:AG$1858,'Val-Vol (2)'!$A$4:$A$1858,$D1489,'Val-Vol (2)'!$V$4:$V$1858,$V1489)/SUMIFS('Comp2016-2017 (3)'!$G$5:$G$289,'Comp2016-2017 (3)'!$A$5:$A$289,$D1489,'Comp2016-2017 (3)'!$R$5:$R$289,$V1489)*$AB1489))</f>
        <v>55.409886084580933</v>
      </c>
      <c r="AH1489" s="205">
        <f>IF($W1489=AH$3,$AB1489,IF(NOT($W1489=0),"",SUMIFS('Val-Vol (2)'!AH$4:AH$1858,'Val-Vol (2)'!$A$4:$A$1858,$D1489,'Val-Vol (2)'!$V$4:$V$1858,$V1489)/SUMIFS('Comp2016-2017 (3)'!$G$5:$G$289,'Comp2016-2017 (3)'!$A$5:$A$289,$D1489,'Comp2016-2017 (3)'!$R$5:$R$289,$V1489)*$AB1489))</f>
        <v>568.91478698475191</v>
      </c>
      <c r="AI1489" s="205">
        <f>IF($W1489=AI$3,$AB1489,IF(NOT($W1489=0),"",SUMIFS('Val-Vol (2)'!AI$4:AI$1858,'Val-Vol (2)'!$A$4:$A$1858,$D1489,'Val-Vol (2)'!$V$4:$V$1858,$V1489)/SUMIFS('Comp2016-2017 (3)'!$G$5:$G$289,'Comp2016-2017 (3)'!$A$5:$A$289,$D1489,'Comp2016-2017 (3)'!$R$5:$R$289,$V1489)*$AB1489))</f>
        <v>38.015959448267203</v>
      </c>
      <c r="AJ1489" s="205">
        <f>IF($W1489=AJ$3,$AB1489,IF(NOT($W1489=0),"",SUMIFS('Val-Vol (2)'!AJ$4:AJ$1858,'Val-Vol (2)'!$A$4:$A$1858,$D1489,'Val-Vol (2)'!$V$4:$V$1858,$V1489)/SUMIFS('Comp2016-2017 (3)'!$G$5:$G$289,'Comp2016-2017 (3)'!$A$5:$A$289,$D1489,'Comp2016-2017 (3)'!$R$5:$R$289,$V1489)*$AB1489))</f>
        <v>0</v>
      </c>
      <c r="AK1489" s="205">
        <f>SUM(AC1489:AJ1489)-AB1489</f>
        <v>-1940.5176859319647</v>
      </c>
      <c r="AL1489" s="218" t="str">
        <f t="shared" si="171"/>
        <v/>
      </c>
      <c r="AM1489" s="218" t="str">
        <f>VLOOKUP(A1489,'Table corresp.'!$M$4:$U$63,8,FALSE)</f>
        <v>Forêt</v>
      </c>
      <c r="AN1489" s="218" t="str">
        <f>VLOOKUP(D1489,'Table corresp.'!$M$4:$U$63,9,FALSE)</f>
        <v>Production intermédiaire</v>
      </c>
    </row>
    <row r="1490" spans="1:40" x14ac:dyDescent="0.25">
      <c r="A1490" t="s">
        <v>80</v>
      </c>
      <c r="B1490">
        <f>VLOOKUP(LEFT(A1490,3),'Table corresp.'!$A$4:$D$63,3,FALSE)</f>
        <v>0</v>
      </c>
      <c r="C1490" t="str">
        <f>VLOOKUP(A1490,'Table corresp.'!$M$4:$P$63,4,FALSE)</f>
        <v>Production et transformation de produits bois</v>
      </c>
      <c r="D1490" t="s">
        <v>54</v>
      </c>
      <c r="E1490" t="str">
        <f>VLOOKUP(LEFT(D1490,3),'Table corresp.'!$A$4:$D$63,4,FALSE)</f>
        <v>Consommation finale</v>
      </c>
      <c r="F1490" t="str">
        <f t="shared" si="172"/>
        <v>01  - Con</v>
      </c>
      <c r="G1490" s="238">
        <v>492.56452829279101</v>
      </c>
      <c r="H1490" s="238">
        <v>367.64576400190498</v>
      </c>
      <c r="I1490" s="238">
        <v>860.21029229469605</v>
      </c>
      <c r="J1490" s="238"/>
      <c r="K1490" s="238"/>
      <c r="L1490" s="238"/>
      <c r="M1490" s="238"/>
      <c r="N1490" s="238"/>
      <c r="O1490" s="238"/>
      <c r="P1490" s="238"/>
      <c r="Q1490" s="238"/>
      <c r="R1490" s="238"/>
      <c r="S1490" s="238"/>
      <c r="T1490" s="218">
        <f>VLOOKUP(A1490,'Groupe de branches'!$Z$27:$AM$86,14,FALSE)</f>
        <v>0</v>
      </c>
      <c r="U1490" s="218">
        <f>VLOOKUP(D1490,'Groupe de branches'!$Z$27:$AM$86,14,FALSE)</f>
        <v>0</v>
      </c>
      <c r="V1490" s="218">
        <v>2020</v>
      </c>
      <c r="W1490" s="218" t="str">
        <f>VLOOKUP(D1490,'Table corresp.'!$M$4:$S$63,7,FALSE)</f>
        <v>Consommation finale</v>
      </c>
      <c r="X1490" s="240">
        <f>IFERROR(G1490/SUMIFS('Comp2016-2017 (3)'!$I$5:$I$289,'Comp2016-2017 (3)'!$A$5:$A$289,A1490,'Comp2016-2017 (3)'!$R$5:$R$289,V1490),0)</f>
        <v>2.0918932884888275E-2</v>
      </c>
      <c r="Y1490" s="219">
        <f>IFERROR(IF(RIGHT(F1490,3)="Exp",VLOOKUP(F1490,#REF!,2,FALSE),VLOOKUP(F1490,#REF!,9,FALSE)),1)</f>
        <v>1</v>
      </c>
      <c r="Z1490" s="226">
        <f t="shared" ref="Z1490:Z1550" si="175">IFERROR(Y1490/SUMIFS($Y$4:$Y$1858,$V$4:$V$1858,V1490,$A$4:$A$1858,A1490),"")</f>
        <v>0.25</v>
      </c>
      <c r="AA1490" s="226">
        <f t="shared" si="169"/>
        <v>5.2297332212220687E-3</v>
      </c>
      <c r="AB1490" s="205">
        <f>IFERROR(SUMIFS('Comp2016-2017 (3)'!$G$5:$G$289,'Comp2016-2017 (3)'!$A$5:$A$289,A1490,'Comp2016-2017 (3)'!$R$5:$R$289,V1490)*AA1490/SUMIFS($AA$4:$AA$1858,$A$4:$A$1858,A1490,$V$4:$V$1858,V1490),0)</f>
        <v>256.13355471225123</v>
      </c>
      <c r="AC1490" s="205" t="str">
        <f>IF($W1490=AC$3,$AB1490,IF(NOT($W1490=0),"",SUMIFS('Val-Vol (2)'!AC$4:AC$1858,'Val-Vol (2)'!$A$4:$A$1858,$D1490,'Val-Vol (2)'!$V$4:$V$1858,$V1490)/SUMIFS('Comp2016-2017 (3)'!$G$5:$G$289,'Comp2016-2017 (3)'!$A$5:$A$289,$D1490,'Comp2016-2017 (3)'!$R$5:$R$289,$V1490)*$AB1490))</f>
        <v/>
      </c>
      <c r="AD1490" s="205" t="str">
        <f>IF($W1490=AD$3,$AB1490,IF(NOT($W1490=0),"",SUMIFS('Val-Vol (2)'!AD$4:AD$1858,'Val-Vol (2)'!$A$4:$A$1858,$D1490,'Val-Vol (2)'!$V$4:$V$1858,$V1490)/SUMIFS('Comp2016-2017 (3)'!$G$5:$G$289,'Comp2016-2017 (3)'!$A$5:$A$289,$D1490,'Comp2016-2017 (3)'!$R$5:$R$289,$V1490)*$AB1490))</f>
        <v/>
      </c>
      <c r="AE1490" s="205" t="str">
        <f>IF($W1490=AE$3,$AB1490,IF(NOT($W1490=0),"",SUMIFS('Val-Vol (2)'!AE$4:AE$1858,'Val-Vol (2)'!$A$4:$A$1858,$D1490,'Val-Vol (2)'!$V$4:$V$1858,$V1490)/SUMIFS('Comp2016-2017 (3)'!$G$5:$G$289,'Comp2016-2017 (3)'!$A$5:$A$289,$D1490,'Comp2016-2017 (3)'!$R$5:$R$289,$V1490)*$AB1490))</f>
        <v/>
      </c>
      <c r="AF1490" s="205" t="str">
        <f>IF($W1490=AF$3,$AB1490,IF(NOT($W1490=0),"",SUMIFS('Val-Vol (2)'!AF$4:AF$1858,'Val-Vol (2)'!$A$4:$A$1858,$D1490,'Val-Vol (2)'!$V$4:$V$1858,$V1490)/SUMIFS('Comp2016-2017 (3)'!$G$5:$G$289,'Comp2016-2017 (3)'!$A$5:$A$289,$D1490,'Comp2016-2017 (3)'!$R$5:$R$289,$V1490)*$AB1490))</f>
        <v/>
      </c>
      <c r="AG1490" s="205" t="str">
        <f>IF($W1490=AG$3,$AB1490,IF(NOT($W1490=0),"",SUMIFS('Val-Vol (2)'!AG$4:AG$1858,'Val-Vol (2)'!$A$4:$A$1858,$D1490,'Val-Vol (2)'!$V$4:$V$1858,$V1490)/SUMIFS('Comp2016-2017 (3)'!$G$5:$G$289,'Comp2016-2017 (3)'!$A$5:$A$289,$D1490,'Comp2016-2017 (3)'!$R$5:$R$289,$V1490)*$AB1490))</f>
        <v/>
      </c>
      <c r="AH1490" s="205" t="str">
        <f>IF($W1490=AH$3,$AB1490,IF(NOT($W1490=0),"",SUMIFS('Val-Vol (2)'!AH$4:AH$1858,'Val-Vol (2)'!$A$4:$A$1858,$D1490,'Val-Vol (2)'!$V$4:$V$1858,$V1490)/SUMIFS('Comp2016-2017 (3)'!$G$5:$G$289,'Comp2016-2017 (3)'!$A$5:$A$289,$D1490,'Comp2016-2017 (3)'!$R$5:$R$289,$V1490)*$AB1490))</f>
        <v/>
      </c>
      <c r="AI1490" s="205" t="str">
        <f>IF($W1490=AI$3,$AB1490,IF(NOT($W1490=0),"",SUMIFS('Val-Vol (2)'!AI$4:AI$1858,'Val-Vol (2)'!$A$4:$A$1858,$D1490,'Val-Vol (2)'!$V$4:$V$1858,$V1490)/SUMIFS('Comp2016-2017 (3)'!$G$5:$G$289,'Comp2016-2017 (3)'!$A$5:$A$289,$D1490,'Comp2016-2017 (3)'!$R$5:$R$289,$V1490)*$AB1490))</f>
        <v/>
      </c>
      <c r="AJ1490" s="205">
        <f>IF($W1490=AJ$3,$AB1490,IF(NOT($W1490=0),"",SUMIFS('Val-Vol (2)'!AJ$4:AJ$1858,'Val-Vol (2)'!$A$4:$A$1858,$D1490,'Val-Vol (2)'!$V$4:$V$1858,$V1490)/SUMIFS('Comp2016-2017 (3)'!$G$5:$G$289,'Comp2016-2017 (3)'!$A$5:$A$289,$D1490,'Comp2016-2017 (3)'!$R$5:$R$289,$V1490)*$AB1490))</f>
        <v>256.13355471225123</v>
      </c>
      <c r="AK1490" s="205">
        <f t="shared" ref="AK1490:AK1495" si="176">SUM(AC1490:AJ1490)-AB1490</f>
        <v>0</v>
      </c>
      <c r="AL1490" s="218" t="str">
        <f t="shared" si="171"/>
        <v/>
      </c>
      <c r="AM1490" s="218" t="str">
        <f>VLOOKUP(A1490,'Table corresp.'!$M$4:$U$63,8,FALSE)</f>
        <v>Forêt</v>
      </c>
      <c r="AN1490" s="218" t="str">
        <f>VLOOKUP(D1490,'Table corresp.'!$M$4:$U$63,9,FALSE)</f>
        <v>Consommation finale française</v>
      </c>
    </row>
    <row r="1491" spans="1:40" x14ac:dyDescent="0.25">
      <c r="A1491" t="s">
        <v>80</v>
      </c>
      <c r="B1491">
        <f>VLOOKUP(LEFT(A1491,3),'Table corresp.'!$A$4:$D$63,3,FALSE)</f>
        <v>0</v>
      </c>
      <c r="C1491" t="str">
        <f>VLOOKUP(A1491,'Table corresp.'!$M$4:$P$63,4,FALSE)</f>
        <v>Production et transformation de produits bois</v>
      </c>
      <c r="D1491" t="s">
        <v>53</v>
      </c>
      <c r="E1491" t="str">
        <f>VLOOKUP(LEFT(D1491,3),'Table corresp.'!$A$4:$D$63,4,FALSE)</f>
        <v>Exportation</v>
      </c>
      <c r="F1491" t="str">
        <f t="shared" si="172"/>
        <v>01  - Exp</v>
      </c>
      <c r="G1491" s="238">
        <v>8619.0590649999995</v>
      </c>
      <c r="H1491" s="238">
        <v>0</v>
      </c>
      <c r="I1491" s="238">
        <v>8619.0590649999995</v>
      </c>
      <c r="J1491" s="238"/>
      <c r="K1491" s="238"/>
      <c r="L1491" s="238"/>
      <c r="M1491" s="238"/>
      <c r="N1491" s="238"/>
      <c r="O1491" s="238"/>
      <c r="P1491" s="238"/>
      <c r="Q1491" s="238"/>
      <c r="R1491" s="238"/>
      <c r="S1491" s="238"/>
      <c r="T1491" s="218">
        <f>VLOOKUP(A1491,'Groupe de branches'!$Z$27:$AM$86,14,FALSE)</f>
        <v>0</v>
      </c>
      <c r="U1491" s="218">
        <f>VLOOKUP(D1491,'Groupe de branches'!$Z$27:$AM$86,14,FALSE)</f>
        <v>0</v>
      </c>
      <c r="V1491" s="218">
        <v>2020</v>
      </c>
      <c r="W1491" s="218" t="str">
        <f>VLOOKUP(D1491,'Table corresp.'!$M$4:$S$63,7,FALSE)</f>
        <v>Exportation</v>
      </c>
      <c r="X1491" s="240">
        <f>IFERROR(G1491/SUMIFS('Comp2016-2017 (3)'!$I$5:$I$289,'Comp2016-2017 (3)'!$A$5:$A$289,A1491,'Comp2016-2017 (3)'!$R$5:$R$289,V1491),0)</f>
        <v>0.36604649290630148</v>
      </c>
      <c r="Y1491" s="219">
        <f>IFERROR(IF(RIGHT(F1491,3)="Exp",VLOOKUP(F1491,#REF!,2,FALSE),VLOOKUP(F1491,#REF!,9,FALSE)),1)</f>
        <v>1</v>
      </c>
      <c r="Z1491" s="226">
        <f t="shared" si="175"/>
        <v>0.25</v>
      </c>
      <c r="AA1491" s="226">
        <f t="shared" si="169"/>
        <v>9.151162322657537E-2</v>
      </c>
      <c r="AB1491" s="205">
        <f>IFERROR(SUMIFS('Comp2016-2017 (3)'!$G$5:$G$289,'Comp2016-2017 (3)'!$A$5:$A$289,A1491,'Comp2016-2017 (3)'!$R$5:$R$289,V1491)*AA1491/SUMIFS($AA$4:$AA$1858,$A$4:$A$1858,A1491,$V$4:$V$1858,V1491),0)</f>
        <v>4481.9107137999972</v>
      </c>
      <c r="AC1491" s="205">
        <f>IF($W1491=AC$3,$AB1491,IF(NOT($W1491=0),"",SUMIFS('Val-Vol (2)'!AC$4:AC$1858,'Val-Vol (2)'!$A$4:$A$1858,$D1491,'Val-Vol (2)'!$V$4:$V$1858,$V1491)/SUMIFS('Comp2016-2017 (3)'!$G$5:$G$289,'Comp2016-2017 (3)'!$A$5:$A$289,$D1491,'Comp2016-2017 (3)'!$R$5:$R$289,$V1491)*$AB1491))</f>
        <v>4481.9107137999972</v>
      </c>
      <c r="AD1491" s="205" t="str">
        <f>IF($W1491=AD$3,$AB1491,IF(NOT($W1491=0),"",SUMIFS('Val-Vol (2)'!AD$4:AD$1858,'Val-Vol (2)'!$A$4:$A$1858,$D1491,'Val-Vol (2)'!$V$4:$V$1858,$V1491)/SUMIFS('Comp2016-2017 (3)'!$G$5:$G$289,'Comp2016-2017 (3)'!$A$5:$A$289,$D1491,'Comp2016-2017 (3)'!$R$5:$R$289,$V1491)*$AB1491))</f>
        <v/>
      </c>
      <c r="AE1491" s="205" t="str">
        <f>IF($W1491=AE$3,$AB1491,IF(NOT($W1491=0),"",SUMIFS('Val-Vol (2)'!AE$4:AE$1858,'Val-Vol (2)'!$A$4:$A$1858,$D1491,'Val-Vol (2)'!$V$4:$V$1858,$V1491)/SUMIFS('Comp2016-2017 (3)'!$G$5:$G$289,'Comp2016-2017 (3)'!$A$5:$A$289,$D1491,'Comp2016-2017 (3)'!$R$5:$R$289,$V1491)*$AB1491))</f>
        <v/>
      </c>
      <c r="AF1491" s="205" t="str">
        <f>IF($W1491=AF$3,$AB1491,IF(NOT($W1491=0),"",SUMIFS('Val-Vol (2)'!AF$4:AF$1858,'Val-Vol (2)'!$A$4:$A$1858,$D1491,'Val-Vol (2)'!$V$4:$V$1858,$V1491)/SUMIFS('Comp2016-2017 (3)'!$G$5:$G$289,'Comp2016-2017 (3)'!$A$5:$A$289,$D1491,'Comp2016-2017 (3)'!$R$5:$R$289,$V1491)*$AB1491))</f>
        <v/>
      </c>
      <c r="AG1491" s="205" t="str">
        <f>IF($W1491=AG$3,$AB1491,IF(NOT($W1491=0),"",SUMIFS('Val-Vol (2)'!AG$4:AG$1858,'Val-Vol (2)'!$A$4:$A$1858,$D1491,'Val-Vol (2)'!$V$4:$V$1858,$V1491)/SUMIFS('Comp2016-2017 (3)'!$G$5:$G$289,'Comp2016-2017 (3)'!$A$5:$A$289,$D1491,'Comp2016-2017 (3)'!$R$5:$R$289,$V1491)*$AB1491))</f>
        <v/>
      </c>
      <c r="AH1491" s="205" t="str">
        <f>IF($W1491=AH$3,$AB1491,IF(NOT($W1491=0),"",SUMIFS('Val-Vol (2)'!AH$4:AH$1858,'Val-Vol (2)'!$A$4:$A$1858,$D1491,'Val-Vol (2)'!$V$4:$V$1858,$V1491)/SUMIFS('Comp2016-2017 (3)'!$G$5:$G$289,'Comp2016-2017 (3)'!$A$5:$A$289,$D1491,'Comp2016-2017 (3)'!$R$5:$R$289,$V1491)*$AB1491))</f>
        <v/>
      </c>
      <c r="AI1491" s="205" t="str">
        <f>IF($W1491=AI$3,$AB1491,IF(NOT($W1491=0),"",SUMIFS('Val-Vol (2)'!AI$4:AI$1858,'Val-Vol (2)'!$A$4:$A$1858,$D1491,'Val-Vol (2)'!$V$4:$V$1858,$V1491)/SUMIFS('Comp2016-2017 (3)'!$G$5:$G$289,'Comp2016-2017 (3)'!$A$5:$A$289,$D1491,'Comp2016-2017 (3)'!$R$5:$R$289,$V1491)*$AB1491))</f>
        <v/>
      </c>
      <c r="AJ1491" s="205" t="str">
        <f>IF($W1491=AJ$3,$AB1491,IF(NOT($W1491=0),"",SUMIFS('Val-Vol (2)'!AJ$4:AJ$1858,'Val-Vol (2)'!$A$4:$A$1858,$D1491,'Val-Vol (2)'!$V$4:$V$1858,$V1491)/SUMIFS('Comp2016-2017 (3)'!$G$5:$G$289,'Comp2016-2017 (3)'!$A$5:$A$289,$D1491,'Comp2016-2017 (3)'!$R$5:$R$289,$V1491)*$AB1491))</f>
        <v/>
      </c>
      <c r="AK1491" s="205">
        <f t="shared" si="176"/>
        <v>0</v>
      </c>
      <c r="AL1491" s="218" t="str">
        <f t="shared" si="171"/>
        <v/>
      </c>
      <c r="AM1491" s="218" t="str">
        <f>VLOOKUP(A1491,'Table corresp.'!$M$4:$U$63,8,FALSE)</f>
        <v>Forêt</v>
      </c>
      <c r="AN1491" s="218" t="str">
        <f>VLOOKUP(D1491,'Table corresp.'!$M$4:$U$63,9,FALSE)</f>
        <v>Exportation</v>
      </c>
    </row>
    <row r="1492" spans="1:40" x14ac:dyDescent="0.25">
      <c r="A1492" t="s">
        <v>0</v>
      </c>
      <c r="B1492" t="str">
        <f>VLOOKUP(LEFT(A1492,3),'Table corresp.'!$A$4:$D$63,3,FALSE)</f>
        <v>Forêt</v>
      </c>
      <c r="C1492" t="str">
        <f>VLOOKUP(A1492,'Table corresp.'!$M$4:$P$63,4,FALSE)</f>
        <v>Production et transformation de produits bois</v>
      </c>
      <c r="D1492" t="s">
        <v>4</v>
      </c>
      <c r="E1492" t="str">
        <f>VLOOKUP(LEFT(D1492,3),'Table corresp.'!$A$4:$D$63,4,FALSE)</f>
        <v>Transformation</v>
      </c>
      <c r="F1492" t="str">
        <f t="shared" si="172"/>
        <v xml:space="preserve">02  - 08 </v>
      </c>
      <c r="G1492" s="238">
        <v>244411.033045371</v>
      </c>
      <c r="H1492" s="238">
        <v>4813.2723168763196</v>
      </c>
      <c r="I1492" s="238">
        <v>249224.30536224699</v>
      </c>
      <c r="J1492" s="238">
        <v>1811.7109860306134</v>
      </c>
      <c r="K1492" s="238">
        <v>12.66614149647736</v>
      </c>
      <c r="L1492" s="238">
        <v>1824.3771275270908</v>
      </c>
      <c r="M1492" s="238"/>
      <c r="N1492" s="238"/>
      <c r="O1492" s="238"/>
      <c r="P1492" s="238"/>
      <c r="Q1492" s="238"/>
      <c r="R1492" s="238"/>
      <c r="S1492" s="238"/>
      <c r="T1492" s="218">
        <f>VLOOKUP(A1492,'Groupe de branches'!$Z$27:$AM$86,14,FALSE)</f>
        <v>0</v>
      </c>
      <c r="U1492" s="218">
        <f>VLOOKUP(D1492,'Groupe de branches'!$Z$27:$AM$86,14,FALSE)</f>
        <v>0</v>
      </c>
      <c r="V1492" s="218">
        <v>2020</v>
      </c>
      <c r="W1492" s="218">
        <f>VLOOKUP(D1492,'Table corresp.'!$M$4:$S$63,7,FALSE)</f>
        <v>0</v>
      </c>
      <c r="X1492" s="240">
        <f>IFERROR(G1492/SUMIFS('Comp2016-2017 (3)'!$I$5:$I$289,'Comp2016-2017 (3)'!$A$5:$A$289,A1492,'Comp2016-2017 (3)'!$R$5:$R$289,V1492),0)</f>
        <v>0.22421936762784683</v>
      </c>
      <c r="Y1492" s="219" t="e">
        <f>IF(RIGHT(F1492,3)="Exp",VLOOKUP(F1492,#REF!,2,FALSE),VLOOKUP(F1492,#REF!,9,FALSE))</f>
        <v>#REF!</v>
      </c>
      <c r="Z1492" s="226" t="str">
        <f t="shared" si="175"/>
        <v/>
      </c>
      <c r="AA1492" s="226" t="e">
        <f t="shared" si="169"/>
        <v>#VALUE!</v>
      </c>
      <c r="AB1492" s="205">
        <f>IFERROR(SUMIFS('Comp2016-2017 (3)'!$G$5:$G$289,'Comp2016-2017 (3)'!$A$5:$A$289,A1492,'Comp2016-2017 (3)'!$R$5:$R$289,V1492)*AA1492/SUMIFS($AA$4:$AA$1858,$A$4:$A$1858,A1492,$V$4:$V$1858,V1492),0)</f>
        <v>0</v>
      </c>
      <c r="AC1492" s="205">
        <f>IF($W1492=AC$3,$AB1492,IF(NOT($W1492=0),"",SUMIFS('Val-Vol (2)'!AC$4:AC$1858,'Val-Vol (2)'!$A$4:$A$1858,$D1492,'Val-Vol (2)'!$V$4:$V$1858,$V1492)/SUMIFS('Comp2016-2017 (3)'!$G$5:$G$289,'Comp2016-2017 (3)'!$A$5:$A$289,$D1492,'Comp2016-2017 (3)'!$R$5:$R$289,$V1492)*$AB1492))</f>
        <v>0</v>
      </c>
      <c r="AD1492" s="205">
        <f>IF($W1492=AD$3,$AB1492,IF(NOT($W1492=0),"",SUMIFS('Val-Vol (2)'!AD$4:AD$1858,'Val-Vol (2)'!$A$4:$A$1858,$D1492,'Val-Vol (2)'!$V$4:$V$1858,$V1492)/SUMIFS('Comp2016-2017 (3)'!$G$5:$G$289,'Comp2016-2017 (3)'!$A$5:$A$289,$D1492,'Comp2016-2017 (3)'!$R$5:$R$289,$V1492)*$AB1492))</f>
        <v>0</v>
      </c>
      <c r="AE1492" s="205">
        <f>IF($W1492=AE$3,$AB1492,IF(NOT($W1492=0),"",SUMIFS('Val-Vol (2)'!AE$4:AE$1858,'Val-Vol (2)'!$A$4:$A$1858,$D1492,'Val-Vol (2)'!$V$4:$V$1858,$V1492)/SUMIFS('Comp2016-2017 (3)'!$G$5:$G$289,'Comp2016-2017 (3)'!$A$5:$A$289,$D1492,'Comp2016-2017 (3)'!$R$5:$R$289,$V1492)*$AB1492))</f>
        <v>0</v>
      </c>
      <c r="AF1492" s="205">
        <f>IF($W1492=AF$3,$AB1492,IF(NOT($W1492=0),"",SUMIFS('Val-Vol (2)'!AF$4:AF$1858,'Val-Vol (2)'!$A$4:$A$1858,$D1492,'Val-Vol (2)'!$V$4:$V$1858,$V1492)/SUMIFS('Comp2016-2017 (3)'!$G$5:$G$289,'Comp2016-2017 (3)'!$A$5:$A$289,$D1492,'Comp2016-2017 (3)'!$R$5:$R$289,$V1492)*$AB1492))</f>
        <v>0</v>
      </c>
      <c r="AG1492" s="205">
        <f>IF($W1492=AG$3,$AB1492,IF(NOT($W1492=0),"",SUMIFS('Val-Vol (2)'!AG$4:AG$1858,'Val-Vol (2)'!$A$4:$A$1858,$D1492,'Val-Vol (2)'!$V$4:$V$1858,$V1492)/SUMIFS('Comp2016-2017 (3)'!$G$5:$G$289,'Comp2016-2017 (3)'!$A$5:$A$289,$D1492,'Comp2016-2017 (3)'!$R$5:$R$289,$V1492)*$AB1492))</f>
        <v>0</v>
      </c>
      <c r="AH1492" s="205">
        <f>IF($W1492=AH$3,$AB1492,IF(NOT($W1492=0),"",SUMIFS('Val-Vol (2)'!AH$4:AH$1858,'Val-Vol (2)'!$A$4:$A$1858,$D1492,'Val-Vol (2)'!$V$4:$V$1858,$V1492)/SUMIFS('Comp2016-2017 (3)'!$G$5:$G$289,'Comp2016-2017 (3)'!$A$5:$A$289,$D1492,'Comp2016-2017 (3)'!$R$5:$R$289,$V1492)*$AB1492))</f>
        <v>0</v>
      </c>
      <c r="AI1492" s="205">
        <f>IF($W1492=AI$3,$AB1492,IF(NOT($W1492=0),"",SUMIFS('Val-Vol (2)'!AI$4:AI$1858,'Val-Vol (2)'!$A$4:$A$1858,$D1492,'Val-Vol (2)'!$V$4:$V$1858,$V1492)/SUMIFS('Comp2016-2017 (3)'!$G$5:$G$289,'Comp2016-2017 (3)'!$A$5:$A$289,$D1492,'Comp2016-2017 (3)'!$R$5:$R$289,$V1492)*$AB1492))</f>
        <v>0</v>
      </c>
      <c r="AJ1492" s="205">
        <f>IF($W1492=AJ$3,$AB1492,IF(NOT($W1492=0),"",SUMIFS('Val-Vol (2)'!AJ$4:AJ$1858,'Val-Vol (2)'!$A$4:$A$1858,$D1492,'Val-Vol (2)'!$V$4:$V$1858,$V1492)/SUMIFS('Comp2016-2017 (3)'!$G$5:$G$289,'Comp2016-2017 (3)'!$A$5:$A$289,$D1492,'Comp2016-2017 (3)'!$R$5:$R$289,$V1492)*$AB1492))</f>
        <v>0</v>
      </c>
      <c r="AK1492" s="205">
        <f t="shared" si="176"/>
        <v>0</v>
      </c>
      <c r="AL1492" s="218" t="str">
        <f t="shared" si="171"/>
        <v/>
      </c>
      <c r="AM1492" s="218" t="str">
        <f>VLOOKUP(A1492,'Table corresp.'!$M$4:$U$63,8,FALSE)</f>
        <v>Forêt</v>
      </c>
      <c r="AN1492" s="218" t="str">
        <f>VLOOKUP(D1492,'Table corresp.'!$M$4:$U$63,9,FALSE)</f>
        <v>Production intermédiaire</v>
      </c>
    </row>
    <row r="1493" spans="1:40" x14ac:dyDescent="0.25">
      <c r="A1493" t="s">
        <v>0</v>
      </c>
      <c r="B1493" t="str">
        <f>VLOOKUP(LEFT(A1493,3),'Table corresp.'!$A$4:$D$63,3,FALSE)</f>
        <v>Forêt</v>
      </c>
      <c r="C1493" t="str">
        <f>VLOOKUP(A1493,'Table corresp.'!$M$4:$P$63,4,FALSE)</f>
        <v>Production et transformation de produits bois</v>
      </c>
      <c r="D1493" t="s">
        <v>5</v>
      </c>
      <c r="E1493" t="str">
        <f>VLOOKUP(LEFT(D1493,3),'Table corresp.'!$A$4:$D$63,4,FALSE)</f>
        <v>Transformation</v>
      </c>
      <c r="F1493" t="str">
        <f t="shared" si="172"/>
        <v xml:space="preserve">02  - 09 </v>
      </c>
      <c r="G1493" s="238">
        <v>22131.352405113201</v>
      </c>
      <c r="H1493" s="238">
        <v>591.22853601063105</v>
      </c>
      <c r="I1493" s="238">
        <v>22722.580941123899</v>
      </c>
      <c r="J1493" s="238">
        <v>524.43066677627405</v>
      </c>
      <c r="K1493" s="238">
        <v>1.5558197834785501</v>
      </c>
      <c r="L1493" s="238">
        <v>525.98648655975262</v>
      </c>
      <c r="M1493" s="238"/>
      <c r="N1493" s="238"/>
      <c r="O1493" s="238"/>
      <c r="P1493" s="238"/>
      <c r="Q1493" s="238"/>
      <c r="R1493" s="238"/>
      <c r="S1493" s="238"/>
      <c r="T1493" s="218">
        <f>VLOOKUP(A1493,'Groupe de branches'!$Z$27:$AM$86,14,FALSE)</f>
        <v>0</v>
      </c>
      <c r="U1493" s="218">
        <f>VLOOKUP(D1493,'Groupe de branches'!$Z$27:$AM$86,14,FALSE)</f>
        <v>0</v>
      </c>
      <c r="V1493" s="218">
        <v>2020</v>
      </c>
      <c r="W1493" s="218">
        <f>VLOOKUP(D1493,'Table corresp.'!$M$4:$S$63,7,FALSE)</f>
        <v>0</v>
      </c>
      <c r="X1493" s="240">
        <f>IFERROR(G1493/SUMIFS('Comp2016-2017 (3)'!$I$5:$I$289,'Comp2016-2017 (3)'!$A$5:$A$289,A1493,'Comp2016-2017 (3)'!$R$5:$R$289,V1493),0)</f>
        <v>2.0303002606688141E-2</v>
      </c>
      <c r="Y1493" s="219" t="e">
        <f>IF(RIGHT(F1493,3)="Exp",VLOOKUP(F1493,#REF!,2,FALSE),VLOOKUP(F1493,#REF!,9,FALSE))</f>
        <v>#REF!</v>
      </c>
      <c r="Z1493" s="226" t="str">
        <f t="shared" si="175"/>
        <v/>
      </c>
      <c r="AA1493" s="226" t="e">
        <f t="shared" si="169"/>
        <v>#VALUE!</v>
      </c>
      <c r="AB1493" s="205">
        <f>IFERROR(SUMIFS('Comp2016-2017 (3)'!$G$5:$G$289,'Comp2016-2017 (3)'!$A$5:$A$289,A1493,'Comp2016-2017 (3)'!$R$5:$R$289,V1493)*AA1493/SUMIFS($AA$4:$AA$1858,$A$4:$A$1858,A1493,$V$4:$V$1858,V1493),0)</f>
        <v>0</v>
      </c>
      <c r="AC1493" s="205">
        <f>IF($W1493=AC$3,$AB1493,IF(NOT($W1493=0),"",SUMIFS('Val-Vol (2)'!AC$4:AC$1858,'Val-Vol (2)'!$A$4:$A$1858,$D1493,'Val-Vol (2)'!$V$4:$V$1858,$V1493)/SUMIFS('Comp2016-2017 (3)'!$G$5:$G$289,'Comp2016-2017 (3)'!$A$5:$A$289,$D1493,'Comp2016-2017 (3)'!$R$5:$R$289,$V1493)*$AB1493))</f>
        <v>0</v>
      </c>
      <c r="AD1493" s="205">
        <f>IF($W1493=AD$3,$AB1493,IF(NOT($W1493=0),"",SUMIFS('Val-Vol (2)'!AD$4:AD$1858,'Val-Vol (2)'!$A$4:$A$1858,$D1493,'Val-Vol (2)'!$V$4:$V$1858,$V1493)/SUMIFS('Comp2016-2017 (3)'!$G$5:$G$289,'Comp2016-2017 (3)'!$A$5:$A$289,$D1493,'Comp2016-2017 (3)'!$R$5:$R$289,$V1493)*$AB1493))</f>
        <v>0</v>
      </c>
      <c r="AE1493" s="205">
        <f>IF($W1493=AE$3,$AB1493,IF(NOT($W1493=0),"",SUMIFS('Val-Vol (2)'!AE$4:AE$1858,'Val-Vol (2)'!$A$4:$A$1858,$D1493,'Val-Vol (2)'!$V$4:$V$1858,$V1493)/SUMIFS('Comp2016-2017 (3)'!$G$5:$G$289,'Comp2016-2017 (3)'!$A$5:$A$289,$D1493,'Comp2016-2017 (3)'!$R$5:$R$289,$V1493)*$AB1493))</f>
        <v>0</v>
      </c>
      <c r="AF1493" s="205">
        <f>IF($W1493=AF$3,$AB1493,IF(NOT($W1493=0),"",SUMIFS('Val-Vol (2)'!AF$4:AF$1858,'Val-Vol (2)'!$A$4:$A$1858,$D1493,'Val-Vol (2)'!$V$4:$V$1858,$V1493)/SUMIFS('Comp2016-2017 (3)'!$G$5:$G$289,'Comp2016-2017 (3)'!$A$5:$A$289,$D1493,'Comp2016-2017 (3)'!$R$5:$R$289,$V1493)*$AB1493))</f>
        <v>0</v>
      </c>
      <c r="AG1493" s="205">
        <f>IF($W1493=AG$3,$AB1493,IF(NOT($W1493=0),"",SUMIFS('Val-Vol (2)'!AG$4:AG$1858,'Val-Vol (2)'!$A$4:$A$1858,$D1493,'Val-Vol (2)'!$V$4:$V$1858,$V1493)/SUMIFS('Comp2016-2017 (3)'!$G$5:$G$289,'Comp2016-2017 (3)'!$A$5:$A$289,$D1493,'Comp2016-2017 (3)'!$R$5:$R$289,$V1493)*$AB1493))</f>
        <v>0</v>
      </c>
      <c r="AH1493" s="205">
        <f>IF($W1493=AH$3,$AB1493,IF(NOT($W1493=0),"",SUMIFS('Val-Vol (2)'!AH$4:AH$1858,'Val-Vol (2)'!$A$4:$A$1858,$D1493,'Val-Vol (2)'!$V$4:$V$1858,$V1493)/SUMIFS('Comp2016-2017 (3)'!$G$5:$G$289,'Comp2016-2017 (3)'!$A$5:$A$289,$D1493,'Comp2016-2017 (3)'!$R$5:$R$289,$V1493)*$AB1493))</f>
        <v>0</v>
      </c>
      <c r="AI1493" s="205">
        <f>IF($W1493=AI$3,$AB1493,IF(NOT($W1493=0),"",SUMIFS('Val-Vol (2)'!AI$4:AI$1858,'Val-Vol (2)'!$A$4:$A$1858,$D1493,'Val-Vol (2)'!$V$4:$V$1858,$V1493)/SUMIFS('Comp2016-2017 (3)'!$G$5:$G$289,'Comp2016-2017 (3)'!$A$5:$A$289,$D1493,'Comp2016-2017 (3)'!$R$5:$R$289,$V1493)*$AB1493))</f>
        <v>0</v>
      </c>
      <c r="AJ1493" s="205">
        <f>IF($W1493=AJ$3,$AB1493,IF(NOT($W1493=0),"",SUMIFS('Val-Vol (2)'!AJ$4:AJ$1858,'Val-Vol (2)'!$A$4:$A$1858,$D1493,'Val-Vol (2)'!$V$4:$V$1858,$V1493)/SUMIFS('Comp2016-2017 (3)'!$G$5:$G$289,'Comp2016-2017 (3)'!$A$5:$A$289,$D1493,'Comp2016-2017 (3)'!$R$5:$R$289,$V1493)*$AB1493))</f>
        <v>0</v>
      </c>
      <c r="AK1493" s="205">
        <f t="shared" si="176"/>
        <v>0</v>
      </c>
      <c r="AL1493" s="218" t="str">
        <f t="shared" si="171"/>
        <v/>
      </c>
      <c r="AM1493" s="218" t="str">
        <f>VLOOKUP(A1493,'Table corresp.'!$M$4:$U$63,8,FALSE)</f>
        <v>Forêt</v>
      </c>
      <c r="AN1493" s="218" t="str">
        <f>VLOOKUP(D1493,'Table corresp.'!$M$4:$U$63,9,FALSE)</f>
        <v>Production intermédiaire</v>
      </c>
    </row>
    <row r="1494" spans="1:40" x14ac:dyDescent="0.25">
      <c r="A1494" t="s">
        <v>0</v>
      </c>
      <c r="B1494" t="str">
        <f>VLOOKUP(LEFT(A1494,3),'Table corresp.'!$A$4:$D$63,3,FALSE)</f>
        <v>Forêt</v>
      </c>
      <c r="C1494" t="str">
        <f>VLOOKUP(A1494,'Table corresp.'!$M$4:$P$63,4,FALSE)</f>
        <v>Production et transformation de produits bois</v>
      </c>
      <c r="D1494" t="s">
        <v>82</v>
      </c>
      <c r="E1494" t="str">
        <f>VLOOKUP(LEFT(D1494,3),'Table corresp.'!$A$4:$D$63,4,FALSE)</f>
        <v>Transformation</v>
      </c>
      <c r="F1494" t="str">
        <f t="shared" si="172"/>
        <v xml:space="preserve">02  - 10 </v>
      </c>
      <c r="G1494" s="238">
        <v>28128.642663476199</v>
      </c>
      <c r="H1494" s="238">
        <v>0</v>
      </c>
      <c r="I1494" s="238">
        <v>28128.642663476199</v>
      </c>
      <c r="J1494" s="238">
        <v>608.86639391643916</v>
      </c>
      <c r="K1494" s="238">
        <v>0</v>
      </c>
      <c r="L1494" s="238">
        <v>608.86639391643916</v>
      </c>
      <c r="M1494" s="238"/>
      <c r="N1494" s="238"/>
      <c r="O1494" s="238"/>
      <c r="P1494" s="238"/>
      <c r="Q1494" s="238"/>
      <c r="R1494" s="238"/>
      <c r="S1494" s="238"/>
      <c r="T1494" s="218">
        <f>VLOOKUP(A1494,'Groupe de branches'!$Z$27:$AM$86,14,FALSE)</f>
        <v>0</v>
      </c>
      <c r="U1494" s="218">
        <f>VLOOKUP(D1494,'Groupe de branches'!$Z$27:$AM$86,14,FALSE)</f>
        <v>0</v>
      </c>
      <c r="V1494" s="218">
        <v>2020</v>
      </c>
      <c r="W1494" s="218">
        <f>VLOOKUP(D1494,'Table corresp.'!$M$4:$S$63,7,FALSE)</f>
        <v>0</v>
      </c>
      <c r="X1494" s="240">
        <f>IFERROR(G1494/SUMIFS('Comp2016-2017 (3)'!$I$5:$I$289,'Comp2016-2017 (3)'!$A$5:$A$289,A1494,'Comp2016-2017 (3)'!$R$5:$R$289,V1494),0)</f>
        <v>2.5804835369537163E-2</v>
      </c>
      <c r="Y1494" s="219" t="e">
        <f>IF(RIGHT(F1494,3)="Exp",VLOOKUP(F1494,#REF!,2,FALSE),VLOOKUP(F1494,#REF!,9,FALSE))</f>
        <v>#REF!</v>
      </c>
      <c r="Z1494" s="226" t="str">
        <f t="shared" si="175"/>
        <v/>
      </c>
      <c r="AA1494" s="226" t="e">
        <f t="shared" si="169"/>
        <v>#VALUE!</v>
      </c>
      <c r="AB1494" s="205">
        <f>IFERROR(SUMIFS('Comp2016-2017 (3)'!$G$5:$G$289,'Comp2016-2017 (3)'!$A$5:$A$289,A1494,'Comp2016-2017 (3)'!$R$5:$R$289,V1494)*AA1494/SUMIFS($AA$4:$AA$1858,$A$4:$A$1858,A1494,$V$4:$V$1858,V1494),0)</f>
        <v>0</v>
      </c>
      <c r="AC1494" s="205">
        <f>IF($W1494=AC$3,$AB1494,IF(NOT($W1494=0),"",SUMIFS('Val-Vol (2)'!AC$4:AC$1858,'Val-Vol (2)'!$A$4:$A$1858,$D1494,'Val-Vol (2)'!$V$4:$V$1858,$V1494)/SUMIFS('Comp2016-2017 (3)'!$G$5:$G$289,'Comp2016-2017 (3)'!$A$5:$A$289,$D1494,'Comp2016-2017 (3)'!$R$5:$R$289,$V1494)*$AB1494))</f>
        <v>0</v>
      </c>
      <c r="AD1494" s="205">
        <f>IF($W1494=AD$3,$AB1494,IF(NOT($W1494=0),"",SUMIFS('Val-Vol (2)'!AD$4:AD$1858,'Val-Vol (2)'!$A$4:$A$1858,$D1494,'Val-Vol (2)'!$V$4:$V$1858,$V1494)/SUMIFS('Comp2016-2017 (3)'!$G$5:$G$289,'Comp2016-2017 (3)'!$A$5:$A$289,$D1494,'Comp2016-2017 (3)'!$R$5:$R$289,$V1494)*$AB1494))</f>
        <v>0</v>
      </c>
      <c r="AE1494" s="205">
        <f>IF($W1494=AE$3,$AB1494,IF(NOT($W1494=0),"",SUMIFS('Val-Vol (2)'!AE$4:AE$1858,'Val-Vol (2)'!$A$4:$A$1858,$D1494,'Val-Vol (2)'!$V$4:$V$1858,$V1494)/SUMIFS('Comp2016-2017 (3)'!$G$5:$G$289,'Comp2016-2017 (3)'!$A$5:$A$289,$D1494,'Comp2016-2017 (3)'!$R$5:$R$289,$V1494)*$AB1494))</f>
        <v>0</v>
      </c>
      <c r="AF1494" s="205">
        <f>IF($W1494=AF$3,$AB1494,IF(NOT($W1494=0),"",SUMIFS('Val-Vol (2)'!AF$4:AF$1858,'Val-Vol (2)'!$A$4:$A$1858,$D1494,'Val-Vol (2)'!$V$4:$V$1858,$V1494)/SUMIFS('Comp2016-2017 (3)'!$G$5:$G$289,'Comp2016-2017 (3)'!$A$5:$A$289,$D1494,'Comp2016-2017 (3)'!$R$5:$R$289,$V1494)*$AB1494))</f>
        <v>0</v>
      </c>
      <c r="AG1494" s="205">
        <f>IF($W1494=AG$3,$AB1494,IF(NOT($W1494=0),"",SUMIFS('Val-Vol (2)'!AG$4:AG$1858,'Val-Vol (2)'!$A$4:$A$1858,$D1494,'Val-Vol (2)'!$V$4:$V$1858,$V1494)/SUMIFS('Comp2016-2017 (3)'!$G$5:$G$289,'Comp2016-2017 (3)'!$A$5:$A$289,$D1494,'Comp2016-2017 (3)'!$R$5:$R$289,$V1494)*$AB1494))</f>
        <v>0</v>
      </c>
      <c r="AH1494" s="205">
        <f>IF($W1494=AH$3,$AB1494,IF(NOT($W1494=0),"",SUMIFS('Val-Vol (2)'!AH$4:AH$1858,'Val-Vol (2)'!$A$4:$A$1858,$D1494,'Val-Vol (2)'!$V$4:$V$1858,$V1494)/SUMIFS('Comp2016-2017 (3)'!$G$5:$G$289,'Comp2016-2017 (3)'!$A$5:$A$289,$D1494,'Comp2016-2017 (3)'!$R$5:$R$289,$V1494)*$AB1494))</f>
        <v>0</v>
      </c>
      <c r="AI1494" s="205">
        <f>IF($W1494=AI$3,$AB1494,IF(NOT($W1494=0),"",SUMIFS('Val-Vol (2)'!AI$4:AI$1858,'Val-Vol (2)'!$A$4:$A$1858,$D1494,'Val-Vol (2)'!$V$4:$V$1858,$V1494)/SUMIFS('Comp2016-2017 (3)'!$G$5:$G$289,'Comp2016-2017 (3)'!$A$5:$A$289,$D1494,'Comp2016-2017 (3)'!$R$5:$R$289,$V1494)*$AB1494))</f>
        <v>0</v>
      </c>
      <c r="AJ1494" s="205">
        <f>IF($W1494=AJ$3,$AB1494,IF(NOT($W1494=0),"",SUMIFS('Val-Vol (2)'!AJ$4:AJ$1858,'Val-Vol (2)'!$A$4:$A$1858,$D1494,'Val-Vol (2)'!$V$4:$V$1858,$V1494)/SUMIFS('Comp2016-2017 (3)'!$G$5:$G$289,'Comp2016-2017 (3)'!$A$5:$A$289,$D1494,'Comp2016-2017 (3)'!$R$5:$R$289,$V1494)*$AB1494))</f>
        <v>0</v>
      </c>
      <c r="AK1494" s="205">
        <f t="shared" si="176"/>
        <v>0</v>
      </c>
      <c r="AL1494" s="218" t="str">
        <f t="shared" si="171"/>
        <v/>
      </c>
      <c r="AM1494" s="218" t="str">
        <f>VLOOKUP(A1494,'Table corresp.'!$M$4:$U$63,8,FALSE)</f>
        <v>Forêt</v>
      </c>
      <c r="AN1494" s="218" t="str">
        <f>VLOOKUP(D1494,'Table corresp.'!$M$4:$U$63,9,FALSE)</f>
        <v>Production intermédiaire</v>
      </c>
    </row>
    <row r="1495" spans="1:40" x14ac:dyDescent="0.25">
      <c r="A1495" t="s">
        <v>0</v>
      </c>
      <c r="B1495" t="str">
        <f>VLOOKUP(LEFT(A1495,3),'Table corresp.'!$A$4:$D$63,3,FALSE)</f>
        <v>Forêt</v>
      </c>
      <c r="C1495" t="str">
        <f>VLOOKUP(A1495,'Table corresp.'!$M$4:$P$63,4,FALSE)</f>
        <v>Production et transformation de produits bois</v>
      </c>
      <c r="D1495" t="s">
        <v>6</v>
      </c>
      <c r="E1495" t="str">
        <f>VLOOKUP(LEFT(D1495,3),'Table corresp.'!$A$4:$D$63,4,FALSE)</f>
        <v>Transformation</v>
      </c>
      <c r="F1495" t="str">
        <f t="shared" si="172"/>
        <v xml:space="preserve">02  - 11 </v>
      </c>
      <c r="G1495" s="238">
        <v>0.578989869728739</v>
      </c>
      <c r="H1495" s="238">
        <v>6244.9841633614096</v>
      </c>
      <c r="I1495" s="238">
        <v>6245.5631532311299</v>
      </c>
      <c r="J1495" s="238">
        <v>1.0499717609196844E-2</v>
      </c>
      <c r="K1495" s="238">
        <v>8.3204650401432012</v>
      </c>
      <c r="L1495" s="238">
        <v>8.3309647577523975</v>
      </c>
      <c r="M1495" s="238"/>
      <c r="N1495" s="238"/>
      <c r="O1495" s="238"/>
      <c r="P1495" s="238"/>
      <c r="Q1495" s="238"/>
      <c r="R1495" s="238"/>
      <c r="S1495" s="238"/>
      <c r="T1495" s="218">
        <f>VLOOKUP(A1495,'Groupe de branches'!$Z$27:$AM$86,14,FALSE)</f>
        <v>0</v>
      </c>
      <c r="U1495" s="218">
        <f>VLOOKUP(D1495,'Groupe de branches'!$Z$27:$AM$86,14,FALSE)</f>
        <v>0</v>
      </c>
      <c r="V1495" s="218">
        <v>2020</v>
      </c>
      <c r="W1495" s="218">
        <f>VLOOKUP(D1495,'Table corresp.'!$M$4:$S$63,7,FALSE)</f>
        <v>0</v>
      </c>
      <c r="X1495" s="240">
        <f>IFERROR(G1495/SUMIFS('Comp2016-2017 (3)'!$I$5:$I$289,'Comp2016-2017 (3)'!$A$5:$A$289,A1495,'Comp2016-2017 (3)'!$R$5:$R$289,V1495),0)</f>
        <v>5.311574556841226E-7</v>
      </c>
      <c r="Y1495" s="219" t="e">
        <f>IF(RIGHT(F1495,3)="Exp",VLOOKUP(F1495,#REF!,2,FALSE),VLOOKUP(F1495,#REF!,9,FALSE))</f>
        <v>#REF!</v>
      </c>
      <c r="Z1495" s="226" t="str">
        <f t="shared" si="175"/>
        <v/>
      </c>
      <c r="AA1495" s="226" t="e">
        <f t="shared" si="169"/>
        <v>#VALUE!</v>
      </c>
      <c r="AB1495" s="205">
        <f>IFERROR(SUMIFS('Comp2016-2017 (3)'!$G$5:$G$289,'Comp2016-2017 (3)'!$A$5:$A$289,A1495,'Comp2016-2017 (3)'!$R$5:$R$289,V1495)*AA1495/SUMIFS($AA$4:$AA$1858,$A$4:$A$1858,A1495,$V$4:$V$1858,V1495),0)</f>
        <v>0</v>
      </c>
      <c r="AC1495" s="205">
        <f>IF($W1495=AC$3,$AB1495,IF(NOT($W1495=0),"",SUMIFS('Val-Vol (2)'!AC$4:AC$1858,'Val-Vol (2)'!$A$4:$A$1858,$D1495,'Val-Vol (2)'!$V$4:$V$1858,$V1495)/SUMIFS('Comp2016-2017 (3)'!$G$5:$G$289,'Comp2016-2017 (3)'!$A$5:$A$289,$D1495,'Comp2016-2017 (3)'!$R$5:$R$289,$V1495)*$AB1495))</f>
        <v>0</v>
      </c>
      <c r="AD1495" s="205">
        <f>IF($W1495=AD$3,$AB1495,IF(NOT($W1495=0),"",SUMIFS('Val-Vol (2)'!AD$4:AD$1858,'Val-Vol (2)'!$A$4:$A$1858,$D1495,'Val-Vol (2)'!$V$4:$V$1858,$V1495)/SUMIFS('Comp2016-2017 (3)'!$G$5:$G$289,'Comp2016-2017 (3)'!$A$5:$A$289,$D1495,'Comp2016-2017 (3)'!$R$5:$R$289,$V1495)*$AB1495))</f>
        <v>0</v>
      </c>
      <c r="AE1495" s="205">
        <f>IF($W1495=AE$3,$AB1495,IF(NOT($W1495=0),"",SUMIFS('Val-Vol (2)'!AE$4:AE$1858,'Val-Vol (2)'!$A$4:$A$1858,$D1495,'Val-Vol (2)'!$V$4:$V$1858,$V1495)/SUMIFS('Comp2016-2017 (3)'!$G$5:$G$289,'Comp2016-2017 (3)'!$A$5:$A$289,$D1495,'Comp2016-2017 (3)'!$R$5:$R$289,$V1495)*$AB1495))</f>
        <v>0</v>
      </c>
      <c r="AF1495" s="205">
        <f>IF($W1495=AF$3,$AB1495,IF(NOT($W1495=0),"",SUMIFS('Val-Vol (2)'!AF$4:AF$1858,'Val-Vol (2)'!$A$4:$A$1858,$D1495,'Val-Vol (2)'!$V$4:$V$1858,$V1495)/SUMIFS('Comp2016-2017 (3)'!$G$5:$G$289,'Comp2016-2017 (3)'!$A$5:$A$289,$D1495,'Comp2016-2017 (3)'!$R$5:$R$289,$V1495)*$AB1495))</f>
        <v>0</v>
      </c>
      <c r="AG1495" s="205">
        <f>IF($W1495=AG$3,$AB1495,IF(NOT($W1495=0),"",SUMIFS('Val-Vol (2)'!AG$4:AG$1858,'Val-Vol (2)'!$A$4:$A$1858,$D1495,'Val-Vol (2)'!$V$4:$V$1858,$V1495)/SUMIFS('Comp2016-2017 (3)'!$G$5:$G$289,'Comp2016-2017 (3)'!$A$5:$A$289,$D1495,'Comp2016-2017 (3)'!$R$5:$R$289,$V1495)*$AB1495))</f>
        <v>0</v>
      </c>
      <c r="AH1495" s="205">
        <f>IF($W1495=AH$3,$AB1495,IF(NOT($W1495=0),"",SUMIFS('Val-Vol (2)'!AH$4:AH$1858,'Val-Vol (2)'!$A$4:$A$1858,$D1495,'Val-Vol (2)'!$V$4:$V$1858,$V1495)/SUMIFS('Comp2016-2017 (3)'!$G$5:$G$289,'Comp2016-2017 (3)'!$A$5:$A$289,$D1495,'Comp2016-2017 (3)'!$R$5:$R$289,$V1495)*$AB1495))</f>
        <v>0</v>
      </c>
      <c r="AI1495" s="205">
        <f>IF($W1495=AI$3,$AB1495,IF(NOT($W1495=0),"",SUMIFS('Val-Vol (2)'!AI$4:AI$1858,'Val-Vol (2)'!$A$4:$A$1858,$D1495,'Val-Vol (2)'!$V$4:$V$1858,$V1495)/SUMIFS('Comp2016-2017 (3)'!$G$5:$G$289,'Comp2016-2017 (3)'!$A$5:$A$289,$D1495,'Comp2016-2017 (3)'!$R$5:$R$289,$V1495)*$AB1495))</f>
        <v>0</v>
      </c>
      <c r="AJ1495" s="205">
        <f>IF($W1495=AJ$3,$AB1495,IF(NOT($W1495=0),"",SUMIFS('Val-Vol (2)'!AJ$4:AJ$1858,'Val-Vol (2)'!$A$4:$A$1858,$D1495,'Val-Vol (2)'!$V$4:$V$1858,$V1495)/SUMIFS('Comp2016-2017 (3)'!$G$5:$G$289,'Comp2016-2017 (3)'!$A$5:$A$289,$D1495,'Comp2016-2017 (3)'!$R$5:$R$289,$V1495)*$AB1495))</f>
        <v>0</v>
      </c>
      <c r="AK1495" s="205">
        <f t="shared" si="176"/>
        <v>0</v>
      </c>
      <c r="AL1495" s="218" t="str">
        <f t="shared" si="171"/>
        <v/>
      </c>
      <c r="AM1495" s="218" t="str">
        <f>VLOOKUP(A1495,'Table corresp.'!$M$4:$U$63,8,FALSE)</f>
        <v>Forêt</v>
      </c>
      <c r="AN1495" s="218" t="str">
        <f>VLOOKUP(D1495,'Table corresp.'!$M$4:$U$63,9,FALSE)</f>
        <v>Production intermédiaire</v>
      </c>
    </row>
    <row r="1496" spans="1:40" x14ac:dyDescent="0.25">
      <c r="A1496" t="s">
        <v>0</v>
      </c>
      <c r="B1496" t="str">
        <f>VLOOKUP(LEFT(A1496,3),'Table corresp.'!$A$4:$D$63,3,FALSE)</f>
        <v>Forêt</v>
      </c>
      <c r="C1496" t="str">
        <f>VLOOKUP(A1496,'Table corresp.'!$M$4:$P$63,4,FALSE)</f>
        <v>Production et transformation de produits bois</v>
      </c>
      <c r="D1496" t="s">
        <v>7</v>
      </c>
      <c r="E1496" t="str">
        <f>VLOOKUP(LEFT(D1496,3),'Table corresp.'!$A$4:$D$63,4,FALSE)</f>
        <v>Transformation</v>
      </c>
      <c r="F1496" t="str">
        <f t="shared" si="172"/>
        <v xml:space="preserve">02  - 12 </v>
      </c>
      <c r="G1496" s="238">
        <v>256334.96717044199</v>
      </c>
      <c r="H1496" s="238">
        <v>18902.565459448298</v>
      </c>
      <c r="I1496" s="238">
        <v>275237.53262989002</v>
      </c>
      <c r="J1496" s="238">
        <v>6440.1735094194682</v>
      </c>
      <c r="K1496" s="238">
        <v>143.44718912483626</v>
      </c>
      <c r="L1496" s="238">
        <v>6583.6206985443041</v>
      </c>
      <c r="M1496" s="238"/>
      <c r="N1496" s="238"/>
      <c r="O1496" s="238"/>
      <c r="P1496" s="238"/>
      <c r="Q1496" s="238"/>
      <c r="R1496" s="238"/>
      <c r="S1496" s="238"/>
      <c r="T1496" s="218">
        <f>VLOOKUP(A1496,'Groupe de branches'!$Z$27:$AM$86,14,FALSE)</f>
        <v>0</v>
      </c>
      <c r="U1496" s="218">
        <f>VLOOKUP(D1496,'Groupe de branches'!$Z$27:$AM$86,14,FALSE)</f>
        <v>0</v>
      </c>
      <c r="V1496" s="218">
        <v>2020</v>
      </c>
      <c r="W1496" s="218">
        <f>VLOOKUP(D1496,'Table corresp.'!$M$4:$S$63,7,FALSE)</f>
        <v>0</v>
      </c>
      <c r="X1496" s="240">
        <f>IFERROR(G1496/SUMIFS('Comp2016-2017 (3)'!$I$5:$I$289,'Comp2016-2017 (3)'!$A$5:$A$289,A1496,'Comp2016-2017 (3)'!$R$5:$R$289,V1496),0)</f>
        <v>0.23515822311176932</v>
      </c>
      <c r="Y1496" s="219" t="e">
        <f>IF(RIGHT(F1496,3)="Exp",VLOOKUP(F1496,#REF!,2,FALSE),VLOOKUP(F1496,#REF!,9,FALSE))</f>
        <v>#REF!</v>
      </c>
      <c r="Z1496" s="226" t="str">
        <f t="shared" si="175"/>
        <v/>
      </c>
      <c r="AA1496" s="226" t="e">
        <f t="shared" si="169"/>
        <v>#VALUE!</v>
      </c>
      <c r="AB1496" s="205">
        <f>IFERROR(SUMIFS('Comp2016-2017 (3)'!$G$5:$G$289,'Comp2016-2017 (3)'!$A$5:$A$289,A1496,'Comp2016-2017 (3)'!$R$5:$R$289,V1496)*AA1496/SUMIFS($AA$4:$AA$1858,$A$4:$A$1858,A1496,$V$4:$V$1858,V1496),0)</f>
        <v>0</v>
      </c>
      <c r="AC1496" s="205">
        <f>IF($W1496=AC$3,$AB1496,IF(NOT($W1496=0),"",SUMIFS('Val-Vol (2)'!AC$4:AC$1858,'Val-Vol (2)'!$A$4:$A$1858,$D1496,'Val-Vol (2)'!$V$4:$V$1858,$V1496)/SUMIFS('Comp2016-2017 (3)'!$G$5:$G$289,'Comp2016-2017 (3)'!$A$5:$A$289,$D1496,'Comp2016-2017 (3)'!$R$5:$R$289,$V1496)*$AB1496))</f>
        <v>0</v>
      </c>
      <c r="AD1496" s="205">
        <f>IF($W1496=AD$3,$AB1496,IF(NOT($W1496=0),"",SUMIFS('Val-Vol (2)'!AD$4:AD$1858,'Val-Vol (2)'!$A$4:$A$1858,$D1496,'Val-Vol (2)'!$V$4:$V$1858,$V1496)/SUMIFS('Comp2016-2017 (3)'!$G$5:$G$289,'Comp2016-2017 (3)'!$A$5:$A$289,$D1496,'Comp2016-2017 (3)'!$R$5:$R$289,$V1496)*$AB1496))</f>
        <v>0</v>
      </c>
      <c r="AE1496" s="205">
        <f>IF($W1496=AE$3,$AB1496,IF(NOT($W1496=0),"",SUMIFS('Val-Vol (2)'!AE$4:AE$1858,'Val-Vol (2)'!$A$4:$A$1858,$D1496,'Val-Vol (2)'!$V$4:$V$1858,$V1496)/SUMIFS('Comp2016-2017 (3)'!$G$5:$G$289,'Comp2016-2017 (3)'!$A$5:$A$289,$D1496,'Comp2016-2017 (3)'!$R$5:$R$289,$V1496)*$AB1496))</f>
        <v>0</v>
      </c>
      <c r="AF1496" s="205">
        <f>IF($W1496=AF$3,$AB1496,IF(NOT($W1496=0),"",SUMIFS('Val-Vol (2)'!AF$4:AF$1858,'Val-Vol (2)'!$A$4:$A$1858,$D1496,'Val-Vol (2)'!$V$4:$V$1858,$V1496)/SUMIFS('Comp2016-2017 (3)'!$G$5:$G$289,'Comp2016-2017 (3)'!$A$5:$A$289,$D1496,'Comp2016-2017 (3)'!$R$5:$R$289,$V1496)*$AB1496))</f>
        <v>0</v>
      </c>
      <c r="AG1496" s="205">
        <f>IF($W1496=AG$3,$AB1496,IF(NOT($W1496=0),"",SUMIFS('Val-Vol (2)'!AG$4:AG$1858,'Val-Vol (2)'!$A$4:$A$1858,$D1496,'Val-Vol (2)'!$V$4:$V$1858,$V1496)/SUMIFS('Comp2016-2017 (3)'!$G$5:$G$289,'Comp2016-2017 (3)'!$A$5:$A$289,$D1496,'Comp2016-2017 (3)'!$R$5:$R$289,$V1496)*$AB1496))</f>
        <v>0</v>
      </c>
      <c r="AH1496" s="205">
        <f>IF($W1496=AH$3,$AB1496,IF(NOT($W1496=0),"",SUMIFS('Val-Vol (2)'!AH$4:AH$1858,'Val-Vol (2)'!$A$4:$A$1858,$D1496,'Val-Vol (2)'!$V$4:$V$1858,$V1496)/SUMIFS('Comp2016-2017 (3)'!$G$5:$G$289,'Comp2016-2017 (3)'!$A$5:$A$289,$D1496,'Comp2016-2017 (3)'!$R$5:$R$289,$V1496)*$AB1496))</f>
        <v>0</v>
      </c>
      <c r="AI1496" s="205">
        <f>IF($W1496=AI$3,$AB1496,IF(NOT($W1496=0),"",SUMIFS('Val-Vol (2)'!AI$4:AI$1858,'Val-Vol (2)'!$A$4:$A$1858,$D1496,'Val-Vol (2)'!$V$4:$V$1858,$V1496)/SUMIFS('Comp2016-2017 (3)'!$G$5:$G$289,'Comp2016-2017 (3)'!$A$5:$A$289,$D1496,'Comp2016-2017 (3)'!$R$5:$R$289,$V1496)*$AB1496))</f>
        <v>0</v>
      </c>
      <c r="AJ1496" s="205">
        <f>IF($W1496=AJ$3,$AB1496,IF(NOT($W1496=0),"",SUMIFS('Val-Vol (2)'!AJ$4:AJ$1858,'Val-Vol (2)'!$A$4:$A$1858,$D1496,'Val-Vol (2)'!$V$4:$V$1858,$V1496)/SUMIFS('Comp2016-2017 (3)'!$G$5:$G$289,'Comp2016-2017 (3)'!$A$5:$A$289,$D1496,'Comp2016-2017 (3)'!$R$5:$R$289,$V1496)*$AB1496))</f>
        <v>0</v>
      </c>
      <c r="AK1496" s="205">
        <f>SUM(AC1496:AJ1496)-AB1496</f>
        <v>0</v>
      </c>
      <c r="AL1496" s="218" t="str">
        <f t="shared" si="171"/>
        <v/>
      </c>
      <c r="AM1496" s="218" t="str">
        <f>VLOOKUP(A1496,'Table corresp.'!$M$4:$U$63,8,FALSE)</f>
        <v>Forêt</v>
      </c>
      <c r="AN1496" s="218" t="str">
        <f>VLOOKUP(D1496,'Table corresp.'!$M$4:$U$63,9,FALSE)</f>
        <v>Production intermédiaire</v>
      </c>
    </row>
    <row r="1497" spans="1:40" x14ac:dyDescent="0.25">
      <c r="A1497" t="s">
        <v>0</v>
      </c>
      <c r="B1497" t="str">
        <f>VLOOKUP(LEFT(A1497,3),'Table corresp.'!$A$4:$D$63,3,FALSE)</f>
        <v>Forêt</v>
      </c>
      <c r="C1497" t="str">
        <f>VLOOKUP(A1497,'Table corresp.'!$M$4:$P$63,4,FALSE)</f>
        <v>Production et transformation de produits bois</v>
      </c>
      <c r="D1497" t="s">
        <v>8</v>
      </c>
      <c r="E1497" t="str">
        <f>VLOOKUP(LEFT(D1497,3),'Table corresp.'!$A$4:$D$63,4,FALSE)</f>
        <v>Transformation</v>
      </c>
      <c r="F1497" t="str">
        <f t="shared" si="172"/>
        <v xml:space="preserve">02  - 13 </v>
      </c>
      <c r="G1497" s="238">
        <v>126736.996343443</v>
      </c>
      <c r="H1497" s="238">
        <v>0</v>
      </c>
      <c r="I1497" s="238">
        <v>126736.996343443</v>
      </c>
      <c r="J1497" s="238">
        <v>2707.8521778322392</v>
      </c>
      <c r="K1497" s="238">
        <v>0</v>
      </c>
      <c r="L1497" s="238">
        <v>2707.8521778322392</v>
      </c>
      <c r="M1497" s="238"/>
      <c r="N1497" s="238"/>
      <c r="O1497" s="238"/>
      <c r="P1497" s="238"/>
      <c r="Q1497" s="238"/>
      <c r="R1497" s="238"/>
      <c r="S1497" s="238"/>
      <c r="T1497" s="218">
        <f>VLOOKUP(A1497,'Groupe de branches'!$Z$27:$AM$86,14,FALSE)</f>
        <v>0</v>
      </c>
      <c r="U1497" s="218">
        <f>VLOOKUP(D1497,'Groupe de branches'!$Z$27:$AM$86,14,FALSE)</f>
        <v>0</v>
      </c>
      <c r="V1497" s="218">
        <v>2020</v>
      </c>
      <c r="W1497" s="218">
        <f>VLOOKUP(D1497,'Table corresp.'!$M$4:$S$63,7,FALSE)</f>
        <v>0</v>
      </c>
      <c r="X1497" s="240">
        <f>IFERROR(G1497/SUMIFS('Comp2016-2017 (3)'!$I$5:$I$289,'Comp2016-2017 (3)'!$A$5:$A$289,A1497,'Comp2016-2017 (3)'!$R$5:$R$289,V1497),0)</f>
        <v>0.11626680195694923</v>
      </c>
      <c r="Y1497" s="219" t="e">
        <f>IF(RIGHT(F1497,3)="Exp",VLOOKUP(F1497,#REF!,2,FALSE),VLOOKUP(F1497,#REF!,9,FALSE))</f>
        <v>#REF!</v>
      </c>
      <c r="Z1497" s="226" t="str">
        <f t="shared" si="175"/>
        <v/>
      </c>
      <c r="AA1497" s="226" t="e">
        <f t="shared" si="169"/>
        <v>#VALUE!</v>
      </c>
      <c r="AB1497" s="205">
        <f>IFERROR(SUMIFS('Comp2016-2017 (3)'!$G$5:$G$289,'Comp2016-2017 (3)'!$A$5:$A$289,A1497,'Comp2016-2017 (3)'!$R$5:$R$289,V1497)*AA1497/SUMIFS($AA$4:$AA$1858,$A$4:$A$1858,A1497,$V$4:$V$1858,V1497),0)</f>
        <v>0</v>
      </c>
      <c r="AC1497" s="205">
        <f>IF($W1497=AC$3,$AB1497,IF(NOT($W1497=0),"",SUMIFS('Val-Vol (2)'!AC$4:AC$1858,'Val-Vol (2)'!$A$4:$A$1858,$D1497,'Val-Vol (2)'!$V$4:$V$1858,$V1497)/SUMIFS('Comp2016-2017 (3)'!$G$5:$G$289,'Comp2016-2017 (3)'!$A$5:$A$289,$D1497,'Comp2016-2017 (3)'!$R$5:$R$289,$V1497)*$AB1497))</f>
        <v>0</v>
      </c>
      <c r="AD1497" s="205">
        <f>IF($W1497=AD$3,$AB1497,IF(NOT($W1497=0),"",SUMIFS('Val-Vol (2)'!AD$4:AD$1858,'Val-Vol (2)'!$A$4:$A$1858,$D1497,'Val-Vol (2)'!$V$4:$V$1858,$V1497)/SUMIFS('Comp2016-2017 (3)'!$G$5:$G$289,'Comp2016-2017 (3)'!$A$5:$A$289,$D1497,'Comp2016-2017 (3)'!$R$5:$R$289,$V1497)*$AB1497))</f>
        <v>0</v>
      </c>
      <c r="AE1497" s="205">
        <f>IF($W1497=AE$3,$AB1497,IF(NOT($W1497=0),"",SUMIFS('Val-Vol (2)'!AE$4:AE$1858,'Val-Vol (2)'!$A$4:$A$1858,$D1497,'Val-Vol (2)'!$V$4:$V$1858,$V1497)/SUMIFS('Comp2016-2017 (3)'!$G$5:$G$289,'Comp2016-2017 (3)'!$A$5:$A$289,$D1497,'Comp2016-2017 (3)'!$R$5:$R$289,$V1497)*$AB1497))</f>
        <v>0</v>
      </c>
      <c r="AF1497" s="205">
        <f>IF($W1497=AF$3,$AB1497,IF(NOT($W1497=0),"",SUMIFS('Val-Vol (2)'!AF$4:AF$1858,'Val-Vol (2)'!$A$4:$A$1858,$D1497,'Val-Vol (2)'!$V$4:$V$1858,$V1497)/SUMIFS('Comp2016-2017 (3)'!$G$5:$G$289,'Comp2016-2017 (3)'!$A$5:$A$289,$D1497,'Comp2016-2017 (3)'!$R$5:$R$289,$V1497)*$AB1497))</f>
        <v>0</v>
      </c>
      <c r="AG1497" s="205">
        <f>IF($W1497=AG$3,$AB1497,IF(NOT($W1497=0),"",SUMIFS('Val-Vol (2)'!AG$4:AG$1858,'Val-Vol (2)'!$A$4:$A$1858,$D1497,'Val-Vol (2)'!$V$4:$V$1858,$V1497)/SUMIFS('Comp2016-2017 (3)'!$G$5:$G$289,'Comp2016-2017 (3)'!$A$5:$A$289,$D1497,'Comp2016-2017 (3)'!$R$5:$R$289,$V1497)*$AB1497))</f>
        <v>0</v>
      </c>
      <c r="AH1497" s="205">
        <f>IF($W1497=AH$3,$AB1497,IF(NOT($W1497=0),"",SUMIFS('Val-Vol (2)'!AH$4:AH$1858,'Val-Vol (2)'!$A$4:$A$1858,$D1497,'Val-Vol (2)'!$V$4:$V$1858,$V1497)/SUMIFS('Comp2016-2017 (3)'!$G$5:$G$289,'Comp2016-2017 (3)'!$A$5:$A$289,$D1497,'Comp2016-2017 (3)'!$R$5:$R$289,$V1497)*$AB1497))</f>
        <v>0</v>
      </c>
      <c r="AI1497" s="205">
        <f>IF($W1497=AI$3,$AB1497,IF(NOT($W1497=0),"",SUMIFS('Val-Vol (2)'!AI$4:AI$1858,'Val-Vol (2)'!$A$4:$A$1858,$D1497,'Val-Vol (2)'!$V$4:$V$1858,$V1497)/SUMIFS('Comp2016-2017 (3)'!$G$5:$G$289,'Comp2016-2017 (3)'!$A$5:$A$289,$D1497,'Comp2016-2017 (3)'!$R$5:$R$289,$V1497)*$AB1497))</f>
        <v>0</v>
      </c>
      <c r="AJ1497" s="205">
        <f>IF($W1497=AJ$3,$AB1497,IF(NOT($W1497=0),"",SUMIFS('Val-Vol (2)'!AJ$4:AJ$1858,'Val-Vol (2)'!$A$4:$A$1858,$D1497,'Val-Vol (2)'!$V$4:$V$1858,$V1497)/SUMIFS('Comp2016-2017 (3)'!$G$5:$G$289,'Comp2016-2017 (3)'!$A$5:$A$289,$D1497,'Comp2016-2017 (3)'!$R$5:$R$289,$V1497)*$AB1497))</f>
        <v>0</v>
      </c>
      <c r="AK1497" s="205">
        <f t="shared" ref="AK1497:AK1560" si="177">SUM(AC1497:AJ1497)-AB1497</f>
        <v>0</v>
      </c>
      <c r="AL1497" s="218" t="str">
        <f t="shared" si="171"/>
        <v/>
      </c>
      <c r="AM1497" s="218" t="str">
        <f>VLOOKUP(A1497,'Table corresp.'!$M$4:$U$63,8,FALSE)</f>
        <v>Forêt</v>
      </c>
      <c r="AN1497" s="218" t="str">
        <f>VLOOKUP(D1497,'Table corresp.'!$M$4:$U$63,9,FALSE)</f>
        <v>Production intermédiaire</v>
      </c>
    </row>
    <row r="1498" spans="1:40" x14ac:dyDescent="0.25">
      <c r="A1498" t="s">
        <v>0</v>
      </c>
      <c r="B1498" t="str">
        <f>VLOOKUP(LEFT(A1498,3),'Table corresp.'!$A$4:$D$63,3,FALSE)</f>
        <v>Forêt</v>
      </c>
      <c r="C1498" t="str">
        <f>VLOOKUP(A1498,'Table corresp.'!$M$4:$P$63,4,FALSE)</f>
        <v>Production et transformation de produits bois</v>
      </c>
      <c r="D1498" t="s">
        <v>83</v>
      </c>
      <c r="E1498" t="str">
        <f>VLOOKUP(LEFT(D1498,3),'Table corresp.'!$A$4:$D$63,4,FALSE)</f>
        <v>Transformation</v>
      </c>
      <c r="F1498" t="str">
        <f t="shared" si="172"/>
        <v xml:space="preserve">02  - 14 </v>
      </c>
      <c r="G1498" s="238">
        <v>30796.849753410501</v>
      </c>
      <c r="H1498" s="238">
        <v>2698.50966192856</v>
      </c>
      <c r="I1498" s="238">
        <v>33495.359415339102</v>
      </c>
      <c r="J1498" s="238">
        <v>869.13309939106296</v>
      </c>
      <c r="K1498" s="238">
        <v>20.72959816512347</v>
      </c>
      <c r="L1498" s="238">
        <v>889.86269755618639</v>
      </c>
      <c r="M1498" s="238"/>
      <c r="N1498" s="238"/>
      <c r="O1498" s="238"/>
      <c r="P1498" s="238"/>
      <c r="Q1498" s="238"/>
      <c r="R1498" s="238"/>
      <c r="S1498" s="238"/>
      <c r="T1498" s="218">
        <f>VLOOKUP(A1498,'Groupe de branches'!$Z$27:$AM$86,14,FALSE)</f>
        <v>0</v>
      </c>
      <c r="U1498" s="218">
        <f>VLOOKUP(D1498,'Groupe de branches'!$Z$27:$AM$86,14,FALSE)</f>
        <v>0</v>
      </c>
      <c r="V1498" s="218">
        <v>2020</v>
      </c>
      <c r="W1498" s="218">
        <f>VLOOKUP(D1498,'Table corresp.'!$M$4:$S$63,7,FALSE)</f>
        <v>0</v>
      </c>
      <c r="X1498" s="240">
        <f>IFERROR(G1498/SUMIFS('Comp2016-2017 (3)'!$I$5:$I$289,'Comp2016-2017 (3)'!$A$5:$A$289,A1498,'Comp2016-2017 (3)'!$R$5:$R$289,V1498),0)</f>
        <v>2.8252612374326257E-2</v>
      </c>
      <c r="Y1498" s="219" t="e">
        <f>IF(RIGHT(F1498,3)="Exp",VLOOKUP(F1498,#REF!,2,FALSE),VLOOKUP(F1498,#REF!,9,FALSE))</f>
        <v>#REF!</v>
      </c>
      <c r="Z1498" s="226" t="str">
        <f t="shared" si="175"/>
        <v/>
      </c>
      <c r="AA1498" s="226" t="e">
        <f t="shared" si="169"/>
        <v>#VALUE!</v>
      </c>
      <c r="AB1498" s="205">
        <f>IFERROR(SUMIFS('Comp2016-2017 (3)'!$G$5:$G$289,'Comp2016-2017 (3)'!$A$5:$A$289,A1498,'Comp2016-2017 (3)'!$R$5:$R$289,V1498)*AA1498/SUMIFS($AA$4:$AA$1858,$A$4:$A$1858,A1498,$V$4:$V$1858,V1498),0)</f>
        <v>0</v>
      </c>
      <c r="AC1498" s="205">
        <f>IF($W1498=AC$3,$AB1498,IF(NOT($W1498=0),"",SUMIFS('Val-Vol (2)'!AC$4:AC$1858,'Val-Vol (2)'!$A$4:$A$1858,$D1498,'Val-Vol (2)'!$V$4:$V$1858,$V1498)/SUMIFS('Comp2016-2017 (3)'!$G$5:$G$289,'Comp2016-2017 (3)'!$A$5:$A$289,$D1498,'Comp2016-2017 (3)'!$R$5:$R$289,$V1498)*$AB1498))</f>
        <v>0</v>
      </c>
      <c r="AD1498" s="205">
        <f>IF($W1498=AD$3,$AB1498,IF(NOT($W1498=0),"",SUMIFS('Val-Vol (2)'!AD$4:AD$1858,'Val-Vol (2)'!$A$4:$A$1858,$D1498,'Val-Vol (2)'!$V$4:$V$1858,$V1498)/SUMIFS('Comp2016-2017 (3)'!$G$5:$G$289,'Comp2016-2017 (3)'!$A$5:$A$289,$D1498,'Comp2016-2017 (3)'!$R$5:$R$289,$V1498)*$AB1498))</f>
        <v>0</v>
      </c>
      <c r="AE1498" s="205">
        <f>IF($W1498=AE$3,$AB1498,IF(NOT($W1498=0),"",SUMIFS('Val-Vol (2)'!AE$4:AE$1858,'Val-Vol (2)'!$A$4:$A$1858,$D1498,'Val-Vol (2)'!$V$4:$V$1858,$V1498)/SUMIFS('Comp2016-2017 (3)'!$G$5:$G$289,'Comp2016-2017 (3)'!$A$5:$A$289,$D1498,'Comp2016-2017 (3)'!$R$5:$R$289,$V1498)*$AB1498))</f>
        <v>0</v>
      </c>
      <c r="AF1498" s="205">
        <f>IF($W1498=AF$3,$AB1498,IF(NOT($W1498=0),"",SUMIFS('Val-Vol (2)'!AF$4:AF$1858,'Val-Vol (2)'!$A$4:$A$1858,$D1498,'Val-Vol (2)'!$V$4:$V$1858,$V1498)/SUMIFS('Comp2016-2017 (3)'!$G$5:$G$289,'Comp2016-2017 (3)'!$A$5:$A$289,$D1498,'Comp2016-2017 (3)'!$R$5:$R$289,$V1498)*$AB1498))</f>
        <v>0</v>
      </c>
      <c r="AG1498" s="205">
        <f>IF($W1498=AG$3,$AB1498,IF(NOT($W1498=0),"",SUMIFS('Val-Vol (2)'!AG$4:AG$1858,'Val-Vol (2)'!$A$4:$A$1858,$D1498,'Val-Vol (2)'!$V$4:$V$1858,$V1498)/SUMIFS('Comp2016-2017 (3)'!$G$5:$G$289,'Comp2016-2017 (3)'!$A$5:$A$289,$D1498,'Comp2016-2017 (3)'!$R$5:$R$289,$V1498)*$AB1498))</f>
        <v>0</v>
      </c>
      <c r="AH1498" s="205">
        <f>IF($W1498=AH$3,$AB1498,IF(NOT($W1498=0),"",SUMIFS('Val-Vol (2)'!AH$4:AH$1858,'Val-Vol (2)'!$A$4:$A$1858,$D1498,'Val-Vol (2)'!$V$4:$V$1858,$V1498)/SUMIFS('Comp2016-2017 (3)'!$G$5:$G$289,'Comp2016-2017 (3)'!$A$5:$A$289,$D1498,'Comp2016-2017 (3)'!$R$5:$R$289,$V1498)*$AB1498))</f>
        <v>0</v>
      </c>
      <c r="AI1498" s="205">
        <f>IF($W1498=AI$3,$AB1498,IF(NOT($W1498=0),"",SUMIFS('Val-Vol (2)'!AI$4:AI$1858,'Val-Vol (2)'!$A$4:$A$1858,$D1498,'Val-Vol (2)'!$V$4:$V$1858,$V1498)/SUMIFS('Comp2016-2017 (3)'!$G$5:$G$289,'Comp2016-2017 (3)'!$A$5:$A$289,$D1498,'Comp2016-2017 (3)'!$R$5:$R$289,$V1498)*$AB1498))</f>
        <v>0</v>
      </c>
      <c r="AJ1498" s="205">
        <f>IF($W1498=AJ$3,$AB1498,IF(NOT($W1498=0),"",SUMIFS('Val-Vol (2)'!AJ$4:AJ$1858,'Val-Vol (2)'!$A$4:$A$1858,$D1498,'Val-Vol (2)'!$V$4:$V$1858,$V1498)/SUMIFS('Comp2016-2017 (3)'!$G$5:$G$289,'Comp2016-2017 (3)'!$A$5:$A$289,$D1498,'Comp2016-2017 (3)'!$R$5:$R$289,$V1498)*$AB1498))</f>
        <v>0</v>
      </c>
      <c r="AK1498" s="205">
        <f t="shared" si="177"/>
        <v>0</v>
      </c>
      <c r="AL1498" s="218" t="str">
        <f t="shared" si="171"/>
        <v/>
      </c>
      <c r="AM1498" s="218" t="str">
        <f>VLOOKUP(A1498,'Table corresp.'!$M$4:$U$63,8,FALSE)</f>
        <v>Forêt</v>
      </c>
      <c r="AN1498" s="218" t="str">
        <f>VLOOKUP(D1498,'Table corresp.'!$M$4:$U$63,9,FALSE)</f>
        <v>Production intermédiaire</v>
      </c>
    </row>
    <row r="1499" spans="1:40" x14ac:dyDescent="0.25">
      <c r="A1499" t="s">
        <v>0</v>
      </c>
      <c r="B1499" t="str">
        <f>VLOOKUP(LEFT(A1499,3),'Table corresp.'!$A$4:$D$63,3,FALSE)</f>
        <v>Forêt</v>
      </c>
      <c r="C1499" t="str">
        <f>VLOOKUP(A1499,'Table corresp.'!$M$4:$P$63,4,FALSE)</f>
        <v>Production et transformation de produits bois</v>
      </c>
      <c r="D1499" t="s">
        <v>9</v>
      </c>
      <c r="E1499" t="str">
        <f>VLOOKUP(LEFT(D1499,3),'Table corresp.'!$A$4:$D$63,4,FALSE)</f>
        <v>Transformation</v>
      </c>
      <c r="F1499" t="str">
        <f t="shared" si="172"/>
        <v xml:space="preserve">02  - 15 </v>
      </c>
      <c r="G1499" s="238">
        <v>79814.758392481701</v>
      </c>
      <c r="H1499" s="238">
        <v>0</v>
      </c>
      <c r="I1499" s="238">
        <v>79814.758392481701</v>
      </c>
      <c r="J1499" s="238">
        <v>2425.5125009726776</v>
      </c>
      <c r="K1499" s="238">
        <v>0</v>
      </c>
      <c r="L1499" s="238">
        <v>2425.5125009726776</v>
      </c>
      <c r="M1499" s="238"/>
      <c r="N1499" s="238"/>
      <c r="O1499" s="238"/>
      <c r="P1499" s="238"/>
      <c r="Q1499" s="238"/>
      <c r="R1499" s="238"/>
      <c r="S1499" s="238"/>
      <c r="T1499" s="218">
        <f>VLOOKUP(A1499,'Groupe de branches'!$Z$27:$AM$86,14,FALSE)</f>
        <v>0</v>
      </c>
      <c r="U1499" s="218">
        <f>VLOOKUP(D1499,'Groupe de branches'!$Z$27:$AM$86,14,FALSE)</f>
        <v>0</v>
      </c>
      <c r="V1499" s="218">
        <v>2020</v>
      </c>
      <c r="W1499" s="218">
        <f>VLOOKUP(D1499,'Table corresp.'!$M$4:$S$63,7,FALSE)</f>
        <v>0</v>
      </c>
      <c r="X1499" s="240">
        <f>IFERROR(G1499/SUMIFS('Comp2016-2017 (3)'!$I$5:$I$289,'Comp2016-2017 (3)'!$A$5:$A$289,A1499,'Comp2016-2017 (3)'!$R$5:$R$289,V1499),0)</f>
        <v>7.3220977102165102E-2</v>
      </c>
      <c r="Y1499" s="219" t="e">
        <f>IF(RIGHT(F1499,3)="Exp",VLOOKUP(F1499,#REF!,2,FALSE),VLOOKUP(F1499,#REF!,9,FALSE))</f>
        <v>#REF!</v>
      </c>
      <c r="Z1499" s="226" t="str">
        <f t="shared" si="175"/>
        <v/>
      </c>
      <c r="AA1499" s="226" t="e">
        <f t="shared" si="169"/>
        <v>#VALUE!</v>
      </c>
      <c r="AB1499" s="205">
        <f>IFERROR(SUMIFS('Comp2016-2017 (3)'!$G$5:$G$289,'Comp2016-2017 (3)'!$A$5:$A$289,A1499,'Comp2016-2017 (3)'!$R$5:$R$289,V1499)*AA1499/SUMIFS($AA$4:$AA$1858,$A$4:$A$1858,A1499,$V$4:$V$1858,V1499),0)</f>
        <v>0</v>
      </c>
      <c r="AC1499" s="205">
        <f>IF($W1499=AC$3,$AB1499,IF(NOT($W1499=0),"",SUMIFS('Val-Vol (2)'!AC$4:AC$1858,'Val-Vol (2)'!$A$4:$A$1858,$D1499,'Val-Vol (2)'!$V$4:$V$1858,$V1499)/SUMIFS('Comp2016-2017 (3)'!$G$5:$G$289,'Comp2016-2017 (3)'!$A$5:$A$289,$D1499,'Comp2016-2017 (3)'!$R$5:$R$289,$V1499)*$AB1499))</f>
        <v>0</v>
      </c>
      <c r="AD1499" s="205">
        <f>IF($W1499=AD$3,$AB1499,IF(NOT($W1499=0),"",SUMIFS('Val-Vol (2)'!AD$4:AD$1858,'Val-Vol (2)'!$A$4:$A$1858,$D1499,'Val-Vol (2)'!$V$4:$V$1858,$V1499)/SUMIFS('Comp2016-2017 (3)'!$G$5:$G$289,'Comp2016-2017 (3)'!$A$5:$A$289,$D1499,'Comp2016-2017 (3)'!$R$5:$R$289,$V1499)*$AB1499))</f>
        <v>0</v>
      </c>
      <c r="AE1499" s="205">
        <f>IF($W1499=AE$3,$AB1499,IF(NOT($W1499=0),"",SUMIFS('Val-Vol (2)'!AE$4:AE$1858,'Val-Vol (2)'!$A$4:$A$1858,$D1499,'Val-Vol (2)'!$V$4:$V$1858,$V1499)/SUMIFS('Comp2016-2017 (3)'!$G$5:$G$289,'Comp2016-2017 (3)'!$A$5:$A$289,$D1499,'Comp2016-2017 (3)'!$R$5:$R$289,$V1499)*$AB1499))</f>
        <v>0</v>
      </c>
      <c r="AF1499" s="205">
        <f>IF($W1499=AF$3,$AB1499,IF(NOT($W1499=0),"",SUMIFS('Val-Vol (2)'!AF$4:AF$1858,'Val-Vol (2)'!$A$4:$A$1858,$D1499,'Val-Vol (2)'!$V$4:$V$1858,$V1499)/SUMIFS('Comp2016-2017 (3)'!$G$5:$G$289,'Comp2016-2017 (3)'!$A$5:$A$289,$D1499,'Comp2016-2017 (3)'!$R$5:$R$289,$V1499)*$AB1499))</f>
        <v>0</v>
      </c>
      <c r="AG1499" s="205">
        <f>IF($W1499=AG$3,$AB1499,IF(NOT($W1499=0),"",SUMIFS('Val-Vol (2)'!AG$4:AG$1858,'Val-Vol (2)'!$A$4:$A$1858,$D1499,'Val-Vol (2)'!$V$4:$V$1858,$V1499)/SUMIFS('Comp2016-2017 (3)'!$G$5:$G$289,'Comp2016-2017 (3)'!$A$5:$A$289,$D1499,'Comp2016-2017 (3)'!$R$5:$R$289,$V1499)*$AB1499))</f>
        <v>0</v>
      </c>
      <c r="AH1499" s="205">
        <f>IF($W1499=AH$3,$AB1499,IF(NOT($W1499=0),"",SUMIFS('Val-Vol (2)'!AH$4:AH$1858,'Val-Vol (2)'!$A$4:$A$1858,$D1499,'Val-Vol (2)'!$V$4:$V$1858,$V1499)/SUMIFS('Comp2016-2017 (3)'!$G$5:$G$289,'Comp2016-2017 (3)'!$A$5:$A$289,$D1499,'Comp2016-2017 (3)'!$R$5:$R$289,$V1499)*$AB1499))</f>
        <v>0</v>
      </c>
      <c r="AI1499" s="205">
        <f>IF($W1499=AI$3,$AB1499,IF(NOT($W1499=0),"",SUMIFS('Val-Vol (2)'!AI$4:AI$1858,'Val-Vol (2)'!$A$4:$A$1858,$D1499,'Val-Vol (2)'!$V$4:$V$1858,$V1499)/SUMIFS('Comp2016-2017 (3)'!$G$5:$G$289,'Comp2016-2017 (3)'!$A$5:$A$289,$D1499,'Comp2016-2017 (3)'!$R$5:$R$289,$V1499)*$AB1499))</f>
        <v>0</v>
      </c>
      <c r="AJ1499" s="205">
        <f>IF($W1499=AJ$3,$AB1499,IF(NOT($W1499=0),"",SUMIFS('Val-Vol (2)'!AJ$4:AJ$1858,'Val-Vol (2)'!$A$4:$A$1858,$D1499,'Val-Vol (2)'!$V$4:$V$1858,$V1499)/SUMIFS('Comp2016-2017 (3)'!$G$5:$G$289,'Comp2016-2017 (3)'!$A$5:$A$289,$D1499,'Comp2016-2017 (3)'!$R$5:$R$289,$V1499)*$AB1499))</f>
        <v>0</v>
      </c>
      <c r="AK1499" s="205">
        <f t="shared" si="177"/>
        <v>0</v>
      </c>
      <c r="AL1499" s="218" t="str">
        <f t="shared" si="171"/>
        <v/>
      </c>
      <c r="AM1499" s="218" t="str">
        <f>VLOOKUP(A1499,'Table corresp.'!$M$4:$U$63,8,FALSE)</f>
        <v>Forêt</v>
      </c>
      <c r="AN1499" s="218" t="str">
        <f>VLOOKUP(D1499,'Table corresp.'!$M$4:$U$63,9,FALSE)</f>
        <v>Production intermédiaire</v>
      </c>
    </row>
    <row r="1500" spans="1:40" x14ac:dyDescent="0.25">
      <c r="A1500" t="s">
        <v>0</v>
      </c>
      <c r="B1500" t="str">
        <f>VLOOKUP(LEFT(A1500,3),'Table corresp.'!$A$4:$D$63,3,FALSE)</f>
        <v>Forêt</v>
      </c>
      <c r="C1500" t="str">
        <f>VLOOKUP(A1500,'Table corresp.'!$M$4:$P$63,4,FALSE)</f>
        <v>Production et transformation de produits bois</v>
      </c>
      <c r="D1500" t="s">
        <v>10</v>
      </c>
      <c r="E1500" t="str">
        <f>VLOOKUP(LEFT(D1500,3),'Table corresp.'!$A$4:$D$63,4,FALSE)</f>
        <v>Transformation</v>
      </c>
      <c r="F1500" t="str">
        <f t="shared" si="172"/>
        <v xml:space="preserve">02  - 16 </v>
      </c>
      <c r="G1500" s="238">
        <v>109768.23863499099</v>
      </c>
      <c r="H1500" s="238">
        <v>0</v>
      </c>
      <c r="I1500" s="238">
        <v>109768.23863499099</v>
      </c>
      <c r="J1500" s="238">
        <v>288.72599398147076</v>
      </c>
      <c r="K1500" s="238">
        <v>0</v>
      </c>
      <c r="L1500" s="238">
        <v>288.72599398147076</v>
      </c>
      <c r="M1500" s="238"/>
      <c r="N1500" s="238"/>
      <c r="O1500" s="238"/>
      <c r="P1500" s="238"/>
      <c r="Q1500" s="238"/>
      <c r="R1500" s="238"/>
      <c r="S1500" s="238"/>
      <c r="T1500" s="218">
        <f>VLOOKUP(A1500,'Groupe de branches'!$Z$27:$AM$86,14,FALSE)</f>
        <v>0</v>
      </c>
      <c r="U1500" s="218">
        <f>VLOOKUP(D1500,'Groupe de branches'!$Z$27:$AM$86,14,FALSE)</f>
        <v>0</v>
      </c>
      <c r="V1500" s="218">
        <v>2020</v>
      </c>
      <c r="W1500" s="218" t="str">
        <f>VLOOKUP(D1500,'Table corresp.'!$M$4:$S$63,7,FALSE)</f>
        <v>Emballage bois et carton</v>
      </c>
      <c r="X1500" s="240">
        <f>IFERROR(G1500/SUMIFS('Comp2016-2017 (3)'!$I$5:$I$289,'Comp2016-2017 (3)'!$A$5:$A$289,A1500,'Comp2016-2017 (3)'!$R$5:$R$289,V1500),0)</f>
        <v>0.10069989372284766</v>
      </c>
      <c r="Y1500" s="219" t="e">
        <f>IF(RIGHT(F1500,3)="Exp",VLOOKUP(F1500,#REF!,2,FALSE),VLOOKUP(F1500,#REF!,9,FALSE))</f>
        <v>#REF!</v>
      </c>
      <c r="Z1500" s="226" t="str">
        <f t="shared" si="175"/>
        <v/>
      </c>
      <c r="AA1500" s="226" t="e">
        <f t="shared" si="169"/>
        <v>#VALUE!</v>
      </c>
      <c r="AB1500" s="205">
        <f>IFERROR(SUMIFS('Comp2016-2017 (3)'!$G$5:$G$289,'Comp2016-2017 (3)'!$A$5:$A$289,A1500,'Comp2016-2017 (3)'!$R$5:$R$289,V1500)*AA1500/SUMIFS($AA$4:$AA$1858,$A$4:$A$1858,A1500,$V$4:$V$1858,V1500),0)</f>
        <v>0</v>
      </c>
      <c r="AC1500" s="205" t="str">
        <f>IF($W1500=AC$3,$AB1500,IF(NOT($W1500=0),"",SUMIFS('Val-Vol (2)'!AC$4:AC$1858,'Val-Vol (2)'!$A$4:$A$1858,$D1500,'Val-Vol (2)'!$V$4:$V$1858,$V1500)/SUMIFS('Comp2016-2017 (3)'!$G$5:$G$289,'Comp2016-2017 (3)'!$A$5:$A$289,$D1500,'Comp2016-2017 (3)'!$R$5:$R$289,$V1500)*$AB1500))</f>
        <v/>
      </c>
      <c r="AD1500" s="205" t="str">
        <f>IF($W1500=AD$3,$AB1500,IF(NOT($W1500=0),"",SUMIFS('Val-Vol (2)'!AD$4:AD$1858,'Val-Vol (2)'!$A$4:$A$1858,$D1500,'Val-Vol (2)'!$V$4:$V$1858,$V1500)/SUMIFS('Comp2016-2017 (3)'!$G$5:$G$289,'Comp2016-2017 (3)'!$A$5:$A$289,$D1500,'Comp2016-2017 (3)'!$R$5:$R$289,$V1500)*$AB1500))</f>
        <v/>
      </c>
      <c r="AE1500" s="205" t="str">
        <f>IF($W1500=AE$3,$AB1500,IF(NOT($W1500=0),"",SUMIFS('Val-Vol (2)'!AE$4:AE$1858,'Val-Vol (2)'!$A$4:$A$1858,$D1500,'Val-Vol (2)'!$V$4:$V$1858,$V1500)/SUMIFS('Comp2016-2017 (3)'!$G$5:$G$289,'Comp2016-2017 (3)'!$A$5:$A$289,$D1500,'Comp2016-2017 (3)'!$R$5:$R$289,$V1500)*$AB1500))</f>
        <v/>
      </c>
      <c r="AF1500" s="205" t="str">
        <f>IF($W1500=AF$3,$AB1500,IF(NOT($W1500=0),"",SUMIFS('Val-Vol (2)'!AF$4:AF$1858,'Val-Vol (2)'!$A$4:$A$1858,$D1500,'Val-Vol (2)'!$V$4:$V$1858,$V1500)/SUMIFS('Comp2016-2017 (3)'!$G$5:$G$289,'Comp2016-2017 (3)'!$A$5:$A$289,$D1500,'Comp2016-2017 (3)'!$R$5:$R$289,$V1500)*$AB1500))</f>
        <v/>
      </c>
      <c r="AG1500" s="205">
        <f>IF($W1500=AG$3,$AB1500,IF(NOT($W1500=0),"",SUMIFS('Val-Vol (2)'!AG$4:AG$1858,'Val-Vol (2)'!$A$4:$A$1858,$D1500,'Val-Vol (2)'!$V$4:$V$1858,$V1500)/SUMIFS('Comp2016-2017 (3)'!$G$5:$G$289,'Comp2016-2017 (3)'!$A$5:$A$289,$D1500,'Comp2016-2017 (3)'!$R$5:$R$289,$V1500)*$AB1500))</f>
        <v>0</v>
      </c>
      <c r="AH1500" s="205" t="str">
        <f>IF($W1500=AH$3,$AB1500,IF(NOT($W1500=0),"",SUMIFS('Val-Vol (2)'!AH$4:AH$1858,'Val-Vol (2)'!$A$4:$A$1858,$D1500,'Val-Vol (2)'!$V$4:$V$1858,$V1500)/SUMIFS('Comp2016-2017 (3)'!$G$5:$G$289,'Comp2016-2017 (3)'!$A$5:$A$289,$D1500,'Comp2016-2017 (3)'!$R$5:$R$289,$V1500)*$AB1500))</f>
        <v/>
      </c>
      <c r="AI1500" s="205" t="str">
        <f>IF($W1500=AI$3,$AB1500,IF(NOT($W1500=0),"",SUMIFS('Val-Vol (2)'!AI$4:AI$1858,'Val-Vol (2)'!$A$4:$A$1858,$D1500,'Val-Vol (2)'!$V$4:$V$1858,$V1500)/SUMIFS('Comp2016-2017 (3)'!$G$5:$G$289,'Comp2016-2017 (3)'!$A$5:$A$289,$D1500,'Comp2016-2017 (3)'!$R$5:$R$289,$V1500)*$AB1500))</f>
        <v/>
      </c>
      <c r="AJ1500" s="205" t="str">
        <f>IF($W1500=AJ$3,$AB1500,IF(NOT($W1500=0),"",SUMIFS('Val-Vol (2)'!AJ$4:AJ$1858,'Val-Vol (2)'!$A$4:$A$1858,$D1500,'Val-Vol (2)'!$V$4:$V$1858,$V1500)/SUMIFS('Comp2016-2017 (3)'!$G$5:$G$289,'Comp2016-2017 (3)'!$A$5:$A$289,$D1500,'Comp2016-2017 (3)'!$R$5:$R$289,$V1500)*$AB1500))</f>
        <v/>
      </c>
      <c r="AK1500" s="205">
        <f t="shared" si="177"/>
        <v>0</v>
      </c>
      <c r="AL1500" s="218" t="str">
        <f t="shared" si="171"/>
        <v/>
      </c>
      <c r="AM1500" s="218" t="str">
        <f>VLOOKUP(A1500,'Table corresp.'!$M$4:$U$63,8,FALSE)</f>
        <v>Forêt</v>
      </c>
      <c r="AN1500" s="218" t="str">
        <f>VLOOKUP(D1500,'Table corresp.'!$M$4:$U$63,9,FALSE)</f>
        <v>Production intermédiaire</v>
      </c>
    </row>
    <row r="1501" spans="1:40" x14ac:dyDescent="0.25">
      <c r="A1501" t="s">
        <v>0</v>
      </c>
      <c r="B1501" t="str">
        <f>VLOOKUP(LEFT(A1501,3),'Table corresp.'!$A$4:$D$63,3,FALSE)</f>
        <v>Forêt</v>
      </c>
      <c r="C1501" t="str">
        <f>VLOOKUP(A1501,'Table corresp.'!$M$4:$P$63,4,FALSE)</f>
        <v>Production et transformation de produits bois</v>
      </c>
      <c r="D1501" t="s">
        <v>84</v>
      </c>
      <c r="E1501" t="str">
        <f>VLOOKUP(LEFT(D1501,3),'Table corresp.'!$A$4:$D$63,4,FALSE)</f>
        <v>Transformation</v>
      </c>
      <c r="F1501" t="str">
        <f t="shared" si="172"/>
        <v xml:space="preserve">02  - 17 </v>
      </c>
      <c r="G1501" s="238">
        <v>14560.360421989</v>
      </c>
      <c r="H1501" s="238">
        <v>0</v>
      </c>
      <c r="I1501" s="238">
        <v>14560.3604219891</v>
      </c>
      <c r="J1501" s="238">
        <v>290.43022829018065</v>
      </c>
      <c r="K1501" s="238">
        <v>0</v>
      </c>
      <c r="L1501" s="238">
        <v>290.43022829018065</v>
      </c>
      <c r="M1501" s="238"/>
      <c r="N1501" s="238"/>
      <c r="O1501" s="238"/>
      <c r="P1501" s="238"/>
      <c r="Q1501" s="238"/>
      <c r="R1501" s="238"/>
      <c r="S1501" s="238"/>
      <c r="T1501" s="218">
        <f>VLOOKUP(A1501,'Groupe de branches'!$Z$27:$AM$86,14,FALSE)</f>
        <v>0</v>
      </c>
      <c r="U1501" s="218">
        <f>VLOOKUP(D1501,'Groupe de branches'!$Z$27:$AM$86,14,FALSE)</f>
        <v>0</v>
      </c>
      <c r="V1501" s="218">
        <v>2020</v>
      </c>
      <c r="W1501" s="218" t="str">
        <f>VLOOKUP(D1501,'Table corresp.'!$M$4:$S$63,7,FALSE)</f>
        <v>Construction</v>
      </c>
      <c r="X1501" s="240">
        <f>IFERROR(G1501/SUMIFS('Comp2016-2017 (3)'!$I$5:$I$289,'Comp2016-2017 (3)'!$A$5:$A$289,A1501,'Comp2016-2017 (3)'!$R$5:$R$289,V1501),0)</f>
        <v>1.3357477220129668E-2</v>
      </c>
      <c r="Y1501" s="219" t="e">
        <f>IF(RIGHT(F1501,3)="Exp",VLOOKUP(F1501,#REF!,2,FALSE),VLOOKUP(F1501,#REF!,9,FALSE))</f>
        <v>#REF!</v>
      </c>
      <c r="Z1501" s="226" t="str">
        <f t="shared" si="175"/>
        <v/>
      </c>
      <c r="AA1501" s="226" t="e">
        <f t="shared" ref="AA1501:AA1564" si="178">X1501*Z1501</f>
        <v>#VALUE!</v>
      </c>
      <c r="AB1501" s="205">
        <f>IFERROR(SUMIFS('Comp2016-2017 (3)'!$G$5:$G$289,'Comp2016-2017 (3)'!$A$5:$A$289,A1501,'Comp2016-2017 (3)'!$R$5:$R$289,V1501)*AA1501/SUMIFS($AA$4:$AA$1858,$A$4:$A$1858,A1501,$V$4:$V$1858,V1501),0)</f>
        <v>0</v>
      </c>
      <c r="AC1501" s="205" t="str">
        <f>IF($W1501=AC$3,$AB1501,IF(NOT($W1501=0),"",SUMIFS('Val-Vol (2)'!AC$4:AC$1858,'Val-Vol (2)'!$A$4:$A$1858,$D1501,'Val-Vol (2)'!$V$4:$V$1858,$V1501)/SUMIFS('Comp2016-2017 (3)'!$G$5:$G$289,'Comp2016-2017 (3)'!$A$5:$A$289,$D1501,'Comp2016-2017 (3)'!$R$5:$R$289,$V1501)*$AB1501))</f>
        <v/>
      </c>
      <c r="AD1501" s="205">
        <f>IF($W1501=AD$3,$AB1501,IF(NOT($W1501=0),"",SUMIFS('Val-Vol (2)'!AD$4:AD$1858,'Val-Vol (2)'!$A$4:$A$1858,$D1501,'Val-Vol (2)'!$V$4:$V$1858,$V1501)/SUMIFS('Comp2016-2017 (3)'!$G$5:$G$289,'Comp2016-2017 (3)'!$A$5:$A$289,$D1501,'Comp2016-2017 (3)'!$R$5:$R$289,$V1501)*$AB1501))</f>
        <v>0</v>
      </c>
      <c r="AE1501" s="205" t="str">
        <f>IF($W1501=AE$3,$AB1501,IF(NOT($W1501=0),"",SUMIFS('Val-Vol (2)'!AE$4:AE$1858,'Val-Vol (2)'!$A$4:$A$1858,$D1501,'Val-Vol (2)'!$V$4:$V$1858,$V1501)/SUMIFS('Comp2016-2017 (3)'!$G$5:$G$289,'Comp2016-2017 (3)'!$A$5:$A$289,$D1501,'Comp2016-2017 (3)'!$R$5:$R$289,$V1501)*$AB1501))</f>
        <v/>
      </c>
      <c r="AF1501" s="205" t="str">
        <f>IF($W1501=AF$3,$AB1501,IF(NOT($W1501=0),"",SUMIFS('Val-Vol (2)'!AF$4:AF$1858,'Val-Vol (2)'!$A$4:$A$1858,$D1501,'Val-Vol (2)'!$V$4:$V$1858,$V1501)/SUMIFS('Comp2016-2017 (3)'!$G$5:$G$289,'Comp2016-2017 (3)'!$A$5:$A$289,$D1501,'Comp2016-2017 (3)'!$R$5:$R$289,$V1501)*$AB1501))</f>
        <v/>
      </c>
      <c r="AG1501" s="205" t="str">
        <f>IF($W1501=AG$3,$AB1501,IF(NOT($W1501=0),"",SUMIFS('Val-Vol (2)'!AG$4:AG$1858,'Val-Vol (2)'!$A$4:$A$1858,$D1501,'Val-Vol (2)'!$V$4:$V$1858,$V1501)/SUMIFS('Comp2016-2017 (3)'!$G$5:$G$289,'Comp2016-2017 (3)'!$A$5:$A$289,$D1501,'Comp2016-2017 (3)'!$R$5:$R$289,$V1501)*$AB1501))</f>
        <v/>
      </c>
      <c r="AH1501" s="205" t="str">
        <f>IF($W1501=AH$3,$AB1501,IF(NOT($W1501=0),"",SUMIFS('Val-Vol (2)'!AH$4:AH$1858,'Val-Vol (2)'!$A$4:$A$1858,$D1501,'Val-Vol (2)'!$V$4:$V$1858,$V1501)/SUMIFS('Comp2016-2017 (3)'!$G$5:$G$289,'Comp2016-2017 (3)'!$A$5:$A$289,$D1501,'Comp2016-2017 (3)'!$R$5:$R$289,$V1501)*$AB1501))</f>
        <v/>
      </c>
      <c r="AI1501" s="205" t="str">
        <f>IF($W1501=AI$3,$AB1501,IF(NOT($W1501=0),"",SUMIFS('Val-Vol (2)'!AI$4:AI$1858,'Val-Vol (2)'!$A$4:$A$1858,$D1501,'Val-Vol (2)'!$V$4:$V$1858,$V1501)/SUMIFS('Comp2016-2017 (3)'!$G$5:$G$289,'Comp2016-2017 (3)'!$A$5:$A$289,$D1501,'Comp2016-2017 (3)'!$R$5:$R$289,$V1501)*$AB1501))</f>
        <v/>
      </c>
      <c r="AJ1501" s="205" t="str">
        <f>IF($W1501=AJ$3,$AB1501,IF(NOT($W1501=0),"",SUMIFS('Val-Vol (2)'!AJ$4:AJ$1858,'Val-Vol (2)'!$A$4:$A$1858,$D1501,'Val-Vol (2)'!$V$4:$V$1858,$V1501)/SUMIFS('Comp2016-2017 (3)'!$G$5:$G$289,'Comp2016-2017 (3)'!$A$5:$A$289,$D1501,'Comp2016-2017 (3)'!$R$5:$R$289,$V1501)*$AB1501))</f>
        <v/>
      </c>
      <c r="AK1501" s="205">
        <f t="shared" si="177"/>
        <v>0</v>
      </c>
      <c r="AL1501" s="218" t="str">
        <f t="shared" si="171"/>
        <v/>
      </c>
      <c r="AM1501" s="218" t="str">
        <f>VLOOKUP(A1501,'Table corresp.'!$M$4:$U$63,8,FALSE)</f>
        <v>Forêt</v>
      </c>
      <c r="AN1501" s="218" t="str">
        <f>VLOOKUP(D1501,'Table corresp.'!$M$4:$U$63,9,FALSE)</f>
        <v>Production intermédiaire</v>
      </c>
    </row>
    <row r="1502" spans="1:40" x14ac:dyDescent="0.25">
      <c r="A1502" t="s">
        <v>0</v>
      </c>
      <c r="B1502" t="str">
        <f>VLOOKUP(LEFT(A1502,3),'Table corresp.'!$A$4:$D$63,3,FALSE)</f>
        <v>Forêt</v>
      </c>
      <c r="C1502" t="str">
        <f>VLOOKUP(A1502,'Table corresp.'!$M$4:$P$63,4,FALSE)</f>
        <v>Production et transformation de produits bois</v>
      </c>
      <c r="D1502" t="s">
        <v>85</v>
      </c>
      <c r="E1502" t="str">
        <f>VLOOKUP(LEFT(D1502,3),'Table corresp.'!$A$4:$D$63,4,FALSE)</f>
        <v>Transformation</v>
      </c>
      <c r="F1502" t="str">
        <f t="shared" si="172"/>
        <v xml:space="preserve">02  - 29 </v>
      </c>
      <c r="G1502" s="238">
        <v>7912.8169992128196</v>
      </c>
      <c r="H1502" s="238">
        <v>0</v>
      </c>
      <c r="I1502" s="238">
        <v>7912.8169992128196</v>
      </c>
      <c r="J1502" s="238">
        <v>109.89198565135254</v>
      </c>
      <c r="K1502" s="238">
        <v>0</v>
      </c>
      <c r="L1502" s="238">
        <v>109.89198565135254</v>
      </c>
      <c r="M1502" s="238"/>
      <c r="N1502" s="238"/>
      <c r="O1502" s="238"/>
      <c r="P1502" s="238"/>
      <c r="Q1502" s="238"/>
      <c r="R1502" s="238"/>
      <c r="S1502" s="238"/>
      <c r="T1502" s="218">
        <f>VLOOKUP(A1502,'Groupe de branches'!$Z$27:$AM$86,14,FALSE)</f>
        <v>0</v>
      </c>
      <c r="U1502" s="218">
        <f>VLOOKUP(D1502,'Groupe de branches'!$Z$27:$AM$86,14,FALSE)</f>
        <v>0</v>
      </c>
      <c r="V1502" s="218">
        <v>2020</v>
      </c>
      <c r="W1502" s="218" t="str">
        <f>VLOOKUP(D1502,'Table corresp.'!$M$4:$S$63,7,FALSE)</f>
        <v>Construction</v>
      </c>
      <c r="X1502" s="240">
        <f>IFERROR(G1502/SUMIFS('Comp2016-2017 (3)'!$I$5:$I$289,'Comp2016-2017 (3)'!$A$5:$A$289,A1502,'Comp2016-2017 (3)'!$R$5:$R$289,V1502),0)</f>
        <v>7.2591110213466583E-3</v>
      </c>
      <c r="Y1502" s="219" t="e">
        <f>IF(RIGHT(F1502,3)="Exp",VLOOKUP(F1502,#REF!,2,FALSE),VLOOKUP(F1502,#REF!,9,FALSE))</f>
        <v>#REF!</v>
      </c>
      <c r="Z1502" s="226" t="str">
        <f t="shared" si="175"/>
        <v/>
      </c>
      <c r="AA1502" s="226" t="e">
        <f t="shared" si="178"/>
        <v>#VALUE!</v>
      </c>
      <c r="AB1502" s="205">
        <f>IFERROR(SUMIFS('Comp2016-2017 (3)'!$G$5:$G$289,'Comp2016-2017 (3)'!$A$5:$A$289,A1502,'Comp2016-2017 (3)'!$R$5:$R$289,V1502)*AA1502/SUMIFS($AA$4:$AA$1858,$A$4:$A$1858,A1502,$V$4:$V$1858,V1502),0)</f>
        <v>0</v>
      </c>
      <c r="AC1502" s="205" t="str">
        <f>IF($W1502=AC$3,$AB1502,IF(NOT($W1502=0),"",SUMIFS('Val-Vol (2)'!AC$4:AC$1858,'Val-Vol (2)'!$A$4:$A$1858,$D1502,'Val-Vol (2)'!$V$4:$V$1858,$V1502)/SUMIFS('Comp2016-2017 (3)'!$G$5:$G$289,'Comp2016-2017 (3)'!$A$5:$A$289,$D1502,'Comp2016-2017 (3)'!$R$5:$R$289,$V1502)*$AB1502))</f>
        <v/>
      </c>
      <c r="AD1502" s="205">
        <f>IF($W1502=AD$3,$AB1502,IF(NOT($W1502=0),"",SUMIFS('Val-Vol (2)'!AD$4:AD$1858,'Val-Vol (2)'!$A$4:$A$1858,$D1502,'Val-Vol (2)'!$V$4:$V$1858,$V1502)/SUMIFS('Comp2016-2017 (3)'!$G$5:$G$289,'Comp2016-2017 (3)'!$A$5:$A$289,$D1502,'Comp2016-2017 (3)'!$R$5:$R$289,$V1502)*$AB1502))</f>
        <v>0</v>
      </c>
      <c r="AE1502" s="205" t="str">
        <f>IF($W1502=AE$3,$AB1502,IF(NOT($W1502=0),"",SUMIFS('Val-Vol (2)'!AE$4:AE$1858,'Val-Vol (2)'!$A$4:$A$1858,$D1502,'Val-Vol (2)'!$V$4:$V$1858,$V1502)/SUMIFS('Comp2016-2017 (3)'!$G$5:$G$289,'Comp2016-2017 (3)'!$A$5:$A$289,$D1502,'Comp2016-2017 (3)'!$R$5:$R$289,$V1502)*$AB1502))</f>
        <v/>
      </c>
      <c r="AF1502" s="205" t="str">
        <f>IF($W1502=AF$3,$AB1502,IF(NOT($W1502=0),"",SUMIFS('Val-Vol (2)'!AF$4:AF$1858,'Val-Vol (2)'!$A$4:$A$1858,$D1502,'Val-Vol (2)'!$V$4:$V$1858,$V1502)/SUMIFS('Comp2016-2017 (3)'!$G$5:$G$289,'Comp2016-2017 (3)'!$A$5:$A$289,$D1502,'Comp2016-2017 (3)'!$R$5:$R$289,$V1502)*$AB1502))</f>
        <v/>
      </c>
      <c r="AG1502" s="205" t="str">
        <f>IF($W1502=AG$3,$AB1502,IF(NOT($W1502=0),"",SUMIFS('Val-Vol (2)'!AG$4:AG$1858,'Val-Vol (2)'!$A$4:$A$1858,$D1502,'Val-Vol (2)'!$V$4:$V$1858,$V1502)/SUMIFS('Comp2016-2017 (3)'!$G$5:$G$289,'Comp2016-2017 (3)'!$A$5:$A$289,$D1502,'Comp2016-2017 (3)'!$R$5:$R$289,$V1502)*$AB1502))</f>
        <v/>
      </c>
      <c r="AH1502" s="205" t="str">
        <f>IF($W1502=AH$3,$AB1502,IF(NOT($W1502=0),"",SUMIFS('Val-Vol (2)'!AH$4:AH$1858,'Val-Vol (2)'!$A$4:$A$1858,$D1502,'Val-Vol (2)'!$V$4:$V$1858,$V1502)/SUMIFS('Comp2016-2017 (3)'!$G$5:$G$289,'Comp2016-2017 (3)'!$A$5:$A$289,$D1502,'Comp2016-2017 (3)'!$R$5:$R$289,$V1502)*$AB1502))</f>
        <v/>
      </c>
      <c r="AI1502" s="205" t="str">
        <f>IF($W1502=AI$3,$AB1502,IF(NOT($W1502=0),"",SUMIFS('Val-Vol (2)'!AI$4:AI$1858,'Val-Vol (2)'!$A$4:$A$1858,$D1502,'Val-Vol (2)'!$V$4:$V$1858,$V1502)/SUMIFS('Comp2016-2017 (3)'!$G$5:$G$289,'Comp2016-2017 (3)'!$A$5:$A$289,$D1502,'Comp2016-2017 (3)'!$R$5:$R$289,$V1502)*$AB1502))</f>
        <v/>
      </c>
      <c r="AJ1502" s="205" t="str">
        <f>IF($W1502=AJ$3,$AB1502,IF(NOT($W1502=0),"",SUMIFS('Val-Vol (2)'!AJ$4:AJ$1858,'Val-Vol (2)'!$A$4:$A$1858,$D1502,'Val-Vol (2)'!$V$4:$V$1858,$V1502)/SUMIFS('Comp2016-2017 (3)'!$G$5:$G$289,'Comp2016-2017 (3)'!$A$5:$A$289,$D1502,'Comp2016-2017 (3)'!$R$5:$R$289,$V1502)*$AB1502))</f>
        <v/>
      </c>
      <c r="AK1502" s="205">
        <f t="shared" si="177"/>
        <v>0</v>
      </c>
      <c r="AL1502" s="218" t="str">
        <f t="shared" ref="AL1502:AL1565" si="179">IF(A1502=D1502,"remplir à la main","")</f>
        <v/>
      </c>
      <c r="AM1502" s="218" t="str">
        <f>VLOOKUP(A1502,'Table corresp.'!$M$4:$U$63,8,FALSE)</f>
        <v>Forêt</v>
      </c>
      <c r="AN1502" s="218" t="str">
        <f>VLOOKUP(D1502,'Table corresp.'!$M$4:$U$63,9,FALSE)</f>
        <v>Production intermédiaire</v>
      </c>
    </row>
    <row r="1503" spans="1:40" x14ac:dyDescent="0.25">
      <c r="A1503" t="s">
        <v>0</v>
      </c>
      <c r="B1503" t="str">
        <f>VLOOKUP(LEFT(A1503,3),'Table corresp.'!$A$4:$D$63,3,FALSE)</f>
        <v>Forêt</v>
      </c>
      <c r="C1503" t="str">
        <f>VLOOKUP(A1503,'Table corresp.'!$M$4:$P$63,4,FALSE)</f>
        <v>Production et transformation de produits bois</v>
      </c>
      <c r="D1503" t="s">
        <v>87</v>
      </c>
      <c r="E1503" t="str">
        <f>VLOOKUP(LEFT(D1503,3),'Table corresp.'!$A$4:$D$63,4,FALSE)</f>
        <v>Transformation</v>
      </c>
      <c r="F1503" t="str">
        <f t="shared" si="172"/>
        <v xml:space="preserve">02  - 31 </v>
      </c>
      <c r="G1503" s="238">
        <v>5046.5757729234401</v>
      </c>
      <c r="H1503" s="238">
        <v>7175.81386237477</v>
      </c>
      <c r="I1503" s="238">
        <v>12222.389635298199</v>
      </c>
      <c r="J1503" s="238">
        <v>160.74169352061261</v>
      </c>
      <c r="K1503" s="238">
        <v>142.22876389378135</v>
      </c>
      <c r="L1503" s="238">
        <v>302.97045741439399</v>
      </c>
      <c r="M1503" s="238"/>
      <c r="N1503" s="238"/>
      <c r="O1503" s="238"/>
      <c r="P1503" s="238"/>
      <c r="Q1503" s="238"/>
      <c r="R1503" s="238"/>
      <c r="S1503" s="238"/>
      <c r="T1503" s="218">
        <f>VLOOKUP(A1503,'Groupe de branches'!$Z$27:$AM$86,14,FALSE)</f>
        <v>0</v>
      </c>
      <c r="U1503" s="218">
        <f>VLOOKUP(D1503,'Groupe de branches'!$Z$27:$AM$86,14,FALSE)</f>
        <v>0</v>
      </c>
      <c r="V1503" s="218">
        <v>2020</v>
      </c>
      <c r="W1503" s="218">
        <f>VLOOKUP(D1503,'Table corresp.'!$M$4:$S$63,7,FALSE)</f>
        <v>0</v>
      </c>
      <c r="X1503" s="240">
        <f>IFERROR(G1503/SUMIFS('Comp2016-2017 (3)'!$I$5:$I$289,'Comp2016-2017 (3)'!$A$5:$A$289,A1503,'Comp2016-2017 (3)'!$R$5:$R$289,V1503),0)</f>
        <v>4.6296601851065116E-3</v>
      </c>
      <c r="Y1503" s="219" t="e">
        <f>IF(RIGHT(F1503,3)="Exp",VLOOKUP(F1503,#REF!,2,FALSE),VLOOKUP(F1503,#REF!,9,FALSE))</f>
        <v>#REF!</v>
      </c>
      <c r="Z1503" s="226" t="str">
        <f t="shared" si="175"/>
        <v/>
      </c>
      <c r="AA1503" s="226" t="e">
        <f t="shared" si="178"/>
        <v>#VALUE!</v>
      </c>
      <c r="AB1503" s="205">
        <f>IFERROR(SUMIFS('Comp2016-2017 (3)'!$G$5:$G$289,'Comp2016-2017 (3)'!$A$5:$A$289,A1503,'Comp2016-2017 (3)'!$R$5:$R$289,V1503)*AA1503/SUMIFS($AA$4:$AA$1858,$A$4:$A$1858,A1503,$V$4:$V$1858,V1503),0)</f>
        <v>0</v>
      </c>
      <c r="AC1503" s="205">
        <f>IF($W1503=AC$3,$AB1503,IF(NOT($W1503=0),"",SUMIFS('Val-Vol (2)'!AC$4:AC$1858,'Val-Vol (2)'!$A$4:$A$1858,$D1503,'Val-Vol (2)'!$V$4:$V$1858,$V1503)/SUMIFS('Comp2016-2017 (3)'!$G$5:$G$289,'Comp2016-2017 (3)'!$A$5:$A$289,$D1503,'Comp2016-2017 (3)'!$R$5:$R$289,$V1503)*$AB1503))</f>
        <v>0</v>
      </c>
      <c r="AD1503" s="205">
        <f>IF($W1503=AD$3,$AB1503,IF(NOT($W1503=0),"",SUMIFS('Val-Vol (2)'!AD$4:AD$1858,'Val-Vol (2)'!$A$4:$A$1858,$D1503,'Val-Vol (2)'!$V$4:$V$1858,$V1503)/SUMIFS('Comp2016-2017 (3)'!$G$5:$G$289,'Comp2016-2017 (3)'!$A$5:$A$289,$D1503,'Comp2016-2017 (3)'!$R$5:$R$289,$V1503)*$AB1503))</f>
        <v>0</v>
      </c>
      <c r="AE1503" s="205">
        <f>IF($W1503=AE$3,$AB1503,IF(NOT($W1503=0),"",SUMIFS('Val-Vol (2)'!AE$4:AE$1858,'Val-Vol (2)'!$A$4:$A$1858,$D1503,'Val-Vol (2)'!$V$4:$V$1858,$V1503)/SUMIFS('Comp2016-2017 (3)'!$G$5:$G$289,'Comp2016-2017 (3)'!$A$5:$A$289,$D1503,'Comp2016-2017 (3)'!$R$5:$R$289,$V1503)*$AB1503))</f>
        <v>0</v>
      </c>
      <c r="AF1503" s="205">
        <f>IF($W1503=AF$3,$AB1503,IF(NOT($W1503=0),"",SUMIFS('Val-Vol (2)'!AF$4:AF$1858,'Val-Vol (2)'!$A$4:$A$1858,$D1503,'Val-Vol (2)'!$V$4:$V$1858,$V1503)/SUMIFS('Comp2016-2017 (3)'!$G$5:$G$289,'Comp2016-2017 (3)'!$A$5:$A$289,$D1503,'Comp2016-2017 (3)'!$R$5:$R$289,$V1503)*$AB1503))</f>
        <v>0</v>
      </c>
      <c r="AG1503" s="205">
        <f>IF($W1503=AG$3,$AB1503,IF(NOT($W1503=0),"",SUMIFS('Val-Vol (2)'!AG$4:AG$1858,'Val-Vol (2)'!$A$4:$A$1858,$D1503,'Val-Vol (2)'!$V$4:$V$1858,$V1503)/SUMIFS('Comp2016-2017 (3)'!$G$5:$G$289,'Comp2016-2017 (3)'!$A$5:$A$289,$D1503,'Comp2016-2017 (3)'!$R$5:$R$289,$V1503)*$AB1503))</f>
        <v>0</v>
      </c>
      <c r="AH1503" s="205">
        <f>IF($W1503=AH$3,$AB1503,IF(NOT($W1503=0),"",SUMIFS('Val-Vol (2)'!AH$4:AH$1858,'Val-Vol (2)'!$A$4:$A$1858,$D1503,'Val-Vol (2)'!$V$4:$V$1858,$V1503)/SUMIFS('Comp2016-2017 (3)'!$G$5:$G$289,'Comp2016-2017 (3)'!$A$5:$A$289,$D1503,'Comp2016-2017 (3)'!$R$5:$R$289,$V1503)*$AB1503))</f>
        <v>0</v>
      </c>
      <c r="AI1503" s="205">
        <f>IF($W1503=AI$3,$AB1503,IF(NOT($W1503=0),"",SUMIFS('Val-Vol (2)'!AI$4:AI$1858,'Val-Vol (2)'!$A$4:$A$1858,$D1503,'Val-Vol (2)'!$V$4:$V$1858,$V1503)/SUMIFS('Comp2016-2017 (3)'!$G$5:$G$289,'Comp2016-2017 (3)'!$A$5:$A$289,$D1503,'Comp2016-2017 (3)'!$R$5:$R$289,$V1503)*$AB1503))</f>
        <v>0</v>
      </c>
      <c r="AJ1503" s="205">
        <f>IF($W1503=AJ$3,$AB1503,IF(NOT($W1503=0),"",SUMIFS('Val-Vol (2)'!AJ$4:AJ$1858,'Val-Vol (2)'!$A$4:$A$1858,$D1503,'Val-Vol (2)'!$V$4:$V$1858,$V1503)/SUMIFS('Comp2016-2017 (3)'!$G$5:$G$289,'Comp2016-2017 (3)'!$A$5:$A$289,$D1503,'Comp2016-2017 (3)'!$R$5:$R$289,$V1503)*$AB1503))</f>
        <v>0</v>
      </c>
      <c r="AK1503" s="205">
        <f t="shared" si="177"/>
        <v>0</v>
      </c>
      <c r="AL1503" s="218" t="str">
        <f t="shared" si="179"/>
        <v/>
      </c>
      <c r="AM1503" s="218" t="str">
        <f>VLOOKUP(A1503,'Table corresp.'!$M$4:$U$63,8,FALSE)</f>
        <v>Forêt</v>
      </c>
      <c r="AN1503" s="218" t="str">
        <f>VLOOKUP(D1503,'Table corresp.'!$M$4:$U$63,9,FALSE)</f>
        <v>Production intermédiaire</v>
      </c>
    </row>
    <row r="1504" spans="1:40" x14ac:dyDescent="0.25">
      <c r="A1504" t="s">
        <v>0</v>
      </c>
      <c r="B1504" t="str">
        <f>VLOOKUP(LEFT(A1504,3),'Table corresp.'!$A$4:$D$63,3,FALSE)</f>
        <v>Forêt</v>
      </c>
      <c r="C1504" t="str">
        <f>VLOOKUP(A1504,'Table corresp.'!$M$4:$P$63,4,FALSE)</f>
        <v>Production et transformation de produits bois</v>
      </c>
      <c r="D1504" t="s">
        <v>91</v>
      </c>
      <c r="E1504" t="str">
        <f>VLOOKUP(LEFT(D1504,3),'Table corresp.'!$A$4:$D$63,4,FALSE)</f>
        <v>Transformation</v>
      </c>
      <c r="F1504" t="str">
        <f t="shared" si="172"/>
        <v xml:space="preserve">02  - 37 </v>
      </c>
      <c r="G1504" s="238">
        <v>24705.879081569099</v>
      </c>
      <c r="H1504" s="238">
        <v>0</v>
      </c>
      <c r="I1504" s="238">
        <v>24705.879081569201</v>
      </c>
      <c r="J1504" s="238">
        <v>831.78533190911014</v>
      </c>
      <c r="K1504" s="238">
        <v>0</v>
      </c>
      <c r="L1504" s="238">
        <v>831.78533190911014</v>
      </c>
      <c r="M1504" s="238"/>
      <c r="N1504" s="238"/>
      <c r="O1504" s="238"/>
      <c r="P1504" s="238"/>
      <c r="Q1504" s="238"/>
      <c r="R1504" s="238"/>
      <c r="S1504" s="238"/>
      <c r="T1504" s="218">
        <f>VLOOKUP(A1504,'Groupe de branches'!$Z$27:$AM$86,14,FALSE)</f>
        <v>0</v>
      </c>
      <c r="U1504" s="218">
        <f>VLOOKUP(D1504,'Groupe de branches'!$Z$27:$AM$86,14,FALSE)</f>
        <v>0</v>
      </c>
      <c r="V1504" s="218">
        <v>2020</v>
      </c>
      <c r="W1504" s="218" t="str">
        <f>VLOOKUP(D1504,'Table corresp.'!$M$4:$S$63,7,FALSE)</f>
        <v>Emballage bois et carton</v>
      </c>
      <c r="X1504" s="240">
        <f>IFERROR(G1504/SUMIFS('Comp2016-2017 (3)'!$I$5:$I$289,'Comp2016-2017 (3)'!$A$5:$A$289,A1504,'Comp2016-2017 (3)'!$R$5:$R$289,V1504),0)</f>
        <v>2.2664838470410401E-2</v>
      </c>
      <c r="Y1504" s="219" t="e">
        <f>IF(RIGHT(F1504,3)="Exp",VLOOKUP(F1504,#REF!,2,FALSE),VLOOKUP(F1504,#REF!,9,FALSE))</f>
        <v>#REF!</v>
      </c>
      <c r="Z1504" s="226" t="str">
        <f t="shared" si="175"/>
        <v/>
      </c>
      <c r="AA1504" s="226" t="e">
        <f t="shared" si="178"/>
        <v>#VALUE!</v>
      </c>
      <c r="AB1504" s="205">
        <f>IFERROR(SUMIFS('Comp2016-2017 (3)'!$G$5:$G$289,'Comp2016-2017 (3)'!$A$5:$A$289,A1504,'Comp2016-2017 (3)'!$R$5:$R$289,V1504)*AA1504/SUMIFS($AA$4:$AA$1858,$A$4:$A$1858,A1504,$V$4:$V$1858,V1504),0)</f>
        <v>0</v>
      </c>
      <c r="AC1504" s="205" t="str">
        <f>IF($W1504=AC$3,$AB1504,IF(NOT($W1504=0),"",SUMIFS('Val-Vol (2)'!AC$4:AC$1858,'Val-Vol (2)'!$A$4:$A$1858,$D1504,'Val-Vol (2)'!$V$4:$V$1858,$V1504)/SUMIFS('Comp2016-2017 (3)'!$G$5:$G$289,'Comp2016-2017 (3)'!$A$5:$A$289,$D1504,'Comp2016-2017 (3)'!$R$5:$R$289,$V1504)*$AB1504))</f>
        <v/>
      </c>
      <c r="AD1504" s="205" t="str">
        <f>IF($W1504=AD$3,$AB1504,IF(NOT($W1504=0),"",SUMIFS('Val-Vol (2)'!AD$4:AD$1858,'Val-Vol (2)'!$A$4:$A$1858,$D1504,'Val-Vol (2)'!$V$4:$V$1858,$V1504)/SUMIFS('Comp2016-2017 (3)'!$G$5:$G$289,'Comp2016-2017 (3)'!$A$5:$A$289,$D1504,'Comp2016-2017 (3)'!$R$5:$R$289,$V1504)*$AB1504))</f>
        <v/>
      </c>
      <c r="AE1504" s="205" t="str">
        <f>IF($W1504=AE$3,$AB1504,IF(NOT($W1504=0),"",SUMIFS('Val-Vol (2)'!AE$4:AE$1858,'Val-Vol (2)'!$A$4:$A$1858,$D1504,'Val-Vol (2)'!$V$4:$V$1858,$V1504)/SUMIFS('Comp2016-2017 (3)'!$G$5:$G$289,'Comp2016-2017 (3)'!$A$5:$A$289,$D1504,'Comp2016-2017 (3)'!$R$5:$R$289,$V1504)*$AB1504))</f>
        <v/>
      </c>
      <c r="AF1504" s="205" t="str">
        <f>IF($W1504=AF$3,$AB1504,IF(NOT($W1504=0),"",SUMIFS('Val-Vol (2)'!AF$4:AF$1858,'Val-Vol (2)'!$A$4:$A$1858,$D1504,'Val-Vol (2)'!$V$4:$V$1858,$V1504)/SUMIFS('Comp2016-2017 (3)'!$G$5:$G$289,'Comp2016-2017 (3)'!$A$5:$A$289,$D1504,'Comp2016-2017 (3)'!$R$5:$R$289,$V1504)*$AB1504))</f>
        <v/>
      </c>
      <c r="AG1504" s="205">
        <f>IF($W1504=AG$3,$AB1504,IF(NOT($W1504=0),"",SUMIFS('Val-Vol (2)'!AG$4:AG$1858,'Val-Vol (2)'!$A$4:$A$1858,$D1504,'Val-Vol (2)'!$V$4:$V$1858,$V1504)/SUMIFS('Comp2016-2017 (3)'!$G$5:$G$289,'Comp2016-2017 (3)'!$A$5:$A$289,$D1504,'Comp2016-2017 (3)'!$R$5:$R$289,$V1504)*$AB1504))</f>
        <v>0</v>
      </c>
      <c r="AH1504" s="205" t="str">
        <f>IF($W1504=AH$3,$AB1504,IF(NOT($W1504=0),"",SUMIFS('Val-Vol (2)'!AH$4:AH$1858,'Val-Vol (2)'!$A$4:$A$1858,$D1504,'Val-Vol (2)'!$V$4:$V$1858,$V1504)/SUMIFS('Comp2016-2017 (3)'!$G$5:$G$289,'Comp2016-2017 (3)'!$A$5:$A$289,$D1504,'Comp2016-2017 (3)'!$R$5:$R$289,$V1504)*$AB1504))</f>
        <v/>
      </c>
      <c r="AI1504" s="205" t="str">
        <f>IF($W1504=AI$3,$AB1504,IF(NOT($W1504=0),"",SUMIFS('Val-Vol (2)'!AI$4:AI$1858,'Val-Vol (2)'!$A$4:$A$1858,$D1504,'Val-Vol (2)'!$V$4:$V$1858,$V1504)/SUMIFS('Comp2016-2017 (3)'!$G$5:$G$289,'Comp2016-2017 (3)'!$A$5:$A$289,$D1504,'Comp2016-2017 (3)'!$R$5:$R$289,$V1504)*$AB1504))</f>
        <v/>
      </c>
      <c r="AJ1504" s="205" t="str">
        <f>IF($W1504=AJ$3,$AB1504,IF(NOT($W1504=0),"",SUMIFS('Val-Vol (2)'!AJ$4:AJ$1858,'Val-Vol (2)'!$A$4:$A$1858,$D1504,'Val-Vol (2)'!$V$4:$V$1858,$V1504)/SUMIFS('Comp2016-2017 (3)'!$G$5:$G$289,'Comp2016-2017 (3)'!$A$5:$A$289,$D1504,'Comp2016-2017 (3)'!$R$5:$R$289,$V1504)*$AB1504))</f>
        <v/>
      </c>
      <c r="AK1504" s="205">
        <f t="shared" si="177"/>
        <v>0</v>
      </c>
      <c r="AL1504" s="218" t="str">
        <f t="shared" si="179"/>
        <v/>
      </c>
      <c r="AM1504" s="218" t="str">
        <f>VLOOKUP(A1504,'Table corresp.'!$M$4:$U$63,8,FALSE)</f>
        <v>Forêt</v>
      </c>
      <c r="AN1504" s="218" t="str">
        <f>VLOOKUP(D1504,'Table corresp.'!$M$4:$U$63,9,FALSE)</f>
        <v>Production finale</v>
      </c>
    </row>
    <row r="1505" spans="1:40" x14ac:dyDescent="0.25">
      <c r="A1505" t="s">
        <v>0</v>
      </c>
      <c r="B1505" t="str">
        <f>VLOOKUP(LEFT(A1505,3),'Table corresp.'!$A$4:$D$63,3,FALSE)</f>
        <v>Forêt</v>
      </c>
      <c r="C1505" t="str">
        <f>VLOOKUP(A1505,'Table corresp.'!$M$4:$P$63,4,FALSE)</f>
        <v>Production et transformation de produits bois</v>
      </c>
      <c r="D1505" t="s">
        <v>94</v>
      </c>
      <c r="E1505" t="str">
        <f>VLOOKUP(LEFT(D1505,3),'Table corresp.'!$A$4:$D$63,4,FALSE)</f>
        <v>Transformation</v>
      </c>
      <c r="F1505" t="str">
        <f t="shared" si="172"/>
        <v xml:space="preserve">02  - 42 </v>
      </c>
      <c r="G1505" s="238">
        <v>19564.650056221799</v>
      </c>
      <c r="H1505" s="238">
        <v>0</v>
      </c>
      <c r="I1505" s="238">
        <v>19564.650056221799</v>
      </c>
      <c r="J1505" s="238">
        <v>19.952445703676002</v>
      </c>
      <c r="K1505" s="238">
        <v>0</v>
      </c>
      <c r="L1505" s="238">
        <v>19.952445703676002</v>
      </c>
      <c r="M1505" s="238"/>
      <c r="N1505" s="238"/>
      <c r="O1505" s="238"/>
      <c r="P1505" s="238"/>
      <c r="Q1505" s="238"/>
      <c r="R1505" s="238"/>
      <c r="S1505" s="238"/>
      <c r="T1505" s="218">
        <f>VLOOKUP(A1505,'Groupe de branches'!$Z$27:$AM$86,14,FALSE)</f>
        <v>0</v>
      </c>
      <c r="U1505" s="218">
        <f>VLOOKUP(D1505,'Groupe de branches'!$Z$27:$AM$86,14,FALSE)</f>
        <v>0</v>
      </c>
      <c r="V1505" s="218">
        <v>2020</v>
      </c>
      <c r="W1505" s="218" t="str">
        <f>VLOOKUP(D1505,'Table corresp.'!$M$4:$S$63,7,FALSE)</f>
        <v>Produits de consommation courante</v>
      </c>
      <c r="X1505" s="240">
        <f>IFERROR(G1505/SUMIFS('Comp2016-2017 (3)'!$I$5:$I$289,'Comp2016-2017 (3)'!$A$5:$A$289,A1505,'Comp2016-2017 (3)'!$R$5:$R$289,V1505),0)</f>
        <v>1.7948344674979688E-2</v>
      </c>
      <c r="Y1505" s="219" t="e">
        <f>IF(RIGHT(F1505,3)="Exp",VLOOKUP(F1505,#REF!,2,FALSE),VLOOKUP(F1505,#REF!,9,FALSE))</f>
        <v>#REF!</v>
      </c>
      <c r="Z1505" s="226" t="str">
        <f t="shared" si="175"/>
        <v/>
      </c>
      <c r="AA1505" s="226" t="e">
        <f t="shared" si="178"/>
        <v>#VALUE!</v>
      </c>
      <c r="AB1505" s="205">
        <f>IFERROR(SUMIFS('Comp2016-2017 (3)'!$G$5:$G$289,'Comp2016-2017 (3)'!$A$5:$A$289,A1505,'Comp2016-2017 (3)'!$R$5:$R$289,V1505)*AA1505/SUMIFS($AA$4:$AA$1858,$A$4:$A$1858,A1505,$V$4:$V$1858,V1505),0)</f>
        <v>0</v>
      </c>
      <c r="AC1505" s="205" t="str">
        <f>IF($W1505=AC$3,$AB1505,IF(NOT($W1505=0),"",SUMIFS('Val-Vol (2)'!AC$4:AC$1858,'Val-Vol (2)'!$A$4:$A$1858,$D1505,'Val-Vol (2)'!$V$4:$V$1858,$V1505)/SUMIFS('Comp2016-2017 (3)'!$G$5:$G$289,'Comp2016-2017 (3)'!$A$5:$A$289,$D1505,'Comp2016-2017 (3)'!$R$5:$R$289,$V1505)*$AB1505))</f>
        <v/>
      </c>
      <c r="AD1505" s="205" t="str">
        <f>IF($W1505=AD$3,$AB1505,IF(NOT($W1505=0),"",SUMIFS('Val-Vol (2)'!AD$4:AD$1858,'Val-Vol (2)'!$A$4:$A$1858,$D1505,'Val-Vol (2)'!$V$4:$V$1858,$V1505)/SUMIFS('Comp2016-2017 (3)'!$G$5:$G$289,'Comp2016-2017 (3)'!$A$5:$A$289,$D1505,'Comp2016-2017 (3)'!$R$5:$R$289,$V1505)*$AB1505))</f>
        <v/>
      </c>
      <c r="AE1505" s="205" t="str">
        <f>IF($W1505=AE$3,$AB1505,IF(NOT($W1505=0),"",SUMIFS('Val-Vol (2)'!AE$4:AE$1858,'Val-Vol (2)'!$A$4:$A$1858,$D1505,'Val-Vol (2)'!$V$4:$V$1858,$V1505)/SUMIFS('Comp2016-2017 (3)'!$G$5:$G$289,'Comp2016-2017 (3)'!$A$5:$A$289,$D1505,'Comp2016-2017 (3)'!$R$5:$R$289,$V1505)*$AB1505))</f>
        <v/>
      </c>
      <c r="AF1505" s="205" t="str">
        <f>IF($W1505=AF$3,$AB1505,IF(NOT($W1505=0),"",SUMIFS('Val-Vol (2)'!AF$4:AF$1858,'Val-Vol (2)'!$A$4:$A$1858,$D1505,'Val-Vol (2)'!$V$4:$V$1858,$V1505)/SUMIFS('Comp2016-2017 (3)'!$G$5:$G$289,'Comp2016-2017 (3)'!$A$5:$A$289,$D1505,'Comp2016-2017 (3)'!$R$5:$R$289,$V1505)*$AB1505))</f>
        <v/>
      </c>
      <c r="AG1505" s="205" t="str">
        <f>IF($W1505=AG$3,$AB1505,IF(NOT($W1505=0),"",SUMIFS('Val-Vol (2)'!AG$4:AG$1858,'Val-Vol (2)'!$A$4:$A$1858,$D1505,'Val-Vol (2)'!$V$4:$V$1858,$V1505)/SUMIFS('Comp2016-2017 (3)'!$G$5:$G$289,'Comp2016-2017 (3)'!$A$5:$A$289,$D1505,'Comp2016-2017 (3)'!$R$5:$R$289,$V1505)*$AB1505))</f>
        <v/>
      </c>
      <c r="AH1505" s="205" t="str">
        <f>IF($W1505=AH$3,$AB1505,IF(NOT($W1505=0),"",SUMIFS('Val-Vol (2)'!AH$4:AH$1858,'Val-Vol (2)'!$A$4:$A$1858,$D1505,'Val-Vol (2)'!$V$4:$V$1858,$V1505)/SUMIFS('Comp2016-2017 (3)'!$G$5:$G$289,'Comp2016-2017 (3)'!$A$5:$A$289,$D1505,'Comp2016-2017 (3)'!$R$5:$R$289,$V1505)*$AB1505))</f>
        <v/>
      </c>
      <c r="AI1505" s="205">
        <f>IF($W1505=AI$3,$AB1505,IF(NOT($W1505=0),"",SUMIFS('Val-Vol (2)'!AI$4:AI$1858,'Val-Vol (2)'!$A$4:$A$1858,$D1505,'Val-Vol (2)'!$V$4:$V$1858,$V1505)/SUMIFS('Comp2016-2017 (3)'!$G$5:$G$289,'Comp2016-2017 (3)'!$A$5:$A$289,$D1505,'Comp2016-2017 (3)'!$R$5:$R$289,$V1505)*$AB1505))</f>
        <v>0</v>
      </c>
      <c r="AJ1505" s="205" t="str">
        <f>IF($W1505=AJ$3,$AB1505,IF(NOT($W1505=0),"",SUMIFS('Val-Vol (2)'!AJ$4:AJ$1858,'Val-Vol (2)'!$A$4:$A$1858,$D1505,'Val-Vol (2)'!$V$4:$V$1858,$V1505)/SUMIFS('Comp2016-2017 (3)'!$G$5:$G$289,'Comp2016-2017 (3)'!$A$5:$A$289,$D1505,'Comp2016-2017 (3)'!$R$5:$R$289,$V1505)*$AB1505))</f>
        <v/>
      </c>
      <c r="AK1505" s="205">
        <f t="shared" si="177"/>
        <v>0</v>
      </c>
      <c r="AL1505" s="218" t="str">
        <f t="shared" si="179"/>
        <v/>
      </c>
      <c r="AM1505" s="218" t="str">
        <f>VLOOKUP(A1505,'Table corresp.'!$M$4:$U$63,8,FALSE)</f>
        <v>Forêt</v>
      </c>
      <c r="AN1505" s="218" t="str">
        <f>VLOOKUP(D1505,'Table corresp.'!$M$4:$U$63,9,FALSE)</f>
        <v>Production finale</v>
      </c>
    </row>
    <row r="1506" spans="1:40" x14ac:dyDescent="0.25">
      <c r="A1506" t="s">
        <v>0</v>
      </c>
      <c r="B1506" t="str">
        <f>VLOOKUP(LEFT(A1506,3),'Table corresp.'!$A$4:$D$63,3,FALSE)</f>
        <v>Forêt</v>
      </c>
      <c r="C1506" t="str">
        <f>VLOOKUP(A1506,'Table corresp.'!$M$4:$P$63,4,FALSE)</f>
        <v>Production et transformation de produits bois</v>
      </c>
      <c r="D1506" t="s">
        <v>54</v>
      </c>
      <c r="E1506" t="str">
        <f>VLOOKUP(LEFT(D1506,3),'Table corresp.'!$A$4:$D$63,4,FALSE)</f>
        <v>Consommation finale</v>
      </c>
      <c r="F1506" t="str">
        <f t="shared" si="172"/>
        <v>02  - Con</v>
      </c>
      <c r="G1506" s="238">
        <v>372.797388533591</v>
      </c>
      <c r="H1506" s="238">
        <v>0</v>
      </c>
      <c r="I1506" s="238">
        <v>372.79738853359203</v>
      </c>
      <c r="J1506" s="238">
        <v>6.7605108650391514</v>
      </c>
      <c r="K1506" s="238">
        <v>0</v>
      </c>
      <c r="L1506" s="238">
        <v>6.7605108650391514</v>
      </c>
      <c r="M1506" s="238"/>
      <c r="N1506" s="238"/>
      <c r="O1506" s="238"/>
      <c r="P1506" s="238"/>
      <c r="Q1506" s="238"/>
      <c r="R1506" s="238"/>
      <c r="S1506" s="238"/>
      <c r="T1506" s="218">
        <f>VLOOKUP(A1506,'Groupe de branches'!$Z$27:$AM$86,14,FALSE)</f>
        <v>0</v>
      </c>
      <c r="U1506" s="218">
        <f>VLOOKUP(D1506,'Groupe de branches'!$Z$27:$AM$86,14,FALSE)</f>
        <v>0</v>
      </c>
      <c r="V1506" s="218">
        <v>2020</v>
      </c>
      <c r="W1506" s="218" t="str">
        <f>VLOOKUP(D1506,'Table corresp.'!$M$4:$S$63,7,FALSE)</f>
        <v>Consommation finale</v>
      </c>
      <c r="X1506" s="240">
        <f>IFERROR(G1506/SUMIFS('Comp2016-2017 (3)'!$I$5:$I$289,'Comp2016-2017 (3)'!$A$5:$A$289,A1506,'Comp2016-2017 (3)'!$R$5:$R$289,V1506),0)</f>
        <v>3.4199926929975226E-4</v>
      </c>
      <c r="Y1506" s="219" t="e">
        <f>IF(RIGHT(F1506,3)="Exp",VLOOKUP(F1506,#REF!,2,FALSE),VLOOKUP(F1506,#REF!,9,FALSE))</f>
        <v>#REF!</v>
      </c>
      <c r="Z1506" s="226" t="str">
        <f t="shared" si="175"/>
        <v/>
      </c>
      <c r="AA1506" s="226" t="e">
        <f t="shared" si="178"/>
        <v>#VALUE!</v>
      </c>
      <c r="AB1506" s="205">
        <f>IFERROR(SUMIFS('Comp2016-2017 (3)'!$G$5:$G$289,'Comp2016-2017 (3)'!$A$5:$A$289,A1506,'Comp2016-2017 (3)'!$R$5:$R$289,V1506)*AA1506/SUMIFS($AA$4:$AA$1858,$A$4:$A$1858,A1506,$V$4:$V$1858,V1506),0)</f>
        <v>0</v>
      </c>
      <c r="AC1506" s="205" t="str">
        <f>IF($W1506=AC$3,$AB1506,IF(NOT($W1506=0),"",SUMIFS('Val-Vol (2)'!AC$4:AC$1858,'Val-Vol (2)'!$A$4:$A$1858,$D1506,'Val-Vol (2)'!$V$4:$V$1858,$V1506)/SUMIFS('Comp2016-2017 (3)'!$G$5:$G$289,'Comp2016-2017 (3)'!$A$5:$A$289,$D1506,'Comp2016-2017 (3)'!$R$5:$R$289,$V1506)*$AB1506))</f>
        <v/>
      </c>
      <c r="AD1506" s="205" t="str">
        <f>IF($W1506=AD$3,$AB1506,IF(NOT($W1506=0),"",SUMIFS('Val-Vol (2)'!AD$4:AD$1858,'Val-Vol (2)'!$A$4:$A$1858,$D1506,'Val-Vol (2)'!$V$4:$V$1858,$V1506)/SUMIFS('Comp2016-2017 (3)'!$G$5:$G$289,'Comp2016-2017 (3)'!$A$5:$A$289,$D1506,'Comp2016-2017 (3)'!$R$5:$R$289,$V1506)*$AB1506))</f>
        <v/>
      </c>
      <c r="AE1506" s="205" t="str">
        <f>IF($W1506=AE$3,$AB1506,IF(NOT($W1506=0),"",SUMIFS('Val-Vol (2)'!AE$4:AE$1858,'Val-Vol (2)'!$A$4:$A$1858,$D1506,'Val-Vol (2)'!$V$4:$V$1858,$V1506)/SUMIFS('Comp2016-2017 (3)'!$G$5:$G$289,'Comp2016-2017 (3)'!$A$5:$A$289,$D1506,'Comp2016-2017 (3)'!$R$5:$R$289,$V1506)*$AB1506))</f>
        <v/>
      </c>
      <c r="AF1506" s="205" t="str">
        <f>IF($W1506=AF$3,$AB1506,IF(NOT($W1506=0),"",SUMIFS('Val-Vol (2)'!AF$4:AF$1858,'Val-Vol (2)'!$A$4:$A$1858,$D1506,'Val-Vol (2)'!$V$4:$V$1858,$V1506)/SUMIFS('Comp2016-2017 (3)'!$G$5:$G$289,'Comp2016-2017 (3)'!$A$5:$A$289,$D1506,'Comp2016-2017 (3)'!$R$5:$R$289,$V1506)*$AB1506))</f>
        <v/>
      </c>
      <c r="AG1506" s="205" t="str">
        <f>IF($W1506=AG$3,$AB1506,IF(NOT($W1506=0),"",SUMIFS('Val-Vol (2)'!AG$4:AG$1858,'Val-Vol (2)'!$A$4:$A$1858,$D1506,'Val-Vol (2)'!$V$4:$V$1858,$V1506)/SUMIFS('Comp2016-2017 (3)'!$G$5:$G$289,'Comp2016-2017 (3)'!$A$5:$A$289,$D1506,'Comp2016-2017 (3)'!$R$5:$R$289,$V1506)*$AB1506))</f>
        <v/>
      </c>
      <c r="AH1506" s="205" t="str">
        <f>IF($W1506=AH$3,$AB1506,IF(NOT($W1506=0),"",SUMIFS('Val-Vol (2)'!AH$4:AH$1858,'Val-Vol (2)'!$A$4:$A$1858,$D1506,'Val-Vol (2)'!$V$4:$V$1858,$V1506)/SUMIFS('Comp2016-2017 (3)'!$G$5:$G$289,'Comp2016-2017 (3)'!$A$5:$A$289,$D1506,'Comp2016-2017 (3)'!$R$5:$R$289,$V1506)*$AB1506))</f>
        <v/>
      </c>
      <c r="AI1506" s="205" t="str">
        <f>IF($W1506=AI$3,$AB1506,IF(NOT($W1506=0),"",SUMIFS('Val-Vol (2)'!AI$4:AI$1858,'Val-Vol (2)'!$A$4:$A$1858,$D1506,'Val-Vol (2)'!$V$4:$V$1858,$V1506)/SUMIFS('Comp2016-2017 (3)'!$G$5:$G$289,'Comp2016-2017 (3)'!$A$5:$A$289,$D1506,'Comp2016-2017 (3)'!$R$5:$R$289,$V1506)*$AB1506))</f>
        <v/>
      </c>
      <c r="AJ1506" s="205">
        <f>IF($W1506=AJ$3,$AB1506,IF(NOT($W1506=0),"",SUMIFS('Val-Vol (2)'!AJ$4:AJ$1858,'Val-Vol (2)'!$A$4:$A$1858,$D1506,'Val-Vol (2)'!$V$4:$V$1858,$V1506)/SUMIFS('Comp2016-2017 (3)'!$G$5:$G$289,'Comp2016-2017 (3)'!$A$5:$A$289,$D1506,'Comp2016-2017 (3)'!$R$5:$R$289,$V1506)*$AB1506))</f>
        <v>0</v>
      </c>
      <c r="AK1506" s="205">
        <f t="shared" si="177"/>
        <v>0</v>
      </c>
      <c r="AL1506" s="218" t="str">
        <f t="shared" si="179"/>
        <v/>
      </c>
      <c r="AM1506" s="218" t="str">
        <f>VLOOKUP(A1506,'Table corresp.'!$M$4:$U$63,8,FALSE)</f>
        <v>Forêt</v>
      </c>
      <c r="AN1506" s="218" t="str">
        <f>VLOOKUP(D1506,'Table corresp.'!$M$4:$U$63,9,FALSE)</f>
        <v>Consommation finale française</v>
      </c>
    </row>
    <row r="1507" spans="1:40" x14ac:dyDescent="0.25">
      <c r="A1507" t="s">
        <v>0</v>
      </c>
      <c r="B1507" t="str">
        <f>VLOOKUP(LEFT(A1507,3),'Table corresp.'!$A$4:$D$63,3,FALSE)</f>
        <v>Forêt</v>
      </c>
      <c r="C1507" t="str">
        <f>VLOOKUP(A1507,'Table corresp.'!$M$4:$P$63,4,FALSE)</f>
        <v>Production et transformation de produits bois</v>
      </c>
      <c r="D1507" t="s">
        <v>53</v>
      </c>
      <c r="E1507" t="str">
        <f>VLOOKUP(LEFT(D1507,3),'Table corresp.'!$A$4:$D$63,4,FALSE)</f>
        <v>Exportation</v>
      </c>
      <c r="F1507" t="str">
        <f t="shared" si="172"/>
        <v>02  - Exp</v>
      </c>
      <c r="G1507" s="238">
        <v>119766.6755</v>
      </c>
      <c r="H1507" s="238">
        <v>0</v>
      </c>
      <c r="I1507" s="238">
        <v>119766.6755</v>
      </c>
      <c r="J1507" s="238">
        <v>1488.0219760221735</v>
      </c>
      <c r="K1507" s="238">
        <v>0</v>
      </c>
      <c r="L1507" s="238">
        <v>1488.0219760221735</v>
      </c>
      <c r="M1507" s="238"/>
      <c r="N1507" s="238"/>
      <c r="O1507" s="238"/>
      <c r="P1507" s="238"/>
      <c r="Q1507" s="238"/>
      <c r="R1507" s="238"/>
      <c r="S1507" s="238"/>
      <c r="T1507" s="218">
        <f>VLOOKUP(A1507,'Groupe de branches'!$Z$27:$AM$86,14,FALSE)</f>
        <v>0</v>
      </c>
      <c r="U1507" s="218">
        <f>VLOOKUP(D1507,'Groupe de branches'!$Z$27:$AM$86,14,FALSE)</f>
        <v>0</v>
      </c>
      <c r="V1507" s="218">
        <v>2020</v>
      </c>
      <c r="W1507" s="218" t="str">
        <f>VLOOKUP(D1507,'Table corresp.'!$M$4:$S$63,7,FALSE)</f>
        <v>Exportation</v>
      </c>
      <c r="X1507" s="240">
        <f>IFERROR(G1507/SUMIFS('Comp2016-2017 (3)'!$I$5:$I$289,'Comp2016-2017 (3)'!$A$5:$A$289,A1507,'Comp2016-2017 (3)'!$R$5:$R$289,V1507),0)</f>
        <v>0.1098723241291424</v>
      </c>
      <c r="Y1507" s="219" t="e">
        <f>IF(RIGHT(F1507,3)="Exp",VLOOKUP(F1507,#REF!,2,FALSE),VLOOKUP(F1507,#REF!,9,FALSE))</f>
        <v>#REF!</v>
      </c>
      <c r="Z1507" s="226" t="str">
        <f t="shared" si="175"/>
        <v/>
      </c>
      <c r="AA1507" s="226" t="e">
        <f t="shared" si="178"/>
        <v>#VALUE!</v>
      </c>
      <c r="AB1507" s="205">
        <f>IFERROR(SUMIFS('Comp2016-2017 (3)'!$G$5:$G$289,'Comp2016-2017 (3)'!$A$5:$A$289,A1507,'Comp2016-2017 (3)'!$R$5:$R$289,V1507)*AA1507/SUMIFS($AA$4:$AA$1858,$A$4:$A$1858,A1507,$V$4:$V$1858,V1507),0)</f>
        <v>0</v>
      </c>
      <c r="AC1507" s="205">
        <f>IF($W1507=AC$3,$AB1507,IF(NOT($W1507=0),"",SUMIFS('Val-Vol (2)'!AC$4:AC$1858,'Val-Vol (2)'!$A$4:$A$1858,$D1507,'Val-Vol (2)'!$V$4:$V$1858,$V1507)/SUMIFS('Comp2016-2017 (3)'!$G$5:$G$289,'Comp2016-2017 (3)'!$A$5:$A$289,$D1507,'Comp2016-2017 (3)'!$R$5:$R$289,$V1507)*$AB1507))</f>
        <v>0</v>
      </c>
      <c r="AD1507" s="205" t="str">
        <f>IF($W1507=AD$3,$AB1507,IF(NOT($W1507=0),"",SUMIFS('Val-Vol (2)'!AD$4:AD$1858,'Val-Vol (2)'!$A$4:$A$1858,$D1507,'Val-Vol (2)'!$V$4:$V$1858,$V1507)/SUMIFS('Comp2016-2017 (3)'!$G$5:$G$289,'Comp2016-2017 (3)'!$A$5:$A$289,$D1507,'Comp2016-2017 (3)'!$R$5:$R$289,$V1507)*$AB1507))</f>
        <v/>
      </c>
      <c r="AE1507" s="205" t="str">
        <f>IF($W1507=AE$3,$AB1507,IF(NOT($W1507=0),"",SUMIFS('Val-Vol (2)'!AE$4:AE$1858,'Val-Vol (2)'!$A$4:$A$1858,$D1507,'Val-Vol (2)'!$V$4:$V$1858,$V1507)/SUMIFS('Comp2016-2017 (3)'!$G$5:$G$289,'Comp2016-2017 (3)'!$A$5:$A$289,$D1507,'Comp2016-2017 (3)'!$R$5:$R$289,$V1507)*$AB1507))</f>
        <v/>
      </c>
      <c r="AF1507" s="205" t="str">
        <f>IF($W1507=AF$3,$AB1507,IF(NOT($W1507=0),"",SUMIFS('Val-Vol (2)'!AF$4:AF$1858,'Val-Vol (2)'!$A$4:$A$1858,$D1507,'Val-Vol (2)'!$V$4:$V$1858,$V1507)/SUMIFS('Comp2016-2017 (3)'!$G$5:$G$289,'Comp2016-2017 (3)'!$A$5:$A$289,$D1507,'Comp2016-2017 (3)'!$R$5:$R$289,$V1507)*$AB1507))</f>
        <v/>
      </c>
      <c r="AG1507" s="205" t="str">
        <f>IF($W1507=AG$3,$AB1507,IF(NOT($W1507=0),"",SUMIFS('Val-Vol (2)'!AG$4:AG$1858,'Val-Vol (2)'!$A$4:$A$1858,$D1507,'Val-Vol (2)'!$V$4:$V$1858,$V1507)/SUMIFS('Comp2016-2017 (3)'!$G$5:$G$289,'Comp2016-2017 (3)'!$A$5:$A$289,$D1507,'Comp2016-2017 (3)'!$R$5:$R$289,$V1507)*$AB1507))</f>
        <v/>
      </c>
      <c r="AH1507" s="205" t="str">
        <f>IF($W1507=AH$3,$AB1507,IF(NOT($W1507=0),"",SUMIFS('Val-Vol (2)'!AH$4:AH$1858,'Val-Vol (2)'!$A$4:$A$1858,$D1507,'Val-Vol (2)'!$V$4:$V$1858,$V1507)/SUMIFS('Comp2016-2017 (3)'!$G$5:$G$289,'Comp2016-2017 (3)'!$A$5:$A$289,$D1507,'Comp2016-2017 (3)'!$R$5:$R$289,$V1507)*$AB1507))</f>
        <v/>
      </c>
      <c r="AI1507" s="205" t="str">
        <f>IF($W1507=AI$3,$AB1507,IF(NOT($W1507=0),"",SUMIFS('Val-Vol (2)'!AI$4:AI$1858,'Val-Vol (2)'!$A$4:$A$1858,$D1507,'Val-Vol (2)'!$V$4:$V$1858,$V1507)/SUMIFS('Comp2016-2017 (3)'!$G$5:$G$289,'Comp2016-2017 (3)'!$A$5:$A$289,$D1507,'Comp2016-2017 (3)'!$R$5:$R$289,$V1507)*$AB1507))</f>
        <v/>
      </c>
      <c r="AJ1507" s="205" t="str">
        <f>IF($W1507=AJ$3,$AB1507,IF(NOT($W1507=0),"",SUMIFS('Val-Vol (2)'!AJ$4:AJ$1858,'Val-Vol (2)'!$A$4:$A$1858,$D1507,'Val-Vol (2)'!$V$4:$V$1858,$V1507)/SUMIFS('Comp2016-2017 (3)'!$G$5:$G$289,'Comp2016-2017 (3)'!$A$5:$A$289,$D1507,'Comp2016-2017 (3)'!$R$5:$R$289,$V1507)*$AB1507))</f>
        <v/>
      </c>
      <c r="AK1507" s="205">
        <f t="shared" si="177"/>
        <v>0</v>
      </c>
      <c r="AL1507" s="218" t="str">
        <f t="shared" si="179"/>
        <v/>
      </c>
      <c r="AM1507" s="218" t="str">
        <f>VLOOKUP(A1507,'Table corresp.'!$M$4:$U$63,8,FALSE)</f>
        <v>Forêt</v>
      </c>
      <c r="AN1507" s="218" t="str">
        <f>VLOOKUP(D1507,'Table corresp.'!$M$4:$U$63,9,FALSE)</f>
        <v>Exportation</v>
      </c>
    </row>
    <row r="1508" spans="1:40" x14ac:dyDescent="0.25">
      <c r="A1508" t="s">
        <v>1</v>
      </c>
      <c r="B1508" t="str">
        <f>VLOOKUP(LEFT(A1508,3),'Table corresp.'!$A$4:$D$63,3,FALSE)</f>
        <v>Forêt</v>
      </c>
      <c r="C1508" t="str">
        <f>VLOOKUP(A1508,'Table corresp.'!$M$4:$P$63,4,FALSE)</f>
        <v>Production et transformation de produits bois</v>
      </c>
      <c r="D1508" t="s">
        <v>87</v>
      </c>
      <c r="E1508" t="str">
        <f>VLOOKUP(LEFT(D1508,3),'Table corresp.'!$A$4:$D$63,4,FALSE)</f>
        <v>Transformation</v>
      </c>
      <c r="F1508" t="str">
        <f t="shared" si="172"/>
        <v xml:space="preserve">03  - 31 </v>
      </c>
      <c r="G1508" s="238">
        <v>17126.374263900099</v>
      </c>
      <c r="H1508" s="238">
        <v>12523.830669036601</v>
      </c>
      <c r="I1508" s="238">
        <v>29650.2049329367</v>
      </c>
      <c r="J1508" s="238"/>
      <c r="K1508" s="238"/>
      <c r="L1508" s="238"/>
      <c r="M1508" s="238">
        <v>2290.7601867149924</v>
      </c>
      <c r="N1508" s="238">
        <v>368.9069148214769</v>
      </c>
      <c r="O1508" s="238">
        <v>2659.6671015364691</v>
      </c>
      <c r="P1508" s="238"/>
      <c r="Q1508" s="238"/>
      <c r="R1508" s="238"/>
      <c r="S1508" s="238"/>
      <c r="T1508" s="218">
        <f>VLOOKUP(A1508,'Groupe de branches'!$Z$27:$AM$86,14,FALSE)</f>
        <v>0</v>
      </c>
      <c r="U1508" s="218">
        <f>VLOOKUP(D1508,'Groupe de branches'!$Z$27:$AM$86,14,FALSE)</f>
        <v>0</v>
      </c>
      <c r="V1508" s="218">
        <v>2020</v>
      </c>
      <c r="W1508" s="218">
        <f>VLOOKUP(D1508,'Table corresp.'!$M$4:$S$63,7,FALSE)</f>
        <v>0</v>
      </c>
      <c r="X1508" s="240">
        <f>IFERROR(G1508/SUMIFS('Comp2016-2017 (3)'!$I$5:$I$289,'Comp2016-2017 (3)'!$A$5:$A$289,A1508,'Comp2016-2017 (3)'!$R$5:$R$289,V1508),0)</f>
        <v>0.11172534356036228</v>
      </c>
      <c r="Y1508" s="219" t="e">
        <f>IF(RIGHT(F1508,3)="Exp",VLOOKUP(F1508,#REF!,2,FALSE),VLOOKUP(F1508,#REF!,9,FALSE))</f>
        <v>#REF!</v>
      </c>
      <c r="Z1508" s="226" t="str">
        <f t="shared" si="175"/>
        <v/>
      </c>
      <c r="AA1508" s="226" t="e">
        <f t="shared" si="178"/>
        <v>#VALUE!</v>
      </c>
      <c r="AB1508" s="205">
        <f>IFERROR(SUMIFS('Comp2016-2017 (3)'!$G$5:$G$289,'Comp2016-2017 (3)'!$A$5:$A$289,A1508,'Comp2016-2017 (3)'!$R$5:$R$289,V1508)*AA1508/SUMIFS($AA$4:$AA$1858,$A$4:$A$1858,A1508,$V$4:$V$1858,V1508),0)</f>
        <v>0</v>
      </c>
      <c r="AC1508" s="205">
        <f>IF($W1508=AC$3,$AB1508,IF(NOT($W1508=0),"",SUMIFS('Val-Vol (2)'!AC$4:AC$1858,'Val-Vol (2)'!$A$4:$A$1858,$D1508,'Val-Vol (2)'!$V$4:$V$1858,$V1508)/SUMIFS('Comp2016-2017 (3)'!$G$5:$G$289,'Comp2016-2017 (3)'!$A$5:$A$289,$D1508,'Comp2016-2017 (3)'!$R$5:$R$289,$V1508)*$AB1508))</f>
        <v>0</v>
      </c>
      <c r="AD1508" s="205">
        <f>IF($W1508=AD$3,$AB1508,IF(NOT($W1508=0),"",SUMIFS('Val-Vol (2)'!AD$4:AD$1858,'Val-Vol (2)'!$A$4:$A$1858,$D1508,'Val-Vol (2)'!$V$4:$V$1858,$V1508)/SUMIFS('Comp2016-2017 (3)'!$G$5:$G$289,'Comp2016-2017 (3)'!$A$5:$A$289,$D1508,'Comp2016-2017 (3)'!$R$5:$R$289,$V1508)*$AB1508))</f>
        <v>0</v>
      </c>
      <c r="AE1508" s="205">
        <f>IF($W1508=AE$3,$AB1508,IF(NOT($W1508=0),"",SUMIFS('Val-Vol (2)'!AE$4:AE$1858,'Val-Vol (2)'!$A$4:$A$1858,$D1508,'Val-Vol (2)'!$V$4:$V$1858,$V1508)/SUMIFS('Comp2016-2017 (3)'!$G$5:$G$289,'Comp2016-2017 (3)'!$A$5:$A$289,$D1508,'Comp2016-2017 (3)'!$R$5:$R$289,$V1508)*$AB1508))</f>
        <v>0</v>
      </c>
      <c r="AF1508" s="205">
        <f>IF($W1508=AF$3,$AB1508,IF(NOT($W1508=0),"",SUMIFS('Val-Vol (2)'!AF$4:AF$1858,'Val-Vol (2)'!$A$4:$A$1858,$D1508,'Val-Vol (2)'!$V$4:$V$1858,$V1508)/SUMIFS('Comp2016-2017 (3)'!$G$5:$G$289,'Comp2016-2017 (3)'!$A$5:$A$289,$D1508,'Comp2016-2017 (3)'!$R$5:$R$289,$V1508)*$AB1508))</f>
        <v>0</v>
      </c>
      <c r="AG1508" s="205">
        <f>IF($W1508=AG$3,$AB1508,IF(NOT($W1508=0),"",SUMIFS('Val-Vol (2)'!AG$4:AG$1858,'Val-Vol (2)'!$A$4:$A$1858,$D1508,'Val-Vol (2)'!$V$4:$V$1858,$V1508)/SUMIFS('Comp2016-2017 (3)'!$G$5:$G$289,'Comp2016-2017 (3)'!$A$5:$A$289,$D1508,'Comp2016-2017 (3)'!$R$5:$R$289,$V1508)*$AB1508))</f>
        <v>0</v>
      </c>
      <c r="AH1508" s="205">
        <f>IF($W1508=AH$3,$AB1508,IF(NOT($W1508=0),"",SUMIFS('Val-Vol (2)'!AH$4:AH$1858,'Val-Vol (2)'!$A$4:$A$1858,$D1508,'Val-Vol (2)'!$V$4:$V$1858,$V1508)/SUMIFS('Comp2016-2017 (3)'!$G$5:$G$289,'Comp2016-2017 (3)'!$A$5:$A$289,$D1508,'Comp2016-2017 (3)'!$R$5:$R$289,$V1508)*$AB1508))</f>
        <v>0</v>
      </c>
      <c r="AI1508" s="205">
        <f>IF($W1508=AI$3,$AB1508,IF(NOT($W1508=0),"",SUMIFS('Val-Vol (2)'!AI$4:AI$1858,'Val-Vol (2)'!$A$4:$A$1858,$D1508,'Val-Vol (2)'!$V$4:$V$1858,$V1508)/SUMIFS('Comp2016-2017 (3)'!$G$5:$G$289,'Comp2016-2017 (3)'!$A$5:$A$289,$D1508,'Comp2016-2017 (3)'!$R$5:$R$289,$V1508)*$AB1508))</f>
        <v>0</v>
      </c>
      <c r="AJ1508" s="205">
        <f>IF($W1508=AJ$3,$AB1508,IF(NOT($W1508=0),"",SUMIFS('Val-Vol (2)'!AJ$4:AJ$1858,'Val-Vol (2)'!$A$4:$A$1858,$D1508,'Val-Vol (2)'!$V$4:$V$1858,$V1508)/SUMIFS('Comp2016-2017 (3)'!$G$5:$G$289,'Comp2016-2017 (3)'!$A$5:$A$289,$D1508,'Comp2016-2017 (3)'!$R$5:$R$289,$V1508)*$AB1508))</f>
        <v>0</v>
      </c>
      <c r="AK1508" s="205">
        <f t="shared" si="177"/>
        <v>0</v>
      </c>
      <c r="AL1508" s="218" t="str">
        <f t="shared" si="179"/>
        <v/>
      </c>
      <c r="AM1508" s="218" t="str">
        <f>VLOOKUP(A1508,'Table corresp.'!$M$4:$U$63,8,FALSE)</f>
        <v>Forêt</v>
      </c>
      <c r="AN1508" s="218" t="str">
        <f>VLOOKUP(D1508,'Table corresp.'!$M$4:$U$63,9,FALSE)</f>
        <v>Production intermédiaire</v>
      </c>
    </row>
    <row r="1509" spans="1:40" x14ac:dyDescent="0.25">
      <c r="A1509" t="s">
        <v>1</v>
      </c>
      <c r="B1509" t="str">
        <f>VLOOKUP(LEFT(A1509,3),'Table corresp.'!$A$4:$D$63,3,FALSE)</f>
        <v>Forêt</v>
      </c>
      <c r="C1509" t="str">
        <f>VLOOKUP(A1509,'Table corresp.'!$M$4:$P$63,4,FALSE)</f>
        <v>Production et transformation de produits bois</v>
      </c>
      <c r="D1509" t="s">
        <v>95</v>
      </c>
      <c r="E1509" t="str">
        <f>VLOOKUP(LEFT(D1509,3),'Table corresp.'!$A$4:$D$63,4,FALSE)</f>
        <v>Transformation</v>
      </c>
      <c r="F1509" t="str">
        <f t="shared" si="172"/>
        <v xml:space="preserve">03  - 43 </v>
      </c>
      <c r="G1509" s="238">
        <v>20570.0710497482</v>
      </c>
      <c r="H1509" s="238">
        <v>19690.490577789798</v>
      </c>
      <c r="I1509" s="238">
        <v>40260.561627538002</v>
      </c>
      <c r="J1509" s="238"/>
      <c r="K1509" s="238"/>
      <c r="L1509" s="238"/>
      <c r="M1509" s="238">
        <v>2767.9351919287246</v>
      </c>
      <c r="N1509" s="238">
        <v>109.58430371341582</v>
      </c>
      <c r="O1509" s="238">
        <v>2877.5194956421406</v>
      </c>
      <c r="P1509" s="238"/>
      <c r="Q1509" s="238"/>
      <c r="R1509" s="238"/>
      <c r="S1509" s="238"/>
      <c r="T1509" s="218">
        <f>VLOOKUP(A1509,'Groupe de branches'!$Z$27:$AM$86,14,FALSE)</f>
        <v>0</v>
      </c>
      <c r="U1509" s="218">
        <f>VLOOKUP(D1509,'Groupe de branches'!$Z$27:$AM$86,14,FALSE)</f>
        <v>0</v>
      </c>
      <c r="V1509" s="218">
        <v>2020</v>
      </c>
      <c r="W1509" s="218" t="str">
        <f>VLOOKUP(D1509,'Table corresp.'!$M$4:$S$63,7,FALSE)</f>
        <v>Pate &amp; papier &amp; carton</v>
      </c>
      <c r="X1509" s="240">
        <f>IFERROR(G1509/SUMIFS('Comp2016-2017 (3)'!$I$5:$I$289,'Comp2016-2017 (3)'!$A$5:$A$289,A1509,'Comp2016-2017 (3)'!$R$5:$R$289,V1509),0)</f>
        <v>0.13419058930286526</v>
      </c>
      <c r="Y1509" s="219" t="e">
        <f>IF(RIGHT(F1509,3)="Exp",VLOOKUP(F1509,#REF!,2,FALSE),VLOOKUP(F1509,#REF!,9,FALSE))</f>
        <v>#REF!</v>
      </c>
      <c r="Z1509" s="226" t="str">
        <f t="shared" si="175"/>
        <v/>
      </c>
      <c r="AA1509" s="226" t="e">
        <f t="shared" si="178"/>
        <v>#VALUE!</v>
      </c>
      <c r="AB1509" s="205">
        <f>IFERROR(SUMIFS('Comp2016-2017 (3)'!$G$5:$G$289,'Comp2016-2017 (3)'!$A$5:$A$289,A1509,'Comp2016-2017 (3)'!$R$5:$R$289,V1509)*AA1509/SUMIFS($AA$4:$AA$1858,$A$4:$A$1858,A1509,$V$4:$V$1858,V1509),0)</f>
        <v>0</v>
      </c>
      <c r="AC1509" s="205" t="str">
        <f>IF($W1509=AC$3,$AB1509,IF(NOT($W1509=0),"",SUMIFS('Val-Vol (2)'!AC$4:AC$1858,'Val-Vol (2)'!$A$4:$A$1858,$D1509,'Val-Vol (2)'!$V$4:$V$1858,$V1509)/SUMIFS('Comp2016-2017 (3)'!$G$5:$G$289,'Comp2016-2017 (3)'!$A$5:$A$289,$D1509,'Comp2016-2017 (3)'!$R$5:$R$289,$V1509)*$AB1509))</f>
        <v/>
      </c>
      <c r="AD1509" s="205" t="str">
        <f>IF($W1509=AD$3,$AB1509,IF(NOT($W1509=0),"",SUMIFS('Val-Vol (2)'!AD$4:AD$1858,'Val-Vol (2)'!$A$4:$A$1858,$D1509,'Val-Vol (2)'!$V$4:$V$1858,$V1509)/SUMIFS('Comp2016-2017 (3)'!$G$5:$G$289,'Comp2016-2017 (3)'!$A$5:$A$289,$D1509,'Comp2016-2017 (3)'!$R$5:$R$289,$V1509)*$AB1509))</f>
        <v/>
      </c>
      <c r="AE1509" s="205" t="str">
        <f>IF($W1509=AE$3,$AB1509,IF(NOT($W1509=0),"",SUMIFS('Val-Vol (2)'!AE$4:AE$1858,'Val-Vol (2)'!$A$4:$A$1858,$D1509,'Val-Vol (2)'!$V$4:$V$1858,$V1509)/SUMIFS('Comp2016-2017 (3)'!$G$5:$G$289,'Comp2016-2017 (3)'!$A$5:$A$289,$D1509,'Comp2016-2017 (3)'!$R$5:$R$289,$V1509)*$AB1509))</f>
        <v/>
      </c>
      <c r="AF1509" s="205">
        <f>IF($W1509=AF$3,$AB1509,IF(NOT($W1509=0),"",SUMIFS('Val-Vol (2)'!AF$4:AF$1858,'Val-Vol (2)'!$A$4:$A$1858,$D1509,'Val-Vol (2)'!$V$4:$V$1858,$V1509)/SUMIFS('Comp2016-2017 (3)'!$G$5:$G$289,'Comp2016-2017 (3)'!$A$5:$A$289,$D1509,'Comp2016-2017 (3)'!$R$5:$R$289,$V1509)*$AB1509))</f>
        <v>0</v>
      </c>
      <c r="AG1509" s="205" t="str">
        <f>IF($W1509=AG$3,$AB1509,IF(NOT($W1509=0),"",SUMIFS('Val-Vol (2)'!AG$4:AG$1858,'Val-Vol (2)'!$A$4:$A$1858,$D1509,'Val-Vol (2)'!$V$4:$V$1858,$V1509)/SUMIFS('Comp2016-2017 (3)'!$G$5:$G$289,'Comp2016-2017 (3)'!$A$5:$A$289,$D1509,'Comp2016-2017 (3)'!$R$5:$R$289,$V1509)*$AB1509))</f>
        <v/>
      </c>
      <c r="AH1509" s="205" t="str">
        <f>IF($W1509=AH$3,$AB1509,IF(NOT($W1509=0),"",SUMIFS('Val-Vol (2)'!AH$4:AH$1858,'Val-Vol (2)'!$A$4:$A$1858,$D1509,'Val-Vol (2)'!$V$4:$V$1858,$V1509)/SUMIFS('Comp2016-2017 (3)'!$G$5:$G$289,'Comp2016-2017 (3)'!$A$5:$A$289,$D1509,'Comp2016-2017 (3)'!$R$5:$R$289,$V1509)*$AB1509))</f>
        <v/>
      </c>
      <c r="AI1509" s="205" t="str">
        <f>IF($W1509=AI$3,$AB1509,IF(NOT($W1509=0),"",SUMIFS('Val-Vol (2)'!AI$4:AI$1858,'Val-Vol (2)'!$A$4:$A$1858,$D1509,'Val-Vol (2)'!$V$4:$V$1858,$V1509)/SUMIFS('Comp2016-2017 (3)'!$G$5:$G$289,'Comp2016-2017 (3)'!$A$5:$A$289,$D1509,'Comp2016-2017 (3)'!$R$5:$R$289,$V1509)*$AB1509))</f>
        <v/>
      </c>
      <c r="AJ1509" s="205" t="str">
        <f>IF($W1509=AJ$3,$AB1509,IF(NOT($W1509=0),"",SUMIFS('Val-Vol (2)'!AJ$4:AJ$1858,'Val-Vol (2)'!$A$4:$A$1858,$D1509,'Val-Vol (2)'!$V$4:$V$1858,$V1509)/SUMIFS('Comp2016-2017 (3)'!$G$5:$G$289,'Comp2016-2017 (3)'!$A$5:$A$289,$D1509,'Comp2016-2017 (3)'!$R$5:$R$289,$V1509)*$AB1509))</f>
        <v/>
      </c>
      <c r="AK1509" s="205">
        <f t="shared" si="177"/>
        <v>0</v>
      </c>
      <c r="AL1509" s="218" t="str">
        <f t="shared" si="179"/>
        <v/>
      </c>
      <c r="AM1509" s="218" t="str">
        <f>VLOOKUP(A1509,'Table corresp.'!$M$4:$U$63,8,FALSE)</f>
        <v>Forêt</v>
      </c>
      <c r="AN1509" s="218" t="str">
        <f>VLOOKUP(D1509,'Table corresp.'!$M$4:$U$63,9,FALSE)</f>
        <v>Production intermédiaire</v>
      </c>
    </row>
    <row r="1510" spans="1:40" x14ac:dyDescent="0.25">
      <c r="A1510" t="s">
        <v>1</v>
      </c>
      <c r="B1510" t="str">
        <f>VLOOKUP(LEFT(A1510,3),'Table corresp.'!$A$4:$D$63,3,FALSE)</f>
        <v>Forêt</v>
      </c>
      <c r="C1510" t="str">
        <f>VLOOKUP(A1510,'Table corresp.'!$M$4:$P$63,4,FALSE)</f>
        <v>Production et transformation de produits bois</v>
      </c>
      <c r="D1510" t="s">
        <v>98</v>
      </c>
      <c r="E1510" t="str">
        <f>VLOOKUP(LEFT(D1510,3),'Table corresp.'!$A$4:$D$63,4,FALSE)</f>
        <v>Transformation</v>
      </c>
      <c r="F1510" t="str">
        <f t="shared" si="172"/>
        <v xml:space="preserve">03  - 46 </v>
      </c>
      <c r="G1510" s="238">
        <v>6997.1416097637202</v>
      </c>
      <c r="H1510" s="238">
        <v>3740.46275317357</v>
      </c>
      <c r="I1510" s="238">
        <v>10737.6043629373</v>
      </c>
      <c r="J1510" s="238"/>
      <c r="K1510" s="238"/>
      <c r="L1510" s="238"/>
      <c r="M1510" s="238">
        <v>669.60832746379447</v>
      </c>
      <c r="N1510" s="238">
        <v>20.816952465107228</v>
      </c>
      <c r="O1510" s="238">
        <v>690.42527992890166</v>
      </c>
      <c r="P1510" s="238"/>
      <c r="Q1510" s="238"/>
      <c r="R1510" s="238"/>
      <c r="S1510" s="238"/>
      <c r="T1510" s="218">
        <f>VLOOKUP(A1510,'Groupe de branches'!$Z$27:$AM$86,14,FALSE)</f>
        <v>0</v>
      </c>
      <c r="U1510" s="218">
        <f>VLOOKUP(D1510,'Groupe de branches'!$Z$27:$AM$86,14,FALSE)</f>
        <v>0</v>
      </c>
      <c r="V1510" s="218">
        <v>2020</v>
      </c>
      <c r="W1510" s="218" t="str">
        <f>VLOOKUP(D1510,'Table corresp.'!$M$4:$S$63,7,FALSE)</f>
        <v>Produits de consommation courante</v>
      </c>
      <c r="X1510" s="240">
        <f>IFERROR(G1510/SUMIFS('Comp2016-2017 (3)'!$I$5:$I$289,'Comp2016-2017 (3)'!$A$5:$A$289,A1510,'Comp2016-2017 (3)'!$R$5:$R$289,V1510),0)</f>
        <v>4.5646442045774394E-2</v>
      </c>
      <c r="Y1510" s="219" t="e">
        <f>IF(RIGHT(F1510,3)="Exp",VLOOKUP(F1510,#REF!,2,FALSE),VLOOKUP(F1510,#REF!,9,FALSE))</f>
        <v>#REF!</v>
      </c>
      <c r="Z1510" s="226" t="str">
        <f t="shared" si="175"/>
        <v/>
      </c>
      <c r="AA1510" s="226" t="e">
        <f t="shared" si="178"/>
        <v>#VALUE!</v>
      </c>
      <c r="AB1510" s="205">
        <f>IFERROR(SUMIFS('Comp2016-2017 (3)'!$G$5:$G$289,'Comp2016-2017 (3)'!$A$5:$A$289,A1510,'Comp2016-2017 (3)'!$R$5:$R$289,V1510)*AA1510/SUMIFS($AA$4:$AA$1858,$A$4:$A$1858,A1510,$V$4:$V$1858,V1510),0)</f>
        <v>0</v>
      </c>
      <c r="AC1510" s="205" t="str">
        <f>IF($W1510=AC$3,$AB1510,IF(NOT($W1510=0),"",SUMIFS('Val-Vol (2)'!AC$4:AC$1858,'Val-Vol (2)'!$A$4:$A$1858,$D1510,'Val-Vol (2)'!$V$4:$V$1858,$V1510)/SUMIFS('Comp2016-2017 (3)'!$G$5:$G$289,'Comp2016-2017 (3)'!$A$5:$A$289,$D1510,'Comp2016-2017 (3)'!$R$5:$R$289,$V1510)*$AB1510))</f>
        <v/>
      </c>
      <c r="AD1510" s="205" t="str">
        <f>IF($W1510=AD$3,$AB1510,IF(NOT($W1510=0),"",SUMIFS('Val-Vol (2)'!AD$4:AD$1858,'Val-Vol (2)'!$A$4:$A$1858,$D1510,'Val-Vol (2)'!$V$4:$V$1858,$V1510)/SUMIFS('Comp2016-2017 (3)'!$G$5:$G$289,'Comp2016-2017 (3)'!$A$5:$A$289,$D1510,'Comp2016-2017 (3)'!$R$5:$R$289,$V1510)*$AB1510))</f>
        <v/>
      </c>
      <c r="AE1510" s="205" t="str">
        <f>IF($W1510=AE$3,$AB1510,IF(NOT($W1510=0),"",SUMIFS('Val-Vol (2)'!AE$4:AE$1858,'Val-Vol (2)'!$A$4:$A$1858,$D1510,'Val-Vol (2)'!$V$4:$V$1858,$V1510)/SUMIFS('Comp2016-2017 (3)'!$G$5:$G$289,'Comp2016-2017 (3)'!$A$5:$A$289,$D1510,'Comp2016-2017 (3)'!$R$5:$R$289,$V1510)*$AB1510))</f>
        <v/>
      </c>
      <c r="AF1510" s="205" t="str">
        <f>IF($W1510=AF$3,$AB1510,IF(NOT($W1510=0),"",SUMIFS('Val-Vol (2)'!AF$4:AF$1858,'Val-Vol (2)'!$A$4:$A$1858,$D1510,'Val-Vol (2)'!$V$4:$V$1858,$V1510)/SUMIFS('Comp2016-2017 (3)'!$G$5:$G$289,'Comp2016-2017 (3)'!$A$5:$A$289,$D1510,'Comp2016-2017 (3)'!$R$5:$R$289,$V1510)*$AB1510))</f>
        <v/>
      </c>
      <c r="AG1510" s="205" t="str">
        <f>IF($W1510=AG$3,$AB1510,IF(NOT($W1510=0),"",SUMIFS('Val-Vol (2)'!AG$4:AG$1858,'Val-Vol (2)'!$A$4:$A$1858,$D1510,'Val-Vol (2)'!$V$4:$V$1858,$V1510)/SUMIFS('Comp2016-2017 (3)'!$G$5:$G$289,'Comp2016-2017 (3)'!$A$5:$A$289,$D1510,'Comp2016-2017 (3)'!$R$5:$R$289,$V1510)*$AB1510))</f>
        <v/>
      </c>
      <c r="AH1510" s="205" t="str">
        <f>IF($W1510=AH$3,$AB1510,IF(NOT($W1510=0),"",SUMIFS('Val-Vol (2)'!AH$4:AH$1858,'Val-Vol (2)'!$A$4:$A$1858,$D1510,'Val-Vol (2)'!$V$4:$V$1858,$V1510)/SUMIFS('Comp2016-2017 (3)'!$G$5:$G$289,'Comp2016-2017 (3)'!$A$5:$A$289,$D1510,'Comp2016-2017 (3)'!$R$5:$R$289,$V1510)*$AB1510))</f>
        <v/>
      </c>
      <c r="AI1510" s="205">
        <f>IF($W1510=AI$3,$AB1510,IF(NOT($W1510=0),"",SUMIFS('Val-Vol (2)'!AI$4:AI$1858,'Val-Vol (2)'!$A$4:$A$1858,$D1510,'Val-Vol (2)'!$V$4:$V$1858,$V1510)/SUMIFS('Comp2016-2017 (3)'!$G$5:$G$289,'Comp2016-2017 (3)'!$A$5:$A$289,$D1510,'Comp2016-2017 (3)'!$R$5:$R$289,$V1510)*$AB1510))</f>
        <v>0</v>
      </c>
      <c r="AJ1510" s="205" t="str">
        <f>IF($W1510=AJ$3,$AB1510,IF(NOT($W1510=0),"",SUMIFS('Val-Vol (2)'!AJ$4:AJ$1858,'Val-Vol (2)'!$A$4:$A$1858,$D1510,'Val-Vol (2)'!$V$4:$V$1858,$V1510)/SUMIFS('Comp2016-2017 (3)'!$G$5:$G$289,'Comp2016-2017 (3)'!$A$5:$A$289,$D1510,'Comp2016-2017 (3)'!$R$5:$R$289,$V1510)*$AB1510))</f>
        <v/>
      </c>
      <c r="AK1510" s="205">
        <f t="shared" si="177"/>
        <v>0</v>
      </c>
      <c r="AL1510" s="218" t="str">
        <f t="shared" si="179"/>
        <v/>
      </c>
      <c r="AM1510" s="218" t="str">
        <f>VLOOKUP(A1510,'Table corresp.'!$M$4:$U$63,8,FALSE)</f>
        <v>Forêt</v>
      </c>
      <c r="AN1510" s="218" t="str">
        <f>VLOOKUP(D1510,'Table corresp.'!$M$4:$U$63,9,FALSE)</f>
        <v>Production intermédiaire</v>
      </c>
    </row>
    <row r="1511" spans="1:40" x14ac:dyDescent="0.25">
      <c r="A1511" t="s">
        <v>1</v>
      </c>
      <c r="B1511" t="str">
        <f>VLOOKUP(LEFT(A1511,3),'Table corresp.'!$A$4:$D$63,3,FALSE)</f>
        <v>Forêt</v>
      </c>
      <c r="C1511" t="str">
        <f>VLOOKUP(A1511,'Table corresp.'!$M$4:$P$63,4,FALSE)</f>
        <v>Production et transformation de produits bois</v>
      </c>
      <c r="D1511" t="s">
        <v>53</v>
      </c>
      <c r="E1511" t="str">
        <f>VLOOKUP(LEFT(D1511,3),'Table corresp.'!$A$4:$D$63,4,FALSE)</f>
        <v>Exportation</v>
      </c>
      <c r="F1511" t="str">
        <f t="shared" si="172"/>
        <v>03  - Exp</v>
      </c>
      <c r="G1511" s="238">
        <v>108596.380403</v>
      </c>
      <c r="H1511" s="238">
        <v>0</v>
      </c>
      <c r="I1511" s="238">
        <v>108596.380403</v>
      </c>
      <c r="J1511" s="238"/>
      <c r="K1511" s="238"/>
      <c r="L1511" s="238"/>
      <c r="M1511" s="238">
        <v>3812.6962938924898</v>
      </c>
      <c r="N1511" s="238">
        <v>0</v>
      </c>
      <c r="O1511" s="238">
        <v>3812.6962938924898</v>
      </c>
      <c r="P1511" s="238"/>
      <c r="Q1511" s="238"/>
      <c r="R1511" s="238"/>
      <c r="S1511" s="238"/>
      <c r="T1511" s="218">
        <f>VLOOKUP(A1511,'Groupe de branches'!$Z$27:$AM$86,14,FALSE)</f>
        <v>0</v>
      </c>
      <c r="U1511" s="218">
        <f>VLOOKUP(D1511,'Groupe de branches'!$Z$27:$AM$86,14,FALSE)</f>
        <v>0</v>
      </c>
      <c r="V1511" s="218">
        <v>2020</v>
      </c>
      <c r="W1511" s="218" t="str">
        <f>VLOOKUP(D1511,'Table corresp.'!$M$4:$S$63,7,FALSE)</f>
        <v>Exportation</v>
      </c>
      <c r="X1511" s="240">
        <f>IFERROR(G1511/SUMIFS('Comp2016-2017 (3)'!$I$5:$I$289,'Comp2016-2017 (3)'!$A$5:$A$289,A1511,'Comp2016-2017 (3)'!$R$5:$R$289,V1511),0)</f>
        <v>0.70843762509099761</v>
      </c>
      <c r="Y1511" s="219" t="e">
        <f>IF(RIGHT(F1511,3)="Exp",VLOOKUP(F1511,#REF!,2,FALSE),VLOOKUP(F1511,#REF!,9,FALSE))</f>
        <v>#REF!</v>
      </c>
      <c r="Z1511" s="226" t="str">
        <f t="shared" si="175"/>
        <v/>
      </c>
      <c r="AA1511" s="226" t="e">
        <f t="shared" si="178"/>
        <v>#VALUE!</v>
      </c>
      <c r="AB1511" s="205">
        <f>IFERROR(SUMIFS('Comp2016-2017 (3)'!$G$5:$G$289,'Comp2016-2017 (3)'!$A$5:$A$289,A1511,'Comp2016-2017 (3)'!$R$5:$R$289,V1511)*AA1511/SUMIFS($AA$4:$AA$1858,$A$4:$A$1858,A1511,$V$4:$V$1858,V1511),0)</f>
        <v>0</v>
      </c>
      <c r="AC1511" s="205">
        <f>IF($W1511=AC$3,$AB1511,IF(NOT($W1511=0),"",SUMIFS('Val-Vol (2)'!AC$4:AC$1858,'Val-Vol (2)'!$A$4:$A$1858,$D1511,'Val-Vol (2)'!$V$4:$V$1858,$V1511)/SUMIFS('Comp2016-2017 (3)'!$G$5:$G$289,'Comp2016-2017 (3)'!$A$5:$A$289,$D1511,'Comp2016-2017 (3)'!$R$5:$R$289,$V1511)*$AB1511))</f>
        <v>0</v>
      </c>
      <c r="AD1511" s="205" t="str">
        <f>IF($W1511=AD$3,$AB1511,IF(NOT($W1511=0),"",SUMIFS('Val-Vol (2)'!AD$4:AD$1858,'Val-Vol (2)'!$A$4:$A$1858,$D1511,'Val-Vol (2)'!$V$4:$V$1858,$V1511)/SUMIFS('Comp2016-2017 (3)'!$G$5:$G$289,'Comp2016-2017 (3)'!$A$5:$A$289,$D1511,'Comp2016-2017 (3)'!$R$5:$R$289,$V1511)*$AB1511))</f>
        <v/>
      </c>
      <c r="AE1511" s="205" t="str">
        <f>IF($W1511=AE$3,$AB1511,IF(NOT($W1511=0),"",SUMIFS('Val-Vol (2)'!AE$4:AE$1858,'Val-Vol (2)'!$A$4:$A$1858,$D1511,'Val-Vol (2)'!$V$4:$V$1858,$V1511)/SUMIFS('Comp2016-2017 (3)'!$G$5:$G$289,'Comp2016-2017 (3)'!$A$5:$A$289,$D1511,'Comp2016-2017 (3)'!$R$5:$R$289,$V1511)*$AB1511))</f>
        <v/>
      </c>
      <c r="AF1511" s="205" t="str">
        <f>IF($W1511=AF$3,$AB1511,IF(NOT($W1511=0),"",SUMIFS('Val-Vol (2)'!AF$4:AF$1858,'Val-Vol (2)'!$A$4:$A$1858,$D1511,'Val-Vol (2)'!$V$4:$V$1858,$V1511)/SUMIFS('Comp2016-2017 (3)'!$G$5:$G$289,'Comp2016-2017 (3)'!$A$5:$A$289,$D1511,'Comp2016-2017 (3)'!$R$5:$R$289,$V1511)*$AB1511))</f>
        <v/>
      </c>
      <c r="AG1511" s="205" t="str">
        <f>IF($W1511=AG$3,$AB1511,IF(NOT($W1511=0),"",SUMIFS('Val-Vol (2)'!AG$4:AG$1858,'Val-Vol (2)'!$A$4:$A$1858,$D1511,'Val-Vol (2)'!$V$4:$V$1858,$V1511)/SUMIFS('Comp2016-2017 (3)'!$G$5:$G$289,'Comp2016-2017 (3)'!$A$5:$A$289,$D1511,'Comp2016-2017 (3)'!$R$5:$R$289,$V1511)*$AB1511))</f>
        <v/>
      </c>
      <c r="AH1511" s="205" t="str">
        <f>IF($W1511=AH$3,$AB1511,IF(NOT($W1511=0),"",SUMIFS('Val-Vol (2)'!AH$4:AH$1858,'Val-Vol (2)'!$A$4:$A$1858,$D1511,'Val-Vol (2)'!$V$4:$V$1858,$V1511)/SUMIFS('Comp2016-2017 (3)'!$G$5:$G$289,'Comp2016-2017 (3)'!$A$5:$A$289,$D1511,'Comp2016-2017 (3)'!$R$5:$R$289,$V1511)*$AB1511))</f>
        <v/>
      </c>
      <c r="AI1511" s="205" t="str">
        <f>IF($W1511=AI$3,$AB1511,IF(NOT($W1511=0),"",SUMIFS('Val-Vol (2)'!AI$4:AI$1858,'Val-Vol (2)'!$A$4:$A$1858,$D1511,'Val-Vol (2)'!$V$4:$V$1858,$V1511)/SUMIFS('Comp2016-2017 (3)'!$G$5:$G$289,'Comp2016-2017 (3)'!$A$5:$A$289,$D1511,'Comp2016-2017 (3)'!$R$5:$R$289,$V1511)*$AB1511))</f>
        <v/>
      </c>
      <c r="AJ1511" s="205" t="str">
        <f>IF($W1511=AJ$3,$AB1511,IF(NOT($W1511=0),"",SUMIFS('Val-Vol (2)'!AJ$4:AJ$1858,'Val-Vol (2)'!$A$4:$A$1858,$D1511,'Val-Vol (2)'!$V$4:$V$1858,$V1511)/SUMIFS('Comp2016-2017 (3)'!$G$5:$G$289,'Comp2016-2017 (3)'!$A$5:$A$289,$D1511,'Comp2016-2017 (3)'!$R$5:$R$289,$V1511)*$AB1511))</f>
        <v/>
      </c>
      <c r="AK1511" s="205">
        <f t="shared" si="177"/>
        <v>0</v>
      </c>
      <c r="AL1511" s="218" t="str">
        <f t="shared" si="179"/>
        <v/>
      </c>
      <c r="AM1511" s="218" t="str">
        <f>VLOOKUP(A1511,'Table corresp.'!$M$4:$U$63,8,FALSE)</f>
        <v>Forêt</v>
      </c>
      <c r="AN1511" s="218" t="str">
        <f>VLOOKUP(D1511,'Table corresp.'!$M$4:$U$63,9,FALSE)</f>
        <v>Exportation</v>
      </c>
    </row>
    <row r="1512" spans="1:40" x14ac:dyDescent="0.25">
      <c r="A1512" t="s">
        <v>2</v>
      </c>
      <c r="B1512" t="str">
        <f>VLOOKUP(LEFT(A1512,3),'Table corresp.'!$A$4:$D$63,3,FALSE)</f>
        <v>Forêt</v>
      </c>
      <c r="C1512" t="str">
        <f>VLOOKUP(A1512,'Table corresp.'!$M$4:$P$63,4,FALSE)</f>
        <v>Production et transformation de produits bois</v>
      </c>
      <c r="D1512" t="s">
        <v>86</v>
      </c>
      <c r="E1512" t="str">
        <f>VLOOKUP(LEFT(D1512,3),'Table corresp.'!$A$4:$D$63,4,FALSE)</f>
        <v>Transformation</v>
      </c>
      <c r="F1512" t="str">
        <f t="shared" si="172"/>
        <v xml:space="preserve">04  - 30 </v>
      </c>
      <c r="G1512" s="238">
        <v>71482.386626322099</v>
      </c>
      <c r="H1512" s="238">
        <v>0</v>
      </c>
      <c r="I1512" s="238">
        <v>71482.386626321997</v>
      </c>
      <c r="J1512" s="238"/>
      <c r="K1512" s="238"/>
      <c r="L1512" s="238"/>
      <c r="M1512" s="238"/>
      <c r="N1512" s="238"/>
      <c r="O1512" s="238"/>
      <c r="P1512" s="238">
        <v>3632.1454049308654</v>
      </c>
      <c r="Q1512" s="238">
        <v>0</v>
      </c>
      <c r="R1512" s="238">
        <v>3632.1454049308654</v>
      </c>
      <c r="S1512" s="238" t="s">
        <v>198</v>
      </c>
      <c r="T1512" s="218">
        <f>VLOOKUP(A1512,'Groupe de branches'!$Z$27:$AM$86,14,FALSE)</f>
        <v>0</v>
      </c>
      <c r="U1512" s="218">
        <f>VLOOKUP(D1512,'Groupe de branches'!$Z$27:$AM$86,14,FALSE)</f>
        <v>1</v>
      </c>
      <c r="V1512" s="218">
        <v>2020</v>
      </c>
      <c r="W1512" s="218" t="str">
        <f>VLOOKUP(D1512,'Table corresp.'!$M$4:$S$63,7,FALSE)</f>
        <v>Energie</v>
      </c>
      <c r="X1512" s="240">
        <f>IFERROR(G1512/SUMIFS('Comp2016-2017 (3)'!$I$5:$I$289,'Comp2016-2017 (3)'!$A$5:$A$289,A1512,'Comp2016-2017 (3)'!$R$5:$R$289,V1512),0)</f>
        <v>0.22819375969631492</v>
      </c>
      <c r="Y1512" s="219" t="e">
        <f>IF(RIGHT(F1512,3)="Exp",VLOOKUP(F1512,#REF!,2,FALSE),VLOOKUP(F1512,#REF!,9,FALSE))</f>
        <v>#REF!</v>
      </c>
      <c r="Z1512" s="226" t="str">
        <f t="shared" si="175"/>
        <v/>
      </c>
      <c r="AA1512" s="226" t="e">
        <f t="shared" si="178"/>
        <v>#VALUE!</v>
      </c>
      <c r="AB1512" s="205">
        <f>IFERROR(SUMIFS('Comp2016-2017 (3)'!$G$5:$G$289,'Comp2016-2017 (3)'!$A$5:$A$289,A1512,'Comp2016-2017 (3)'!$R$5:$R$289,V1512)*AA1512/SUMIFS($AA$4:$AA$1858,$A$4:$A$1858,A1512,$V$4:$V$1858,V1512),0)</f>
        <v>0</v>
      </c>
      <c r="AC1512" s="205" t="str">
        <f>IF($W1512=AC$3,$AB1512,IF(NOT($W1512=0),"",SUMIFS('Val-Vol (2)'!AC$4:AC$1858,'Val-Vol (2)'!$A$4:$A$1858,$D1512,'Val-Vol (2)'!$V$4:$V$1858,$V1512)/SUMIFS('Comp2016-2017 (3)'!$G$5:$G$289,'Comp2016-2017 (3)'!$A$5:$A$289,$D1512,'Comp2016-2017 (3)'!$R$5:$R$289,$V1512)*$AB1512))</f>
        <v/>
      </c>
      <c r="AD1512" s="205" t="str">
        <f>IF($W1512=AD$3,$AB1512,IF(NOT($W1512=0),"",SUMIFS('Val-Vol (2)'!AD$4:AD$1858,'Val-Vol (2)'!$A$4:$A$1858,$D1512,'Val-Vol (2)'!$V$4:$V$1858,$V1512)/SUMIFS('Comp2016-2017 (3)'!$G$5:$G$289,'Comp2016-2017 (3)'!$A$5:$A$289,$D1512,'Comp2016-2017 (3)'!$R$5:$R$289,$V1512)*$AB1512))</f>
        <v/>
      </c>
      <c r="AE1512" s="205" t="str">
        <f>IF($W1512=AE$3,$AB1512,IF(NOT($W1512=0),"",SUMIFS('Val-Vol (2)'!AE$4:AE$1858,'Val-Vol (2)'!$A$4:$A$1858,$D1512,'Val-Vol (2)'!$V$4:$V$1858,$V1512)/SUMIFS('Comp2016-2017 (3)'!$G$5:$G$289,'Comp2016-2017 (3)'!$A$5:$A$289,$D1512,'Comp2016-2017 (3)'!$R$5:$R$289,$V1512)*$AB1512))</f>
        <v/>
      </c>
      <c r="AF1512" s="205" t="str">
        <f>IF($W1512=AF$3,$AB1512,IF(NOT($W1512=0),"",SUMIFS('Val-Vol (2)'!AF$4:AF$1858,'Val-Vol (2)'!$A$4:$A$1858,$D1512,'Val-Vol (2)'!$V$4:$V$1858,$V1512)/SUMIFS('Comp2016-2017 (3)'!$G$5:$G$289,'Comp2016-2017 (3)'!$A$5:$A$289,$D1512,'Comp2016-2017 (3)'!$R$5:$R$289,$V1512)*$AB1512))</f>
        <v/>
      </c>
      <c r="AG1512" s="205" t="str">
        <f>IF($W1512=AG$3,$AB1512,IF(NOT($W1512=0),"",SUMIFS('Val-Vol (2)'!AG$4:AG$1858,'Val-Vol (2)'!$A$4:$A$1858,$D1512,'Val-Vol (2)'!$V$4:$V$1858,$V1512)/SUMIFS('Comp2016-2017 (3)'!$G$5:$G$289,'Comp2016-2017 (3)'!$A$5:$A$289,$D1512,'Comp2016-2017 (3)'!$R$5:$R$289,$V1512)*$AB1512))</f>
        <v/>
      </c>
      <c r="AH1512" s="205">
        <f>IF($W1512=AH$3,$AB1512,IF(NOT($W1512=0),"",SUMIFS('Val-Vol (2)'!AH$4:AH$1858,'Val-Vol (2)'!$A$4:$A$1858,$D1512,'Val-Vol (2)'!$V$4:$V$1858,$V1512)/SUMIFS('Comp2016-2017 (3)'!$G$5:$G$289,'Comp2016-2017 (3)'!$A$5:$A$289,$D1512,'Comp2016-2017 (3)'!$R$5:$R$289,$V1512)*$AB1512))</f>
        <v>0</v>
      </c>
      <c r="AI1512" s="205" t="str">
        <f>IF($W1512=AI$3,$AB1512,IF(NOT($W1512=0),"",SUMIFS('Val-Vol (2)'!AI$4:AI$1858,'Val-Vol (2)'!$A$4:$A$1858,$D1512,'Val-Vol (2)'!$V$4:$V$1858,$V1512)/SUMIFS('Comp2016-2017 (3)'!$G$5:$G$289,'Comp2016-2017 (3)'!$A$5:$A$289,$D1512,'Comp2016-2017 (3)'!$R$5:$R$289,$V1512)*$AB1512))</f>
        <v/>
      </c>
      <c r="AJ1512" s="205" t="str">
        <f>IF($W1512=AJ$3,$AB1512,IF(NOT($W1512=0),"",SUMIFS('Val-Vol (2)'!AJ$4:AJ$1858,'Val-Vol (2)'!$A$4:$A$1858,$D1512,'Val-Vol (2)'!$V$4:$V$1858,$V1512)/SUMIFS('Comp2016-2017 (3)'!$G$5:$G$289,'Comp2016-2017 (3)'!$A$5:$A$289,$D1512,'Comp2016-2017 (3)'!$R$5:$R$289,$V1512)*$AB1512))</f>
        <v/>
      </c>
      <c r="AK1512" s="205">
        <f t="shared" si="177"/>
        <v>0</v>
      </c>
      <c r="AL1512" s="218" t="str">
        <f t="shared" si="179"/>
        <v/>
      </c>
      <c r="AM1512" s="218" t="str">
        <f>VLOOKUP(A1512,'Table corresp.'!$M$4:$U$63,8,FALSE)</f>
        <v>Forêt</v>
      </c>
      <c r="AN1512" s="218" t="str">
        <f>VLOOKUP(D1512,'Table corresp.'!$M$4:$U$63,9,FALSE)</f>
        <v>Production intermédiaire</v>
      </c>
    </row>
    <row r="1513" spans="1:40" x14ac:dyDescent="0.25">
      <c r="A1513" t="s">
        <v>2</v>
      </c>
      <c r="B1513" t="str">
        <f>VLOOKUP(LEFT(A1513,3),'Table corresp.'!$A$4:$D$63,3,FALSE)</f>
        <v>Forêt</v>
      </c>
      <c r="C1513" t="str">
        <f>VLOOKUP(A1513,'Table corresp.'!$M$4:$P$63,4,FALSE)</f>
        <v>Production et transformation de produits bois</v>
      </c>
      <c r="D1513" t="s">
        <v>54</v>
      </c>
      <c r="E1513" t="str">
        <f>VLOOKUP(LEFT(D1513,3),'Table corresp.'!$A$4:$D$63,4,FALSE)</f>
        <v>Consommation finale</v>
      </c>
      <c r="F1513" t="str">
        <f t="shared" si="172"/>
        <v>04  - Con</v>
      </c>
      <c r="G1513" s="238">
        <v>227642.767209315</v>
      </c>
      <c r="H1513" s="238">
        <v>13752.684999999999</v>
      </c>
      <c r="I1513" s="238">
        <v>241395.452209315</v>
      </c>
      <c r="J1513" s="238"/>
      <c r="K1513" s="238"/>
      <c r="L1513" s="238"/>
      <c r="M1513" s="238"/>
      <c r="N1513" s="238"/>
      <c r="O1513" s="238"/>
      <c r="P1513" s="238">
        <v>4430.729243564745</v>
      </c>
      <c r="Q1513" s="238">
        <v>126.19270099999997</v>
      </c>
      <c r="R1513" s="238">
        <v>4556.921944564745</v>
      </c>
      <c r="S1513" s="238" t="s">
        <v>198</v>
      </c>
      <c r="T1513" s="218">
        <f>VLOOKUP(A1513,'Groupe de branches'!$Z$27:$AM$86,14,FALSE)</f>
        <v>0</v>
      </c>
      <c r="U1513" s="218">
        <f>VLOOKUP(D1513,'Groupe de branches'!$Z$27:$AM$86,14,FALSE)</f>
        <v>0</v>
      </c>
      <c r="V1513" s="218">
        <v>2020</v>
      </c>
      <c r="W1513" s="218" t="str">
        <f>VLOOKUP(D1513,'Table corresp.'!$M$4:$S$63,7,FALSE)</f>
        <v>Consommation finale</v>
      </c>
      <c r="X1513" s="240">
        <f>IFERROR(G1513/SUMIFS('Comp2016-2017 (3)'!$I$5:$I$289,'Comp2016-2017 (3)'!$A$5:$A$289,A1513,'Comp2016-2017 (3)'!$R$5:$R$289,V1513),0)</f>
        <v>0.72670571547534435</v>
      </c>
      <c r="Y1513" s="219" t="e">
        <f>IF(RIGHT(F1513,3)="Exp",VLOOKUP(F1513,#REF!,2,FALSE),VLOOKUP(F1513,#REF!,9,FALSE))</f>
        <v>#REF!</v>
      </c>
      <c r="Z1513" s="226" t="str">
        <f t="shared" si="175"/>
        <v/>
      </c>
      <c r="AA1513" s="226" t="e">
        <f t="shared" si="178"/>
        <v>#VALUE!</v>
      </c>
      <c r="AB1513" s="205">
        <f>IFERROR(SUMIFS('Comp2016-2017 (3)'!$G$5:$G$289,'Comp2016-2017 (3)'!$A$5:$A$289,A1513,'Comp2016-2017 (3)'!$R$5:$R$289,V1513)*AA1513/SUMIFS($AA$4:$AA$1858,$A$4:$A$1858,A1513,$V$4:$V$1858,V1513),0)</f>
        <v>0</v>
      </c>
      <c r="AC1513" s="205" t="str">
        <f>IF($W1513=AC$3,$AB1513,IF(NOT($W1513=0),"",SUMIFS('Val-Vol (2)'!AC$4:AC$1858,'Val-Vol (2)'!$A$4:$A$1858,$D1513,'Val-Vol (2)'!$V$4:$V$1858,$V1513)/SUMIFS('Comp2016-2017 (3)'!$G$5:$G$289,'Comp2016-2017 (3)'!$A$5:$A$289,$D1513,'Comp2016-2017 (3)'!$R$5:$R$289,$V1513)*$AB1513))</f>
        <v/>
      </c>
      <c r="AD1513" s="205" t="str">
        <f>IF($W1513=AD$3,$AB1513,IF(NOT($W1513=0),"",SUMIFS('Val-Vol (2)'!AD$4:AD$1858,'Val-Vol (2)'!$A$4:$A$1858,$D1513,'Val-Vol (2)'!$V$4:$V$1858,$V1513)/SUMIFS('Comp2016-2017 (3)'!$G$5:$G$289,'Comp2016-2017 (3)'!$A$5:$A$289,$D1513,'Comp2016-2017 (3)'!$R$5:$R$289,$V1513)*$AB1513))</f>
        <v/>
      </c>
      <c r="AE1513" s="205" t="str">
        <f>IF($W1513=AE$3,$AB1513,IF(NOT($W1513=0),"",SUMIFS('Val-Vol (2)'!AE$4:AE$1858,'Val-Vol (2)'!$A$4:$A$1858,$D1513,'Val-Vol (2)'!$V$4:$V$1858,$V1513)/SUMIFS('Comp2016-2017 (3)'!$G$5:$G$289,'Comp2016-2017 (3)'!$A$5:$A$289,$D1513,'Comp2016-2017 (3)'!$R$5:$R$289,$V1513)*$AB1513))</f>
        <v/>
      </c>
      <c r="AF1513" s="205" t="str">
        <f>IF($W1513=AF$3,$AB1513,IF(NOT($W1513=0),"",SUMIFS('Val-Vol (2)'!AF$4:AF$1858,'Val-Vol (2)'!$A$4:$A$1858,$D1513,'Val-Vol (2)'!$V$4:$V$1858,$V1513)/SUMIFS('Comp2016-2017 (3)'!$G$5:$G$289,'Comp2016-2017 (3)'!$A$5:$A$289,$D1513,'Comp2016-2017 (3)'!$R$5:$R$289,$V1513)*$AB1513))</f>
        <v/>
      </c>
      <c r="AG1513" s="205" t="str">
        <f>IF($W1513=AG$3,$AB1513,IF(NOT($W1513=0),"",SUMIFS('Val-Vol (2)'!AG$4:AG$1858,'Val-Vol (2)'!$A$4:$A$1858,$D1513,'Val-Vol (2)'!$V$4:$V$1858,$V1513)/SUMIFS('Comp2016-2017 (3)'!$G$5:$G$289,'Comp2016-2017 (3)'!$A$5:$A$289,$D1513,'Comp2016-2017 (3)'!$R$5:$R$289,$V1513)*$AB1513))</f>
        <v/>
      </c>
      <c r="AH1513" s="205" t="str">
        <f>IF($W1513=AH$3,$AB1513,IF(NOT($W1513=0),"",SUMIFS('Val-Vol (2)'!AH$4:AH$1858,'Val-Vol (2)'!$A$4:$A$1858,$D1513,'Val-Vol (2)'!$V$4:$V$1858,$V1513)/SUMIFS('Comp2016-2017 (3)'!$G$5:$G$289,'Comp2016-2017 (3)'!$A$5:$A$289,$D1513,'Comp2016-2017 (3)'!$R$5:$R$289,$V1513)*$AB1513))</f>
        <v/>
      </c>
      <c r="AI1513" s="205" t="str">
        <f>IF($W1513=AI$3,$AB1513,IF(NOT($W1513=0),"",SUMIFS('Val-Vol (2)'!AI$4:AI$1858,'Val-Vol (2)'!$A$4:$A$1858,$D1513,'Val-Vol (2)'!$V$4:$V$1858,$V1513)/SUMIFS('Comp2016-2017 (3)'!$G$5:$G$289,'Comp2016-2017 (3)'!$A$5:$A$289,$D1513,'Comp2016-2017 (3)'!$R$5:$R$289,$V1513)*$AB1513))</f>
        <v/>
      </c>
      <c r="AJ1513" s="205">
        <f>IF($W1513=AJ$3,$AB1513,IF(NOT($W1513=0),"",SUMIFS('Val-Vol (2)'!AJ$4:AJ$1858,'Val-Vol (2)'!$A$4:$A$1858,$D1513,'Val-Vol (2)'!$V$4:$V$1858,$V1513)/SUMIFS('Comp2016-2017 (3)'!$G$5:$G$289,'Comp2016-2017 (3)'!$A$5:$A$289,$D1513,'Comp2016-2017 (3)'!$R$5:$R$289,$V1513)*$AB1513))</f>
        <v>0</v>
      </c>
      <c r="AK1513" s="205">
        <f t="shared" si="177"/>
        <v>0</v>
      </c>
      <c r="AL1513" s="218" t="str">
        <f t="shared" si="179"/>
        <v/>
      </c>
      <c r="AM1513" s="218" t="str">
        <f>VLOOKUP(A1513,'Table corresp.'!$M$4:$U$63,8,FALSE)</f>
        <v>Forêt</v>
      </c>
      <c r="AN1513" s="218" t="str">
        <f>VLOOKUP(D1513,'Table corresp.'!$M$4:$U$63,9,FALSE)</f>
        <v>Consommation finale française</v>
      </c>
    </row>
    <row r="1514" spans="1:40" x14ac:dyDescent="0.25">
      <c r="A1514" t="s">
        <v>2</v>
      </c>
      <c r="B1514" t="str">
        <f>VLOOKUP(LEFT(A1514,3),'Table corresp.'!$A$4:$D$63,3,FALSE)</f>
        <v>Forêt</v>
      </c>
      <c r="C1514" t="str">
        <f>VLOOKUP(A1514,'Table corresp.'!$M$4:$P$63,4,FALSE)</f>
        <v>Production et transformation de produits bois</v>
      </c>
      <c r="D1514" t="s">
        <v>53</v>
      </c>
      <c r="E1514" t="str">
        <f>VLOOKUP(LEFT(D1514,3),'Table corresp.'!$A$4:$D$63,4,FALSE)</f>
        <v>Exportation</v>
      </c>
      <c r="F1514" t="str">
        <f t="shared" ref="F1514:F1577" si="180">LEFT(A1514,3)&amp;" - "&amp;LEFT(D1514,3)</f>
        <v>04  - Exp</v>
      </c>
      <c r="G1514" s="238">
        <v>14127.876052</v>
      </c>
      <c r="H1514" s="238">
        <v>0</v>
      </c>
      <c r="I1514" s="238">
        <v>14127.876052</v>
      </c>
      <c r="J1514" s="238"/>
      <c r="K1514" s="238"/>
      <c r="L1514" s="238"/>
      <c r="M1514" s="238"/>
      <c r="N1514" s="238"/>
      <c r="O1514" s="238"/>
      <c r="P1514" s="238">
        <v>299.12535150438845</v>
      </c>
      <c r="Q1514" s="238">
        <v>0</v>
      </c>
      <c r="R1514" s="238">
        <v>299.12535150438845</v>
      </c>
      <c r="S1514" s="238" t="s">
        <v>198</v>
      </c>
      <c r="T1514" s="218">
        <f>VLOOKUP(A1514,'Groupe de branches'!$Z$27:$AM$86,14,FALSE)</f>
        <v>0</v>
      </c>
      <c r="U1514" s="218">
        <f>VLOOKUP(D1514,'Groupe de branches'!$Z$27:$AM$86,14,FALSE)</f>
        <v>0</v>
      </c>
      <c r="V1514" s="218">
        <v>2020</v>
      </c>
      <c r="W1514" s="218" t="str">
        <f>VLOOKUP(D1514,'Table corresp.'!$M$4:$S$63,7,FALSE)</f>
        <v>Exportation</v>
      </c>
      <c r="X1514" s="240">
        <f>IFERROR(G1514/SUMIFS('Comp2016-2017 (3)'!$I$5:$I$289,'Comp2016-2017 (3)'!$A$5:$A$289,A1514,'Comp2016-2017 (3)'!$R$5:$R$289,V1514),0)</f>
        <v>4.5100524828339594E-2</v>
      </c>
      <c r="Y1514" s="219" t="e">
        <f>IF(RIGHT(F1514,3)="Exp",VLOOKUP(F1514,#REF!,2,FALSE),VLOOKUP(F1514,#REF!,9,FALSE))</f>
        <v>#REF!</v>
      </c>
      <c r="Z1514" s="226" t="str">
        <f t="shared" si="175"/>
        <v/>
      </c>
      <c r="AA1514" s="226" t="e">
        <f t="shared" si="178"/>
        <v>#VALUE!</v>
      </c>
      <c r="AB1514" s="205">
        <f>IFERROR(SUMIFS('Comp2016-2017 (3)'!$G$5:$G$289,'Comp2016-2017 (3)'!$A$5:$A$289,A1514,'Comp2016-2017 (3)'!$R$5:$R$289,V1514)*AA1514/SUMIFS($AA$4:$AA$1858,$A$4:$A$1858,A1514,$V$4:$V$1858,V1514),0)</f>
        <v>0</v>
      </c>
      <c r="AC1514" s="205">
        <f>IF($W1514=AC$3,$AB1514,IF(NOT($W1514=0),"",SUMIFS('Val-Vol (2)'!AC$4:AC$1858,'Val-Vol (2)'!$A$4:$A$1858,$D1514,'Val-Vol (2)'!$V$4:$V$1858,$V1514)/SUMIFS('Comp2016-2017 (3)'!$G$5:$G$289,'Comp2016-2017 (3)'!$A$5:$A$289,$D1514,'Comp2016-2017 (3)'!$R$5:$R$289,$V1514)*$AB1514))</f>
        <v>0</v>
      </c>
      <c r="AD1514" s="205" t="str">
        <f>IF($W1514=AD$3,$AB1514,IF(NOT($W1514=0),"",SUMIFS('Val-Vol (2)'!AD$4:AD$1858,'Val-Vol (2)'!$A$4:$A$1858,$D1514,'Val-Vol (2)'!$V$4:$V$1858,$V1514)/SUMIFS('Comp2016-2017 (3)'!$G$5:$G$289,'Comp2016-2017 (3)'!$A$5:$A$289,$D1514,'Comp2016-2017 (3)'!$R$5:$R$289,$V1514)*$AB1514))</f>
        <v/>
      </c>
      <c r="AE1514" s="205" t="str">
        <f>IF($W1514=AE$3,$AB1514,IF(NOT($W1514=0),"",SUMIFS('Val-Vol (2)'!AE$4:AE$1858,'Val-Vol (2)'!$A$4:$A$1858,$D1514,'Val-Vol (2)'!$V$4:$V$1858,$V1514)/SUMIFS('Comp2016-2017 (3)'!$G$5:$G$289,'Comp2016-2017 (3)'!$A$5:$A$289,$D1514,'Comp2016-2017 (3)'!$R$5:$R$289,$V1514)*$AB1514))</f>
        <v/>
      </c>
      <c r="AF1514" s="205" t="str">
        <f>IF($W1514=AF$3,$AB1514,IF(NOT($W1514=0),"",SUMIFS('Val-Vol (2)'!AF$4:AF$1858,'Val-Vol (2)'!$A$4:$A$1858,$D1514,'Val-Vol (2)'!$V$4:$V$1858,$V1514)/SUMIFS('Comp2016-2017 (3)'!$G$5:$G$289,'Comp2016-2017 (3)'!$A$5:$A$289,$D1514,'Comp2016-2017 (3)'!$R$5:$R$289,$V1514)*$AB1514))</f>
        <v/>
      </c>
      <c r="AG1514" s="205" t="str">
        <f>IF($W1514=AG$3,$AB1514,IF(NOT($W1514=0),"",SUMIFS('Val-Vol (2)'!AG$4:AG$1858,'Val-Vol (2)'!$A$4:$A$1858,$D1514,'Val-Vol (2)'!$V$4:$V$1858,$V1514)/SUMIFS('Comp2016-2017 (3)'!$G$5:$G$289,'Comp2016-2017 (3)'!$A$5:$A$289,$D1514,'Comp2016-2017 (3)'!$R$5:$R$289,$V1514)*$AB1514))</f>
        <v/>
      </c>
      <c r="AH1514" s="205" t="str">
        <f>IF($W1514=AH$3,$AB1514,IF(NOT($W1514=0),"",SUMIFS('Val-Vol (2)'!AH$4:AH$1858,'Val-Vol (2)'!$A$4:$A$1858,$D1514,'Val-Vol (2)'!$V$4:$V$1858,$V1514)/SUMIFS('Comp2016-2017 (3)'!$G$5:$G$289,'Comp2016-2017 (3)'!$A$5:$A$289,$D1514,'Comp2016-2017 (3)'!$R$5:$R$289,$V1514)*$AB1514))</f>
        <v/>
      </c>
      <c r="AI1514" s="205" t="str">
        <f>IF($W1514=AI$3,$AB1514,IF(NOT($W1514=0),"",SUMIFS('Val-Vol (2)'!AI$4:AI$1858,'Val-Vol (2)'!$A$4:$A$1858,$D1514,'Val-Vol (2)'!$V$4:$V$1858,$V1514)/SUMIFS('Comp2016-2017 (3)'!$G$5:$G$289,'Comp2016-2017 (3)'!$A$5:$A$289,$D1514,'Comp2016-2017 (3)'!$R$5:$R$289,$V1514)*$AB1514))</f>
        <v/>
      </c>
      <c r="AJ1514" s="205" t="str">
        <f>IF($W1514=AJ$3,$AB1514,IF(NOT($W1514=0),"",SUMIFS('Val-Vol (2)'!AJ$4:AJ$1858,'Val-Vol (2)'!$A$4:$A$1858,$D1514,'Val-Vol (2)'!$V$4:$V$1858,$V1514)/SUMIFS('Comp2016-2017 (3)'!$G$5:$G$289,'Comp2016-2017 (3)'!$A$5:$A$289,$D1514,'Comp2016-2017 (3)'!$R$5:$R$289,$V1514)*$AB1514))</f>
        <v/>
      </c>
      <c r="AK1514" s="205">
        <f t="shared" si="177"/>
        <v>0</v>
      </c>
      <c r="AL1514" s="218" t="str">
        <f t="shared" si="179"/>
        <v/>
      </c>
      <c r="AM1514" s="218" t="str">
        <f>VLOOKUP(A1514,'Table corresp.'!$M$4:$U$63,8,FALSE)</f>
        <v>Forêt</v>
      </c>
      <c r="AN1514" s="218" t="str">
        <f>VLOOKUP(D1514,'Table corresp.'!$M$4:$U$63,9,FALSE)</f>
        <v>Exportation</v>
      </c>
    </row>
    <row r="1515" spans="1:40" x14ac:dyDescent="0.25">
      <c r="A1515" t="s">
        <v>81</v>
      </c>
      <c r="B1515" t="str">
        <f>VLOOKUP(LEFT(A1515,3),'Table corresp.'!$A$4:$D$63,3,FALSE)</f>
        <v>Transformation</v>
      </c>
      <c r="C1515" t="str">
        <f>VLOOKUP(A1515,'Table corresp.'!$M$4:$P$63,4,FALSE)</f>
        <v>Production et transformation de produits bois</v>
      </c>
      <c r="D1515" t="s">
        <v>0</v>
      </c>
      <c r="E1515" t="str">
        <f>VLOOKUP(LEFT(D1515,3),'Table corresp.'!$A$4:$D$63,4,FALSE)</f>
        <v>Transformation</v>
      </c>
      <c r="F1515" t="str">
        <f t="shared" si="180"/>
        <v xml:space="preserve">05  - 02 </v>
      </c>
      <c r="G1515" s="238">
        <v>345467.58128297701</v>
      </c>
      <c r="H1515" s="238">
        <v>0</v>
      </c>
      <c r="I1515" s="238">
        <v>345467.58128297701</v>
      </c>
      <c r="J1515" s="238"/>
      <c r="K1515" s="238"/>
      <c r="L1515" s="238"/>
      <c r="M1515" s="238"/>
      <c r="N1515" s="238"/>
      <c r="O1515" s="238"/>
      <c r="P1515" s="238"/>
      <c r="Q1515" s="238"/>
      <c r="R1515" s="238"/>
      <c r="S1515" s="238"/>
      <c r="T1515" s="218">
        <f>VLOOKUP(A1515,'Groupe de branches'!$Z$27:$AM$86,14,FALSE)</f>
        <v>0</v>
      </c>
      <c r="U1515" s="218">
        <f>VLOOKUP(D1515,'Groupe de branches'!$Z$27:$AM$86,14,FALSE)</f>
        <v>0</v>
      </c>
      <c r="V1515" s="218">
        <v>2020</v>
      </c>
      <c r="W1515" s="218">
        <f>VLOOKUP(D1515,'Table corresp.'!$M$4:$S$63,7,FALSE)</f>
        <v>0</v>
      </c>
      <c r="X1515" s="240">
        <f>IFERROR(G1515/SUMIFS('Comp2016-2017 (3)'!$I$5:$I$289,'Comp2016-2017 (3)'!$A$5:$A$289,A1515,'Comp2016-2017 (3)'!$R$5:$R$289,V1515),0)</f>
        <v>0.31880689950862234</v>
      </c>
      <c r="Y1515" s="219">
        <f>IFERROR(IF(RIGHT(F1515,3)="Exp",VLOOKUP(F1515,#REF!,2,FALSE),VLOOKUP(F1515,#REF!,9,FALSE)),1)</f>
        <v>1</v>
      </c>
      <c r="Z1515" s="226">
        <f t="shared" si="175"/>
        <v>5.2631578947368418E-2</v>
      </c>
      <c r="AA1515" s="226">
        <f t="shared" si="178"/>
        <v>1.6779310500453806E-2</v>
      </c>
      <c r="AB1515" s="205">
        <f>IFERROR(SUMIFS('Comp2016-2017 (3)'!$G$5:$G$289,'Comp2016-2017 (3)'!$A$5:$A$289,A1515,'Comp2016-2017 (3)'!$R$5:$R$289,V1515)*AA1515/SUMIFS($AA$4:$AA$1858,$A$4:$A$1858,A1515,$V$4:$V$1858,V1515),0)</f>
        <v>248712.51059243779</v>
      </c>
      <c r="AC1515" s="205">
        <f>IF($W1515=AC$3,$AB1515,IF(NOT($W1515=0),"",SUMIFS('Val-Vol (2)'!AC$4:AC$1858,'Val-Vol (2)'!$A$4:$A$1858,$D1515,'Val-Vol (2)'!$V$4:$V$1858,$V1515)/SUMIFS('Comp2016-2017 (3)'!$G$5:$G$289,'Comp2016-2017 (3)'!$A$5:$A$289,$D1515,'Comp2016-2017 (3)'!$R$5:$R$289,$V1515)*$AB1515))</f>
        <v>0</v>
      </c>
      <c r="AD1515" s="205">
        <f>IF($W1515=AD$3,$AB1515,IF(NOT($W1515=0),"",SUMIFS('Val-Vol (2)'!AD$4:AD$1858,'Val-Vol (2)'!$A$4:$A$1858,$D1515,'Val-Vol (2)'!$V$4:$V$1858,$V1515)/SUMIFS('Comp2016-2017 (3)'!$G$5:$G$289,'Comp2016-2017 (3)'!$A$5:$A$289,$D1515,'Comp2016-2017 (3)'!$R$5:$R$289,$V1515)*$AB1515))</f>
        <v>0</v>
      </c>
      <c r="AE1515" s="205">
        <f>IF($W1515=AE$3,$AB1515,IF(NOT($W1515=0),"",SUMIFS('Val-Vol (2)'!AE$4:AE$1858,'Val-Vol (2)'!$A$4:$A$1858,$D1515,'Val-Vol (2)'!$V$4:$V$1858,$V1515)/SUMIFS('Comp2016-2017 (3)'!$G$5:$G$289,'Comp2016-2017 (3)'!$A$5:$A$289,$D1515,'Comp2016-2017 (3)'!$R$5:$R$289,$V1515)*$AB1515))</f>
        <v>0</v>
      </c>
      <c r="AF1515" s="205">
        <f>IF($W1515=AF$3,$AB1515,IF(NOT($W1515=0),"",SUMIFS('Val-Vol (2)'!AF$4:AF$1858,'Val-Vol (2)'!$A$4:$A$1858,$D1515,'Val-Vol (2)'!$V$4:$V$1858,$V1515)/SUMIFS('Comp2016-2017 (3)'!$G$5:$G$289,'Comp2016-2017 (3)'!$A$5:$A$289,$D1515,'Comp2016-2017 (3)'!$R$5:$R$289,$V1515)*$AB1515))</f>
        <v>0</v>
      </c>
      <c r="AG1515" s="205">
        <f>IF($W1515=AG$3,$AB1515,IF(NOT($W1515=0),"",SUMIFS('Val-Vol (2)'!AG$4:AG$1858,'Val-Vol (2)'!$A$4:$A$1858,$D1515,'Val-Vol (2)'!$V$4:$V$1858,$V1515)/SUMIFS('Comp2016-2017 (3)'!$G$5:$G$289,'Comp2016-2017 (3)'!$A$5:$A$289,$D1515,'Comp2016-2017 (3)'!$R$5:$R$289,$V1515)*$AB1515))</f>
        <v>0</v>
      </c>
      <c r="AH1515" s="205">
        <f>IF($W1515=AH$3,$AB1515,IF(NOT($W1515=0),"",SUMIFS('Val-Vol (2)'!AH$4:AH$1858,'Val-Vol (2)'!$A$4:$A$1858,$D1515,'Val-Vol (2)'!$V$4:$V$1858,$V1515)/SUMIFS('Comp2016-2017 (3)'!$G$5:$G$289,'Comp2016-2017 (3)'!$A$5:$A$289,$D1515,'Comp2016-2017 (3)'!$R$5:$R$289,$V1515)*$AB1515))</f>
        <v>0</v>
      </c>
      <c r="AI1515" s="205">
        <f>IF($W1515=AI$3,$AB1515,IF(NOT($W1515=0),"",SUMIFS('Val-Vol (2)'!AI$4:AI$1858,'Val-Vol (2)'!$A$4:$A$1858,$D1515,'Val-Vol (2)'!$V$4:$V$1858,$V1515)/SUMIFS('Comp2016-2017 (3)'!$G$5:$G$289,'Comp2016-2017 (3)'!$A$5:$A$289,$D1515,'Comp2016-2017 (3)'!$R$5:$R$289,$V1515)*$AB1515))</f>
        <v>0</v>
      </c>
      <c r="AJ1515" s="205">
        <f>IF($W1515=AJ$3,$AB1515,IF(NOT($W1515=0),"",SUMIFS('Val-Vol (2)'!AJ$4:AJ$1858,'Val-Vol (2)'!$A$4:$A$1858,$D1515,'Val-Vol (2)'!$V$4:$V$1858,$V1515)/SUMIFS('Comp2016-2017 (3)'!$G$5:$G$289,'Comp2016-2017 (3)'!$A$5:$A$289,$D1515,'Comp2016-2017 (3)'!$R$5:$R$289,$V1515)*$AB1515))</f>
        <v>0</v>
      </c>
      <c r="AK1515" s="205">
        <f t="shared" si="177"/>
        <v>-248712.51059243779</v>
      </c>
      <c r="AL1515" s="218" t="str">
        <f t="shared" si="179"/>
        <v/>
      </c>
      <c r="AM1515" s="218" t="str">
        <f>VLOOKUP(A1515,'Table corresp.'!$M$4:$U$63,8,FALSE)</f>
        <v>Production intermédiaire</v>
      </c>
      <c r="AN1515" s="218" t="str">
        <f>VLOOKUP(D1515,'Table corresp.'!$M$4:$U$63,9,FALSE)</f>
        <v>Production intermédiaire</v>
      </c>
    </row>
    <row r="1516" spans="1:40" x14ac:dyDescent="0.25">
      <c r="A1516" t="s">
        <v>81</v>
      </c>
      <c r="B1516" t="str">
        <f>VLOOKUP(LEFT(A1516,3),'Table corresp.'!$A$4:$D$63,3,FALSE)</f>
        <v>Transformation</v>
      </c>
      <c r="C1516" t="str">
        <f>VLOOKUP(A1516,'Table corresp.'!$M$4:$P$63,4,FALSE)</f>
        <v>Production et transformation de produits bois</v>
      </c>
      <c r="D1516" t="s">
        <v>2</v>
      </c>
      <c r="E1516" t="str">
        <f>VLOOKUP(LEFT(D1516,3),'Table corresp.'!$A$4:$D$63,4,FALSE)</f>
        <v>Transformation</v>
      </c>
      <c r="F1516" t="str">
        <f t="shared" si="180"/>
        <v xml:space="preserve">05  - 04 </v>
      </c>
      <c r="G1516" s="238">
        <v>95408.307233771702</v>
      </c>
      <c r="H1516" s="238">
        <v>0</v>
      </c>
      <c r="I1516" s="238">
        <v>95408.307233771702</v>
      </c>
      <c r="J1516" s="238"/>
      <c r="K1516" s="238"/>
      <c r="L1516" s="238"/>
      <c r="M1516" s="238"/>
      <c r="N1516" s="238"/>
      <c r="O1516" s="238"/>
      <c r="P1516" s="238"/>
      <c r="Q1516" s="238"/>
      <c r="R1516" s="238"/>
      <c r="S1516" s="238"/>
      <c r="T1516" s="218">
        <f>VLOOKUP(A1516,'Groupe de branches'!$Z$27:$AM$86,14,FALSE)</f>
        <v>0</v>
      </c>
      <c r="U1516" s="218">
        <f>VLOOKUP(D1516,'Groupe de branches'!$Z$27:$AM$86,14,FALSE)</f>
        <v>0</v>
      </c>
      <c r="V1516" s="218">
        <v>2020</v>
      </c>
      <c r="W1516" s="218" t="str">
        <f>VLOOKUP(D1516,'Table corresp.'!$M$4:$S$63,7,FALSE)</f>
        <v>Energie</v>
      </c>
      <c r="X1516" s="240">
        <f>IFERROR(G1516/SUMIFS('Comp2016-2017 (3)'!$I$5:$I$289,'Comp2016-2017 (3)'!$A$5:$A$289,A1516,'Comp2016-2017 (3)'!$R$5:$R$289,V1516),0)</f>
        <v>8.8045386208467427E-2</v>
      </c>
      <c r="Y1516" s="219">
        <f>IFERROR(IF(RIGHT(F1516,3)="Exp",VLOOKUP(F1516,#REF!,2,FALSE),VLOOKUP(F1516,#REF!,9,FALSE)),1)</f>
        <v>1</v>
      </c>
      <c r="Z1516" s="226">
        <f t="shared" si="175"/>
        <v>5.2631578947368418E-2</v>
      </c>
      <c r="AA1516" s="226">
        <f t="shared" si="178"/>
        <v>4.6339676951824959E-3</v>
      </c>
      <c r="AB1516" s="205">
        <f>IFERROR(SUMIFS('Comp2016-2017 (3)'!$G$5:$G$289,'Comp2016-2017 (3)'!$A$5:$A$289,A1516,'Comp2016-2017 (3)'!$R$5:$R$289,V1516)*AA1516/SUMIFS($AA$4:$AA$1858,$A$4:$A$1858,A1516,$V$4:$V$1858,V1516),0)</f>
        <v>68687.312237408099</v>
      </c>
      <c r="AC1516" s="205" t="str">
        <f>IF($W1516=AC$3,$AB1516,IF(NOT($W1516=0),"",SUMIFS('Val-Vol (2)'!AC$4:AC$1858,'Val-Vol (2)'!$A$4:$A$1858,$D1516,'Val-Vol (2)'!$V$4:$V$1858,$V1516)/SUMIFS('Comp2016-2017 (3)'!$G$5:$G$289,'Comp2016-2017 (3)'!$A$5:$A$289,$D1516,'Comp2016-2017 (3)'!$R$5:$R$289,$V1516)*$AB1516))</f>
        <v/>
      </c>
      <c r="AD1516" s="205" t="str">
        <f>IF($W1516=AD$3,$AB1516,IF(NOT($W1516=0),"",SUMIFS('Val-Vol (2)'!AD$4:AD$1858,'Val-Vol (2)'!$A$4:$A$1858,$D1516,'Val-Vol (2)'!$V$4:$V$1858,$V1516)/SUMIFS('Comp2016-2017 (3)'!$G$5:$G$289,'Comp2016-2017 (3)'!$A$5:$A$289,$D1516,'Comp2016-2017 (3)'!$R$5:$R$289,$V1516)*$AB1516))</f>
        <v/>
      </c>
      <c r="AE1516" s="205" t="str">
        <f>IF($W1516=AE$3,$AB1516,IF(NOT($W1516=0),"",SUMIFS('Val-Vol (2)'!AE$4:AE$1858,'Val-Vol (2)'!$A$4:$A$1858,$D1516,'Val-Vol (2)'!$V$4:$V$1858,$V1516)/SUMIFS('Comp2016-2017 (3)'!$G$5:$G$289,'Comp2016-2017 (3)'!$A$5:$A$289,$D1516,'Comp2016-2017 (3)'!$R$5:$R$289,$V1516)*$AB1516))</f>
        <v/>
      </c>
      <c r="AF1516" s="205" t="str">
        <f>IF($W1516=AF$3,$AB1516,IF(NOT($W1516=0),"",SUMIFS('Val-Vol (2)'!AF$4:AF$1858,'Val-Vol (2)'!$A$4:$A$1858,$D1516,'Val-Vol (2)'!$V$4:$V$1858,$V1516)/SUMIFS('Comp2016-2017 (3)'!$G$5:$G$289,'Comp2016-2017 (3)'!$A$5:$A$289,$D1516,'Comp2016-2017 (3)'!$R$5:$R$289,$V1516)*$AB1516))</f>
        <v/>
      </c>
      <c r="AG1516" s="205" t="str">
        <f>IF($W1516=AG$3,$AB1516,IF(NOT($W1516=0),"",SUMIFS('Val-Vol (2)'!AG$4:AG$1858,'Val-Vol (2)'!$A$4:$A$1858,$D1516,'Val-Vol (2)'!$V$4:$V$1858,$V1516)/SUMIFS('Comp2016-2017 (3)'!$G$5:$G$289,'Comp2016-2017 (3)'!$A$5:$A$289,$D1516,'Comp2016-2017 (3)'!$R$5:$R$289,$V1516)*$AB1516))</f>
        <v/>
      </c>
      <c r="AH1516" s="205">
        <f>IF($W1516=AH$3,$AB1516,IF(NOT($W1516=0),"",SUMIFS('Val-Vol (2)'!AH$4:AH$1858,'Val-Vol (2)'!$A$4:$A$1858,$D1516,'Val-Vol (2)'!$V$4:$V$1858,$V1516)/SUMIFS('Comp2016-2017 (3)'!$G$5:$G$289,'Comp2016-2017 (3)'!$A$5:$A$289,$D1516,'Comp2016-2017 (3)'!$R$5:$R$289,$V1516)*$AB1516))</f>
        <v>68687.312237408099</v>
      </c>
      <c r="AI1516" s="205" t="str">
        <f>IF($W1516=AI$3,$AB1516,IF(NOT($W1516=0),"",SUMIFS('Val-Vol (2)'!AI$4:AI$1858,'Val-Vol (2)'!$A$4:$A$1858,$D1516,'Val-Vol (2)'!$V$4:$V$1858,$V1516)/SUMIFS('Comp2016-2017 (3)'!$G$5:$G$289,'Comp2016-2017 (3)'!$A$5:$A$289,$D1516,'Comp2016-2017 (3)'!$R$5:$R$289,$V1516)*$AB1516))</f>
        <v/>
      </c>
      <c r="AJ1516" s="205" t="str">
        <f>IF($W1516=AJ$3,$AB1516,IF(NOT($W1516=0),"",SUMIFS('Val-Vol (2)'!AJ$4:AJ$1858,'Val-Vol (2)'!$A$4:$A$1858,$D1516,'Val-Vol (2)'!$V$4:$V$1858,$V1516)/SUMIFS('Comp2016-2017 (3)'!$G$5:$G$289,'Comp2016-2017 (3)'!$A$5:$A$289,$D1516,'Comp2016-2017 (3)'!$R$5:$R$289,$V1516)*$AB1516))</f>
        <v/>
      </c>
      <c r="AK1516" s="205">
        <f t="shared" si="177"/>
        <v>0</v>
      </c>
      <c r="AL1516" s="218" t="str">
        <f t="shared" si="179"/>
        <v/>
      </c>
      <c r="AM1516" s="218" t="str">
        <f>VLOOKUP(A1516,'Table corresp.'!$M$4:$U$63,8,FALSE)</f>
        <v>Production intermédiaire</v>
      </c>
      <c r="AN1516" s="218" t="str">
        <f>VLOOKUP(D1516,'Table corresp.'!$M$4:$U$63,9,FALSE)</f>
        <v>Production intermédiaire</v>
      </c>
    </row>
    <row r="1517" spans="1:40" x14ac:dyDescent="0.25">
      <c r="A1517" t="s">
        <v>81</v>
      </c>
      <c r="B1517" t="str">
        <f>VLOOKUP(LEFT(A1517,3),'Table corresp.'!$A$4:$D$63,3,FALSE)</f>
        <v>Transformation</v>
      </c>
      <c r="C1517" t="str">
        <f>VLOOKUP(A1517,'Table corresp.'!$M$4:$P$63,4,FALSE)</f>
        <v>Production et transformation de produits bois</v>
      </c>
      <c r="D1517" t="s">
        <v>3</v>
      </c>
      <c r="E1517" t="str">
        <f>VLOOKUP(LEFT(D1517,3),'Table corresp.'!$A$4:$D$63,4,FALSE)</f>
        <v>Transformation</v>
      </c>
      <c r="F1517" t="str">
        <f t="shared" si="180"/>
        <v xml:space="preserve">05  - 06 </v>
      </c>
      <c r="G1517" s="238">
        <v>98027.860740441494</v>
      </c>
      <c r="H1517" s="238">
        <v>0</v>
      </c>
      <c r="I1517" s="238">
        <v>98027.860740441494</v>
      </c>
      <c r="J1517" s="238"/>
      <c r="K1517" s="238"/>
      <c r="L1517" s="238"/>
      <c r="M1517" s="238"/>
      <c r="N1517" s="238"/>
      <c r="O1517" s="238"/>
      <c r="P1517" s="238"/>
      <c r="Q1517" s="238"/>
      <c r="R1517" s="238"/>
      <c r="S1517" s="238"/>
      <c r="T1517" s="218">
        <f>VLOOKUP(A1517,'Groupe de branches'!$Z$27:$AM$86,14,FALSE)</f>
        <v>0</v>
      </c>
      <c r="U1517" s="218">
        <f>VLOOKUP(D1517,'Groupe de branches'!$Z$27:$AM$86,14,FALSE)</f>
        <v>0</v>
      </c>
      <c r="V1517" s="218">
        <v>2020</v>
      </c>
      <c r="W1517" s="218">
        <f>VLOOKUP(D1517,'Table corresp.'!$M$4:$S$63,7,FALSE)</f>
        <v>0</v>
      </c>
      <c r="X1517" s="240">
        <f>IFERROR(G1517/SUMIFS('Comp2016-2017 (3)'!$I$5:$I$289,'Comp2016-2017 (3)'!$A$5:$A$289,A1517,'Comp2016-2017 (3)'!$R$5:$R$289,V1517),0)</f>
        <v>9.0462781578698317E-2</v>
      </c>
      <c r="Y1517" s="219">
        <f>IFERROR(IF(RIGHT(F1517,3)="Exp",VLOOKUP(F1517,#REF!,2,FALSE),VLOOKUP(F1517,#REF!,9,FALSE)),1)</f>
        <v>1</v>
      </c>
      <c r="Z1517" s="226">
        <f t="shared" si="175"/>
        <v>5.2631578947368418E-2</v>
      </c>
      <c r="AA1517" s="226">
        <f t="shared" si="178"/>
        <v>4.7611990304578062E-3</v>
      </c>
      <c r="AB1517" s="205">
        <f>IFERROR(SUMIFS('Comp2016-2017 (3)'!$G$5:$G$289,'Comp2016-2017 (3)'!$A$5:$A$289,A1517,'Comp2016-2017 (3)'!$R$5:$R$289,V1517)*AA1517/SUMIFS($AA$4:$AA$1858,$A$4:$A$1858,A1517,$V$4:$V$1858,V1517),0)</f>
        <v>70573.207657335806</v>
      </c>
      <c r="AC1517" s="205">
        <f>IF($W1517=AC$3,$AB1517,IF(NOT($W1517=0),"",SUMIFS('Val-Vol (2)'!AC$4:AC$1858,'Val-Vol (2)'!$A$4:$A$1858,$D1517,'Val-Vol (2)'!$V$4:$V$1858,$V1517)/SUMIFS('Comp2016-2017 (3)'!$G$5:$G$289,'Comp2016-2017 (3)'!$A$5:$A$289,$D1517,'Comp2016-2017 (3)'!$R$5:$R$289,$V1517)*$AB1517))</f>
        <v>4571.6469537587709</v>
      </c>
      <c r="AD1517" s="205">
        <f>IF($W1517=AD$3,$AB1517,IF(NOT($W1517=0),"",SUMIFS('Val-Vol (2)'!AD$4:AD$1858,'Val-Vol (2)'!$A$4:$A$1858,$D1517,'Val-Vol (2)'!$V$4:$V$1858,$V1517)/SUMIFS('Comp2016-2017 (3)'!$G$5:$G$289,'Comp2016-2017 (3)'!$A$5:$A$289,$D1517,'Comp2016-2017 (3)'!$R$5:$R$289,$V1517)*$AB1517))</f>
        <v>358.6752673905637</v>
      </c>
      <c r="AE1517" s="205">
        <f>IF($W1517=AE$3,$AB1517,IF(NOT($W1517=0),"",SUMIFS('Val-Vol (2)'!AE$4:AE$1858,'Val-Vol (2)'!$A$4:$A$1858,$D1517,'Val-Vol (2)'!$V$4:$V$1858,$V1517)/SUMIFS('Comp2016-2017 (3)'!$G$5:$G$289,'Comp2016-2017 (3)'!$A$5:$A$289,$D1517,'Comp2016-2017 (3)'!$R$5:$R$289,$V1517)*$AB1517))</f>
        <v>0</v>
      </c>
      <c r="AF1517" s="205">
        <f>IF($W1517=AF$3,$AB1517,IF(NOT($W1517=0),"",SUMIFS('Val-Vol (2)'!AF$4:AF$1858,'Val-Vol (2)'!$A$4:$A$1858,$D1517,'Val-Vol (2)'!$V$4:$V$1858,$V1517)/SUMIFS('Comp2016-2017 (3)'!$G$5:$G$289,'Comp2016-2017 (3)'!$A$5:$A$289,$D1517,'Comp2016-2017 (3)'!$R$5:$R$289,$V1517)*$AB1517))</f>
        <v>4147.4908265983258</v>
      </c>
      <c r="AG1517" s="205">
        <f>IF($W1517=AG$3,$AB1517,IF(NOT($W1517=0),"",SUMIFS('Val-Vol (2)'!AG$4:AG$1858,'Val-Vol (2)'!$A$4:$A$1858,$D1517,'Val-Vol (2)'!$V$4:$V$1858,$V1517)/SUMIFS('Comp2016-2017 (3)'!$G$5:$G$289,'Comp2016-2017 (3)'!$A$5:$A$289,$D1517,'Comp2016-2017 (3)'!$R$5:$R$289,$V1517)*$AB1517))</f>
        <v>1309.1195882199752</v>
      </c>
      <c r="AH1517" s="205">
        <f>IF($W1517=AH$3,$AB1517,IF(NOT($W1517=0),"",SUMIFS('Val-Vol (2)'!AH$4:AH$1858,'Val-Vol (2)'!$A$4:$A$1858,$D1517,'Val-Vol (2)'!$V$4:$V$1858,$V1517)/SUMIFS('Comp2016-2017 (3)'!$G$5:$G$289,'Comp2016-2017 (3)'!$A$5:$A$289,$D1517,'Comp2016-2017 (3)'!$R$5:$R$289,$V1517)*$AB1517))</f>
        <v>13441.238455766917</v>
      </c>
      <c r="AI1517" s="205">
        <f>IF($W1517=AI$3,$AB1517,IF(NOT($W1517=0),"",SUMIFS('Val-Vol (2)'!AI$4:AI$1858,'Val-Vol (2)'!$A$4:$A$1858,$D1517,'Val-Vol (2)'!$V$4:$V$1858,$V1517)/SUMIFS('Comp2016-2017 (3)'!$G$5:$G$289,'Comp2016-2017 (3)'!$A$5:$A$289,$D1517,'Comp2016-2017 (3)'!$R$5:$R$289,$V1517)*$AB1517))</f>
        <v>898.16891344506416</v>
      </c>
      <c r="AJ1517" s="205">
        <f>IF($W1517=AJ$3,$AB1517,IF(NOT($W1517=0),"",SUMIFS('Val-Vol (2)'!AJ$4:AJ$1858,'Val-Vol (2)'!$A$4:$A$1858,$D1517,'Val-Vol (2)'!$V$4:$V$1858,$V1517)/SUMIFS('Comp2016-2017 (3)'!$G$5:$G$289,'Comp2016-2017 (3)'!$A$5:$A$289,$D1517,'Comp2016-2017 (3)'!$R$5:$R$289,$V1517)*$AB1517))</f>
        <v>0</v>
      </c>
      <c r="AK1517" s="205">
        <f t="shared" si="177"/>
        <v>-45846.867652156187</v>
      </c>
      <c r="AL1517" s="218" t="str">
        <f t="shared" si="179"/>
        <v/>
      </c>
      <c r="AM1517" s="218" t="str">
        <f>VLOOKUP(A1517,'Table corresp.'!$M$4:$U$63,8,FALSE)</f>
        <v>Production intermédiaire</v>
      </c>
      <c r="AN1517" s="218" t="str">
        <f>VLOOKUP(D1517,'Table corresp.'!$M$4:$U$63,9,FALSE)</f>
        <v>Production intermédiaire</v>
      </c>
    </row>
    <row r="1518" spans="1:40" x14ac:dyDescent="0.25">
      <c r="A1518" t="s">
        <v>81</v>
      </c>
      <c r="B1518" t="str">
        <f>VLOOKUP(LEFT(A1518,3),'Table corresp.'!$A$4:$D$63,3,FALSE)</f>
        <v>Transformation</v>
      </c>
      <c r="C1518" t="str">
        <f>VLOOKUP(A1518,'Table corresp.'!$M$4:$P$63,4,FALSE)</f>
        <v>Production et transformation de produits bois</v>
      </c>
      <c r="D1518" t="s">
        <v>4</v>
      </c>
      <c r="E1518" t="str">
        <f>VLOOKUP(LEFT(D1518,3),'Table corresp.'!$A$4:$D$63,4,FALSE)</f>
        <v>Transformation</v>
      </c>
      <c r="F1518" t="str">
        <f t="shared" si="180"/>
        <v xml:space="preserve">05  - 08 </v>
      </c>
      <c r="G1518" s="238">
        <v>31088.159066425102</v>
      </c>
      <c r="H1518" s="238">
        <v>0</v>
      </c>
      <c r="I1518" s="238">
        <v>31088.159066425102</v>
      </c>
      <c r="J1518" s="238"/>
      <c r="K1518" s="238"/>
      <c r="L1518" s="238"/>
      <c r="M1518" s="238"/>
      <c r="N1518" s="238"/>
      <c r="O1518" s="238"/>
      <c r="P1518" s="238"/>
      <c r="Q1518" s="238"/>
      <c r="R1518" s="238"/>
      <c r="S1518" s="238"/>
      <c r="T1518" s="218">
        <f>VLOOKUP(A1518,'Groupe de branches'!$Z$27:$AM$86,14,FALSE)</f>
        <v>0</v>
      </c>
      <c r="U1518" s="218">
        <f>VLOOKUP(D1518,'Groupe de branches'!$Z$27:$AM$86,14,FALSE)</f>
        <v>0</v>
      </c>
      <c r="V1518" s="218">
        <v>2020</v>
      </c>
      <c r="W1518" s="218">
        <f>VLOOKUP(D1518,'Table corresp.'!$M$4:$S$63,7,FALSE)</f>
        <v>0</v>
      </c>
      <c r="X1518" s="240">
        <f>IFERROR(G1518/SUMIFS('Comp2016-2017 (3)'!$I$5:$I$289,'Comp2016-2017 (3)'!$A$5:$A$289,A1518,'Comp2016-2017 (3)'!$R$5:$R$289,V1518),0)</f>
        <v>2.8689000474633616E-2</v>
      </c>
      <c r="Y1518" s="219">
        <f>IFERROR(IF(RIGHT(F1518,3)="Exp",VLOOKUP(F1518,#REF!,2,FALSE),VLOOKUP(F1518,#REF!,9,FALSE)),1)</f>
        <v>1</v>
      </c>
      <c r="Z1518" s="226">
        <f t="shared" si="175"/>
        <v>5.2631578947368418E-2</v>
      </c>
      <c r="AA1518" s="226">
        <f t="shared" si="178"/>
        <v>1.5099473934017693E-3</v>
      </c>
      <c r="AB1518" s="205">
        <f>IFERROR(SUMIFS('Comp2016-2017 (3)'!$G$5:$G$289,'Comp2016-2017 (3)'!$A$5:$A$289,A1518,'Comp2016-2017 (3)'!$R$5:$R$289,V1518)*AA1518/SUMIFS($AA$4:$AA$1858,$A$4:$A$1858,A1518,$V$4:$V$1858,V1518),0)</f>
        <v>22381.301488240806</v>
      </c>
      <c r="AC1518" s="205">
        <f>IF($W1518=AC$3,$AB1518,IF(NOT($W1518=0),"",SUMIFS('Val-Vol (2)'!AC$4:AC$1858,'Val-Vol (2)'!$A$4:$A$1858,$D1518,'Val-Vol (2)'!$V$4:$V$1858,$V1518)/SUMIFS('Comp2016-2017 (3)'!$G$5:$G$289,'Comp2016-2017 (3)'!$A$5:$A$289,$D1518,'Comp2016-2017 (3)'!$R$5:$R$289,$V1518)*$AB1518))</f>
        <v>0</v>
      </c>
      <c r="AD1518" s="205">
        <f>IF($W1518=AD$3,$AB1518,IF(NOT($W1518=0),"",SUMIFS('Val-Vol (2)'!AD$4:AD$1858,'Val-Vol (2)'!$A$4:$A$1858,$D1518,'Val-Vol (2)'!$V$4:$V$1858,$V1518)/SUMIFS('Comp2016-2017 (3)'!$G$5:$G$289,'Comp2016-2017 (3)'!$A$5:$A$289,$D1518,'Comp2016-2017 (3)'!$R$5:$R$289,$V1518)*$AB1518))</f>
        <v>0</v>
      </c>
      <c r="AE1518" s="205">
        <f>IF($W1518=AE$3,$AB1518,IF(NOT($W1518=0),"",SUMIFS('Val-Vol (2)'!AE$4:AE$1858,'Val-Vol (2)'!$A$4:$A$1858,$D1518,'Val-Vol (2)'!$V$4:$V$1858,$V1518)/SUMIFS('Comp2016-2017 (3)'!$G$5:$G$289,'Comp2016-2017 (3)'!$A$5:$A$289,$D1518,'Comp2016-2017 (3)'!$R$5:$R$289,$V1518)*$AB1518))</f>
        <v>0</v>
      </c>
      <c r="AF1518" s="205">
        <f>IF($W1518=AF$3,$AB1518,IF(NOT($W1518=0),"",SUMIFS('Val-Vol (2)'!AF$4:AF$1858,'Val-Vol (2)'!$A$4:$A$1858,$D1518,'Val-Vol (2)'!$V$4:$V$1858,$V1518)/SUMIFS('Comp2016-2017 (3)'!$G$5:$G$289,'Comp2016-2017 (3)'!$A$5:$A$289,$D1518,'Comp2016-2017 (3)'!$R$5:$R$289,$V1518)*$AB1518))</f>
        <v>0</v>
      </c>
      <c r="AG1518" s="205">
        <f>IF($W1518=AG$3,$AB1518,IF(NOT($W1518=0),"",SUMIFS('Val-Vol (2)'!AG$4:AG$1858,'Val-Vol (2)'!$A$4:$A$1858,$D1518,'Val-Vol (2)'!$V$4:$V$1858,$V1518)/SUMIFS('Comp2016-2017 (3)'!$G$5:$G$289,'Comp2016-2017 (3)'!$A$5:$A$289,$D1518,'Comp2016-2017 (3)'!$R$5:$R$289,$V1518)*$AB1518))</f>
        <v>0</v>
      </c>
      <c r="AH1518" s="205">
        <f>IF($W1518=AH$3,$AB1518,IF(NOT($W1518=0),"",SUMIFS('Val-Vol (2)'!AH$4:AH$1858,'Val-Vol (2)'!$A$4:$A$1858,$D1518,'Val-Vol (2)'!$V$4:$V$1858,$V1518)/SUMIFS('Comp2016-2017 (3)'!$G$5:$G$289,'Comp2016-2017 (3)'!$A$5:$A$289,$D1518,'Comp2016-2017 (3)'!$R$5:$R$289,$V1518)*$AB1518))</f>
        <v>0</v>
      </c>
      <c r="AI1518" s="205">
        <f>IF($W1518=AI$3,$AB1518,IF(NOT($W1518=0),"",SUMIFS('Val-Vol (2)'!AI$4:AI$1858,'Val-Vol (2)'!$A$4:$A$1858,$D1518,'Val-Vol (2)'!$V$4:$V$1858,$V1518)/SUMIFS('Comp2016-2017 (3)'!$G$5:$G$289,'Comp2016-2017 (3)'!$A$5:$A$289,$D1518,'Comp2016-2017 (3)'!$R$5:$R$289,$V1518)*$AB1518))</f>
        <v>0</v>
      </c>
      <c r="AJ1518" s="205">
        <f>IF($W1518=AJ$3,$AB1518,IF(NOT($W1518=0),"",SUMIFS('Val-Vol (2)'!AJ$4:AJ$1858,'Val-Vol (2)'!$A$4:$A$1858,$D1518,'Val-Vol (2)'!$V$4:$V$1858,$V1518)/SUMIFS('Comp2016-2017 (3)'!$G$5:$G$289,'Comp2016-2017 (3)'!$A$5:$A$289,$D1518,'Comp2016-2017 (3)'!$R$5:$R$289,$V1518)*$AB1518))</f>
        <v>0</v>
      </c>
      <c r="AK1518" s="205">
        <f t="shared" si="177"/>
        <v>-22381.301488240806</v>
      </c>
      <c r="AL1518" s="218" t="str">
        <f t="shared" si="179"/>
        <v/>
      </c>
      <c r="AM1518" s="218" t="str">
        <f>VLOOKUP(A1518,'Table corresp.'!$M$4:$U$63,8,FALSE)</f>
        <v>Production intermédiaire</v>
      </c>
      <c r="AN1518" s="218" t="str">
        <f>VLOOKUP(D1518,'Table corresp.'!$M$4:$U$63,9,FALSE)</f>
        <v>Production intermédiaire</v>
      </c>
    </row>
    <row r="1519" spans="1:40" x14ac:dyDescent="0.25">
      <c r="A1519" t="s">
        <v>81</v>
      </c>
      <c r="B1519" t="str">
        <f>VLOOKUP(LEFT(A1519,3),'Table corresp.'!$A$4:$D$63,3,FALSE)</f>
        <v>Transformation</v>
      </c>
      <c r="C1519" t="str">
        <f>VLOOKUP(A1519,'Table corresp.'!$M$4:$P$63,4,FALSE)</f>
        <v>Production et transformation de produits bois</v>
      </c>
      <c r="D1519" t="s">
        <v>5</v>
      </c>
      <c r="E1519" t="str">
        <f>VLOOKUP(LEFT(D1519,3),'Table corresp.'!$A$4:$D$63,4,FALSE)</f>
        <v>Transformation</v>
      </c>
      <c r="F1519" t="str">
        <f t="shared" si="180"/>
        <v xml:space="preserve">05  - 09 </v>
      </c>
      <c r="G1519" s="238">
        <v>9060.9615011188798</v>
      </c>
      <c r="H1519" s="238">
        <v>0</v>
      </c>
      <c r="I1519" s="238">
        <v>9060.9615011188907</v>
      </c>
      <c r="J1519" s="238"/>
      <c r="K1519" s="238"/>
      <c r="L1519" s="238"/>
      <c r="M1519" s="238"/>
      <c r="N1519" s="238"/>
      <c r="O1519" s="238"/>
      <c r="P1519" s="238"/>
      <c r="Q1519" s="238"/>
      <c r="R1519" s="238"/>
      <c r="S1519" s="238"/>
      <c r="T1519" s="218">
        <f>VLOOKUP(A1519,'Groupe de branches'!$Z$27:$AM$86,14,FALSE)</f>
        <v>0</v>
      </c>
      <c r="U1519" s="218">
        <f>VLOOKUP(D1519,'Groupe de branches'!$Z$27:$AM$86,14,FALSE)</f>
        <v>0</v>
      </c>
      <c r="V1519" s="218">
        <v>2020</v>
      </c>
      <c r="W1519" s="218">
        <f>VLOOKUP(D1519,'Table corresp.'!$M$4:$S$63,7,FALSE)</f>
        <v>0</v>
      </c>
      <c r="X1519" s="240">
        <f>IFERROR(G1519/SUMIFS('Comp2016-2017 (3)'!$I$5:$I$289,'Comp2016-2017 (3)'!$A$5:$A$289,A1519,'Comp2016-2017 (3)'!$R$5:$R$289,V1519),0)</f>
        <v>8.3617022240142797E-3</v>
      </c>
      <c r="Y1519" s="219">
        <f>IFERROR(IF(RIGHT(F1519,3)="Exp",VLOOKUP(F1519,#REF!,2,FALSE),VLOOKUP(F1519,#REF!,9,FALSE)),1)</f>
        <v>1</v>
      </c>
      <c r="Z1519" s="226">
        <f t="shared" si="175"/>
        <v>5.2631578947368418E-2</v>
      </c>
      <c r="AA1519" s="226">
        <f t="shared" si="178"/>
        <v>4.4008959073759367E-4</v>
      </c>
      <c r="AB1519" s="205">
        <f>IFERROR(SUMIFS('Comp2016-2017 (3)'!$G$5:$G$289,'Comp2016-2017 (3)'!$A$5:$A$289,A1519,'Comp2016-2017 (3)'!$R$5:$R$289,V1519)*AA1519/SUMIFS($AA$4:$AA$1858,$A$4:$A$1858,A1519,$V$4:$V$1858,V1519),0)</f>
        <v>6523.2589262225692</v>
      </c>
      <c r="AC1519" s="205">
        <f>IF($W1519=AC$3,$AB1519,IF(NOT($W1519=0),"",SUMIFS('Val-Vol (2)'!AC$4:AC$1858,'Val-Vol (2)'!$A$4:$A$1858,$D1519,'Val-Vol (2)'!$V$4:$V$1858,$V1519)/SUMIFS('Comp2016-2017 (3)'!$G$5:$G$289,'Comp2016-2017 (3)'!$A$5:$A$289,$D1519,'Comp2016-2017 (3)'!$R$5:$R$289,$V1519)*$AB1519))</f>
        <v>0</v>
      </c>
      <c r="AD1519" s="205">
        <f>IF($W1519=AD$3,$AB1519,IF(NOT($W1519=0),"",SUMIFS('Val-Vol (2)'!AD$4:AD$1858,'Val-Vol (2)'!$A$4:$A$1858,$D1519,'Val-Vol (2)'!$V$4:$V$1858,$V1519)/SUMIFS('Comp2016-2017 (3)'!$G$5:$G$289,'Comp2016-2017 (3)'!$A$5:$A$289,$D1519,'Comp2016-2017 (3)'!$R$5:$R$289,$V1519)*$AB1519))</f>
        <v>0</v>
      </c>
      <c r="AE1519" s="205">
        <f>IF($W1519=AE$3,$AB1519,IF(NOT($W1519=0),"",SUMIFS('Val-Vol (2)'!AE$4:AE$1858,'Val-Vol (2)'!$A$4:$A$1858,$D1519,'Val-Vol (2)'!$V$4:$V$1858,$V1519)/SUMIFS('Comp2016-2017 (3)'!$G$5:$G$289,'Comp2016-2017 (3)'!$A$5:$A$289,$D1519,'Comp2016-2017 (3)'!$R$5:$R$289,$V1519)*$AB1519))</f>
        <v>0</v>
      </c>
      <c r="AF1519" s="205">
        <f>IF($W1519=AF$3,$AB1519,IF(NOT($W1519=0),"",SUMIFS('Val-Vol (2)'!AF$4:AF$1858,'Val-Vol (2)'!$A$4:$A$1858,$D1519,'Val-Vol (2)'!$V$4:$V$1858,$V1519)/SUMIFS('Comp2016-2017 (3)'!$G$5:$G$289,'Comp2016-2017 (3)'!$A$5:$A$289,$D1519,'Comp2016-2017 (3)'!$R$5:$R$289,$V1519)*$AB1519))</f>
        <v>0</v>
      </c>
      <c r="AG1519" s="205">
        <f>IF($W1519=AG$3,$AB1519,IF(NOT($W1519=0),"",SUMIFS('Val-Vol (2)'!AG$4:AG$1858,'Val-Vol (2)'!$A$4:$A$1858,$D1519,'Val-Vol (2)'!$V$4:$V$1858,$V1519)/SUMIFS('Comp2016-2017 (3)'!$G$5:$G$289,'Comp2016-2017 (3)'!$A$5:$A$289,$D1519,'Comp2016-2017 (3)'!$R$5:$R$289,$V1519)*$AB1519))</f>
        <v>0</v>
      </c>
      <c r="AH1519" s="205">
        <f>IF($W1519=AH$3,$AB1519,IF(NOT($W1519=0),"",SUMIFS('Val-Vol (2)'!AH$4:AH$1858,'Val-Vol (2)'!$A$4:$A$1858,$D1519,'Val-Vol (2)'!$V$4:$V$1858,$V1519)/SUMIFS('Comp2016-2017 (3)'!$G$5:$G$289,'Comp2016-2017 (3)'!$A$5:$A$289,$D1519,'Comp2016-2017 (3)'!$R$5:$R$289,$V1519)*$AB1519))</f>
        <v>0</v>
      </c>
      <c r="AI1519" s="205">
        <f>IF($W1519=AI$3,$AB1519,IF(NOT($W1519=0),"",SUMIFS('Val-Vol (2)'!AI$4:AI$1858,'Val-Vol (2)'!$A$4:$A$1858,$D1519,'Val-Vol (2)'!$V$4:$V$1858,$V1519)/SUMIFS('Comp2016-2017 (3)'!$G$5:$G$289,'Comp2016-2017 (3)'!$A$5:$A$289,$D1519,'Comp2016-2017 (3)'!$R$5:$R$289,$V1519)*$AB1519))</f>
        <v>0</v>
      </c>
      <c r="AJ1519" s="205">
        <f>IF($W1519=AJ$3,$AB1519,IF(NOT($W1519=0),"",SUMIFS('Val-Vol (2)'!AJ$4:AJ$1858,'Val-Vol (2)'!$A$4:$A$1858,$D1519,'Val-Vol (2)'!$V$4:$V$1858,$V1519)/SUMIFS('Comp2016-2017 (3)'!$G$5:$G$289,'Comp2016-2017 (3)'!$A$5:$A$289,$D1519,'Comp2016-2017 (3)'!$R$5:$R$289,$V1519)*$AB1519))</f>
        <v>0</v>
      </c>
      <c r="AK1519" s="205">
        <f t="shared" si="177"/>
        <v>-6523.2589262225692</v>
      </c>
      <c r="AL1519" s="218" t="str">
        <f t="shared" si="179"/>
        <v/>
      </c>
      <c r="AM1519" s="218" t="str">
        <f>VLOOKUP(A1519,'Table corresp.'!$M$4:$U$63,8,FALSE)</f>
        <v>Production intermédiaire</v>
      </c>
      <c r="AN1519" s="218" t="str">
        <f>VLOOKUP(D1519,'Table corresp.'!$M$4:$U$63,9,FALSE)</f>
        <v>Production intermédiaire</v>
      </c>
    </row>
    <row r="1520" spans="1:40" x14ac:dyDescent="0.25">
      <c r="A1520" t="s">
        <v>81</v>
      </c>
      <c r="B1520" t="str">
        <f>VLOOKUP(LEFT(A1520,3),'Table corresp.'!$A$4:$D$63,3,FALSE)</f>
        <v>Transformation</v>
      </c>
      <c r="C1520" t="str">
        <f>VLOOKUP(A1520,'Table corresp.'!$M$4:$P$63,4,FALSE)</f>
        <v>Production et transformation de produits bois</v>
      </c>
      <c r="D1520" t="s">
        <v>82</v>
      </c>
      <c r="E1520" t="str">
        <f>VLOOKUP(LEFT(D1520,3),'Table corresp.'!$A$4:$D$63,4,FALSE)</f>
        <v>Transformation</v>
      </c>
      <c r="F1520" t="str">
        <f t="shared" si="180"/>
        <v xml:space="preserve">05  - 10 </v>
      </c>
      <c r="G1520" s="238">
        <v>10259.759430948399</v>
      </c>
      <c r="H1520" s="238">
        <v>0</v>
      </c>
      <c r="I1520" s="238">
        <v>10259.759430948399</v>
      </c>
      <c r="J1520" s="238"/>
      <c r="K1520" s="238"/>
      <c r="L1520" s="238"/>
      <c r="M1520" s="238"/>
      <c r="N1520" s="238"/>
      <c r="O1520" s="238"/>
      <c r="P1520" s="238"/>
      <c r="Q1520" s="238"/>
      <c r="R1520" s="238"/>
      <c r="S1520" s="238"/>
      <c r="T1520" s="218">
        <f>VLOOKUP(A1520,'Groupe de branches'!$Z$27:$AM$86,14,FALSE)</f>
        <v>0</v>
      </c>
      <c r="U1520" s="218">
        <f>VLOOKUP(D1520,'Groupe de branches'!$Z$27:$AM$86,14,FALSE)</f>
        <v>0</v>
      </c>
      <c r="V1520" s="218">
        <v>2020</v>
      </c>
      <c r="W1520" s="218">
        <f>VLOOKUP(D1520,'Table corresp.'!$M$4:$S$63,7,FALSE)</f>
        <v>0</v>
      </c>
      <c r="X1520" s="240">
        <f>IFERROR(G1520/SUMIFS('Comp2016-2017 (3)'!$I$5:$I$289,'Comp2016-2017 (3)'!$A$5:$A$289,A1520,'Comp2016-2017 (3)'!$R$5:$R$289,V1520),0)</f>
        <v>9.4679856261412395E-3</v>
      </c>
      <c r="Y1520" s="219">
        <f>IFERROR(IF(RIGHT(F1520,3)="Exp",VLOOKUP(F1520,#REF!,2,FALSE),VLOOKUP(F1520,#REF!,9,FALSE)),1)</f>
        <v>1</v>
      </c>
      <c r="Z1520" s="226">
        <f t="shared" si="175"/>
        <v>5.2631578947368418E-2</v>
      </c>
      <c r="AA1520" s="226">
        <f t="shared" si="178"/>
        <v>4.9831503295480202E-4</v>
      </c>
      <c r="AB1520" s="205">
        <f>IFERROR(SUMIFS('Comp2016-2017 (3)'!$G$5:$G$289,'Comp2016-2017 (3)'!$A$5:$A$289,A1520,'Comp2016-2017 (3)'!$R$5:$R$289,V1520)*AA1520/SUMIFS($AA$4:$AA$1858,$A$4:$A$1858,A1520,$V$4:$V$1858,V1520),0)</f>
        <v>7386.3096406011573</v>
      </c>
      <c r="AC1520" s="205">
        <f>IF($W1520=AC$3,$AB1520,IF(NOT($W1520=0),"",SUMIFS('Val-Vol (2)'!AC$4:AC$1858,'Val-Vol (2)'!$A$4:$A$1858,$D1520,'Val-Vol (2)'!$V$4:$V$1858,$V1520)/SUMIFS('Comp2016-2017 (3)'!$G$5:$G$289,'Comp2016-2017 (3)'!$A$5:$A$289,$D1520,'Comp2016-2017 (3)'!$R$5:$R$289,$V1520)*$AB1520))</f>
        <v>0</v>
      </c>
      <c r="AD1520" s="205">
        <f>IF($W1520=AD$3,$AB1520,IF(NOT($W1520=0),"",SUMIFS('Val-Vol (2)'!AD$4:AD$1858,'Val-Vol (2)'!$A$4:$A$1858,$D1520,'Val-Vol (2)'!$V$4:$V$1858,$V1520)/SUMIFS('Comp2016-2017 (3)'!$G$5:$G$289,'Comp2016-2017 (3)'!$A$5:$A$289,$D1520,'Comp2016-2017 (3)'!$R$5:$R$289,$V1520)*$AB1520))</f>
        <v>0</v>
      </c>
      <c r="AE1520" s="205">
        <f>IF($W1520=AE$3,$AB1520,IF(NOT($W1520=0),"",SUMIFS('Val-Vol (2)'!AE$4:AE$1858,'Val-Vol (2)'!$A$4:$A$1858,$D1520,'Val-Vol (2)'!$V$4:$V$1858,$V1520)/SUMIFS('Comp2016-2017 (3)'!$G$5:$G$289,'Comp2016-2017 (3)'!$A$5:$A$289,$D1520,'Comp2016-2017 (3)'!$R$5:$R$289,$V1520)*$AB1520))</f>
        <v>0</v>
      </c>
      <c r="AF1520" s="205">
        <f>IF($W1520=AF$3,$AB1520,IF(NOT($W1520=0),"",SUMIFS('Val-Vol (2)'!AF$4:AF$1858,'Val-Vol (2)'!$A$4:$A$1858,$D1520,'Val-Vol (2)'!$V$4:$V$1858,$V1520)/SUMIFS('Comp2016-2017 (3)'!$G$5:$G$289,'Comp2016-2017 (3)'!$A$5:$A$289,$D1520,'Comp2016-2017 (3)'!$R$5:$R$289,$V1520)*$AB1520))</f>
        <v>0</v>
      </c>
      <c r="AG1520" s="205">
        <f>IF($W1520=AG$3,$AB1520,IF(NOT($W1520=0),"",SUMIFS('Val-Vol (2)'!AG$4:AG$1858,'Val-Vol (2)'!$A$4:$A$1858,$D1520,'Val-Vol (2)'!$V$4:$V$1858,$V1520)/SUMIFS('Comp2016-2017 (3)'!$G$5:$G$289,'Comp2016-2017 (3)'!$A$5:$A$289,$D1520,'Comp2016-2017 (3)'!$R$5:$R$289,$V1520)*$AB1520))</f>
        <v>0</v>
      </c>
      <c r="AH1520" s="205">
        <f>IF($W1520=AH$3,$AB1520,IF(NOT($W1520=0),"",SUMIFS('Val-Vol (2)'!AH$4:AH$1858,'Val-Vol (2)'!$A$4:$A$1858,$D1520,'Val-Vol (2)'!$V$4:$V$1858,$V1520)/SUMIFS('Comp2016-2017 (3)'!$G$5:$G$289,'Comp2016-2017 (3)'!$A$5:$A$289,$D1520,'Comp2016-2017 (3)'!$R$5:$R$289,$V1520)*$AB1520))</f>
        <v>0</v>
      </c>
      <c r="AI1520" s="205">
        <f>IF($W1520=AI$3,$AB1520,IF(NOT($W1520=0),"",SUMIFS('Val-Vol (2)'!AI$4:AI$1858,'Val-Vol (2)'!$A$4:$A$1858,$D1520,'Val-Vol (2)'!$V$4:$V$1858,$V1520)/SUMIFS('Comp2016-2017 (3)'!$G$5:$G$289,'Comp2016-2017 (3)'!$A$5:$A$289,$D1520,'Comp2016-2017 (3)'!$R$5:$R$289,$V1520)*$AB1520))</f>
        <v>0</v>
      </c>
      <c r="AJ1520" s="205">
        <f>IF($W1520=AJ$3,$AB1520,IF(NOT($W1520=0),"",SUMIFS('Val-Vol (2)'!AJ$4:AJ$1858,'Val-Vol (2)'!$A$4:$A$1858,$D1520,'Val-Vol (2)'!$V$4:$V$1858,$V1520)/SUMIFS('Comp2016-2017 (3)'!$G$5:$G$289,'Comp2016-2017 (3)'!$A$5:$A$289,$D1520,'Comp2016-2017 (3)'!$R$5:$R$289,$V1520)*$AB1520))</f>
        <v>0</v>
      </c>
      <c r="AK1520" s="205">
        <f t="shared" si="177"/>
        <v>-7386.3096406011573</v>
      </c>
      <c r="AL1520" s="218" t="str">
        <f t="shared" si="179"/>
        <v/>
      </c>
      <c r="AM1520" s="218" t="str">
        <f>VLOOKUP(A1520,'Table corresp.'!$M$4:$U$63,8,FALSE)</f>
        <v>Production intermédiaire</v>
      </c>
      <c r="AN1520" s="218" t="str">
        <f>VLOOKUP(D1520,'Table corresp.'!$M$4:$U$63,9,FALSE)</f>
        <v>Production intermédiaire</v>
      </c>
    </row>
    <row r="1521" spans="1:40" x14ac:dyDescent="0.25">
      <c r="A1521" t="s">
        <v>81</v>
      </c>
      <c r="B1521" t="str">
        <f>VLOOKUP(LEFT(A1521,3),'Table corresp.'!$A$4:$D$63,3,FALSE)</f>
        <v>Transformation</v>
      </c>
      <c r="C1521" t="str">
        <f>VLOOKUP(A1521,'Table corresp.'!$M$4:$P$63,4,FALSE)</f>
        <v>Production et transformation de produits bois</v>
      </c>
      <c r="D1521" t="s">
        <v>7</v>
      </c>
      <c r="E1521" t="str">
        <f>VLOOKUP(LEFT(D1521,3),'Table corresp.'!$A$4:$D$63,4,FALSE)</f>
        <v>Transformation</v>
      </c>
      <c r="F1521" t="str">
        <f t="shared" si="180"/>
        <v xml:space="preserve">05  - 12 </v>
      </c>
      <c r="G1521" s="238">
        <v>111713.35733697</v>
      </c>
      <c r="H1521" s="238">
        <v>0</v>
      </c>
      <c r="I1521" s="238">
        <v>111713.35733697</v>
      </c>
      <c r="J1521" s="238"/>
      <c r="K1521" s="238"/>
      <c r="L1521" s="238"/>
      <c r="M1521" s="238"/>
      <c r="N1521" s="238"/>
      <c r="O1521" s="238"/>
      <c r="P1521" s="238"/>
      <c r="Q1521" s="238"/>
      <c r="R1521" s="238"/>
      <c r="S1521" s="238"/>
      <c r="T1521" s="218">
        <f>VLOOKUP(A1521,'Groupe de branches'!$Z$27:$AM$86,14,FALSE)</f>
        <v>0</v>
      </c>
      <c r="U1521" s="218">
        <f>VLOOKUP(D1521,'Groupe de branches'!$Z$27:$AM$86,14,FALSE)</f>
        <v>0</v>
      </c>
      <c r="V1521" s="218">
        <v>2020</v>
      </c>
      <c r="W1521" s="218">
        <f>VLOOKUP(D1521,'Table corresp.'!$M$4:$S$63,7,FALSE)</f>
        <v>0</v>
      </c>
      <c r="X1521" s="240">
        <f>IFERROR(G1521/SUMIFS('Comp2016-2017 (3)'!$I$5:$I$289,'Comp2016-2017 (3)'!$A$5:$A$289,A1521,'Comp2016-2017 (3)'!$R$5:$R$289,V1521),0)</f>
        <v>0.10309213082753925</v>
      </c>
      <c r="Y1521" s="219">
        <f>IFERROR(IF(RIGHT(F1521,3)="Exp",VLOOKUP(F1521,#REF!,2,FALSE),VLOOKUP(F1521,#REF!,9,FALSE)),1)</f>
        <v>1</v>
      </c>
      <c r="Z1521" s="226">
        <f t="shared" si="175"/>
        <v>5.2631578947368418E-2</v>
      </c>
      <c r="AA1521" s="226">
        <f t="shared" si="178"/>
        <v>5.4259016225020659E-3</v>
      </c>
      <c r="AB1521" s="205">
        <f>IFERROR(SUMIFS('Comp2016-2017 (3)'!$G$5:$G$289,'Comp2016-2017 (3)'!$A$5:$A$289,A1521,'Comp2016-2017 (3)'!$R$5:$R$289,V1521)*AA1521/SUMIFS($AA$4:$AA$1858,$A$4:$A$1858,A1521,$V$4:$V$1858,V1521),0)</f>
        <v>80425.808600631877</v>
      </c>
      <c r="AC1521" s="205">
        <f>IF($W1521=AC$3,$AB1521,IF(NOT($W1521=0),"",SUMIFS('Val-Vol (2)'!AC$4:AC$1858,'Val-Vol (2)'!$A$4:$A$1858,$D1521,'Val-Vol (2)'!$V$4:$V$1858,$V1521)/SUMIFS('Comp2016-2017 (3)'!$G$5:$G$289,'Comp2016-2017 (3)'!$A$5:$A$289,$D1521,'Comp2016-2017 (3)'!$R$5:$R$289,$V1521)*$AB1521))</f>
        <v>0</v>
      </c>
      <c r="AD1521" s="205">
        <f>IF($W1521=AD$3,$AB1521,IF(NOT($W1521=0),"",SUMIFS('Val-Vol (2)'!AD$4:AD$1858,'Val-Vol (2)'!$A$4:$A$1858,$D1521,'Val-Vol (2)'!$V$4:$V$1858,$V1521)/SUMIFS('Comp2016-2017 (3)'!$G$5:$G$289,'Comp2016-2017 (3)'!$A$5:$A$289,$D1521,'Comp2016-2017 (3)'!$R$5:$R$289,$V1521)*$AB1521))</f>
        <v>0</v>
      </c>
      <c r="AE1521" s="205">
        <f>IF($W1521=AE$3,$AB1521,IF(NOT($W1521=0),"",SUMIFS('Val-Vol (2)'!AE$4:AE$1858,'Val-Vol (2)'!$A$4:$A$1858,$D1521,'Val-Vol (2)'!$V$4:$V$1858,$V1521)/SUMIFS('Comp2016-2017 (3)'!$G$5:$G$289,'Comp2016-2017 (3)'!$A$5:$A$289,$D1521,'Comp2016-2017 (3)'!$R$5:$R$289,$V1521)*$AB1521))</f>
        <v>0</v>
      </c>
      <c r="AF1521" s="205">
        <f>IF($W1521=AF$3,$AB1521,IF(NOT($W1521=0),"",SUMIFS('Val-Vol (2)'!AF$4:AF$1858,'Val-Vol (2)'!$A$4:$A$1858,$D1521,'Val-Vol (2)'!$V$4:$V$1858,$V1521)/SUMIFS('Comp2016-2017 (3)'!$G$5:$G$289,'Comp2016-2017 (3)'!$A$5:$A$289,$D1521,'Comp2016-2017 (3)'!$R$5:$R$289,$V1521)*$AB1521))</f>
        <v>0</v>
      </c>
      <c r="AG1521" s="205">
        <f>IF($W1521=AG$3,$AB1521,IF(NOT($W1521=0),"",SUMIFS('Val-Vol (2)'!AG$4:AG$1858,'Val-Vol (2)'!$A$4:$A$1858,$D1521,'Val-Vol (2)'!$V$4:$V$1858,$V1521)/SUMIFS('Comp2016-2017 (3)'!$G$5:$G$289,'Comp2016-2017 (3)'!$A$5:$A$289,$D1521,'Comp2016-2017 (3)'!$R$5:$R$289,$V1521)*$AB1521))</f>
        <v>0</v>
      </c>
      <c r="AH1521" s="205">
        <f>IF($W1521=AH$3,$AB1521,IF(NOT($W1521=0),"",SUMIFS('Val-Vol (2)'!AH$4:AH$1858,'Val-Vol (2)'!$A$4:$A$1858,$D1521,'Val-Vol (2)'!$V$4:$V$1858,$V1521)/SUMIFS('Comp2016-2017 (3)'!$G$5:$G$289,'Comp2016-2017 (3)'!$A$5:$A$289,$D1521,'Comp2016-2017 (3)'!$R$5:$R$289,$V1521)*$AB1521))</f>
        <v>0</v>
      </c>
      <c r="AI1521" s="205">
        <f>IF($W1521=AI$3,$AB1521,IF(NOT($W1521=0),"",SUMIFS('Val-Vol (2)'!AI$4:AI$1858,'Val-Vol (2)'!$A$4:$A$1858,$D1521,'Val-Vol (2)'!$V$4:$V$1858,$V1521)/SUMIFS('Comp2016-2017 (3)'!$G$5:$G$289,'Comp2016-2017 (3)'!$A$5:$A$289,$D1521,'Comp2016-2017 (3)'!$R$5:$R$289,$V1521)*$AB1521))</f>
        <v>0</v>
      </c>
      <c r="AJ1521" s="205">
        <f>IF($W1521=AJ$3,$AB1521,IF(NOT($W1521=0),"",SUMIFS('Val-Vol (2)'!AJ$4:AJ$1858,'Val-Vol (2)'!$A$4:$A$1858,$D1521,'Val-Vol (2)'!$V$4:$V$1858,$V1521)/SUMIFS('Comp2016-2017 (3)'!$G$5:$G$289,'Comp2016-2017 (3)'!$A$5:$A$289,$D1521,'Comp2016-2017 (3)'!$R$5:$R$289,$V1521)*$AB1521))</f>
        <v>0</v>
      </c>
      <c r="AK1521" s="205">
        <f t="shared" si="177"/>
        <v>-80425.808600631877</v>
      </c>
      <c r="AL1521" s="218" t="str">
        <f t="shared" si="179"/>
        <v/>
      </c>
      <c r="AM1521" s="218" t="str">
        <f>VLOOKUP(A1521,'Table corresp.'!$M$4:$U$63,8,FALSE)</f>
        <v>Production intermédiaire</v>
      </c>
      <c r="AN1521" s="218" t="str">
        <f>VLOOKUP(D1521,'Table corresp.'!$M$4:$U$63,9,FALSE)</f>
        <v>Production intermédiaire</v>
      </c>
    </row>
    <row r="1522" spans="1:40" x14ac:dyDescent="0.25">
      <c r="A1522" t="s">
        <v>81</v>
      </c>
      <c r="B1522" t="str">
        <f>VLOOKUP(LEFT(A1522,3),'Table corresp.'!$A$4:$D$63,3,FALSE)</f>
        <v>Transformation</v>
      </c>
      <c r="C1522" t="str">
        <f>VLOOKUP(A1522,'Table corresp.'!$M$4:$P$63,4,FALSE)</f>
        <v>Production et transformation de produits bois</v>
      </c>
      <c r="D1522" t="s">
        <v>8</v>
      </c>
      <c r="E1522" t="str">
        <f>VLOOKUP(LEFT(D1522,3),'Table corresp.'!$A$4:$D$63,4,FALSE)</f>
        <v>Transformation</v>
      </c>
      <c r="F1522" t="str">
        <f t="shared" si="180"/>
        <v xml:space="preserve">05  - 13 </v>
      </c>
      <c r="G1522" s="238">
        <v>43745.429559855103</v>
      </c>
      <c r="H1522" s="238">
        <v>0</v>
      </c>
      <c r="I1522" s="238">
        <v>43745.429559855103</v>
      </c>
      <c r="J1522" s="238"/>
      <c r="K1522" s="238"/>
      <c r="L1522" s="238"/>
      <c r="M1522" s="238"/>
      <c r="N1522" s="238"/>
      <c r="O1522" s="238"/>
      <c r="P1522" s="238"/>
      <c r="Q1522" s="238"/>
      <c r="R1522" s="238"/>
      <c r="S1522" s="238"/>
      <c r="T1522" s="218">
        <f>VLOOKUP(A1522,'Groupe de branches'!$Z$27:$AM$86,14,FALSE)</f>
        <v>0</v>
      </c>
      <c r="U1522" s="218">
        <f>VLOOKUP(D1522,'Groupe de branches'!$Z$27:$AM$86,14,FALSE)</f>
        <v>0</v>
      </c>
      <c r="V1522" s="218">
        <v>2020</v>
      </c>
      <c r="W1522" s="218">
        <f>VLOOKUP(D1522,'Table corresp.'!$M$4:$S$63,7,FALSE)</f>
        <v>0</v>
      </c>
      <c r="X1522" s="240">
        <f>IFERROR(G1522/SUMIFS('Comp2016-2017 (3)'!$I$5:$I$289,'Comp2016-2017 (3)'!$A$5:$A$289,A1522,'Comp2016-2017 (3)'!$R$5:$R$289,V1522),0)</f>
        <v>4.0369474651882342E-2</v>
      </c>
      <c r="Y1522" s="219">
        <f>IFERROR(IF(RIGHT(F1522,3)="Exp",VLOOKUP(F1522,#REF!,2,FALSE),VLOOKUP(F1522,#REF!,9,FALSE)),1)</f>
        <v>1</v>
      </c>
      <c r="Z1522" s="226">
        <f t="shared" si="175"/>
        <v>5.2631578947368418E-2</v>
      </c>
      <c r="AA1522" s="226">
        <f t="shared" si="178"/>
        <v>2.1247091922043338E-3</v>
      </c>
      <c r="AB1522" s="205">
        <f>IFERROR(SUMIFS('Comp2016-2017 (3)'!$G$5:$G$289,'Comp2016-2017 (3)'!$A$5:$A$289,A1522,'Comp2016-2017 (3)'!$R$5:$R$289,V1522)*AA1522/SUMIFS($AA$4:$AA$1858,$A$4:$A$1858,A1522,$V$4:$V$1858,V1522),0)</f>
        <v>31493.651509558647</v>
      </c>
      <c r="AC1522" s="205">
        <f>IF($W1522=AC$3,$AB1522,IF(NOT($W1522=0),"",SUMIFS('Val-Vol (2)'!AC$4:AC$1858,'Val-Vol (2)'!$A$4:$A$1858,$D1522,'Val-Vol (2)'!$V$4:$V$1858,$V1522)/SUMIFS('Comp2016-2017 (3)'!$G$5:$G$289,'Comp2016-2017 (3)'!$A$5:$A$289,$D1522,'Comp2016-2017 (3)'!$R$5:$R$289,$V1522)*$AB1522))</f>
        <v>0</v>
      </c>
      <c r="AD1522" s="205">
        <f>IF($W1522=AD$3,$AB1522,IF(NOT($W1522=0),"",SUMIFS('Val-Vol (2)'!AD$4:AD$1858,'Val-Vol (2)'!$A$4:$A$1858,$D1522,'Val-Vol (2)'!$V$4:$V$1858,$V1522)/SUMIFS('Comp2016-2017 (3)'!$G$5:$G$289,'Comp2016-2017 (3)'!$A$5:$A$289,$D1522,'Comp2016-2017 (3)'!$R$5:$R$289,$V1522)*$AB1522))</f>
        <v>0</v>
      </c>
      <c r="AE1522" s="205">
        <f>IF($W1522=AE$3,$AB1522,IF(NOT($W1522=0),"",SUMIFS('Val-Vol (2)'!AE$4:AE$1858,'Val-Vol (2)'!$A$4:$A$1858,$D1522,'Val-Vol (2)'!$V$4:$V$1858,$V1522)/SUMIFS('Comp2016-2017 (3)'!$G$5:$G$289,'Comp2016-2017 (3)'!$A$5:$A$289,$D1522,'Comp2016-2017 (3)'!$R$5:$R$289,$V1522)*$AB1522))</f>
        <v>0</v>
      </c>
      <c r="AF1522" s="205">
        <f>IF($W1522=AF$3,$AB1522,IF(NOT($W1522=0),"",SUMIFS('Val-Vol (2)'!AF$4:AF$1858,'Val-Vol (2)'!$A$4:$A$1858,$D1522,'Val-Vol (2)'!$V$4:$V$1858,$V1522)/SUMIFS('Comp2016-2017 (3)'!$G$5:$G$289,'Comp2016-2017 (3)'!$A$5:$A$289,$D1522,'Comp2016-2017 (3)'!$R$5:$R$289,$V1522)*$AB1522))</f>
        <v>0</v>
      </c>
      <c r="AG1522" s="205">
        <f>IF($W1522=AG$3,$AB1522,IF(NOT($W1522=0),"",SUMIFS('Val-Vol (2)'!AG$4:AG$1858,'Val-Vol (2)'!$A$4:$A$1858,$D1522,'Val-Vol (2)'!$V$4:$V$1858,$V1522)/SUMIFS('Comp2016-2017 (3)'!$G$5:$G$289,'Comp2016-2017 (3)'!$A$5:$A$289,$D1522,'Comp2016-2017 (3)'!$R$5:$R$289,$V1522)*$AB1522))</f>
        <v>0</v>
      </c>
      <c r="AH1522" s="205">
        <f>IF($W1522=AH$3,$AB1522,IF(NOT($W1522=0),"",SUMIFS('Val-Vol (2)'!AH$4:AH$1858,'Val-Vol (2)'!$A$4:$A$1858,$D1522,'Val-Vol (2)'!$V$4:$V$1858,$V1522)/SUMIFS('Comp2016-2017 (3)'!$G$5:$G$289,'Comp2016-2017 (3)'!$A$5:$A$289,$D1522,'Comp2016-2017 (3)'!$R$5:$R$289,$V1522)*$AB1522))</f>
        <v>0</v>
      </c>
      <c r="AI1522" s="205">
        <f>IF($W1522=AI$3,$AB1522,IF(NOT($W1522=0),"",SUMIFS('Val-Vol (2)'!AI$4:AI$1858,'Val-Vol (2)'!$A$4:$A$1858,$D1522,'Val-Vol (2)'!$V$4:$V$1858,$V1522)/SUMIFS('Comp2016-2017 (3)'!$G$5:$G$289,'Comp2016-2017 (3)'!$A$5:$A$289,$D1522,'Comp2016-2017 (3)'!$R$5:$R$289,$V1522)*$AB1522))</f>
        <v>0</v>
      </c>
      <c r="AJ1522" s="205">
        <f>IF($W1522=AJ$3,$AB1522,IF(NOT($W1522=0),"",SUMIFS('Val-Vol (2)'!AJ$4:AJ$1858,'Val-Vol (2)'!$A$4:$A$1858,$D1522,'Val-Vol (2)'!$V$4:$V$1858,$V1522)/SUMIFS('Comp2016-2017 (3)'!$G$5:$G$289,'Comp2016-2017 (3)'!$A$5:$A$289,$D1522,'Comp2016-2017 (3)'!$R$5:$R$289,$V1522)*$AB1522))</f>
        <v>0</v>
      </c>
      <c r="AK1522" s="205">
        <f t="shared" si="177"/>
        <v>-31493.651509558647</v>
      </c>
      <c r="AL1522" s="218" t="str">
        <f t="shared" si="179"/>
        <v/>
      </c>
      <c r="AM1522" s="218" t="str">
        <f>VLOOKUP(A1522,'Table corresp.'!$M$4:$U$63,8,FALSE)</f>
        <v>Production intermédiaire</v>
      </c>
      <c r="AN1522" s="218" t="str">
        <f>VLOOKUP(D1522,'Table corresp.'!$M$4:$U$63,9,FALSE)</f>
        <v>Production intermédiaire</v>
      </c>
    </row>
    <row r="1523" spans="1:40" x14ac:dyDescent="0.25">
      <c r="A1523" t="s">
        <v>81</v>
      </c>
      <c r="B1523" t="str">
        <f>VLOOKUP(LEFT(A1523,3),'Table corresp.'!$A$4:$D$63,3,FALSE)</f>
        <v>Transformation</v>
      </c>
      <c r="C1523" t="str">
        <f>VLOOKUP(A1523,'Table corresp.'!$M$4:$P$63,4,FALSE)</f>
        <v>Production et transformation de produits bois</v>
      </c>
      <c r="D1523" t="s">
        <v>83</v>
      </c>
      <c r="E1523" t="str">
        <f>VLOOKUP(LEFT(D1523,3),'Table corresp.'!$A$4:$D$63,4,FALSE)</f>
        <v>Transformation</v>
      </c>
      <c r="F1523" t="str">
        <f t="shared" si="180"/>
        <v xml:space="preserve">05  - 14 </v>
      </c>
      <c r="G1523" s="238">
        <v>14490.727896434801</v>
      </c>
      <c r="H1523" s="238">
        <v>0</v>
      </c>
      <c r="I1523" s="238">
        <v>14490.727896434801</v>
      </c>
      <c r="J1523" s="238"/>
      <c r="K1523" s="238"/>
      <c r="L1523" s="238"/>
      <c r="M1523" s="238"/>
      <c r="N1523" s="238"/>
      <c r="O1523" s="238"/>
      <c r="P1523" s="238"/>
      <c r="Q1523" s="238"/>
      <c r="R1523" s="238"/>
      <c r="S1523" s="238"/>
      <c r="T1523" s="218">
        <f>VLOOKUP(A1523,'Groupe de branches'!$Z$27:$AM$86,14,FALSE)</f>
        <v>0</v>
      </c>
      <c r="U1523" s="218">
        <f>VLOOKUP(D1523,'Groupe de branches'!$Z$27:$AM$86,14,FALSE)</f>
        <v>0</v>
      </c>
      <c r="V1523" s="218">
        <v>2020</v>
      </c>
      <c r="W1523" s="218">
        <f>VLOOKUP(D1523,'Table corresp.'!$M$4:$S$63,7,FALSE)</f>
        <v>0</v>
      </c>
      <c r="X1523" s="240">
        <f>IFERROR(G1523/SUMIFS('Comp2016-2017 (3)'!$I$5:$I$289,'Comp2016-2017 (3)'!$A$5:$A$289,A1523,'Comp2016-2017 (3)'!$R$5:$R$289,V1523),0)</f>
        <v>1.3372438638464856E-2</v>
      </c>
      <c r="Y1523" s="219">
        <f>IFERROR(IF(RIGHT(F1523,3)="Exp",VLOOKUP(F1523,#REF!,2,FALSE),VLOOKUP(F1523,#REF!,9,FALSE)),1)</f>
        <v>1</v>
      </c>
      <c r="Z1523" s="226">
        <f t="shared" si="175"/>
        <v>5.2631578947368418E-2</v>
      </c>
      <c r="AA1523" s="226">
        <f t="shared" si="178"/>
        <v>7.0381255991920286E-4</v>
      </c>
      <c r="AB1523" s="205">
        <f>IFERROR(SUMIFS('Comp2016-2017 (3)'!$G$5:$G$289,'Comp2016-2017 (3)'!$A$5:$A$289,A1523,'Comp2016-2017 (3)'!$R$5:$R$289,V1523)*AA1523/SUMIFS($AA$4:$AA$1858,$A$4:$A$1858,A1523,$V$4:$V$1858,V1523),0)</f>
        <v>10432.311194149559</v>
      </c>
      <c r="AC1523" s="205">
        <f>IF($W1523=AC$3,$AB1523,IF(NOT($W1523=0),"",SUMIFS('Val-Vol (2)'!AC$4:AC$1858,'Val-Vol (2)'!$A$4:$A$1858,$D1523,'Val-Vol (2)'!$V$4:$V$1858,$V1523)/SUMIFS('Comp2016-2017 (3)'!$G$5:$G$289,'Comp2016-2017 (3)'!$A$5:$A$289,$D1523,'Comp2016-2017 (3)'!$R$5:$R$289,$V1523)*$AB1523))</f>
        <v>0</v>
      </c>
      <c r="AD1523" s="205">
        <f>IF($W1523=AD$3,$AB1523,IF(NOT($W1523=0),"",SUMIFS('Val-Vol (2)'!AD$4:AD$1858,'Val-Vol (2)'!$A$4:$A$1858,$D1523,'Val-Vol (2)'!$V$4:$V$1858,$V1523)/SUMIFS('Comp2016-2017 (3)'!$G$5:$G$289,'Comp2016-2017 (3)'!$A$5:$A$289,$D1523,'Comp2016-2017 (3)'!$R$5:$R$289,$V1523)*$AB1523))</f>
        <v>0</v>
      </c>
      <c r="AE1523" s="205">
        <f>IF($W1523=AE$3,$AB1523,IF(NOT($W1523=0),"",SUMIFS('Val-Vol (2)'!AE$4:AE$1858,'Val-Vol (2)'!$A$4:$A$1858,$D1523,'Val-Vol (2)'!$V$4:$V$1858,$V1523)/SUMIFS('Comp2016-2017 (3)'!$G$5:$G$289,'Comp2016-2017 (3)'!$A$5:$A$289,$D1523,'Comp2016-2017 (3)'!$R$5:$R$289,$V1523)*$AB1523))</f>
        <v>0</v>
      </c>
      <c r="AF1523" s="205">
        <f>IF($W1523=AF$3,$AB1523,IF(NOT($W1523=0),"",SUMIFS('Val-Vol (2)'!AF$4:AF$1858,'Val-Vol (2)'!$A$4:$A$1858,$D1523,'Val-Vol (2)'!$V$4:$V$1858,$V1523)/SUMIFS('Comp2016-2017 (3)'!$G$5:$G$289,'Comp2016-2017 (3)'!$A$5:$A$289,$D1523,'Comp2016-2017 (3)'!$R$5:$R$289,$V1523)*$AB1523))</f>
        <v>0</v>
      </c>
      <c r="AG1523" s="205">
        <f>IF($W1523=AG$3,$AB1523,IF(NOT($W1523=0),"",SUMIFS('Val-Vol (2)'!AG$4:AG$1858,'Val-Vol (2)'!$A$4:$A$1858,$D1523,'Val-Vol (2)'!$V$4:$V$1858,$V1523)/SUMIFS('Comp2016-2017 (3)'!$G$5:$G$289,'Comp2016-2017 (3)'!$A$5:$A$289,$D1523,'Comp2016-2017 (3)'!$R$5:$R$289,$V1523)*$AB1523))</f>
        <v>0</v>
      </c>
      <c r="AH1523" s="205">
        <f>IF($W1523=AH$3,$AB1523,IF(NOT($W1523=0),"",SUMIFS('Val-Vol (2)'!AH$4:AH$1858,'Val-Vol (2)'!$A$4:$A$1858,$D1523,'Val-Vol (2)'!$V$4:$V$1858,$V1523)/SUMIFS('Comp2016-2017 (3)'!$G$5:$G$289,'Comp2016-2017 (3)'!$A$5:$A$289,$D1523,'Comp2016-2017 (3)'!$R$5:$R$289,$V1523)*$AB1523))</f>
        <v>0</v>
      </c>
      <c r="AI1523" s="205">
        <f>IF($W1523=AI$3,$AB1523,IF(NOT($W1523=0),"",SUMIFS('Val-Vol (2)'!AI$4:AI$1858,'Val-Vol (2)'!$A$4:$A$1858,$D1523,'Val-Vol (2)'!$V$4:$V$1858,$V1523)/SUMIFS('Comp2016-2017 (3)'!$G$5:$G$289,'Comp2016-2017 (3)'!$A$5:$A$289,$D1523,'Comp2016-2017 (3)'!$R$5:$R$289,$V1523)*$AB1523))</f>
        <v>0</v>
      </c>
      <c r="AJ1523" s="205">
        <f>IF($W1523=AJ$3,$AB1523,IF(NOT($W1523=0),"",SUMIFS('Val-Vol (2)'!AJ$4:AJ$1858,'Val-Vol (2)'!$A$4:$A$1858,$D1523,'Val-Vol (2)'!$V$4:$V$1858,$V1523)/SUMIFS('Comp2016-2017 (3)'!$G$5:$G$289,'Comp2016-2017 (3)'!$A$5:$A$289,$D1523,'Comp2016-2017 (3)'!$R$5:$R$289,$V1523)*$AB1523))</f>
        <v>0</v>
      </c>
      <c r="AK1523" s="205">
        <f t="shared" si="177"/>
        <v>-10432.311194149559</v>
      </c>
      <c r="AL1523" s="218" t="str">
        <f t="shared" si="179"/>
        <v/>
      </c>
      <c r="AM1523" s="218" t="str">
        <f>VLOOKUP(A1523,'Table corresp.'!$M$4:$U$63,8,FALSE)</f>
        <v>Production intermédiaire</v>
      </c>
      <c r="AN1523" s="218" t="str">
        <f>VLOOKUP(D1523,'Table corresp.'!$M$4:$U$63,9,FALSE)</f>
        <v>Production intermédiaire</v>
      </c>
    </row>
    <row r="1524" spans="1:40" x14ac:dyDescent="0.25">
      <c r="A1524" t="s">
        <v>81</v>
      </c>
      <c r="B1524" t="str">
        <f>VLOOKUP(LEFT(A1524,3),'Table corresp.'!$A$4:$D$63,3,FALSE)</f>
        <v>Transformation</v>
      </c>
      <c r="C1524" t="str">
        <f>VLOOKUP(A1524,'Table corresp.'!$M$4:$P$63,4,FALSE)</f>
        <v>Production et transformation de produits bois</v>
      </c>
      <c r="D1524" t="s">
        <v>9</v>
      </c>
      <c r="E1524" t="str">
        <f>VLOOKUP(LEFT(D1524,3),'Table corresp.'!$A$4:$D$63,4,FALSE)</f>
        <v>Transformation</v>
      </c>
      <c r="F1524" t="str">
        <f t="shared" si="180"/>
        <v xml:space="preserve">05  - 15 </v>
      </c>
      <c r="G1524" s="238">
        <v>34880.362042688597</v>
      </c>
      <c r="H1524" s="238">
        <v>0</v>
      </c>
      <c r="I1524" s="238">
        <v>34880.362042688597</v>
      </c>
      <c r="J1524" s="238"/>
      <c r="K1524" s="238"/>
      <c r="L1524" s="238"/>
      <c r="M1524" s="238"/>
      <c r="N1524" s="238"/>
      <c r="O1524" s="238"/>
      <c r="P1524" s="238"/>
      <c r="Q1524" s="238"/>
      <c r="R1524" s="238"/>
      <c r="S1524" s="238"/>
      <c r="T1524" s="218">
        <f>VLOOKUP(A1524,'Groupe de branches'!$Z$27:$AM$86,14,FALSE)</f>
        <v>0</v>
      </c>
      <c r="U1524" s="218">
        <f>VLOOKUP(D1524,'Groupe de branches'!$Z$27:$AM$86,14,FALSE)</f>
        <v>0</v>
      </c>
      <c r="V1524" s="218">
        <v>2020</v>
      </c>
      <c r="W1524" s="218">
        <f>VLOOKUP(D1524,'Table corresp.'!$M$4:$S$63,7,FALSE)</f>
        <v>0</v>
      </c>
      <c r="X1524" s="240">
        <f>IFERROR(G1524/SUMIFS('Comp2016-2017 (3)'!$I$5:$I$289,'Comp2016-2017 (3)'!$A$5:$A$289,A1524,'Comp2016-2017 (3)'!$R$5:$R$289,V1524),0)</f>
        <v>3.21885487352261E-2</v>
      </c>
      <c r="Y1524" s="219">
        <f>IFERROR(IF(RIGHT(F1524,3)="Exp",VLOOKUP(F1524,#REF!,2,FALSE),VLOOKUP(F1524,#REF!,9,FALSE)),1)</f>
        <v>1</v>
      </c>
      <c r="Z1524" s="226">
        <f t="shared" si="175"/>
        <v>5.2631578947368418E-2</v>
      </c>
      <c r="AA1524" s="226">
        <f t="shared" si="178"/>
        <v>1.6941341439592683E-3</v>
      </c>
      <c r="AB1524" s="205">
        <f>IFERROR(SUMIFS('Comp2016-2017 (3)'!$G$5:$G$289,'Comp2016-2017 (3)'!$A$5:$A$289,A1524,'Comp2016-2017 (3)'!$R$5:$R$289,V1524)*AA1524/SUMIFS($AA$4:$AA$1858,$A$4:$A$1858,A1524,$V$4:$V$1858,V1524),0)</f>
        <v>25111.422558935559</v>
      </c>
      <c r="AC1524" s="205">
        <f>IF($W1524=AC$3,$AB1524,IF(NOT($W1524=0),"",SUMIFS('Val-Vol (2)'!AC$4:AC$1858,'Val-Vol (2)'!$A$4:$A$1858,$D1524,'Val-Vol (2)'!$V$4:$V$1858,$V1524)/SUMIFS('Comp2016-2017 (3)'!$G$5:$G$289,'Comp2016-2017 (3)'!$A$5:$A$289,$D1524,'Comp2016-2017 (3)'!$R$5:$R$289,$V1524)*$AB1524))</f>
        <v>0</v>
      </c>
      <c r="AD1524" s="205">
        <f>IF($W1524=AD$3,$AB1524,IF(NOT($W1524=0),"",SUMIFS('Val-Vol (2)'!AD$4:AD$1858,'Val-Vol (2)'!$A$4:$A$1858,$D1524,'Val-Vol (2)'!$V$4:$V$1858,$V1524)/SUMIFS('Comp2016-2017 (3)'!$G$5:$G$289,'Comp2016-2017 (3)'!$A$5:$A$289,$D1524,'Comp2016-2017 (3)'!$R$5:$R$289,$V1524)*$AB1524))</f>
        <v>0</v>
      </c>
      <c r="AE1524" s="205">
        <f>IF($W1524=AE$3,$AB1524,IF(NOT($W1524=0),"",SUMIFS('Val-Vol (2)'!AE$4:AE$1858,'Val-Vol (2)'!$A$4:$A$1858,$D1524,'Val-Vol (2)'!$V$4:$V$1858,$V1524)/SUMIFS('Comp2016-2017 (3)'!$G$5:$G$289,'Comp2016-2017 (3)'!$A$5:$A$289,$D1524,'Comp2016-2017 (3)'!$R$5:$R$289,$V1524)*$AB1524))</f>
        <v>0</v>
      </c>
      <c r="AF1524" s="205">
        <f>IF($W1524=AF$3,$AB1524,IF(NOT($W1524=0),"",SUMIFS('Val-Vol (2)'!AF$4:AF$1858,'Val-Vol (2)'!$A$4:$A$1858,$D1524,'Val-Vol (2)'!$V$4:$V$1858,$V1524)/SUMIFS('Comp2016-2017 (3)'!$G$5:$G$289,'Comp2016-2017 (3)'!$A$5:$A$289,$D1524,'Comp2016-2017 (3)'!$R$5:$R$289,$V1524)*$AB1524))</f>
        <v>0</v>
      </c>
      <c r="AG1524" s="205">
        <f>IF($W1524=AG$3,$AB1524,IF(NOT($W1524=0),"",SUMIFS('Val-Vol (2)'!AG$4:AG$1858,'Val-Vol (2)'!$A$4:$A$1858,$D1524,'Val-Vol (2)'!$V$4:$V$1858,$V1524)/SUMIFS('Comp2016-2017 (3)'!$G$5:$G$289,'Comp2016-2017 (3)'!$A$5:$A$289,$D1524,'Comp2016-2017 (3)'!$R$5:$R$289,$V1524)*$AB1524))</f>
        <v>0</v>
      </c>
      <c r="AH1524" s="205">
        <f>IF($W1524=AH$3,$AB1524,IF(NOT($W1524=0),"",SUMIFS('Val-Vol (2)'!AH$4:AH$1858,'Val-Vol (2)'!$A$4:$A$1858,$D1524,'Val-Vol (2)'!$V$4:$V$1858,$V1524)/SUMIFS('Comp2016-2017 (3)'!$G$5:$G$289,'Comp2016-2017 (3)'!$A$5:$A$289,$D1524,'Comp2016-2017 (3)'!$R$5:$R$289,$V1524)*$AB1524))</f>
        <v>0</v>
      </c>
      <c r="AI1524" s="205">
        <f>IF($W1524=AI$3,$AB1524,IF(NOT($W1524=0),"",SUMIFS('Val-Vol (2)'!AI$4:AI$1858,'Val-Vol (2)'!$A$4:$A$1858,$D1524,'Val-Vol (2)'!$V$4:$V$1858,$V1524)/SUMIFS('Comp2016-2017 (3)'!$G$5:$G$289,'Comp2016-2017 (3)'!$A$5:$A$289,$D1524,'Comp2016-2017 (3)'!$R$5:$R$289,$V1524)*$AB1524))</f>
        <v>0</v>
      </c>
      <c r="AJ1524" s="205">
        <f>IF($W1524=AJ$3,$AB1524,IF(NOT($W1524=0),"",SUMIFS('Val-Vol (2)'!AJ$4:AJ$1858,'Val-Vol (2)'!$A$4:$A$1858,$D1524,'Val-Vol (2)'!$V$4:$V$1858,$V1524)/SUMIFS('Comp2016-2017 (3)'!$G$5:$G$289,'Comp2016-2017 (3)'!$A$5:$A$289,$D1524,'Comp2016-2017 (3)'!$R$5:$R$289,$V1524)*$AB1524))</f>
        <v>0</v>
      </c>
      <c r="AK1524" s="205">
        <f t="shared" si="177"/>
        <v>-25111.422558935559</v>
      </c>
      <c r="AL1524" s="218" t="str">
        <f t="shared" si="179"/>
        <v/>
      </c>
      <c r="AM1524" s="218" t="str">
        <f>VLOOKUP(A1524,'Table corresp.'!$M$4:$U$63,8,FALSE)</f>
        <v>Production intermédiaire</v>
      </c>
      <c r="AN1524" s="218" t="str">
        <f>VLOOKUP(D1524,'Table corresp.'!$M$4:$U$63,9,FALSE)</f>
        <v>Production intermédiaire</v>
      </c>
    </row>
    <row r="1525" spans="1:40" x14ac:dyDescent="0.25">
      <c r="A1525" t="s">
        <v>81</v>
      </c>
      <c r="B1525" t="str">
        <f>VLOOKUP(LEFT(A1525,3),'Table corresp.'!$A$4:$D$63,3,FALSE)</f>
        <v>Transformation</v>
      </c>
      <c r="C1525" t="str">
        <f>VLOOKUP(A1525,'Table corresp.'!$M$4:$P$63,4,FALSE)</f>
        <v>Production et transformation de produits bois</v>
      </c>
      <c r="D1525" t="s">
        <v>10</v>
      </c>
      <c r="E1525" t="str">
        <f>VLOOKUP(LEFT(D1525,3),'Table corresp.'!$A$4:$D$63,4,FALSE)</f>
        <v>Transformation</v>
      </c>
      <c r="F1525" t="str">
        <f t="shared" si="180"/>
        <v xml:space="preserve">05  - 16 </v>
      </c>
      <c r="G1525" s="238">
        <v>4400.8967913428596</v>
      </c>
      <c r="H1525" s="238">
        <v>0</v>
      </c>
      <c r="I1525" s="238">
        <v>4400.8967913428596</v>
      </c>
      <c r="J1525" s="238"/>
      <c r="K1525" s="238"/>
      <c r="L1525" s="238"/>
      <c r="M1525" s="238"/>
      <c r="N1525" s="238"/>
      <c r="O1525" s="238"/>
      <c r="P1525" s="238"/>
      <c r="Q1525" s="238"/>
      <c r="R1525" s="238"/>
      <c r="S1525" s="238"/>
      <c r="T1525" s="218">
        <f>VLOOKUP(A1525,'Groupe de branches'!$Z$27:$AM$86,14,FALSE)</f>
        <v>0</v>
      </c>
      <c r="U1525" s="218">
        <f>VLOOKUP(D1525,'Groupe de branches'!$Z$27:$AM$86,14,FALSE)</f>
        <v>0</v>
      </c>
      <c r="V1525" s="218">
        <v>2020</v>
      </c>
      <c r="W1525" s="218" t="str">
        <f>VLOOKUP(D1525,'Table corresp.'!$M$4:$S$63,7,FALSE)</f>
        <v>Emballage bois et carton</v>
      </c>
      <c r="X1525" s="240">
        <f>IFERROR(G1525/SUMIFS('Comp2016-2017 (3)'!$I$5:$I$289,'Comp2016-2017 (3)'!$A$5:$A$289,A1525,'Comp2016-2017 (3)'!$R$5:$R$289,V1525),0)</f>
        <v>4.061267502713131E-3</v>
      </c>
      <c r="Y1525" s="219">
        <f>IFERROR(IF(RIGHT(F1525,3)="Exp",VLOOKUP(F1525,#REF!,2,FALSE),VLOOKUP(F1525,#REF!,9,FALSE)),1)</f>
        <v>1</v>
      </c>
      <c r="Z1525" s="226">
        <f t="shared" si="175"/>
        <v>5.2631578947368418E-2</v>
      </c>
      <c r="AA1525" s="226">
        <f t="shared" si="178"/>
        <v>2.1375092119542793E-4</v>
      </c>
      <c r="AB1525" s="205">
        <f>IFERROR(SUMIFS('Comp2016-2017 (3)'!$G$5:$G$289,'Comp2016-2017 (3)'!$A$5:$A$289,A1525,'Comp2016-2017 (3)'!$R$5:$R$289,V1525)*AA1525/SUMIFS($AA$4:$AA$1858,$A$4:$A$1858,A1525,$V$4:$V$1858,V1525),0)</f>
        <v>3168.3380702993363</v>
      </c>
      <c r="AC1525" s="205" t="str">
        <f>IF($W1525=AC$3,$AB1525,IF(NOT($W1525=0),"",SUMIFS('Val-Vol (2)'!AC$4:AC$1858,'Val-Vol (2)'!$A$4:$A$1858,$D1525,'Val-Vol (2)'!$V$4:$V$1858,$V1525)/SUMIFS('Comp2016-2017 (3)'!$G$5:$G$289,'Comp2016-2017 (3)'!$A$5:$A$289,$D1525,'Comp2016-2017 (3)'!$R$5:$R$289,$V1525)*$AB1525))</f>
        <v/>
      </c>
      <c r="AD1525" s="205" t="str">
        <f>IF($W1525=AD$3,$AB1525,IF(NOT($W1525=0),"",SUMIFS('Val-Vol (2)'!AD$4:AD$1858,'Val-Vol (2)'!$A$4:$A$1858,$D1525,'Val-Vol (2)'!$V$4:$V$1858,$V1525)/SUMIFS('Comp2016-2017 (3)'!$G$5:$G$289,'Comp2016-2017 (3)'!$A$5:$A$289,$D1525,'Comp2016-2017 (3)'!$R$5:$R$289,$V1525)*$AB1525))</f>
        <v/>
      </c>
      <c r="AE1525" s="205" t="str">
        <f>IF($W1525=AE$3,$AB1525,IF(NOT($W1525=0),"",SUMIFS('Val-Vol (2)'!AE$4:AE$1858,'Val-Vol (2)'!$A$4:$A$1858,$D1525,'Val-Vol (2)'!$V$4:$V$1858,$V1525)/SUMIFS('Comp2016-2017 (3)'!$G$5:$G$289,'Comp2016-2017 (3)'!$A$5:$A$289,$D1525,'Comp2016-2017 (3)'!$R$5:$R$289,$V1525)*$AB1525))</f>
        <v/>
      </c>
      <c r="AF1525" s="205" t="str">
        <f>IF($W1525=AF$3,$AB1525,IF(NOT($W1525=0),"",SUMIFS('Val-Vol (2)'!AF$4:AF$1858,'Val-Vol (2)'!$A$4:$A$1858,$D1525,'Val-Vol (2)'!$V$4:$V$1858,$V1525)/SUMIFS('Comp2016-2017 (3)'!$G$5:$G$289,'Comp2016-2017 (3)'!$A$5:$A$289,$D1525,'Comp2016-2017 (3)'!$R$5:$R$289,$V1525)*$AB1525))</f>
        <v/>
      </c>
      <c r="AG1525" s="205">
        <f>IF($W1525=AG$3,$AB1525,IF(NOT($W1525=0),"",SUMIFS('Val-Vol (2)'!AG$4:AG$1858,'Val-Vol (2)'!$A$4:$A$1858,$D1525,'Val-Vol (2)'!$V$4:$V$1858,$V1525)/SUMIFS('Comp2016-2017 (3)'!$G$5:$G$289,'Comp2016-2017 (3)'!$A$5:$A$289,$D1525,'Comp2016-2017 (3)'!$R$5:$R$289,$V1525)*$AB1525))</f>
        <v>3168.3380702993363</v>
      </c>
      <c r="AH1525" s="205" t="str">
        <f>IF($W1525=AH$3,$AB1525,IF(NOT($W1525=0),"",SUMIFS('Val-Vol (2)'!AH$4:AH$1858,'Val-Vol (2)'!$A$4:$A$1858,$D1525,'Val-Vol (2)'!$V$4:$V$1858,$V1525)/SUMIFS('Comp2016-2017 (3)'!$G$5:$G$289,'Comp2016-2017 (3)'!$A$5:$A$289,$D1525,'Comp2016-2017 (3)'!$R$5:$R$289,$V1525)*$AB1525))</f>
        <v/>
      </c>
      <c r="AI1525" s="205" t="str">
        <f>IF($W1525=AI$3,$AB1525,IF(NOT($W1525=0),"",SUMIFS('Val-Vol (2)'!AI$4:AI$1858,'Val-Vol (2)'!$A$4:$A$1858,$D1525,'Val-Vol (2)'!$V$4:$V$1858,$V1525)/SUMIFS('Comp2016-2017 (3)'!$G$5:$G$289,'Comp2016-2017 (3)'!$A$5:$A$289,$D1525,'Comp2016-2017 (3)'!$R$5:$R$289,$V1525)*$AB1525))</f>
        <v/>
      </c>
      <c r="AJ1525" s="205" t="str">
        <f>IF($W1525=AJ$3,$AB1525,IF(NOT($W1525=0),"",SUMIFS('Val-Vol (2)'!AJ$4:AJ$1858,'Val-Vol (2)'!$A$4:$A$1858,$D1525,'Val-Vol (2)'!$V$4:$V$1858,$V1525)/SUMIFS('Comp2016-2017 (3)'!$G$5:$G$289,'Comp2016-2017 (3)'!$A$5:$A$289,$D1525,'Comp2016-2017 (3)'!$R$5:$R$289,$V1525)*$AB1525))</f>
        <v/>
      </c>
      <c r="AK1525" s="205">
        <f t="shared" si="177"/>
        <v>0</v>
      </c>
      <c r="AL1525" s="218" t="str">
        <f t="shared" si="179"/>
        <v/>
      </c>
      <c r="AM1525" s="218" t="str">
        <f>VLOOKUP(A1525,'Table corresp.'!$M$4:$U$63,8,FALSE)</f>
        <v>Production intermédiaire</v>
      </c>
      <c r="AN1525" s="218" t="str">
        <f>VLOOKUP(D1525,'Table corresp.'!$M$4:$U$63,9,FALSE)</f>
        <v>Production intermédiaire</v>
      </c>
    </row>
    <row r="1526" spans="1:40" x14ac:dyDescent="0.25">
      <c r="A1526" t="s">
        <v>81</v>
      </c>
      <c r="B1526" t="str">
        <f>VLOOKUP(LEFT(A1526,3),'Table corresp.'!$A$4:$D$63,3,FALSE)</f>
        <v>Transformation</v>
      </c>
      <c r="C1526" t="str">
        <f>VLOOKUP(A1526,'Table corresp.'!$M$4:$P$63,4,FALSE)</f>
        <v>Production et transformation de produits bois</v>
      </c>
      <c r="D1526" t="s">
        <v>84</v>
      </c>
      <c r="E1526" t="str">
        <f>VLOOKUP(LEFT(D1526,3),'Table corresp.'!$A$4:$D$63,4,FALSE)</f>
        <v>Transformation</v>
      </c>
      <c r="F1526" t="str">
        <f t="shared" si="180"/>
        <v xml:space="preserve">05  - 17 </v>
      </c>
      <c r="G1526" s="238">
        <v>4887.4048582250098</v>
      </c>
      <c r="H1526" s="238">
        <v>0</v>
      </c>
      <c r="I1526" s="238">
        <v>4887.4048582250198</v>
      </c>
      <c r="J1526" s="238"/>
      <c r="K1526" s="238"/>
      <c r="L1526" s="238"/>
      <c r="M1526" s="238"/>
      <c r="N1526" s="238"/>
      <c r="O1526" s="238"/>
      <c r="P1526" s="238"/>
      <c r="Q1526" s="238"/>
      <c r="R1526" s="238"/>
      <c r="S1526" s="238"/>
      <c r="T1526" s="218">
        <f>VLOOKUP(A1526,'Groupe de branches'!$Z$27:$AM$86,14,FALSE)</f>
        <v>0</v>
      </c>
      <c r="U1526" s="218">
        <f>VLOOKUP(D1526,'Groupe de branches'!$Z$27:$AM$86,14,FALSE)</f>
        <v>0</v>
      </c>
      <c r="V1526" s="218">
        <v>2020</v>
      </c>
      <c r="W1526" s="218" t="str">
        <f>VLOOKUP(D1526,'Table corresp.'!$M$4:$S$63,7,FALSE)</f>
        <v>Construction</v>
      </c>
      <c r="X1526" s="240">
        <f>IFERROR(G1526/SUMIFS('Comp2016-2017 (3)'!$I$5:$I$289,'Comp2016-2017 (3)'!$A$5:$A$289,A1526,'Comp2016-2017 (3)'!$R$5:$R$289,V1526),0)</f>
        <v>4.5102304063020082E-3</v>
      </c>
      <c r="Y1526" s="219">
        <f>IFERROR(IF(RIGHT(F1526,3)="Exp",VLOOKUP(F1526,#REF!,2,FALSE),VLOOKUP(F1526,#REF!,9,FALSE)),1)</f>
        <v>1</v>
      </c>
      <c r="Z1526" s="226">
        <f t="shared" si="175"/>
        <v>5.2631578947368418E-2</v>
      </c>
      <c r="AA1526" s="226">
        <f t="shared" si="178"/>
        <v>2.3738054770010568E-4</v>
      </c>
      <c r="AB1526" s="205">
        <f>IFERROR(SUMIFS('Comp2016-2017 (3)'!$G$5:$G$289,'Comp2016-2017 (3)'!$A$5:$A$289,A1526,'Comp2016-2017 (3)'!$R$5:$R$289,V1526)*AA1526/SUMIFS($AA$4:$AA$1858,$A$4:$A$1858,A1526,$V$4:$V$1858,V1526),0)</f>
        <v>3518.5898718963722</v>
      </c>
      <c r="AC1526" s="205" t="str">
        <f>IF($W1526=AC$3,$AB1526,IF(NOT($W1526=0),"",SUMIFS('Val-Vol (2)'!AC$4:AC$1858,'Val-Vol (2)'!$A$4:$A$1858,$D1526,'Val-Vol (2)'!$V$4:$V$1858,$V1526)/SUMIFS('Comp2016-2017 (3)'!$G$5:$G$289,'Comp2016-2017 (3)'!$A$5:$A$289,$D1526,'Comp2016-2017 (3)'!$R$5:$R$289,$V1526)*$AB1526))</f>
        <v/>
      </c>
      <c r="AD1526" s="205">
        <f>IF($W1526=AD$3,$AB1526,IF(NOT($W1526=0),"",SUMIFS('Val-Vol (2)'!AD$4:AD$1858,'Val-Vol (2)'!$A$4:$A$1858,$D1526,'Val-Vol (2)'!$V$4:$V$1858,$V1526)/SUMIFS('Comp2016-2017 (3)'!$G$5:$G$289,'Comp2016-2017 (3)'!$A$5:$A$289,$D1526,'Comp2016-2017 (3)'!$R$5:$R$289,$V1526)*$AB1526))</f>
        <v>3518.5898718963722</v>
      </c>
      <c r="AE1526" s="205" t="str">
        <f>IF($W1526=AE$3,$AB1526,IF(NOT($W1526=0),"",SUMIFS('Val-Vol (2)'!AE$4:AE$1858,'Val-Vol (2)'!$A$4:$A$1858,$D1526,'Val-Vol (2)'!$V$4:$V$1858,$V1526)/SUMIFS('Comp2016-2017 (3)'!$G$5:$G$289,'Comp2016-2017 (3)'!$A$5:$A$289,$D1526,'Comp2016-2017 (3)'!$R$5:$R$289,$V1526)*$AB1526))</f>
        <v/>
      </c>
      <c r="AF1526" s="205" t="str">
        <f>IF($W1526=AF$3,$AB1526,IF(NOT($W1526=0),"",SUMIFS('Val-Vol (2)'!AF$4:AF$1858,'Val-Vol (2)'!$A$4:$A$1858,$D1526,'Val-Vol (2)'!$V$4:$V$1858,$V1526)/SUMIFS('Comp2016-2017 (3)'!$G$5:$G$289,'Comp2016-2017 (3)'!$A$5:$A$289,$D1526,'Comp2016-2017 (3)'!$R$5:$R$289,$V1526)*$AB1526))</f>
        <v/>
      </c>
      <c r="AG1526" s="205" t="str">
        <f>IF($W1526=AG$3,$AB1526,IF(NOT($W1526=0),"",SUMIFS('Val-Vol (2)'!AG$4:AG$1858,'Val-Vol (2)'!$A$4:$A$1858,$D1526,'Val-Vol (2)'!$V$4:$V$1858,$V1526)/SUMIFS('Comp2016-2017 (3)'!$G$5:$G$289,'Comp2016-2017 (3)'!$A$5:$A$289,$D1526,'Comp2016-2017 (3)'!$R$5:$R$289,$V1526)*$AB1526))</f>
        <v/>
      </c>
      <c r="AH1526" s="205" t="str">
        <f>IF($W1526=AH$3,$AB1526,IF(NOT($W1526=0),"",SUMIFS('Val-Vol (2)'!AH$4:AH$1858,'Val-Vol (2)'!$A$4:$A$1858,$D1526,'Val-Vol (2)'!$V$4:$V$1858,$V1526)/SUMIFS('Comp2016-2017 (3)'!$G$5:$G$289,'Comp2016-2017 (3)'!$A$5:$A$289,$D1526,'Comp2016-2017 (3)'!$R$5:$R$289,$V1526)*$AB1526))</f>
        <v/>
      </c>
      <c r="AI1526" s="205" t="str">
        <f>IF($W1526=AI$3,$AB1526,IF(NOT($W1526=0),"",SUMIFS('Val-Vol (2)'!AI$4:AI$1858,'Val-Vol (2)'!$A$4:$A$1858,$D1526,'Val-Vol (2)'!$V$4:$V$1858,$V1526)/SUMIFS('Comp2016-2017 (3)'!$G$5:$G$289,'Comp2016-2017 (3)'!$A$5:$A$289,$D1526,'Comp2016-2017 (3)'!$R$5:$R$289,$V1526)*$AB1526))</f>
        <v/>
      </c>
      <c r="AJ1526" s="205" t="str">
        <f>IF($W1526=AJ$3,$AB1526,IF(NOT($W1526=0),"",SUMIFS('Val-Vol (2)'!AJ$4:AJ$1858,'Val-Vol (2)'!$A$4:$A$1858,$D1526,'Val-Vol (2)'!$V$4:$V$1858,$V1526)/SUMIFS('Comp2016-2017 (3)'!$G$5:$G$289,'Comp2016-2017 (3)'!$A$5:$A$289,$D1526,'Comp2016-2017 (3)'!$R$5:$R$289,$V1526)*$AB1526))</f>
        <v/>
      </c>
      <c r="AK1526" s="205">
        <f t="shared" si="177"/>
        <v>0</v>
      </c>
      <c r="AL1526" s="218" t="str">
        <f t="shared" si="179"/>
        <v/>
      </c>
      <c r="AM1526" s="218" t="str">
        <f>VLOOKUP(A1526,'Table corresp.'!$M$4:$U$63,8,FALSE)</f>
        <v>Production intermédiaire</v>
      </c>
      <c r="AN1526" s="218" t="str">
        <f>VLOOKUP(D1526,'Table corresp.'!$M$4:$U$63,9,FALSE)</f>
        <v>Production intermédiaire</v>
      </c>
    </row>
    <row r="1527" spans="1:40" x14ac:dyDescent="0.25">
      <c r="A1527" t="s">
        <v>81</v>
      </c>
      <c r="B1527" t="str">
        <f>VLOOKUP(LEFT(A1527,3),'Table corresp.'!$A$4:$D$63,3,FALSE)</f>
        <v>Transformation</v>
      </c>
      <c r="C1527" t="str">
        <f>VLOOKUP(A1527,'Table corresp.'!$M$4:$P$63,4,FALSE)</f>
        <v>Production et transformation de produits bois</v>
      </c>
      <c r="D1527" t="s">
        <v>86</v>
      </c>
      <c r="E1527" t="str">
        <f>VLOOKUP(LEFT(D1527,3),'Table corresp.'!$A$4:$D$63,4,FALSE)</f>
        <v>Transformation</v>
      </c>
      <c r="F1527" t="str">
        <f t="shared" si="180"/>
        <v xml:space="preserve">05  - 30 </v>
      </c>
      <c r="G1527" s="238">
        <v>87745.592970177706</v>
      </c>
      <c r="H1527" s="238">
        <v>0</v>
      </c>
      <c r="I1527" s="238">
        <v>87745.592970177706</v>
      </c>
      <c r="J1527" s="238"/>
      <c r="K1527" s="238"/>
      <c r="L1527" s="238"/>
      <c r="M1527" s="238"/>
      <c r="N1527" s="238"/>
      <c r="O1527" s="238"/>
      <c r="P1527" s="238"/>
      <c r="Q1527" s="238"/>
      <c r="R1527" s="238"/>
      <c r="S1527" s="238"/>
      <c r="T1527" s="218">
        <f>VLOOKUP(A1527,'Groupe de branches'!$Z$27:$AM$86,14,FALSE)</f>
        <v>0</v>
      </c>
      <c r="U1527" s="218">
        <f>VLOOKUP(D1527,'Groupe de branches'!$Z$27:$AM$86,14,FALSE)</f>
        <v>1</v>
      </c>
      <c r="V1527" s="218">
        <v>2020</v>
      </c>
      <c r="W1527" s="218" t="str">
        <f>VLOOKUP(D1527,'Table corresp.'!$M$4:$S$63,7,FALSE)</f>
        <v>Energie</v>
      </c>
      <c r="X1527" s="240">
        <f>IFERROR(G1527/SUMIFS('Comp2016-2017 (3)'!$I$5:$I$289,'Comp2016-2017 (3)'!$A$5:$A$289,A1527,'Comp2016-2017 (3)'!$R$5:$R$289,V1527),0)</f>
        <v>8.0974024643586273E-2</v>
      </c>
      <c r="Y1527" s="219">
        <f>IFERROR(IF(RIGHT(F1527,3)="Exp",VLOOKUP(F1527,#REF!,2,FALSE),VLOOKUP(F1527,#REF!,9,FALSE)),1)</f>
        <v>1</v>
      </c>
      <c r="Z1527" s="226">
        <f t="shared" si="175"/>
        <v>5.2631578947368418E-2</v>
      </c>
      <c r="AA1527" s="226">
        <f t="shared" si="178"/>
        <v>4.261790770715067E-3</v>
      </c>
      <c r="AB1527" s="205">
        <f>IFERROR(SUMIFS('Comp2016-2017 (3)'!$G$5:$G$289,'Comp2016-2017 (3)'!$A$5:$A$289,A1527,'Comp2016-2017 (3)'!$R$5:$R$289,V1527)*AA1527/SUMIFS($AA$4:$AA$1858,$A$4:$A$1858,A1527,$V$4:$V$1858,V1527),0)</f>
        <v>63170.693585744026</v>
      </c>
      <c r="AC1527" s="205" t="str">
        <f>IF($W1527=AC$3,$AB1527,IF(NOT($W1527=0),"",SUMIFS('Val-Vol (2)'!AC$4:AC$1858,'Val-Vol (2)'!$A$4:$A$1858,$D1527,'Val-Vol (2)'!$V$4:$V$1858,$V1527)/SUMIFS('Comp2016-2017 (3)'!$G$5:$G$289,'Comp2016-2017 (3)'!$A$5:$A$289,$D1527,'Comp2016-2017 (3)'!$R$5:$R$289,$V1527)*$AB1527))</f>
        <v/>
      </c>
      <c r="AD1527" s="205" t="str">
        <f>IF($W1527=AD$3,$AB1527,IF(NOT($W1527=0),"",SUMIFS('Val-Vol (2)'!AD$4:AD$1858,'Val-Vol (2)'!$A$4:$A$1858,$D1527,'Val-Vol (2)'!$V$4:$V$1858,$V1527)/SUMIFS('Comp2016-2017 (3)'!$G$5:$G$289,'Comp2016-2017 (3)'!$A$5:$A$289,$D1527,'Comp2016-2017 (3)'!$R$5:$R$289,$V1527)*$AB1527))</f>
        <v/>
      </c>
      <c r="AE1527" s="205" t="str">
        <f>IF($W1527=AE$3,$AB1527,IF(NOT($W1527=0),"",SUMIFS('Val-Vol (2)'!AE$4:AE$1858,'Val-Vol (2)'!$A$4:$A$1858,$D1527,'Val-Vol (2)'!$V$4:$V$1858,$V1527)/SUMIFS('Comp2016-2017 (3)'!$G$5:$G$289,'Comp2016-2017 (3)'!$A$5:$A$289,$D1527,'Comp2016-2017 (3)'!$R$5:$R$289,$V1527)*$AB1527))</f>
        <v/>
      </c>
      <c r="AF1527" s="205" t="str">
        <f>IF($W1527=AF$3,$AB1527,IF(NOT($W1527=0),"",SUMIFS('Val-Vol (2)'!AF$4:AF$1858,'Val-Vol (2)'!$A$4:$A$1858,$D1527,'Val-Vol (2)'!$V$4:$V$1858,$V1527)/SUMIFS('Comp2016-2017 (3)'!$G$5:$G$289,'Comp2016-2017 (3)'!$A$5:$A$289,$D1527,'Comp2016-2017 (3)'!$R$5:$R$289,$V1527)*$AB1527))</f>
        <v/>
      </c>
      <c r="AG1527" s="205" t="str">
        <f>IF($W1527=AG$3,$AB1527,IF(NOT($W1527=0),"",SUMIFS('Val-Vol (2)'!AG$4:AG$1858,'Val-Vol (2)'!$A$4:$A$1858,$D1527,'Val-Vol (2)'!$V$4:$V$1858,$V1527)/SUMIFS('Comp2016-2017 (3)'!$G$5:$G$289,'Comp2016-2017 (3)'!$A$5:$A$289,$D1527,'Comp2016-2017 (3)'!$R$5:$R$289,$V1527)*$AB1527))</f>
        <v/>
      </c>
      <c r="AH1527" s="205">
        <f>IF($W1527=AH$3,$AB1527,IF(NOT($W1527=0),"",SUMIFS('Val-Vol (2)'!AH$4:AH$1858,'Val-Vol (2)'!$A$4:$A$1858,$D1527,'Val-Vol (2)'!$V$4:$V$1858,$V1527)/SUMIFS('Comp2016-2017 (3)'!$G$5:$G$289,'Comp2016-2017 (3)'!$A$5:$A$289,$D1527,'Comp2016-2017 (3)'!$R$5:$R$289,$V1527)*$AB1527))</f>
        <v>63170.693585744026</v>
      </c>
      <c r="AI1527" s="205" t="str">
        <f>IF($W1527=AI$3,$AB1527,IF(NOT($W1527=0),"",SUMIFS('Val-Vol (2)'!AI$4:AI$1858,'Val-Vol (2)'!$A$4:$A$1858,$D1527,'Val-Vol (2)'!$V$4:$V$1858,$V1527)/SUMIFS('Comp2016-2017 (3)'!$G$5:$G$289,'Comp2016-2017 (3)'!$A$5:$A$289,$D1527,'Comp2016-2017 (3)'!$R$5:$R$289,$V1527)*$AB1527))</f>
        <v/>
      </c>
      <c r="AJ1527" s="205" t="str">
        <f>IF($W1527=AJ$3,$AB1527,IF(NOT($W1527=0),"",SUMIFS('Val-Vol (2)'!AJ$4:AJ$1858,'Val-Vol (2)'!$A$4:$A$1858,$D1527,'Val-Vol (2)'!$V$4:$V$1858,$V1527)/SUMIFS('Comp2016-2017 (3)'!$G$5:$G$289,'Comp2016-2017 (3)'!$A$5:$A$289,$D1527,'Comp2016-2017 (3)'!$R$5:$R$289,$V1527)*$AB1527))</f>
        <v/>
      </c>
      <c r="AK1527" s="205">
        <f t="shared" si="177"/>
        <v>0</v>
      </c>
      <c r="AL1527" s="218" t="str">
        <f t="shared" si="179"/>
        <v/>
      </c>
      <c r="AM1527" s="218" t="str">
        <f>VLOOKUP(A1527,'Table corresp.'!$M$4:$U$63,8,FALSE)</f>
        <v>Production intermédiaire</v>
      </c>
      <c r="AN1527" s="218" t="str">
        <f>VLOOKUP(D1527,'Table corresp.'!$M$4:$U$63,9,FALSE)</f>
        <v>Production intermédiaire</v>
      </c>
    </row>
    <row r="1528" spans="1:40" x14ac:dyDescent="0.25">
      <c r="A1528" t="s">
        <v>81</v>
      </c>
      <c r="B1528" t="str">
        <f>VLOOKUP(LEFT(A1528,3),'Table corresp.'!$A$4:$D$63,3,FALSE)</f>
        <v>Transformation</v>
      </c>
      <c r="C1528" t="str">
        <f>VLOOKUP(A1528,'Table corresp.'!$M$4:$P$63,4,FALSE)</f>
        <v>Production et transformation de produits bois</v>
      </c>
      <c r="D1528" t="s">
        <v>87</v>
      </c>
      <c r="E1528" t="str">
        <f>VLOOKUP(LEFT(D1528,3),'Table corresp.'!$A$4:$D$63,4,FALSE)</f>
        <v>Transformation</v>
      </c>
      <c r="F1528" t="str">
        <f t="shared" si="180"/>
        <v xml:space="preserve">05  - 31 </v>
      </c>
      <c r="G1528" s="238">
        <v>52266.597592759201</v>
      </c>
      <c r="H1528" s="238">
        <v>0</v>
      </c>
      <c r="I1528" s="238">
        <v>52266.597592759201</v>
      </c>
      <c r="J1528" s="238"/>
      <c r="K1528" s="238"/>
      <c r="L1528" s="238"/>
      <c r="M1528" s="238"/>
      <c r="N1528" s="238"/>
      <c r="O1528" s="238"/>
      <c r="P1528" s="238"/>
      <c r="Q1528" s="238"/>
      <c r="R1528" s="238"/>
      <c r="S1528" s="238"/>
      <c r="T1528" s="218">
        <f>VLOOKUP(A1528,'Groupe de branches'!$Z$27:$AM$86,14,FALSE)</f>
        <v>0</v>
      </c>
      <c r="U1528" s="218">
        <f>VLOOKUP(D1528,'Groupe de branches'!$Z$27:$AM$86,14,FALSE)</f>
        <v>0</v>
      </c>
      <c r="V1528" s="218">
        <v>2020</v>
      </c>
      <c r="W1528" s="218">
        <f>VLOOKUP(D1528,'Table corresp.'!$M$4:$S$63,7,FALSE)</f>
        <v>0</v>
      </c>
      <c r="X1528" s="240">
        <f>IFERROR(G1528/SUMIFS('Comp2016-2017 (3)'!$I$5:$I$289,'Comp2016-2017 (3)'!$A$5:$A$289,A1528,'Comp2016-2017 (3)'!$R$5:$R$289,V1528),0)</f>
        <v>4.8233040751698042E-2</v>
      </c>
      <c r="Y1528" s="219">
        <f>IFERROR(IF(RIGHT(F1528,3)="Exp",VLOOKUP(F1528,#REF!,2,FALSE),VLOOKUP(F1528,#REF!,9,FALSE)),1)</f>
        <v>1</v>
      </c>
      <c r="Z1528" s="226">
        <f t="shared" si="175"/>
        <v>5.2631578947368418E-2</v>
      </c>
      <c r="AA1528" s="226">
        <f t="shared" si="178"/>
        <v>2.5385810921946337E-3</v>
      </c>
      <c r="AB1528" s="205">
        <f>IFERROR(SUMIFS('Comp2016-2017 (3)'!$G$5:$G$289,'Comp2016-2017 (3)'!$A$5:$A$289,A1528,'Comp2016-2017 (3)'!$R$5:$R$289,V1528)*AA1528/SUMIFS($AA$4:$AA$1858,$A$4:$A$1858,A1528,$V$4:$V$1858,V1528),0)</f>
        <v>37628.296869835278</v>
      </c>
      <c r="AC1528" s="205">
        <f>IF($W1528=AC$3,$AB1528,IF(NOT($W1528=0),"",SUMIFS('Val-Vol (2)'!AC$4:AC$1858,'Val-Vol (2)'!$A$4:$A$1858,$D1528,'Val-Vol (2)'!$V$4:$V$1858,$V1528)/SUMIFS('Comp2016-2017 (3)'!$G$5:$G$289,'Comp2016-2017 (3)'!$A$5:$A$289,$D1528,'Comp2016-2017 (3)'!$R$5:$R$289,$V1528)*$AB1528))</f>
        <v>0</v>
      </c>
      <c r="AD1528" s="205">
        <f>IF($W1528=AD$3,$AB1528,IF(NOT($W1528=0),"",SUMIFS('Val-Vol (2)'!AD$4:AD$1858,'Val-Vol (2)'!$A$4:$A$1858,$D1528,'Val-Vol (2)'!$V$4:$V$1858,$V1528)/SUMIFS('Comp2016-2017 (3)'!$G$5:$G$289,'Comp2016-2017 (3)'!$A$5:$A$289,$D1528,'Comp2016-2017 (3)'!$R$5:$R$289,$V1528)*$AB1528))</f>
        <v>0</v>
      </c>
      <c r="AE1528" s="205">
        <f>IF($W1528=AE$3,$AB1528,IF(NOT($W1528=0),"",SUMIFS('Val-Vol (2)'!AE$4:AE$1858,'Val-Vol (2)'!$A$4:$A$1858,$D1528,'Val-Vol (2)'!$V$4:$V$1858,$V1528)/SUMIFS('Comp2016-2017 (3)'!$G$5:$G$289,'Comp2016-2017 (3)'!$A$5:$A$289,$D1528,'Comp2016-2017 (3)'!$R$5:$R$289,$V1528)*$AB1528))</f>
        <v>0</v>
      </c>
      <c r="AF1528" s="205">
        <f>IF($W1528=AF$3,$AB1528,IF(NOT($W1528=0),"",SUMIFS('Val-Vol (2)'!AF$4:AF$1858,'Val-Vol (2)'!$A$4:$A$1858,$D1528,'Val-Vol (2)'!$V$4:$V$1858,$V1528)/SUMIFS('Comp2016-2017 (3)'!$G$5:$G$289,'Comp2016-2017 (3)'!$A$5:$A$289,$D1528,'Comp2016-2017 (3)'!$R$5:$R$289,$V1528)*$AB1528))</f>
        <v>0</v>
      </c>
      <c r="AG1528" s="205">
        <f>IF($W1528=AG$3,$AB1528,IF(NOT($W1528=0),"",SUMIFS('Val-Vol (2)'!AG$4:AG$1858,'Val-Vol (2)'!$A$4:$A$1858,$D1528,'Val-Vol (2)'!$V$4:$V$1858,$V1528)/SUMIFS('Comp2016-2017 (3)'!$G$5:$G$289,'Comp2016-2017 (3)'!$A$5:$A$289,$D1528,'Comp2016-2017 (3)'!$R$5:$R$289,$V1528)*$AB1528))</f>
        <v>0</v>
      </c>
      <c r="AH1528" s="205">
        <f>IF($W1528=AH$3,$AB1528,IF(NOT($W1528=0),"",SUMIFS('Val-Vol (2)'!AH$4:AH$1858,'Val-Vol (2)'!$A$4:$A$1858,$D1528,'Val-Vol (2)'!$V$4:$V$1858,$V1528)/SUMIFS('Comp2016-2017 (3)'!$G$5:$G$289,'Comp2016-2017 (3)'!$A$5:$A$289,$D1528,'Comp2016-2017 (3)'!$R$5:$R$289,$V1528)*$AB1528))</f>
        <v>0</v>
      </c>
      <c r="AI1528" s="205">
        <f>IF($W1528=AI$3,$AB1528,IF(NOT($W1528=0),"",SUMIFS('Val-Vol (2)'!AI$4:AI$1858,'Val-Vol (2)'!$A$4:$A$1858,$D1528,'Val-Vol (2)'!$V$4:$V$1858,$V1528)/SUMIFS('Comp2016-2017 (3)'!$G$5:$G$289,'Comp2016-2017 (3)'!$A$5:$A$289,$D1528,'Comp2016-2017 (3)'!$R$5:$R$289,$V1528)*$AB1528))</f>
        <v>0</v>
      </c>
      <c r="AJ1528" s="205">
        <f>IF($W1528=AJ$3,$AB1528,IF(NOT($W1528=0),"",SUMIFS('Val-Vol (2)'!AJ$4:AJ$1858,'Val-Vol (2)'!$A$4:$A$1858,$D1528,'Val-Vol (2)'!$V$4:$V$1858,$V1528)/SUMIFS('Comp2016-2017 (3)'!$G$5:$G$289,'Comp2016-2017 (3)'!$A$5:$A$289,$D1528,'Comp2016-2017 (3)'!$R$5:$R$289,$V1528)*$AB1528))</f>
        <v>0</v>
      </c>
      <c r="AK1528" s="205">
        <f t="shared" si="177"/>
        <v>-37628.296869835278</v>
      </c>
      <c r="AL1528" s="218" t="str">
        <f t="shared" si="179"/>
        <v/>
      </c>
      <c r="AM1528" s="218" t="str">
        <f>VLOOKUP(A1528,'Table corresp.'!$M$4:$U$63,8,FALSE)</f>
        <v>Production intermédiaire</v>
      </c>
      <c r="AN1528" s="218" t="str">
        <f>VLOOKUP(D1528,'Table corresp.'!$M$4:$U$63,9,FALSE)</f>
        <v>Production intermédiaire</v>
      </c>
    </row>
    <row r="1529" spans="1:40" x14ac:dyDescent="0.25">
      <c r="A1529" t="s">
        <v>81</v>
      </c>
      <c r="B1529" t="str">
        <f>VLOOKUP(LEFT(A1529,3),'Table corresp.'!$A$4:$D$63,3,FALSE)</f>
        <v>Transformation</v>
      </c>
      <c r="C1529" t="str">
        <f>VLOOKUP(A1529,'Table corresp.'!$M$4:$P$63,4,FALSE)</f>
        <v>Production et transformation de produits bois</v>
      </c>
      <c r="D1529" t="s">
        <v>91</v>
      </c>
      <c r="E1529" t="str">
        <f>VLOOKUP(LEFT(D1529,3),'Table corresp.'!$A$4:$D$63,4,FALSE)</f>
        <v>Transformation</v>
      </c>
      <c r="F1529" t="str">
        <f t="shared" si="180"/>
        <v xml:space="preserve">05  - 37 </v>
      </c>
      <c r="G1529" s="238">
        <v>13437.5158820819</v>
      </c>
      <c r="H1529" s="238">
        <v>0</v>
      </c>
      <c r="I1529" s="238">
        <v>13437.5158820819</v>
      </c>
      <c r="J1529" s="238"/>
      <c r="K1529" s="238"/>
      <c r="L1529" s="238"/>
      <c r="M1529" s="238"/>
      <c r="N1529" s="238"/>
      <c r="O1529" s="238"/>
      <c r="P1529" s="238"/>
      <c r="Q1529" s="238"/>
      <c r="R1529" s="238"/>
      <c r="S1529" s="238"/>
      <c r="T1529" s="218">
        <f>VLOOKUP(A1529,'Groupe de branches'!$Z$27:$AM$86,14,FALSE)</f>
        <v>0</v>
      </c>
      <c r="U1529" s="218">
        <f>VLOOKUP(D1529,'Groupe de branches'!$Z$27:$AM$86,14,FALSE)</f>
        <v>0</v>
      </c>
      <c r="V1529" s="218">
        <v>2020</v>
      </c>
      <c r="W1529" s="218" t="str">
        <f>VLOOKUP(D1529,'Table corresp.'!$M$4:$S$63,7,FALSE)</f>
        <v>Emballage bois et carton</v>
      </c>
      <c r="X1529" s="240">
        <f>IFERROR(G1529/SUMIFS('Comp2016-2017 (3)'!$I$5:$I$289,'Comp2016-2017 (3)'!$A$5:$A$289,A1529,'Comp2016-2017 (3)'!$R$5:$R$289,V1529),0)</f>
        <v>1.2400505886991877E-2</v>
      </c>
      <c r="Y1529" s="219">
        <f>IFERROR(IF(RIGHT(F1529,3)="Exp",VLOOKUP(F1529,#REF!,2,FALSE),VLOOKUP(F1529,#REF!,9,FALSE)),1)</f>
        <v>1</v>
      </c>
      <c r="Z1529" s="226">
        <f t="shared" si="175"/>
        <v>5.2631578947368418E-2</v>
      </c>
      <c r="AA1529" s="226">
        <f t="shared" si="178"/>
        <v>6.5265820457851979E-4</v>
      </c>
      <c r="AB1529" s="205">
        <f>IFERROR(SUMIFS('Comp2016-2017 (3)'!$G$5:$G$289,'Comp2016-2017 (3)'!$A$5:$A$289,A1529,'Comp2016-2017 (3)'!$R$5:$R$289,V1529)*AA1529/SUMIFS($AA$4:$AA$1858,$A$4:$A$1858,A1529,$V$4:$V$1858,V1529),0)</f>
        <v>9674.072162565104</v>
      </c>
      <c r="AC1529" s="205" t="str">
        <f>IF($W1529=AC$3,$AB1529,IF(NOT($W1529=0),"",SUMIFS('Val-Vol (2)'!AC$4:AC$1858,'Val-Vol (2)'!$A$4:$A$1858,$D1529,'Val-Vol (2)'!$V$4:$V$1858,$V1529)/SUMIFS('Comp2016-2017 (3)'!$G$5:$G$289,'Comp2016-2017 (3)'!$A$5:$A$289,$D1529,'Comp2016-2017 (3)'!$R$5:$R$289,$V1529)*$AB1529))</f>
        <v/>
      </c>
      <c r="AD1529" s="205" t="str">
        <f>IF($W1529=AD$3,$AB1529,IF(NOT($W1529=0),"",SUMIFS('Val-Vol (2)'!AD$4:AD$1858,'Val-Vol (2)'!$A$4:$A$1858,$D1529,'Val-Vol (2)'!$V$4:$V$1858,$V1529)/SUMIFS('Comp2016-2017 (3)'!$G$5:$G$289,'Comp2016-2017 (3)'!$A$5:$A$289,$D1529,'Comp2016-2017 (3)'!$R$5:$R$289,$V1529)*$AB1529))</f>
        <v/>
      </c>
      <c r="AE1529" s="205" t="str">
        <f>IF($W1529=AE$3,$AB1529,IF(NOT($W1529=0),"",SUMIFS('Val-Vol (2)'!AE$4:AE$1858,'Val-Vol (2)'!$A$4:$A$1858,$D1529,'Val-Vol (2)'!$V$4:$V$1858,$V1529)/SUMIFS('Comp2016-2017 (3)'!$G$5:$G$289,'Comp2016-2017 (3)'!$A$5:$A$289,$D1529,'Comp2016-2017 (3)'!$R$5:$R$289,$V1529)*$AB1529))</f>
        <v/>
      </c>
      <c r="AF1529" s="205" t="str">
        <f>IF($W1529=AF$3,$AB1529,IF(NOT($W1529=0),"",SUMIFS('Val-Vol (2)'!AF$4:AF$1858,'Val-Vol (2)'!$A$4:$A$1858,$D1529,'Val-Vol (2)'!$V$4:$V$1858,$V1529)/SUMIFS('Comp2016-2017 (3)'!$G$5:$G$289,'Comp2016-2017 (3)'!$A$5:$A$289,$D1529,'Comp2016-2017 (3)'!$R$5:$R$289,$V1529)*$AB1529))</f>
        <v/>
      </c>
      <c r="AG1529" s="205">
        <f>IF($W1529=AG$3,$AB1529,IF(NOT($W1529=0),"",SUMIFS('Val-Vol (2)'!AG$4:AG$1858,'Val-Vol (2)'!$A$4:$A$1858,$D1529,'Val-Vol (2)'!$V$4:$V$1858,$V1529)/SUMIFS('Comp2016-2017 (3)'!$G$5:$G$289,'Comp2016-2017 (3)'!$A$5:$A$289,$D1529,'Comp2016-2017 (3)'!$R$5:$R$289,$V1529)*$AB1529))</f>
        <v>9674.072162565104</v>
      </c>
      <c r="AH1529" s="205" t="str">
        <f>IF($W1529=AH$3,$AB1529,IF(NOT($W1529=0),"",SUMIFS('Val-Vol (2)'!AH$4:AH$1858,'Val-Vol (2)'!$A$4:$A$1858,$D1529,'Val-Vol (2)'!$V$4:$V$1858,$V1529)/SUMIFS('Comp2016-2017 (3)'!$G$5:$G$289,'Comp2016-2017 (3)'!$A$5:$A$289,$D1529,'Comp2016-2017 (3)'!$R$5:$R$289,$V1529)*$AB1529))</f>
        <v/>
      </c>
      <c r="AI1529" s="205" t="str">
        <f>IF($W1529=AI$3,$AB1529,IF(NOT($W1529=0),"",SUMIFS('Val-Vol (2)'!AI$4:AI$1858,'Val-Vol (2)'!$A$4:$A$1858,$D1529,'Val-Vol (2)'!$V$4:$V$1858,$V1529)/SUMIFS('Comp2016-2017 (3)'!$G$5:$G$289,'Comp2016-2017 (3)'!$A$5:$A$289,$D1529,'Comp2016-2017 (3)'!$R$5:$R$289,$V1529)*$AB1529))</f>
        <v/>
      </c>
      <c r="AJ1529" s="205" t="str">
        <f>IF($W1529=AJ$3,$AB1529,IF(NOT($W1529=0),"",SUMIFS('Val-Vol (2)'!AJ$4:AJ$1858,'Val-Vol (2)'!$A$4:$A$1858,$D1529,'Val-Vol (2)'!$V$4:$V$1858,$V1529)/SUMIFS('Comp2016-2017 (3)'!$G$5:$G$289,'Comp2016-2017 (3)'!$A$5:$A$289,$D1529,'Comp2016-2017 (3)'!$R$5:$R$289,$V1529)*$AB1529))</f>
        <v/>
      </c>
      <c r="AK1529" s="205">
        <f t="shared" si="177"/>
        <v>0</v>
      </c>
      <c r="AL1529" s="218" t="str">
        <f t="shared" si="179"/>
        <v/>
      </c>
      <c r="AM1529" s="218" t="str">
        <f>VLOOKUP(A1529,'Table corresp.'!$M$4:$U$63,8,FALSE)</f>
        <v>Production intermédiaire</v>
      </c>
      <c r="AN1529" s="218" t="str">
        <f>VLOOKUP(D1529,'Table corresp.'!$M$4:$U$63,9,FALSE)</f>
        <v>Production finale</v>
      </c>
    </row>
    <row r="1530" spans="1:40" x14ac:dyDescent="0.25">
      <c r="A1530" t="s">
        <v>81</v>
      </c>
      <c r="B1530" t="str">
        <f>VLOOKUP(LEFT(A1530,3),'Table corresp.'!$A$4:$D$63,3,FALSE)</f>
        <v>Transformation</v>
      </c>
      <c r="C1530" t="str">
        <f>VLOOKUP(A1530,'Table corresp.'!$M$4:$P$63,4,FALSE)</f>
        <v>Production et transformation de produits bois</v>
      </c>
      <c r="D1530" t="s">
        <v>95</v>
      </c>
      <c r="E1530" t="str">
        <f>VLOOKUP(LEFT(D1530,3),'Table corresp.'!$A$4:$D$63,4,FALSE)</f>
        <v>Transformation</v>
      </c>
      <c r="F1530" t="str">
        <f t="shared" si="180"/>
        <v xml:space="preserve">05  - 43 </v>
      </c>
      <c r="G1530" s="238">
        <v>56514.816209191697</v>
      </c>
      <c r="H1530" s="238">
        <v>0</v>
      </c>
      <c r="I1530" s="238">
        <v>56514.816209191798</v>
      </c>
      <c r="J1530" s="238"/>
      <c r="K1530" s="238"/>
      <c r="L1530" s="238"/>
      <c r="M1530" s="238"/>
      <c r="N1530" s="238"/>
      <c r="O1530" s="238"/>
      <c r="P1530" s="238"/>
      <c r="Q1530" s="238"/>
      <c r="R1530" s="238"/>
      <c r="S1530" s="238"/>
      <c r="T1530" s="218">
        <f>VLOOKUP(A1530,'Groupe de branches'!$Z$27:$AM$86,14,FALSE)</f>
        <v>0</v>
      </c>
      <c r="U1530" s="218">
        <f>VLOOKUP(D1530,'Groupe de branches'!$Z$27:$AM$86,14,FALSE)</f>
        <v>0</v>
      </c>
      <c r="V1530" s="218">
        <v>2020</v>
      </c>
      <c r="W1530" s="218" t="str">
        <f>VLOOKUP(D1530,'Table corresp.'!$M$4:$S$63,7,FALSE)</f>
        <v>Pate &amp; papier &amp; carton</v>
      </c>
      <c r="X1530" s="240">
        <f>IFERROR(G1530/SUMIFS('Comp2016-2017 (3)'!$I$5:$I$289,'Comp2016-2017 (3)'!$A$5:$A$289,A1530,'Comp2016-2017 (3)'!$R$5:$R$289,V1530),0)</f>
        <v>5.2153412673456682E-2</v>
      </c>
      <c r="Y1530" s="219">
        <f>IFERROR(IF(RIGHT(F1530,3)="Exp",VLOOKUP(F1530,#REF!,2,FALSE),VLOOKUP(F1530,#REF!,9,FALSE)),1)</f>
        <v>1</v>
      </c>
      <c r="Z1530" s="226">
        <f t="shared" si="175"/>
        <v>5.2631578947368418E-2</v>
      </c>
      <c r="AA1530" s="226">
        <f t="shared" si="178"/>
        <v>2.7449164564977199E-3</v>
      </c>
      <c r="AB1530" s="205">
        <f>IFERROR(SUMIFS('Comp2016-2017 (3)'!$G$5:$G$289,'Comp2016-2017 (3)'!$A$5:$A$289,A1530,'Comp2016-2017 (3)'!$R$5:$R$289,V1530)*AA1530/SUMIFS($AA$4:$AA$1858,$A$4:$A$1858,A1530,$V$4:$V$1858,V1530),0)</f>
        <v>40686.717326291931</v>
      </c>
      <c r="AC1530" s="205" t="str">
        <f>IF($W1530=AC$3,$AB1530,IF(NOT($W1530=0),"",SUMIFS('Val-Vol (2)'!AC$4:AC$1858,'Val-Vol (2)'!$A$4:$A$1858,$D1530,'Val-Vol (2)'!$V$4:$V$1858,$V1530)/SUMIFS('Comp2016-2017 (3)'!$G$5:$G$289,'Comp2016-2017 (3)'!$A$5:$A$289,$D1530,'Comp2016-2017 (3)'!$R$5:$R$289,$V1530)*$AB1530))</f>
        <v/>
      </c>
      <c r="AD1530" s="205" t="str">
        <f>IF($W1530=AD$3,$AB1530,IF(NOT($W1530=0),"",SUMIFS('Val-Vol (2)'!AD$4:AD$1858,'Val-Vol (2)'!$A$4:$A$1858,$D1530,'Val-Vol (2)'!$V$4:$V$1858,$V1530)/SUMIFS('Comp2016-2017 (3)'!$G$5:$G$289,'Comp2016-2017 (3)'!$A$5:$A$289,$D1530,'Comp2016-2017 (3)'!$R$5:$R$289,$V1530)*$AB1530))</f>
        <v/>
      </c>
      <c r="AE1530" s="205" t="str">
        <f>IF($W1530=AE$3,$AB1530,IF(NOT($W1530=0),"",SUMIFS('Val-Vol (2)'!AE$4:AE$1858,'Val-Vol (2)'!$A$4:$A$1858,$D1530,'Val-Vol (2)'!$V$4:$V$1858,$V1530)/SUMIFS('Comp2016-2017 (3)'!$G$5:$G$289,'Comp2016-2017 (3)'!$A$5:$A$289,$D1530,'Comp2016-2017 (3)'!$R$5:$R$289,$V1530)*$AB1530))</f>
        <v/>
      </c>
      <c r="AF1530" s="205">
        <f>IF($W1530=AF$3,$AB1530,IF(NOT($W1530=0),"",SUMIFS('Val-Vol (2)'!AF$4:AF$1858,'Val-Vol (2)'!$A$4:$A$1858,$D1530,'Val-Vol (2)'!$V$4:$V$1858,$V1530)/SUMIFS('Comp2016-2017 (3)'!$G$5:$G$289,'Comp2016-2017 (3)'!$A$5:$A$289,$D1530,'Comp2016-2017 (3)'!$R$5:$R$289,$V1530)*$AB1530))</f>
        <v>40686.717326291931</v>
      </c>
      <c r="AG1530" s="205" t="str">
        <f>IF($W1530=AG$3,$AB1530,IF(NOT($W1530=0),"",SUMIFS('Val-Vol (2)'!AG$4:AG$1858,'Val-Vol (2)'!$A$4:$A$1858,$D1530,'Val-Vol (2)'!$V$4:$V$1858,$V1530)/SUMIFS('Comp2016-2017 (3)'!$G$5:$G$289,'Comp2016-2017 (3)'!$A$5:$A$289,$D1530,'Comp2016-2017 (3)'!$R$5:$R$289,$V1530)*$AB1530))</f>
        <v/>
      </c>
      <c r="AH1530" s="205" t="str">
        <f>IF($W1530=AH$3,$AB1530,IF(NOT($W1530=0),"",SUMIFS('Val-Vol (2)'!AH$4:AH$1858,'Val-Vol (2)'!$A$4:$A$1858,$D1530,'Val-Vol (2)'!$V$4:$V$1858,$V1530)/SUMIFS('Comp2016-2017 (3)'!$G$5:$G$289,'Comp2016-2017 (3)'!$A$5:$A$289,$D1530,'Comp2016-2017 (3)'!$R$5:$R$289,$V1530)*$AB1530))</f>
        <v/>
      </c>
      <c r="AI1530" s="205" t="str">
        <f>IF($W1530=AI$3,$AB1530,IF(NOT($W1530=0),"",SUMIFS('Val-Vol (2)'!AI$4:AI$1858,'Val-Vol (2)'!$A$4:$A$1858,$D1530,'Val-Vol (2)'!$V$4:$V$1858,$V1530)/SUMIFS('Comp2016-2017 (3)'!$G$5:$G$289,'Comp2016-2017 (3)'!$A$5:$A$289,$D1530,'Comp2016-2017 (3)'!$R$5:$R$289,$V1530)*$AB1530))</f>
        <v/>
      </c>
      <c r="AJ1530" s="205" t="str">
        <f>IF($W1530=AJ$3,$AB1530,IF(NOT($W1530=0),"",SUMIFS('Val-Vol (2)'!AJ$4:AJ$1858,'Val-Vol (2)'!$A$4:$A$1858,$D1530,'Val-Vol (2)'!$V$4:$V$1858,$V1530)/SUMIFS('Comp2016-2017 (3)'!$G$5:$G$289,'Comp2016-2017 (3)'!$A$5:$A$289,$D1530,'Comp2016-2017 (3)'!$R$5:$R$289,$V1530)*$AB1530))</f>
        <v/>
      </c>
      <c r="AK1530" s="205">
        <f t="shared" si="177"/>
        <v>0</v>
      </c>
      <c r="AL1530" s="218" t="str">
        <f t="shared" si="179"/>
        <v/>
      </c>
      <c r="AM1530" s="218" t="str">
        <f>VLOOKUP(A1530,'Table corresp.'!$M$4:$U$63,8,FALSE)</f>
        <v>Production intermédiaire</v>
      </c>
      <c r="AN1530" s="218" t="str">
        <f>VLOOKUP(D1530,'Table corresp.'!$M$4:$U$63,9,FALSE)</f>
        <v>Production intermédiaire</v>
      </c>
    </row>
    <row r="1531" spans="1:40" x14ac:dyDescent="0.25">
      <c r="A1531" t="s">
        <v>81</v>
      </c>
      <c r="B1531" t="str">
        <f>VLOOKUP(LEFT(A1531,3),'Table corresp.'!$A$4:$D$63,3,FALSE)</f>
        <v>Transformation</v>
      </c>
      <c r="C1531" t="str">
        <f>VLOOKUP(A1531,'Table corresp.'!$M$4:$P$63,4,FALSE)</f>
        <v>Production et transformation de produits bois</v>
      </c>
      <c r="D1531" t="s">
        <v>98</v>
      </c>
      <c r="E1531" t="str">
        <f>VLOOKUP(LEFT(D1531,3),'Table corresp.'!$A$4:$D$63,4,FALSE)</f>
        <v>Transformation</v>
      </c>
      <c r="F1531" t="str">
        <f t="shared" si="180"/>
        <v xml:space="preserve">05  - 46 </v>
      </c>
      <c r="G1531" s="238">
        <v>12238.689171445099</v>
      </c>
      <c r="H1531" s="238">
        <v>0</v>
      </c>
      <c r="I1531" s="238">
        <v>12238.689171445099</v>
      </c>
      <c r="J1531" s="238"/>
      <c r="K1531" s="238"/>
      <c r="L1531" s="238"/>
      <c r="M1531" s="238"/>
      <c r="N1531" s="238"/>
      <c r="O1531" s="238"/>
      <c r="P1531" s="238"/>
      <c r="Q1531" s="238"/>
      <c r="R1531" s="238"/>
      <c r="S1531" s="238"/>
      <c r="T1531" s="218">
        <f>VLOOKUP(A1531,'Groupe de branches'!$Z$27:$AM$86,14,FALSE)</f>
        <v>0</v>
      </c>
      <c r="U1531" s="218">
        <f>VLOOKUP(D1531,'Groupe de branches'!$Z$27:$AM$86,14,FALSE)</f>
        <v>0</v>
      </c>
      <c r="V1531" s="218">
        <v>2020</v>
      </c>
      <c r="W1531" s="218" t="str">
        <f>VLOOKUP(D1531,'Table corresp.'!$M$4:$S$63,7,FALSE)</f>
        <v>Produits de consommation courante</v>
      </c>
      <c r="X1531" s="240">
        <f>IFERROR(G1531/SUMIFS('Comp2016-2017 (3)'!$I$5:$I$289,'Comp2016-2017 (3)'!$A$5:$A$289,A1531,'Comp2016-2017 (3)'!$R$5:$R$289,V1531),0)</f>
        <v>1.1294195925151554E-2</v>
      </c>
      <c r="Y1531" s="219">
        <f>IFERROR(IF(RIGHT(F1531,3)="Exp",VLOOKUP(F1531,#REF!,2,FALSE),VLOOKUP(F1531,#REF!,9,FALSE)),1)</f>
        <v>1</v>
      </c>
      <c r="Z1531" s="226">
        <f t="shared" si="175"/>
        <v>5.2631578947368418E-2</v>
      </c>
      <c r="AA1531" s="226">
        <f t="shared" si="178"/>
        <v>5.9443136448166076E-4</v>
      </c>
      <c r="AB1531" s="205">
        <f>IFERROR(SUMIFS('Comp2016-2017 (3)'!$G$5:$G$289,'Comp2016-2017 (3)'!$A$5:$A$289,A1531,'Comp2016-2017 (3)'!$R$5:$R$289,V1531)*AA1531/SUMIFS($AA$4:$AA$1858,$A$4:$A$1858,A1531,$V$4:$V$1858,V1531),0)</f>
        <v>8811.0007280170321</v>
      </c>
      <c r="AC1531" s="205" t="str">
        <f>IF($W1531=AC$3,$AB1531,IF(NOT($W1531=0),"",SUMIFS('Val-Vol (2)'!AC$4:AC$1858,'Val-Vol (2)'!$A$4:$A$1858,$D1531,'Val-Vol (2)'!$V$4:$V$1858,$V1531)/SUMIFS('Comp2016-2017 (3)'!$G$5:$G$289,'Comp2016-2017 (3)'!$A$5:$A$289,$D1531,'Comp2016-2017 (3)'!$R$5:$R$289,$V1531)*$AB1531))</f>
        <v/>
      </c>
      <c r="AD1531" s="205" t="str">
        <f>IF($W1531=AD$3,$AB1531,IF(NOT($W1531=0),"",SUMIFS('Val-Vol (2)'!AD$4:AD$1858,'Val-Vol (2)'!$A$4:$A$1858,$D1531,'Val-Vol (2)'!$V$4:$V$1858,$V1531)/SUMIFS('Comp2016-2017 (3)'!$G$5:$G$289,'Comp2016-2017 (3)'!$A$5:$A$289,$D1531,'Comp2016-2017 (3)'!$R$5:$R$289,$V1531)*$AB1531))</f>
        <v/>
      </c>
      <c r="AE1531" s="205" t="str">
        <f>IF($W1531=AE$3,$AB1531,IF(NOT($W1531=0),"",SUMIFS('Val-Vol (2)'!AE$4:AE$1858,'Val-Vol (2)'!$A$4:$A$1858,$D1531,'Val-Vol (2)'!$V$4:$V$1858,$V1531)/SUMIFS('Comp2016-2017 (3)'!$G$5:$G$289,'Comp2016-2017 (3)'!$A$5:$A$289,$D1531,'Comp2016-2017 (3)'!$R$5:$R$289,$V1531)*$AB1531))</f>
        <v/>
      </c>
      <c r="AF1531" s="205" t="str">
        <f>IF($W1531=AF$3,$AB1531,IF(NOT($W1531=0),"",SUMIFS('Val-Vol (2)'!AF$4:AF$1858,'Val-Vol (2)'!$A$4:$A$1858,$D1531,'Val-Vol (2)'!$V$4:$V$1858,$V1531)/SUMIFS('Comp2016-2017 (3)'!$G$5:$G$289,'Comp2016-2017 (3)'!$A$5:$A$289,$D1531,'Comp2016-2017 (3)'!$R$5:$R$289,$V1531)*$AB1531))</f>
        <v/>
      </c>
      <c r="AG1531" s="205" t="str">
        <f>IF($W1531=AG$3,$AB1531,IF(NOT($W1531=0),"",SUMIFS('Val-Vol (2)'!AG$4:AG$1858,'Val-Vol (2)'!$A$4:$A$1858,$D1531,'Val-Vol (2)'!$V$4:$V$1858,$V1531)/SUMIFS('Comp2016-2017 (3)'!$G$5:$G$289,'Comp2016-2017 (3)'!$A$5:$A$289,$D1531,'Comp2016-2017 (3)'!$R$5:$R$289,$V1531)*$AB1531))</f>
        <v/>
      </c>
      <c r="AH1531" s="205" t="str">
        <f>IF($W1531=AH$3,$AB1531,IF(NOT($W1531=0),"",SUMIFS('Val-Vol (2)'!AH$4:AH$1858,'Val-Vol (2)'!$A$4:$A$1858,$D1531,'Val-Vol (2)'!$V$4:$V$1858,$V1531)/SUMIFS('Comp2016-2017 (3)'!$G$5:$G$289,'Comp2016-2017 (3)'!$A$5:$A$289,$D1531,'Comp2016-2017 (3)'!$R$5:$R$289,$V1531)*$AB1531))</f>
        <v/>
      </c>
      <c r="AI1531" s="205">
        <f>IF($W1531=AI$3,$AB1531,IF(NOT($W1531=0),"",SUMIFS('Val-Vol (2)'!AI$4:AI$1858,'Val-Vol (2)'!$A$4:$A$1858,$D1531,'Val-Vol (2)'!$V$4:$V$1858,$V1531)/SUMIFS('Comp2016-2017 (3)'!$G$5:$G$289,'Comp2016-2017 (3)'!$A$5:$A$289,$D1531,'Comp2016-2017 (3)'!$R$5:$R$289,$V1531)*$AB1531))</f>
        <v>8811.0007280170321</v>
      </c>
      <c r="AJ1531" s="205" t="str">
        <f>IF($W1531=AJ$3,$AB1531,IF(NOT($W1531=0),"",SUMIFS('Val-Vol (2)'!AJ$4:AJ$1858,'Val-Vol (2)'!$A$4:$A$1858,$D1531,'Val-Vol (2)'!$V$4:$V$1858,$V1531)/SUMIFS('Comp2016-2017 (3)'!$G$5:$G$289,'Comp2016-2017 (3)'!$A$5:$A$289,$D1531,'Comp2016-2017 (3)'!$R$5:$R$289,$V1531)*$AB1531))</f>
        <v/>
      </c>
      <c r="AK1531" s="205">
        <f t="shared" si="177"/>
        <v>0</v>
      </c>
      <c r="AL1531" s="218" t="str">
        <f t="shared" si="179"/>
        <v/>
      </c>
      <c r="AM1531" s="218" t="str">
        <f>VLOOKUP(A1531,'Table corresp.'!$M$4:$U$63,8,FALSE)</f>
        <v>Production intermédiaire</v>
      </c>
      <c r="AN1531" s="218" t="str">
        <f>VLOOKUP(D1531,'Table corresp.'!$M$4:$U$63,9,FALSE)</f>
        <v>Production intermédiaire</v>
      </c>
    </row>
    <row r="1532" spans="1:40" x14ac:dyDescent="0.25">
      <c r="A1532" t="s">
        <v>81</v>
      </c>
      <c r="B1532" t="str">
        <f>VLOOKUP(LEFT(A1532,3),'Table corresp.'!$A$4:$D$63,3,FALSE)</f>
        <v>Transformation</v>
      </c>
      <c r="C1532" t="str">
        <f>VLOOKUP(A1532,'Table corresp.'!$M$4:$P$63,4,FALSE)</f>
        <v>Production et transformation de produits bois</v>
      </c>
      <c r="D1532" t="s">
        <v>54</v>
      </c>
      <c r="E1532" t="str">
        <f>VLOOKUP(LEFT(D1532,3),'Table corresp.'!$A$4:$D$63,4,FALSE)</f>
        <v>Consommation finale</v>
      </c>
      <c r="F1532" t="str">
        <f t="shared" si="180"/>
        <v>05  - Con</v>
      </c>
      <c r="G1532" s="238">
        <v>22.0500369172793</v>
      </c>
      <c r="H1532" s="238">
        <v>0</v>
      </c>
      <c r="I1532" s="238">
        <v>22.0500369172793</v>
      </c>
      <c r="J1532" s="238"/>
      <c r="K1532" s="238"/>
      <c r="L1532" s="238"/>
      <c r="M1532" s="238"/>
      <c r="N1532" s="238"/>
      <c r="O1532" s="238"/>
      <c r="P1532" s="238"/>
      <c r="Q1532" s="238"/>
      <c r="R1532" s="238"/>
      <c r="S1532" s="238"/>
      <c r="T1532" s="218">
        <f>VLOOKUP(A1532,'Groupe de branches'!$Z$27:$AM$86,14,FALSE)</f>
        <v>0</v>
      </c>
      <c r="U1532" s="218">
        <f>VLOOKUP(D1532,'Groupe de branches'!$Z$27:$AM$86,14,FALSE)</f>
        <v>0</v>
      </c>
      <c r="V1532" s="218">
        <v>2020</v>
      </c>
      <c r="W1532" s="218" t="str">
        <f>VLOOKUP(D1532,'Table corresp.'!$M$4:$S$63,7,FALSE)</f>
        <v>Consommation finale</v>
      </c>
      <c r="X1532" s="240">
        <f>IFERROR(G1532/SUMIFS('Comp2016-2017 (3)'!$I$5:$I$289,'Comp2016-2017 (3)'!$A$5:$A$289,A1532,'Comp2016-2017 (3)'!$R$5:$R$289,V1532),0)</f>
        <v>2.0348375027092201E-5</v>
      </c>
      <c r="Y1532" s="219">
        <f>IFERROR(IF(RIGHT(F1532,3)="Exp",VLOOKUP(F1532,#REF!,2,FALSE),VLOOKUP(F1532,#REF!,9,FALSE)),1)</f>
        <v>1</v>
      </c>
      <c r="Z1532" s="226">
        <f t="shared" si="175"/>
        <v>5.2631578947368418E-2</v>
      </c>
      <c r="AA1532" s="226">
        <f t="shared" si="178"/>
        <v>1.0709671066890631E-6</v>
      </c>
      <c r="AB1532" s="205">
        <f>IFERROR(SUMIFS('Comp2016-2017 (3)'!$G$5:$G$289,'Comp2016-2017 (3)'!$A$5:$A$289,A1532,'Comp2016-2017 (3)'!$R$5:$R$289,V1532)*AA1532/SUMIFS($AA$4:$AA$1858,$A$4:$A$1858,A1532,$V$4:$V$1858,V1532),0)</f>
        <v>15.874485298984849</v>
      </c>
      <c r="AC1532" s="205" t="str">
        <f>IF($W1532=AC$3,$AB1532,IF(NOT($W1532=0),"",SUMIFS('Val-Vol (2)'!AC$4:AC$1858,'Val-Vol (2)'!$A$4:$A$1858,$D1532,'Val-Vol (2)'!$V$4:$V$1858,$V1532)/SUMIFS('Comp2016-2017 (3)'!$G$5:$G$289,'Comp2016-2017 (3)'!$A$5:$A$289,$D1532,'Comp2016-2017 (3)'!$R$5:$R$289,$V1532)*$AB1532))</f>
        <v/>
      </c>
      <c r="AD1532" s="205" t="str">
        <f>IF($W1532=AD$3,$AB1532,IF(NOT($W1532=0),"",SUMIFS('Val-Vol (2)'!AD$4:AD$1858,'Val-Vol (2)'!$A$4:$A$1858,$D1532,'Val-Vol (2)'!$V$4:$V$1858,$V1532)/SUMIFS('Comp2016-2017 (3)'!$G$5:$G$289,'Comp2016-2017 (3)'!$A$5:$A$289,$D1532,'Comp2016-2017 (3)'!$R$5:$R$289,$V1532)*$AB1532))</f>
        <v/>
      </c>
      <c r="AE1532" s="205" t="str">
        <f>IF($W1532=AE$3,$AB1532,IF(NOT($W1532=0),"",SUMIFS('Val-Vol (2)'!AE$4:AE$1858,'Val-Vol (2)'!$A$4:$A$1858,$D1532,'Val-Vol (2)'!$V$4:$V$1858,$V1532)/SUMIFS('Comp2016-2017 (3)'!$G$5:$G$289,'Comp2016-2017 (3)'!$A$5:$A$289,$D1532,'Comp2016-2017 (3)'!$R$5:$R$289,$V1532)*$AB1532))</f>
        <v/>
      </c>
      <c r="AF1532" s="205" t="str">
        <f>IF($W1532=AF$3,$AB1532,IF(NOT($W1532=0),"",SUMIFS('Val-Vol (2)'!AF$4:AF$1858,'Val-Vol (2)'!$A$4:$A$1858,$D1532,'Val-Vol (2)'!$V$4:$V$1858,$V1532)/SUMIFS('Comp2016-2017 (3)'!$G$5:$G$289,'Comp2016-2017 (3)'!$A$5:$A$289,$D1532,'Comp2016-2017 (3)'!$R$5:$R$289,$V1532)*$AB1532))</f>
        <v/>
      </c>
      <c r="AG1532" s="205" t="str">
        <f>IF($W1532=AG$3,$AB1532,IF(NOT($W1532=0),"",SUMIFS('Val-Vol (2)'!AG$4:AG$1858,'Val-Vol (2)'!$A$4:$A$1858,$D1532,'Val-Vol (2)'!$V$4:$V$1858,$V1532)/SUMIFS('Comp2016-2017 (3)'!$G$5:$G$289,'Comp2016-2017 (3)'!$A$5:$A$289,$D1532,'Comp2016-2017 (3)'!$R$5:$R$289,$V1532)*$AB1532))</f>
        <v/>
      </c>
      <c r="AH1532" s="205" t="str">
        <f>IF($W1532=AH$3,$AB1532,IF(NOT($W1532=0),"",SUMIFS('Val-Vol (2)'!AH$4:AH$1858,'Val-Vol (2)'!$A$4:$A$1858,$D1532,'Val-Vol (2)'!$V$4:$V$1858,$V1532)/SUMIFS('Comp2016-2017 (3)'!$G$5:$G$289,'Comp2016-2017 (3)'!$A$5:$A$289,$D1532,'Comp2016-2017 (3)'!$R$5:$R$289,$V1532)*$AB1532))</f>
        <v/>
      </c>
      <c r="AI1532" s="205" t="str">
        <f>IF($W1532=AI$3,$AB1532,IF(NOT($W1532=0),"",SUMIFS('Val-Vol (2)'!AI$4:AI$1858,'Val-Vol (2)'!$A$4:$A$1858,$D1532,'Val-Vol (2)'!$V$4:$V$1858,$V1532)/SUMIFS('Comp2016-2017 (3)'!$G$5:$G$289,'Comp2016-2017 (3)'!$A$5:$A$289,$D1532,'Comp2016-2017 (3)'!$R$5:$R$289,$V1532)*$AB1532))</f>
        <v/>
      </c>
      <c r="AJ1532" s="205">
        <f>IF($W1532=AJ$3,$AB1532,IF(NOT($W1532=0),"",SUMIFS('Val-Vol (2)'!AJ$4:AJ$1858,'Val-Vol (2)'!$A$4:$A$1858,$D1532,'Val-Vol (2)'!$V$4:$V$1858,$V1532)/SUMIFS('Comp2016-2017 (3)'!$G$5:$G$289,'Comp2016-2017 (3)'!$A$5:$A$289,$D1532,'Comp2016-2017 (3)'!$R$5:$R$289,$V1532)*$AB1532))</f>
        <v>15.874485298984849</v>
      </c>
      <c r="AK1532" s="205">
        <f t="shared" si="177"/>
        <v>0</v>
      </c>
      <c r="AL1532" s="218" t="str">
        <f t="shared" si="179"/>
        <v/>
      </c>
      <c r="AM1532" s="218" t="str">
        <f>VLOOKUP(A1532,'Table corresp.'!$M$4:$U$63,8,FALSE)</f>
        <v>Production intermédiaire</v>
      </c>
      <c r="AN1532" s="218" t="str">
        <f>VLOOKUP(D1532,'Table corresp.'!$M$4:$U$63,9,FALSE)</f>
        <v>Consommation finale française</v>
      </c>
    </row>
    <row r="1533" spans="1:40" x14ac:dyDescent="0.25">
      <c r="A1533" t="s">
        <v>81</v>
      </c>
      <c r="B1533" t="str">
        <f>VLOOKUP(LEFT(A1533,3),'Table corresp.'!$A$4:$D$63,3,FALSE)</f>
        <v>Transformation</v>
      </c>
      <c r="C1533" t="str">
        <f>VLOOKUP(A1533,'Table corresp.'!$M$4:$P$63,4,FALSE)</f>
        <v>Production et transformation de produits bois</v>
      </c>
      <c r="D1533" t="s">
        <v>53</v>
      </c>
      <c r="E1533" t="str">
        <f>VLOOKUP(LEFT(D1533,3),'Table corresp.'!$A$4:$D$63,4,FALSE)</f>
        <v>Exportation</v>
      </c>
      <c r="F1533" t="str">
        <f t="shared" si="180"/>
        <v>05  - Exp</v>
      </c>
      <c r="G1533" s="238">
        <v>68792.850660441996</v>
      </c>
      <c r="H1533" s="238">
        <v>0</v>
      </c>
      <c r="I1533" s="238">
        <v>68792.850660441996</v>
      </c>
      <c r="J1533" s="238"/>
      <c r="K1533" s="238"/>
      <c r="L1533" s="238"/>
      <c r="M1533" s="238"/>
      <c r="N1533" s="238"/>
      <c r="O1533" s="238"/>
      <c r="P1533" s="238"/>
      <c r="Q1533" s="238"/>
      <c r="R1533" s="238"/>
      <c r="S1533" s="238"/>
      <c r="T1533" s="218">
        <f>VLOOKUP(A1533,'Groupe de branches'!$Z$27:$AM$86,14,FALSE)</f>
        <v>0</v>
      </c>
      <c r="U1533" s="218">
        <f>VLOOKUP(D1533,'Groupe de branches'!$Z$27:$AM$86,14,FALSE)</f>
        <v>0</v>
      </c>
      <c r="V1533" s="218">
        <v>2020</v>
      </c>
      <c r="W1533" s="218" t="str">
        <f>VLOOKUP(D1533,'Table corresp.'!$M$4:$S$63,7,FALSE)</f>
        <v>Exportation</v>
      </c>
      <c r="X1533" s="240">
        <f>IFERROR(G1533/SUMIFS('Comp2016-2017 (3)'!$I$5:$I$289,'Comp2016-2017 (3)'!$A$5:$A$289,A1533,'Comp2016-2017 (3)'!$R$5:$R$289,V1533),0)</f>
        <v>6.3483917495143219E-2</v>
      </c>
      <c r="Y1533" s="219">
        <f>IFERROR(IF(RIGHT(F1533,3)="Exp",VLOOKUP(F1533,#REF!,2,FALSE),VLOOKUP(F1533,#REF!,9,FALSE)),1)</f>
        <v>1</v>
      </c>
      <c r="Z1533" s="226">
        <f t="shared" si="175"/>
        <v>5.2631578947368418E-2</v>
      </c>
      <c r="AA1533" s="226">
        <f t="shared" si="178"/>
        <v>3.3412588155338533E-3</v>
      </c>
      <c r="AB1533" s="205">
        <f>IFERROR(SUMIFS('Comp2016-2017 (3)'!$G$5:$G$289,'Comp2016-2017 (3)'!$A$5:$A$289,A1533,'Comp2016-2017 (3)'!$R$5:$R$289,V1533)*AA1533/SUMIFS($AA$4:$AA$1858,$A$4:$A$1858,A1533,$V$4:$V$1858,V1533),0)</f>
        <v>49526.043905562416</v>
      </c>
      <c r="AC1533" s="205">
        <f>IF($W1533=AC$3,$AB1533,IF(NOT($W1533=0),"",SUMIFS('Val-Vol (2)'!AC$4:AC$1858,'Val-Vol (2)'!$A$4:$A$1858,$D1533,'Val-Vol (2)'!$V$4:$V$1858,$V1533)/SUMIFS('Comp2016-2017 (3)'!$G$5:$G$289,'Comp2016-2017 (3)'!$A$5:$A$289,$D1533,'Comp2016-2017 (3)'!$R$5:$R$289,$V1533)*$AB1533))</f>
        <v>49526.043905562416</v>
      </c>
      <c r="AD1533" s="205" t="str">
        <f>IF($W1533=AD$3,$AB1533,IF(NOT($W1533=0),"",SUMIFS('Val-Vol (2)'!AD$4:AD$1858,'Val-Vol (2)'!$A$4:$A$1858,$D1533,'Val-Vol (2)'!$V$4:$V$1858,$V1533)/SUMIFS('Comp2016-2017 (3)'!$G$5:$G$289,'Comp2016-2017 (3)'!$A$5:$A$289,$D1533,'Comp2016-2017 (3)'!$R$5:$R$289,$V1533)*$AB1533))</f>
        <v/>
      </c>
      <c r="AE1533" s="205" t="str">
        <f>IF($W1533=AE$3,$AB1533,IF(NOT($W1533=0),"",SUMIFS('Val-Vol (2)'!AE$4:AE$1858,'Val-Vol (2)'!$A$4:$A$1858,$D1533,'Val-Vol (2)'!$V$4:$V$1858,$V1533)/SUMIFS('Comp2016-2017 (3)'!$G$5:$G$289,'Comp2016-2017 (3)'!$A$5:$A$289,$D1533,'Comp2016-2017 (3)'!$R$5:$R$289,$V1533)*$AB1533))</f>
        <v/>
      </c>
      <c r="AF1533" s="205" t="str">
        <f>IF($W1533=AF$3,$AB1533,IF(NOT($W1533=0),"",SUMIFS('Val-Vol (2)'!AF$4:AF$1858,'Val-Vol (2)'!$A$4:$A$1858,$D1533,'Val-Vol (2)'!$V$4:$V$1858,$V1533)/SUMIFS('Comp2016-2017 (3)'!$G$5:$G$289,'Comp2016-2017 (3)'!$A$5:$A$289,$D1533,'Comp2016-2017 (3)'!$R$5:$R$289,$V1533)*$AB1533))</f>
        <v/>
      </c>
      <c r="AG1533" s="205" t="str">
        <f>IF($W1533=AG$3,$AB1533,IF(NOT($W1533=0),"",SUMIFS('Val-Vol (2)'!AG$4:AG$1858,'Val-Vol (2)'!$A$4:$A$1858,$D1533,'Val-Vol (2)'!$V$4:$V$1858,$V1533)/SUMIFS('Comp2016-2017 (3)'!$G$5:$G$289,'Comp2016-2017 (3)'!$A$5:$A$289,$D1533,'Comp2016-2017 (3)'!$R$5:$R$289,$V1533)*$AB1533))</f>
        <v/>
      </c>
      <c r="AH1533" s="205" t="str">
        <f>IF($W1533=AH$3,$AB1533,IF(NOT($W1533=0),"",SUMIFS('Val-Vol (2)'!AH$4:AH$1858,'Val-Vol (2)'!$A$4:$A$1858,$D1533,'Val-Vol (2)'!$V$4:$V$1858,$V1533)/SUMIFS('Comp2016-2017 (3)'!$G$5:$G$289,'Comp2016-2017 (3)'!$A$5:$A$289,$D1533,'Comp2016-2017 (3)'!$R$5:$R$289,$V1533)*$AB1533))</f>
        <v/>
      </c>
      <c r="AI1533" s="205" t="str">
        <f>IF($W1533=AI$3,$AB1533,IF(NOT($W1533=0),"",SUMIFS('Val-Vol (2)'!AI$4:AI$1858,'Val-Vol (2)'!$A$4:$A$1858,$D1533,'Val-Vol (2)'!$V$4:$V$1858,$V1533)/SUMIFS('Comp2016-2017 (3)'!$G$5:$G$289,'Comp2016-2017 (3)'!$A$5:$A$289,$D1533,'Comp2016-2017 (3)'!$R$5:$R$289,$V1533)*$AB1533))</f>
        <v/>
      </c>
      <c r="AJ1533" s="205" t="str">
        <f>IF($W1533=AJ$3,$AB1533,IF(NOT($W1533=0),"",SUMIFS('Val-Vol (2)'!AJ$4:AJ$1858,'Val-Vol (2)'!$A$4:$A$1858,$D1533,'Val-Vol (2)'!$V$4:$V$1858,$V1533)/SUMIFS('Comp2016-2017 (3)'!$G$5:$G$289,'Comp2016-2017 (3)'!$A$5:$A$289,$D1533,'Comp2016-2017 (3)'!$R$5:$R$289,$V1533)*$AB1533))</f>
        <v/>
      </c>
      <c r="AK1533" s="205">
        <f t="shared" si="177"/>
        <v>0</v>
      </c>
      <c r="AL1533" s="218" t="str">
        <f t="shared" si="179"/>
        <v/>
      </c>
      <c r="AM1533" s="218" t="str">
        <f>VLOOKUP(A1533,'Table corresp.'!$M$4:$U$63,8,FALSE)</f>
        <v>Production intermédiaire</v>
      </c>
      <c r="AN1533" s="218" t="str">
        <f>VLOOKUP(D1533,'Table corresp.'!$M$4:$U$63,9,FALSE)</f>
        <v>Exportation</v>
      </c>
    </row>
    <row r="1534" spans="1:40" x14ac:dyDescent="0.25">
      <c r="A1534" t="s">
        <v>3</v>
      </c>
      <c r="B1534" t="str">
        <f>VLOOKUP(LEFT(A1534,3),'Table corresp.'!$A$4:$D$63,3,FALSE)</f>
        <v>Transformation</v>
      </c>
      <c r="C1534" t="str">
        <f>VLOOKUP(A1534,'Table corresp.'!$M$4:$P$63,4,FALSE)</f>
        <v>Production et transformation de produits bois</v>
      </c>
      <c r="D1534" t="s">
        <v>0</v>
      </c>
      <c r="E1534" t="str">
        <f>VLOOKUP(LEFT(D1534,3),'Table corresp.'!$A$4:$D$63,4,FALSE)</f>
        <v>Transformation</v>
      </c>
      <c r="F1534" t="str">
        <f t="shared" si="180"/>
        <v xml:space="preserve">06  - 02 </v>
      </c>
      <c r="G1534" s="238">
        <v>68792.850660441996</v>
      </c>
      <c r="H1534" s="238">
        <v>0</v>
      </c>
      <c r="I1534" s="238">
        <v>68792.850660441996</v>
      </c>
      <c r="J1534" s="238"/>
      <c r="K1534" s="238"/>
      <c r="L1534" s="238"/>
      <c r="M1534" s="238"/>
      <c r="N1534" s="238"/>
      <c r="O1534" s="238"/>
      <c r="P1534" s="238"/>
      <c r="Q1534" s="238"/>
      <c r="R1534" s="238"/>
      <c r="S1534" s="238"/>
      <c r="T1534" s="218">
        <f>VLOOKUP(A1534,'Groupe de branches'!$Z$27:$AM$86,14,FALSE)</f>
        <v>0</v>
      </c>
      <c r="U1534" s="218">
        <f>VLOOKUP(D1534,'Groupe de branches'!$Z$27:$AM$86,14,FALSE)</f>
        <v>0</v>
      </c>
      <c r="V1534" s="218">
        <v>2020</v>
      </c>
      <c r="W1534" s="218">
        <f>VLOOKUP(D1534,'Table corresp.'!$M$4:$S$63,7,FALSE)</f>
        <v>0</v>
      </c>
      <c r="X1534" s="240">
        <f>IFERROR(G1534/SUMIFS('Comp2016-2017 (3)'!$I$5:$I$289,'Comp2016-2017 (3)'!$A$5:$A$289,A1534,'Comp2016-2017 (3)'!$R$5:$R$289,V1534),0)</f>
        <v>0.3074894008213106</v>
      </c>
      <c r="Y1534" s="219">
        <f>IFERROR(IF(RIGHT(F1534,3)="Exp",VLOOKUP(F1534,#REF!,2,FALSE),VLOOKUP(F1534,#REF!,9,FALSE)),1)</f>
        <v>1</v>
      </c>
      <c r="Z1534" s="226">
        <f t="shared" si="175"/>
        <v>5.8823529411764705E-2</v>
      </c>
      <c r="AA1534" s="226">
        <f t="shared" si="178"/>
        <v>1.8087611813018271E-2</v>
      </c>
      <c r="AB1534" s="205">
        <f>IFERROR(SUMIFS('Comp2016-2017 (3)'!$G$5:$G$289,'Comp2016-2017 (3)'!$A$5:$A$289,A1534,'Comp2016-2017 (3)'!$R$5:$R$289,V1534)*AA1534/SUMIFS($AA$4:$AA$1858,$A$4:$A$1858,A1534,$V$4:$V$1858,V1534),0)</f>
        <v>13729.59465538732</v>
      </c>
      <c r="AC1534" s="205">
        <f>IF($W1534=AC$3,$AB1534,IF(NOT($W1534=0),"",SUMIFS('Val-Vol (2)'!AC$4:AC$1858,'Val-Vol (2)'!$A$4:$A$1858,$D1534,'Val-Vol (2)'!$V$4:$V$1858,$V1534)/SUMIFS('Comp2016-2017 (3)'!$G$5:$G$289,'Comp2016-2017 (3)'!$A$5:$A$289,$D1534,'Comp2016-2017 (3)'!$R$5:$R$289,$V1534)*$AB1534))</f>
        <v>0</v>
      </c>
      <c r="AD1534" s="205">
        <f>IF($W1534=AD$3,$AB1534,IF(NOT($W1534=0),"",SUMIFS('Val-Vol (2)'!AD$4:AD$1858,'Val-Vol (2)'!$A$4:$A$1858,$D1534,'Val-Vol (2)'!$V$4:$V$1858,$V1534)/SUMIFS('Comp2016-2017 (3)'!$G$5:$G$289,'Comp2016-2017 (3)'!$A$5:$A$289,$D1534,'Comp2016-2017 (3)'!$R$5:$R$289,$V1534)*$AB1534))</f>
        <v>0</v>
      </c>
      <c r="AE1534" s="205">
        <f>IF($W1534=AE$3,$AB1534,IF(NOT($W1534=0),"",SUMIFS('Val-Vol (2)'!AE$4:AE$1858,'Val-Vol (2)'!$A$4:$A$1858,$D1534,'Val-Vol (2)'!$V$4:$V$1858,$V1534)/SUMIFS('Comp2016-2017 (3)'!$G$5:$G$289,'Comp2016-2017 (3)'!$A$5:$A$289,$D1534,'Comp2016-2017 (3)'!$R$5:$R$289,$V1534)*$AB1534))</f>
        <v>0</v>
      </c>
      <c r="AF1534" s="205">
        <f>IF($W1534=AF$3,$AB1534,IF(NOT($W1534=0),"",SUMIFS('Val-Vol (2)'!AF$4:AF$1858,'Val-Vol (2)'!$A$4:$A$1858,$D1534,'Val-Vol (2)'!$V$4:$V$1858,$V1534)/SUMIFS('Comp2016-2017 (3)'!$G$5:$G$289,'Comp2016-2017 (3)'!$A$5:$A$289,$D1534,'Comp2016-2017 (3)'!$R$5:$R$289,$V1534)*$AB1534))</f>
        <v>0</v>
      </c>
      <c r="AG1534" s="205">
        <f>IF($W1534=AG$3,$AB1534,IF(NOT($W1534=0),"",SUMIFS('Val-Vol (2)'!AG$4:AG$1858,'Val-Vol (2)'!$A$4:$A$1858,$D1534,'Val-Vol (2)'!$V$4:$V$1858,$V1534)/SUMIFS('Comp2016-2017 (3)'!$G$5:$G$289,'Comp2016-2017 (3)'!$A$5:$A$289,$D1534,'Comp2016-2017 (3)'!$R$5:$R$289,$V1534)*$AB1534))</f>
        <v>0</v>
      </c>
      <c r="AH1534" s="205">
        <f>IF($W1534=AH$3,$AB1534,IF(NOT($W1534=0),"",SUMIFS('Val-Vol (2)'!AH$4:AH$1858,'Val-Vol (2)'!$A$4:$A$1858,$D1534,'Val-Vol (2)'!$V$4:$V$1858,$V1534)/SUMIFS('Comp2016-2017 (3)'!$G$5:$G$289,'Comp2016-2017 (3)'!$A$5:$A$289,$D1534,'Comp2016-2017 (3)'!$R$5:$R$289,$V1534)*$AB1534))</f>
        <v>0</v>
      </c>
      <c r="AI1534" s="205">
        <f>IF($W1534=AI$3,$AB1534,IF(NOT($W1534=0),"",SUMIFS('Val-Vol (2)'!AI$4:AI$1858,'Val-Vol (2)'!$A$4:$A$1858,$D1534,'Val-Vol (2)'!$V$4:$V$1858,$V1534)/SUMIFS('Comp2016-2017 (3)'!$G$5:$G$289,'Comp2016-2017 (3)'!$A$5:$A$289,$D1534,'Comp2016-2017 (3)'!$R$5:$R$289,$V1534)*$AB1534))</f>
        <v>0</v>
      </c>
      <c r="AJ1534" s="205">
        <f>IF($W1534=AJ$3,$AB1534,IF(NOT($W1534=0),"",SUMIFS('Val-Vol (2)'!AJ$4:AJ$1858,'Val-Vol (2)'!$A$4:$A$1858,$D1534,'Val-Vol (2)'!$V$4:$V$1858,$V1534)/SUMIFS('Comp2016-2017 (3)'!$G$5:$G$289,'Comp2016-2017 (3)'!$A$5:$A$289,$D1534,'Comp2016-2017 (3)'!$R$5:$R$289,$V1534)*$AB1534))</f>
        <v>0</v>
      </c>
      <c r="AK1534" s="205">
        <f t="shared" si="177"/>
        <v>-13729.59465538732</v>
      </c>
      <c r="AL1534" s="218" t="str">
        <f t="shared" si="179"/>
        <v/>
      </c>
      <c r="AM1534" s="218" t="str">
        <f>VLOOKUP(A1534,'Table corresp.'!$M$4:$U$63,8,FALSE)</f>
        <v>Production intermédiaire</v>
      </c>
      <c r="AN1534" s="218" t="str">
        <f>VLOOKUP(D1534,'Table corresp.'!$M$4:$U$63,9,FALSE)</f>
        <v>Production intermédiaire</v>
      </c>
    </row>
    <row r="1535" spans="1:40" x14ac:dyDescent="0.25">
      <c r="A1535" t="s">
        <v>3</v>
      </c>
      <c r="B1535" t="str">
        <f>VLOOKUP(LEFT(A1535,3),'Table corresp.'!$A$4:$D$63,3,FALSE)</f>
        <v>Transformation</v>
      </c>
      <c r="C1535" t="str">
        <f>VLOOKUP(A1535,'Table corresp.'!$M$4:$P$63,4,FALSE)</f>
        <v>Production et transformation de produits bois</v>
      </c>
      <c r="D1535" t="s">
        <v>2</v>
      </c>
      <c r="E1535" t="str">
        <f>VLOOKUP(LEFT(D1535,3),'Table corresp.'!$A$4:$D$63,4,FALSE)</f>
        <v>Transformation</v>
      </c>
      <c r="F1535" t="str">
        <f t="shared" si="180"/>
        <v xml:space="preserve">06  - 04 </v>
      </c>
      <c r="G1535" s="238">
        <v>22196.4031326238</v>
      </c>
      <c r="H1535" s="238">
        <v>0</v>
      </c>
      <c r="I1535" s="238">
        <v>22196.4031326238</v>
      </c>
      <c r="J1535" s="238"/>
      <c r="K1535" s="238"/>
      <c r="L1535" s="238"/>
      <c r="M1535" s="238"/>
      <c r="N1535" s="238"/>
      <c r="O1535" s="238"/>
      <c r="P1535" s="238"/>
      <c r="Q1535" s="238"/>
      <c r="R1535" s="238"/>
      <c r="S1535" s="238"/>
      <c r="T1535" s="218">
        <f>VLOOKUP(A1535,'Groupe de branches'!$Z$27:$AM$86,14,FALSE)</f>
        <v>0</v>
      </c>
      <c r="U1535" s="218">
        <f>VLOOKUP(D1535,'Groupe de branches'!$Z$27:$AM$86,14,FALSE)</f>
        <v>0</v>
      </c>
      <c r="V1535" s="218">
        <v>2020</v>
      </c>
      <c r="W1535" s="218" t="str">
        <f>VLOOKUP(D1535,'Table corresp.'!$M$4:$S$63,7,FALSE)</f>
        <v>Energie</v>
      </c>
      <c r="X1535" s="240">
        <f>IFERROR(G1535/SUMIFS('Comp2016-2017 (3)'!$I$5:$I$289,'Comp2016-2017 (3)'!$A$5:$A$289,A1535,'Comp2016-2017 (3)'!$R$5:$R$289,V1535),0)</f>
        <v>9.9213197797651823E-2</v>
      </c>
      <c r="Y1535" s="219">
        <f>IFERROR(IF(RIGHT(F1535,3)="Exp",VLOOKUP(F1535,#REF!,2,FALSE),VLOOKUP(F1535,#REF!,9,FALSE)),1)</f>
        <v>1</v>
      </c>
      <c r="Z1535" s="226">
        <f t="shared" si="175"/>
        <v>5.8823529411764705E-2</v>
      </c>
      <c r="AA1535" s="226">
        <f t="shared" si="178"/>
        <v>5.8360704586854009E-3</v>
      </c>
      <c r="AB1535" s="205">
        <f>IFERROR(SUMIFS('Comp2016-2017 (3)'!$G$5:$G$289,'Comp2016-2017 (3)'!$A$5:$A$289,A1535,'Comp2016-2017 (3)'!$R$5:$R$289,V1535)*AA1535/SUMIFS($AA$4:$AA$1858,$A$4:$A$1858,A1535,$V$4:$V$1858,V1535),0)</f>
        <v>4429.9315247555714</v>
      </c>
      <c r="AC1535" s="205" t="str">
        <f>IF($W1535=AC$3,$AB1535,IF(NOT($W1535=0),"",SUMIFS('Val-Vol (2)'!AC$4:AC$1858,'Val-Vol (2)'!$A$4:$A$1858,$D1535,'Val-Vol (2)'!$V$4:$V$1858,$V1535)/SUMIFS('Comp2016-2017 (3)'!$G$5:$G$289,'Comp2016-2017 (3)'!$A$5:$A$289,$D1535,'Comp2016-2017 (3)'!$R$5:$R$289,$V1535)*$AB1535))</f>
        <v/>
      </c>
      <c r="AD1535" s="205" t="str">
        <f>IF($W1535=AD$3,$AB1535,IF(NOT($W1535=0),"",SUMIFS('Val-Vol (2)'!AD$4:AD$1858,'Val-Vol (2)'!$A$4:$A$1858,$D1535,'Val-Vol (2)'!$V$4:$V$1858,$V1535)/SUMIFS('Comp2016-2017 (3)'!$G$5:$G$289,'Comp2016-2017 (3)'!$A$5:$A$289,$D1535,'Comp2016-2017 (3)'!$R$5:$R$289,$V1535)*$AB1535))</f>
        <v/>
      </c>
      <c r="AE1535" s="205" t="str">
        <f>IF($W1535=AE$3,$AB1535,IF(NOT($W1535=0),"",SUMIFS('Val-Vol (2)'!AE$4:AE$1858,'Val-Vol (2)'!$A$4:$A$1858,$D1535,'Val-Vol (2)'!$V$4:$V$1858,$V1535)/SUMIFS('Comp2016-2017 (3)'!$G$5:$G$289,'Comp2016-2017 (3)'!$A$5:$A$289,$D1535,'Comp2016-2017 (3)'!$R$5:$R$289,$V1535)*$AB1535))</f>
        <v/>
      </c>
      <c r="AF1535" s="205" t="str">
        <f>IF($W1535=AF$3,$AB1535,IF(NOT($W1535=0),"",SUMIFS('Val-Vol (2)'!AF$4:AF$1858,'Val-Vol (2)'!$A$4:$A$1858,$D1535,'Val-Vol (2)'!$V$4:$V$1858,$V1535)/SUMIFS('Comp2016-2017 (3)'!$G$5:$G$289,'Comp2016-2017 (3)'!$A$5:$A$289,$D1535,'Comp2016-2017 (3)'!$R$5:$R$289,$V1535)*$AB1535))</f>
        <v/>
      </c>
      <c r="AG1535" s="205" t="str">
        <f>IF($W1535=AG$3,$AB1535,IF(NOT($W1535=0),"",SUMIFS('Val-Vol (2)'!AG$4:AG$1858,'Val-Vol (2)'!$A$4:$A$1858,$D1535,'Val-Vol (2)'!$V$4:$V$1858,$V1535)/SUMIFS('Comp2016-2017 (3)'!$G$5:$G$289,'Comp2016-2017 (3)'!$A$5:$A$289,$D1535,'Comp2016-2017 (3)'!$R$5:$R$289,$V1535)*$AB1535))</f>
        <v/>
      </c>
      <c r="AH1535" s="205">
        <f>IF($W1535=AH$3,$AB1535,IF(NOT($W1535=0),"",SUMIFS('Val-Vol (2)'!AH$4:AH$1858,'Val-Vol (2)'!$A$4:$A$1858,$D1535,'Val-Vol (2)'!$V$4:$V$1858,$V1535)/SUMIFS('Comp2016-2017 (3)'!$G$5:$G$289,'Comp2016-2017 (3)'!$A$5:$A$289,$D1535,'Comp2016-2017 (3)'!$R$5:$R$289,$V1535)*$AB1535))</f>
        <v>4429.9315247555714</v>
      </c>
      <c r="AI1535" s="205" t="str">
        <f>IF($W1535=AI$3,$AB1535,IF(NOT($W1535=0),"",SUMIFS('Val-Vol (2)'!AI$4:AI$1858,'Val-Vol (2)'!$A$4:$A$1858,$D1535,'Val-Vol (2)'!$V$4:$V$1858,$V1535)/SUMIFS('Comp2016-2017 (3)'!$G$5:$G$289,'Comp2016-2017 (3)'!$A$5:$A$289,$D1535,'Comp2016-2017 (3)'!$R$5:$R$289,$V1535)*$AB1535))</f>
        <v/>
      </c>
      <c r="AJ1535" s="205" t="str">
        <f>IF($W1535=AJ$3,$AB1535,IF(NOT($W1535=0),"",SUMIFS('Val-Vol (2)'!AJ$4:AJ$1858,'Val-Vol (2)'!$A$4:$A$1858,$D1535,'Val-Vol (2)'!$V$4:$V$1858,$V1535)/SUMIFS('Comp2016-2017 (3)'!$G$5:$G$289,'Comp2016-2017 (3)'!$A$5:$A$289,$D1535,'Comp2016-2017 (3)'!$R$5:$R$289,$V1535)*$AB1535))</f>
        <v/>
      </c>
      <c r="AK1535" s="205">
        <f t="shared" si="177"/>
        <v>0</v>
      </c>
      <c r="AL1535" s="218" t="str">
        <f t="shared" si="179"/>
        <v/>
      </c>
      <c r="AM1535" s="218" t="str">
        <f>VLOOKUP(A1535,'Table corresp.'!$M$4:$U$63,8,FALSE)</f>
        <v>Production intermédiaire</v>
      </c>
      <c r="AN1535" s="218" t="str">
        <f>VLOOKUP(D1535,'Table corresp.'!$M$4:$U$63,9,FALSE)</f>
        <v>Production intermédiaire</v>
      </c>
    </row>
    <row r="1536" spans="1:40" x14ac:dyDescent="0.25">
      <c r="A1536" t="s">
        <v>3</v>
      </c>
      <c r="B1536" t="str">
        <f>VLOOKUP(LEFT(A1536,3),'Table corresp.'!$A$4:$D$63,3,FALSE)</f>
        <v>Transformation</v>
      </c>
      <c r="C1536" t="str">
        <f>VLOOKUP(A1536,'Table corresp.'!$M$4:$P$63,4,FALSE)</f>
        <v>Production et transformation de produits bois</v>
      </c>
      <c r="D1536" t="s">
        <v>4</v>
      </c>
      <c r="E1536" t="str">
        <f>VLOOKUP(LEFT(D1536,3),'Table corresp.'!$A$4:$D$63,4,FALSE)</f>
        <v>Transformation</v>
      </c>
      <c r="F1536" t="str">
        <f t="shared" si="180"/>
        <v xml:space="preserve">06  - 08 </v>
      </c>
      <c r="G1536" s="238">
        <v>7232.5495682334904</v>
      </c>
      <c r="H1536" s="238">
        <v>0</v>
      </c>
      <c r="I1536" s="238">
        <v>7232.5495682334904</v>
      </c>
      <c r="J1536" s="238"/>
      <c r="K1536" s="238"/>
      <c r="L1536" s="238"/>
      <c r="M1536" s="238"/>
      <c r="N1536" s="238"/>
      <c r="O1536" s="238"/>
      <c r="P1536" s="238"/>
      <c r="Q1536" s="238"/>
      <c r="R1536" s="238"/>
      <c r="S1536" s="238"/>
      <c r="T1536" s="218">
        <f>VLOOKUP(A1536,'Groupe de branches'!$Z$27:$AM$86,14,FALSE)</f>
        <v>0</v>
      </c>
      <c r="U1536" s="218">
        <f>VLOOKUP(D1536,'Groupe de branches'!$Z$27:$AM$86,14,FALSE)</f>
        <v>0</v>
      </c>
      <c r="V1536" s="218">
        <v>2020</v>
      </c>
      <c r="W1536" s="218">
        <f>VLOOKUP(D1536,'Table corresp.'!$M$4:$S$63,7,FALSE)</f>
        <v>0</v>
      </c>
      <c r="X1536" s="240">
        <f>IFERROR(G1536/SUMIFS('Comp2016-2017 (3)'!$I$5:$I$289,'Comp2016-2017 (3)'!$A$5:$A$289,A1536,'Comp2016-2017 (3)'!$R$5:$R$289,V1536),0)</f>
        <v>3.2327957219330267E-2</v>
      </c>
      <c r="Y1536" s="219">
        <f>IFERROR(IF(RIGHT(F1536,3)="Exp",VLOOKUP(F1536,#REF!,2,FALSE),VLOOKUP(F1536,#REF!,9,FALSE)),1)</f>
        <v>1</v>
      </c>
      <c r="Z1536" s="226">
        <f t="shared" si="175"/>
        <v>5.8823529411764705E-2</v>
      </c>
      <c r="AA1536" s="226">
        <f t="shared" si="178"/>
        <v>1.9016445423135451E-3</v>
      </c>
      <c r="AB1536" s="205">
        <f>IFERROR(SUMIFS('Comp2016-2017 (3)'!$G$5:$G$289,'Comp2016-2017 (3)'!$A$5:$A$289,A1536,'Comp2016-2017 (3)'!$R$5:$R$289,V1536)*AA1536/SUMIFS($AA$4:$AA$1858,$A$4:$A$1858,A1536,$V$4:$V$1858,V1536),0)</f>
        <v>1443.4635713379869</v>
      </c>
      <c r="AC1536" s="205">
        <f>IF($W1536=AC$3,$AB1536,IF(NOT($W1536=0),"",SUMIFS('Val-Vol (2)'!AC$4:AC$1858,'Val-Vol (2)'!$A$4:$A$1858,$D1536,'Val-Vol (2)'!$V$4:$V$1858,$V1536)/SUMIFS('Comp2016-2017 (3)'!$G$5:$G$289,'Comp2016-2017 (3)'!$A$5:$A$289,$D1536,'Comp2016-2017 (3)'!$R$5:$R$289,$V1536)*$AB1536))</f>
        <v>0</v>
      </c>
      <c r="AD1536" s="205">
        <f>IF($W1536=AD$3,$AB1536,IF(NOT($W1536=0),"",SUMIFS('Val-Vol (2)'!AD$4:AD$1858,'Val-Vol (2)'!$A$4:$A$1858,$D1536,'Val-Vol (2)'!$V$4:$V$1858,$V1536)/SUMIFS('Comp2016-2017 (3)'!$G$5:$G$289,'Comp2016-2017 (3)'!$A$5:$A$289,$D1536,'Comp2016-2017 (3)'!$R$5:$R$289,$V1536)*$AB1536))</f>
        <v>0</v>
      </c>
      <c r="AE1536" s="205">
        <f>IF($W1536=AE$3,$AB1536,IF(NOT($W1536=0),"",SUMIFS('Val-Vol (2)'!AE$4:AE$1858,'Val-Vol (2)'!$A$4:$A$1858,$D1536,'Val-Vol (2)'!$V$4:$V$1858,$V1536)/SUMIFS('Comp2016-2017 (3)'!$G$5:$G$289,'Comp2016-2017 (3)'!$A$5:$A$289,$D1536,'Comp2016-2017 (3)'!$R$5:$R$289,$V1536)*$AB1536))</f>
        <v>0</v>
      </c>
      <c r="AF1536" s="205">
        <f>IF($W1536=AF$3,$AB1536,IF(NOT($W1536=0),"",SUMIFS('Val-Vol (2)'!AF$4:AF$1858,'Val-Vol (2)'!$A$4:$A$1858,$D1536,'Val-Vol (2)'!$V$4:$V$1858,$V1536)/SUMIFS('Comp2016-2017 (3)'!$G$5:$G$289,'Comp2016-2017 (3)'!$A$5:$A$289,$D1536,'Comp2016-2017 (3)'!$R$5:$R$289,$V1536)*$AB1536))</f>
        <v>0</v>
      </c>
      <c r="AG1536" s="205">
        <f>IF($W1536=AG$3,$AB1536,IF(NOT($W1536=0),"",SUMIFS('Val-Vol (2)'!AG$4:AG$1858,'Val-Vol (2)'!$A$4:$A$1858,$D1536,'Val-Vol (2)'!$V$4:$V$1858,$V1536)/SUMIFS('Comp2016-2017 (3)'!$G$5:$G$289,'Comp2016-2017 (3)'!$A$5:$A$289,$D1536,'Comp2016-2017 (3)'!$R$5:$R$289,$V1536)*$AB1536))</f>
        <v>0</v>
      </c>
      <c r="AH1536" s="205">
        <f>IF($W1536=AH$3,$AB1536,IF(NOT($W1536=0),"",SUMIFS('Val-Vol (2)'!AH$4:AH$1858,'Val-Vol (2)'!$A$4:$A$1858,$D1536,'Val-Vol (2)'!$V$4:$V$1858,$V1536)/SUMIFS('Comp2016-2017 (3)'!$G$5:$G$289,'Comp2016-2017 (3)'!$A$5:$A$289,$D1536,'Comp2016-2017 (3)'!$R$5:$R$289,$V1536)*$AB1536))</f>
        <v>0</v>
      </c>
      <c r="AI1536" s="205">
        <f>IF($W1536=AI$3,$AB1536,IF(NOT($W1536=0),"",SUMIFS('Val-Vol (2)'!AI$4:AI$1858,'Val-Vol (2)'!$A$4:$A$1858,$D1536,'Val-Vol (2)'!$V$4:$V$1858,$V1536)/SUMIFS('Comp2016-2017 (3)'!$G$5:$G$289,'Comp2016-2017 (3)'!$A$5:$A$289,$D1536,'Comp2016-2017 (3)'!$R$5:$R$289,$V1536)*$AB1536))</f>
        <v>0</v>
      </c>
      <c r="AJ1536" s="205">
        <f>IF($W1536=AJ$3,$AB1536,IF(NOT($W1536=0),"",SUMIFS('Val-Vol (2)'!AJ$4:AJ$1858,'Val-Vol (2)'!$A$4:$A$1858,$D1536,'Val-Vol (2)'!$V$4:$V$1858,$V1536)/SUMIFS('Comp2016-2017 (3)'!$G$5:$G$289,'Comp2016-2017 (3)'!$A$5:$A$289,$D1536,'Comp2016-2017 (3)'!$R$5:$R$289,$V1536)*$AB1536))</f>
        <v>0</v>
      </c>
      <c r="AK1536" s="205">
        <f t="shared" si="177"/>
        <v>-1443.4635713379869</v>
      </c>
      <c r="AL1536" s="218" t="str">
        <f t="shared" si="179"/>
        <v/>
      </c>
      <c r="AM1536" s="218" t="str">
        <f>VLOOKUP(A1536,'Table corresp.'!$M$4:$U$63,8,FALSE)</f>
        <v>Production intermédiaire</v>
      </c>
      <c r="AN1536" s="218" t="str">
        <f>VLOOKUP(D1536,'Table corresp.'!$M$4:$U$63,9,FALSE)</f>
        <v>Production intermédiaire</v>
      </c>
    </row>
    <row r="1537" spans="1:40" x14ac:dyDescent="0.25">
      <c r="A1537" t="s">
        <v>3</v>
      </c>
      <c r="B1537" t="str">
        <f>VLOOKUP(LEFT(A1537,3),'Table corresp.'!$A$4:$D$63,3,FALSE)</f>
        <v>Transformation</v>
      </c>
      <c r="C1537" t="str">
        <f>VLOOKUP(A1537,'Table corresp.'!$M$4:$P$63,4,FALSE)</f>
        <v>Production et transformation de produits bois</v>
      </c>
      <c r="D1537" t="s">
        <v>5</v>
      </c>
      <c r="E1537" t="str">
        <f>VLOOKUP(LEFT(D1537,3),'Table corresp.'!$A$4:$D$63,4,FALSE)</f>
        <v>Transformation</v>
      </c>
      <c r="F1537" t="str">
        <f t="shared" si="180"/>
        <v xml:space="preserve">06  - 09 </v>
      </c>
      <c r="G1537" s="238">
        <v>2108.0004464939002</v>
      </c>
      <c r="H1537" s="238">
        <v>0</v>
      </c>
      <c r="I1537" s="238">
        <v>2108.0004464939002</v>
      </c>
      <c r="J1537" s="238"/>
      <c r="K1537" s="238"/>
      <c r="L1537" s="238"/>
      <c r="M1537" s="238"/>
      <c r="N1537" s="238"/>
      <c r="O1537" s="238"/>
      <c r="P1537" s="238"/>
      <c r="Q1537" s="238"/>
      <c r="R1537" s="238"/>
      <c r="S1537" s="238"/>
      <c r="T1537" s="218">
        <f>VLOOKUP(A1537,'Groupe de branches'!$Z$27:$AM$86,14,FALSE)</f>
        <v>0</v>
      </c>
      <c r="U1537" s="218">
        <f>VLOOKUP(D1537,'Groupe de branches'!$Z$27:$AM$86,14,FALSE)</f>
        <v>0</v>
      </c>
      <c r="V1537" s="218">
        <v>2020</v>
      </c>
      <c r="W1537" s="218">
        <f>VLOOKUP(D1537,'Table corresp.'!$M$4:$S$63,7,FALSE)</f>
        <v>0</v>
      </c>
      <c r="X1537" s="240">
        <f>IFERROR(G1537/SUMIFS('Comp2016-2017 (3)'!$I$5:$I$289,'Comp2016-2017 (3)'!$A$5:$A$289,A1537,'Comp2016-2017 (3)'!$R$5:$R$289,V1537),0)</f>
        <v>9.4223133363506989E-3</v>
      </c>
      <c r="Y1537" s="219">
        <f>IFERROR(IF(RIGHT(F1537,3)="Exp",VLOOKUP(F1537,#REF!,2,FALSE),VLOOKUP(F1537,#REF!,9,FALSE)),1)</f>
        <v>1</v>
      </c>
      <c r="Z1537" s="226">
        <f t="shared" si="175"/>
        <v>5.8823529411764705E-2</v>
      </c>
      <c r="AA1537" s="226">
        <f t="shared" si="178"/>
        <v>5.5425372566768815E-4</v>
      </c>
      <c r="AB1537" s="205">
        <f>IFERROR(SUMIFS('Comp2016-2017 (3)'!$G$5:$G$289,'Comp2016-2017 (3)'!$A$5:$A$289,A1537,'Comp2016-2017 (3)'!$R$5:$R$289,V1537)*AA1537/SUMIFS($AA$4:$AA$1858,$A$4:$A$1858,A1537,$V$4:$V$1858,V1537),0)</f>
        <v>420.71220171690413</v>
      </c>
      <c r="AC1537" s="205">
        <f>IF($W1537=AC$3,$AB1537,IF(NOT($W1537=0),"",SUMIFS('Val-Vol (2)'!AC$4:AC$1858,'Val-Vol (2)'!$A$4:$A$1858,$D1537,'Val-Vol (2)'!$V$4:$V$1858,$V1537)/SUMIFS('Comp2016-2017 (3)'!$G$5:$G$289,'Comp2016-2017 (3)'!$A$5:$A$289,$D1537,'Comp2016-2017 (3)'!$R$5:$R$289,$V1537)*$AB1537))</f>
        <v>0</v>
      </c>
      <c r="AD1537" s="205">
        <f>IF($W1537=AD$3,$AB1537,IF(NOT($W1537=0),"",SUMIFS('Val-Vol (2)'!AD$4:AD$1858,'Val-Vol (2)'!$A$4:$A$1858,$D1537,'Val-Vol (2)'!$V$4:$V$1858,$V1537)/SUMIFS('Comp2016-2017 (3)'!$G$5:$G$289,'Comp2016-2017 (3)'!$A$5:$A$289,$D1537,'Comp2016-2017 (3)'!$R$5:$R$289,$V1537)*$AB1537))</f>
        <v>0</v>
      </c>
      <c r="AE1537" s="205">
        <f>IF($W1537=AE$3,$AB1537,IF(NOT($W1537=0),"",SUMIFS('Val-Vol (2)'!AE$4:AE$1858,'Val-Vol (2)'!$A$4:$A$1858,$D1537,'Val-Vol (2)'!$V$4:$V$1858,$V1537)/SUMIFS('Comp2016-2017 (3)'!$G$5:$G$289,'Comp2016-2017 (3)'!$A$5:$A$289,$D1537,'Comp2016-2017 (3)'!$R$5:$R$289,$V1537)*$AB1537))</f>
        <v>0</v>
      </c>
      <c r="AF1537" s="205">
        <f>IF($W1537=AF$3,$AB1537,IF(NOT($W1537=0),"",SUMIFS('Val-Vol (2)'!AF$4:AF$1858,'Val-Vol (2)'!$A$4:$A$1858,$D1537,'Val-Vol (2)'!$V$4:$V$1858,$V1537)/SUMIFS('Comp2016-2017 (3)'!$G$5:$G$289,'Comp2016-2017 (3)'!$A$5:$A$289,$D1537,'Comp2016-2017 (3)'!$R$5:$R$289,$V1537)*$AB1537))</f>
        <v>0</v>
      </c>
      <c r="AG1537" s="205">
        <f>IF($W1537=AG$3,$AB1537,IF(NOT($W1537=0),"",SUMIFS('Val-Vol (2)'!AG$4:AG$1858,'Val-Vol (2)'!$A$4:$A$1858,$D1537,'Val-Vol (2)'!$V$4:$V$1858,$V1537)/SUMIFS('Comp2016-2017 (3)'!$G$5:$G$289,'Comp2016-2017 (3)'!$A$5:$A$289,$D1537,'Comp2016-2017 (3)'!$R$5:$R$289,$V1537)*$AB1537))</f>
        <v>0</v>
      </c>
      <c r="AH1537" s="205">
        <f>IF($W1537=AH$3,$AB1537,IF(NOT($W1537=0),"",SUMIFS('Val-Vol (2)'!AH$4:AH$1858,'Val-Vol (2)'!$A$4:$A$1858,$D1537,'Val-Vol (2)'!$V$4:$V$1858,$V1537)/SUMIFS('Comp2016-2017 (3)'!$G$5:$G$289,'Comp2016-2017 (3)'!$A$5:$A$289,$D1537,'Comp2016-2017 (3)'!$R$5:$R$289,$V1537)*$AB1537))</f>
        <v>0</v>
      </c>
      <c r="AI1537" s="205">
        <f>IF($W1537=AI$3,$AB1537,IF(NOT($W1537=0),"",SUMIFS('Val-Vol (2)'!AI$4:AI$1858,'Val-Vol (2)'!$A$4:$A$1858,$D1537,'Val-Vol (2)'!$V$4:$V$1858,$V1537)/SUMIFS('Comp2016-2017 (3)'!$G$5:$G$289,'Comp2016-2017 (3)'!$A$5:$A$289,$D1537,'Comp2016-2017 (3)'!$R$5:$R$289,$V1537)*$AB1537))</f>
        <v>0</v>
      </c>
      <c r="AJ1537" s="205">
        <f>IF($W1537=AJ$3,$AB1537,IF(NOT($W1537=0),"",SUMIFS('Val-Vol (2)'!AJ$4:AJ$1858,'Val-Vol (2)'!$A$4:$A$1858,$D1537,'Val-Vol (2)'!$V$4:$V$1858,$V1537)/SUMIFS('Comp2016-2017 (3)'!$G$5:$G$289,'Comp2016-2017 (3)'!$A$5:$A$289,$D1537,'Comp2016-2017 (3)'!$R$5:$R$289,$V1537)*$AB1537))</f>
        <v>0</v>
      </c>
      <c r="AK1537" s="205">
        <f t="shared" si="177"/>
        <v>-420.71220171690413</v>
      </c>
      <c r="AL1537" s="218" t="str">
        <f t="shared" si="179"/>
        <v/>
      </c>
      <c r="AM1537" s="218" t="str">
        <f>VLOOKUP(A1537,'Table corresp.'!$M$4:$U$63,8,FALSE)</f>
        <v>Production intermédiaire</v>
      </c>
      <c r="AN1537" s="218" t="str">
        <f>VLOOKUP(D1537,'Table corresp.'!$M$4:$U$63,9,FALSE)</f>
        <v>Production intermédiaire</v>
      </c>
    </row>
    <row r="1538" spans="1:40" x14ac:dyDescent="0.25">
      <c r="A1538" t="s">
        <v>3</v>
      </c>
      <c r="B1538" t="str">
        <f>VLOOKUP(LEFT(A1538,3),'Table corresp.'!$A$4:$D$63,3,FALSE)</f>
        <v>Transformation</v>
      </c>
      <c r="C1538" t="str">
        <f>VLOOKUP(A1538,'Table corresp.'!$M$4:$P$63,4,FALSE)</f>
        <v>Production et transformation de produits bois</v>
      </c>
      <c r="D1538" t="s">
        <v>82</v>
      </c>
      <c r="E1538" t="str">
        <f>VLOOKUP(LEFT(D1538,3),'Table corresp.'!$A$4:$D$63,4,FALSE)</f>
        <v>Transformation</v>
      </c>
      <c r="F1538" t="str">
        <f t="shared" si="180"/>
        <v xml:space="preserve">06  - 10 </v>
      </c>
      <c r="G1538" s="238">
        <v>2386.8965185083898</v>
      </c>
      <c r="H1538" s="238">
        <v>0</v>
      </c>
      <c r="I1538" s="238">
        <v>2386.8965185083898</v>
      </c>
      <c r="J1538" s="238"/>
      <c r="K1538" s="238"/>
      <c r="L1538" s="238"/>
      <c r="M1538" s="238"/>
      <c r="N1538" s="238"/>
      <c r="O1538" s="238"/>
      <c r="P1538" s="238"/>
      <c r="Q1538" s="238"/>
      <c r="R1538" s="238"/>
      <c r="S1538" s="238"/>
      <c r="T1538" s="218">
        <f>VLOOKUP(A1538,'Groupe de branches'!$Z$27:$AM$86,14,FALSE)</f>
        <v>0</v>
      </c>
      <c r="U1538" s="218">
        <f>VLOOKUP(D1538,'Groupe de branches'!$Z$27:$AM$86,14,FALSE)</f>
        <v>0</v>
      </c>
      <c r="V1538" s="218">
        <v>2020</v>
      </c>
      <c r="W1538" s="218">
        <f>VLOOKUP(D1538,'Table corresp.'!$M$4:$S$63,7,FALSE)</f>
        <v>0</v>
      </c>
      <c r="X1538" s="240">
        <f>IFERROR(G1538/SUMIFS('Comp2016-2017 (3)'!$I$5:$I$289,'Comp2016-2017 (3)'!$A$5:$A$289,A1538,'Comp2016-2017 (3)'!$R$5:$R$289,V1538),0)</f>
        <v>1.0668919418986345E-2</v>
      </c>
      <c r="Y1538" s="219">
        <f>IFERROR(IF(RIGHT(F1538,3)="Exp",VLOOKUP(F1538,#REF!,2,FALSE),VLOOKUP(F1538,#REF!,9,FALSE)),1)</f>
        <v>1</v>
      </c>
      <c r="Z1538" s="226">
        <f t="shared" si="175"/>
        <v>5.8823529411764705E-2</v>
      </c>
      <c r="AA1538" s="226">
        <f t="shared" si="178"/>
        <v>6.2758349523449081E-4</v>
      </c>
      <c r="AB1538" s="205">
        <f>IFERROR(SUMIFS('Comp2016-2017 (3)'!$G$5:$G$289,'Comp2016-2017 (3)'!$A$5:$A$289,A1538,'Comp2016-2017 (3)'!$R$5:$R$289,V1538)*AA1538/SUMIFS($AA$4:$AA$1858,$A$4:$A$1858,A1538,$V$4:$V$1858,V1538),0)</f>
        <v>476.37394538615615</v>
      </c>
      <c r="AC1538" s="205">
        <f>IF($W1538=AC$3,$AB1538,IF(NOT($W1538=0),"",SUMIFS('Val-Vol (2)'!AC$4:AC$1858,'Val-Vol (2)'!$A$4:$A$1858,$D1538,'Val-Vol (2)'!$V$4:$V$1858,$V1538)/SUMIFS('Comp2016-2017 (3)'!$G$5:$G$289,'Comp2016-2017 (3)'!$A$5:$A$289,$D1538,'Comp2016-2017 (3)'!$R$5:$R$289,$V1538)*$AB1538))</f>
        <v>0</v>
      </c>
      <c r="AD1538" s="205">
        <f>IF($W1538=AD$3,$AB1538,IF(NOT($W1538=0),"",SUMIFS('Val-Vol (2)'!AD$4:AD$1858,'Val-Vol (2)'!$A$4:$A$1858,$D1538,'Val-Vol (2)'!$V$4:$V$1858,$V1538)/SUMIFS('Comp2016-2017 (3)'!$G$5:$G$289,'Comp2016-2017 (3)'!$A$5:$A$289,$D1538,'Comp2016-2017 (3)'!$R$5:$R$289,$V1538)*$AB1538))</f>
        <v>0</v>
      </c>
      <c r="AE1538" s="205">
        <f>IF($W1538=AE$3,$AB1538,IF(NOT($W1538=0),"",SUMIFS('Val-Vol (2)'!AE$4:AE$1858,'Val-Vol (2)'!$A$4:$A$1858,$D1538,'Val-Vol (2)'!$V$4:$V$1858,$V1538)/SUMIFS('Comp2016-2017 (3)'!$G$5:$G$289,'Comp2016-2017 (3)'!$A$5:$A$289,$D1538,'Comp2016-2017 (3)'!$R$5:$R$289,$V1538)*$AB1538))</f>
        <v>0</v>
      </c>
      <c r="AF1538" s="205">
        <f>IF($W1538=AF$3,$AB1538,IF(NOT($W1538=0),"",SUMIFS('Val-Vol (2)'!AF$4:AF$1858,'Val-Vol (2)'!$A$4:$A$1858,$D1538,'Val-Vol (2)'!$V$4:$V$1858,$V1538)/SUMIFS('Comp2016-2017 (3)'!$G$5:$G$289,'Comp2016-2017 (3)'!$A$5:$A$289,$D1538,'Comp2016-2017 (3)'!$R$5:$R$289,$V1538)*$AB1538))</f>
        <v>0</v>
      </c>
      <c r="AG1538" s="205">
        <f>IF($W1538=AG$3,$AB1538,IF(NOT($W1538=0),"",SUMIFS('Val-Vol (2)'!AG$4:AG$1858,'Val-Vol (2)'!$A$4:$A$1858,$D1538,'Val-Vol (2)'!$V$4:$V$1858,$V1538)/SUMIFS('Comp2016-2017 (3)'!$G$5:$G$289,'Comp2016-2017 (3)'!$A$5:$A$289,$D1538,'Comp2016-2017 (3)'!$R$5:$R$289,$V1538)*$AB1538))</f>
        <v>0</v>
      </c>
      <c r="AH1538" s="205">
        <f>IF($W1538=AH$3,$AB1538,IF(NOT($W1538=0),"",SUMIFS('Val-Vol (2)'!AH$4:AH$1858,'Val-Vol (2)'!$A$4:$A$1858,$D1538,'Val-Vol (2)'!$V$4:$V$1858,$V1538)/SUMIFS('Comp2016-2017 (3)'!$G$5:$G$289,'Comp2016-2017 (3)'!$A$5:$A$289,$D1538,'Comp2016-2017 (3)'!$R$5:$R$289,$V1538)*$AB1538))</f>
        <v>0</v>
      </c>
      <c r="AI1538" s="205">
        <f>IF($W1538=AI$3,$AB1538,IF(NOT($W1538=0),"",SUMIFS('Val-Vol (2)'!AI$4:AI$1858,'Val-Vol (2)'!$A$4:$A$1858,$D1538,'Val-Vol (2)'!$V$4:$V$1858,$V1538)/SUMIFS('Comp2016-2017 (3)'!$G$5:$G$289,'Comp2016-2017 (3)'!$A$5:$A$289,$D1538,'Comp2016-2017 (3)'!$R$5:$R$289,$V1538)*$AB1538))</f>
        <v>0</v>
      </c>
      <c r="AJ1538" s="205">
        <f>IF($W1538=AJ$3,$AB1538,IF(NOT($W1538=0),"",SUMIFS('Val-Vol (2)'!AJ$4:AJ$1858,'Val-Vol (2)'!$A$4:$A$1858,$D1538,'Val-Vol (2)'!$V$4:$V$1858,$V1538)/SUMIFS('Comp2016-2017 (3)'!$G$5:$G$289,'Comp2016-2017 (3)'!$A$5:$A$289,$D1538,'Comp2016-2017 (3)'!$R$5:$R$289,$V1538)*$AB1538))</f>
        <v>0</v>
      </c>
      <c r="AK1538" s="205">
        <f t="shared" si="177"/>
        <v>-476.37394538615615</v>
      </c>
      <c r="AL1538" s="218" t="str">
        <f t="shared" si="179"/>
        <v/>
      </c>
      <c r="AM1538" s="218" t="str">
        <f>VLOOKUP(A1538,'Table corresp.'!$M$4:$U$63,8,FALSE)</f>
        <v>Production intermédiaire</v>
      </c>
      <c r="AN1538" s="218" t="str">
        <f>VLOOKUP(D1538,'Table corresp.'!$M$4:$U$63,9,FALSE)</f>
        <v>Production intermédiaire</v>
      </c>
    </row>
    <row r="1539" spans="1:40" x14ac:dyDescent="0.25">
      <c r="A1539" t="s">
        <v>3</v>
      </c>
      <c r="B1539" t="str">
        <f>VLOOKUP(LEFT(A1539,3),'Table corresp.'!$A$4:$D$63,3,FALSE)</f>
        <v>Transformation</v>
      </c>
      <c r="C1539" t="str">
        <f>VLOOKUP(A1539,'Table corresp.'!$M$4:$P$63,4,FALSE)</f>
        <v>Production et transformation de produits bois</v>
      </c>
      <c r="D1539" t="s">
        <v>7</v>
      </c>
      <c r="E1539" t="str">
        <f>VLOOKUP(LEFT(D1539,3),'Table corresp.'!$A$4:$D$63,4,FALSE)</f>
        <v>Transformation</v>
      </c>
      <c r="F1539" t="str">
        <f t="shared" si="180"/>
        <v xml:space="preserve">06  - 12 </v>
      </c>
      <c r="G1539" s="238">
        <v>25989.715011655899</v>
      </c>
      <c r="H1539" s="238">
        <v>0</v>
      </c>
      <c r="I1539" s="238">
        <v>25989.715011655899</v>
      </c>
      <c r="J1539" s="238"/>
      <c r="K1539" s="238"/>
      <c r="L1539" s="238"/>
      <c r="M1539" s="238"/>
      <c r="N1539" s="238"/>
      <c r="O1539" s="238"/>
      <c r="P1539" s="238"/>
      <c r="Q1539" s="238"/>
      <c r="R1539" s="238"/>
      <c r="S1539" s="238"/>
      <c r="T1539" s="218">
        <f>VLOOKUP(A1539,'Groupe de branches'!$Z$27:$AM$86,14,FALSE)</f>
        <v>0</v>
      </c>
      <c r="U1539" s="218">
        <f>VLOOKUP(D1539,'Groupe de branches'!$Z$27:$AM$86,14,FALSE)</f>
        <v>0</v>
      </c>
      <c r="V1539" s="218">
        <v>2020</v>
      </c>
      <c r="W1539" s="218">
        <f>VLOOKUP(D1539,'Table corresp.'!$M$4:$S$63,7,FALSE)</f>
        <v>0</v>
      </c>
      <c r="X1539" s="240">
        <f>IFERROR(G1539/SUMIFS('Comp2016-2017 (3)'!$I$5:$I$289,'Comp2016-2017 (3)'!$A$5:$A$289,A1539,'Comp2016-2017 (3)'!$R$5:$R$289,V1539),0)</f>
        <v>0.11616849454162957</v>
      </c>
      <c r="Y1539" s="219">
        <f>IFERROR(IF(RIGHT(F1539,3)="Exp",VLOOKUP(F1539,#REF!,2,FALSE),VLOOKUP(F1539,#REF!,9,FALSE)),1)</f>
        <v>1</v>
      </c>
      <c r="Z1539" s="226">
        <f t="shared" si="175"/>
        <v>5.8823529411764705E-2</v>
      </c>
      <c r="AA1539" s="226">
        <f t="shared" si="178"/>
        <v>6.8334408553899747E-3</v>
      </c>
      <c r="AB1539" s="205">
        <f>IFERROR(SUMIFS('Comp2016-2017 (3)'!$G$5:$G$289,'Comp2016-2017 (3)'!$A$5:$A$289,A1539,'Comp2016-2017 (3)'!$R$5:$R$289,V1539)*AA1539/SUMIFS($AA$4:$AA$1858,$A$4:$A$1858,A1539,$V$4:$V$1858,V1539),0)</f>
        <v>5186.9961615685397</v>
      </c>
      <c r="AC1539" s="205">
        <f>IF($W1539=AC$3,$AB1539,IF(NOT($W1539=0),"",SUMIFS('Val-Vol (2)'!AC$4:AC$1858,'Val-Vol (2)'!$A$4:$A$1858,$D1539,'Val-Vol (2)'!$V$4:$V$1858,$V1539)/SUMIFS('Comp2016-2017 (3)'!$G$5:$G$289,'Comp2016-2017 (3)'!$A$5:$A$289,$D1539,'Comp2016-2017 (3)'!$R$5:$R$289,$V1539)*$AB1539))</f>
        <v>0</v>
      </c>
      <c r="AD1539" s="205">
        <f>IF($W1539=AD$3,$AB1539,IF(NOT($W1539=0),"",SUMIFS('Val-Vol (2)'!AD$4:AD$1858,'Val-Vol (2)'!$A$4:$A$1858,$D1539,'Val-Vol (2)'!$V$4:$V$1858,$V1539)/SUMIFS('Comp2016-2017 (3)'!$G$5:$G$289,'Comp2016-2017 (3)'!$A$5:$A$289,$D1539,'Comp2016-2017 (3)'!$R$5:$R$289,$V1539)*$AB1539))</f>
        <v>0</v>
      </c>
      <c r="AE1539" s="205">
        <f>IF($W1539=AE$3,$AB1539,IF(NOT($W1539=0),"",SUMIFS('Val-Vol (2)'!AE$4:AE$1858,'Val-Vol (2)'!$A$4:$A$1858,$D1539,'Val-Vol (2)'!$V$4:$V$1858,$V1539)/SUMIFS('Comp2016-2017 (3)'!$G$5:$G$289,'Comp2016-2017 (3)'!$A$5:$A$289,$D1539,'Comp2016-2017 (3)'!$R$5:$R$289,$V1539)*$AB1539))</f>
        <v>0</v>
      </c>
      <c r="AF1539" s="205">
        <f>IF($W1539=AF$3,$AB1539,IF(NOT($W1539=0),"",SUMIFS('Val-Vol (2)'!AF$4:AF$1858,'Val-Vol (2)'!$A$4:$A$1858,$D1539,'Val-Vol (2)'!$V$4:$V$1858,$V1539)/SUMIFS('Comp2016-2017 (3)'!$G$5:$G$289,'Comp2016-2017 (3)'!$A$5:$A$289,$D1539,'Comp2016-2017 (3)'!$R$5:$R$289,$V1539)*$AB1539))</f>
        <v>0</v>
      </c>
      <c r="AG1539" s="205">
        <f>IF($W1539=AG$3,$AB1539,IF(NOT($W1539=0),"",SUMIFS('Val-Vol (2)'!AG$4:AG$1858,'Val-Vol (2)'!$A$4:$A$1858,$D1539,'Val-Vol (2)'!$V$4:$V$1858,$V1539)/SUMIFS('Comp2016-2017 (3)'!$G$5:$G$289,'Comp2016-2017 (3)'!$A$5:$A$289,$D1539,'Comp2016-2017 (3)'!$R$5:$R$289,$V1539)*$AB1539))</f>
        <v>0</v>
      </c>
      <c r="AH1539" s="205">
        <f>IF($W1539=AH$3,$AB1539,IF(NOT($W1539=0),"",SUMIFS('Val-Vol (2)'!AH$4:AH$1858,'Val-Vol (2)'!$A$4:$A$1858,$D1539,'Val-Vol (2)'!$V$4:$V$1858,$V1539)/SUMIFS('Comp2016-2017 (3)'!$G$5:$G$289,'Comp2016-2017 (3)'!$A$5:$A$289,$D1539,'Comp2016-2017 (3)'!$R$5:$R$289,$V1539)*$AB1539))</f>
        <v>0</v>
      </c>
      <c r="AI1539" s="205">
        <f>IF($W1539=AI$3,$AB1539,IF(NOT($W1539=0),"",SUMIFS('Val-Vol (2)'!AI$4:AI$1858,'Val-Vol (2)'!$A$4:$A$1858,$D1539,'Val-Vol (2)'!$V$4:$V$1858,$V1539)/SUMIFS('Comp2016-2017 (3)'!$G$5:$G$289,'Comp2016-2017 (3)'!$A$5:$A$289,$D1539,'Comp2016-2017 (3)'!$R$5:$R$289,$V1539)*$AB1539))</f>
        <v>0</v>
      </c>
      <c r="AJ1539" s="205">
        <f>IF($W1539=AJ$3,$AB1539,IF(NOT($W1539=0),"",SUMIFS('Val-Vol (2)'!AJ$4:AJ$1858,'Val-Vol (2)'!$A$4:$A$1858,$D1539,'Val-Vol (2)'!$V$4:$V$1858,$V1539)/SUMIFS('Comp2016-2017 (3)'!$G$5:$G$289,'Comp2016-2017 (3)'!$A$5:$A$289,$D1539,'Comp2016-2017 (3)'!$R$5:$R$289,$V1539)*$AB1539))</f>
        <v>0</v>
      </c>
      <c r="AK1539" s="205">
        <f t="shared" si="177"/>
        <v>-5186.9961615685397</v>
      </c>
      <c r="AL1539" s="218" t="str">
        <f t="shared" si="179"/>
        <v/>
      </c>
      <c r="AM1539" s="218" t="str">
        <f>VLOOKUP(A1539,'Table corresp.'!$M$4:$U$63,8,FALSE)</f>
        <v>Production intermédiaire</v>
      </c>
      <c r="AN1539" s="218" t="str">
        <f>VLOOKUP(D1539,'Table corresp.'!$M$4:$U$63,9,FALSE)</f>
        <v>Production intermédiaire</v>
      </c>
    </row>
    <row r="1540" spans="1:40" x14ac:dyDescent="0.25">
      <c r="A1540" t="s">
        <v>3</v>
      </c>
      <c r="B1540" t="str">
        <f>VLOOKUP(LEFT(A1540,3),'Table corresp.'!$A$4:$D$63,3,FALSE)</f>
        <v>Transformation</v>
      </c>
      <c r="C1540" t="str">
        <f>VLOOKUP(A1540,'Table corresp.'!$M$4:$P$63,4,FALSE)</f>
        <v>Production et transformation de produits bois</v>
      </c>
      <c r="D1540" t="s">
        <v>8</v>
      </c>
      <c r="E1540" t="str">
        <f>VLOOKUP(LEFT(D1540,3),'Table corresp.'!$A$4:$D$63,4,FALSE)</f>
        <v>Transformation</v>
      </c>
      <c r="F1540" t="str">
        <f t="shared" si="180"/>
        <v xml:space="preserve">06  - 13 </v>
      </c>
      <c r="G1540" s="238">
        <v>10177.218503009301</v>
      </c>
      <c r="H1540" s="238">
        <v>0</v>
      </c>
      <c r="I1540" s="238">
        <v>10177.218503009301</v>
      </c>
      <c r="J1540" s="238"/>
      <c r="K1540" s="238"/>
      <c r="L1540" s="238"/>
      <c r="M1540" s="238"/>
      <c r="N1540" s="238"/>
      <c r="O1540" s="238"/>
      <c r="P1540" s="238"/>
      <c r="Q1540" s="238"/>
      <c r="R1540" s="238"/>
      <c r="S1540" s="238"/>
      <c r="T1540" s="218">
        <f>VLOOKUP(A1540,'Groupe de branches'!$Z$27:$AM$86,14,FALSE)</f>
        <v>0</v>
      </c>
      <c r="U1540" s="218">
        <f>VLOOKUP(D1540,'Groupe de branches'!$Z$27:$AM$86,14,FALSE)</f>
        <v>0</v>
      </c>
      <c r="V1540" s="218">
        <v>2020</v>
      </c>
      <c r="W1540" s="218">
        <f>VLOOKUP(D1540,'Table corresp.'!$M$4:$S$63,7,FALSE)</f>
        <v>0</v>
      </c>
      <c r="X1540" s="240">
        <f>IFERROR(G1540/SUMIFS('Comp2016-2017 (3)'!$I$5:$I$289,'Comp2016-2017 (3)'!$A$5:$A$289,A1540,'Comp2016-2017 (3)'!$R$5:$R$289,V1540),0)</f>
        <v>4.5490000624692523E-2</v>
      </c>
      <c r="Y1540" s="219">
        <f>IFERROR(IF(RIGHT(F1540,3)="Exp",VLOOKUP(F1540,#REF!,2,FALSE),VLOOKUP(F1540,#REF!,9,FALSE)),1)</f>
        <v>1</v>
      </c>
      <c r="Z1540" s="226">
        <f t="shared" si="175"/>
        <v>5.8823529411764705E-2</v>
      </c>
      <c r="AA1540" s="226">
        <f t="shared" si="178"/>
        <v>2.6758823896877956E-3</v>
      </c>
      <c r="AB1540" s="205">
        <f>IFERROR(SUMIFS('Comp2016-2017 (3)'!$G$5:$G$289,'Comp2016-2017 (3)'!$A$5:$A$289,A1540,'Comp2016-2017 (3)'!$R$5:$R$289,V1540)*AA1540/SUMIFS($AA$4:$AA$1858,$A$4:$A$1858,A1540,$V$4:$V$1858,V1540),0)</f>
        <v>2031.157066819648</v>
      </c>
      <c r="AC1540" s="205">
        <f>IF($W1540=AC$3,$AB1540,IF(NOT($W1540=0),"",SUMIFS('Val-Vol (2)'!AC$4:AC$1858,'Val-Vol (2)'!$A$4:$A$1858,$D1540,'Val-Vol (2)'!$V$4:$V$1858,$V1540)/SUMIFS('Comp2016-2017 (3)'!$G$5:$G$289,'Comp2016-2017 (3)'!$A$5:$A$289,$D1540,'Comp2016-2017 (3)'!$R$5:$R$289,$V1540)*$AB1540))</f>
        <v>0</v>
      </c>
      <c r="AD1540" s="205">
        <f>IF($W1540=AD$3,$AB1540,IF(NOT($W1540=0),"",SUMIFS('Val-Vol (2)'!AD$4:AD$1858,'Val-Vol (2)'!$A$4:$A$1858,$D1540,'Val-Vol (2)'!$V$4:$V$1858,$V1540)/SUMIFS('Comp2016-2017 (3)'!$G$5:$G$289,'Comp2016-2017 (3)'!$A$5:$A$289,$D1540,'Comp2016-2017 (3)'!$R$5:$R$289,$V1540)*$AB1540))</f>
        <v>0</v>
      </c>
      <c r="AE1540" s="205">
        <f>IF($W1540=AE$3,$AB1540,IF(NOT($W1540=0),"",SUMIFS('Val-Vol (2)'!AE$4:AE$1858,'Val-Vol (2)'!$A$4:$A$1858,$D1540,'Val-Vol (2)'!$V$4:$V$1858,$V1540)/SUMIFS('Comp2016-2017 (3)'!$G$5:$G$289,'Comp2016-2017 (3)'!$A$5:$A$289,$D1540,'Comp2016-2017 (3)'!$R$5:$R$289,$V1540)*$AB1540))</f>
        <v>0</v>
      </c>
      <c r="AF1540" s="205">
        <f>IF($W1540=AF$3,$AB1540,IF(NOT($W1540=0),"",SUMIFS('Val-Vol (2)'!AF$4:AF$1858,'Val-Vol (2)'!$A$4:$A$1858,$D1540,'Val-Vol (2)'!$V$4:$V$1858,$V1540)/SUMIFS('Comp2016-2017 (3)'!$G$5:$G$289,'Comp2016-2017 (3)'!$A$5:$A$289,$D1540,'Comp2016-2017 (3)'!$R$5:$R$289,$V1540)*$AB1540))</f>
        <v>0</v>
      </c>
      <c r="AG1540" s="205">
        <f>IF($W1540=AG$3,$AB1540,IF(NOT($W1540=0),"",SUMIFS('Val-Vol (2)'!AG$4:AG$1858,'Val-Vol (2)'!$A$4:$A$1858,$D1540,'Val-Vol (2)'!$V$4:$V$1858,$V1540)/SUMIFS('Comp2016-2017 (3)'!$G$5:$G$289,'Comp2016-2017 (3)'!$A$5:$A$289,$D1540,'Comp2016-2017 (3)'!$R$5:$R$289,$V1540)*$AB1540))</f>
        <v>0</v>
      </c>
      <c r="AH1540" s="205">
        <f>IF($W1540=AH$3,$AB1540,IF(NOT($W1540=0),"",SUMIFS('Val-Vol (2)'!AH$4:AH$1858,'Val-Vol (2)'!$A$4:$A$1858,$D1540,'Val-Vol (2)'!$V$4:$V$1858,$V1540)/SUMIFS('Comp2016-2017 (3)'!$G$5:$G$289,'Comp2016-2017 (3)'!$A$5:$A$289,$D1540,'Comp2016-2017 (3)'!$R$5:$R$289,$V1540)*$AB1540))</f>
        <v>0</v>
      </c>
      <c r="AI1540" s="205">
        <f>IF($W1540=AI$3,$AB1540,IF(NOT($W1540=0),"",SUMIFS('Val-Vol (2)'!AI$4:AI$1858,'Val-Vol (2)'!$A$4:$A$1858,$D1540,'Val-Vol (2)'!$V$4:$V$1858,$V1540)/SUMIFS('Comp2016-2017 (3)'!$G$5:$G$289,'Comp2016-2017 (3)'!$A$5:$A$289,$D1540,'Comp2016-2017 (3)'!$R$5:$R$289,$V1540)*$AB1540))</f>
        <v>0</v>
      </c>
      <c r="AJ1540" s="205">
        <f>IF($W1540=AJ$3,$AB1540,IF(NOT($W1540=0),"",SUMIFS('Val-Vol (2)'!AJ$4:AJ$1858,'Val-Vol (2)'!$A$4:$A$1858,$D1540,'Val-Vol (2)'!$V$4:$V$1858,$V1540)/SUMIFS('Comp2016-2017 (3)'!$G$5:$G$289,'Comp2016-2017 (3)'!$A$5:$A$289,$D1540,'Comp2016-2017 (3)'!$R$5:$R$289,$V1540)*$AB1540))</f>
        <v>0</v>
      </c>
      <c r="AK1540" s="205">
        <f t="shared" si="177"/>
        <v>-2031.157066819648</v>
      </c>
      <c r="AL1540" s="218" t="str">
        <f t="shared" si="179"/>
        <v/>
      </c>
      <c r="AM1540" s="218" t="str">
        <f>VLOOKUP(A1540,'Table corresp.'!$M$4:$U$63,8,FALSE)</f>
        <v>Production intermédiaire</v>
      </c>
      <c r="AN1540" s="218" t="str">
        <f>VLOOKUP(D1540,'Table corresp.'!$M$4:$U$63,9,FALSE)</f>
        <v>Production intermédiaire</v>
      </c>
    </row>
    <row r="1541" spans="1:40" x14ac:dyDescent="0.25">
      <c r="A1541" t="s">
        <v>3</v>
      </c>
      <c r="B1541" t="str">
        <f>VLOOKUP(LEFT(A1541,3),'Table corresp.'!$A$4:$D$63,3,FALSE)</f>
        <v>Transformation</v>
      </c>
      <c r="C1541" t="str">
        <f>VLOOKUP(A1541,'Table corresp.'!$M$4:$P$63,4,FALSE)</f>
        <v>Production et transformation de produits bois</v>
      </c>
      <c r="D1541" t="s">
        <v>83</v>
      </c>
      <c r="E1541" t="str">
        <f>VLOOKUP(LEFT(D1541,3),'Table corresp.'!$A$4:$D$63,4,FALSE)</f>
        <v>Transformation</v>
      </c>
      <c r="F1541" t="str">
        <f t="shared" si="180"/>
        <v xml:space="preserve">06  - 14 </v>
      </c>
      <c r="G1541" s="238">
        <v>3371.2162745569599</v>
      </c>
      <c r="H1541" s="238">
        <v>0</v>
      </c>
      <c r="I1541" s="238">
        <v>3371.2162745569599</v>
      </c>
      <c r="J1541" s="238"/>
      <c r="K1541" s="238"/>
      <c r="L1541" s="238"/>
      <c r="M1541" s="238"/>
      <c r="N1541" s="238"/>
      <c r="O1541" s="238"/>
      <c r="P1541" s="238"/>
      <c r="Q1541" s="238"/>
      <c r="R1541" s="238"/>
      <c r="S1541" s="238"/>
      <c r="T1541" s="218">
        <f>VLOOKUP(A1541,'Groupe de branches'!$Z$27:$AM$86,14,FALSE)</f>
        <v>0</v>
      </c>
      <c r="U1541" s="218">
        <f>VLOOKUP(D1541,'Groupe de branches'!$Z$27:$AM$86,14,FALSE)</f>
        <v>0</v>
      </c>
      <c r="V1541" s="218">
        <v>2020</v>
      </c>
      <c r="W1541" s="218">
        <f>VLOOKUP(D1541,'Table corresp.'!$M$4:$S$63,7,FALSE)</f>
        <v>0</v>
      </c>
      <c r="X1541" s="240">
        <f>IFERROR(G1541/SUMIFS('Comp2016-2017 (3)'!$I$5:$I$289,'Comp2016-2017 (3)'!$A$5:$A$289,A1541,'Comp2016-2017 (3)'!$R$5:$R$289,V1541),0)</f>
        <v>1.5068619229333014E-2</v>
      </c>
      <c r="Y1541" s="219">
        <f>IFERROR(IF(RIGHT(F1541,3)="Exp",VLOOKUP(F1541,#REF!,2,FALSE),VLOOKUP(F1541,#REF!,9,FALSE)),1)</f>
        <v>1</v>
      </c>
      <c r="Z1541" s="226">
        <f t="shared" si="175"/>
        <v>5.8823529411764705E-2</v>
      </c>
      <c r="AA1541" s="226">
        <f t="shared" si="178"/>
        <v>8.8638936643135381E-4</v>
      </c>
      <c r="AB1541" s="205">
        <f>IFERROR(SUMIFS('Comp2016-2017 (3)'!$G$5:$G$289,'Comp2016-2017 (3)'!$A$5:$A$289,A1541,'Comp2016-2017 (3)'!$R$5:$R$289,V1541)*AA1541/SUMIFS($AA$4:$AA$1858,$A$4:$A$1858,A1541,$V$4:$V$1858,V1541),0)</f>
        <v>672.8233021447902</v>
      </c>
      <c r="AC1541" s="205">
        <f>IF($W1541=AC$3,$AB1541,IF(NOT($W1541=0),"",SUMIFS('Val-Vol (2)'!AC$4:AC$1858,'Val-Vol (2)'!$A$4:$A$1858,$D1541,'Val-Vol (2)'!$V$4:$V$1858,$V1541)/SUMIFS('Comp2016-2017 (3)'!$G$5:$G$289,'Comp2016-2017 (3)'!$A$5:$A$289,$D1541,'Comp2016-2017 (3)'!$R$5:$R$289,$V1541)*$AB1541))</f>
        <v>0</v>
      </c>
      <c r="AD1541" s="205">
        <f>IF($W1541=AD$3,$AB1541,IF(NOT($W1541=0),"",SUMIFS('Val-Vol (2)'!AD$4:AD$1858,'Val-Vol (2)'!$A$4:$A$1858,$D1541,'Val-Vol (2)'!$V$4:$V$1858,$V1541)/SUMIFS('Comp2016-2017 (3)'!$G$5:$G$289,'Comp2016-2017 (3)'!$A$5:$A$289,$D1541,'Comp2016-2017 (3)'!$R$5:$R$289,$V1541)*$AB1541))</f>
        <v>0</v>
      </c>
      <c r="AE1541" s="205">
        <f>IF($W1541=AE$3,$AB1541,IF(NOT($W1541=0),"",SUMIFS('Val-Vol (2)'!AE$4:AE$1858,'Val-Vol (2)'!$A$4:$A$1858,$D1541,'Val-Vol (2)'!$V$4:$V$1858,$V1541)/SUMIFS('Comp2016-2017 (3)'!$G$5:$G$289,'Comp2016-2017 (3)'!$A$5:$A$289,$D1541,'Comp2016-2017 (3)'!$R$5:$R$289,$V1541)*$AB1541))</f>
        <v>0</v>
      </c>
      <c r="AF1541" s="205">
        <f>IF($W1541=AF$3,$AB1541,IF(NOT($W1541=0),"",SUMIFS('Val-Vol (2)'!AF$4:AF$1858,'Val-Vol (2)'!$A$4:$A$1858,$D1541,'Val-Vol (2)'!$V$4:$V$1858,$V1541)/SUMIFS('Comp2016-2017 (3)'!$G$5:$G$289,'Comp2016-2017 (3)'!$A$5:$A$289,$D1541,'Comp2016-2017 (3)'!$R$5:$R$289,$V1541)*$AB1541))</f>
        <v>0</v>
      </c>
      <c r="AG1541" s="205">
        <f>IF($W1541=AG$3,$AB1541,IF(NOT($W1541=0),"",SUMIFS('Val-Vol (2)'!AG$4:AG$1858,'Val-Vol (2)'!$A$4:$A$1858,$D1541,'Val-Vol (2)'!$V$4:$V$1858,$V1541)/SUMIFS('Comp2016-2017 (3)'!$G$5:$G$289,'Comp2016-2017 (3)'!$A$5:$A$289,$D1541,'Comp2016-2017 (3)'!$R$5:$R$289,$V1541)*$AB1541))</f>
        <v>0</v>
      </c>
      <c r="AH1541" s="205">
        <f>IF($W1541=AH$3,$AB1541,IF(NOT($W1541=0),"",SUMIFS('Val-Vol (2)'!AH$4:AH$1858,'Val-Vol (2)'!$A$4:$A$1858,$D1541,'Val-Vol (2)'!$V$4:$V$1858,$V1541)/SUMIFS('Comp2016-2017 (3)'!$G$5:$G$289,'Comp2016-2017 (3)'!$A$5:$A$289,$D1541,'Comp2016-2017 (3)'!$R$5:$R$289,$V1541)*$AB1541))</f>
        <v>0</v>
      </c>
      <c r="AI1541" s="205">
        <f>IF($W1541=AI$3,$AB1541,IF(NOT($W1541=0),"",SUMIFS('Val-Vol (2)'!AI$4:AI$1858,'Val-Vol (2)'!$A$4:$A$1858,$D1541,'Val-Vol (2)'!$V$4:$V$1858,$V1541)/SUMIFS('Comp2016-2017 (3)'!$G$5:$G$289,'Comp2016-2017 (3)'!$A$5:$A$289,$D1541,'Comp2016-2017 (3)'!$R$5:$R$289,$V1541)*$AB1541))</f>
        <v>0</v>
      </c>
      <c r="AJ1541" s="205">
        <f>IF($W1541=AJ$3,$AB1541,IF(NOT($W1541=0),"",SUMIFS('Val-Vol (2)'!AJ$4:AJ$1858,'Val-Vol (2)'!$A$4:$A$1858,$D1541,'Val-Vol (2)'!$V$4:$V$1858,$V1541)/SUMIFS('Comp2016-2017 (3)'!$G$5:$G$289,'Comp2016-2017 (3)'!$A$5:$A$289,$D1541,'Comp2016-2017 (3)'!$R$5:$R$289,$V1541)*$AB1541))</f>
        <v>0</v>
      </c>
      <c r="AK1541" s="205">
        <f t="shared" si="177"/>
        <v>-672.8233021447902</v>
      </c>
      <c r="AL1541" s="218" t="str">
        <f t="shared" si="179"/>
        <v/>
      </c>
      <c r="AM1541" s="218" t="str">
        <f>VLOOKUP(A1541,'Table corresp.'!$M$4:$U$63,8,FALSE)</f>
        <v>Production intermédiaire</v>
      </c>
      <c r="AN1541" s="218" t="str">
        <f>VLOOKUP(D1541,'Table corresp.'!$M$4:$U$63,9,FALSE)</f>
        <v>Production intermédiaire</v>
      </c>
    </row>
    <row r="1542" spans="1:40" x14ac:dyDescent="0.25">
      <c r="A1542" t="s">
        <v>3</v>
      </c>
      <c r="B1542" t="str">
        <f>VLOOKUP(LEFT(A1542,3),'Table corresp.'!$A$4:$D$63,3,FALSE)</f>
        <v>Transformation</v>
      </c>
      <c r="C1542" t="str">
        <f>VLOOKUP(A1542,'Table corresp.'!$M$4:$P$63,4,FALSE)</f>
        <v>Production et transformation de produits bois</v>
      </c>
      <c r="D1542" t="s">
        <v>9</v>
      </c>
      <c r="E1542" t="str">
        <f>VLOOKUP(LEFT(D1542,3),'Table corresp.'!$A$4:$D$63,4,FALSE)</f>
        <v>Transformation</v>
      </c>
      <c r="F1542" t="str">
        <f t="shared" si="180"/>
        <v xml:space="preserve">06  - 15 </v>
      </c>
      <c r="G1542" s="238">
        <v>13121.1829162513</v>
      </c>
      <c r="H1542" s="238">
        <v>0</v>
      </c>
      <c r="I1542" s="238">
        <v>13121.1829162513</v>
      </c>
      <c r="J1542" s="238"/>
      <c r="K1542" s="238"/>
      <c r="L1542" s="238"/>
      <c r="M1542" s="238"/>
      <c r="N1542" s="238"/>
      <c r="O1542" s="238"/>
      <c r="P1542" s="238"/>
      <c r="Q1542" s="238"/>
      <c r="R1542" s="238"/>
      <c r="S1542" s="238"/>
      <c r="T1542" s="218">
        <f>VLOOKUP(A1542,'Groupe de branches'!$Z$27:$AM$86,14,FALSE)</f>
        <v>0</v>
      </c>
      <c r="U1542" s="218">
        <f>VLOOKUP(D1542,'Groupe de branches'!$Z$27:$AM$86,14,FALSE)</f>
        <v>0</v>
      </c>
      <c r="V1542" s="218">
        <v>2020</v>
      </c>
      <c r="W1542" s="218">
        <f>VLOOKUP(D1542,'Table corresp.'!$M$4:$S$63,7,FALSE)</f>
        <v>0</v>
      </c>
      <c r="X1542" s="240">
        <f>IFERROR(G1542/SUMIFS('Comp2016-2017 (3)'!$I$5:$I$289,'Comp2016-2017 (3)'!$A$5:$A$289,A1542,'Comp2016-2017 (3)'!$R$5:$R$289,V1542),0)</f>
        <v>5.8648894968746555E-2</v>
      </c>
      <c r="Y1542" s="219">
        <f>IFERROR(IF(RIGHT(F1542,3)="Exp",VLOOKUP(F1542,#REF!,2,FALSE),VLOOKUP(F1542,#REF!,9,FALSE)),1)</f>
        <v>1</v>
      </c>
      <c r="Z1542" s="226">
        <f t="shared" si="175"/>
        <v>5.8823529411764705E-2</v>
      </c>
      <c r="AA1542" s="226">
        <f t="shared" si="178"/>
        <v>3.4499349981615621E-3</v>
      </c>
      <c r="AB1542" s="205">
        <f>IFERROR(SUMIFS('Comp2016-2017 (3)'!$G$5:$G$289,'Comp2016-2017 (3)'!$A$5:$A$289,A1542,'Comp2016-2017 (3)'!$R$5:$R$289,V1542)*AA1542/SUMIFS($AA$4:$AA$1858,$A$4:$A$1858,A1542,$V$4:$V$1858,V1542),0)</f>
        <v>2618.7099547382795</v>
      </c>
      <c r="AC1542" s="205">
        <f>IF($W1542=AC$3,$AB1542,IF(NOT($W1542=0),"",SUMIFS('Val-Vol (2)'!AC$4:AC$1858,'Val-Vol (2)'!$A$4:$A$1858,$D1542,'Val-Vol (2)'!$V$4:$V$1858,$V1542)/SUMIFS('Comp2016-2017 (3)'!$G$5:$G$289,'Comp2016-2017 (3)'!$A$5:$A$289,$D1542,'Comp2016-2017 (3)'!$R$5:$R$289,$V1542)*$AB1542))</f>
        <v>0</v>
      </c>
      <c r="AD1542" s="205">
        <f>IF($W1542=AD$3,$AB1542,IF(NOT($W1542=0),"",SUMIFS('Val-Vol (2)'!AD$4:AD$1858,'Val-Vol (2)'!$A$4:$A$1858,$D1542,'Val-Vol (2)'!$V$4:$V$1858,$V1542)/SUMIFS('Comp2016-2017 (3)'!$G$5:$G$289,'Comp2016-2017 (3)'!$A$5:$A$289,$D1542,'Comp2016-2017 (3)'!$R$5:$R$289,$V1542)*$AB1542))</f>
        <v>0</v>
      </c>
      <c r="AE1542" s="205">
        <f>IF($W1542=AE$3,$AB1542,IF(NOT($W1542=0),"",SUMIFS('Val-Vol (2)'!AE$4:AE$1858,'Val-Vol (2)'!$A$4:$A$1858,$D1542,'Val-Vol (2)'!$V$4:$V$1858,$V1542)/SUMIFS('Comp2016-2017 (3)'!$G$5:$G$289,'Comp2016-2017 (3)'!$A$5:$A$289,$D1542,'Comp2016-2017 (3)'!$R$5:$R$289,$V1542)*$AB1542))</f>
        <v>0</v>
      </c>
      <c r="AF1542" s="205">
        <f>IF($W1542=AF$3,$AB1542,IF(NOT($W1542=0),"",SUMIFS('Val-Vol (2)'!AF$4:AF$1858,'Val-Vol (2)'!$A$4:$A$1858,$D1542,'Val-Vol (2)'!$V$4:$V$1858,$V1542)/SUMIFS('Comp2016-2017 (3)'!$G$5:$G$289,'Comp2016-2017 (3)'!$A$5:$A$289,$D1542,'Comp2016-2017 (3)'!$R$5:$R$289,$V1542)*$AB1542))</f>
        <v>0</v>
      </c>
      <c r="AG1542" s="205">
        <f>IF($W1542=AG$3,$AB1542,IF(NOT($W1542=0),"",SUMIFS('Val-Vol (2)'!AG$4:AG$1858,'Val-Vol (2)'!$A$4:$A$1858,$D1542,'Val-Vol (2)'!$V$4:$V$1858,$V1542)/SUMIFS('Comp2016-2017 (3)'!$G$5:$G$289,'Comp2016-2017 (3)'!$A$5:$A$289,$D1542,'Comp2016-2017 (3)'!$R$5:$R$289,$V1542)*$AB1542))</f>
        <v>0</v>
      </c>
      <c r="AH1542" s="205">
        <f>IF($W1542=AH$3,$AB1542,IF(NOT($W1542=0),"",SUMIFS('Val-Vol (2)'!AH$4:AH$1858,'Val-Vol (2)'!$A$4:$A$1858,$D1542,'Val-Vol (2)'!$V$4:$V$1858,$V1542)/SUMIFS('Comp2016-2017 (3)'!$G$5:$G$289,'Comp2016-2017 (3)'!$A$5:$A$289,$D1542,'Comp2016-2017 (3)'!$R$5:$R$289,$V1542)*$AB1542))</f>
        <v>0</v>
      </c>
      <c r="AI1542" s="205">
        <f>IF($W1542=AI$3,$AB1542,IF(NOT($W1542=0),"",SUMIFS('Val-Vol (2)'!AI$4:AI$1858,'Val-Vol (2)'!$A$4:$A$1858,$D1542,'Val-Vol (2)'!$V$4:$V$1858,$V1542)/SUMIFS('Comp2016-2017 (3)'!$G$5:$G$289,'Comp2016-2017 (3)'!$A$5:$A$289,$D1542,'Comp2016-2017 (3)'!$R$5:$R$289,$V1542)*$AB1542))</f>
        <v>0</v>
      </c>
      <c r="AJ1542" s="205">
        <f>IF($W1542=AJ$3,$AB1542,IF(NOT($W1542=0),"",SUMIFS('Val-Vol (2)'!AJ$4:AJ$1858,'Val-Vol (2)'!$A$4:$A$1858,$D1542,'Val-Vol (2)'!$V$4:$V$1858,$V1542)/SUMIFS('Comp2016-2017 (3)'!$G$5:$G$289,'Comp2016-2017 (3)'!$A$5:$A$289,$D1542,'Comp2016-2017 (3)'!$R$5:$R$289,$V1542)*$AB1542))</f>
        <v>0</v>
      </c>
      <c r="AK1542" s="205">
        <f t="shared" si="177"/>
        <v>-2618.7099547382795</v>
      </c>
      <c r="AL1542" s="218" t="str">
        <f t="shared" si="179"/>
        <v/>
      </c>
      <c r="AM1542" s="218" t="str">
        <f>VLOOKUP(A1542,'Table corresp.'!$M$4:$U$63,8,FALSE)</f>
        <v>Production intermédiaire</v>
      </c>
      <c r="AN1542" s="218" t="str">
        <f>VLOOKUP(D1542,'Table corresp.'!$M$4:$U$63,9,FALSE)</f>
        <v>Production intermédiaire</v>
      </c>
    </row>
    <row r="1543" spans="1:40" x14ac:dyDescent="0.25">
      <c r="A1543" t="s">
        <v>3</v>
      </c>
      <c r="B1543" t="str">
        <f>VLOOKUP(LEFT(A1543,3),'Table corresp.'!$A$4:$D$63,3,FALSE)</f>
        <v>Transformation</v>
      </c>
      <c r="C1543" t="str">
        <f>VLOOKUP(A1543,'Table corresp.'!$M$4:$P$63,4,FALSE)</f>
        <v>Production et transformation de produits bois</v>
      </c>
      <c r="D1543" t="s">
        <v>10</v>
      </c>
      <c r="E1543" t="str">
        <f>VLOOKUP(LEFT(D1543,3),'Table corresp.'!$A$4:$D$63,4,FALSE)</f>
        <v>Transformation</v>
      </c>
      <c r="F1543" t="str">
        <f t="shared" si="180"/>
        <v xml:space="preserve">06  - 16 </v>
      </c>
      <c r="G1543" s="238">
        <v>1023.85297630707</v>
      </c>
      <c r="H1543" s="238">
        <v>0</v>
      </c>
      <c r="I1543" s="238">
        <v>1023.85297630707</v>
      </c>
      <c r="J1543" s="238"/>
      <c r="K1543" s="238"/>
      <c r="L1543" s="238"/>
      <c r="M1543" s="238"/>
      <c r="N1543" s="238"/>
      <c r="O1543" s="238"/>
      <c r="P1543" s="238"/>
      <c r="Q1543" s="238"/>
      <c r="R1543" s="238"/>
      <c r="S1543" s="238"/>
      <c r="T1543" s="218">
        <f>VLOOKUP(A1543,'Groupe de branches'!$Z$27:$AM$86,14,FALSE)</f>
        <v>0</v>
      </c>
      <c r="U1543" s="218">
        <f>VLOOKUP(D1543,'Groupe de branches'!$Z$27:$AM$86,14,FALSE)</f>
        <v>0</v>
      </c>
      <c r="V1543" s="218">
        <v>2020</v>
      </c>
      <c r="W1543" s="218" t="str">
        <f>VLOOKUP(D1543,'Table corresp.'!$M$4:$S$63,7,FALSE)</f>
        <v>Emballage bois et carton</v>
      </c>
      <c r="X1543" s="240">
        <f>IFERROR(G1543/SUMIFS('Comp2016-2017 (3)'!$I$5:$I$289,'Comp2016-2017 (3)'!$A$5:$A$289,A1543,'Comp2016-2017 (3)'!$R$5:$R$289,V1543),0)</f>
        <v>4.5764048907891812E-3</v>
      </c>
      <c r="Y1543" s="219">
        <f>IFERROR(IF(RIGHT(F1543,3)="Exp",VLOOKUP(F1543,#REF!,2,FALSE),VLOOKUP(F1543,#REF!,9,FALSE)),1)</f>
        <v>1</v>
      </c>
      <c r="Z1543" s="226">
        <f t="shared" si="175"/>
        <v>5.8823529411764705E-2</v>
      </c>
      <c r="AA1543" s="226">
        <f t="shared" si="178"/>
        <v>2.6920028769348122E-4</v>
      </c>
      <c r="AB1543" s="205">
        <f>IFERROR(SUMIFS('Comp2016-2017 (3)'!$G$5:$G$289,'Comp2016-2017 (3)'!$A$5:$A$289,A1543,'Comp2016-2017 (3)'!$R$5:$R$289,V1543)*AA1543/SUMIFS($AA$4:$AA$1858,$A$4:$A$1858,A1543,$V$4:$V$1858,V1543),0)</f>
        <v>204.33934945933569</v>
      </c>
      <c r="AC1543" s="205" t="str">
        <f>IF($W1543=AC$3,$AB1543,IF(NOT($W1543=0),"",SUMIFS('Val-Vol (2)'!AC$4:AC$1858,'Val-Vol (2)'!$A$4:$A$1858,$D1543,'Val-Vol (2)'!$V$4:$V$1858,$V1543)/SUMIFS('Comp2016-2017 (3)'!$G$5:$G$289,'Comp2016-2017 (3)'!$A$5:$A$289,$D1543,'Comp2016-2017 (3)'!$R$5:$R$289,$V1543)*$AB1543))</f>
        <v/>
      </c>
      <c r="AD1543" s="205" t="str">
        <f>IF($W1543=AD$3,$AB1543,IF(NOT($W1543=0),"",SUMIFS('Val-Vol (2)'!AD$4:AD$1858,'Val-Vol (2)'!$A$4:$A$1858,$D1543,'Val-Vol (2)'!$V$4:$V$1858,$V1543)/SUMIFS('Comp2016-2017 (3)'!$G$5:$G$289,'Comp2016-2017 (3)'!$A$5:$A$289,$D1543,'Comp2016-2017 (3)'!$R$5:$R$289,$V1543)*$AB1543))</f>
        <v/>
      </c>
      <c r="AE1543" s="205" t="str">
        <f>IF($W1543=AE$3,$AB1543,IF(NOT($W1543=0),"",SUMIFS('Val-Vol (2)'!AE$4:AE$1858,'Val-Vol (2)'!$A$4:$A$1858,$D1543,'Val-Vol (2)'!$V$4:$V$1858,$V1543)/SUMIFS('Comp2016-2017 (3)'!$G$5:$G$289,'Comp2016-2017 (3)'!$A$5:$A$289,$D1543,'Comp2016-2017 (3)'!$R$5:$R$289,$V1543)*$AB1543))</f>
        <v/>
      </c>
      <c r="AF1543" s="205" t="str">
        <f>IF($W1543=AF$3,$AB1543,IF(NOT($W1543=0),"",SUMIFS('Val-Vol (2)'!AF$4:AF$1858,'Val-Vol (2)'!$A$4:$A$1858,$D1543,'Val-Vol (2)'!$V$4:$V$1858,$V1543)/SUMIFS('Comp2016-2017 (3)'!$G$5:$G$289,'Comp2016-2017 (3)'!$A$5:$A$289,$D1543,'Comp2016-2017 (3)'!$R$5:$R$289,$V1543)*$AB1543))</f>
        <v/>
      </c>
      <c r="AG1543" s="205">
        <f>IF($W1543=AG$3,$AB1543,IF(NOT($W1543=0),"",SUMIFS('Val-Vol (2)'!AG$4:AG$1858,'Val-Vol (2)'!$A$4:$A$1858,$D1543,'Val-Vol (2)'!$V$4:$V$1858,$V1543)/SUMIFS('Comp2016-2017 (3)'!$G$5:$G$289,'Comp2016-2017 (3)'!$A$5:$A$289,$D1543,'Comp2016-2017 (3)'!$R$5:$R$289,$V1543)*$AB1543))</f>
        <v>204.33934945933569</v>
      </c>
      <c r="AH1543" s="205" t="str">
        <f>IF($W1543=AH$3,$AB1543,IF(NOT($W1543=0),"",SUMIFS('Val-Vol (2)'!AH$4:AH$1858,'Val-Vol (2)'!$A$4:$A$1858,$D1543,'Val-Vol (2)'!$V$4:$V$1858,$V1543)/SUMIFS('Comp2016-2017 (3)'!$G$5:$G$289,'Comp2016-2017 (3)'!$A$5:$A$289,$D1543,'Comp2016-2017 (3)'!$R$5:$R$289,$V1543)*$AB1543))</f>
        <v/>
      </c>
      <c r="AI1543" s="205" t="str">
        <f>IF($W1543=AI$3,$AB1543,IF(NOT($W1543=0),"",SUMIFS('Val-Vol (2)'!AI$4:AI$1858,'Val-Vol (2)'!$A$4:$A$1858,$D1543,'Val-Vol (2)'!$V$4:$V$1858,$V1543)/SUMIFS('Comp2016-2017 (3)'!$G$5:$G$289,'Comp2016-2017 (3)'!$A$5:$A$289,$D1543,'Comp2016-2017 (3)'!$R$5:$R$289,$V1543)*$AB1543))</f>
        <v/>
      </c>
      <c r="AJ1543" s="205" t="str">
        <f>IF($W1543=AJ$3,$AB1543,IF(NOT($W1543=0),"",SUMIFS('Val-Vol (2)'!AJ$4:AJ$1858,'Val-Vol (2)'!$A$4:$A$1858,$D1543,'Val-Vol (2)'!$V$4:$V$1858,$V1543)/SUMIFS('Comp2016-2017 (3)'!$G$5:$G$289,'Comp2016-2017 (3)'!$A$5:$A$289,$D1543,'Comp2016-2017 (3)'!$R$5:$R$289,$V1543)*$AB1543))</f>
        <v/>
      </c>
      <c r="AK1543" s="205">
        <f t="shared" si="177"/>
        <v>0</v>
      </c>
      <c r="AL1543" s="218" t="str">
        <f t="shared" si="179"/>
        <v/>
      </c>
      <c r="AM1543" s="218" t="str">
        <f>VLOOKUP(A1543,'Table corresp.'!$M$4:$U$63,8,FALSE)</f>
        <v>Production intermédiaire</v>
      </c>
      <c r="AN1543" s="218" t="str">
        <f>VLOOKUP(D1543,'Table corresp.'!$M$4:$U$63,9,FALSE)</f>
        <v>Production intermédiaire</v>
      </c>
    </row>
    <row r="1544" spans="1:40" x14ac:dyDescent="0.25">
      <c r="A1544" t="s">
        <v>3</v>
      </c>
      <c r="B1544" t="str">
        <f>VLOOKUP(LEFT(A1544,3),'Table corresp.'!$A$4:$D$63,3,FALSE)</f>
        <v>Transformation</v>
      </c>
      <c r="C1544" t="str">
        <f>VLOOKUP(A1544,'Table corresp.'!$M$4:$P$63,4,FALSE)</f>
        <v>Production et transformation de produits bois</v>
      </c>
      <c r="D1544" t="s">
        <v>84</v>
      </c>
      <c r="E1544" t="str">
        <f>VLOOKUP(LEFT(D1544,3),'Table corresp.'!$A$4:$D$63,4,FALSE)</f>
        <v>Transformation</v>
      </c>
      <c r="F1544" t="str">
        <f t="shared" si="180"/>
        <v xml:space="preserve">06  - 17 </v>
      </c>
      <c r="G1544" s="238">
        <v>1137.03734665053</v>
      </c>
      <c r="H1544" s="238">
        <v>0</v>
      </c>
      <c r="I1544" s="238">
        <v>1137.03734665053</v>
      </c>
      <c r="J1544" s="238"/>
      <c r="K1544" s="238"/>
      <c r="L1544" s="238"/>
      <c r="M1544" s="238"/>
      <c r="N1544" s="238"/>
      <c r="O1544" s="238"/>
      <c r="P1544" s="238"/>
      <c r="Q1544" s="238"/>
      <c r="R1544" s="238"/>
      <c r="S1544" s="238"/>
      <c r="T1544" s="218">
        <f>VLOOKUP(A1544,'Groupe de branches'!$Z$27:$AM$86,14,FALSE)</f>
        <v>0</v>
      </c>
      <c r="U1544" s="218">
        <f>VLOOKUP(D1544,'Groupe de branches'!$Z$27:$AM$86,14,FALSE)</f>
        <v>0</v>
      </c>
      <c r="V1544" s="218">
        <v>2020</v>
      </c>
      <c r="W1544" s="218" t="str">
        <f>VLOOKUP(D1544,'Table corresp.'!$M$4:$S$63,7,FALSE)</f>
        <v>Construction</v>
      </c>
      <c r="X1544" s="240">
        <f>IFERROR(G1544/SUMIFS('Comp2016-2017 (3)'!$I$5:$I$289,'Comp2016-2017 (3)'!$A$5:$A$289,A1544,'Comp2016-2017 (3)'!$R$5:$R$289,V1544),0)</f>
        <v>5.0823149364570604E-3</v>
      </c>
      <c r="Y1544" s="219">
        <f>IFERROR(IF(RIGHT(F1544,3)="Exp",VLOOKUP(F1544,#REF!,2,FALSE),VLOOKUP(F1544,#REF!,9,FALSE)),1)</f>
        <v>1</v>
      </c>
      <c r="Z1544" s="226">
        <f t="shared" si="175"/>
        <v>5.8823529411764705E-2</v>
      </c>
      <c r="AA1544" s="226">
        <f t="shared" si="178"/>
        <v>2.9895970214453295E-4</v>
      </c>
      <c r="AB1544" s="205">
        <f>IFERROR(SUMIFS('Comp2016-2017 (3)'!$G$5:$G$289,'Comp2016-2017 (3)'!$A$5:$A$289,A1544,'Comp2016-2017 (3)'!$R$5:$R$289,V1544)*AA1544/SUMIFS($AA$4:$AA$1858,$A$4:$A$1858,A1544,$V$4:$V$1858,V1544),0)</f>
        <v>226.92855038969532</v>
      </c>
      <c r="AC1544" s="205" t="str">
        <f>IF($W1544=AC$3,$AB1544,IF(NOT($W1544=0),"",SUMIFS('Val-Vol (2)'!AC$4:AC$1858,'Val-Vol (2)'!$A$4:$A$1858,$D1544,'Val-Vol (2)'!$V$4:$V$1858,$V1544)/SUMIFS('Comp2016-2017 (3)'!$G$5:$G$289,'Comp2016-2017 (3)'!$A$5:$A$289,$D1544,'Comp2016-2017 (3)'!$R$5:$R$289,$V1544)*$AB1544))</f>
        <v/>
      </c>
      <c r="AD1544" s="205">
        <f>IF($W1544=AD$3,$AB1544,IF(NOT($W1544=0),"",SUMIFS('Val-Vol (2)'!AD$4:AD$1858,'Val-Vol (2)'!$A$4:$A$1858,$D1544,'Val-Vol (2)'!$V$4:$V$1858,$V1544)/SUMIFS('Comp2016-2017 (3)'!$G$5:$G$289,'Comp2016-2017 (3)'!$A$5:$A$289,$D1544,'Comp2016-2017 (3)'!$R$5:$R$289,$V1544)*$AB1544))</f>
        <v>226.92855038969532</v>
      </c>
      <c r="AE1544" s="205" t="str">
        <f>IF($W1544=AE$3,$AB1544,IF(NOT($W1544=0),"",SUMIFS('Val-Vol (2)'!AE$4:AE$1858,'Val-Vol (2)'!$A$4:$A$1858,$D1544,'Val-Vol (2)'!$V$4:$V$1858,$V1544)/SUMIFS('Comp2016-2017 (3)'!$G$5:$G$289,'Comp2016-2017 (3)'!$A$5:$A$289,$D1544,'Comp2016-2017 (3)'!$R$5:$R$289,$V1544)*$AB1544))</f>
        <v/>
      </c>
      <c r="AF1544" s="205" t="str">
        <f>IF($W1544=AF$3,$AB1544,IF(NOT($W1544=0),"",SUMIFS('Val-Vol (2)'!AF$4:AF$1858,'Val-Vol (2)'!$A$4:$A$1858,$D1544,'Val-Vol (2)'!$V$4:$V$1858,$V1544)/SUMIFS('Comp2016-2017 (3)'!$G$5:$G$289,'Comp2016-2017 (3)'!$A$5:$A$289,$D1544,'Comp2016-2017 (3)'!$R$5:$R$289,$V1544)*$AB1544))</f>
        <v/>
      </c>
      <c r="AG1544" s="205" t="str">
        <f>IF($W1544=AG$3,$AB1544,IF(NOT($W1544=0),"",SUMIFS('Val-Vol (2)'!AG$4:AG$1858,'Val-Vol (2)'!$A$4:$A$1858,$D1544,'Val-Vol (2)'!$V$4:$V$1858,$V1544)/SUMIFS('Comp2016-2017 (3)'!$G$5:$G$289,'Comp2016-2017 (3)'!$A$5:$A$289,$D1544,'Comp2016-2017 (3)'!$R$5:$R$289,$V1544)*$AB1544))</f>
        <v/>
      </c>
      <c r="AH1544" s="205" t="str">
        <f>IF($W1544=AH$3,$AB1544,IF(NOT($W1544=0),"",SUMIFS('Val-Vol (2)'!AH$4:AH$1858,'Val-Vol (2)'!$A$4:$A$1858,$D1544,'Val-Vol (2)'!$V$4:$V$1858,$V1544)/SUMIFS('Comp2016-2017 (3)'!$G$5:$G$289,'Comp2016-2017 (3)'!$A$5:$A$289,$D1544,'Comp2016-2017 (3)'!$R$5:$R$289,$V1544)*$AB1544))</f>
        <v/>
      </c>
      <c r="AI1544" s="205" t="str">
        <f>IF($W1544=AI$3,$AB1544,IF(NOT($W1544=0),"",SUMIFS('Val-Vol (2)'!AI$4:AI$1858,'Val-Vol (2)'!$A$4:$A$1858,$D1544,'Val-Vol (2)'!$V$4:$V$1858,$V1544)/SUMIFS('Comp2016-2017 (3)'!$G$5:$G$289,'Comp2016-2017 (3)'!$A$5:$A$289,$D1544,'Comp2016-2017 (3)'!$R$5:$R$289,$V1544)*$AB1544))</f>
        <v/>
      </c>
      <c r="AJ1544" s="205" t="str">
        <f>IF($W1544=AJ$3,$AB1544,IF(NOT($W1544=0),"",SUMIFS('Val-Vol (2)'!AJ$4:AJ$1858,'Val-Vol (2)'!$A$4:$A$1858,$D1544,'Val-Vol (2)'!$V$4:$V$1858,$V1544)/SUMIFS('Comp2016-2017 (3)'!$G$5:$G$289,'Comp2016-2017 (3)'!$A$5:$A$289,$D1544,'Comp2016-2017 (3)'!$R$5:$R$289,$V1544)*$AB1544))</f>
        <v/>
      </c>
      <c r="AK1544" s="205">
        <f t="shared" si="177"/>
        <v>0</v>
      </c>
      <c r="AL1544" s="218" t="str">
        <f t="shared" si="179"/>
        <v/>
      </c>
      <c r="AM1544" s="218" t="str">
        <f>VLOOKUP(A1544,'Table corresp.'!$M$4:$U$63,8,FALSE)</f>
        <v>Production intermédiaire</v>
      </c>
      <c r="AN1544" s="218" t="str">
        <f>VLOOKUP(D1544,'Table corresp.'!$M$4:$U$63,9,FALSE)</f>
        <v>Production intermédiaire</v>
      </c>
    </row>
    <row r="1545" spans="1:40" x14ac:dyDescent="0.25">
      <c r="A1545" t="s">
        <v>3</v>
      </c>
      <c r="B1545" t="str">
        <f>VLOOKUP(LEFT(A1545,3),'Table corresp.'!$A$4:$D$63,3,FALSE)</f>
        <v>Transformation</v>
      </c>
      <c r="C1545" t="str">
        <f>VLOOKUP(A1545,'Table corresp.'!$M$4:$P$63,4,FALSE)</f>
        <v>Production et transformation de produits bois</v>
      </c>
      <c r="D1545" t="s">
        <v>86</v>
      </c>
      <c r="E1545" t="str">
        <f>VLOOKUP(LEFT(D1545,3),'Table corresp.'!$A$4:$D$63,4,FALSE)</f>
        <v>Transformation</v>
      </c>
      <c r="F1545" t="str">
        <f t="shared" si="180"/>
        <v xml:space="preserve">06  - 30 </v>
      </c>
      <c r="G1545" s="238">
        <v>20413.699929766401</v>
      </c>
      <c r="H1545" s="238">
        <v>0</v>
      </c>
      <c r="I1545" s="238">
        <v>20413.699929766401</v>
      </c>
      <c r="J1545" s="238"/>
      <c r="K1545" s="238"/>
      <c r="L1545" s="238"/>
      <c r="M1545" s="238"/>
      <c r="N1545" s="238"/>
      <c r="O1545" s="238"/>
      <c r="P1545" s="238"/>
      <c r="Q1545" s="238"/>
      <c r="R1545" s="238"/>
      <c r="S1545" s="238"/>
      <c r="T1545" s="218">
        <f>VLOOKUP(A1545,'Groupe de branches'!$Z$27:$AM$86,14,FALSE)</f>
        <v>0</v>
      </c>
      <c r="U1545" s="218">
        <f>VLOOKUP(D1545,'Groupe de branches'!$Z$27:$AM$86,14,FALSE)</f>
        <v>1</v>
      </c>
      <c r="V1545" s="218">
        <v>2020</v>
      </c>
      <c r="W1545" s="218" t="str">
        <f>VLOOKUP(D1545,'Table corresp.'!$M$4:$S$63,7,FALSE)</f>
        <v>Energie</v>
      </c>
      <c r="X1545" s="240">
        <f>IFERROR(G1545/SUMIFS('Comp2016-2017 (3)'!$I$5:$I$289,'Comp2016-2017 (3)'!$A$5:$A$289,A1545,'Comp2016-2017 (3)'!$R$5:$R$289,V1545),0)</f>
        <v>9.1244893905223307E-2</v>
      </c>
      <c r="Y1545" s="219">
        <f>IFERROR(IF(RIGHT(F1545,3)="Exp",VLOOKUP(F1545,#REF!,2,FALSE),VLOOKUP(F1545,#REF!,9,FALSE)),1)</f>
        <v>1</v>
      </c>
      <c r="Z1545" s="226">
        <f t="shared" si="175"/>
        <v>5.8823529411764705E-2</v>
      </c>
      <c r="AA1545" s="226">
        <f t="shared" si="178"/>
        <v>5.3673467003072534E-3</v>
      </c>
      <c r="AB1545" s="205">
        <f>IFERROR(SUMIFS('Comp2016-2017 (3)'!$G$5:$G$289,'Comp2016-2017 (3)'!$A$5:$A$289,A1545,'Comp2016-2017 (3)'!$R$5:$R$289,V1545)*AA1545/SUMIFS($AA$4:$AA$1858,$A$4:$A$1858,A1545,$V$4:$V$1858,V1545),0)</f>
        <v>4074.1417569073965</v>
      </c>
      <c r="AC1545" s="205" t="str">
        <f>IF($W1545=AC$3,$AB1545,IF(NOT($W1545=0),"",SUMIFS('Val-Vol (2)'!AC$4:AC$1858,'Val-Vol (2)'!$A$4:$A$1858,$D1545,'Val-Vol (2)'!$V$4:$V$1858,$V1545)/SUMIFS('Comp2016-2017 (3)'!$G$5:$G$289,'Comp2016-2017 (3)'!$A$5:$A$289,$D1545,'Comp2016-2017 (3)'!$R$5:$R$289,$V1545)*$AB1545))</f>
        <v/>
      </c>
      <c r="AD1545" s="205" t="str">
        <f>IF($W1545=AD$3,$AB1545,IF(NOT($W1545=0),"",SUMIFS('Val-Vol (2)'!AD$4:AD$1858,'Val-Vol (2)'!$A$4:$A$1858,$D1545,'Val-Vol (2)'!$V$4:$V$1858,$V1545)/SUMIFS('Comp2016-2017 (3)'!$G$5:$G$289,'Comp2016-2017 (3)'!$A$5:$A$289,$D1545,'Comp2016-2017 (3)'!$R$5:$R$289,$V1545)*$AB1545))</f>
        <v/>
      </c>
      <c r="AE1545" s="205" t="str">
        <f>IF($W1545=AE$3,$AB1545,IF(NOT($W1545=0),"",SUMIFS('Val-Vol (2)'!AE$4:AE$1858,'Val-Vol (2)'!$A$4:$A$1858,$D1545,'Val-Vol (2)'!$V$4:$V$1858,$V1545)/SUMIFS('Comp2016-2017 (3)'!$G$5:$G$289,'Comp2016-2017 (3)'!$A$5:$A$289,$D1545,'Comp2016-2017 (3)'!$R$5:$R$289,$V1545)*$AB1545))</f>
        <v/>
      </c>
      <c r="AF1545" s="205" t="str">
        <f>IF($W1545=AF$3,$AB1545,IF(NOT($W1545=0),"",SUMIFS('Val-Vol (2)'!AF$4:AF$1858,'Val-Vol (2)'!$A$4:$A$1858,$D1545,'Val-Vol (2)'!$V$4:$V$1858,$V1545)/SUMIFS('Comp2016-2017 (3)'!$G$5:$G$289,'Comp2016-2017 (3)'!$A$5:$A$289,$D1545,'Comp2016-2017 (3)'!$R$5:$R$289,$V1545)*$AB1545))</f>
        <v/>
      </c>
      <c r="AG1545" s="205" t="str">
        <f>IF($W1545=AG$3,$AB1545,IF(NOT($W1545=0),"",SUMIFS('Val-Vol (2)'!AG$4:AG$1858,'Val-Vol (2)'!$A$4:$A$1858,$D1545,'Val-Vol (2)'!$V$4:$V$1858,$V1545)/SUMIFS('Comp2016-2017 (3)'!$G$5:$G$289,'Comp2016-2017 (3)'!$A$5:$A$289,$D1545,'Comp2016-2017 (3)'!$R$5:$R$289,$V1545)*$AB1545))</f>
        <v/>
      </c>
      <c r="AH1545" s="205">
        <f>IF($W1545=AH$3,$AB1545,IF(NOT($W1545=0),"",SUMIFS('Val-Vol (2)'!AH$4:AH$1858,'Val-Vol (2)'!$A$4:$A$1858,$D1545,'Val-Vol (2)'!$V$4:$V$1858,$V1545)/SUMIFS('Comp2016-2017 (3)'!$G$5:$G$289,'Comp2016-2017 (3)'!$A$5:$A$289,$D1545,'Comp2016-2017 (3)'!$R$5:$R$289,$V1545)*$AB1545))</f>
        <v>4074.1417569073965</v>
      </c>
      <c r="AI1545" s="205" t="str">
        <f>IF($W1545=AI$3,$AB1545,IF(NOT($W1545=0),"",SUMIFS('Val-Vol (2)'!AI$4:AI$1858,'Val-Vol (2)'!$A$4:$A$1858,$D1545,'Val-Vol (2)'!$V$4:$V$1858,$V1545)/SUMIFS('Comp2016-2017 (3)'!$G$5:$G$289,'Comp2016-2017 (3)'!$A$5:$A$289,$D1545,'Comp2016-2017 (3)'!$R$5:$R$289,$V1545)*$AB1545))</f>
        <v/>
      </c>
      <c r="AJ1545" s="205" t="str">
        <f>IF($W1545=AJ$3,$AB1545,IF(NOT($W1545=0),"",SUMIFS('Val-Vol (2)'!AJ$4:AJ$1858,'Val-Vol (2)'!$A$4:$A$1858,$D1545,'Val-Vol (2)'!$V$4:$V$1858,$V1545)/SUMIFS('Comp2016-2017 (3)'!$G$5:$G$289,'Comp2016-2017 (3)'!$A$5:$A$289,$D1545,'Comp2016-2017 (3)'!$R$5:$R$289,$V1545)*$AB1545))</f>
        <v/>
      </c>
      <c r="AK1545" s="205">
        <f t="shared" si="177"/>
        <v>0</v>
      </c>
      <c r="AL1545" s="218" t="str">
        <f t="shared" si="179"/>
        <v/>
      </c>
      <c r="AM1545" s="218" t="str">
        <f>VLOOKUP(A1545,'Table corresp.'!$M$4:$U$63,8,FALSE)</f>
        <v>Production intermédiaire</v>
      </c>
      <c r="AN1545" s="218" t="str">
        <f>VLOOKUP(D1545,'Table corresp.'!$M$4:$U$63,9,FALSE)</f>
        <v>Production intermédiaire</v>
      </c>
    </row>
    <row r="1546" spans="1:40" x14ac:dyDescent="0.25">
      <c r="A1546" t="s">
        <v>3</v>
      </c>
      <c r="B1546" t="str">
        <f>VLOOKUP(LEFT(A1546,3),'Table corresp.'!$A$4:$D$63,3,FALSE)</f>
        <v>Transformation</v>
      </c>
      <c r="C1546" t="str">
        <f>VLOOKUP(A1546,'Table corresp.'!$M$4:$P$63,4,FALSE)</f>
        <v>Production et transformation de produits bois</v>
      </c>
      <c r="D1546" t="s">
        <v>87</v>
      </c>
      <c r="E1546" t="str">
        <f>VLOOKUP(LEFT(D1546,3),'Table corresp.'!$A$4:$D$63,4,FALSE)</f>
        <v>Transformation</v>
      </c>
      <c r="F1546" t="str">
        <f t="shared" si="180"/>
        <v xml:space="preserve">06  - 31 </v>
      </c>
      <c r="G1546" s="238">
        <v>12159.637920175301</v>
      </c>
      <c r="H1546" s="238">
        <v>0</v>
      </c>
      <c r="I1546" s="238">
        <v>12159.637920175301</v>
      </c>
      <c r="J1546" s="238"/>
      <c r="K1546" s="238"/>
      <c r="L1546" s="238"/>
      <c r="M1546" s="238"/>
      <c r="N1546" s="238"/>
      <c r="O1546" s="238"/>
      <c r="P1546" s="238"/>
      <c r="Q1546" s="238"/>
      <c r="R1546" s="238"/>
      <c r="S1546" s="238"/>
      <c r="T1546" s="218">
        <f>VLOOKUP(A1546,'Groupe de branches'!$Z$27:$AM$86,14,FALSE)</f>
        <v>0</v>
      </c>
      <c r="U1546" s="218">
        <f>VLOOKUP(D1546,'Groupe de branches'!$Z$27:$AM$86,14,FALSE)</f>
        <v>0</v>
      </c>
      <c r="V1546" s="218">
        <v>2020</v>
      </c>
      <c r="W1546" s="218">
        <f>VLOOKUP(D1546,'Table corresp.'!$M$4:$S$63,7,FALSE)</f>
        <v>0</v>
      </c>
      <c r="X1546" s="240">
        <f>IFERROR(G1546/SUMIFS('Comp2016-2017 (3)'!$I$5:$I$289,'Comp2016-2017 (3)'!$A$5:$A$289,A1546,'Comp2016-2017 (3)'!$R$5:$R$289,V1546),0)</f>
        <v>5.4350993488176638E-2</v>
      </c>
      <c r="Y1546" s="219">
        <f>IFERROR(IF(RIGHT(F1546,3)="Exp",VLOOKUP(F1546,#REF!,2,FALSE),VLOOKUP(F1546,#REF!,9,FALSE)),1)</f>
        <v>1</v>
      </c>
      <c r="Z1546" s="226">
        <f t="shared" si="175"/>
        <v>5.8823529411764705E-2</v>
      </c>
      <c r="AA1546" s="226">
        <f t="shared" si="178"/>
        <v>3.1971172640103906E-3</v>
      </c>
      <c r="AB1546" s="205">
        <f>IFERROR(SUMIFS('Comp2016-2017 (3)'!$G$5:$G$289,'Comp2016-2017 (3)'!$A$5:$A$289,A1546,'Comp2016-2017 (3)'!$R$5:$R$289,V1546)*AA1546/SUMIFS($AA$4:$AA$1858,$A$4:$A$1858,A1546,$V$4:$V$1858,V1546),0)</f>
        <v>2426.805957269095</v>
      </c>
      <c r="AC1546" s="205">
        <f>IF($W1546=AC$3,$AB1546,IF(NOT($W1546=0),"",SUMIFS('Val-Vol (2)'!AC$4:AC$1858,'Val-Vol (2)'!$A$4:$A$1858,$D1546,'Val-Vol (2)'!$V$4:$V$1858,$V1546)/SUMIFS('Comp2016-2017 (3)'!$G$5:$G$289,'Comp2016-2017 (3)'!$A$5:$A$289,$D1546,'Comp2016-2017 (3)'!$R$5:$R$289,$V1546)*$AB1546))</f>
        <v>0</v>
      </c>
      <c r="AD1546" s="205">
        <f>IF($W1546=AD$3,$AB1546,IF(NOT($W1546=0),"",SUMIFS('Val-Vol (2)'!AD$4:AD$1858,'Val-Vol (2)'!$A$4:$A$1858,$D1546,'Val-Vol (2)'!$V$4:$V$1858,$V1546)/SUMIFS('Comp2016-2017 (3)'!$G$5:$G$289,'Comp2016-2017 (3)'!$A$5:$A$289,$D1546,'Comp2016-2017 (3)'!$R$5:$R$289,$V1546)*$AB1546))</f>
        <v>0</v>
      </c>
      <c r="AE1546" s="205">
        <f>IF($W1546=AE$3,$AB1546,IF(NOT($W1546=0),"",SUMIFS('Val-Vol (2)'!AE$4:AE$1858,'Val-Vol (2)'!$A$4:$A$1858,$D1546,'Val-Vol (2)'!$V$4:$V$1858,$V1546)/SUMIFS('Comp2016-2017 (3)'!$G$5:$G$289,'Comp2016-2017 (3)'!$A$5:$A$289,$D1546,'Comp2016-2017 (3)'!$R$5:$R$289,$V1546)*$AB1546))</f>
        <v>0</v>
      </c>
      <c r="AF1546" s="205">
        <f>IF($W1546=AF$3,$AB1546,IF(NOT($W1546=0),"",SUMIFS('Val-Vol (2)'!AF$4:AF$1858,'Val-Vol (2)'!$A$4:$A$1858,$D1546,'Val-Vol (2)'!$V$4:$V$1858,$V1546)/SUMIFS('Comp2016-2017 (3)'!$G$5:$G$289,'Comp2016-2017 (3)'!$A$5:$A$289,$D1546,'Comp2016-2017 (3)'!$R$5:$R$289,$V1546)*$AB1546))</f>
        <v>0</v>
      </c>
      <c r="AG1546" s="205">
        <f>IF($W1546=AG$3,$AB1546,IF(NOT($W1546=0),"",SUMIFS('Val-Vol (2)'!AG$4:AG$1858,'Val-Vol (2)'!$A$4:$A$1858,$D1546,'Val-Vol (2)'!$V$4:$V$1858,$V1546)/SUMIFS('Comp2016-2017 (3)'!$G$5:$G$289,'Comp2016-2017 (3)'!$A$5:$A$289,$D1546,'Comp2016-2017 (3)'!$R$5:$R$289,$V1546)*$AB1546))</f>
        <v>0</v>
      </c>
      <c r="AH1546" s="205">
        <f>IF($W1546=AH$3,$AB1546,IF(NOT($W1546=0),"",SUMIFS('Val-Vol (2)'!AH$4:AH$1858,'Val-Vol (2)'!$A$4:$A$1858,$D1546,'Val-Vol (2)'!$V$4:$V$1858,$V1546)/SUMIFS('Comp2016-2017 (3)'!$G$5:$G$289,'Comp2016-2017 (3)'!$A$5:$A$289,$D1546,'Comp2016-2017 (3)'!$R$5:$R$289,$V1546)*$AB1546))</f>
        <v>0</v>
      </c>
      <c r="AI1546" s="205">
        <f>IF($W1546=AI$3,$AB1546,IF(NOT($W1546=0),"",SUMIFS('Val-Vol (2)'!AI$4:AI$1858,'Val-Vol (2)'!$A$4:$A$1858,$D1546,'Val-Vol (2)'!$V$4:$V$1858,$V1546)/SUMIFS('Comp2016-2017 (3)'!$G$5:$G$289,'Comp2016-2017 (3)'!$A$5:$A$289,$D1546,'Comp2016-2017 (3)'!$R$5:$R$289,$V1546)*$AB1546))</f>
        <v>0</v>
      </c>
      <c r="AJ1546" s="205">
        <f>IF($W1546=AJ$3,$AB1546,IF(NOT($W1546=0),"",SUMIFS('Val-Vol (2)'!AJ$4:AJ$1858,'Val-Vol (2)'!$A$4:$A$1858,$D1546,'Val-Vol (2)'!$V$4:$V$1858,$V1546)/SUMIFS('Comp2016-2017 (3)'!$G$5:$G$289,'Comp2016-2017 (3)'!$A$5:$A$289,$D1546,'Comp2016-2017 (3)'!$R$5:$R$289,$V1546)*$AB1546))</f>
        <v>0</v>
      </c>
      <c r="AK1546" s="205">
        <f t="shared" si="177"/>
        <v>-2426.805957269095</v>
      </c>
      <c r="AL1546" s="218" t="str">
        <f t="shared" si="179"/>
        <v/>
      </c>
      <c r="AM1546" s="218" t="str">
        <f>VLOOKUP(A1546,'Table corresp.'!$M$4:$U$63,8,FALSE)</f>
        <v>Production intermédiaire</v>
      </c>
      <c r="AN1546" s="218" t="str">
        <f>VLOOKUP(D1546,'Table corresp.'!$M$4:$U$63,9,FALSE)</f>
        <v>Production intermédiaire</v>
      </c>
    </row>
    <row r="1547" spans="1:40" x14ac:dyDescent="0.25">
      <c r="A1547" t="s">
        <v>3</v>
      </c>
      <c r="B1547" t="str">
        <f>VLOOKUP(LEFT(A1547,3),'Table corresp.'!$A$4:$D$63,3,FALSE)</f>
        <v>Transformation</v>
      </c>
      <c r="C1547" t="str">
        <f>VLOOKUP(A1547,'Table corresp.'!$M$4:$P$63,4,FALSE)</f>
        <v>Production et transformation de produits bois</v>
      </c>
      <c r="D1547" t="s">
        <v>91</v>
      </c>
      <c r="E1547" t="str">
        <f>VLOOKUP(LEFT(D1547,3),'Table corresp.'!$A$4:$D$63,4,FALSE)</f>
        <v>Transformation</v>
      </c>
      <c r="F1547" t="str">
        <f t="shared" si="180"/>
        <v xml:space="preserve">06  - 37 </v>
      </c>
      <c r="G1547" s="238">
        <v>3126.1902476574601</v>
      </c>
      <c r="H1547" s="238">
        <v>0</v>
      </c>
      <c r="I1547" s="238">
        <v>3126.1902476574601</v>
      </c>
      <c r="J1547" s="238"/>
      <c r="K1547" s="238"/>
      <c r="L1547" s="238"/>
      <c r="M1547" s="238"/>
      <c r="N1547" s="238"/>
      <c r="O1547" s="238"/>
      <c r="P1547" s="238"/>
      <c r="Q1547" s="238"/>
      <c r="R1547" s="238"/>
      <c r="S1547" s="238"/>
      <c r="T1547" s="218">
        <f>VLOOKUP(A1547,'Groupe de branches'!$Z$27:$AM$86,14,FALSE)</f>
        <v>0</v>
      </c>
      <c r="U1547" s="218">
        <f>VLOOKUP(D1547,'Groupe de branches'!$Z$27:$AM$86,14,FALSE)</f>
        <v>0</v>
      </c>
      <c r="V1547" s="218">
        <v>2020</v>
      </c>
      <c r="W1547" s="218" t="str">
        <f>VLOOKUP(D1547,'Table corresp.'!$M$4:$S$63,7,FALSE)</f>
        <v>Emballage bois et carton</v>
      </c>
      <c r="X1547" s="240">
        <f>IFERROR(G1547/SUMIFS('Comp2016-2017 (3)'!$I$5:$I$289,'Comp2016-2017 (3)'!$A$5:$A$289,A1547,'Comp2016-2017 (3)'!$R$5:$R$289,V1547),0)</f>
        <v>1.3973405039578874E-2</v>
      </c>
      <c r="Y1547" s="219">
        <f>IFERROR(IF(RIGHT(F1547,3)="Exp",VLOOKUP(F1547,#REF!,2,FALSE),VLOOKUP(F1547,#REF!,9,FALSE)),1)</f>
        <v>1</v>
      </c>
      <c r="Z1547" s="226">
        <f t="shared" si="175"/>
        <v>5.8823529411764705E-2</v>
      </c>
      <c r="AA1547" s="226">
        <f t="shared" si="178"/>
        <v>8.2196500232816904E-4</v>
      </c>
      <c r="AB1547" s="205">
        <f>IFERROR(SUMIFS('Comp2016-2017 (3)'!$G$5:$G$289,'Comp2016-2017 (3)'!$A$5:$A$289,A1547,'Comp2016-2017 (3)'!$R$5:$R$289,V1547)*AA1547/SUMIFS($AA$4:$AA$1858,$A$4:$A$1858,A1547,$V$4:$V$1858,V1547),0)</f>
        <v>623.92130147098135</v>
      </c>
      <c r="AC1547" s="205" t="str">
        <f>IF($W1547=AC$3,$AB1547,IF(NOT($W1547=0),"",SUMIFS('Val-Vol (2)'!AC$4:AC$1858,'Val-Vol (2)'!$A$4:$A$1858,$D1547,'Val-Vol (2)'!$V$4:$V$1858,$V1547)/SUMIFS('Comp2016-2017 (3)'!$G$5:$G$289,'Comp2016-2017 (3)'!$A$5:$A$289,$D1547,'Comp2016-2017 (3)'!$R$5:$R$289,$V1547)*$AB1547))</f>
        <v/>
      </c>
      <c r="AD1547" s="205" t="str">
        <f>IF($W1547=AD$3,$AB1547,IF(NOT($W1547=0),"",SUMIFS('Val-Vol (2)'!AD$4:AD$1858,'Val-Vol (2)'!$A$4:$A$1858,$D1547,'Val-Vol (2)'!$V$4:$V$1858,$V1547)/SUMIFS('Comp2016-2017 (3)'!$G$5:$G$289,'Comp2016-2017 (3)'!$A$5:$A$289,$D1547,'Comp2016-2017 (3)'!$R$5:$R$289,$V1547)*$AB1547))</f>
        <v/>
      </c>
      <c r="AE1547" s="205" t="str">
        <f>IF($W1547=AE$3,$AB1547,IF(NOT($W1547=0),"",SUMIFS('Val-Vol (2)'!AE$4:AE$1858,'Val-Vol (2)'!$A$4:$A$1858,$D1547,'Val-Vol (2)'!$V$4:$V$1858,$V1547)/SUMIFS('Comp2016-2017 (3)'!$G$5:$G$289,'Comp2016-2017 (3)'!$A$5:$A$289,$D1547,'Comp2016-2017 (3)'!$R$5:$R$289,$V1547)*$AB1547))</f>
        <v/>
      </c>
      <c r="AF1547" s="205" t="str">
        <f>IF($W1547=AF$3,$AB1547,IF(NOT($W1547=0),"",SUMIFS('Val-Vol (2)'!AF$4:AF$1858,'Val-Vol (2)'!$A$4:$A$1858,$D1547,'Val-Vol (2)'!$V$4:$V$1858,$V1547)/SUMIFS('Comp2016-2017 (3)'!$G$5:$G$289,'Comp2016-2017 (3)'!$A$5:$A$289,$D1547,'Comp2016-2017 (3)'!$R$5:$R$289,$V1547)*$AB1547))</f>
        <v/>
      </c>
      <c r="AG1547" s="205">
        <f>IF($W1547=AG$3,$AB1547,IF(NOT($W1547=0),"",SUMIFS('Val-Vol (2)'!AG$4:AG$1858,'Val-Vol (2)'!$A$4:$A$1858,$D1547,'Val-Vol (2)'!$V$4:$V$1858,$V1547)/SUMIFS('Comp2016-2017 (3)'!$G$5:$G$289,'Comp2016-2017 (3)'!$A$5:$A$289,$D1547,'Comp2016-2017 (3)'!$R$5:$R$289,$V1547)*$AB1547))</f>
        <v>623.92130147098135</v>
      </c>
      <c r="AH1547" s="205" t="str">
        <f>IF($W1547=AH$3,$AB1547,IF(NOT($W1547=0),"",SUMIFS('Val-Vol (2)'!AH$4:AH$1858,'Val-Vol (2)'!$A$4:$A$1858,$D1547,'Val-Vol (2)'!$V$4:$V$1858,$V1547)/SUMIFS('Comp2016-2017 (3)'!$G$5:$G$289,'Comp2016-2017 (3)'!$A$5:$A$289,$D1547,'Comp2016-2017 (3)'!$R$5:$R$289,$V1547)*$AB1547))</f>
        <v/>
      </c>
      <c r="AI1547" s="205" t="str">
        <f>IF($W1547=AI$3,$AB1547,IF(NOT($W1547=0),"",SUMIFS('Val-Vol (2)'!AI$4:AI$1858,'Val-Vol (2)'!$A$4:$A$1858,$D1547,'Val-Vol (2)'!$V$4:$V$1858,$V1547)/SUMIFS('Comp2016-2017 (3)'!$G$5:$G$289,'Comp2016-2017 (3)'!$A$5:$A$289,$D1547,'Comp2016-2017 (3)'!$R$5:$R$289,$V1547)*$AB1547))</f>
        <v/>
      </c>
      <c r="AJ1547" s="205" t="str">
        <f>IF($W1547=AJ$3,$AB1547,IF(NOT($W1547=0),"",SUMIFS('Val-Vol (2)'!AJ$4:AJ$1858,'Val-Vol (2)'!$A$4:$A$1858,$D1547,'Val-Vol (2)'!$V$4:$V$1858,$V1547)/SUMIFS('Comp2016-2017 (3)'!$G$5:$G$289,'Comp2016-2017 (3)'!$A$5:$A$289,$D1547,'Comp2016-2017 (3)'!$R$5:$R$289,$V1547)*$AB1547))</f>
        <v/>
      </c>
      <c r="AK1547" s="205">
        <f t="shared" si="177"/>
        <v>0</v>
      </c>
      <c r="AL1547" s="218" t="str">
        <f t="shared" si="179"/>
        <v/>
      </c>
      <c r="AM1547" s="218" t="str">
        <f>VLOOKUP(A1547,'Table corresp.'!$M$4:$U$63,8,FALSE)</f>
        <v>Production intermédiaire</v>
      </c>
      <c r="AN1547" s="218" t="str">
        <f>VLOOKUP(D1547,'Table corresp.'!$M$4:$U$63,9,FALSE)</f>
        <v>Production finale</v>
      </c>
    </row>
    <row r="1548" spans="1:40" x14ac:dyDescent="0.25">
      <c r="A1548" t="s">
        <v>3</v>
      </c>
      <c r="B1548" t="str">
        <f>VLOOKUP(LEFT(A1548,3),'Table corresp.'!$A$4:$D$63,3,FALSE)</f>
        <v>Transformation</v>
      </c>
      <c r="C1548" t="str">
        <f>VLOOKUP(A1548,'Table corresp.'!$M$4:$P$63,4,FALSE)</f>
        <v>Production et transformation de produits bois</v>
      </c>
      <c r="D1548" t="s">
        <v>95</v>
      </c>
      <c r="E1548" t="str">
        <f>VLOOKUP(LEFT(D1548,3),'Table corresp.'!$A$4:$D$63,4,FALSE)</f>
        <v>Transformation</v>
      </c>
      <c r="F1548" t="str">
        <f t="shared" si="180"/>
        <v xml:space="preserve">06  - 43 </v>
      </c>
      <c r="G1548" s="238">
        <v>13147.9708624505</v>
      </c>
      <c r="H1548" s="238">
        <v>0</v>
      </c>
      <c r="I1548" s="238">
        <v>13147.9708624505</v>
      </c>
      <c r="J1548" s="238"/>
      <c r="K1548" s="238"/>
      <c r="L1548" s="238"/>
      <c r="M1548" s="238"/>
      <c r="N1548" s="238"/>
      <c r="O1548" s="238"/>
      <c r="P1548" s="238"/>
      <c r="Q1548" s="238"/>
      <c r="R1548" s="238"/>
      <c r="S1548" s="238"/>
      <c r="T1548" s="218">
        <f>VLOOKUP(A1548,'Groupe de branches'!$Z$27:$AM$86,14,FALSE)</f>
        <v>0</v>
      </c>
      <c r="U1548" s="218">
        <f>VLOOKUP(D1548,'Groupe de branches'!$Z$27:$AM$86,14,FALSE)</f>
        <v>0</v>
      </c>
      <c r="V1548" s="218">
        <v>2020</v>
      </c>
      <c r="W1548" s="218" t="str">
        <f>VLOOKUP(D1548,'Table corresp.'!$M$4:$S$63,7,FALSE)</f>
        <v>Pate &amp; papier &amp; carton</v>
      </c>
      <c r="X1548" s="240">
        <f>IFERROR(G1548/SUMIFS('Comp2016-2017 (3)'!$I$5:$I$289,'Comp2016-2017 (3)'!$A$5:$A$289,A1548,'Comp2016-2017 (3)'!$R$5:$R$289,V1548),0)</f>
        <v>5.8768631386803757E-2</v>
      </c>
      <c r="Y1548" s="219">
        <f>IFERROR(IF(RIGHT(F1548,3)="Exp",VLOOKUP(F1548,#REF!,2,FALSE),VLOOKUP(F1548,#REF!,9,FALSE)),1)</f>
        <v>1</v>
      </c>
      <c r="Z1548" s="226">
        <f t="shared" si="175"/>
        <v>5.8823529411764705E-2</v>
      </c>
      <c r="AA1548" s="226">
        <f t="shared" si="178"/>
        <v>3.4569783168708094E-3</v>
      </c>
      <c r="AB1548" s="205">
        <f>IFERROR(SUMIFS('Comp2016-2017 (3)'!$G$5:$G$289,'Comp2016-2017 (3)'!$A$5:$A$289,A1548,'Comp2016-2017 (3)'!$R$5:$R$289,V1548)*AA1548/SUMIFS($AA$4:$AA$1858,$A$4:$A$1858,A1548,$V$4:$V$1858,V1548),0)</f>
        <v>2624.0562609232161</v>
      </c>
      <c r="AC1548" s="205" t="str">
        <f>IF($W1548=AC$3,$AB1548,IF(NOT($W1548=0),"",SUMIFS('Val-Vol (2)'!AC$4:AC$1858,'Val-Vol (2)'!$A$4:$A$1858,$D1548,'Val-Vol (2)'!$V$4:$V$1858,$V1548)/SUMIFS('Comp2016-2017 (3)'!$G$5:$G$289,'Comp2016-2017 (3)'!$A$5:$A$289,$D1548,'Comp2016-2017 (3)'!$R$5:$R$289,$V1548)*$AB1548))</f>
        <v/>
      </c>
      <c r="AD1548" s="205" t="str">
        <f>IF($W1548=AD$3,$AB1548,IF(NOT($W1548=0),"",SUMIFS('Val-Vol (2)'!AD$4:AD$1858,'Val-Vol (2)'!$A$4:$A$1858,$D1548,'Val-Vol (2)'!$V$4:$V$1858,$V1548)/SUMIFS('Comp2016-2017 (3)'!$G$5:$G$289,'Comp2016-2017 (3)'!$A$5:$A$289,$D1548,'Comp2016-2017 (3)'!$R$5:$R$289,$V1548)*$AB1548))</f>
        <v/>
      </c>
      <c r="AE1548" s="205" t="str">
        <f>IF($W1548=AE$3,$AB1548,IF(NOT($W1548=0),"",SUMIFS('Val-Vol (2)'!AE$4:AE$1858,'Val-Vol (2)'!$A$4:$A$1858,$D1548,'Val-Vol (2)'!$V$4:$V$1858,$V1548)/SUMIFS('Comp2016-2017 (3)'!$G$5:$G$289,'Comp2016-2017 (3)'!$A$5:$A$289,$D1548,'Comp2016-2017 (3)'!$R$5:$R$289,$V1548)*$AB1548))</f>
        <v/>
      </c>
      <c r="AF1548" s="205">
        <f>IF($W1548=AF$3,$AB1548,IF(NOT($W1548=0),"",SUMIFS('Val-Vol (2)'!AF$4:AF$1858,'Val-Vol (2)'!$A$4:$A$1858,$D1548,'Val-Vol (2)'!$V$4:$V$1858,$V1548)/SUMIFS('Comp2016-2017 (3)'!$G$5:$G$289,'Comp2016-2017 (3)'!$A$5:$A$289,$D1548,'Comp2016-2017 (3)'!$R$5:$R$289,$V1548)*$AB1548))</f>
        <v>2624.0562609232161</v>
      </c>
      <c r="AG1548" s="205" t="str">
        <f>IF($W1548=AG$3,$AB1548,IF(NOT($W1548=0),"",SUMIFS('Val-Vol (2)'!AG$4:AG$1858,'Val-Vol (2)'!$A$4:$A$1858,$D1548,'Val-Vol (2)'!$V$4:$V$1858,$V1548)/SUMIFS('Comp2016-2017 (3)'!$G$5:$G$289,'Comp2016-2017 (3)'!$A$5:$A$289,$D1548,'Comp2016-2017 (3)'!$R$5:$R$289,$V1548)*$AB1548))</f>
        <v/>
      </c>
      <c r="AH1548" s="205" t="str">
        <f>IF($W1548=AH$3,$AB1548,IF(NOT($W1548=0),"",SUMIFS('Val-Vol (2)'!AH$4:AH$1858,'Val-Vol (2)'!$A$4:$A$1858,$D1548,'Val-Vol (2)'!$V$4:$V$1858,$V1548)/SUMIFS('Comp2016-2017 (3)'!$G$5:$G$289,'Comp2016-2017 (3)'!$A$5:$A$289,$D1548,'Comp2016-2017 (3)'!$R$5:$R$289,$V1548)*$AB1548))</f>
        <v/>
      </c>
      <c r="AI1548" s="205" t="str">
        <f>IF($W1548=AI$3,$AB1548,IF(NOT($W1548=0),"",SUMIFS('Val-Vol (2)'!AI$4:AI$1858,'Val-Vol (2)'!$A$4:$A$1858,$D1548,'Val-Vol (2)'!$V$4:$V$1858,$V1548)/SUMIFS('Comp2016-2017 (3)'!$G$5:$G$289,'Comp2016-2017 (3)'!$A$5:$A$289,$D1548,'Comp2016-2017 (3)'!$R$5:$R$289,$V1548)*$AB1548))</f>
        <v/>
      </c>
      <c r="AJ1548" s="205" t="str">
        <f>IF($W1548=AJ$3,$AB1548,IF(NOT($W1548=0),"",SUMIFS('Val-Vol (2)'!AJ$4:AJ$1858,'Val-Vol (2)'!$A$4:$A$1858,$D1548,'Val-Vol (2)'!$V$4:$V$1858,$V1548)/SUMIFS('Comp2016-2017 (3)'!$G$5:$G$289,'Comp2016-2017 (3)'!$A$5:$A$289,$D1548,'Comp2016-2017 (3)'!$R$5:$R$289,$V1548)*$AB1548))</f>
        <v/>
      </c>
      <c r="AK1548" s="205">
        <f t="shared" si="177"/>
        <v>0</v>
      </c>
      <c r="AL1548" s="218" t="str">
        <f t="shared" si="179"/>
        <v/>
      </c>
      <c r="AM1548" s="218" t="str">
        <f>VLOOKUP(A1548,'Table corresp.'!$M$4:$U$63,8,FALSE)</f>
        <v>Production intermédiaire</v>
      </c>
      <c r="AN1548" s="218" t="str">
        <f>VLOOKUP(D1548,'Table corresp.'!$M$4:$U$63,9,FALSE)</f>
        <v>Production intermédiaire</v>
      </c>
    </row>
    <row r="1549" spans="1:40" x14ac:dyDescent="0.25">
      <c r="A1549" t="s">
        <v>3</v>
      </c>
      <c r="B1549" t="str">
        <f>VLOOKUP(LEFT(A1549,3),'Table corresp.'!$A$4:$D$63,3,FALSE)</f>
        <v>Transformation</v>
      </c>
      <c r="C1549" t="str">
        <f>VLOOKUP(A1549,'Table corresp.'!$M$4:$P$63,4,FALSE)</f>
        <v>Production et transformation de produits bois</v>
      </c>
      <c r="D1549" t="s">
        <v>98</v>
      </c>
      <c r="E1549" t="str">
        <f>VLOOKUP(LEFT(D1549,3),'Table corresp.'!$A$4:$D$63,4,FALSE)</f>
        <v>Transformation</v>
      </c>
      <c r="F1549" t="str">
        <f t="shared" si="180"/>
        <v xml:space="preserve">06  - 46 </v>
      </c>
      <c r="G1549" s="238">
        <v>2847.2874798906</v>
      </c>
      <c r="H1549" s="238">
        <v>0</v>
      </c>
      <c r="I1549" s="238">
        <v>2847.2874798906</v>
      </c>
      <c r="J1549" s="238"/>
      <c r="K1549" s="238"/>
      <c r="L1549" s="238"/>
      <c r="M1549" s="238"/>
      <c r="N1549" s="238"/>
      <c r="O1549" s="238"/>
      <c r="P1549" s="238"/>
      <c r="Q1549" s="238"/>
      <c r="R1549" s="238"/>
      <c r="S1549" s="238"/>
      <c r="T1549" s="218">
        <f>VLOOKUP(A1549,'Groupe de branches'!$Z$27:$AM$86,14,FALSE)</f>
        <v>0</v>
      </c>
      <c r="U1549" s="218">
        <f>VLOOKUP(D1549,'Groupe de branches'!$Z$27:$AM$86,14,FALSE)</f>
        <v>0</v>
      </c>
      <c r="V1549" s="218">
        <v>2020</v>
      </c>
      <c r="W1549" s="218" t="str">
        <f>VLOOKUP(D1549,'Table corresp.'!$M$4:$S$63,7,FALSE)</f>
        <v>Produits de consommation courante</v>
      </c>
      <c r="X1549" s="240">
        <f>IFERROR(G1549/SUMIFS('Comp2016-2017 (3)'!$I$5:$I$289,'Comp2016-2017 (3)'!$A$5:$A$289,A1549,'Comp2016-2017 (3)'!$R$5:$R$289,V1549),0)</f>
        <v>1.2726769028355234E-2</v>
      </c>
      <c r="Y1549" s="219">
        <f>IFERROR(IF(RIGHT(F1549,3)="Exp",VLOOKUP(F1549,#REF!,2,FALSE),VLOOKUP(F1549,#REF!,9,FALSE)),1)</f>
        <v>1</v>
      </c>
      <c r="Z1549" s="226">
        <f t="shared" si="175"/>
        <v>5.8823529411764705E-2</v>
      </c>
      <c r="AA1549" s="226">
        <f t="shared" si="178"/>
        <v>7.4863347225619017E-4</v>
      </c>
      <c r="AB1549" s="205">
        <f>IFERROR(SUMIFS('Comp2016-2017 (3)'!$G$5:$G$289,'Comp2016-2017 (3)'!$A$5:$A$289,A1549,'Comp2016-2017 (3)'!$R$5:$R$289,V1549)*AA1549/SUMIFS($AA$4:$AA$1858,$A$4:$A$1858,A1549,$V$4:$V$1858,V1549),0)</f>
        <v>568.25822147149916</v>
      </c>
      <c r="AC1549" s="205" t="str">
        <f>IF($W1549=AC$3,$AB1549,IF(NOT($W1549=0),"",SUMIFS('Val-Vol (2)'!AC$4:AC$1858,'Val-Vol (2)'!$A$4:$A$1858,$D1549,'Val-Vol (2)'!$V$4:$V$1858,$V1549)/SUMIFS('Comp2016-2017 (3)'!$G$5:$G$289,'Comp2016-2017 (3)'!$A$5:$A$289,$D1549,'Comp2016-2017 (3)'!$R$5:$R$289,$V1549)*$AB1549))</f>
        <v/>
      </c>
      <c r="AD1549" s="205" t="str">
        <f>IF($W1549=AD$3,$AB1549,IF(NOT($W1549=0),"",SUMIFS('Val-Vol (2)'!AD$4:AD$1858,'Val-Vol (2)'!$A$4:$A$1858,$D1549,'Val-Vol (2)'!$V$4:$V$1858,$V1549)/SUMIFS('Comp2016-2017 (3)'!$G$5:$G$289,'Comp2016-2017 (3)'!$A$5:$A$289,$D1549,'Comp2016-2017 (3)'!$R$5:$R$289,$V1549)*$AB1549))</f>
        <v/>
      </c>
      <c r="AE1549" s="205" t="str">
        <f>IF($W1549=AE$3,$AB1549,IF(NOT($W1549=0),"",SUMIFS('Val-Vol (2)'!AE$4:AE$1858,'Val-Vol (2)'!$A$4:$A$1858,$D1549,'Val-Vol (2)'!$V$4:$V$1858,$V1549)/SUMIFS('Comp2016-2017 (3)'!$G$5:$G$289,'Comp2016-2017 (3)'!$A$5:$A$289,$D1549,'Comp2016-2017 (3)'!$R$5:$R$289,$V1549)*$AB1549))</f>
        <v/>
      </c>
      <c r="AF1549" s="205" t="str">
        <f>IF($W1549=AF$3,$AB1549,IF(NOT($W1549=0),"",SUMIFS('Val-Vol (2)'!AF$4:AF$1858,'Val-Vol (2)'!$A$4:$A$1858,$D1549,'Val-Vol (2)'!$V$4:$V$1858,$V1549)/SUMIFS('Comp2016-2017 (3)'!$G$5:$G$289,'Comp2016-2017 (3)'!$A$5:$A$289,$D1549,'Comp2016-2017 (3)'!$R$5:$R$289,$V1549)*$AB1549))</f>
        <v/>
      </c>
      <c r="AG1549" s="205" t="str">
        <f>IF($W1549=AG$3,$AB1549,IF(NOT($W1549=0),"",SUMIFS('Val-Vol (2)'!AG$4:AG$1858,'Val-Vol (2)'!$A$4:$A$1858,$D1549,'Val-Vol (2)'!$V$4:$V$1858,$V1549)/SUMIFS('Comp2016-2017 (3)'!$G$5:$G$289,'Comp2016-2017 (3)'!$A$5:$A$289,$D1549,'Comp2016-2017 (3)'!$R$5:$R$289,$V1549)*$AB1549))</f>
        <v/>
      </c>
      <c r="AH1549" s="205" t="str">
        <f>IF($W1549=AH$3,$AB1549,IF(NOT($W1549=0),"",SUMIFS('Val-Vol (2)'!AH$4:AH$1858,'Val-Vol (2)'!$A$4:$A$1858,$D1549,'Val-Vol (2)'!$V$4:$V$1858,$V1549)/SUMIFS('Comp2016-2017 (3)'!$G$5:$G$289,'Comp2016-2017 (3)'!$A$5:$A$289,$D1549,'Comp2016-2017 (3)'!$R$5:$R$289,$V1549)*$AB1549))</f>
        <v/>
      </c>
      <c r="AI1549" s="205">
        <f>IF($W1549=AI$3,$AB1549,IF(NOT($W1549=0),"",SUMIFS('Val-Vol (2)'!AI$4:AI$1858,'Val-Vol (2)'!$A$4:$A$1858,$D1549,'Val-Vol (2)'!$V$4:$V$1858,$V1549)/SUMIFS('Comp2016-2017 (3)'!$G$5:$G$289,'Comp2016-2017 (3)'!$A$5:$A$289,$D1549,'Comp2016-2017 (3)'!$R$5:$R$289,$V1549)*$AB1549))</f>
        <v>568.25822147149916</v>
      </c>
      <c r="AJ1549" s="205" t="str">
        <f>IF($W1549=AJ$3,$AB1549,IF(NOT($W1549=0),"",SUMIFS('Val-Vol (2)'!AJ$4:AJ$1858,'Val-Vol (2)'!$A$4:$A$1858,$D1549,'Val-Vol (2)'!$V$4:$V$1858,$V1549)/SUMIFS('Comp2016-2017 (3)'!$G$5:$G$289,'Comp2016-2017 (3)'!$A$5:$A$289,$D1549,'Comp2016-2017 (3)'!$R$5:$R$289,$V1549)*$AB1549))</f>
        <v/>
      </c>
      <c r="AK1549" s="205">
        <f t="shared" si="177"/>
        <v>0</v>
      </c>
      <c r="AL1549" s="218" t="str">
        <f t="shared" si="179"/>
        <v/>
      </c>
      <c r="AM1549" s="218" t="str">
        <f>VLOOKUP(A1549,'Table corresp.'!$M$4:$U$63,8,FALSE)</f>
        <v>Production intermédiaire</v>
      </c>
      <c r="AN1549" s="218" t="str">
        <f>VLOOKUP(D1549,'Table corresp.'!$M$4:$U$63,9,FALSE)</f>
        <v>Production intermédiaire</v>
      </c>
    </row>
    <row r="1550" spans="1:40" x14ac:dyDescent="0.25">
      <c r="A1550" t="s">
        <v>3</v>
      </c>
      <c r="B1550" t="str">
        <f>VLOOKUP(LEFT(A1550,3),'Table corresp.'!$A$4:$D$63,3,FALSE)</f>
        <v>Transformation</v>
      </c>
      <c r="C1550" t="str">
        <f>VLOOKUP(A1550,'Table corresp.'!$M$4:$P$63,4,FALSE)</f>
        <v>Production et transformation de produits bois</v>
      </c>
      <c r="D1550" t="s">
        <v>53</v>
      </c>
      <c r="E1550" t="str">
        <f>VLOOKUP(LEFT(D1550,3),'Table corresp.'!$A$4:$D$63,4,FALSE)</f>
        <v>Exportation</v>
      </c>
      <c r="F1550" t="str">
        <f t="shared" si="180"/>
        <v>06  - Exp</v>
      </c>
      <c r="G1550" s="238">
        <v>14492.589243586101</v>
      </c>
      <c r="H1550" s="238">
        <v>0</v>
      </c>
      <c r="I1550" s="238">
        <v>14492.589243586101</v>
      </c>
      <c r="J1550" s="238"/>
      <c r="K1550" s="238"/>
      <c r="L1550" s="238"/>
      <c r="M1550" s="238"/>
      <c r="N1550" s="238"/>
      <c r="O1550" s="238"/>
      <c r="P1550" s="238"/>
      <c r="Q1550" s="238"/>
      <c r="R1550" s="238"/>
      <c r="S1550" s="238"/>
      <c r="T1550" s="218">
        <f>VLOOKUP(A1550,'Groupe de branches'!$Z$27:$AM$86,14,FALSE)</f>
        <v>0</v>
      </c>
      <c r="U1550" s="218">
        <f>VLOOKUP(D1550,'Groupe de branches'!$Z$27:$AM$86,14,FALSE)</f>
        <v>0</v>
      </c>
      <c r="V1550" s="218">
        <v>2020</v>
      </c>
      <c r="W1550" s="218" t="str">
        <f>VLOOKUP(D1550,'Table corresp.'!$M$4:$S$63,7,FALSE)</f>
        <v>Exportation</v>
      </c>
      <c r="X1550" s="240">
        <f>IFERROR(G1550/SUMIFS('Comp2016-2017 (3)'!$I$5:$I$289,'Comp2016-2017 (3)'!$A$5:$A$289,A1550,'Comp2016-2017 (3)'!$R$5:$R$289,V1550),0)</f>
        <v>6.4778789366584294E-2</v>
      </c>
      <c r="Y1550" s="219">
        <f>IFERROR(IF(RIGHT(F1550,3)="Exp",VLOOKUP(F1550,#REF!,2,FALSE),VLOOKUP(F1550,#REF!,9,FALSE)),1)</f>
        <v>1</v>
      </c>
      <c r="Z1550" s="226">
        <f t="shared" si="175"/>
        <v>5.8823529411764705E-2</v>
      </c>
      <c r="AA1550" s="226">
        <f t="shared" si="178"/>
        <v>3.8105170215637818E-3</v>
      </c>
      <c r="AB1550" s="205">
        <f>IFERROR(SUMIFS('Comp2016-2017 (3)'!$G$5:$G$289,'Comp2016-2017 (3)'!$A$5:$A$289,A1550,'Comp2016-2017 (3)'!$R$5:$R$289,V1550)*AA1550/SUMIFS($AA$4:$AA$1858,$A$4:$A$1858,A1550,$V$4:$V$1858,V1550),0)</f>
        <v>2892.4135852954496</v>
      </c>
      <c r="AC1550" s="205">
        <f>IF($W1550=AC$3,$AB1550,IF(NOT($W1550=0),"",SUMIFS('Val-Vol (2)'!AC$4:AC$1858,'Val-Vol (2)'!$A$4:$A$1858,$D1550,'Val-Vol (2)'!$V$4:$V$1858,$V1550)/SUMIFS('Comp2016-2017 (3)'!$G$5:$G$289,'Comp2016-2017 (3)'!$A$5:$A$289,$D1550,'Comp2016-2017 (3)'!$R$5:$R$289,$V1550)*$AB1550))</f>
        <v>2892.4135852954496</v>
      </c>
      <c r="AD1550" s="205" t="str">
        <f>IF($W1550=AD$3,$AB1550,IF(NOT($W1550=0),"",SUMIFS('Val-Vol (2)'!AD$4:AD$1858,'Val-Vol (2)'!$A$4:$A$1858,$D1550,'Val-Vol (2)'!$V$4:$V$1858,$V1550)/SUMIFS('Comp2016-2017 (3)'!$G$5:$G$289,'Comp2016-2017 (3)'!$A$5:$A$289,$D1550,'Comp2016-2017 (3)'!$R$5:$R$289,$V1550)*$AB1550))</f>
        <v/>
      </c>
      <c r="AE1550" s="205" t="str">
        <f>IF($W1550=AE$3,$AB1550,IF(NOT($W1550=0),"",SUMIFS('Val-Vol (2)'!AE$4:AE$1858,'Val-Vol (2)'!$A$4:$A$1858,$D1550,'Val-Vol (2)'!$V$4:$V$1858,$V1550)/SUMIFS('Comp2016-2017 (3)'!$G$5:$G$289,'Comp2016-2017 (3)'!$A$5:$A$289,$D1550,'Comp2016-2017 (3)'!$R$5:$R$289,$V1550)*$AB1550))</f>
        <v/>
      </c>
      <c r="AF1550" s="205" t="str">
        <f>IF($W1550=AF$3,$AB1550,IF(NOT($W1550=0),"",SUMIFS('Val-Vol (2)'!AF$4:AF$1858,'Val-Vol (2)'!$A$4:$A$1858,$D1550,'Val-Vol (2)'!$V$4:$V$1858,$V1550)/SUMIFS('Comp2016-2017 (3)'!$G$5:$G$289,'Comp2016-2017 (3)'!$A$5:$A$289,$D1550,'Comp2016-2017 (3)'!$R$5:$R$289,$V1550)*$AB1550))</f>
        <v/>
      </c>
      <c r="AG1550" s="205" t="str">
        <f>IF($W1550=AG$3,$AB1550,IF(NOT($W1550=0),"",SUMIFS('Val-Vol (2)'!AG$4:AG$1858,'Val-Vol (2)'!$A$4:$A$1858,$D1550,'Val-Vol (2)'!$V$4:$V$1858,$V1550)/SUMIFS('Comp2016-2017 (3)'!$G$5:$G$289,'Comp2016-2017 (3)'!$A$5:$A$289,$D1550,'Comp2016-2017 (3)'!$R$5:$R$289,$V1550)*$AB1550))</f>
        <v/>
      </c>
      <c r="AH1550" s="205" t="str">
        <f>IF($W1550=AH$3,$AB1550,IF(NOT($W1550=0),"",SUMIFS('Val-Vol (2)'!AH$4:AH$1858,'Val-Vol (2)'!$A$4:$A$1858,$D1550,'Val-Vol (2)'!$V$4:$V$1858,$V1550)/SUMIFS('Comp2016-2017 (3)'!$G$5:$G$289,'Comp2016-2017 (3)'!$A$5:$A$289,$D1550,'Comp2016-2017 (3)'!$R$5:$R$289,$V1550)*$AB1550))</f>
        <v/>
      </c>
      <c r="AI1550" s="205" t="str">
        <f>IF($W1550=AI$3,$AB1550,IF(NOT($W1550=0),"",SUMIFS('Val-Vol (2)'!AI$4:AI$1858,'Val-Vol (2)'!$A$4:$A$1858,$D1550,'Val-Vol (2)'!$V$4:$V$1858,$V1550)/SUMIFS('Comp2016-2017 (3)'!$G$5:$G$289,'Comp2016-2017 (3)'!$A$5:$A$289,$D1550,'Comp2016-2017 (3)'!$R$5:$R$289,$V1550)*$AB1550))</f>
        <v/>
      </c>
      <c r="AJ1550" s="205" t="str">
        <f>IF($W1550=AJ$3,$AB1550,IF(NOT($W1550=0),"",SUMIFS('Val-Vol (2)'!AJ$4:AJ$1858,'Val-Vol (2)'!$A$4:$A$1858,$D1550,'Val-Vol (2)'!$V$4:$V$1858,$V1550)/SUMIFS('Comp2016-2017 (3)'!$G$5:$G$289,'Comp2016-2017 (3)'!$A$5:$A$289,$D1550,'Comp2016-2017 (3)'!$R$5:$R$289,$V1550)*$AB1550))</f>
        <v/>
      </c>
      <c r="AK1550" s="205">
        <f t="shared" si="177"/>
        <v>0</v>
      </c>
      <c r="AL1550" s="218" t="str">
        <f t="shared" si="179"/>
        <v/>
      </c>
      <c r="AM1550" s="218" t="str">
        <f>VLOOKUP(A1550,'Table corresp.'!$M$4:$U$63,8,FALSE)</f>
        <v>Production intermédiaire</v>
      </c>
      <c r="AN1550" s="218" t="str">
        <f>VLOOKUP(D1550,'Table corresp.'!$M$4:$U$63,9,FALSE)</f>
        <v>Exportation</v>
      </c>
    </row>
    <row r="1551" spans="1:40" x14ac:dyDescent="0.25">
      <c r="A1551" t="s">
        <v>59</v>
      </c>
      <c r="B1551" t="str">
        <f>VLOOKUP(LEFT(A1551,3),'Table corresp.'!$A$4:$D$63,3,FALSE)</f>
        <v>Transformation</v>
      </c>
      <c r="C1551" t="str">
        <f>VLOOKUP(A1551,'Table corresp.'!$M$4:$P$63,4,FALSE)</f>
        <v>Production et transformation de produits bois</v>
      </c>
      <c r="D1551" t="s">
        <v>54</v>
      </c>
      <c r="E1551" t="str">
        <f>VLOOKUP(LEFT(D1551,3),'Table corresp.'!$A$4:$D$63,4,FALSE)</f>
        <v>Consommation finale</v>
      </c>
      <c r="F1551" t="str">
        <f t="shared" si="180"/>
        <v>07  - Con</v>
      </c>
      <c r="G1551" s="238">
        <v>1</v>
      </c>
      <c r="H1551" s="238">
        <v>0</v>
      </c>
      <c r="I1551" s="238">
        <v>1</v>
      </c>
      <c r="J1551" s="238"/>
      <c r="K1551" s="238"/>
      <c r="L1551" s="238"/>
      <c r="M1551" s="238"/>
      <c r="N1551" s="238"/>
      <c r="O1551" s="238"/>
      <c r="P1551" s="238"/>
      <c r="Q1551" s="238"/>
      <c r="R1551" s="238"/>
      <c r="S1551" s="238"/>
      <c r="T1551" s="218">
        <f>VLOOKUP(A1551,'Groupe de branches'!$Z$27:$AM$86,14,FALSE)</f>
        <v>0</v>
      </c>
      <c r="U1551" s="218">
        <f>VLOOKUP(D1551,'Groupe de branches'!$Z$27:$AM$86,14,FALSE)</f>
        <v>0</v>
      </c>
      <c r="V1551" s="218">
        <v>2020</v>
      </c>
      <c r="W1551" s="218" t="str">
        <f>VLOOKUP(D1551,'Table corresp.'!$M$4:$S$63,7,FALSE)</f>
        <v>Consommation finale</v>
      </c>
      <c r="X1551" s="240">
        <f>IFERROR(G1551/SUMIFS('Comp2016-2017 (3)'!$I$5:$I$289,'Comp2016-2017 (3)'!$A$5:$A$289,A1551,'Comp2016-2017 (3)'!$R$5:$R$289,V1551),0)</f>
        <v>1</v>
      </c>
      <c r="Y1551" s="219"/>
      <c r="Z1551" s="226"/>
      <c r="AA1551" s="226">
        <f t="shared" si="178"/>
        <v>0</v>
      </c>
      <c r="AB1551" s="205">
        <f>IFERROR(SUMIFS('Comp2016-2017 (3)'!$G$5:$G$289,'Comp2016-2017 (3)'!$A$5:$A$289,A1551,'Comp2016-2017 (3)'!$R$5:$R$289,V1551)*AA1551/SUMIFS($AA$4:$AA$1858,$A$4:$A$1858,A1551,$V$4:$V$1858,V1551),0)</f>
        <v>0</v>
      </c>
      <c r="AC1551" s="205" t="str">
        <f>IF($W1551=AC$3,$AB1551,IF(NOT($W1551=0),"",SUMIFS('Val-Vol (2)'!AC$4:AC$1858,'Val-Vol (2)'!$A$4:$A$1858,$D1551,'Val-Vol (2)'!$V$4:$V$1858,$V1551)/SUMIFS('Comp2016-2017 (3)'!$G$5:$G$289,'Comp2016-2017 (3)'!$A$5:$A$289,$D1551,'Comp2016-2017 (3)'!$R$5:$R$289,$V1551)*$AB1551))</f>
        <v/>
      </c>
      <c r="AD1551" s="205" t="str">
        <f>IF($W1551=AD$3,$AB1551,IF(NOT($W1551=0),"",SUMIFS('Val-Vol (2)'!AD$4:AD$1858,'Val-Vol (2)'!$A$4:$A$1858,$D1551,'Val-Vol (2)'!$V$4:$V$1858,$V1551)/SUMIFS('Comp2016-2017 (3)'!$G$5:$G$289,'Comp2016-2017 (3)'!$A$5:$A$289,$D1551,'Comp2016-2017 (3)'!$R$5:$R$289,$V1551)*$AB1551))</f>
        <v/>
      </c>
      <c r="AE1551" s="205" t="str">
        <f>IF($W1551=AE$3,$AB1551,IF(NOT($W1551=0),"",SUMIFS('Val-Vol (2)'!AE$4:AE$1858,'Val-Vol (2)'!$A$4:$A$1858,$D1551,'Val-Vol (2)'!$V$4:$V$1858,$V1551)/SUMIFS('Comp2016-2017 (3)'!$G$5:$G$289,'Comp2016-2017 (3)'!$A$5:$A$289,$D1551,'Comp2016-2017 (3)'!$R$5:$R$289,$V1551)*$AB1551))</f>
        <v/>
      </c>
      <c r="AF1551" s="205" t="str">
        <f>IF($W1551=AF$3,$AB1551,IF(NOT($W1551=0),"",SUMIFS('Val-Vol (2)'!AF$4:AF$1858,'Val-Vol (2)'!$A$4:$A$1858,$D1551,'Val-Vol (2)'!$V$4:$V$1858,$V1551)/SUMIFS('Comp2016-2017 (3)'!$G$5:$G$289,'Comp2016-2017 (3)'!$A$5:$A$289,$D1551,'Comp2016-2017 (3)'!$R$5:$R$289,$V1551)*$AB1551))</f>
        <v/>
      </c>
      <c r="AG1551" s="205" t="str">
        <f>IF($W1551=AG$3,$AB1551,IF(NOT($W1551=0),"",SUMIFS('Val-Vol (2)'!AG$4:AG$1858,'Val-Vol (2)'!$A$4:$A$1858,$D1551,'Val-Vol (2)'!$V$4:$V$1858,$V1551)/SUMIFS('Comp2016-2017 (3)'!$G$5:$G$289,'Comp2016-2017 (3)'!$A$5:$A$289,$D1551,'Comp2016-2017 (3)'!$R$5:$R$289,$V1551)*$AB1551))</f>
        <v/>
      </c>
      <c r="AH1551" s="205" t="str">
        <f>IF($W1551=AH$3,$AB1551,IF(NOT($W1551=0),"",SUMIFS('Val-Vol (2)'!AH$4:AH$1858,'Val-Vol (2)'!$A$4:$A$1858,$D1551,'Val-Vol (2)'!$V$4:$V$1858,$V1551)/SUMIFS('Comp2016-2017 (3)'!$G$5:$G$289,'Comp2016-2017 (3)'!$A$5:$A$289,$D1551,'Comp2016-2017 (3)'!$R$5:$R$289,$V1551)*$AB1551))</f>
        <v/>
      </c>
      <c r="AI1551" s="205" t="str">
        <f>IF($W1551=AI$3,$AB1551,IF(NOT($W1551=0),"",SUMIFS('Val-Vol (2)'!AI$4:AI$1858,'Val-Vol (2)'!$A$4:$A$1858,$D1551,'Val-Vol (2)'!$V$4:$V$1858,$V1551)/SUMIFS('Comp2016-2017 (3)'!$G$5:$G$289,'Comp2016-2017 (3)'!$A$5:$A$289,$D1551,'Comp2016-2017 (3)'!$R$5:$R$289,$V1551)*$AB1551))</f>
        <v/>
      </c>
      <c r="AJ1551" s="205">
        <f>IF($W1551=AJ$3,$AB1551,IF(NOT($W1551=0),"",SUMIFS('Val-Vol (2)'!AJ$4:AJ$1858,'Val-Vol (2)'!$A$4:$A$1858,$D1551,'Val-Vol (2)'!$V$4:$V$1858,$V1551)/SUMIFS('Comp2016-2017 (3)'!$G$5:$G$289,'Comp2016-2017 (3)'!$A$5:$A$289,$D1551,'Comp2016-2017 (3)'!$R$5:$R$289,$V1551)*$AB1551))</f>
        <v>0</v>
      </c>
      <c r="AK1551" s="205">
        <f t="shared" si="177"/>
        <v>0</v>
      </c>
      <c r="AL1551" s="218" t="str">
        <f t="shared" si="179"/>
        <v/>
      </c>
      <c r="AM1551" s="218" t="str">
        <f>VLOOKUP(A1551,'Table corresp.'!$M$4:$U$63,8,FALSE)</f>
        <v>Production intermédiaire</v>
      </c>
      <c r="AN1551" s="218" t="str">
        <f>VLOOKUP(D1551,'Table corresp.'!$M$4:$U$63,9,FALSE)</f>
        <v>Consommation finale française</v>
      </c>
    </row>
    <row r="1552" spans="1:40" x14ac:dyDescent="0.25">
      <c r="A1552" t="s">
        <v>59</v>
      </c>
      <c r="B1552" t="str">
        <f>VLOOKUP(LEFT(A1552,3),'Table corresp.'!$A$4:$D$63,3,FALSE)</f>
        <v>Transformation</v>
      </c>
      <c r="C1552" t="str">
        <f>VLOOKUP(A1552,'Table corresp.'!$M$4:$P$63,4,FALSE)</f>
        <v>Production et transformation de produits bois</v>
      </c>
      <c r="D1552" t="s">
        <v>53</v>
      </c>
      <c r="E1552" t="str">
        <f>VLOOKUP(LEFT(D1552,3),'Table corresp.'!$A$4:$D$63,4,FALSE)</f>
        <v>Exportation</v>
      </c>
      <c r="F1552" t="str">
        <f t="shared" si="180"/>
        <v>07  - Exp</v>
      </c>
      <c r="G1552" s="238"/>
      <c r="H1552" s="238"/>
      <c r="I1552" s="238"/>
      <c r="J1552" s="238"/>
      <c r="K1552" s="238"/>
      <c r="L1552" s="238"/>
      <c r="M1552" s="238"/>
      <c r="N1552" s="238"/>
      <c r="O1552" s="238"/>
      <c r="P1552" s="238"/>
      <c r="Q1552" s="238"/>
      <c r="R1552" s="238"/>
      <c r="S1552" s="238"/>
      <c r="T1552" s="218">
        <f>VLOOKUP(A1552,'Groupe de branches'!$Z$27:$AM$86,14,FALSE)</f>
        <v>0</v>
      </c>
      <c r="U1552" s="218">
        <f>VLOOKUP(D1552,'Groupe de branches'!$Z$27:$AM$86,14,FALSE)</f>
        <v>0</v>
      </c>
      <c r="V1552" s="218">
        <v>2020</v>
      </c>
      <c r="W1552" s="218" t="str">
        <f>VLOOKUP(D1552,'Table corresp.'!$M$4:$S$63,7,FALSE)</f>
        <v>Exportation</v>
      </c>
      <c r="X1552" s="240">
        <f>IFERROR(G1552/SUMIFS('Comp2016-2017 (3)'!$I$5:$I$289,'Comp2016-2017 (3)'!$A$5:$A$289,A1552,'Comp2016-2017 (3)'!$R$5:$R$289,V1552),0)</f>
        <v>0</v>
      </c>
      <c r="Y1552" s="219"/>
      <c r="Z1552" s="226"/>
      <c r="AA1552" s="226">
        <f t="shared" si="178"/>
        <v>0</v>
      </c>
      <c r="AB1552" s="205">
        <f>IFERROR(SUMIFS('Comp2016-2017 (3)'!$G$5:$G$289,'Comp2016-2017 (3)'!$A$5:$A$289,A1552,'Comp2016-2017 (3)'!$R$5:$R$289,V1552)*AA1552/SUMIFS($AA$4:$AA$1858,$A$4:$A$1858,A1552,$V$4:$V$1858,V1552),0)</f>
        <v>0</v>
      </c>
      <c r="AC1552" s="205">
        <f>IF($W1552=AC$3,$AB1552,IF(NOT($W1552=0),"",SUMIFS('Val-Vol (2)'!AC$4:AC$1858,'Val-Vol (2)'!$A$4:$A$1858,$D1552,'Val-Vol (2)'!$V$4:$V$1858,$V1552)/SUMIFS('Comp2016-2017 (3)'!$G$5:$G$289,'Comp2016-2017 (3)'!$A$5:$A$289,$D1552,'Comp2016-2017 (3)'!$R$5:$R$289,$V1552)*$AB1552))</f>
        <v>0</v>
      </c>
      <c r="AD1552" s="205" t="str">
        <f>IF($W1552=AD$3,$AB1552,IF(NOT($W1552=0),"",SUMIFS('Val-Vol (2)'!AD$4:AD$1858,'Val-Vol (2)'!$A$4:$A$1858,$D1552,'Val-Vol (2)'!$V$4:$V$1858,$V1552)/SUMIFS('Comp2016-2017 (3)'!$G$5:$G$289,'Comp2016-2017 (3)'!$A$5:$A$289,$D1552,'Comp2016-2017 (3)'!$R$5:$R$289,$V1552)*$AB1552))</f>
        <v/>
      </c>
      <c r="AE1552" s="205" t="str">
        <f>IF($W1552=AE$3,$AB1552,IF(NOT($W1552=0),"",SUMIFS('Val-Vol (2)'!AE$4:AE$1858,'Val-Vol (2)'!$A$4:$A$1858,$D1552,'Val-Vol (2)'!$V$4:$V$1858,$V1552)/SUMIFS('Comp2016-2017 (3)'!$G$5:$G$289,'Comp2016-2017 (3)'!$A$5:$A$289,$D1552,'Comp2016-2017 (3)'!$R$5:$R$289,$V1552)*$AB1552))</f>
        <v/>
      </c>
      <c r="AF1552" s="205" t="str">
        <f>IF($W1552=AF$3,$AB1552,IF(NOT($W1552=0),"",SUMIFS('Val-Vol (2)'!AF$4:AF$1858,'Val-Vol (2)'!$A$4:$A$1858,$D1552,'Val-Vol (2)'!$V$4:$V$1858,$V1552)/SUMIFS('Comp2016-2017 (3)'!$G$5:$G$289,'Comp2016-2017 (3)'!$A$5:$A$289,$D1552,'Comp2016-2017 (3)'!$R$5:$R$289,$V1552)*$AB1552))</f>
        <v/>
      </c>
      <c r="AG1552" s="205" t="str">
        <f>IF($W1552=AG$3,$AB1552,IF(NOT($W1552=0),"",SUMIFS('Val-Vol (2)'!AG$4:AG$1858,'Val-Vol (2)'!$A$4:$A$1858,$D1552,'Val-Vol (2)'!$V$4:$V$1858,$V1552)/SUMIFS('Comp2016-2017 (3)'!$G$5:$G$289,'Comp2016-2017 (3)'!$A$5:$A$289,$D1552,'Comp2016-2017 (3)'!$R$5:$R$289,$V1552)*$AB1552))</f>
        <v/>
      </c>
      <c r="AH1552" s="205" t="str">
        <f>IF($W1552=AH$3,$AB1552,IF(NOT($W1552=0),"",SUMIFS('Val-Vol (2)'!AH$4:AH$1858,'Val-Vol (2)'!$A$4:$A$1858,$D1552,'Val-Vol (2)'!$V$4:$V$1858,$V1552)/SUMIFS('Comp2016-2017 (3)'!$G$5:$G$289,'Comp2016-2017 (3)'!$A$5:$A$289,$D1552,'Comp2016-2017 (3)'!$R$5:$R$289,$V1552)*$AB1552))</f>
        <v/>
      </c>
      <c r="AI1552" s="205" t="str">
        <f>IF($W1552=AI$3,$AB1552,IF(NOT($W1552=0),"",SUMIFS('Val-Vol (2)'!AI$4:AI$1858,'Val-Vol (2)'!$A$4:$A$1858,$D1552,'Val-Vol (2)'!$V$4:$V$1858,$V1552)/SUMIFS('Comp2016-2017 (3)'!$G$5:$G$289,'Comp2016-2017 (3)'!$A$5:$A$289,$D1552,'Comp2016-2017 (3)'!$R$5:$R$289,$V1552)*$AB1552))</f>
        <v/>
      </c>
      <c r="AJ1552" s="205" t="str">
        <f>IF($W1552=AJ$3,$AB1552,IF(NOT($W1552=0),"",SUMIFS('Val-Vol (2)'!AJ$4:AJ$1858,'Val-Vol (2)'!$A$4:$A$1858,$D1552,'Val-Vol (2)'!$V$4:$V$1858,$V1552)/SUMIFS('Comp2016-2017 (3)'!$G$5:$G$289,'Comp2016-2017 (3)'!$A$5:$A$289,$D1552,'Comp2016-2017 (3)'!$R$5:$R$289,$V1552)*$AB1552))</f>
        <v/>
      </c>
      <c r="AK1552" s="205">
        <f t="shared" si="177"/>
        <v>0</v>
      </c>
      <c r="AL1552" s="218" t="str">
        <f t="shared" si="179"/>
        <v/>
      </c>
      <c r="AM1552" s="218" t="str">
        <f>VLOOKUP(A1552,'Table corresp.'!$M$4:$U$63,8,FALSE)</f>
        <v>Production intermédiaire</v>
      </c>
      <c r="AN1552" s="218" t="str">
        <f>VLOOKUP(D1552,'Table corresp.'!$M$4:$U$63,9,FALSE)</f>
        <v>Exportation</v>
      </c>
    </row>
    <row r="1553" spans="1:40" x14ac:dyDescent="0.25">
      <c r="A1553" t="s">
        <v>4</v>
      </c>
      <c r="B1553" t="str">
        <f>VLOOKUP(LEFT(A1553,3),'Table corresp.'!$A$4:$D$63,3,FALSE)</f>
        <v>Transformation</v>
      </c>
      <c r="C1553" t="str">
        <f>VLOOKUP(A1553,'Table corresp.'!$M$4:$P$63,4,FALSE)</f>
        <v>Production et transformation de produits bois</v>
      </c>
      <c r="D1553" t="s">
        <v>13</v>
      </c>
      <c r="E1553" t="str">
        <f>VLOOKUP(LEFT(D1553,3),'Table corresp.'!$A$4:$D$63,4,FALSE)</f>
        <v>Transformation</v>
      </c>
      <c r="F1553" t="str">
        <f t="shared" si="180"/>
        <v xml:space="preserve">08  - 20 </v>
      </c>
      <c r="G1553" s="238">
        <v>61714.874300096701</v>
      </c>
      <c r="H1553" s="238">
        <v>922.65199117668499</v>
      </c>
      <c r="I1553" s="238">
        <v>62637.526291273403</v>
      </c>
      <c r="J1553" s="238">
        <v>228.89499985939662</v>
      </c>
      <c r="K1553" s="238">
        <v>3.9016178612832157</v>
      </c>
      <c r="L1553" s="238">
        <v>232.79661772067985</v>
      </c>
      <c r="M1553" s="238"/>
      <c r="N1553" s="238"/>
      <c r="O1553" s="238"/>
      <c r="P1553" s="238"/>
      <c r="Q1553" s="238"/>
      <c r="R1553" s="238"/>
      <c r="S1553" s="238"/>
      <c r="T1553" s="218">
        <f>VLOOKUP(A1553,'Groupe de branches'!$Z$27:$AM$86,14,FALSE)</f>
        <v>0</v>
      </c>
      <c r="U1553" s="218">
        <f>VLOOKUP(D1553,'Groupe de branches'!$Z$27:$AM$86,14,FALSE)</f>
        <v>0</v>
      </c>
      <c r="V1553" s="218">
        <v>2020</v>
      </c>
      <c r="W1553" s="218">
        <f>VLOOKUP(D1553,'Table corresp.'!$M$4:$S$63,7,FALSE)</f>
        <v>0</v>
      </c>
      <c r="X1553" s="240">
        <f>IFERROR(G1553/SUMIFS('Comp2016-2017 (3)'!$I$5:$I$289,'Comp2016-2017 (3)'!$A$5:$A$289,A1553,'Comp2016-2017 (3)'!$R$5:$R$289,V1553),0)</f>
        <v>0.10906833404560348</v>
      </c>
      <c r="Y1553" s="219" t="e">
        <f>IF(RIGHT(F1553,3)="Exp",VLOOKUP(F1553,#REF!,2,FALSE),VLOOKUP(F1553,#REF!,9,FALSE))</f>
        <v>#REF!</v>
      </c>
      <c r="Z1553" s="226" t="str">
        <f t="shared" ref="Z1553:Z1605" si="181">IFERROR(Y1553/SUMIFS($Y$4:$Y$1858,$V$4:$V$1858,V1553,$A$4:$A$1858,A1553),"")</f>
        <v/>
      </c>
      <c r="AA1553" s="226" t="e">
        <f t="shared" si="178"/>
        <v>#VALUE!</v>
      </c>
      <c r="AB1553" s="205">
        <f>IFERROR(SUMIFS('Comp2016-2017 (3)'!$G$5:$G$289,'Comp2016-2017 (3)'!$A$5:$A$289,A1553,'Comp2016-2017 (3)'!$R$5:$R$289,V1553)*AA1553/SUMIFS($AA$4:$AA$1858,$A$4:$A$1858,A1553,$V$4:$V$1858,V1553),0)</f>
        <v>0</v>
      </c>
      <c r="AC1553" s="205">
        <f>IF($W1553=AC$3,$AB1553,IF(NOT($W1553=0),"",SUMIFS('Val-Vol (2)'!AC$4:AC$1858,'Val-Vol (2)'!$A$4:$A$1858,$D1553,'Val-Vol (2)'!$V$4:$V$1858,$V1553)/SUMIFS('Comp2016-2017 (3)'!$G$5:$G$289,'Comp2016-2017 (3)'!$A$5:$A$289,$D1553,'Comp2016-2017 (3)'!$R$5:$R$289,$V1553)*$AB1553))</f>
        <v>0</v>
      </c>
      <c r="AD1553" s="205">
        <f>IF($W1553=AD$3,$AB1553,IF(NOT($W1553=0),"",SUMIFS('Val-Vol (2)'!AD$4:AD$1858,'Val-Vol (2)'!$A$4:$A$1858,$D1553,'Val-Vol (2)'!$V$4:$V$1858,$V1553)/SUMIFS('Comp2016-2017 (3)'!$G$5:$G$289,'Comp2016-2017 (3)'!$A$5:$A$289,$D1553,'Comp2016-2017 (3)'!$R$5:$R$289,$V1553)*$AB1553))</f>
        <v>0</v>
      </c>
      <c r="AE1553" s="205">
        <f>IF($W1553=AE$3,$AB1553,IF(NOT($W1553=0),"",SUMIFS('Val-Vol (2)'!AE$4:AE$1858,'Val-Vol (2)'!$A$4:$A$1858,$D1553,'Val-Vol (2)'!$V$4:$V$1858,$V1553)/SUMIFS('Comp2016-2017 (3)'!$G$5:$G$289,'Comp2016-2017 (3)'!$A$5:$A$289,$D1553,'Comp2016-2017 (3)'!$R$5:$R$289,$V1553)*$AB1553))</f>
        <v>0</v>
      </c>
      <c r="AF1553" s="205">
        <f>IF($W1553=AF$3,$AB1553,IF(NOT($W1553=0),"",SUMIFS('Val-Vol (2)'!AF$4:AF$1858,'Val-Vol (2)'!$A$4:$A$1858,$D1553,'Val-Vol (2)'!$V$4:$V$1858,$V1553)/SUMIFS('Comp2016-2017 (3)'!$G$5:$G$289,'Comp2016-2017 (3)'!$A$5:$A$289,$D1553,'Comp2016-2017 (3)'!$R$5:$R$289,$V1553)*$AB1553))</f>
        <v>0</v>
      </c>
      <c r="AG1553" s="205">
        <f>IF($W1553=AG$3,$AB1553,IF(NOT($W1553=0),"",SUMIFS('Val-Vol (2)'!AG$4:AG$1858,'Val-Vol (2)'!$A$4:$A$1858,$D1553,'Val-Vol (2)'!$V$4:$V$1858,$V1553)/SUMIFS('Comp2016-2017 (3)'!$G$5:$G$289,'Comp2016-2017 (3)'!$A$5:$A$289,$D1553,'Comp2016-2017 (3)'!$R$5:$R$289,$V1553)*$AB1553))</f>
        <v>0</v>
      </c>
      <c r="AH1553" s="205">
        <f>IF($W1553=AH$3,$AB1553,IF(NOT($W1553=0),"",SUMIFS('Val-Vol (2)'!AH$4:AH$1858,'Val-Vol (2)'!$A$4:$A$1858,$D1553,'Val-Vol (2)'!$V$4:$V$1858,$V1553)/SUMIFS('Comp2016-2017 (3)'!$G$5:$G$289,'Comp2016-2017 (3)'!$A$5:$A$289,$D1553,'Comp2016-2017 (3)'!$R$5:$R$289,$V1553)*$AB1553))</f>
        <v>0</v>
      </c>
      <c r="AI1553" s="205">
        <f>IF($W1553=AI$3,$AB1553,IF(NOT($W1553=0),"",SUMIFS('Val-Vol (2)'!AI$4:AI$1858,'Val-Vol (2)'!$A$4:$A$1858,$D1553,'Val-Vol (2)'!$V$4:$V$1858,$V1553)/SUMIFS('Comp2016-2017 (3)'!$G$5:$G$289,'Comp2016-2017 (3)'!$A$5:$A$289,$D1553,'Comp2016-2017 (3)'!$R$5:$R$289,$V1553)*$AB1553))</f>
        <v>0</v>
      </c>
      <c r="AJ1553" s="205">
        <f>IF($W1553=AJ$3,$AB1553,IF(NOT($W1553=0),"",SUMIFS('Val-Vol (2)'!AJ$4:AJ$1858,'Val-Vol (2)'!$A$4:$A$1858,$D1553,'Val-Vol (2)'!$V$4:$V$1858,$V1553)/SUMIFS('Comp2016-2017 (3)'!$G$5:$G$289,'Comp2016-2017 (3)'!$A$5:$A$289,$D1553,'Comp2016-2017 (3)'!$R$5:$R$289,$V1553)*$AB1553))</f>
        <v>0</v>
      </c>
      <c r="AK1553" s="205">
        <f t="shared" si="177"/>
        <v>0</v>
      </c>
      <c r="AL1553" s="218" t="str">
        <f t="shared" si="179"/>
        <v/>
      </c>
      <c r="AM1553" s="218" t="str">
        <f>VLOOKUP(A1553,'Table corresp.'!$M$4:$U$63,8,FALSE)</f>
        <v>Production intermédiaire</v>
      </c>
      <c r="AN1553" s="218" t="str">
        <f>VLOOKUP(D1553,'Table corresp.'!$M$4:$U$63,9,FALSE)</f>
        <v>Production intermédiaire</v>
      </c>
    </row>
    <row r="1554" spans="1:40" x14ac:dyDescent="0.25">
      <c r="A1554" t="s">
        <v>4</v>
      </c>
      <c r="B1554" t="str">
        <f>VLOOKUP(LEFT(A1554,3),'Table corresp.'!$A$4:$D$63,3,FALSE)</f>
        <v>Transformation</v>
      </c>
      <c r="C1554" t="str">
        <f>VLOOKUP(A1554,'Table corresp.'!$M$4:$P$63,4,FALSE)</f>
        <v>Production et transformation de produits bois</v>
      </c>
      <c r="D1554" t="s">
        <v>14</v>
      </c>
      <c r="E1554" t="str">
        <f>VLOOKUP(LEFT(D1554,3),'Table corresp.'!$A$4:$D$63,4,FALSE)</f>
        <v>Transformation</v>
      </c>
      <c r="F1554" t="str">
        <f t="shared" si="180"/>
        <v>08  - 20b</v>
      </c>
      <c r="G1554" s="238">
        <v>3101.53747280165</v>
      </c>
      <c r="H1554" s="238">
        <v>1174.70091571591</v>
      </c>
      <c r="I1554" s="238">
        <v>4276.2383885175504</v>
      </c>
      <c r="J1554" s="238">
        <v>17.254991461590031</v>
      </c>
      <c r="K1554" s="238">
        <v>7.4511854712053651</v>
      </c>
      <c r="L1554" s="238">
        <v>24.706176932795394</v>
      </c>
      <c r="M1554" s="238"/>
      <c r="N1554" s="238"/>
      <c r="O1554" s="238"/>
      <c r="P1554" s="238"/>
      <c r="Q1554" s="238"/>
      <c r="R1554" s="238"/>
      <c r="S1554" s="238"/>
      <c r="T1554" s="218">
        <f>VLOOKUP(A1554,'Groupe de branches'!$Z$27:$AM$86,14,FALSE)</f>
        <v>0</v>
      </c>
      <c r="U1554" s="218">
        <f>VLOOKUP(D1554,'Groupe de branches'!$Z$27:$AM$86,14,FALSE)</f>
        <v>0</v>
      </c>
      <c r="V1554" s="218">
        <v>2020</v>
      </c>
      <c r="W1554" s="218">
        <f>VLOOKUP(D1554,'Table corresp.'!$M$4:$S$63,7,FALSE)</f>
        <v>0</v>
      </c>
      <c r="X1554" s="240">
        <f>IFERROR(G1554/SUMIFS('Comp2016-2017 (3)'!$I$5:$I$289,'Comp2016-2017 (3)'!$A$5:$A$289,A1554,'Comp2016-2017 (3)'!$R$5:$R$289,V1554),0)</f>
        <v>5.4813289174593218E-3</v>
      </c>
      <c r="Y1554" s="219" t="e">
        <f>IF(RIGHT(F1554,3)="Exp",VLOOKUP(F1554,#REF!,2,FALSE),VLOOKUP(F1554,#REF!,9,FALSE))</f>
        <v>#REF!</v>
      </c>
      <c r="Z1554" s="226" t="str">
        <f t="shared" si="181"/>
        <v/>
      </c>
      <c r="AA1554" s="226" t="e">
        <f t="shared" si="178"/>
        <v>#VALUE!</v>
      </c>
      <c r="AB1554" s="205">
        <f>IFERROR(SUMIFS('Comp2016-2017 (3)'!$G$5:$G$289,'Comp2016-2017 (3)'!$A$5:$A$289,A1554,'Comp2016-2017 (3)'!$R$5:$R$289,V1554)*AA1554/SUMIFS($AA$4:$AA$1858,$A$4:$A$1858,A1554,$V$4:$V$1858,V1554),0)</f>
        <v>0</v>
      </c>
      <c r="AC1554" s="205">
        <f>IF($W1554=AC$3,$AB1554,IF(NOT($W1554=0),"",SUMIFS('Val-Vol (2)'!AC$4:AC$1858,'Val-Vol (2)'!$A$4:$A$1858,$D1554,'Val-Vol (2)'!$V$4:$V$1858,$V1554)/SUMIFS('Comp2016-2017 (3)'!$G$5:$G$289,'Comp2016-2017 (3)'!$A$5:$A$289,$D1554,'Comp2016-2017 (3)'!$R$5:$R$289,$V1554)*$AB1554))</f>
        <v>0</v>
      </c>
      <c r="AD1554" s="205">
        <f>IF($W1554=AD$3,$AB1554,IF(NOT($W1554=0),"",SUMIFS('Val-Vol (2)'!AD$4:AD$1858,'Val-Vol (2)'!$A$4:$A$1858,$D1554,'Val-Vol (2)'!$V$4:$V$1858,$V1554)/SUMIFS('Comp2016-2017 (3)'!$G$5:$G$289,'Comp2016-2017 (3)'!$A$5:$A$289,$D1554,'Comp2016-2017 (3)'!$R$5:$R$289,$V1554)*$AB1554))</f>
        <v>0</v>
      </c>
      <c r="AE1554" s="205">
        <f>IF($W1554=AE$3,$AB1554,IF(NOT($W1554=0),"",SUMIFS('Val-Vol (2)'!AE$4:AE$1858,'Val-Vol (2)'!$A$4:$A$1858,$D1554,'Val-Vol (2)'!$V$4:$V$1858,$V1554)/SUMIFS('Comp2016-2017 (3)'!$G$5:$G$289,'Comp2016-2017 (3)'!$A$5:$A$289,$D1554,'Comp2016-2017 (3)'!$R$5:$R$289,$V1554)*$AB1554))</f>
        <v>0</v>
      </c>
      <c r="AF1554" s="205">
        <f>IF($W1554=AF$3,$AB1554,IF(NOT($W1554=0),"",SUMIFS('Val-Vol (2)'!AF$4:AF$1858,'Val-Vol (2)'!$A$4:$A$1858,$D1554,'Val-Vol (2)'!$V$4:$V$1858,$V1554)/SUMIFS('Comp2016-2017 (3)'!$G$5:$G$289,'Comp2016-2017 (3)'!$A$5:$A$289,$D1554,'Comp2016-2017 (3)'!$R$5:$R$289,$V1554)*$AB1554))</f>
        <v>0</v>
      </c>
      <c r="AG1554" s="205">
        <f>IF($W1554=AG$3,$AB1554,IF(NOT($W1554=0),"",SUMIFS('Val-Vol (2)'!AG$4:AG$1858,'Val-Vol (2)'!$A$4:$A$1858,$D1554,'Val-Vol (2)'!$V$4:$V$1858,$V1554)/SUMIFS('Comp2016-2017 (3)'!$G$5:$G$289,'Comp2016-2017 (3)'!$A$5:$A$289,$D1554,'Comp2016-2017 (3)'!$R$5:$R$289,$V1554)*$AB1554))</f>
        <v>0</v>
      </c>
      <c r="AH1554" s="205">
        <f>IF($W1554=AH$3,$AB1554,IF(NOT($W1554=0),"",SUMIFS('Val-Vol (2)'!AH$4:AH$1858,'Val-Vol (2)'!$A$4:$A$1858,$D1554,'Val-Vol (2)'!$V$4:$V$1858,$V1554)/SUMIFS('Comp2016-2017 (3)'!$G$5:$G$289,'Comp2016-2017 (3)'!$A$5:$A$289,$D1554,'Comp2016-2017 (3)'!$R$5:$R$289,$V1554)*$AB1554))</f>
        <v>0</v>
      </c>
      <c r="AI1554" s="205">
        <f>IF($W1554=AI$3,$AB1554,IF(NOT($W1554=0),"",SUMIFS('Val-Vol (2)'!AI$4:AI$1858,'Val-Vol (2)'!$A$4:$A$1858,$D1554,'Val-Vol (2)'!$V$4:$V$1858,$V1554)/SUMIFS('Comp2016-2017 (3)'!$G$5:$G$289,'Comp2016-2017 (3)'!$A$5:$A$289,$D1554,'Comp2016-2017 (3)'!$R$5:$R$289,$V1554)*$AB1554))</f>
        <v>0</v>
      </c>
      <c r="AJ1554" s="205">
        <f>IF($W1554=AJ$3,$AB1554,IF(NOT($W1554=0),"",SUMIFS('Val-Vol (2)'!AJ$4:AJ$1858,'Val-Vol (2)'!$A$4:$A$1858,$D1554,'Val-Vol (2)'!$V$4:$V$1858,$V1554)/SUMIFS('Comp2016-2017 (3)'!$G$5:$G$289,'Comp2016-2017 (3)'!$A$5:$A$289,$D1554,'Comp2016-2017 (3)'!$R$5:$R$289,$V1554)*$AB1554))</f>
        <v>0</v>
      </c>
      <c r="AK1554" s="205">
        <f t="shared" si="177"/>
        <v>0</v>
      </c>
      <c r="AL1554" s="218" t="str">
        <f t="shared" si="179"/>
        <v/>
      </c>
      <c r="AM1554" s="218" t="str">
        <f>VLOOKUP(A1554,'Table corresp.'!$M$4:$U$63,8,FALSE)</f>
        <v>Production intermédiaire</v>
      </c>
      <c r="AN1554" s="218" t="str">
        <f>VLOOKUP(D1554,'Table corresp.'!$M$4:$U$63,9,FALSE)</f>
        <v>Production intermédiaire</v>
      </c>
    </row>
    <row r="1555" spans="1:40" x14ac:dyDescent="0.25">
      <c r="A1555" t="s">
        <v>4</v>
      </c>
      <c r="B1555" t="str">
        <f>VLOOKUP(LEFT(A1555,3),'Table corresp.'!$A$4:$D$63,3,FALSE)</f>
        <v>Transformation</v>
      </c>
      <c r="C1555" t="str">
        <f>VLOOKUP(A1555,'Table corresp.'!$M$4:$P$63,4,FALSE)</f>
        <v>Production et transformation de produits bois</v>
      </c>
      <c r="D1555" t="s">
        <v>89</v>
      </c>
      <c r="E1555" t="str">
        <f>VLOOKUP(LEFT(D1555,3),'Table corresp.'!$A$4:$D$63,4,FALSE)</f>
        <v>Transformation</v>
      </c>
      <c r="F1555" t="str">
        <f t="shared" si="180"/>
        <v xml:space="preserve">08  - 33 </v>
      </c>
      <c r="G1555" s="238">
        <v>1031.3710637485401</v>
      </c>
      <c r="H1555" s="238">
        <v>1494.0224995062299</v>
      </c>
      <c r="I1555" s="238">
        <v>2525.39356325477</v>
      </c>
      <c r="J1555" s="238">
        <v>3.8252638795593872</v>
      </c>
      <c r="K1555" s="238">
        <v>6.3177719497450759</v>
      </c>
      <c r="L1555" s="238">
        <v>10.143035829304463</v>
      </c>
      <c r="M1555" s="238"/>
      <c r="N1555" s="238"/>
      <c r="O1555" s="238"/>
      <c r="P1555" s="238"/>
      <c r="Q1555" s="238"/>
      <c r="R1555" s="238"/>
      <c r="S1555" s="238"/>
      <c r="T1555" s="218">
        <f>VLOOKUP(A1555,'Groupe de branches'!$Z$27:$AM$86,14,FALSE)</f>
        <v>0</v>
      </c>
      <c r="U1555" s="218">
        <f>VLOOKUP(D1555,'Groupe de branches'!$Z$27:$AM$86,14,FALSE)</f>
        <v>0</v>
      </c>
      <c r="V1555" s="218">
        <v>2020</v>
      </c>
      <c r="W1555" s="218" t="str">
        <f>VLOOKUP(D1555,'Table corresp.'!$M$4:$S$63,7,FALSE)</f>
        <v>Construction</v>
      </c>
      <c r="X1555" s="240">
        <f>IFERROR(G1555/SUMIFS('Comp2016-2017 (3)'!$I$5:$I$289,'Comp2016-2017 (3)'!$A$5:$A$289,A1555,'Comp2016-2017 (3)'!$R$5:$R$289,V1555),0)</f>
        <v>1.8227360094569441E-3</v>
      </c>
      <c r="Y1555" s="219" t="e">
        <f>IF(RIGHT(F1555,3)="Exp",VLOOKUP(F1555,#REF!,2,FALSE),VLOOKUP(F1555,#REF!,9,FALSE))</f>
        <v>#REF!</v>
      </c>
      <c r="Z1555" s="226" t="str">
        <f t="shared" si="181"/>
        <v/>
      </c>
      <c r="AA1555" s="226" t="e">
        <f t="shared" si="178"/>
        <v>#VALUE!</v>
      </c>
      <c r="AB1555" s="205">
        <f>IFERROR(SUMIFS('Comp2016-2017 (3)'!$G$5:$G$289,'Comp2016-2017 (3)'!$A$5:$A$289,A1555,'Comp2016-2017 (3)'!$R$5:$R$289,V1555)*AA1555/SUMIFS($AA$4:$AA$1858,$A$4:$A$1858,A1555,$V$4:$V$1858,V1555),0)</f>
        <v>0</v>
      </c>
      <c r="AC1555" s="205" t="str">
        <f>IF($W1555=AC$3,$AB1555,IF(NOT($W1555=0),"",SUMIFS('Val-Vol (2)'!AC$4:AC$1858,'Val-Vol (2)'!$A$4:$A$1858,$D1555,'Val-Vol (2)'!$V$4:$V$1858,$V1555)/SUMIFS('Comp2016-2017 (3)'!$G$5:$G$289,'Comp2016-2017 (3)'!$A$5:$A$289,$D1555,'Comp2016-2017 (3)'!$R$5:$R$289,$V1555)*$AB1555))</f>
        <v/>
      </c>
      <c r="AD1555" s="205">
        <f>IF($W1555=AD$3,$AB1555,IF(NOT($W1555=0),"",SUMIFS('Val-Vol (2)'!AD$4:AD$1858,'Val-Vol (2)'!$A$4:$A$1858,$D1555,'Val-Vol (2)'!$V$4:$V$1858,$V1555)/SUMIFS('Comp2016-2017 (3)'!$G$5:$G$289,'Comp2016-2017 (3)'!$A$5:$A$289,$D1555,'Comp2016-2017 (3)'!$R$5:$R$289,$V1555)*$AB1555))</f>
        <v>0</v>
      </c>
      <c r="AE1555" s="205" t="str">
        <f>IF($W1555=AE$3,$AB1555,IF(NOT($W1555=0),"",SUMIFS('Val-Vol (2)'!AE$4:AE$1858,'Val-Vol (2)'!$A$4:$A$1858,$D1555,'Val-Vol (2)'!$V$4:$V$1858,$V1555)/SUMIFS('Comp2016-2017 (3)'!$G$5:$G$289,'Comp2016-2017 (3)'!$A$5:$A$289,$D1555,'Comp2016-2017 (3)'!$R$5:$R$289,$V1555)*$AB1555))</f>
        <v/>
      </c>
      <c r="AF1555" s="205" t="str">
        <f>IF($W1555=AF$3,$AB1555,IF(NOT($W1555=0),"",SUMIFS('Val-Vol (2)'!AF$4:AF$1858,'Val-Vol (2)'!$A$4:$A$1858,$D1555,'Val-Vol (2)'!$V$4:$V$1858,$V1555)/SUMIFS('Comp2016-2017 (3)'!$G$5:$G$289,'Comp2016-2017 (3)'!$A$5:$A$289,$D1555,'Comp2016-2017 (3)'!$R$5:$R$289,$V1555)*$AB1555))</f>
        <v/>
      </c>
      <c r="AG1555" s="205" t="str">
        <f>IF($W1555=AG$3,$AB1555,IF(NOT($W1555=0),"",SUMIFS('Val-Vol (2)'!AG$4:AG$1858,'Val-Vol (2)'!$A$4:$A$1858,$D1555,'Val-Vol (2)'!$V$4:$V$1858,$V1555)/SUMIFS('Comp2016-2017 (3)'!$G$5:$G$289,'Comp2016-2017 (3)'!$A$5:$A$289,$D1555,'Comp2016-2017 (3)'!$R$5:$R$289,$V1555)*$AB1555))</f>
        <v/>
      </c>
      <c r="AH1555" s="205" t="str">
        <f>IF($W1555=AH$3,$AB1555,IF(NOT($W1555=0),"",SUMIFS('Val-Vol (2)'!AH$4:AH$1858,'Val-Vol (2)'!$A$4:$A$1858,$D1555,'Val-Vol (2)'!$V$4:$V$1858,$V1555)/SUMIFS('Comp2016-2017 (3)'!$G$5:$G$289,'Comp2016-2017 (3)'!$A$5:$A$289,$D1555,'Comp2016-2017 (3)'!$R$5:$R$289,$V1555)*$AB1555))</f>
        <v/>
      </c>
      <c r="AI1555" s="205" t="str">
        <f>IF($W1555=AI$3,$AB1555,IF(NOT($W1555=0),"",SUMIFS('Val-Vol (2)'!AI$4:AI$1858,'Val-Vol (2)'!$A$4:$A$1858,$D1555,'Val-Vol (2)'!$V$4:$V$1858,$V1555)/SUMIFS('Comp2016-2017 (3)'!$G$5:$G$289,'Comp2016-2017 (3)'!$A$5:$A$289,$D1555,'Comp2016-2017 (3)'!$R$5:$R$289,$V1555)*$AB1555))</f>
        <v/>
      </c>
      <c r="AJ1555" s="205" t="str">
        <f>IF($W1555=AJ$3,$AB1555,IF(NOT($W1555=0),"",SUMIFS('Val-Vol (2)'!AJ$4:AJ$1858,'Val-Vol (2)'!$A$4:$A$1858,$D1555,'Val-Vol (2)'!$V$4:$V$1858,$V1555)/SUMIFS('Comp2016-2017 (3)'!$G$5:$G$289,'Comp2016-2017 (3)'!$A$5:$A$289,$D1555,'Comp2016-2017 (3)'!$R$5:$R$289,$V1555)*$AB1555))</f>
        <v/>
      </c>
      <c r="AK1555" s="205">
        <f t="shared" si="177"/>
        <v>0</v>
      </c>
      <c r="AL1555" s="218" t="str">
        <f t="shared" si="179"/>
        <v/>
      </c>
      <c r="AM1555" s="218" t="str">
        <f>VLOOKUP(A1555,'Table corresp.'!$M$4:$U$63,8,FALSE)</f>
        <v>Production intermédiaire</v>
      </c>
      <c r="AN1555" s="218" t="str">
        <f>VLOOKUP(D1555,'Table corresp.'!$M$4:$U$63,9,FALSE)</f>
        <v>Production finale</v>
      </c>
    </row>
    <row r="1556" spans="1:40" x14ac:dyDescent="0.25">
      <c r="A1556" t="s">
        <v>4</v>
      </c>
      <c r="B1556" t="str">
        <f>VLOOKUP(LEFT(A1556,3),'Table corresp.'!$A$4:$D$63,3,FALSE)</f>
        <v>Transformation</v>
      </c>
      <c r="C1556" t="str">
        <f>VLOOKUP(A1556,'Table corresp.'!$M$4:$P$63,4,FALSE)</f>
        <v>Production et transformation de produits bois</v>
      </c>
      <c r="D1556" t="s">
        <v>15</v>
      </c>
      <c r="E1556" t="str">
        <f>VLOOKUP(LEFT(D1556,3),'Table corresp.'!$A$4:$D$63,4,FALSE)</f>
        <v>Transformation</v>
      </c>
      <c r="F1556" t="str">
        <f t="shared" si="180"/>
        <v xml:space="preserve">08  - 35 </v>
      </c>
      <c r="G1556" s="238">
        <v>17083.727992234199</v>
      </c>
      <c r="H1556" s="238">
        <v>1086.0012340072899</v>
      </c>
      <c r="I1556" s="238">
        <v>18169.729226241499</v>
      </c>
      <c r="J1556" s="238">
        <v>42.241355488745228</v>
      </c>
      <c r="K1556" s="238">
        <v>3.0615817971805952</v>
      </c>
      <c r="L1556" s="238">
        <v>45.302937285925822</v>
      </c>
      <c r="M1556" s="238"/>
      <c r="N1556" s="238"/>
      <c r="O1556" s="238"/>
      <c r="P1556" s="238"/>
      <c r="Q1556" s="238"/>
      <c r="R1556" s="238"/>
      <c r="S1556" s="238"/>
      <c r="T1556" s="218">
        <f>VLOOKUP(A1556,'Groupe de branches'!$Z$27:$AM$86,14,FALSE)</f>
        <v>0</v>
      </c>
      <c r="U1556" s="218">
        <f>VLOOKUP(D1556,'Groupe de branches'!$Z$27:$AM$86,14,FALSE)</f>
        <v>0</v>
      </c>
      <c r="V1556" s="218">
        <v>2020</v>
      </c>
      <c r="W1556" s="218" t="str">
        <f>VLOOKUP(D1556,'Table corresp.'!$M$4:$S$63,7,FALSE)</f>
        <v>Construction</v>
      </c>
      <c r="X1556" s="240">
        <f>IFERROR(G1556/SUMIFS('Comp2016-2017 (3)'!$I$5:$I$289,'Comp2016-2017 (3)'!$A$5:$A$289,A1556,'Comp2016-2017 (3)'!$R$5:$R$289,V1556),0)</f>
        <v>3.0191971911677488E-2</v>
      </c>
      <c r="Y1556" s="219" t="e">
        <f>IF(RIGHT(F1556,3)="Exp",VLOOKUP(F1556,#REF!,2,FALSE),VLOOKUP(F1556,#REF!,9,FALSE))</f>
        <v>#REF!</v>
      </c>
      <c r="Z1556" s="226" t="str">
        <f t="shared" si="181"/>
        <v/>
      </c>
      <c r="AA1556" s="226" t="e">
        <f t="shared" si="178"/>
        <v>#VALUE!</v>
      </c>
      <c r="AB1556" s="205">
        <f>IFERROR(SUMIFS('Comp2016-2017 (3)'!$G$5:$G$289,'Comp2016-2017 (3)'!$A$5:$A$289,A1556,'Comp2016-2017 (3)'!$R$5:$R$289,V1556)*AA1556/SUMIFS($AA$4:$AA$1858,$A$4:$A$1858,A1556,$V$4:$V$1858,V1556),0)</f>
        <v>0</v>
      </c>
      <c r="AC1556" s="205" t="str">
        <f>IF($W1556=AC$3,$AB1556,IF(NOT($W1556=0),"",SUMIFS('Val-Vol (2)'!AC$4:AC$1858,'Val-Vol (2)'!$A$4:$A$1858,$D1556,'Val-Vol (2)'!$V$4:$V$1858,$V1556)/SUMIFS('Comp2016-2017 (3)'!$G$5:$G$289,'Comp2016-2017 (3)'!$A$5:$A$289,$D1556,'Comp2016-2017 (3)'!$R$5:$R$289,$V1556)*$AB1556))</f>
        <v/>
      </c>
      <c r="AD1556" s="205">
        <f>IF($W1556=AD$3,$AB1556,IF(NOT($W1556=0),"",SUMIFS('Val-Vol (2)'!AD$4:AD$1858,'Val-Vol (2)'!$A$4:$A$1858,$D1556,'Val-Vol (2)'!$V$4:$V$1858,$V1556)/SUMIFS('Comp2016-2017 (3)'!$G$5:$G$289,'Comp2016-2017 (3)'!$A$5:$A$289,$D1556,'Comp2016-2017 (3)'!$R$5:$R$289,$V1556)*$AB1556))</f>
        <v>0</v>
      </c>
      <c r="AE1556" s="205" t="str">
        <f>IF($W1556=AE$3,$AB1556,IF(NOT($W1556=0),"",SUMIFS('Val-Vol (2)'!AE$4:AE$1858,'Val-Vol (2)'!$A$4:$A$1858,$D1556,'Val-Vol (2)'!$V$4:$V$1858,$V1556)/SUMIFS('Comp2016-2017 (3)'!$G$5:$G$289,'Comp2016-2017 (3)'!$A$5:$A$289,$D1556,'Comp2016-2017 (3)'!$R$5:$R$289,$V1556)*$AB1556))</f>
        <v/>
      </c>
      <c r="AF1556" s="205" t="str">
        <f>IF($W1556=AF$3,$AB1556,IF(NOT($W1556=0),"",SUMIFS('Val-Vol (2)'!AF$4:AF$1858,'Val-Vol (2)'!$A$4:$A$1858,$D1556,'Val-Vol (2)'!$V$4:$V$1858,$V1556)/SUMIFS('Comp2016-2017 (3)'!$G$5:$G$289,'Comp2016-2017 (3)'!$A$5:$A$289,$D1556,'Comp2016-2017 (3)'!$R$5:$R$289,$V1556)*$AB1556))</f>
        <v/>
      </c>
      <c r="AG1556" s="205" t="str">
        <f>IF($W1556=AG$3,$AB1556,IF(NOT($W1556=0),"",SUMIFS('Val-Vol (2)'!AG$4:AG$1858,'Val-Vol (2)'!$A$4:$A$1858,$D1556,'Val-Vol (2)'!$V$4:$V$1858,$V1556)/SUMIFS('Comp2016-2017 (3)'!$G$5:$G$289,'Comp2016-2017 (3)'!$A$5:$A$289,$D1556,'Comp2016-2017 (3)'!$R$5:$R$289,$V1556)*$AB1556))</f>
        <v/>
      </c>
      <c r="AH1556" s="205" t="str">
        <f>IF($W1556=AH$3,$AB1556,IF(NOT($W1556=0),"",SUMIFS('Val-Vol (2)'!AH$4:AH$1858,'Val-Vol (2)'!$A$4:$A$1858,$D1556,'Val-Vol (2)'!$V$4:$V$1858,$V1556)/SUMIFS('Comp2016-2017 (3)'!$G$5:$G$289,'Comp2016-2017 (3)'!$A$5:$A$289,$D1556,'Comp2016-2017 (3)'!$R$5:$R$289,$V1556)*$AB1556))</f>
        <v/>
      </c>
      <c r="AI1556" s="205" t="str">
        <f>IF($W1556=AI$3,$AB1556,IF(NOT($W1556=0),"",SUMIFS('Val-Vol (2)'!AI$4:AI$1858,'Val-Vol (2)'!$A$4:$A$1858,$D1556,'Val-Vol (2)'!$V$4:$V$1858,$V1556)/SUMIFS('Comp2016-2017 (3)'!$G$5:$G$289,'Comp2016-2017 (3)'!$A$5:$A$289,$D1556,'Comp2016-2017 (3)'!$R$5:$R$289,$V1556)*$AB1556))</f>
        <v/>
      </c>
      <c r="AJ1556" s="205" t="str">
        <f>IF($W1556=AJ$3,$AB1556,IF(NOT($W1556=0),"",SUMIFS('Val-Vol (2)'!AJ$4:AJ$1858,'Val-Vol (2)'!$A$4:$A$1858,$D1556,'Val-Vol (2)'!$V$4:$V$1858,$V1556)/SUMIFS('Comp2016-2017 (3)'!$G$5:$G$289,'Comp2016-2017 (3)'!$A$5:$A$289,$D1556,'Comp2016-2017 (3)'!$R$5:$R$289,$V1556)*$AB1556))</f>
        <v/>
      </c>
      <c r="AK1556" s="205">
        <f t="shared" si="177"/>
        <v>0</v>
      </c>
      <c r="AL1556" s="218" t="str">
        <f t="shared" si="179"/>
        <v/>
      </c>
      <c r="AM1556" s="218" t="str">
        <f>VLOOKUP(A1556,'Table corresp.'!$M$4:$U$63,8,FALSE)</f>
        <v>Production intermédiaire</v>
      </c>
      <c r="AN1556" s="218" t="str">
        <f>VLOOKUP(D1556,'Table corresp.'!$M$4:$U$63,9,FALSE)</f>
        <v>Production finale</v>
      </c>
    </row>
    <row r="1557" spans="1:40" x14ac:dyDescent="0.25">
      <c r="A1557" t="s">
        <v>4</v>
      </c>
      <c r="B1557" t="str">
        <f>VLOOKUP(LEFT(A1557,3),'Table corresp.'!$A$4:$D$63,3,FALSE)</f>
        <v>Transformation</v>
      </c>
      <c r="C1557" t="str">
        <f>VLOOKUP(A1557,'Table corresp.'!$M$4:$P$63,4,FALSE)</f>
        <v>Production et transformation de produits bois</v>
      </c>
      <c r="D1557" t="s">
        <v>16</v>
      </c>
      <c r="E1557" t="str">
        <f>VLOOKUP(LEFT(D1557,3),'Table corresp.'!$A$4:$D$63,4,FALSE)</f>
        <v>Transformation</v>
      </c>
      <c r="F1557" t="str">
        <f t="shared" si="180"/>
        <v xml:space="preserve">08  - 36 </v>
      </c>
      <c r="G1557" s="238">
        <v>7660.9704823943202</v>
      </c>
      <c r="H1557" s="238">
        <v>1129.2443376036399</v>
      </c>
      <c r="I1557" s="238">
        <v>8790.2148199979601</v>
      </c>
      <c r="J1557" s="238">
        <v>24.354737687434508</v>
      </c>
      <c r="K1557" s="238">
        <v>4.093058382154946</v>
      </c>
      <c r="L1557" s="238">
        <v>28.447796069589455</v>
      </c>
      <c r="M1557" s="238"/>
      <c r="N1557" s="238"/>
      <c r="O1557" s="238"/>
      <c r="P1557" s="238"/>
      <c r="Q1557" s="238"/>
      <c r="R1557" s="238"/>
      <c r="S1557" s="238"/>
      <c r="T1557" s="218">
        <f>VLOOKUP(A1557,'Groupe de branches'!$Z$27:$AM$86,14,FALSE)</f>
        <v>0</v>
      </c>
      <c r="U1557" s="218">
        <f>VLOOKUP(D1557,'Groupe de branches'!$Z$27:$AM$86,14,FALSE)</f>
        <v>0</v>
      </c>
      <c r="V1557" s="218">
        <v>2020</v>
      </c>
      <c r="W1557" s="218" t="str">
        <f>VLOOKUP(D1557,'Table corresp.'!$M$4:$S$63,7,FALSE)</f>
        <v>Construction</v>
      </c>
      <c r="X1557" s="240">
        <f>IFERROR(G1557/SUMIFS('Comp2016-2017 (3)'!$I$5:$I$289,'Comp2016-2017 (3)'!$A$5:$A$289,A1557,'Comp2016-2017 (3)'!$R$5:$R$289,V1557),0)</f>
        <v>1.3539188034706611E-2</v>
      </c>
      <c r="Y1557" s="219" t="e">
        <f>IF(RIGHT(F1557,3)="Exp",VLOOKUP(F1557,#REF!,2,FALSE),VLOOKUP(F1557,#REF!,9,FALSE))</f>
        <v>#REF!</v>
      </c>
      <c r="Z1557" s="226" t="str">
        <f t="shared" si="181"/>
        <v/>
      </c>
      <c r="AA1557" s="226" t="e">
        <f t="shared" si="178"/>
        <v>#VALUE!</v>
      </c>
      <c r="AB1557" s="205">
        <f>IFERROR(SUMIFS('Comp2016-2017 (3)'!$G$5:$G$289,'Comp2016-2017 (3)'!$A$5:$A$289,A1557,'Comp2016-2017 (3)'!$R$5:$R$289,V1557)*AA1557/SUMIFS($AA$4:$AA$1858,$A$4:$A$1858,A1557,$V$4:$V$1858,V1557),0)</f>
        <v>0</v>
      </c>
      <c r="AC1557" s="205" t="str">
        <f>IF($W1557=AC$3,$AB1557,IF(NOT($W1557=0),"",SUMIFS('Val-Vol (2)'!AC$4:AC$1858,'Val-Vol (2)'!$A$4:$A$1858,$D1557,'Val-Vol (2)'!$V$4:$V$1858,$V1557)/SUMIFS('Comp2016-2017 (3)'!$G$5:$G$289,'Comp2016-2017 (3)'!$A$5:$A$289,$D1557,'Comp2016-2017 (3)'!$R$5:$R$289,$V1557)*$AB1557))</f>
        <v/>
      </c>
      <c r="AD1557" s="205">
        <f>IF($W1557=AD$3,$AB1557,IF(NOT($W1557=0),"",SUMIFS('Val-Vol (2)'!AD$4:AD$1858,'Val-Vol (2)'!$A$4:$A$1858,$D1557,'Val-Vol (2)'!$V$4:$V$1858,$V1557)/SUMIFS('Comp2016-2017 (3)'!$G$5:$G$289,'Comp2016-2017 (3)'!$A$5:$A$289,$D1557,'Comp2016-2017 (3)'!$R$5:$R$289,$V1557)*$AB1557))</f>
        <v>0</v>
      </c>
      <c r="AE1557" s="205" t="str">
        <f>IF($W1557=AE$3,$AB1557,IF(NOT($W1557=0),"",SUMIFS('Val-Vol (2)'!AE$4:AE$1858,'Val-Vol (2)'!$A$4:$A$1858,$D1557,'Val-Vol (2)'!$V$4:$V$1858,$V1557)/SUMIFS('Comp2016-2017 (3)'!$G$5:$G$289,'Comp2016-2017 (3)'!$A$5:$A$289,$D1557,'Comp2016-2017 (3)'!$R$5:$R$289,$V1557)*$AB1557))</f>
        <v/>
      </c>
      <c r="AF1557" s="205" t="str">
        <f>IF($W1557=AF$3,$AB1557,IF(NOT($W1557=0),"",SUMIFS('Val-Vol (2)'!AF$4:AF$1858,'Val-Vol (2)'!$A$4:$A$1858,$D1557,'Val-Vol (2)'!$V$4:$V$1858,$V1557)/SUMIFS('Comp2016-2017 (3)'!$G$5:$G$289,'Comp2016-2017 (3)'!$A$5:$A$289,$D1557,'Comp2016-2017 (3)'!$R$5:$R$289,$V1557)*$AB1557))</f>
        <v/>
      </c>
      <c r="AG1557" s="205" t="str">
        <f>IF($W1557=AG$3,$AB1557,IF(NOT($W1557=0),"",SUMIFS('Val-Vol (2)'!AG$4:AG$1858,'Val-Vol (2)'!$A$4:$A$1858,$D1557,'Val-Vol (2)'!$V$4:$V$1858,$V1557)/SUMIFS('Comp2016-2017 (3)'!$G$5:$G$289,'Comp2016-2017 (3)'!$A$5:$A$289,$D1557,'Comp2016-2017 (3)'!$R$5:$R$289,$V1557)*$AB1557))</f>
        <v/>
      </c>
      <c r="AH1557" s="205" t="str">
        <f>IF($W1557=AH$3,$AB1557,IF(NOT($W1557=0),"",SUMIFS('Val-Vol (2)'!AH$4:AH$1858,'Val-Vol (2)'!$A$4:$A$1858,$D1557,'Val-Vol (2)'!$V$4:$V$1858,$V1557)/SUMIFS('Comp2016-2017 (3)'!$G$5:$G$289,'Comp2016-2017 (3)'!$A$5:$A$289,$D1557,'Comp2016-2017 (3)'!$R$5:$R$289,$V1557)*$AB1557))</f>
        <v/>
      </c>
      <c r="AI1557" s="205" t="str">
        <f>IF($W1557=AI$3,$AB1557,IF(NOT($W1557=0),"",SUMIFS('Val-Vol (2)'!AI$4:AI$1858,'Val-Vol (2)'!$A$4:$A$1858,$D1557,'Val-Vol (2)'!$V$4:$V$1858,$V1557)/SUMIFS('Comp2016-2017 (3)'!$G$5:$G$289,'Comp2016-2017 (3)'!$A$5:$A$289,$D1557,'Comp2016-2017 (3)'!$R$5:$R$289,$V1557)*$AB1557))</f>
        <v/>
      </c>
      <c r="AJ1557" s="205" t="str">
        <f>IF($W1557=AJ$3,$AB1557,IF(NOT($W1557=0),"",SUMIFS('Val-Vol (2)'!AJ$4:AJ$1858,'Val-Vol (2)'!$A$4:$A$1858,$D1557,'Val-Vol (2)'!$V$4:$V$1858,$V1557)/SUMIFS('Comp2016-2017 (3)'!$G$5:$G$289,'Comp2016-2017 (3)'!$A$5:$A$289,$D1557,'Comp2016-2017 (3)'!$R$5:$R$289,$V1557)*$AB1557))</f>
        <v/>
      </c>
      <c r="AK1557" s="205">
        <f t="shared" si="177"/>
        <v>0</v>
      </c>
      <c r="AL1557" s="218" t="str">
        <f t="shared" si="179"/>
        <v/>
      </c>
      <c r="AM1557" s="218" t="str">
        <f>VLOOKUP(A1557,'Table corresp.'!$M$4:$U$63,8,FALSE)</f>
        <v>Production intermédiaire</v>
      </c>
      <c r="AN1557" s="218" t="str">
        <f>VLOOKUP(D1557,'Table corresp.'!$M$4:$U$63,9,FALSE)</f>
        <v>Production finale</v>
      </c>
    </row>
    <row r="1558" spans="1:40" x14ac:dyDescent="0.25">
      <c r="A1558" t="s">
        <v>4</v>
      </c>
      <c r="B1558" t="str">
        <f>VLOOKUP(LEFT(A1558,3),'Table corresp.'!$A$4:$D$63,3,FALSE)</f>
        <v>Transformation</v>
      </c>
      <c r="C1558" t="str">
        <f>VLOOKUP(A1558,'Table corresp.'!$M$4:$P$63,4,FALSE)</f>
        <v>Production et transformation de produits bois</v>
      </c>
      <c r="D1558" t="s">
        <v>92</v>
      </c>
      <c r="E1558" t="str">
        <f>VLOOKUP(LEFT(D1558,3),'Table corresp.'!$A$4:$D$63,4,FALSE)</f>
        <v>Transformation</v>
      </c>
      <c r="F1558" t="str">
        <f t="shared" si="180"/>
        <v xml:space="preserve">08  - 40 </v>
      </c>
      <c r="G1558" s="238">
        <v>2658.2300923201801</v>
      </c>
      <c r="H1558" s="238">
        <v>0</v>
      </c>
      <c r="I1558" s="238">
        <v>2658.2300923201801</v>
      </c>
      <c r="J1558" s="238">
        <v>10.755425291935168</v>
      </c>
      <c r="K1558" s="238">
        <v>0</v>
      </c>
      <c r="L1558" s="238">
        <v>10.755425291935168</v>
      </c>
      <c r="M1558" s="238"/>
      <c r="N1558" s="238"/>
      <c r="O1558" s="238"/>
      <c r="P1558" s="238"/>
      <c r="Q1558" s="238"/>
      <c r="R1558" s="238"/>
      <c r="S1558" s="238"/>
      <c r="T1558" s="218">
        <f>VLOOKUP(A1558,'Groupe de branches'!$Z$27:$AM$86,14,FALSE)</f>
        <v>0</v>
      </c>
      <c r="U1558" s="218">
        <f>VLOOKUP(D1558,'Groupe de branches'!$Z$27:$AM$86,14,FALSE)</f>
        <v>0</v>
      </c>
      <c r="V1558" s="218">
        <v>2020</v>
      </c>
      <c r="W1558" s="218" t="str">
        <f>VLOOKUP(D1558,'Table corresp.'!$M$4:$S$63,7,FALSE)</f>
        <v>Construction</v>
      </c>
      <c r="X1558" s="240">
        <f>IFERROR(G1558/SUMIFS('Comp2016-2017 (3)'!$I$5:$I$289,'Comp2016-2017 (3)'!$A$5:$A$289,A1558,'Comp2016-2017 (3)'!$R$5:$R$289,V1558),0)</f>
        <v>4.6978743936094917E-3</v>
      </c>
      <c r="Y1558" s="219" t="e">
        <f>IF(RIGHT(F1558,3)="Exp",VLOOKUP(F1558,#REF!,2,FALSE),VLOOKUP(F1558,#REF!,9,FALSE))</f>
        <v>#REF!</v>
      </c>
      <c r="Z1558" s="226" t="str">
        <f t="shared" si="181"/>
        <v/>
      </c>
      <c r="AA1558" s="226" t="e">
        <f t="shared" si="178"/>
        <v>#VALUE!</v>
      </c>
      <c r="AB1558" s="205">
        <f>IFERROR(SUMIFS('Comp2016-2017 (3)'!$G$5:$G$289,'Comp2016-2017 (3)'!$A$5:$A$289,A1558,'Comp2016-2017 (3)'!$R$5:$R$289,V1558)*AA1558/SUMIFS($AA$4:$AA$1858,$A$4:$A$1858,A1558,$V$4:$V$1858,V1558),0)</f>
        <v>0</v>
      </c>
      <c r="AC1558" s="205" t="str">
        <f>IF($W1558=AC$3,$AB1558,IF(NOT($W1558=0),"",SUMIFS('Val-Vol (2)'!AC$4:AC$1858,'Val-Vol (2)'!$A$4:$A$1858,$D1558,'Val-Vol (2)'!$V$4:$V$1858,$V1558)/SUMIFS('Comp2016-2017 (3)'!$G$5:$G$289,'Comp2016-2017 (3)'!$A$5:$A$289,$D1558,'Comp2016-2017 (3)'!$R$5:$R$289,$V1558)*$AB1558))</f>
        <v/>
      </c>
      <c r="AD1558" s="205">
        <f>IF($W1558=AD$3,$AB1558,IF(NOT($W1558=0),"",SUMIFS('Val-Vol (2)'!AD$4:AD$1858,'Val-Vol (2)'!$A$4:$A$1858,$D1558,'Val-Vol (2)'!$V$4:$V$1858,$V1558)/SUMIFS('Comp2016-2017 (3)'!$G$5:$G$289,'Comp2016-2017 (3)'!$A$5:$A$289,$D1558,'Comp2016-2017 (3)'!$R$5:$R$289,$V1558)*$AB1558))</f>
        <v>0</v>
      </c>
      <c r="AE1558" s="205" t="str">
        <f>IF($W1558=AE$3,$AB1558,IF(NOT($W1558=0),"",SUMIFS('Val-Vol (2)'!AE$4:AE$1858,'Val-Vol (2)'!$A$4:$A$1858,$D1558,'Val-Vol (2)'!$V$4:$V$1858,$V1558)/SUMIFS('Comp2016-2017 (3)'!$G$5:$G$289,'Comp2016-2017 (3)'!$A$5:$A$289,$D1558,'Comp2016-2017 (3)'!$R$5:$R$289,$V1558)*$AB1558))</f>
        <v/>
      </c>
      <c r="AF1558" s="205" t="str">
        <f>IF($W1558=AF$3,$AB1558,IF(NOT($W1558=0),"",SUMIFS('Val-Vol (2)'!AF$4:AF$1858,'Val-Vol (2)'!$A$4:$A$1858,$D1558,'Val-Vol (2)'!$V$4:$V$1858,$V1558)/SUMIFS('Comp2016-2017 (3)'!$G$5:$G$289,'Comp2016-2017 (3)'!$A$5:$A$289,$D1558,'Comp2016-2017 (3)'!$R$5:$R$289,$V1558)*$AB1558))</f>
        <v/>
      </c>
      <c r="AG1558" s="205" t="str">
        <f>IF($W1558=AG$3,$AB1558,IF(NOT($W1558=0),"",SUMIFS('Val-Vol (2)'!AG$4:AG$1858,'Val-Vol (2)'!$A$4:$A$1858,$D1558,'Val-Vol (2)'!$V$4:$V$1858,$V1558)/SUMIFS('Comp2016-2017 (3)'!$G$5:$G$289,'Comp2016-2017 (3)'!$A$5:$A$289,$D1558,'Comp2016-2017 (3)'!$R$5:$R$289,$V1558)*$AB1558))</f>
        <v/>
      </c>
      <c r="AH1558" s="205" t="str">
        <f>IF($W1558=AH$3,$AB1558,IF(NOT($W1558=0),"",SUMIFS('Val-Vol (2)'!AH$4:AH$1858,'Val-Vol (2)'!$A$4:$A$1858,$D1558,'Val-Vol (2)'!$V$4:$V$1858,$V1558)/SUMIFS('Comp2016-2017 (3)'!$G$5:$G$289,'Comp2016-2017 (3)'!$A$5:$A$289,$D1558,'Comp2016-2017 (3)'!$R$5:$R$289,$V1558)*$AB1558))</f>
        <v/>
      </c>
      <c r="AI1558" s="205" t="str">
        <f>IF($W1558=AI$3,$AB1558,IF(NOT($W1558=0),"",SUMIFS('Val-Vol (2)'!AI$4:AI$1858,'Val-Vol (2)'!$A$4:$A$1858,$D1558,'Val-Vol (2)'!$V$4:$V$1858,$V1558)/SUMIFS('Comp2016-2017 (3)'!$G$5:$G$289,'Comp2016-2017 (3)'!$A$5:$A$289,$D1558,'Comp2016-2017 (3)'!$R$5:$R$289,$V1558)*$AB1558))</f>
        <v/>
      </c>
      <c r="AJ1558" s="205" t="str">
        <f>IF($W1558=AJ$3,$AB1558,IF(NOT($W1558=0),"",SUMIFS('Val-Vol (2)'!AJ$4:AJ$1858,'Val-Vol (2)'!$A$4:$A$1858,$D1558,'Val-Vol (2)'!$V$4:$V$1858,$V1558)/SUMIFS('Comp2016-2017 (3)'!$G$5:$G$289,'Comp2016-2017 (3)'!$A$5:$A$289,$D1558,'Comp2016-2017 (3)'!$R$5:$R$289,$V1558)*$AB1558))</f>
        <v/>
      </c>
      <c r="AK1558" s="205">
        <f t="shared" si="177"/>
        <v>0</v>
      </c>
      <c r="AL1558" s="218" t="str">
        <f t="shared" si="179"/>
        <v/>
      </c>
      <c r="AM1558" s="218" t="str">
        <f>VLOOKUP(A1558,'Table corresp.'!$M$4:$U$63,8,FALSE)</f>
        <v>Production intermédiaire</v>
      </c>
      <c r="AN1558" s="218" t="str">
        <f>VLOOKUP(D1558,'Table corresp.'!$M$4:$U$63,9,FALSE)</f>
        <v>Production finale</v>
      </c>
    </row>
    <row r="1559" spans="1:40" x14ac:dyDescent="0.25">
      <c r="A1559" t="s">
        <v>4</v>
      </c>
      <c r="B1559" t="str">
        <f>VLOOKUP(LEFT(A1559,3),'Table corresp.'!$A$4:$D$63,3,FALSE)</f>
        <v>Transformation</v>
      </c>
      <c r="C1559" t="str">
        <f>VLOOKUP(A1559,'Table corresp.'!$M$4:$P$63,4,FALSE)</f>
        <v>Production et transformation de produits bois</v>
      </c>
      <c r="D1559" t="s">
        <v>99</v>
      </c>
      <c r="E1559" t="str">
        <f>VLOOKUP(LEFT(D1559,3),'Table corresp.'!$A$4:$D$63,4,FALSE)</f>
        <v>Transformation</v>
      </c>
      <c r="F1559" t="str">
        <f t="shared" si="180"/>
        <v xml:space="preserve">08  - 47 </v>
      </c>
      <c r="G1559" s="238">
        <v>86586.050628316298</v>
      </c>
      <c r="H1559" s="238">
        <v>22737.112603120298</v>
      </c>
      <c r="I1559" s="238">
        <v>109323.16323143701</v>
      </c>
      <c r="J1559" s="238">
        <v>214.09332591924942</v>
      </c>
      <c r="K1559" s="238">
        <v>64.098941959113219</v>
      </c>
      <c r="L1559" s="238">
        <v>278.19226787836266</v>
      </c>
      <c r="M1559" s="238"/>
      <c r="N1559" s="238"/>
      <c r="O1559" s="238"/>
      <c r="P1559" s="238"/>
      <c r="Q1559" s="238"/>
      <c r="R1559" s="238"/>
      <c r="S1559" s="238"/>
      <c r="T1559" s="218">
        <f>VLOOKUP(A1559,'Groupe de branches'!$Z$27:$AM$86,14,FALSE)</f>
        <v>0</v>
      </c>
      <c r="U1559" s="218">
        <f>VLOOKUP(D1559,'Groupe de branches'!$Z$27:$AM$86,14,FALSE)</f>
        <v>0</v>
      </c>
      <c r="V1559" s="218">
        <v>2020</v>
      </c>
      <c r="W1559" s="218" t="str">
        <f>VLOOKUP(D1559,'Table corresp.'!$M$4:$S$63,7,FALSE)</f>
        <v>Meuble</v>
      </c>
      <c r="X1559" s="240">
        <f>IFERROR(G1559/SUMIFS('Comp2016-2017 (3)'!$I$5:$I$289,'Comp2016-2017 (3)'!$A$5:$A$289,A1559,'Comp2016-2017 (3)'!$R$5:$R$289,V1559),0)</f>
        <v>0.15302301755808551</v>
      </c>
      <c r="Y1559" s="219" t="e">
        <f>IF(RIGHT(F1559,3)="Exp",VLOOKUP(F1559,#REF!,2,FALSE),VLOOKUP(F1559,#REF!,9,FALSE))</f>
        <v>#REF!</v>
      </c>
      <c r="Z1559" s="226" t="str">
        <f t="shared" si="181"/>
        <v/>
      </c>
      <c r="AA1559" s="226" t="e">
        <f t="shared" si="178"/>
        <v>#VALUE!</v>
      </c>
      <c r="AB1559" s="205">
        <f>IFERROR(SUMIFS('Comp2016-2017 (3)'!$G$5:$G$289,'Comp2016-2017 (3)'!$A$5:$A$289,A1559,'Comp2016-2017 (3)'!$R$5:$R$289,V1559)*AA1559/SUMIFS($AA$4:$AA$1858,$A$4:$A$1858,A1559,$V$4:$V$1858,V1559),0)</f>
        <v>0</v>
      </c>
      <c r="AC1559" s="205" t="str">
        <f>IF($W1559=AC$3,$AB1559,IF(NOT($W1559=0),"",SUMIFS('Val-Vol (2)'!AC$4:AC$1858,'Val-Vol (2)'!$A$4:$A$1858,$D1559,'Val-Vol (2)'!$V$4:$V$1858,$V1559)/SUMIFS('Comp2016-2017 (3)'!$G$5:$G$289,'Comp2016-2017 (3)'!$A$5:$A$289,$D1559,'Comp2016-2017 (3)'!$R$5:$R$289,$V1559)*$AB1559))</f>
        <v/>
      </c>
      <c r="AD1559" s="205" t="str">
        <f>IF($W1559=AD$3,$AB1559,IF(NOT($W1559=0),"",SUMIFS('Val-Vol (2)'!AD$4:AD$1858,'Val-Vol (2)'!$A$4:$A$1858,$D1559,'Val-Vol (2)'!$V$4:$V$1858,$V1559)/SUMIFS('Comp2016-2017 (3)'!$G$5:$G$289,'Comp2016-2017 (3)'!$A$5:$A$289,$D1559,'Comp2016-2017 (3)'!$R$5:$R$289,$V1559)*$AB1559))</f>
        <v/>
      </c>
      <c r="AE1559" s="205">
        <f>IF($W1559=AE$3,$AB1559,IF(NOT($W1559=0),"",SUMIFS('Val-Vol (2)'!AE$4:AE$1858,'Val-Vol (2)'!$A$4:$A$1858,$D1559,'Val-Vol (2)'!$V$4:$V$1858,$V1559)/SUMIFS('Comp2016-2017 (3)'!$G$5:$G$289,'Comp2016-2017 (3)'!$A$5:$A$289,$D1559,'Comp2016-2017 (3)'!$R$5:$R$289,$V1559)*$AB1559))</f>
        <v>0</v>
      </c>
      <c r="AF1559" s="205" t="str">
        <f>IF($W1559=AF$3,$AB1559,IF(NOT($W1559=0),"",SUMIFS('Val-Vol (2)'!AF$4:AF$1858,'Val-Vol (2)'!$A$4:$A$1858,$D1559,'Val-Vol (2)'!$V$4:$V$1858,$V1559)/SUMIFS('Comp2016-2017 (3)'!$G$5:$G$289,'Comp2016-2017 (3)'!$A$5:$A$289,$D1559,'Comp2016-2017 (3)'!$R$5:$R$289,$V1559)*$AB1559))</f>
        <v/>
      </c>
      <c r="AG1559" s="205" t="str">
        <f>IF($W1559=AG$3,$AB1559,IF(NOT($W1559=0),"",SUMIFS('Val-Vol (2)'!AG$4:AG$1858,'Val-Vol (2)'!$A$4:$A$1858,$D1559,'Val-Vol (2)'!$V$4:$V$1858,$V1559)/SUMIFS('Comp2016-2017 (3)'!$G$5:$G$289,'Comp2016-2017 (3)'!$A$5:$A$289,$D1559,'Comp2016-2017 (3)'!$R$5:$R$289,$V1559)*$AB1559))</f>
        <v/>
      </c>
      <c r="AH1559" s="205" t="str">
        <f>IF($W1559=AH$3,$AB1559,IF(NOT($W1559=0),"",SUMIFS('Val-Vol (2)'!AH$4:AH$1858,'Val-Vol (2)'!$A$4:$A$1858,$D1559,'Val-Vol (2)'!$V$4:$V$1858,$V1559)/SUMIFS('Comp2016-2017 (3)'!$G$5:$G$289,'Comp2016-2017 (3)'!$A$5:$A$289,$D1559,'Comp2016-2017 (3)'!$R$5:$R$289,$V1559)*$AB1559))</f>
        <v/>
      </c>
      <c r="AI1559" s="205" t="str">
        <f>IF($W1559=AI$3,$AB1559,IF(NOT($W1559=0),"",SUMIFS('Val-Vol (2)'!AI$4:AI$1858,'Val-Vol (2)'!$A$4:$A$1858,$D1559,'Val-Vol (2)'!$V$4:$V$1858,$V1559)/SUMIFS('Comp2016-2017 (3)'!$G$5:$G$289,'Comp2016-2017 (3)'!$A$5:$A$289,$D1559,'Comp2016-2017 (3)'!$R$5:$R$289,$V1559)*$AB1559))</f>
        <v/>
      </c>
      <c r="AJ1559" s="205" t="str">
        <f>IF($W1559=AJ$3,$AB1559,IF(NOT($W1559=0),"",SUMIFS('Val-Vol (2)'!AJ$4:AJ$1858,'Val-Vol (2)'!$A$4:$A$1858,$D1559,'Val-Vol (2)'!$V$4:$V$1858,$V1559)/SUMIFS('Comp2016-2017 (3)'!$G$5:$G$289,'Comp2016-2017 (3)'!$A$5:$A$289,$D1559,'Comp2016-2017 (3)'!$R$5:$R$289,$V1559)*$AB1559))</f>
        <v/>
      </c>
      <c r="AK1559" s="205">
        <f t="shared" si="177"/>
        <v>0</v>
      </c>
      <c r="AL1559" s="218" t="str">
        <f t="shared" si="179"/>
        <v/>
      </c>
      <c r="AM1559" s="218" t="str">
        <f>VLOOKUP(A1559,'Table corresp.'!$M$4:$U$63,8,FALSE)</f>
        <v>Production intermédiaire</v>
      </c>
      <c r="AN1559" s="218" t="str">
        <f>VLOOKUP(D1559,'Table corresp.'!$M$4:$U$63,9,FALSE)</f>
        <v>Production finale</v>
      </c>
    </row>
    <row r="1560" spans="1:40" x14ac:dyDescent="0.25">
      <c r="A1560" t="s">
        <v>4</v>
      </c>
      <c r="B1560" t="str">
        <f>VLOOKUP(LEFT(A1560,3),'Table corresp.'!$A$4:$D$63,3,FALSE)</f>
        <v>Transformation</v>
      </c>
      <c r="C1560" t="str">
        <f>VLOOKUP(A1560,'Table corresp.'!$M$4:$P$63,4,FALSE)</f>
        <v>Production et transformation de produits bois</v>
      </c>
      <c r="D1560" t="s">
        <v>100</v>
      </c>
      <c r="E1560" t="str">
        <f>VLOOKUP(LEFT(D1560,3),'Table corresp.'!$A$4:$D$63,4,FALSE)</f>
        <v>Transformation</v>
      </c>
      <c r="F1560" t="str">
        <f t="shared" si="180"/>
        <v xml:space="preserve">08  - 48 </v>
      </c>
      <c r="G1560" s="238">
        <v>62067.036098944802</v>
      </c>
      <c r="H1560" s="238">
        <v>0</v>
      </c>
      <c r="I1560" s="238">
        <v>62067.036098944802</v>
      </c>
      <c r="J1560" s="238">
        <v>138.12068205851187</v>
      </c>
      <c r="K1560" s="238">
        <v>0</v>
      </c>
      <c r="L1560" s="238">
        <v>138.12068205851187</v>
      </c>
      <c r="M1560" s="238"/>
      <c r="N1560" s="238"/>
      <c r="O1560" s="238"/>
      <c r="P1560" s="238"/>
      <c r="Q1560" s="238"/>
      <c r="R1560" s="238"/>
      <c r="S1560" s="238"/>
      <c r="T1560" s="218">
        <f>VLOOKUP(A1560,'Groupe de branches'!$Z$27:$AM$86,14,FALSE)</f>
        <v>0</v>
      </c>
      <c r="U1560" s="218">
        <f>VLOOKUP(D1560,'Groupe de branches'!$Z$27:$AM$86,14,FALSE)</f>
        <v>0</v>
      </c>
      <c r="V1560" s="218">
        <v>2020</v>
      </c>
      <c r="W1560" s="218" t="str">
        <f>VLOOKUP(D1560,'Table corresp.'!$M$4:$S$63,7,FALSE)</f>
        <v>Produits de consommation courante</v>
      </c>
      <c r="X1560" s="240">
        <f>IFERROR(G1560/SUMIFS('Comp2016-2017 (3)'!$I$5:$I$289,'Comp2016-2017 (3)'!$A$5:$A$289,A1560,'Comp2016-2017 (3)'!$R$5:$R$289,V1560),0)</f>
        <v>0.10969070751959119</v>
      </c>
      <c r="Y1560" s="219" t="e">
        <f>IF(RIGHT(F1560,3)="Exp",VLOOKUP(F1560,#REF!,2,FALSE),VLOOKUP(F1560,#REF!,9,FALSE))</f>
        <v>#REF!</v>
      </c>
      <c r="Z1560" s="226" t="str">
        <f t="shared" si="181"/>
        <v/>
      </c>
      <c r="AA1560" s="226" t="e">
        <f t="shared" si="178"/>
        <v>#VALUE!</v>
      </c>
      <c r="AB1560" s="205">
        <f>IFERROR(SUMIFS('Comp2016-2017 (3)'!$G$5:$G$289,'Comp2016-2017 (3)'!$A$5:$A$289,A1560,'Comp2016-2017 (3)'!$R$5:$R$289,V1560)*AA1560/SUMIFS($AA$4:$AA$1858,$A$4:$A$1858,A1560,$V$4:$V$1858,V1560),0)</f>
        <v>0</v>
      </c>
      <c r="AC1560" s="205" t="str">
        <f>IF($W1560=AC$3,$AB1560,IF(NOT($W1560=0),"",SUMIFS('Val-Vol (2)'!AC$4:AC$1858,'Val-Vol (2)'!$A$4:$A$1858,$D1560,'Val-Vol (2)'!$V$4:$V$1858,$V1560)/SUMIFS('Comp2016-2017 (3)'!$G$5:$G$289,'Comp2016-2017 (3)'!$A$5:$A$289,$D1560,'Comp2016-2017 (3)'!$R$5:$R$289,$V1560)*$AB1560))</f>
        <v/>
      </c>
      <c r="AD1560" s="205" t="str">
        <f>IF($W1560=AD$3,$AB1560,IF(NOT($W1560=0),"",SUMIFS('Val-Vol (2)'!AD$4:AD$1858,'Val-Vol (2)'!$A$4:$A$1858,$D1560,'Val-Vol (2)'!$V$4:$V$1858,$V1560)/SUMIFS('Comp2016-2017 (3)'!$G$5:$G$289,'Comp2016-2017 (3)'!$A$5:$A$289,$D1560,'Comp2016-2017 (3)'!$R$5:$R$289,$V1560)*$AB1560))</f>
        <v/>
      </c>
      <c r="AE1560" s="205" t="str">
        <f>IF($W1560=AE$3,$AB1560,IF(NOT($W1560=0),"",SUMIFS('Val-Vol (2)'!AE$4:AE$1858,'Val-Vol (2)'!$A$4:$A$1858,$D1560,'Val-Vol (2)'!$V$4:$V$1858,$V1560)/SUMIFS('Comp2016-2017 (3)'!$G$5:$G$289,'Comp2016-2017 (3)'!$A$5:$A$289,$D1560,'Comp2016-2017 (3)'!$R$5:$R$289,$V1560)*$AB1560))</f>
        <v/>
      </c>
      <c r="AF1560" s="205" t="str">
        <f>IF($W1560=AF$3,$AB1560,IF(NOT($W1560=0),"",SUMIFS('Val-Vol (2)'!AF$4:AF$1858,'Val-Vol (2)'!$A$4:$A$1858,$D1560,'Val-Vol (2)'!$V$4:$V$1858,$V1560)/SUMIFS('Comp2016-2017 (3)'!$G$5:$G$289,'Comp2016-2017 (3)'!$A$5:$A$289,$D1560,'Comp2016-2017 (3)'!$R$5:$R$289,$V1560)*$AB1560))</f>
        <v/>
      </c>
      <c r="AG1560" s="205" t="str">
        <f>IF($W1560=AG$3,$AB1560,IF(NOT($W1560=0),"",SUMIFS('Val-Vol (2)'!AG$4:AG$1858,'Val-Vol (2)'!$A$4:$A$1858,$D1560,'Val-Vol (2)'!$V$4:$V$1858,$V1560)/SUMIFS('Comp2016-2017 (3)'!$G$5:$G$289,'Comp2016-2017 (3)'!$A$5:$A$289,$D1560,'Comp2016-2017 (3)'!$R$5:$R$289,$V1560)*$AB1560))</f>
        <v/>
      </c>
      <c r="AH1560" s="205" t="str">
        <f>IF($W1560=AH$3,$AB1560,IF(NOT($W1560=0),"",SUMIFS('Val-Vol (2)'!AH$4:AH$1858,'Val-Vol (2)'!$A$4:$A$1858,$D1560,'Val-Vol (2)'!$V$4:$V$1858,$V1560)/SUMIFS('Comp2016-2017 (3)'!$G$5:$G$289,'Comp2016-2017 (3)'!$A$5:$A$289,$D1560,'Comp2016-2017 (3)'!$R$5:$R$289,$V1560)*$AB1560))</f>
        <v/>
      </c>
      <c r="AI1560" s="205">
        <f>IF($W1560=AI$3,$AB1560,IF(NOT($W1560=0),"",SUMIFS('Val-Vol (2)'!AI$4:AI$1858,'Val-Vol (2)'!$A$4:$A$1858,$D1560,'Val-Vol (2)'!$V$4:$V$1858,$V1560)/SUMIFS('Comp2016-2017 (3)'!$G$5:$G$289,'Comp2016-2017 (3)'!$A$5:$A$289,$D1560,'Comp2016-2017 (3)'!$R$5:$R$289,$V1560)*$AB1560))</f>
        <v>0</v>
      </c>
      <c r="AJ1560" s="205" t="str">
        <f>IF($W1560=AJ$3,$AB1560,IF(NOT($W1560=0),"",SUMIFS('Val-Vol (2)'!AJ$4:AJ$1858,'Val-Vol (2)'!$A$4:$A$1858,$D1560,'Val-Vol (2)'!$V$4:$V$1858,$V1560)/SUMIFS('Comp2016-2017 (3)'!$G$5:$G$289,'Comp2016-2017 (3)'!$A$5:$A$289,$D1560,'Comp2016-2017 (3)'!$R$5:$R$289,$V1560)*$AB1560))</f>
        <v/>
      </c>
      <c r="AK1560" s="205">
        <f t="shared" si="177"/>
        <v>0</v>
      </c>
      <c r="AL1560" s="218" t="str">
        <f t="shared" si="179"/>
        <v/>
      </c>
      <c r="AM1560" s="218" t="str">
        <f>VLOOKUP(A1560,'Table corresp.'!$M$4:$U$63,8,FALSE)</f>
        <v>Production intermédiaire</v>
      </c>
      <c r="AN1560" s="218" t="str">
        <f>VLOOKUP(D1560,'Table corresp.'!$M$4:$U$63,9,FALSE)</f>
        <v>Production finale</v>
      </c>
    </row>
    <row r="1561" spans="1:40" x14ac:dyDescent="0.25">
      <c r="A1561" t="s">
        <v>4</v>
      </c>
      <c r="B1561" t="str">
        <f>VLOOKUP(LEFT(A1561,3),'Table corresp.'!$A$4:$D$63,3,FALSE)</f>
        <v>Transformation</v>
      </c>
      <c r="C1561" t="str">
        <f>VLOOKUP(A1561,'Table corresp.'!$M$4:$P$63,4,FALSE)</f>
        <v>Production et transformation de produits bois</v>
      </c>
      <c r="D1561" t="s">
        <v>19</v>
      </c>
      <c r="E1561" t="str">
        <f>VLOOKUP(LEFT(D1561,3),'Table corresp.'!$A$4:$D$63,4,FALSE)</f>
        <v>Transformation</v>
      </c>
      <c r="F1561" t="str">
        <f t="shared" si="180"/>
        <v xml:space="preserve">08  - 52 </v>
      </c>
      <c r="G1561" s="238">
        <v>44275.744969896899</v>
      </c>
      <c r="H1561" s="238">
        <v>0</v>
      </c>
      <c r="I1561" s="238">
        <v>44275.744969896899</v>
      </c>
      <c r="J1561" s="238">
        <v>246.32222183696533</v>
      </c>
      <c r="K1561" s="238">
        <v>0</v>
      </c>
      <c r="L1561" s="238">
        <v>246.32222183696533</v>
      </c>
      <c r="M1561" s="238"/>
      <c r="N1561" s="238"/>
      <c r="O1561" s="238"/>
      <c r="P1561" s="238"/>
      <c r="Q1561" s="238"/>
      <c r="R1561" s="238"/>
      <c r="S1561" s="238"/>
      <c r="T1561" s="218">
        <f>VLOOKUP(A1561,'Groupe de branches'!$Z$27:$AM$86,14,FALSE)</f>
        <v>0</v>
      </c>
      <c r="U1561" s="218">
        <f>VLOOKUP(D1561,'Groupe de branches'!$Z$27:$AM$86,14,FALSE)</f>
        <v>0</v>
      </c>
      <c r="V1561" s="218">
        <v>2020</v>
      </c>
      <c r="W1561" s="218" t="str">
        <f>VLOOKUP(D1561,'Table corresp.'!$M$4:$S$63,7,FALSE)</f>
        <v>Construction</v>
      </c>
      <c r="X1561" s="240">
        <f>IFERROR(G1561/SUMIFS('Comp2016-2017 (3)'!$I$5:$I$289,'Comp2016-2017 (3)'!$A$5:$A$289,A1561,'Comp2016-2017 (3)'!$R$5:$R$289,V1561),0)</f>
        <v>7.824826344152655E-2</v>
      </c>
      <c r="Y1561" s="219" t="e">
        <f>IF(RIGHT(F1561,3)="Exp",VLOOKUP(F1561,#REF!,2,FALSE),VLOOKUP(F1561,#REF!,9,FALSE))</f>
        <v>#REF!</v>
      </c>
      <c r="Z1561" s="226" t="str">
        <f t="shared" si="181"/>
        <v/>
      </c>
      <c r="AA1561" s="226" t="e">
        <f t="shared" si="178"/>
        <v>#VALUE!</v>
      </c>
      <c r="AB1561" s="205">
        <f>IFERROR(SUMIFS('Comp2016-2017 (3)'!$G$5:$G$289,'Comp2016-2017 (3)'!$A$5:$A$289,A1561,'Comp2016-2017 (3)'!$R$5:$R$289,V1561)*AA1561/SUMIFS($AA$4:$AA$1858,$A$4:$A$1858,A1561,$V$4:$V$1858,V1561),0)</f>
        <v>0</v>
      </c>
      <c r="AC1561" s="205" t="str">
        <f>IF($W1561=AC$3,$AB1561,IF(NOT($W1561=0),"",SUMIFS('Val-Vol (2)'!AC$4:AC$1858,'Val-Vol (2)'!$A$4:$A$1858,$D1561,'Val-Vol (2)'!$V$4:$V$1858,$V1561)/SUMIFS('Comp2016-2017 (3)'!$G$5:$G$289,'Comp2016-2017 (3)'!$A$5:$A$289,$D1561,'Comp2016-2017 (3)'!$R$5:$R$289,$V1561)*$AB1561))</f>
        <v/>
      </c>
      <c r="AD1561" s="205">
        <f>IF($W1561=AD$3,$AB1561,IF(NOT($W1561=0),"",SUMIFS('Val-Vol (2)'!AD$4:AD$1858,'Val-Vol (2)'!$A$4:$A$1858,$D1561,'Val-Vol (2)'!$V$4:$V$1858,$V1561)/SUMIFS('Comp2016-2017 (3)'!$G$5:$G$289,'Comp2016-2017 (3)'!$A$5:$A$289,$D1561,'Comp2016-2017 (3)'!$R$5:$R$289,$V1561)*$AB1561))</f>
        <v>0</v>
      </c>
      <c r="AE1561" s="205" t="str">
        <f>IF($W1561=AE$3,$AB1561,IF(NOT($W1561=0),"",SUMIFS('Val-Vol (2)'!AE$4:AE$1858,'Val-Vol (2)'!$A$4:$A$1858,$D1561,'Val-Vol (2)'!$V$4:$V$1858,$V1561)/SUMIFS('Comp2016-2017 (3)'!$G$5:$G$289,'Comp2016-2017 (3)'!$A$5:$A$289,$D1561,'Comp2016-2017 (3)'!$R$5:$R$289,$V1561)*$AB1561))</f>
        <v/>
      </c>
      <c r="AF1561" s="205" t="str">
        <f>IF($W1561=AF$3,$AB1561,IF(NOT($W1561=0),"",SUMIFS('Val-Vol (2)'!AF$4:AF$1858,'Val-Vol (2)'!$A$4:$A$1858,$D1561,'Val-Vol (2)'!$V$4:$V$1858,$V1561)/SUMIFS('Comp2016-2017 (3)'!$G$5:$G$289,'Comp2016-2017 (3)'!$A$5:$A$289,$D1561,'Comp2016-2017 (3)'!$R$5:$R$289,$V1561)*$AB1561))</f>
        <v/>
      </c>
      <c r="AG1561" s="205" t="str">
        <f>IF($W1561=AG$3,$AB1561,IF(NOT($W1561=0),"",SUMIFS('Val-Vol (2)'!AG$4:AG$1858,'Val-Vol (2)'!$A$4:$A$1858,$D1561,'Val-Vol (2)'!$V$4:$V$1858,$V1561)/SUMIFS('Comp2016-2017 (3)'!$G$5:$G$289,'Comp2016-2017 (3)'!$A$5:$A$289,$D1561,'Comp2016-2017 (3)'!$R$5:$R$289,$V1561)*$AB1561))</f>
        <v/>
      </c>
      <c r="AH1561" s="205" t="str">
        <f>IF($W1561=AH$3,$AB1561,IF(NOT($W1561=0),"",SUMIFS('Val-Vol (2)'!AH$4:AH$1858,'Val-Vol (2)'!$A$4:$A$1858,$D1561,'Val-Vol (2)'!$V$4:$V$1858,$V1561)/SUMIFS('Comp2016-2017 (3)'!$G$5:$G$289,'Comp2016-2017 (3)'!$A$5:$A$289,$D1561,'Comp2016-2017 (3)'!$R$5:$R$289,$V1561)*$AB1561))</f>
        <v/>
      </c>
      <c r="AI1561" s="205" t="str">
        <f>IF($W1561=AI$3,$AB1561,IF(NOT($W1561=0),"",SUMIFS('Val-Vol (2)'!AI$4:AI$1858,'Val-Vol (2)'!$A$4:$A$1858,$D1561,'Val-Vol (2)'!$V$4:$V$1858,$V1561)/SUMIFS('Comp2016-2017 (3)'!$G$5:$G$289,'Comp2016-2017 (3)'!$A$5:$A$289,$D1561,'Comp2016-2017 (3)'!$R$5:$R$289,$V1561)*$AB1561))</f>
        <v/>
      </c>
      <c r="AJ1561" s="205" t="str">
        <f>IF($W1561=AJ$3,$AB1561,IF(NOT($W1561=0),"",SUMIFS('Val-Vol (2)'!AJ$4:AJ$1858,'Val-Vol (2)'!$A$4:$A$1858,$D1561,'Val-Vol (2)'!$V$4:$V$1858,$V1561)/SUMIFS('Comp2016-2017 (3)'!$G$5:$G$289,'Comp2016-2017 (3)'!$A$5:$A$289,$D1561,'Comp2016-2017 (3)'!$R$5:$R$289,$V1561)*$AB1561))</f>
        <v/>
      </c>
      <c r="AK1561" s="205">
        <f t="shared" ref="AK1561:AK1624" si="182">SUM(AC1561:AJ1561)-AB1561</f>
        <v>0</v>
      </c>
      <c r="AL1561" s="218" t="str">
        <f t="shared" si="179"/>
        <v/>
      </c>
      <c r="AM1561" s="218" t="str">
        <f>VLOOKUP(A1561,'Table corresp.'!$M$4:$U$63,8,FALSE)</f>
        <v>Production intermédiaire</v>
      </c>
      <c r="AN1561" s="218" t="str">
        <f>VLOOKUP(D1561,'Table corresp.'!$M$4:$U$63,9,FALSE)</f>
        <v xml:space="preserve">Mise en œuvre </v>
      </c>
    </row>
    <row r="1562" spans="1:40" x14ac:dyDescent="0.25">
      <c r="A1562" t="s">
        <v>4</v>
      </c>
      <c r="B1562" t="str">
        <f>VLOOKUP(LEFT(A1562,3),'Table corresp.'!$A$4:$D$63,3,FALSE)</f>
        <v>Transformation</v>
      </c>
      <c r="C1562" t="str">
        <f>VLOOKUP(A1562,'Table corresp.'!$M$4:$P$63,4,FALSE)</f>
        <v>Production et transformation de produits bois</v>
      </c>
      <c r="D1562" t="s">
        <v>21</v>
      </c>
      <c r="E1562" t="str">
        <f>VLOOKUP(LEFT(D1562,3),'Table corresp.'!$A$4:$D$63,4,FALSE)</f>
        <v>Transformation</v>
      </c>
      <c r="F1562" t="str">
        <f t="shared" si="180"/>
        <v xml:space="preserve">08  - 54 </v>
      </c>
      <c r="G1562" s="238">
        <v>59946.727161722702</v>
      </c>
      <c r="H1562" s="238">
        <v>0</v>
      </c>
      <c r="I1562" s="238">
        <v>59946.727161722702</v>
      </c>
      <c r="J1562" s="238">
        <v>140.42343082682066</v>
      </c>
      <c r="K1562" s="238">
        <v>0</v>
      </c>
      <c r="L1562" s="238">
        <v>140.42343082682066</v>
      </c>
      <c r="M1562" s="238"/>
      <c r="N1562" s="238"/>
      <c r="O1562" s="238"/>
      <c r="P1562" s="238"/>
      <c r="Q1562" s="238"/>
      <c r="R1562" s="238"/>
      <c r="S1562" s="238"/>
      <c r="T1562" s="218">
        <f>VLOOKUP(A1562,'Groupe de branches'!$Z$27:$AM$86,14,FALSE)</f>
        <v>0</v>
      </c>
      <c r="U1562" s="218">
        <f>VLOOKUP(D1562,'Groupe de branches'!$Z$27:$AM$86,14,FALSE)</f>
        <v>0</v>
      </c>
      <c r="V1562" s="218">
        <v>2020</v>
      </c>
      <c r="W1562" s="218" t="str">
        <f>VLOOKUP(D1562,'Table corresp.'!$M$4:$S$63,7,FALSE)</f>
        <v>Construction</v>
      </c>
      <c r="X1562" s="240">
        <f>IFERROR(G1562/SUMIFS('Comp2016-2017 (3)'!$I$5:$I$289,'Comp2016-2017 (3)'!$A$5:$A$289,A1562,'Comp2016-2017 (3)'!$R$5:$R$289,V1562),0)</f>
        <v>0.10594349801673628</v>
      </c>
      <c r="Y1562" s="219" t="e">
        <f>IF(RIGHT(F1562,3)="Exp",VLOOKUP(F1562,#REF!,2,FALSE),VLOOKUP(F1562,#REF!,9,FALSE))</f>
        <v>#REF!</v>
      </c>
      <c r="Z1562" s="226" t="str">
        <f t="shared" si="181"/>
        <v/>
      </c>
      <c r="AA1562" s="226" t="e">
        <f t="shared" si="178"/>
        <v>#VALUE!</v>
      </c>
      <c r="AB1562" s="205">
        <f>IFERROR(SUMIFS('Comp2016-2017 (3)'!$G$5:$G$289,'Comp2016-2017 (3)'!$A$5:$A$289,A1562,'Comp2016-2017 (3)'!$R$5:$R$289,V1562)*AA1562/SUMIFS($AA$4:$AA$1858,$A$4:$A$1858,A1562,$V$4:$V$1858,V1562),0)</f>
        <v>0</v>
      </c>
      <c r="AC1562" s="205" t="str">
        <f>IF($W1562=AC$3,$AB1562,IF(NOT($W1562=0),"",SUMIFS('Val-Vol (2)'!AC$4:AC$1858,'Val-Vol (2)'!$A$4:$A$1858,$D1562,'Val-Vol (2)'!$V$4:$V$1858,$V1562)/SUMIFS('Comp2016-2017 (3)'!$G$5:$G$289,'Comp2016-2017 (3)'!$A$5:$A$289,$D1562,'Comp2016-2017 (3)'!$R$5:$R$289,$V1562)*$AB1562))</f>
        <v/>
      </c>
      <c r="AD1562" s="205">
        <f>IF($W1562=AD$3,$AB1562,IF(NOT($W1562=0),"",SUMIFS('Val-Vol (2)'!AD$4:AD$1858,'Val-Vol (2)'!$A$4:$A$1858,$D1562,'Val-Vol (2)'!$V$4:$V$1858,$V1562)/SUMIFS('Comp2016-2017 (3)'!$G$5:$G$289,'Comp2016-2017 (3)'!$A$5:$A$289,$D1562,'Comp2016-2017 (3)'!$R$5:$R$289,$V1562)*$AB1562))</f>
        <v>0</v>
      </c>
      <c r="AE1562" s="205" t="str">
        <f>IF($W1562=AE$3,$AB1562,IF(NOT($W1562=0),"",SUMIFS('Val-Vol (2)'!AE$4:AE$1858,'Val-Vol (2)'!$A$4:$A$1858,$D1562,'Val-Vol (2)'!$V$4:$V$1858,$V1562)/SUMIFS('Comp2016-2017 (3)'!$G$5:$G$289,'Comp2016-2017 (3)'!$A$5:$A$289,$D1562,'Comp2016-2017 (3)'!$R$5:$R$289,$V1562)*$AB1562))</f>
        <v/>
      </c>
      <c r="AF1562" s="205" t="str">
        <f>IF($W1562=AF$3,$AB1562,IF(NOT($W1562=0),"",SUMIFS('Val-Vol (2)'!AF$4:AF$1858,'Val-Vol (2)'!$A$4:$A$1858,$D1562,'Val-Vol (2)'!$V$4:$V$1858,$V1562)/SUMIFS('Comp2016-2017 (3)'!$G$5:$G$289,'Comp2016-2017 (3)'!$A$5:$A$289,$D1562,'Comp2016-2017 (3)'!$R$5:$R$289,$V1562)*$AB1562))</f>
        <v/>
      </c>
      <c r="AG1562" s="205" t="str">
        <f>IF($W1562=AG$3,$AB1562,IF(NOT($W1562=0),"",SUMIFS('Val-Vol (2)'!AG$4:AG$1858,'Val-Vol (2)'!$A$4:$A$1858,$D1562,'Val-Vol (2)'!$V$4:$V$1858,$V1562)/SUMIFS('Comp2016-2017 (3)'!$G$5:$G$289,'Comp2016-2017 (3)'!$A$5:$A$289,$D1562,'Comp2016-2017 (3)'!$R$5:$R$289,$V1562)*$AB1562))</f>
        <v/>
      </c>
      <c r="AH1562" s="205" t="str">
        <f>IF($W1562=AH$3,$AB1562,IF(NOT($W1562=0),"",SUMIFS('Val-Vol (2)'!AH$4:AH$1858,'Val-Vol (2)'!$A$4:$A$1858,$D1562,'Val-Vol (2)'!$V$4:$V$1858,$V1562)/SUMIFS('Comp2016-2017 (3)'!$G$5:$G$289,'Comp2016-2017 (3)'!$A$5:$A$289,$D1562,'Comp2016-2017 (3)'!$R$5:$R$289,$V1562)*$AB1562))</f>
        <v/>
      </c>
      <c r="AI1562" s="205" t="str">
        <f>IF($W1562=AI$3,$AB1562,IF(NOT($W1562=0),"",SUMIFS('Val-Vol (2)'!AI$4:AI$1858,'Val-Vol (2)'!$A$4:$A$1858,$D1562,'Val-Vol (2)'!$V$4:$V$1858,$V1562)/SUMIFS('Comp2016-2017 (3)'!$G$5:$G$289,'Comp2016-2017 (3)'!$A$5:$A$289,$D1562,'Comp2016-2017 (3)'!$R$5:$R$289,$V1562)*$AB1562))</f>
        <v/>
      </c>
      <c r="AJ1562" s="205" t="str">
        <f>IF($W1562=AJ$3,$AB1562,IF(NOT($W1562=0),"",SUMIFS('Val-Vol (2)'!AJ$4:AJ$1858,'Val-Vol (2)'!$A$4:$A$1858,$D1562,'Val-Vol (2)'!$V$4:$V$1858,$V1562)/SUMIFS('Comp2016-2017 (3)'!$G$5:$G$289,'Comp2016-2017 (3)'!$A$5:$A$289,$D1562,'Comp2016-2017 (3)'!$R$5:$R$289,$V1562)*$AB1562))</f>
        <v/>
      </c>
      <c r="AK1562" s="205">
        <f t="shared" si="182"/>
        <v>0</v>
      </c>
      <c r="AL1562" s="218" t="str">
        <f t="shared" si="179"/>
        <v/>
      </c>
      <c r="AM1562" s="218" t="str">
        <f>VLOOKUP(A1562,'Table corresp.'!$M$4:$U$63,8,FALSE)</f>
        <v>Production intermédiaire</v>
      </c>
      <c r="AN1562" s="218" t="str">
        <f>VLOOKUP(D1562,'Table corresp.'!$M$4:$U$63,9,FALSE)</f>
        <v xml:space="preserve">Mise en œuvre </v>
      </c>
    </row>
    <row r="1563" spans="1:40" x14ac:dyDescent="0.25">
      <c r="A1563" t="s">
        <v>4</v>
      </c>
      <c r="B1563" t="str">
        <f>VLOOKUP(LEFT(A1563,3),'Table corresp.'!$A$4:$D$63,3,FALSE)</f>
        <v>Transformation</v>
      </c>
      <c r="C1563" t="str">
        <f>VLOOKUP(A1563,'Table corresp.'!$M$4:$P$63,4,FALSE)</f>
        <v>Production et transformation de produits bois</v>
      </c>
      <c r="D1563" t="s">
        <v>22</v>
      </c>
      <c r="E1563" t="str">
        <f>VLOOKUP(LEFT(D1563,3),'Table corresp.'!$A$4:$D$63,4,FALSE)</f>
        <v>Transformation</v>
      </c>
      <c r="F1563" t="str">
        <f t="shared" si="180"/>
        <v xml:space="preserve">08  - 55 </v>
      </c>
      <c r="G1563" s="238">
        <v>5122.8100487337397</v>
      </c>
      <c r="H1563" s="238">
        <v>0</v>
      </c>
      <c r="I1563" s="238">
        <v>5122.8100487337297</v>
      </c>
      <c r="J1563" s="238">
        <v>12.000030636812362</v>
      </c>
      <c r="K1563" s="238">
        <v>0</v>
      </c>
      <c r="L1563" s="238">
        <v>12.000030636812362</v>
      </c>
      <c r="M1563" s="238"/>
      <c r="N1563" s="238"/>
      <c r="O1563" s="238"/>
      <c r="P1563" s="238"/>
      <c r="Q1563" s="238"/>
      <c r="R1563" s="238"/>
      <c r="S1563" s="238"/>
      <c r="T1563" s="218">
        <f>VLOOKUP(A1563,'Groupe de branches'!$Z$27:$AM$86,14,FALSE)</f>
        <v>0</v>
      </c>
      <c r="U1563" s="218">
        <f>VLOOKUP(D1563,'Groupe de branches'!$Z$27:$AM$86,14,FALSE)</f>
        <v>0</v>
      </c>
      <c r="V1563" s="218">
        <v>2020</v>
      </c>
      <c r="W1563" s="218" t="str">
        <f>VLOOKUP(D1563,'Table corresp.'!$M$4:$S$63,7,FALSE)</f>
        <v>Construction</v>
      </c>
      <c r="X1563" s="240">
        <f>IFERROR(G1563/SUMIFS('Comp2016-2017 (3)'!$I$5:$I$289,'Comp2016-2017 (3)'!$A$5:$A$289,A1563,'Comp2016-2017 (3)'!$R$5:$R$289,V1563),0)</f>
        <v>9.053512042016593E-3</v>
      </c>
      <c r="Y1563" s="219" t="e">
        <f>IF(RIGHT(F1563,3)="Exp",VLOOKUP(F1563,#REF!,2,FALSE),VLOOKUP(F1563,#REF!,9,FALSE))</f>
        <v>#REF!</v>
      </c>
      <c r="Z1563" s="226" t="str">
        <f t="shared" si="181"/>
        <v/>
      </c>
      <c r="AA1563" s="226" t="e">
        <f t="shared" si="178"/>
        <v>#VALUE!</v>
      </c>
      <c r="AB1563" s="205">
        <f>IFERROR(SUMIFS('Comp2016-2017 (3)'!$G$5:$G$289,'Comp2016-2017 (3)'!$A$5:$A$289,A1563,'Comp2016-2017 (3)'!$R$5:$R$289,V1563)*AA1563/SUMIFS($AA$4:$AA$1858,$A$4:$A$1858,A1563,$V$4:$V$1858,V1563),0)</f>
        <v>0</v>
      </c>
      <c r="AC1563" s="205" t="str">
        <f>IF($W1563=AC$3,$AB1563,IF(NOT($W1563=0),"",SUMIFS('Val-Vol (2)'!AC$4:AC$1858,'Val-Vol (2)'!$A$4:$A$1858,$D1563,'Val-Vol (2)'!$V$4:$V$1858,$V1563)/SUMIFS('Comp2016-2017 (3)'!$G$5:$G$289,'Comp2016-2017 (3)'!$A$5:$A$289,$D1563,'Comp2016-2017 (3)'!$R$5:$R$289,$V1563)*$AB1563))</f>
        <v/>
      </c>
      <c r="AD1563" s="205">
        <f>IF($W1563=AD$3,$AB1563,IF(NOT($W1563=0),"",SUMIFS('Val-Vol (2)'!AD$4:AD$1858,'Val-Vol (2)'!$A$4:$A$1858,$D1563,'Val-Vol (2)'!$V$4:$V$1858,$V1563)/SUMIFS('Comp2016-2017 (3)'!$G$5:$G$289,'Comp2016-2017 (3)'!$A$5:$A$289,$D1563,'Comp2016-2017 (3)'!$R$5:$R$289,$V1563)*$AB1563))</f>
        <v>0</v>
      </c>
      <c r="AE1563" s="205" t="str">
        <f>IF($W1563=AE$3,$AB1563,IF(NOT($W1563=0),"",SUMIFS('Val-Vol (2)'!AE$4:AE$1858,'Val-Vol (2)'!$A$4:$A$1858,$D1563,'Val-Vol (2)'!$V$4:$V$1858,$V1563)/SUMIFS('Comp2016-2017 (3)'!$G$5:$G$289,'Comp2016-2017 (3)'!$A$5:$A$289,$D1563,'Comp2016-2017 (3)'!$R$5:$R$289,$V1563)*$AB1563))</f>
        <v/>
      </c>
      <c r="AF1563" s="205" t="str">
        <f>IF($W1563=AF$3,$AB1563,IF(NOT($W1563=0),"",SUMIFS('Val-Vol (2)'!AF$4:AF$1858,'Val-Vol (2)'!$A$4:$A$1858,$D1563,'Val-Vol (2)'!$V$4:$V$1858,$V1563)/SUMIFS('Comp2016-2017 (3)'!$G$5:$G$289,'Comp2016-2017 (3)'!$A$5:$A$289,$D1563,'Comp2016-2017 (3)'!$R$5:$R$289,$V1563)*$AB1563))</f>
        <v/>
      </c>
      <c r="AG1563" s="205" t="str">
        <f>IF($W1563=AG$3,$AB1563,IF(NOT($W1563=0),"",SUMIFS('Val-Vol (2)'!AG$4:AG$1858,'Val-Vol (2)'!$A$4:$A$1858,$D1563,'Val-Vol (2)'!$V$4:$V$1858,$V1563)/SUMIFS('Comp2016-2017 (3)'!$G$5:$G$289,'Comp2016-2017 (3)'!$A$5:$A$289,$D1563,'Comp2016-2017 (3)'!$R$5:$R$289,$V1563)*$AB1563))</f>
        <v/>
      </c>
      <c r="AH1563" s="205" t="str">
        <f>IF($W1563=AH$3,$AB1563,IF(NOT($W1563=0),"",SUMIFS('Val-Vol (2)'!AH$4:AH$1858,'Val-Vol (2)'!$A$4:$A$1858,$D1563,'Val-Vol (2)'!$V$4:$V$1858,$V1563)/SUMIFS('Comp2016-2017 (3)'!$G$5:$G$289,'Comp2016-2017 (3)'!$A$5:$A$289,$D1563,'Comp2016-2017 (3)'!$R$5:$R$289,$V1563)*$AB1563))</f>
        <v/>
      </c>
      <c r="AI1563" s="205" t="str">
        <f>IF($W1563=AI$3,$AB1563,IF(NOT($W1563=0),"",SUMIFS('Val-Vol (2)'!AI$4:AI$1858,'Val-Vol (2)'!$A$4:$A$1858,$D1563,'Val-Vol (2)'!$V$4:$V$1858,$V1563)/SUMIFS('Comp2016-2017 (3)'!$G$5:$G$289,'Comp2016-2017 (3)'!$A$5:$A$289,$D1563,'Comp2016-2017 (3)'!$R$5:$R$289,$V1563)*$AB1563))</f>
        <v/>
      </c>
      <c r="AJ1563" s="205" t="str">
        <f>IF($W1563=AJ$3,$AB1563,IF(NOT($W1563=0),"",SUMIFS('Val-Vol (2)'!AJ$4:AJ$1858,'Val-Vol (2)'!$A$4:$A$1858,$D1563,'Val-Vol (2)'!$V$4:$V$1858,$V1563)/SUMIFS('Comp2016-2017 (3)'!$G$5:$G$289,'Comp2016-2017 (3)'!$A$5:$A$289,$D1563,'Comp2016-2017 (3)'!$R$5:$R$289,$V1563)*$AB1563))</f>
        <v/>
      </c>
      <c r="AK1563" s="205">
        <f t="shared" si="182"/>
        <v>0</v>
      </c>
      <c r="AL1563" s="218" t="str">
        <f t="shared" si="179"/>
        <v/>
      </c>
      <c r="AM1563" s="218" t="str">
        <f>VLOOKUP(A1563,'Table corresp.'!$M$4:$U$63,8,FALSE)</f>
        <v>Production intermédiaire</v>
      </c>
      <c r="AN1563" s="218" t="str">
        <f>VLOOKUP(D1563,'Table corresp.'!$M$4:$U$63,9,FALSE)</f>
        <v xml:space="preserve">Mise en œuvre </v>
      </c>
    </row>
    <row r="1564" spans="1:40" x14ac:dyDescent="0.25">
      <c r="A1564" t="s">
        <v>4</v>
      </c>
      <c r="B1564" t="str">
        <f>VLOOKUP(LEFT(A1564,3),'Table corresp.'!$A$4:$D$63,3,FALSE)</f>
        <v>Transformation</v>
      </c>
      <c r="C1564" t="str">
        <f>VLOOKUP(A1564,'Table corresp.'!$M$4:$P$63,4,FALSE)</f>
        <v>Production et transformation de produits bois</v>
      </c>
      <c r="D1564" t="s">
        <v>24</v>
      </c>
      <c r="E1564" t="str">
        <f>VLOOKUP(LEFT(D1564,3),'Table corresp.'!$A$4:$D$63,4,FALSE)</f>
        <v>Transformation</v>
      </c>
      <c r="F1564" t="str">
        <f t="shared" si="180"/>
        <v xml:space="preserve">08  - 57 </v>
      </c>
      <c r="G1564" s="238">
        <v>18484.8326889124</v>
      </c>
      <c r="H1564" s="238">
        <v>0</v>
      </c>
      <c r="I1564" s="238">
        <v>18484.8326889124</v>
      </c>
      <c r="J1564" s="238">
        <v>117.52903953073974</v>
      </c>
      <c r="K1564" s="238">
        <v>0</v>
      </c>
      <c r="L1564" s="238">
        <v>117.52903953073974</v>
      </c>
      <c r="M1564" s="238"/>
      <c r="N1564" s="238"/>
      <c r="O1564" s="238"/>
      <c r="P1564" s="238"/>
      <c r="Q1564" s="238"/>
      <c r="R1564" s="238"/>
      <c r="S1564" s="238"/>
      <c r="T1564" s="218">
        <f>VLOOKUP(A1564,'Groupe de branches'!$Z$27:$AM$86,14,FALSE)</f>
        <v>0</v>
      </c>
      <c r="U1564" s="218">
        <f>VLOOKUP(D1564,'Groupe de branches'!$Z$27:$AM$86,14,FALSE)</f>
        <v>0</v>
      </c>
      <c r="V1564" s="218">
        <v>2020</v>
      </c>
      <c r="W1564" s="218" t="str">
        <f>VLOOKUP(D1564,'Table corresp.'!$M$4:$S$63,7,FALSE)</f>
        <v>Construction</v>
      </c>
      <c r="X1564" s="240">
        <f>IFERROR(G1564/SUMIFS('Comp2016-2017 (3)'!$I$5:$I$289,'Comp2016-2017 (3)'!$A$5:$A$289,A1564,'Comp2016-2017 (3)'!$R$5:$R$289,V1564),0)</f>
        <v>3.2668135994052078E-2</v>
      </c>
      <c r="Y1564" s="219" t="e">
        <f>IF(RIGHT(F1564,3)="Exp",VLOOKUP(F1564,#REF!,2,FALSE),VLOOKUP(F1564,#REF!,9,FALSE))</f>
        <v>#REF!</v>
      </c>
      <c r="Z1564" s="226" t="str">
        <f t="shared" si="181"/>
        <v/>
      </c>
      <c r="AA1564" s="226" t="e">
        <f t="shared" si="178"/>
        <v>#VALUE!</v>
      </c>
      <c r="AB1564" s="205">
        <f>IFERROR(SUMIFS('Comp2016-2017 (3)'!$G$5:$G$289,'Comp2016-2017 (3)'!$A$5:$A$289,A1564,'Comp2016-2017 (3)'!$R$5:$R$289,V1564)*AA1564/SUMIFS($AA$4:$AA$1858,$A$4:$A$1858,A1564,$V$4:$V$1858,V1564),0)</f>
        <v>0</v>
      </c>
      <c r="AC1564" s="205" t="str">
        <f>IF($W1564=AC$3,$AB1564,IF(NOT($W1564=0),"",SUMIFS('Val-Vol (2)'!AC$4:AC$1858,'Val-Vol (2)'!$A$4:$A$1858,$D1564,'Val-Vol (2)'!$V$4:$V$1858,$V1564)/SUMIFS('Comp2016-2017 (3)'!$G$5:$G$289,'Comp2016-2017 (3)'!$A$5:$A$289,$D1564,'Comp2016-2017 (3)'!$R$5:$R$289,$V1564)*$AB1564))</f>
        <v/>
      </c>
      <c r="AD1564" s="205">
        <f>IF($W1564=AD$3,$AB1564,IF(NOT($W1564=0),"",SUMIFS('Val-Vol (2)'!AD$4:AD$1858,'Val-Vol (2)'!$A$4:$A$1858,$D1564,'Val-Vol (2)'!$V$4:$V$1858,$V1564)/SUMIFS('Comp2016-2017 (3)'!$G$5:$G$289,'Comp2016-2017 (3)'!$A$5:$A$289,$D1564,'Comp2016-2017 (3)'!$R$5:$R$289,$V1564)*$AB1564))</f>
        <v>0</v>
      </c>
      <c r="AE1564" s="205" t="str">
        <f>IF($W1564=AE$3,$AB1564,IF(NOT($W1564=0),"",SUMIFS('Val-Vol (2)'!AE$4:AE$1858,'Val-Vol (2)'!$A$4:$A$1858,$D1564,'Val-Vol (2)'!$V$4:$V$1858,$V1564)/SUMIFS('Comp2016-2017 (3)'!$G$5:$G$289,'Comp2016-2017 (3)'!$A$5:$A$289,$D1564,'Comp2016-2017 (3)'!$R$5:$R$289,$V1564)*$AB1564))</f>
        <v/>
      </c>
      <c r="AF1564" s="205" t="str">
        <f>IF($W1564=AF$3,$AB1564,IF(NOT($W1564=0),"",SUMIFS('Val-Vol (2)'!AF$4:AF$1858,'Val-Vol (2)'!$A$4:$A$1858,$D1564,'Val-Vol (2)'!$V$4:$V$1858,$V1564)/SUMIFS('Comp2016-2017 (3)'!$G$5:$G$289,'Comp2016-2017 (3)'!$A$5:$A$289,$D1564,'Comp2016-2017 (3)'!$R$5:$R$289,$V1564)*$AB1564))</f>
        <v/>
      </c>
      <c r="AG1564" s="205" t="str">
        <f>IF($W1564=AG$3,$AB1564,IF(NOT($W1564=0),"",SUMIFS('Val-Vol (2)'!AG$4:AG$1858,'Val-Vol (2)'!$A$4:$A$1858,$D1564,'Val-Vol (2)'!$V$4:$V$1858,$V1564)/SUMIFS('Comp2016-2017 (3)'!$G$5:$G$289,'Comp2016-2017 (3)'!$A$5:$A$289,$D1564,'Comp2016-2017 (3)'!$R$5:$R$289,$V1564)*$AB1564))</f>
        <v/>
      </c>
      <c r="AH1564" s="205" t="str">
        <f>IF($W1564=AH$3,$AB1564,IF(NOT($W1564=0),"",SUMIFS('Val-Vol (2)'!AH$4:AH$1858,'Val-Vol (2)'!$A$4:$A$1858,$D1564,'Val-Vol (2)'!$V$4:$V$1858,$V1564)/SUMIFS('Comp2016-2017 (3)'!$G$5:$G$289,'Comp2016-2017 (3)'!$A$5:$A$289,$D1564,'Comp2016-2017 (3)'!$R$5:$R$289,$V1564)*$AB1564))</f>
        <v/>
      </c>
      <c r="AI1564" s="205" t="str">
        <f>IF($W1564=AI$3,$AB1564,IF(NOT($W1564=0),"",SUMIFS('Val-Vol (2)'!AI$4:AI$1858,'Val-Vol (2)'!$A$4:$A$1858,$D1564,'Val-Vol (2)'!$V$4:$V$1858,$V1564)/SUMIFS('Comp2016-2017 (3)'!$G$5:$G$289,'Comp2016-2017 (3)'!$A$5:$A$289,$D1564,'Comp2016-2017 (3)'!$R$5:$R$289,$V1564)*$AB1564))</f>
        <v/>
      </c>
      <c r="AJ1564" s="205" t="str">
        <f>IF($W1564=AJ$3,$AB1564,IF(NOT($W1564=0),"",SUMIFS('Val-Vol (2)'!AJ$4:AJ$1858,'Val-Vol (2)'!$A$4:$A$1858,$D1564,'Val-Vol (2)'!$V$4:$V$1858,$V1564)/SUMIFS('Comp2016-2017 (3)'!$G$5:$G$289,'Comp2016-2017 (3)'!$A$5:$A$289,$D1564,'Comp2016-2017 (3)'!$R$5:$R$289,$V1564)*$AB1564))</f>
        <v/>
      </c>
      <c r="AK1564" s="205">
        <f t="shared" si="182"/>
        <v>0</v>
      </c>
      <c r="AL1564" s="218" t="str">
        <f t="shared" si="179"/>
        <v/>
      </c>
      <c r="AM1564" s="218" t="str">
        <f>VLOOKUP(A1564,'Table corresp.'!$M$4:$U$63,8,FALSE)</f>
        <v>Production intermédiaire</v>
      </c>
      <c r="AN1564" s="218" t="str">
        <f>VLOOKUP(D1564,'Table corresp.'!$M$4:$U$63,9,FALSE)</f>
        <v xml:space="preserve">Mise en œuvre </v>
      </c>
    </row>
    <row r="1565" spans="1:40" x14ac:dyDescent="0.25">
      <c r="A1565" t="s">
        <v>4</v>
      </c>
      <c r="B1565" t="str">
        <f>VLOOKUP(LEFT(A1565,3),'Table corresp.'!$A$4:$D$63,3,FALSE)</f>
        <v>Transformation</v>
      </c>
      <c r="C1565" t="str">
        <f>VLOOKUP(A1565,'Table corresp.'!$M$4:$P$63,4,FALSE)</f>
        <v>Production et transformation de produits bois</v>
      </c>
      <c r="D1565" t="s">
        <v>54</v>
      </c>
      <c r="E1565" t="str">
        <f>VLOOKUP(LEFT(D1565,3),'Table corresp.'!$A$4:$D$63,4,FALSE)</f>
        <v>Consommation finale</v>
      </c>
      <c r="F1565" t="str">
        <f t="shared" si="180"/>
        <v>08  - Con</v>
      </c>
      <c r="G1565" s="238">
        <v>105924.158944544</v>
      </c>
      <c r="H1565" s="238">
        <v>807.91141886988601</v>
      </c>
      <c r="I1565" s="238">
        <v>106732.07036341399</v>
      </c>
      <c r="J1565" s="238">
        <v>291.97744842217702</v>
      </c>
      <c r="K1565" s="238">
        <v>3.0469100096764743</v>
      </c>
      <c r="L1565" s="238">
        <v>295.0243584318535</v>
      </c>
      <c r="M1565" s="238"/>
      <c r="N1565" s="238"/>
      <c r="O1565" s="238"/>
      <c r="P1565" s="238"/>
      <c r="Q1565" s="238"/>
      <c r="R1565" s="238"/>
      <c r="S1565" s="238"/>
      <c r="T1565" s="218">
        <f>VLOOKUP(A1565,'Groupe de branches'!$Z$27:$AM$86,14,FALSE)</f>
        <v>0</v>
      </c>
      <c r="U1565" s="218">
        <f>VLOOKUP(D1565,'Groupe de branches'!$Z$27:$AM$86,14,FALSE)</f>
        <v>0</v>
      </c>
      <c r="V1565" s="218">
        <v>2020</v>
      </c>
      <c r="W1565" s="218" t="str">
        <f>VLOOKUP(D1565,'Table corresp.'!$M$4:$S$63,7,FALSE)</f>
        <v>Consommation finale</v>
      </c>
      <c r="X1565" s="240">
        <f>IFERROR(G1565/SUMIFS('Comp2016-2017 (3)'!$I$5:$I$289,'Comp2016-2017 (3)'!$A$5:$A$289,A1565,'Comp2016-2017 (3)'!$R$5:$R$289,V1565),0)</f>
        <v>0.18719914254520359</v>
      </c>
      <c r="Y1565" s="219" t="e">
        <f>IF(RIGHT(F1565,3)="Exp",VLOOKUP(F1565,#REF!,2,FALSE),VLOOKUP(F1565,#REF!,9,FALSE))</f>
        <v>#REF!</v>
      </c>
      <c r="Z1565" s="226" t="str">
        <f t="shared" si="181"/>
        <v/>
      </c>
      <c r="AA1565" s="226" t="e">
        <f t="shared" ref="AA1565:AA1628" si="183">X1565*Z1565</f>
        <v>#VALUE!</v>
      </c>
      <c r="AB1565" s="205">
        <f>IFERROR(SUMIFS('Comp2016-2017 (3)'!$G$5:$G$289,'Comp2016-2017 (3)'!$A$5:$A$289,A1565,'Comp2016-2017 (3)'!$R$5:$R$289,V1565)*AA1565/SUMIFS($AA$4:$AA$1858,$A$4:$A$1858,A1565,$V$4:$V$1858,V1565),0)</f>
        <v>0</v>
      </c>
      <c r="AC1565" s="205" t="str">
        <f>IF($W1565=AC$3,$AB1565,IF(NOT($W1565=0),"",SUMIFS('Val-Vol (2)'!AC$4:AC$1858,'Val-Vol (2)'!$A$4:$A$1858,$D1565,'Val-Vol (2)'!$V$4:$V$1858,$V1565)/SUMIFS('Comp2016-2017 (3)'!$G$5:$G$289,'Comp2016-2017 (3)'!$A$5:$A$289,$D1565,'Comp2016-2017 (3)'!$R$5:$R$289,$V1565)*$AB1565))</f>
        <v/>
      </c>
      <c r="AD1565" s="205" t="str">
        <f>IF($W1565=AD$3,$AB1565,IF(NOT($W1565=0),"",SUMIFS('Val-Vol (2)'!AD$4:AD$1858,'Val-Vol (2)'!$A$4:$A$1858,$D1565,'Val-Vol (2)'!$V$4:$V$1858,$V1565)/SUMIFS('Comp2016-2017 (3)'!$G$5:$G$289,'Comp2016-2017 (3)'!$A$5:$A$289,$D1565,'Comp2016-2017 (3)'!$R$5:$R$289,$V1565)*$AB1565))</f>
        <v/>
      </c>
      <c r="AE1565" s="205" t="str">
        <f>IF($W1565=AE$3,$AB1565,IF(NOT($W1565=0),"",SUMIFS('Val-Vol (2)'!AE$4:AE$1858,'Val-Vol (2)'!$A$4:$A$1858,$D1565,'Val-Vol (2)'!$V$4:$V$1858,$V1565)/SUMIFS('Comp2016-2017 (3)'!$G$5:$G$289,'Comp2016-2017 (3)'!$A$5:$A$289,$D1565,'Comp2016-2017 (3)'!$R$5:$R$289,$V1565)*$AB1565))</f>
        <v/>
      </c>
      <c r="AF1565" s="205" t="str">
        <f>IF($W1565=AF$3,$AB1565,IF(NOT($W1565=0),"",SUMIFS('Val-Vol (2)'!AF$4:AF$1858,'Val-Vol (2)'!$A$4:$A$1858,$D1565,'Val-Vol (2)'!$V$4:$V$1858,$V1565)/SUMIFS('Comp2016-2017 (3)'!$G$5:$G$289,'Comp2016-2017 (3)'!$A$5:$A$289,$D1565,'Comp2016-2017 (3)'!$R$5:$R$289,$V1565)*$AB1565))</f>
        <v/>
      </c>
      <c r="AG1565" s="205" t="str">
        <f>IF($W1565=AG$3,$AB1565,IF(NOT($W1565=0),"",SUMIFS('Val-Vol (2)'!AG$4:AG$1858,'Val-Vol (2)'!$A$4:$A$1858,$D1565,'Val-Vol (2)'!$V$4:$V$1858,$V1565)/SUMIFS('Comp2016-2017 (3)'!$G$5:$G$289,'Comp2016-2017 (3)'!$A$5:$A$289,$D1565,'Comp2016-2017 (3)'!$R$5:$R$289,$V1565)*$AB1565))</f>
        <v/>
      </c>
      <c r="AH1565" s="205" t="str">
        <f>IF($W1565=AH$3,$AB1565,IF(NOT($W1565=0),"",SUMIFS('Val-Vol (2)'!AH$4:AH$1858,'Val-Vol (2)'!$A$4:$A$1858,$D1565,'Val-Vol (2)'!$V$4:$V$1858,$V1565)/SUMIFS('Comp2016-2017 (3)'!$G$5:$G$289,'Comp2016-2017 (3)'!$A$5:$A$289,$D1565,'Comp2016-2017 (3)'!$R$5:$R$289,$V1565)*$AB1565))</f>
        <v/>
      </c>
      <c r="AI1565" s="205" t="str">
        <f>IF($W1565=AI$3,$AB1565,IF(NOT($W1565=0),"",SUMIFS('Val-Vol (2)'!AI$4:AI$1858,'Val-Vol (2)'!$A$4:$A$1858,$D1565,'Val-Vol (2)'!$V$4:$V$1858,$V1565)/SUMIFS('Comp2016-2017 (3)'!$G$5:$G$289,'Comp2016-2017 (3)'!$A$5:$A$289,$D1565,'Comp2016-2017 (3)'!$R$5:$R$289,$V1565)*$AB1565))</f>
        <v/>
      </c>
      <c r="AJ1565" s="205">
        <f>IF($W1565=AJ$3,$AB1565,IF(NOT($W1565=0),"",SUMIFS('Val-Vol (2)'!AJ$4:AJ$1858,'Val-Vol (2)'!$A$4:$A$1858,$D1565,'Val-Vol (2)'!$V$4:$V$1858,$V1565)/SUMIFS('Comp2016-2017 (3)'!$G$5:$G$289,'Comp2016-2017 (3)'!$A$5:$A$289,$D1565,'Comp2016-2017 (3)'!$R$5:$R$289,$V1565)*$AB1565))</f>
        <v>0</v>
      </c>
      <c r="AK1565" s="205">
        <f t="shared" si="182"/>
        <v>0</v>
      </c>
      <c r="AL1565" s="218" t="str">
        <f t="shared" si="179"/>
        <v/>
      </c>
      <c r="AM1565" s="218" t="str">
        <f>VLOOKUP(A1565,'Table corresp.'!$M$4:$U$63,8,FALSE)</f>
        <v>Production intermédiaire</v>
      </c>
      <c r="AN1565" s="218" t="str">
        <f>VLOOKUP(D1565,'Table corresp.'!$M$4:$U$63,9,FALSE)</f>
        <v>Consommation finale française</v>
      </c>
    </row>
    <row r="1566" spans="1:40" x14ac:dyDescent="0.25">
      <c r="A1566" t="s">
        <v>4</v>
      </c>
      <c r="B1566" t="str">
        <f>VLOOKUP(LEFT(A1566,3),'Table corresp.'!$A$4:$D$63,3,FALSE)</f>
        <v>Transformation</v>
      </c>
      <c r="C1566" t="str">
        <f>VLOOKUP(A1566,'Table corresp.'!$M$4:$P$63,4,FALSE)</f>
        <v>Production et transformation de produits bois</v>
      </c>
      <c r="D1566" t="s">
        <v>53</v>
      </c>
      <c r="E1566" t="str">
        <f>VLOOKUP(LEFT(D1566,3),'Table corresp.'!$A$4:$D$63,4,FALSE)</f>
        <v>Exportation</v>
      </c>
      <c r="F1566" t="str">
        <f t="shared" si="180"/>
        <v>08  - Exp</v>
      </c>
      <c r="G1566" s="238">
        <v>90178.702222000094</v>
      </c>
      <c r="H1566" s="238">
        <v>0</v>
      </c>
      <c r="I1566" s="238">
        <v>90178.702222000007</v>
      </c>
      <c r="J1566" s="238">
        <v>336.58417462715295</v>
      </c>
      <c r="K1566" s="238">
        <v>0</v>
      </c>
      <c r="L1566" s="238">
        <v>336.58417462715295</v>
      </c>
      <c r="M1566" s="238"/>
      <c r="N1566" s="238"/>
      <c r="O1566" s="238"/>
      <c r="P1566" s="238"/>
      <c r="Q1566" s="238"/>
      <c r="R1566" s="238"/>
      <c r="S1566" s="238"/>
      <c r="T1566" s="218">
        <f>VLOOKUP(A1566,'Groupe de branches'!$Z$27:$AM$86,14,FALSE)</f>
        <v>0</v>
      </c>
      <c r="U1566" s="218">
        <f>VLOOKUP(D1566,'Groupe de branches'!$Z$27:$AM$86,14,FALSE)</f>
        <v>0</v>
      </c>
      <c r="V1566" s="218">
        <v>2020</v>
      </c>
      <c r="W1566" s="218" t="str">
        <f>VLOOKUP(D1566,'Table corresp.'!$M$4:$S$63,7,FALSE)</f>
        <v>Exportation</v>
      </c>
      <c r="X1566" s="240">
        <f>IFERROR(G1566/SUMIFS('Comp2016-2017 (3)'!$I$5:$I$289,'Comp2016-2017 (3)'!$A$5:$A$289,A1566,'Comp2016-2017 (3)'!$R$5:$R$289,V1566),0)</f>
        <v>0.15937228957027463</v>
      </c>
      <c r="Y1566" s="219" t="e">
        <f>IF(RIGHT(F1566,3)="Exp",VLOOKUP(F1566,#REF!,2,FALSE),VLOOKUP(F1566,#REF!,9,FALSE))</f>
        <v>#REF!</v>
      </c>
      <c r="Z1566" s="226" t="str">
        <f t="shared" si="181"/>
        <v/>
      </c>
      <c r="AA1566" s="226" t="e">
        <f t="shared" si="183"/>
        <v>#VALUE!</v>
      </c>
      <c r="AB1566" s="205">
        <f>IFERROR(SUMIFS('Comp2016-2017 (3)'!$G$5:$G$289,'Comp2016-2017 (3)'!$A$5:$A$289,A1566,'Comp2016-2017 (3)'!$R$5:$R$289,V1566)*AA1566/SUMIFS($AA$4:$AA$1858,$A$4:$A$1858,A1566,$V$4:$V$1858,V1566),0)</f>
        <v>0</v>
      </c>
      <c r="AC1566" s="205">
        <f>IF($W1566=AC$3,$AB1566,IF(NOT($W1566=0),"",SUMIFS('Val-Vol (2)'!AC$4:AC$1858,'Val-Vol (2)'!$A$4:$A$1858,$D1566,'Val-Vol (2)'!$V$4:$V$1858,$V1566)/SUMIFS('Comp2016-2017 (3)'!$G$5:$G$289,'Comp2016-2017 (3)'!$A$5:$A$289,$D1566,'Comp2016-2017 (3)'!$R$5:$R$289,$V1566)*$AB1566))</f>
        <v>0</v>
      </c>
      <c r="AD1566" s="205" t="str">
        <f>IF($W1566=AD$3,$AB1566,IF(NOT($W1566=0),"",SUMIFS('Val-Vol (2)'!AD$4:AD$1858,'Val-Vol (2)'!$A$4:$A$1858,$D1566,'Val-Vol (2)'!$V$4:$V$1858,$V1566)/SUMIFS('Comp2016-2017 (3)'!$G$5:$G$289,'Comp2016-2017 (3)'!$A$5:$A$289,$D1566,'Comp2016-2017 (3)'!$R$5:$R$289,$V1566)*$AB1566))</f>
        <v/>
      </c>
      <c r="AE1566" s="205" t="str">
        <f>IF($W1566=AE$3,$AB1566,IF(NOT($W1566=0),"",SUMIFS('Val-Vol (2)'!AE$4:AE$1858,'Val-Vol (2)'!$A$4:$A$1858,$D1566,'Val-Vol (2)'!$V$4:$V$1858,$V1566)/SUMIFS('Comp2016-2017 (3)'!$G$5:$G$289,'Comp2016-2017 (3)'!$A$5:$A$289,$D1566,'Comp2016-2017 (3)'!$R$5:$R$289,$V1566)*$AB1566))</f>
        <v/>
      </c>
      <c r="AF1566" s="205" t="str">
        <f>IF($W1566=AF$3,$AB1566,IF(NOT($W1566=0),"",SUMIFS('Val-Vol (2)'!AF$4:AF$1858,'Val-Vol (2)'!$A$4:$A$1858,$D1566,'Val-Vol (2)'!$V$4:$V$1858,$V1566)/SUMIFS('Comp2016-2017 (3)'!$G$5:$G$289,'Comp2016-2017 (3)'!$A$5:$A$289,$D1566,'Comp2016-2017 (3)'!$R$5:$R$289,$V1566)*$AB1566))</f>
        <v/>
      </c>
      <c r="AG1566" s="205" t="str">
        <f>IF($W1566=AG$3,$AB1566,IF(NOT($W1566=0),"",SUMIFS('Val-Vol (2)'!AG$4:AG$1858,'Val-Vol (2)'!$A$4:$A$1858,$D1566,'Val-Vol (2)'!$V$4:$V$1858,$V1566)/SUMIFS('Comp2016-2017 (3)'!$G$5:$G$289,'Comp2016-2017 (3)'!$A$5:$A$289,$D1566,'Comp2016-2017 (3)'!$R$5:$R$289,$V1566)*$AB1566))</f>
        <v/>
      </c>
      <c r="AH1566" s="205" t="str">
        <f>IF($W1566=AH$3,$AB1566,IF(NOT($W1566=0),"",SUMIFS('Val-Vol (2)'!AH$4:AH$1858,'Val-Vol (2)'!$A$4:$A$1858,$D1566,'Val-Vol (2)'!$V$4:$V$1858,$V1566)/SUMIFS('Comp2016-2017 (3)'!$G$5:$G$289,'Comp2016-2017 (3)'!$A$5:$A$289,$D1566,'Comp2016-2017 (3)'!$R$5:$R$289,$V1566)*$AB1566))</f>
        <v/>
      </c>
      <c r="AI1566" s="205" t="str">
        <f>IF($W1566=AI$3,$AB1566,IF(NOT($W1566=0),"",SUMIFS('Val-Vol (2)'!AI$4:AI$1858,'Val-Vol (2)'!$A$4:$A$1858,$D1566,'Val-Vol (2)'!$V$4:$V$1858,$V1566)/SUMIFS('Comp2016-2017 (3)'!$G$5:$G$289,'Comp2016-2017 (3)'!$A$5:$A$289,$D1566,'Comp2016-2017 (3)'!$R$5:$R$289,$V1566)*$AB1566))</f>
        <v/>
      </c>
      <c r="AJ1566" s="205" t="str">
        <f>IF($W1566=AJ$3,$AB1566,IF(NOT($W1566=0),"",SUMIFS('Val-Vol (2)'!AJ$4:AJ$1858,'Val-Vol (2)'!$A$4:$A$1858,$D1566,'Val-Vol (2)'!$V$4:$V$1858,$V1566)/SUMIFS('Comp2016-2017 (3)'!$G$5:$G$289,'Comp2016-2017 (3)'!$A$5:$A$289,$D1566,'Comp2016-2017 (3)'!$R$5:$R$289,$V1566)*$AB1566))</f>
        <v/>
      </c>
      <c r="AK1566" s="205">
        <f t="shared" si="182"/>
        <v>0</v>
      </c>
      <c r="AL1566" s="218" t="str">
        <f t="shared" ref="AL1566:AL1629" si="184">IF(A1566=D1566,"remplir à la main","")</f>
        <v/>
      </c>
      <c r="AM1566" s="218" t="str">
        <f>VLOOKUP(A1566,'Table corresp.'!$M$4:$U$63,8,FALSE)</f>
        <v>Production intermédiaire</v>
      </c>
      <c r="AN1566" s="218" t="str">
        <f>VLOOKUP(D1566,'Table corresp.'!$M$4:$U$63,9,FALSE)</f>
        <v>Exportation</v>
      </c>
    </row>
    <row r="1567" spans="1:40" x14ac:dyDescent="0.25">
      <c r="A1567" t="s">
        <v>5</v>
      </c>
      <c r="B1567" t="str">
        <f>VLOOKUP(LEFT(A1567,3),'Table corresp.'!$A$4:$D$63,3,FALSE)</f>
        <v>Transformation</v>
      </c>
      <c r="C1567" t="str">
        <f>VLOOKUP(A1567,'Table corresp.'!$M$4:$P$63,4,FALSE)</f>
        <v>Production et transformation de produits bois</v>
      </c>
      <c r="D1567" t="s">
        <v>14</v>
      </c>
      <c r="E1567" t="str">
        <f>VLOOKUP(LEFT(D1567,3),'Table corresp.'!$A$4:$D$63,4,FALSE)</f>
        <v>Transformation</v>
      </c>
      <c r="F1567" t="str">
        <f t="shared" si="180"/>
        <v>09  - 20b</v>
      </c>
      <c r="G1567" s="238">
        <v>519.80550745765402</v>
      </c>
      <c r="H1567" s="238">
        <v>1077.8834439985801</v>
      </c>
      <c r="I1567" s="238">
        <v>1597.68883576497</v>
      </c>
      <c r="J1567" s="238">
        <v>4.5297009277845515</v>
      </c>
      <c r="K1567" s="238">
        <v>2.9400939693568531</v>
      </c>
      <c r="L1567" s="238">
        <v>7.469794897141405</v>
      </c>
      <c r="M1567" s="238"/>
      <c r="N1567" s="238"/>
      <c r="O1567" s="238"/>
      <c r="P1567" s="238"/>
      <c r="Q1567" s="238"/>
      <c r="R1567" s="238"/>
      <c r="S1567" s="238"/>
      <c r="T1567" s="218">
        <f>VLOOKUP(A1567,'Groupe de branches'!$Z$27:$AM$86,14,FALSE)</f>
        <v>0</v>
      </c>
      <c r="U1567" s="218">
        <f>VLOOKUP(D1567,'Groupe de branches'!$Z$27:$AM$86,14,FALSE)</f>
        <v>0</v>
      </c>
      <c r="V1567" s="218">
        <v>2020</v>
      </c>
      <c r="W1567" s="218">
        <f>VLOOKUP(D1567,'Table corresp.'!$M$4:$S$63,7,FALSE)</f>
        <v>0</v>
      </c>
      <c r="X1567" s="240">
        <f>IFERROR(G1567/SUMIFS('Comp2016-2017 (3)'!$I$5:$I$289,'Comp2016-2017 (3)'!$A$5:$A$289,A1567,'Comp2016-2017 (3)'!$R$5:$R$289,V1567),0)</f>
        <v>6.9617098000407272E-3</v>
      </c>
      <c r="Y1567" s="219" t="e">
        <f>IF(RIGHT(F1567,3)="Exp",VLOOKUP(F1567,#REF!,2,FALSE),VLOOKUP(F1567,#REF!,9,FALSE))</f>
        <v>#REF!</v>
      </c>
      <c r="Z1567" s="226" t="str">
        <f t="shared" si="181"/>
        <v/>
      </c>
      <c r="AA1567" s="226" t="e">
        <f t="shared" si="183"/>
        <v>#VALUE!</v>
      </c>
      <c r="AB1567" s="205">
        <f>IFERROR(SUMIFS('Comp2016-2017 (3)'!$G$5:$G$289,'Comp2016-2017 (3)'!$A$5:$A$289,A1567,'Comp2016-2017 (3)'!$R$5:$R$289,V1567)*AA1567/SUMIFS($AA$4:$AA$1858,$A$4:$A$1858,A1567,$V$4:$V$1858,V1567),0)</f>
        <v>0</v>
      </c>
      <c r="AC1567" s="205">
        <f>IF($W1567=AC$3,$AB1567,IF(NOT($W1567=0),"",SUMIFS('Val-Vol (2)'!AC$4:AC$1858,'Val-Vol (2)'!$A$4:$A$1858,$D1567,'Val-Vol (2)'!$V$4:$V$1858,$V1567)/SUMIFS('Comp2016-2017 (3)'!$G$5:$G$289,'Comp2016-2017 (3)'!$A$5:$A$289,$D1567,'Comp2016-2017 (3)'!$R$5:$R$289,$V1567)*$AB1567))</f>
        <v>0</v>
      </c>
      <c r="AD1567" s="205">
        <f>IF($W1567=AD$3,$AB1567,IF(NOT($W1567=0),"",SUMIFS('Val-Vol (2)'!AD$4:AD$1858,'Val-Vol (2)'!$A$4:$A$1858,$D1567,'Val-Vol (2)'!$V$4:$V$1858,$V1567)/SUMIFS('Comp2016-2017 (3)'!$G$5:$G$289,'Comp2016-2017 (3)'!$A$5:$A$289,$D1567,'Comp2016-2017 (3)'!$R$5:$R$289,$V1567)*$AB1567))</f>
        <v>0</v>
      </c>
      <c r="AE1567" s="205">
        <f>IF($W1567=AE$3,$AB1567,IF(NOT($W1567=0),"",SUMIFS('Val-Vol (2)'!AE$4:AE$1858,'Val-Vol (2)'!$A$4:$A$1858,$D1567,'Val-Vol (2)'!$V$4:$V$1858,$V1567)/SUMIFS('Comp2016-2017 (3)'!$G$5:$G$289,'Comp2016-2017 (3)'!$A$5:$A$289,$D1567,'Comp2016-2017 (3)'!$R$5:$R$289,$V1567)*$AB1567))</f>
        <v>0</v>
      </c>
      <c r="AF1567" s="205">
        <f>IF($W1567=AF$3,$AB1567,IF(NOT($W1567=0),"",SUMIFS('Val-Vol (2)'!AF$4:AF$1858,'Val-Vol (2)'!$A$4:$A$1858,$D1567,'Val-Vol (2)'!$V$4:$V$1858,$V1567)/SUMIFS('Comp2016-2017 (3)'!$G$5:$G$289,'Comp2016-2017 (3)'!$A$5:$A$289,$D1567,'Comp2016-2017 (3)'!$R$5:$R$289,$V1567)*$AB1567))</f>
        <v>0</v>
      </c>
      <c r="AG1567" s="205">
        <f>IF($W1567=AG$3,$AB1567,IF(NOT($W1567=0),"",SUMIFS('Val-Vol (2)'!AG$4:AG$1858,'Val-Vol (2)'!$A$4:$A$1858,$D1567,'Val-Vol (2)'!$V$4:$V$1858,$V1567)/SUMIFS('Comp2016-2017 (3)'!$G$5:$G$289,'Comp2016-2017 (3)'!$A$5:$A$289,$D1567,'Comp2016-2017 (3)'!$R$5:$R$289,$V1567)*$AB1567))</f>
        <v>0</v>
      </c>
      <c r="AH1567" s="205">
        <f>IF($W1567=AH$3,$AB1567,IF(NOT($W1567=0),"",SUMIFS('Val-Vol (2)'!AH$4:AH$1858,'Val-Vol (2)'!$A$4:$A$1858,$D1567,'Val-Vol (2)'!$V$4:$V$1858,$V1567)/SUMIFS('Comp2016-2017 (3)'!$G$5:$G$289,'Comp2016-2017 (3)'!$A$5:$A$289,$D1567,'Comp2016-2017 (3)'!$R$5:$R$289,$V1567)*$AB1567))</f>
        <v>0</v>
      </c>
      <c r="AI1567" s="205">
        <f>IF($W1567=AI$3,$AB1567,IF(NOT($W1567=0),"",SUMIFS('Val-Vol (2)'!AI$4:AI$1858,'Val-Vol (2)'!$A$4:$A$1858,$D1567,'Val-Vol (2)'!$V$4:$V$1858,$V1567)/SUMIFS('Comp2016-2017 (3)'!$G$5:$G$289,'Comp2016-2017 (3)'!$A$5:$A$289,$D1567,'Comp2016-2017 (3)'!$R$5:$R$289,$V1567)*$AB1567))</f>
        <v>0</v>
      </c>
      <c r="AJ1567" s="205">
        <f>IF($W1567=AJ$3,$AB1567,IF(NOT($W1567=0),"",SUMIFS('Val-Vol (2)'!AJ$4:AJ$1858,'Val-Vol (2)'!$A$4:$A$1858,$D1567,'Val-Vol (2)'!$V$4:$V$1858,$V1567)/SUMIFS('Comp2016-2017 (3)'!$G$5:$G$289,'Comp2016-2017 (3)'!$A$5:$A$289,$D1567,'Comp2016-2017 (3)'!$R$5:$R$289,$V1567)*$AB1567))</f>
        <v>0</v>
      </c>
      <c r="AK1567" s="205">
        <f t="shared" si="182"/>
        <v>0</v>
      </c>
      <c r="AL1567" s="218" t="str">
        <f t="shared" si="184"/>
        <v/>
      </c>
      <c r="AM1567" s="218" t="str">
        <f>VLOOKUP(A1567,'Table corresp.'!$M$4:$U$63,8,FALSE)</f>
        <v>Production intermédiaire</v>
      </c>
      <c r="AN1567" s="218" t="str">
        <f>VLOOKUP(D1567,'Table corresp.'!$M$4:$U$63,9,FALSE)</f>
        <v>Production intermédiaire</v>
      </c>
    </row>
    <row r="1568" spans="1:40" x14ac:dyDescent="0.25">
      <c r="A1568" t="s">
        <v>5</v>
      </c>
      <c r="B1568" t="str">
        <f>VLOOKUP(LEFT(A1568,3),'Table corresp.'!$A$4:$D$63,3,FALSE)</f>
        <v>Transformation</v>
      </c>
      <c r="C1568" t="str">
        <f>VLOOKUP(A1568,'Table corresp.'!$M$4:$P$63,4,FALSE)</f>
        <v>Production et transformation de produits bois</v>
      </c>
      <c r="D1568" t="s">
        <v>89</v>
      </c>
      <c r="E1568" t="str">
        <f>VLOOKUP(LEFT(D1568,3),'Table corresp.'!$A$4:$D$63,4,FALSE)</f>
        <v>Transformation</v>
      </c>
      <c r="F1568" t="str">
        <f t="shared" si="180"/>
        <v xml:space="preserve">09  - 33 </v>
      </c>
      <c r="G1568" s="238">
        <v>0.20014127531542</v>
      </c>
      <c r="H1568" s="238">
        <v>433.96212421973303</v>
      </c>
      <c r="I1568" s="238">
        <v>434.16221126323899</v>
      </c>
      <c r="J1568" s="238">
        <v>1.744075634977946E-3</v>
      </c>
      <c r="K1568" s="238">
        <v>1.1836988789943854</v>
      </c>
      <c r="L1568" s="238">
        <v>1.1854429546293634</v>
      </c>
      <c r="M1568" s="238"/>
      <c r="N1568" s="238"/>
      <c r="O1568" s="238"/>
      <c r="P1568" s="238"/>
      <c r="Q1568" s="238"/>
      <c r="R1568" s="238"/>
      <c r="S1568" s="238"/>
      <c r="T1568" s="218">
        <f>VLOOKUP(A1568,'Groupe de branches'!$Z$27:$AM$86,14,FALSE)</f>
        <v>0</v>
      </c>
      <c r="U1568" s="218">
        <f>VLOOKUP(D1568,'Groupe de branches'!$Z$27:$AM$86,14,FALSE)</f>
        <v>0</v>
      </c>
      <c r="V1568" s="218">
        <v>2020</v>
      </c>
      <c r="W1568" s="218" t="str">
        <f>VLOOKUP(D1568,'Table corresp.'!$M$4:$S$63,7,FALSE)</f>
        <v>Construction</v>
      </c>
      <c r="X1568" s="240">
        <f>IFERROR(G1568/SUMIFS('Comp2016-2017 (3)'!$I$5:$I$289,'Comp2016-2017 (3)'!$A$5:$A$289,A1568,'Comp2016-2017 (3)'!$R$5:$R$289,V1568),0)</f>
        <v>2.6804746347738846E-6</v>
      </c>
      <c r="Y1568" s="219" t="e">
        <f>IF(RIGHT(F1568,3)="Exp",VLOOKUP(F1568,#REF!,2,FALSE),VLOOKUP(F1568,#REF!,9,FALSE))</f>
        <v>#REF!</v>
      </c>
      <c r="Z1568" s="226" t="str">
        <f t="shared" si="181"/>
        <v/>
      </c>
      <c r="AA1568" s="226" t="e">
        <f t="shared" si="183"/>
        <v>#VALUE!</v>
      </c>
      <c r="AB1568" s="205">
        <f>IFERROR(SUMIFS('Comp2016-2017 (3)'!$G$5:$G$289,'Comp2016-2017 (3)'!$A$5:$A$289,A1568,'Comp2016-2017 (3)'!$R$5:$R$289,V1568)*AA1568/SUMIFS($AA$4:$AA$1858,$A$4:$A$1858,A1568,$V$4:$V$1858,V1568),0)</f>
        <v>0</v>
      </c>
      <c r="AC1568" s="205" t="str">
        <f>IF($W1568=AC$3,$AB1568,IF(NOT($W1568=0),"",SUMIFS('Val-Vol (2)'!AC$4:AC$1858,'Val-Vol (2)'!$A$4:$A$1858,$D1568,'Val-Vol (2)'!$V$4:$V$1858,$V1568)/SUMIFS('Comp2016-2017 (3)'!$G$5:$G$289,'Comp2016-2017 (3)'!$A$5:$A$289,$D1568,'Comp2016-2017 (3)'!$R$5:$R$289,$V1568)*$AB1568))</f>
        <v/>
      </c>
      <c r="AD1568" s="205">
        <f>IF($W1568=AD$3,$AB1568,IF(NOT($W1568=0),"",SUMIFS('Val-Vol (2)'!AD$4:AD$1858,'Val-Vol (2)'!$A$4:$A$1858,$D1568,'Val-Vol (2)'!$V$4:$V$1858,$V1568)/SUMIFS('Comp2016-2017 (3)'!$G$5:$G$289,'Comp2016-2017 (3)'!$A$5:$A$289,$D1568,'Comp2016-2017 (3)'!$R$5:$R$289,$V1568)*$AB1568))</f>
        <v>0</v>
      </c>
      <c r="AE1568" s="205" t="str">
        <f>IF($W1568=AE$3,$AB1568,IF(NOT($W1568=0),"",SUMIFS('Val-Vol (2)'!AE$4:AE$1858,'Val-Vol (2)'!$A$4:$A$1858,$D1568,'Val-Vol (2)'!$V$4:$V$1858,$V1568)/SUMIFS('Comp2016-2017 (3)'!$G$5:$G$289,'Comp2016-2017 (3)'!$A$5:$A$289,$D1568,'Comp2016-2017 (3)'!$R$5:$R$289,$V1568)*$AB1568))</f>
        <v/>
      </c>
      <c r="AF1568" s="205" t="str">
        <f>IF($W1568=AF$3,$AB1568,IF(NOT($W1568=0),"",SUMIFS('Val-Vol (2)'!AF$4:AF$1858,'Val-Vol (2)'!$A$4:$A$1858,$D1568,'Val-Vol (2)'!$V$4:$V$1858,$V1568)/SUMIFS('Comp2016-2017 (3)'!$G$5:$G$289,'Comp2016-2017 (3)'!$A$5:$A$289,$D1568,'Comp2016-2017 (3)'!$R$5:$R$289,$V1568)*$AB1568))</f>
        <v/>
      </c>
      <c r="AG1568" s="205" t="str">
        <f>IF($W1568=AG$3,$AB1568,IF(NOT($W1568=0),"",SUMIFS('Val-Vol (2)'!AG$4:AG$1858,'Val-Vol (2)'!$A$4:$A$1858,$D1568,'Val-Vol (2)'!$V$4:$V$1858,$V1568)/SUMIFS('Comp2016-2017 (3)'!$G$5:$G$289,'Comp2016-2017 (3)'!$A$5:$A$289,$D1568,'Comp2016-2017 (3)'!$R$5:$R$289,$V1568)*$AB1568))</f>
        <v/>
      </c>
      <c r="AH1568" s="205" t="str">
        <f>IF($W1568=AH$3,$AB1568,IF(NOT($W1568=0),"",SUMIFS('Val-Vol (2)'!AH$4:AH$1858,'Val-Vol (2)'!$A$4:$A$1858,$D1568,'Val-Vol (2)'!$V$4:$V$1858,$V1568)/SUMIFS('Comp2016-2017 (3)'!$G$5:$G$289,'Comp2016-2017 (3)'!$A$5:$A$289,$D1568,'Comp2016-2017 (3)'!$R$5:$R$289,$V1568)*$AB1568))</f>
        <v/>
      </c>
      <c r="AI1568" s="205" t="str">
        <f>IF($W1568=AI$3,$AB1568,IF(NOT($W1568=0),"",SUMIFS('Val-Vol (2)'!AI$4:AI$1858,'Val-Vol (2)'!$A$4:$A$1858,$D1568,'Val-Vol (2)'!$V$4:$V$1858,$V1568)/SUMIFS('Comp2016-2017 (3)'!$G$5:$G$289,'Comp2016-2017 (3)'!$A$5:$A$289,$D1568,'Comp2016-2017 (3)'!$R$5:$R$289,$V1568)*$AB1568))</f>
        <v/>
      </c>
      <c r="AJ1568" s="205" t="str">
        <f>IF($W1568=AJ$3,$AB1568,IF(NOT($W1568=0),"",SUMIFS('Val-Vol (2)'!AJ$4:AJ$1858,'Val-Vol (2)'!$A$4:$A$1858,$D1568,'Val-Vol (2)'!$V$4:$V$1858,$V1568)/SUMIFS('Comp2016-2017 (3)'!$G$5:$G$289,'Comp2016-2017 (3)'!$A$5:$A$289,$D1568,'Comp2016-2017 (3)'!$R$5:$R$289,$V1568)*$AB1568))</f>
        <v/>
      </c>
      <c r="AK1568" s="205">
        <f t="shared" si="182"/>
        <v>0</v>
      </c>
      <c r="AL1568" s="218" t="str">
        <f t="shared" si="184"/>
        <v/>
      </c>
      <c r="AM1568" s="218" t="str">
        <f>VLOOKUP(A1568,'Table corresp.'!$M$4:$U$63,8,FALSE)</f>
        <v>Production intermédiaire</v>
      </c>
      <c r="AN1568" s="218" t="str">
        <f>VLOOKUP(D1568,'Table corresp.'!$M$4:$U$63,9,FALSE)</f>
        <v>Production finale</v>
      </c>
    </row>
    <row r="1569" spans="1:40" x14ac:dyDescent="0.25">
      <c r="A1569" t="s">
        <v>5</v>
      </c>
      <c r="B1569" t="str">
        <f>VLOOKUP(LEFT(A1569,3),'Table corresp.'!$A$4:$D$63,3,FALSE)</f>
        <v>Transformation</v>
      </c>
      <c r="C1569" t="str">
        <f>VLOOKUP(A1569,'Table corresp.'!$M$4:$P$63,4,FALSE)</f>
        <v>Production et transformation de produits bois</v>
      </c>
      <c r="D1569" t="s">
        <v>16</v>
      </c>
      <c r="E1569" t="str">
        <f>VLOOKUP(LEFT(D1569,3),'Table corresp.'!$A$4:$D$63,4,FALSE)</f>
        <v>Transformation</v>
      </c>
      <c r="F1569" t="str">
        <f t="shared" si="180"/>
        <v xml:space="preserve">09  - 36 </v>
      </c>
      <c r="G1569" s="238">
        <v>1672.3239276520901</v>
      </c>
      <c r="H1569" s="238">
        <v>2521.1457925774798</v>
      </c>
      <c r="I1569" s="238">
        <v>4193.4694663420796</v>
      </c>
      <c r="J1569" s="238">
        <v>14.573003052029197</v>
      </c>
      <c r="K1569" s="238">
        <v>6.8768154682188589</v>
      </c>
      <c r="L1569" s="238">
        <v>21.449818520248055</v>
      </c>
      <c r="M1569" s="238"/>
      <c r="N1569" s="238"/>
      <c r="O1569" s="238"/>
      <c r="P1569" s="238"/>
      <c r="Q1569" s="238"/>
      <c r="R1569" s="238"/>
      <c r="S1569" s="238"/>
      <c r="T1569" s="218">
        <f>VLOOKUP(A1569,'Groupe de branches'!$Z$27:$AM$86,14,FALSE)</f>
        <v>0</v>
      </c>
      <c r="U1569" s="218">
        <f>VLOOKUP(D1569,'Groupe de branches'!$Z$27:$AM$86,14,FALSE)</f>
        <v>0</v>
      </c>
      <c r="V1569" s="218">
        <v>2020</v>
      </c>
      <c r="W1569" s="218" t="str">
        <f>VLOOKUP(D1569,'Table corresp.'!$M$4:$S$63,7,FALSE)</f>
        <v>Construction</v>
      </c>
      <c r="X1569" s="240">
        <f>IFERROR(G1569/SUMIFS('Comp2016-2017 (3)'!$I$5:$I$289,'Comp2016-2017 (3)'!$A$5:$A$289,A1569,'Comp2016-2017 (3)'!$R$5:$R$289,V1569),0)</f>
        <v>2.2397288426049607E-2</v>
      </c>
      <c r="Y1569" s="219" t="e">
        <f>IF(RIGHT(F1569,3)="Exp",VLOOKUP(F1569,#REF!,2,FALSE),VLOOKUP(F1569,#REF!,9,FALSE))</f>
        <v>#REF!</v>
      </c>
      <c r="Z1569" s="226" t="str">
        <f t="shared" si="181"/>
        <v/>
      </c>
      <c r="AA1569" s="226" t="e">
        <f t="shared" si="183"/>
        <v>#VALUE!</v>
      </c>
      <c r="AB1569" s="205">
        <f>IFERROR(SUMIFS('Comp2016-2017 (3)'!$G$5:$G$289,'Comp2016-2017 (3)'!$A$5:$A$289,A1569,'Comp2016-2017 (3)'!$R$5:$R$289,V1569)*AA1569/SUMIFS($AA$4:$AA$1858,$A$4:$A$1858,A1569,$V$4:$V$1858,V1569),0)</f>
        <v>0</v>
      </c>
      <c r="AC1569" s="205" t="str">
        <f>IF($W1569=AC$3,$AB1569,IF(NOT($W1569=0),"",SUMIFS('Val-Vol (2)'!AC$4:AC$1858,'Val-Vol (2)'!$A$4:$A$1858,$D1569,'Val-Vol (2)'!$V$4:$V$1858,$V1569)/SUMIFS('Comp2016-2017 (3)'!$G$5:$G$289,'Comp2016-2017 (3)'!$A$5:$A$289,$D1569,'Comp2016-2017 (3)'!$R$5:$R$289,$V1569)*$AB1569))</f>
        <v/>
      </c>
      <c r="AD1569" s="205">
        <f>IF($W1569=AD$3,$AB1569,IF(NOT($W1569=0),"",SUMIFS('Val-Vol (2)'!AD$4:AD$1858,'Val-Vol (2)'!$A$4:$A$1858,$D1569,'Val-Vol (2)'!$V$4:$V$1858,$V1569)/SUMIFS('Comp2016-2017 (3)'!$G$5:$G$289,'Comp2016-2017 (3)'!$A$5:$A$289,$D1569,'Comp2016-2017 (3)'!$R$5:$R$289,$V1569)*$AB1569))</f>
        <v>0</v>
      </c>
      <c r="AE1569" s="205" t="str">
        <f>IF($W1569=AE$3,$AB1569,IF(NOT($W1569=0),"",SUMIFS('Val-Vol (2)'!AE$4:AE$1858,'Val-Vol (2)'!$A$4:$A$1858,$D1569,'Val-Vol (2)'!$V$4:$V$1858,$V1569)/SUMIFS('Comp2016-2017 (3)'!$G$5:$G$289,'Comp2016-2017 (3)'!$A$5:$A$289,$D1569,'Comp2016-2017 (3)'!$R$5:$R$289,$V1569)*$AB1569))</f>
        <v/>
      </c>
      <c r="AF1569" s="205" t="str">
        <f>IF($W1569=AF$3,$AB1569,IF(NOT($W1569=0),"",SUMIFS('Val-Vol (2)'!AF$4:AF$1858,'Val-Vol (2)'!$A$4:$A$1858,$D1569,'Val-Vol (2)'!$V$4:$V$1858,$V1569)/SUMIFS('Comp2016-2017 (3)'!$G$5:$G$289,'Comp2016-2017 (3)'!$A$5:$A$289,$D1569,'Comp2016-2017 (3)'!$R$5:$R$289,$V1569)*$AB1569))</f>
        <v/>
      </c>
      <c r="AG1569" s="205" t="str">
        <f>IF($W1569=AG$3,$AB1569,IF(NOT($W1569=0),"",SUMIFS('Val-Vol (2)'!AG$4:AG$1858,'Val-Vol (2)'!$A$4:$A$1858,$D1569,'Val-Vol (2)'!$V$4:$V$1858,$V1569)/SUMIFS('Comp2016-2017 (3)'!$G$5:$G$289,'Comp2016-2017 (3)'!$A$5:$A$289,$D1569,'Comp2016-2017 (3)'!$R$5:$R$289,$V1569)*$AB1569))</f>
        <v/>
      </c>
      <c r="AH1569" s="205" t="str">
        <f>IF($W1569=AH$3,$AB1569,IF(NOT($W1569=0),"",SUMIFS('Val-Vol (2)'!AH$4:AH$1858,'Val-Vol (2)'!$A$4:$A$1858,$D1569,'Val-Vol (2)'!$V$4:$V$1858,$V1569)/SUMIFS('Comp2016-2017 (3)'!$G$5:$G$289,'Comp2016-2017 (3)'!$A$5:$A$289,$D1569,'Comp2016-2017 (3)'!$R$5:$R$289,$V1569)*$AB1569))</f>
        <v/>
      </c>
      <c r="AI1569" s="205" t="str">
        <f>IF($W1569=AI$3,$AB1569,IF(NOT($W1569=0),"",SUMIFS('Val-Vol (2)'!AI$4:AI$1858,'Val-Vol (2)'!$A$4:$A$1858,$D1569,'Val-Vol (2)'!$V$4:$V$1858,$V1569)/SUMIFS('Comp2016-2017 (3)'!$G$5:$G$289,'Comp2016-2017 (3)'!$A$5:$A$289,$D1569,'Comp2016-2017 (3)'!$R$5:$R$289,$V1569)*$AB1569))</f>
        <v/>
      </c>
      <c r="AJ1569" s="205" t="str">
        <f>IF($W1569=AJ$3,$AB1569,IF(NOT($W1569=0),"",SUMIFS('Val-Vol (2)'!AJ$4:AJ$1858,'Val-Vol (2)'!$A$4:$A$1858,$D1569,'Val-Vol (2)'!$V$4:$V$1858,$V1569)/SUMIFS('Comp2016-2017 (3)'!$G$5:$G$289,'Comp2016-2017 (3)'!$A$5:$A$289,$D1569,'Comp2016-2017 (3)'!$R$5:$R$289,$V1569)*$AB1569))</f>
        <v/>
      </c>
      <c r="AK1569" s="205">
        <f t="shared" si="182"/>
        <v>0</v>
      </c>
      <c r="AL1569" s="218" t="str">
        <f t="shared" si="184"/>
        <v/>
      </c>
      <c r="AM1569" s="218" t="str">
        <f>VLOOKUP(A1569,'Table corresp.'!$M$4:$U$63,8,FALSE)</f>
        <v>Production intermédiaire</v>
      </c>
      <c r="AN1569" s="218" t="str">
        <f>VLOOKUP(D1569,'Table corresp.'!$M$4:$U$63,9,FALSE)</f>
        <v>Production finale</v>
      </c>
    </row>
    <row r="1570" spans="1:40" x14ac:dyDescent="0.25">
      <c r="A1570" t="s">
        <v>5</v>
      </c>
      <c r="B1570" t="str">
        <f>VLOOKUP(LEFT(A1570,3),'Table corresp.'!$A$4:$D$63,3,FALSE)</f>
        <v>Transformation</v>
      </c>
      <c r="C1570" t="str">
        <f>VLOOKUP(A1570,'Table corresp.'!$M$4:$P$63,4,FALSE)</f>
        <v>Production et transformation de produits bois</v>
      </c>
      <c r="D1570" t="s">
        <v>91</v>
      </c>
      <c r="E1570" t="str">
        <f>VLOOKUP(LEFT(D1570,3),'Table corresp.'!$A$4:$D$63,4,FALSE)</f>
        <v>Transformation</v>
      </c>
      <c r="F1570" t="str">
        <f t="shared" si="180"/>
        <v xml:space="preserve">09  - 37 </v>
      </c>
      <c r="G1570" s="238">
        <v>7762.7076593614202</v>
      </c>
      <c r="H1570" s="238">
        <v>0</v>
      </c>
      <c r="I1570" s="238">
        <v>7762.7079435371597</v>
      </c>
      <c r="J1570" s="238">
        <v>116.80202932061596</v>
      </c>
      <c r="K1570" s="238">
        <v>0</v>
      </c>
      <c r="L1570" s="238">
        <v>116.80202932061596</v>
      </c>
      <c r="M1570" s="238"/>
      <c r="N1570" s="238"/>
      <c r="O1570" s="238"/>
      <c r="P1570" s="238"/>
      <c r="Q1570" s="238"/>
      <c r="R1570" s="238"/>
      <c r="S1570" s="238"/>
      <c r="T1570" s="218">
        <f>VLOOKUP(A1570,'Groupe de branches'!$Z$27:$AM$86,14,FALSE)</f>
        <v>0</v>
      </c>
      <c r="U1570" s="218">
        <f>VLOOKUP(D1570,'Groupe de branches'!$Z$27:$AM$86,14,FALSE)</f>
        <v>0</v>
      </c>
      <c r="V1570" s="218">
        <v>2020</v>
      </c>
      <c r="W1570" s="218" t="str">
        <f>VLOOKUP(D1570,'Table corresp.'!$M$4:$S$63,7,FALSE)</f>
        <v>Emballage bois et carton</v>
      </c>
      <c r="X1570" s="240">
        <f>IFERROR(G1570/SUMIFS('Comp2016-2017 (3)'!$I$5:$I$289,'Comp2016-2017 (3)'!$A$5:$A$289,A1570,'Comp2016-2017 (3)'!$R$5:$R$289,V1570),0)</f>
        <v>0.1039652662614971</v>
      </c>
      <c r="Y1570" s="219" t="e">
        <f>IF(RIGHT(F1570,3)="Exp",VLOOKUP(F1570,#REF!,2,FALSE),VLOOKUP(F1570,#REF!,9,FALSE))</f>
        <v>#REF!</v>
      </c>
      <c r="Z1570" s="226" t="str">
        <f t="shared" si="181"/>
        <v/>
      </c>
      <c r="AA1570" s="226" t="e">
        <f t="shared" si="183"/>
        <v>#VALUE!</v>
      </c>
      <c r="AB1570" s="205">
        <f>IFERROR(SUMIFS('Comp2016-2017 (3)'!$G$5:$G$289,'Comp2016-2017 (3)'!$A$5:$A$289,A1570,'Comp2016-2017 (3)'!$R$5:$R$289,V1570)*AA1570/SUMIFS($AA$4:$AA$1858,$A$4:$A$1858,A1570,$V$4:$V$1858,V1570),0)</f>
        <v>0</v>
      </c>
      <c r="AC1570" s="205" t="str">
        <f>IF($W1570=AC$3,$AB1570,IF(NOT($W1570=0),"",SUMIFS('Val-Vol (2)'!AC$4:AC$1858,'Val-Vol (2)'!$A$4:$A$1858,$D1570,'Val-Vol (2)'!$V$4:$V$1858,$V1570)/SUMIFS('Comp2016-2017 (3)'!$G$5:$G$289,'Comp2016-2017 (3)'!$A$5:$A$289,$D1570,'Comp2016-2017 (3)'!$R$5:$R$289,$V1570)*$AB1570))</f>
        <v/>
      </c>
      <c r="AD1570" s="205" t="str">
        <f>IF($W1570=AD$3,$AB1570,IF(NOT($W1570=0),"",SUMIFS('Val-Vol (2)'!AD$4:AD$1858,'Val-Vol (2)'!$A$4:$A$1858,$D1570,'Val-Vol (2)'!$V$4:$V$1858,$V1570)/SUMIFS('Comp2016-2017 (3)'!$G$5:$G$289,'Comp2016-2017 (3)'!$A$5:$A$289,$D1570,'Comp2016-2017 (3)'!$R$5:$R$289,$V1570)*$AB1570))</f>
        <v/>
      </c>
      <c r="AE1570" s="205" t="str">
        <f>IF($W1570=AE$3,$AB1570,IF(NOT($W1570=0),"",SUMIFS('Val-Vol (2)'!AE$4:AE$1858,'Val-Vol (2)'!$A$4:$A$1858,$D1570,'Val-Vol (2)'!$V$4:$V$1858,$V1570)/SUMIFS('Comp2016-2017 (3)'!$G$5:$G$289,'Comp2016-2017 (3)'!$A$5:$A$289,$D1570,'Comp2016-2017 (3)'!$R$5:$R$289,$V1570)*$AB1570))</f>
        <v/>
      </c>
      <c r="AF1570" s="205" t="str">
        <f>IF($W1570=AF$3,$AB1570,IF(NOT($W1570=0),"",SUMIFS('Val-Vol (2)'!AF$4:AF$1858,'Val-Vol (2)'!$A$4:$A$1858,$D1570,'Val-Vol (2)'!$V$4:$V$1858,$V1570)/SUMIFS('Comp2016-2017 (3)'!$G$5:$G$289,'Comp2016-2017 (3)'!$A$5:$A$289,$D1570,'Comp2016-2017 (3)'!$R$5:$R$289,$V1570)*$AB1570))</f>
        <v/>
      </c>
      <c r="AG1570" s="205">
        <f>IF($W1570=AG$3,$AB1570,IF(NOT($W1570=0),"",SUMIFS('Val-Vol (2)'!AG$4:AG$1858,'Val-Vol (2)'!$A$4:$A$1858,$D1570,'Val-Vol (2)'!$V$4:$V$1858,$V1570)/SUMIFS('Comp2016-2017 (3)'!$G$5:$G$289,'Comp2016-2017 (3)'!$A$5:$A$289,$D1570,'Comp2016-2017 (3)'!$R$5:$R$289,$V1570)*$AB1570))</f>
        <v>0</v>
      </c>
      <c r="AH1570" s="205" t="str">
        <f>IF($W1570=AH$3,$AB1570,IF(NOT($W1570=0),"",SUMIFS('Val-Vol (2)'!AH$4:AH$1858,'Val-Vol (2)'!$A$4:$A$1858,$D1570,'Val-Vol (2)'!$V$4:$V$1858,$V1570)/SUMIFS('Comp2016-2017 (3)'!$G$5:$G$289,'Comp2016-2017 (3)'!$A$5:$A$289,$D1570,'Comp2016-2017 (3)'!$R$5:$R$289,$V1570)*$AB1570))</f>
        <v/>
      </c>
      <c r="AI1570" s="205" t="str">
        <f>IF($W1570=AI$3,$AB1570,IF(NOT($W1570=0),"",SUMIFS('Val-Vol (2)'!AI$4:AI$1858,'Val-Vol (2)'!$A$4:$A$1858,$D1570,'Val-Vol (2)'!$V$4:$V$1858,$V1570)/SUMIFS('Comp2016-2017 (3)'!$G$5:$G$289,'Comp2016-2017 (3)'!$A$5:$A$289,$D1570,'Comp2016-2017 (3)'!$R$5:$R$289,$V1570)*$AB1570))</f>
        <v/>
      </c>
      <c r="AJ1570" s="205" t="str">
        <f>IF($W1570=AJ$3,$AB1570,IF(NOT($W1570=0),"",SUMIFS('Val-Vol (2)'!AJ$4:AJ$1858,'Val-Vol (2)'!$A$4:$A$1858,$D1570,'Val-Vol (2)'!$V$4:$V$1858,$V1570)/SUMIFS('Comp2016-2017 (3)'!$G$5:$G$289,'Comp2016-2017 (3)'!$A$5:$A$289,$D1570,'Comp2016-2017 (3)'!$R$5:$R$289,$V1570)*$AB1570))</f>
        <v/>
      </c>
      <c r="AK1570" s="205">
        <f t="shared" si="182"/>
        <v>0</v>
      </c>
      <c r="AL1570" s="218" t="str">
        <f t="shared" si="184"/>
        <v/>
      </c>
      <c r="AM1570" s="218" t="str">
        <f>VLOOKUP(A1570,'Table corresp.'!$M$4:$U$63,8,FALSE)</f>
        <v>Production intermédiaire</v>
      </c>
      <c r="AN1570" s="218" t="str">
        <f>VLOOKUP(D1570,'Table corresp.'!$M$4:$U$63,9,FALSE)</f>
        <v>Production finale</v>
      </c>
    </row>
    <row r="1571" spans="1:40" x14ac:dyDescent="0.25">
      <c r="A1571" t="s">
        <v>5</v>
      </c>
      <c r="B1571" t="str">
        <f>VLOOKUP(LEFT(A1571,3),'Table corresp.'!$A$4:$D$63,3,FALSE)</f>
        <v>Transformation</v>
      </c>
      <c r="C1571" t="str">
        <f>VLOOKUP(A1571,'Table corresp.'!$M$4:$P$63,4,FALSE)</f>
        <v>Production et transformation de produits bois</v>
      </c>
      <c r="D1571" t="s">
        <v>93</v>
      </c>
      <c r="E1571" t="str">
        <f>VLOOKUP(LEFT(D1571,3),'Table corresp.'!$A$4:$D$63,4,FALSE)</f>
        <v>Transformation</v>
      </c>
      <c r="F1571" t="str">
        <f t="shared" si="180"/>
        <v xml:space="preserve">09  - 41 </v>
      </c>
      <c r="G1571" s="238">
        <v>678.49865477148398</v>
      </c>
      <c r="H1571" s="238">
        <v>10103.429630554399</v>
      </c>
      <c r="I1571" s="238">
        <v>10781.9270473782</v>
      </c>
      <c r="J1571" s="238">
        <v>6.6580886166623863</v>
      </c>
      <c r="K1571" s="238">
        <v>31.033457149304212</v>
      </c>
      <c r="L1571" s="238">
        <v>37.691545765966595</v>
      </c>
      <c r="M1571" s="238"/>
      <c r="N1571" s="238"/>
      <c r="O1571" s="238"/>
      <c r="P1571" s="238"/>
      <c r="Q1571" s="238"/>
      <c r="R1571" s="238"/>
      <c r="S1571" s="238"/>
      <c r="T1571" s="218">
        <f>VLOOKUP(A1571,'Groupe de branches'!$Z$27:$AM$86,14,FALSE)</f>
        <v>0</v>
      </c>
      <c r="U1571" s="218">
        <f>VLOOKUP(D1571,'Groupe de branches'!$Z$27:$AM$86,14,FALSE)</f>
        <v>0</v>
      </c>
      <c r="V1571" s="218">
        <v>2020</v>
      </c>
      <c r="W1571" s="218" t="str">
        <f>VLOOKUP(D1571,'Table corresp.'!$M$4:$S$63,7,FALSE)</f>
        <v>Produits de consommation courante</v>
      </c>
      <c r="X1571" s="240">
        <f>IFERROR(G1571/SUMIFS('Comp2016-2017 (3)'!$I$5:$I$289,'Comp2016-2017 (3)'!$A$5:$A$289,A1571,'Comp2016-2017 (3)'!$R$5:$R$289,V1571),0)</f>
        <v>9.0870732735010337E-3</v>
      </c>
      <c r="Y1571" s="219" t="e">
        <f>IF(RIGHT(F1571,3)="Exp",VLOOKUP(F1571,#REF!,2,FALSE),VLOOKUP(F1571,#REF!,9,FALSE))</f>
        <v>#REF!</v>
      </c>
      <c r="Z1571" s="226" t="str">
        <f t="shared" si="181"/>
        <v/>
      </c>
      <c r="AA1571" s="226" t="e">
        <f t="shared" si="183"/>
        <v>#VALUE!</v>
      </c>
      <c r="AB1571" s="205">
        <f>IFERROR(SUMIFS('Comp2016-2017 (3)'!$G$5:$G$289,'Comp2016-2017 (3)'!$A$5:$A$289,A1571,'Comp2016-2017 (3)'!$R$5:$R$289,V1571)*AA1571/SUMIFS($AA$4:$AA$1858,$A$4:$A$1858,A1571,$V$4:$V$1858,V1571),0)</f>
        <v>0</v>
      </c>
      <c r="AC1571" s="205" t="str">
        <f>IF($W1571=AC$3,$AB1571,IF(NOT($W1571=0),"",SUMIFS('Val-Vol (2)'!AC$4:AC$1858,'Val-Vol (2)'!$A$4:$A$1858,$D1571,'Val-Vol (2)'!$V$4:$V$1858,$V1571)/SUMIFS('Comp2016-2017 (3)'!$G$5:$G$289,'Comp2016-2017 (3)'!$A$5:$A$289,$D1571,'Comp2016-2017 (3)'!$R$5:$R$289,$V1571)*$AB1571))</f>
        <v/>
      </c>
      <c r="AD1571" s="205" t="str">
        <f>IF($W1571=AD$3,$AB1571,IF(NOT($W1571=0),"",SUMIFS('Val-Vol (2)'!AD$4:AD$1858,'Val-Vol (2)'!$A$4:$A$1858,$D1571,'Val-Vol (2)'!$V$4:$V$1858,$V1571)/SUMIFS('Comp2016-2017 (3)'!$G$5:$G$289,'Comp2016-2017 (3)'!$A$5:$A$289,$D1571,'Comp2016-2017 (3)'!$R$5:$R$289,$V1571)*$AB1571))</f>
        <v/>
      </c>
      <c r="AE1571" s="205" t="str">
        <f>IF($W1571=AE$3,$AB1571,IF(NOT($W1571=0),"",SUMIFS('Val-Vol (2)'!AE$4:AE$1858,'Val-Vol (2)'!$A$4:$A$1858,$D1571,'Val-Vol (2)'!$V$4:$V$1858,$V1571)/SUMIFS('Comp2016-2017 (3)'!$G$5:$G$289,'Comp2016-2017 (3)'!$A$5:$A$289,$D1571,'Comp2016-2017 (3)'!$R$5:$R$289,$V1571)*$AB1571))</f>
        <v/>
      </c>
      <c r="AF1571" s="205" t="str">
        <f>IF($W1571=AF$3,$AB1571,IF(NOT($W1571=0),"",SUMIFS('Val-Vol (2)'!AF$4:AF$1858,'Val-Vol (2)'!$A$4:$A$1858,$D1571,'Val-Vol (2)'!$V$4:$V$1858,$V1571)/SUMIFS('Comp2016-2017 (3)'!$G$5:$G$289,'Comp2016-2017 (3)'!$A$5:$A$289,$D1571,'Comp2016-2017 (3)'!$R$5:$R$289,$V1571)*$AB1571))</f>
        <v/>
      </c>
      <c r="AG1571" s="205" t="str">
        <f>IF($W1571=AG$3,$AB1571,IF(NOT($W1571=0),"",SUMIFS('Val-Vol (2)'!AG$4:AG$1858,'Val-Vol (2)'!$A$4:$A$1858,$D1571,'Val-Vol (2)'!$V$4:$V$1858,$V1571)/SUMIFS('Comp2016-2017 (3)'!$G$5:$G$289,'Comp2016-2017 (3)'!$A$5:$A$289,$D1571,'Comp2016-2017 (3)'!$R$5:$R$289,$V1571)*$AB1571))</f>
        <v/>
      </c>
      <c r="AH1571" s="205" t="str">
        <f>IF($W1571=AH$3,$AB1571,IF(NOT($W1571=0),"",SUMIFS('Val-Vol (2)'!AH$4:AH$1858,'Val-Vol (2)'!$A$4:$A$1858,$D1571,'Val-Vol (2)'!$V$4:$V$1858,$V1571)/SUMIFS('Comp2016-2017 (3)'!$G$5:$G$289,'Comp2016-2017 (3)'!$A$5:$A$289,$D1571,'Comp2016-2017 (3)'!$R$5:$R$289,$V1571)*$AB1571))</f>
        <v/>
      </c>
      <c r="AI1571" s="205">
        <f>IF($W1571=AI$3,$AB1571,IF(NOT($W1571=0),"",SUMIFS('Val-Vol (2)'!AI$4:AI$1858,'Val-Vol (2)'!$A$4:$A$1858,$D1571,'Val-Vol (2)'!$V$4:$V$1858,$V1571)/SUMIFS('Comp2016-2017 (3)'!$G$5:$G$289,'Comp2016-2017 (3)'!$A$5:$A$289,$D1571,'Comp2016-2017 (3)'!$R$5:$R$289,$V1571)*$AB1571))</f>
        <v>0</v>
      </c>
      <c r="AJ1571" s="205" t="str">
        <f>IF($W1571=AJ$3,$AB1571,IF(NOT($W1571=0),"",SUMIFS('Val-Vol (2)'!AJ$4:AJ$1858,'Val-Vol (2)'!$A$4:$A$1858,$D1571,'Val-Vol (2)'!$V$4:$V$1858,$V1571)/SUMIFS('Comp2016-2017 (3)'!$G$5:$G$289,'Comp2016-2017 (3)'!$A$5:$A$289,$D1571,'Comp2016-2017 (3)'!$R$5:$R$289,$V1571)*$AB1571))</f>
        <v/>
      </c>
      <c r="AK1571" s="205">
        <f t="shared" si="182"/>
        <v>0</v>
      </c>
      <c r="AL1571" s="218" t="str">
        <f t="shared" si="184"/>
        <v/>
      </c>
      <c r="AM1571" s="218" t="str">
        <f>VLOOKUP(A1571,'Table corresp.'!$M$4:$U$63,8,FALSE)</f>
        <v>Production intermédiaire</v>
      </c>
      <c r="AN1571" s="218" t="str">
        <f>VLOOKUP(D1571,'Table corresp.'!$M$4:$U$63,9,FALSE)</f>
        <v>Production finale</v>
      </c>
    </row>
    <row r="1572" spans="1:40" x14ac:dyDescent="0.25">
      <c r="A1572" t="s">
        <v>5</v>
      </c>
      <c r="B1572" t="str">
        <f>VLOOKUP(LEFT(A1572,3),'Table corresp.'!$A$4:$D$63,3,FALSE)</f>
        <v>Transformation</v>
      </c>
      <c r="C1572" t="str">
        <f>VLOOKUP(A1572,'Table corresp.'!$M$4:$P$63,4,FALSE)</f>
        <v>Production et transformation de produits bois</v>
      </c>
      <c r="D1572" t="s">
        <v>99</v>
      </c>
      <c r="E1572" t="str">
        <f>VLOOKUP(LEFT(D1572,3),'Table corresp.'!$A$4:$D$63,4,FALSE)</f>
        <v>Transformation</v>
      </c>
      <c r="F1572" t="str">
        <f t="shared" si="180"/>
        <v xml:space="preserve">09  - 47 </v>
      </c>
      <c r="G1572" s="238">
        <v>0.20671414820343201</v>
      </c>
      <c r="H1572" s="238">
        <v>4538.1646130049503</v>
      </c>
      <c r="I1572" s="238">
        <v>4538.3707599542404</v>
      </c>
      <c r="J1572" s="238">
        <v>1.5551681873737864E-3</v>
      </c>
      <c r="K1572" s="238">
        <v>10.686811873762872</v>
      </c>
      <c r="L1572" s="238">
        <v>10.688367041950245</v>
      </c>
      <c r="M1572" s="238"/>
      <c r="N1572" s="238"/>
      <c r="O1572" s="238"/>
      <c r="P1572" s="238"/>
      <c r="Q1572" s="238"/>
      <c r="R1572" s="238"/>
      <c r="S1572" s="238"/>
      <c r="T1572" s="218">
        <f>VLOOKUP(A1572,'Groupe de branches'!$Z$27:$AM$86,14,FALSE)</f>
        <v>0</v>
      </c>
      <c r="U1572" s="218">
        <f>VLOOKUP(D1572,'Groupe de branches'!$Z$27:$AM$86,14,FALSE)</f>
        <v>0</v>
      </c>
      <c r="V1572" s="218">
        <v>2020</v>
      </c>
      <c r="W1572" s="218" t="str">
        <f>VLOOKUP(D1572,'Table corresp.'!$M$4:$S$63,7,FALSE)</f>
        <v>Meuble</v>
      </c>
      <c r="X1572" s="240">
        <f>IFERROR(G1572/SUMIFS('Comp2016-2017 (3)'!$I$5:$I$289,'Comp2016-2017 (3)'!$A$5:$A$289,A1572,'Comp2016-2017 (3)'!$R$5:$R$289,V1572),0)</f>
        <v>2.7685045477748021E-6</v>
      </c>
      <c r="Y1572" s="219" t="e">
        <f>IF(RIGHT(F1572,3)="Exp",VLOOKUP(F1572,#REF!,2,FALSE),VLOOKUP(F1572,#REF!,9,FALSE))</f>
        <v>#REF!</v>
      </c>
      <c r="Z1572" s="226" t="str">
        <f t="shared" si="181"/>
        <v/>
      </c>
      <c r="AA1572" s="226" t="e">
        <f t="shared" si="183"/>
        <v>#VALUE!</v>
      </c>
      <c r="AB1572" s="205">
        <f>IFERROR(SUMIFS('Comp2016-2017 (3)'!$G$5:$G$289,'Comp2016-2017 (3)'!$A$5:$A$289,A1572,'Comp2016-2017 (3)'!$R$5:$R$289,V1572)*AA1572/SUMIFS($AA$4:$AA$1858,$A$4:$A$1858,A1572,$V$4:$V$1858,V1572),0)</f>
        <v>0</v>
      </c>
      <c r="AC1572" s="205" t="str">
        <f>IF($W1572=AC$3,$AB1572,IF(NOT($W1572=0),"",SUMIFS('Val-Vol (2)'!AC$4:AC$1858,'Val-Vol (2)'!$A$4:$A$1858,$D1572,'Val-Vol (2)'!$V$4:$V$1858,$V1572)/SUMIFS('Comp2016-2017 (3)'!$G$5:$G$289,'Comp2016-2017 (3)'!$A$5:$A$289,$D1572,'Comp2016-2017 (3)'!$R$5:$R$289,$V1572)*$AB1572))</f>
        <v/>
      </c>
      <c r="AD1572" s="205" t="str">
        <f>IF($W1572=AD$3,$AB1572,IF(NOT($W1572=0),"",SUMIFS('Val-Vol (2)'!AD$4:AD$1858,'Val-Vol (2)'!$A$4:$A$1858,$D1572,'Val-Vol (2)'!$V$4:$V$1858,$V1572)/SUMIFS('Comp2016-2017 (3)'!$G$5:$G$289,'Comp2016-2017 (3)'!$A$5:$A$289,$D1572,'Comp2016-2017 (3)'!$R$5:$R$289,$V1572)*$AB1572))</f>
        <v/>
      </c>
      <c r="AE1572" s="205">
        <f>IF($W1572=AE$3,$AB1572,IF(NOT($W1572=0),"",SUMIFS('Val-Vol (2)'!AE$4:AE$1858,'Val-Vol (2)'!$A$4:$A$1858,$D1572,'Val-Vol (2)'!$V$4:$V$1858,$V1572)/SUMIFS('Comp2016-2017 (3)'!$G$5:$G$289,'Comp2016-2017 (3)'!$A$5:$A$289,$D1572,'Comp2016-2017 (3)'!$R$5:$R$289,$V1572)*$AB1572))</f>
        <v>0</v>
      </c>
      <c r="AF1572" s="205" t="str">
        <f>IF($W1572=AF$3,$AB1572,IF(NOT($W1572=0),"",SUMIFS('Val-Vol (2)'!AF$4:AF$1858,'Val-Vol (2)'!$A$4:$A$1858,$D1572,'Val-Vol (2)'!$V$4:$V$1858,$V1572)/SUMIFS('Comp2016-2017 (3)'!$G$5:$G$289,'Comp2016-2017 (3)'!$A$5:$A$289,$D1572,'Comp2016-2017 (3)'!$R$5:$R$289,$V1572)*$AB1572))</f>
        <v/>
      </c>
      <c r="AG1572" s="205" t="str">
        <f>IF($W1572=AG$3,$AB1572,IF(NOT($W1572=0),"",SUMIFS('Val-Vol (2)'!AG$4:AG$1858,'Val-Vol (2)'!$A$4:$A$1858,$D1572,'Val-Vol (2)'!$V$4:$V$1858,$V1572)/SUMIFS('Comp2016-2017 (3)'!$G$5:$G$289,'Comp2016-2017 (3)'!$A$5:$A$289,$D1572,'Comp2016-2017 (3)'!$R$5:$R$289,$V1572)*$AB1572))</f>
        <v/>
      </c>
      <c r="AH1572" s="205" t="str">
        <f>IF($W1572=AH$3,$AB1572,IF(NOT($W1572=0),"",SUMIFS('Val-Vol (2)'!AH$4:AH$1858,'Val-Vol (2)'!$A$4:$A$1858,$D1572,'Val-Vol (2)'!$V$4:$V$1858,$V1572)/SUMIFS('Comp2016-2017 (3)'!$G$5:$G$289,'Comp2016-2017 (3)'!$A$5:$A$289,$D1572,'Comp2016-2017 (3)'!$R$5:$R$289,$V1572)*$AB1572))</f>
        <v/>
      </c>
      <c r="AI1572" s="205" t="str">
        <f>IF($W1572=AI$3,$AB1572,IF(NOT($W1572=0),"",SUMIFS('Val-Vol (2)'!AI$4:AI$1858,'Val-Vol (2)'!$A$4:$A$1858,$D1572,'Val-Vol (2)'!$V$4:$V$1858,$V1572)/SUMIFS('Comp2016-2017 (3)'!$G$5:$G$289,'Comp2016-2017 (3)'!$A$5:$A$289,$D1572,'Comp2016-2017 (3)'!$R$5:$R$289,$V1572)*$AB1572))</f>
        <v/>
      </c>
      <c r="AJ1572" s="205" t="str">
        <f>IF($W1572=AJ$3,$AB1572,IF(NOT($W1572=0),"",SUMIFS('Val-Vol (2)'!AJ$4:AJ$1858,'Val-Vol (2)'!$A$4:$A$1858,$D1572,'Val-Vol (2)'!$V$4:$V$1858,$V1572)/SUMIFS('Comp2016-2017 (3)'!$G$5:$G$289,'Comp2016-2017 (3)'!$A$5:$A$289,$D1572,'Comp2016-2017 (3)'!$R$5:$R$289,$V1572)*$AB1572))</f>
        <v/>
      </c>
      <c r="AK1572" s="205">
        <f t="shared" si="182"/>
        <v>0</v>
      </c>
      <c r="AL1572" s="218" t="str">
        <f t="shared" si="184"/>
        <v/>
      </c>
      <c r="AM1572" s="218" t="str">
        <f>VLOOKUP(A1572,'Table corresp.'!$M$4:$U$63,8,FALSE)</f>
        <v>Production intermédiaire</v>
      </c>
      <c r="AN1572" s="218" t="str">
        <f>VLOOKUP(D1572,'Table corresp.'!$M$4:$U$63,9,FALSE)</f>
        <v>Production finale</v>
      </c>
    </row>
    <row r="1573" spans="1:40" x14ac:dyDescent="0.25">
      <c r="A1573" t="s">
        <v>5</v>
      </c>
      <c r="B1573" t="str">
        <f>VLOOKUP(LEFT(A1573,3),'Table corresp.'!$A$4:$D$63,3,FALSE)</f>
        <v>Transformation</v>
      </c>
      <c r="C1573" t="str">
        <f>VLOOKUP(A1573,'Table corresp.'!$M$4:$P$63,4,FALSE)</f>
        <v>Production et transformation de produits bois</v>
      </c>
      <c r="D1573" t="s">
        <v>100</v>
      </c>
      <c r="E1573" t="str">
        <f>VLOOKUP(LEFT(D1573,3),'Table corresp.'!$A$4:$D$63,4,FALSE)</f>
        <v>Transformation</v>
      </c>
      <c r="F1573" t="str">
        <f t="shared" si="180"/>
        <v xml:space="preserve">09  - 48 </v>
      </c>
      <c r="G1573" s="238">
        <v>11975.478290486901</v>
      </c>
      <c r="H1573" s="238">
        <v>0</v>
      </c>
      <c r="I1573" s="238">
        <v>11975.478728882899</v>
      </c>
      <c r="J1573" s="238">
        <v>49.142652554428047</v>
      </c>
      <c r="K1573" s="238">
        <v>0</v>
      </c>
      <c r="L1573" s="238">
        <v>49.142652554428047</v>
      </c>
      <c r="M1573" s="238"/>
      <c r="N1573" s="238"/>
      <c r="O1573" s="238"/>
      <c r="P1573" s="238"/>
      <c r="Q1573" s="238"/>
      <c r="R1573" s="238"/>
      <c r="S1573" s="238"/>
      <c r="T1573" s="218">
        <f>VLOOKUP(A1573,'Groupe de branches'!$Z$27:$AM$86,14,FALSE)</f>
        <v>0</v>
      </c>
      <c r="U1573" s="218">
        <f>VLOOKUP(D1573,'Groupe de branches'!$Z$27:$AM$86,14,FALSE)</f>
        <v>0</v>
      </c>
      <c r="V1573" s="218">
        <v>2020</v>
      </c>
      <c r="W1573" s="218" t="str">
        <f>VLOOKUP(D1573,'Table corresp.'!$M$4:$S$63,7,FALSE)</f>
        <v>Produits de consommation courante</v>
      </c>
      <c r="X1573" s="240">
        <f>IFERROR(G1573/SUMIFS('Comp2016-2017 (3)'!$I$5:$I$289,'Comp2016-2017 (3)'!$A$5:$A$289,A1573,'Comp2016-2017 (3)'!$R$5:$R$289,V1573),0)</f>
        <v>0.16038653569258182</v>
      </c>
      <c r="Y1573" s="219" t="e">
        <f>IF(RIGHT(F1573,3)="Exp",VLOOKUP(F1573,#REF!,2,FALSE),VLOOKUP(F1573,#REF!,9,FALSE))</f>
        <v>#REF!</v>
      </c>
      <c r="Z1573" s="226" t="str">
        <f t="shared" si="181"/>
        <v/>
      </c>
      <c r="AA1573" s="226" t="e">
        <f t="shared" si="183"/>
        <v>#VALUE!</v>
      </c>
      <c r="AB1573" s="205">
        <f>IFERROR(SUMIFS('Comp2016-2017 (3)'!$G$5:$G$289,'Comp2016-2017 (3)'!$A$5:$A$289,A1573,'Comp2016-2017 (3)'!$R$5:$R$289,V1573)*AA1573/SUMIFS($AA$4:$AA$1858,$A$4:$A$1858,A1573,$V$4:$V$1858,V1573),0)</f>
        <v>0</v>
      </c>
      <c r="AC1573" s="205" t="str">
        <f>IF($W1573=AC$3,$AB1573,IF(NOT($W1573=0),"",SUMIFS('Val-Vol (2)'!AC$4:AC$1858,'Val-Vol (2)'!$A$4:$A$1858,$D1573,'Val-Vol (2)'!$V$4:$V$1858,$V1573)/SUMIFS('Comp2016-2017 (3)'!$G$5:$G$289,'Comp2016-2017 (3)'!$A$5:$A$289,$D1573,'Comp2016-2017 (3)'!$R$5:$R$289,$V1573)*$AB1573))</f>
        <v/>
      </c>
      <c r="AD1573" s="205" t="str">
        <f>IF($W1573=AD$3,$AB1573,IF(NOT($W1573=0),"",SUMIFS('Val-Vol (2)'!AD$4:AD$1858,'Val-Vol (2)'!$A$4:$A$1858,$D1573,'Val-Vol (2)'!$V$4:$V$1858,$V1573)/SUMIFS('Comp2016-2017 (3)'!$G$5:$G$289,'Comp2016-2017 (3)'!$A$5:$A$289,$D1573,'Comp2016-2017 (3)'!$R$5:$R$289,$V1573)*$AB1573))</f>
        <v/>
      </c>
      <c r="AE1573" s="205" t="str">
        <f>IF($W1573=AE$3,$AB1573,IF(NOT($W1573=0),"",SUMIFS('Val-Vol (2)'!AE$4:AE$1858,'Val-Vol (2)'!$A$4:$A$1858,$D1573,'Val-Vol (2)'!$V$4:$V$1858,$V1573)/SUMIFS('Comp2016-2017 (3)'!$G$5:$G$289,'Comp2016-2017 (3)'!$A$5:$A$289,$D1573,'Comp2016-2017 (3)'!$R$5:$R$289,$V1573)*$AB1573))</f>
        <v/>
      </c>
      <c r="AF1573" s="205" t="str">
        <f>IF($W1573=AF$3,$AB1573,IF(NOT($W1573=0),"",SUMIFS('Val-Vol (2)'!AF$4:AF$1858,'Val-Vol (2)'!$A$4:$A$1858,$D1573,'Val-Vol (2)'!$V$4:$V$1858,$V1573)/SUMIFS('Comp2016-2017 (3)'!$G$5:$G$289,'Comp2016-2017 (3)'!$A$5:$A$289,$D1573,'Comp2016-2017 (3)'!$R$5:$R$289,$V1573)*$AB1573))</f>
        <v/>
      </c>
      <c r="AG1573" s="205" t="str">
        <f>IF($W1573=AG$3,$AB1573,IF(NOT($W1573=0),"",SUMIFS('Val-Vol (2)'!AG$4:AG$1858,'Val-Vol (2)'!$A$4:$A$1858,$D1573,'Val-Vol (2)'!$V$4:$V$1858,$V1573)/SUMIFS('Comp2016-2017 (3)'!$G$5:$G$289,'Comp2016-2017 (3)'!$A$5:$A$289,$D1573,'Comp2016-2017 (3)'!$R$5:$R$289,$V1573)*$AB1573))</f>
        <v/>
      </c>
      <c r="AH1573" s="205" t="str">
        <f>IF($W1573=AH$3,$AB1573,IF(NOT($W1573=0),"",SUMIFS('Val-Vol (2)'!AH$4:AH$1858,'Val-Vol (2)'!$A$4:$A$1858,$D1573,'Val-Vol (2)'!$V$4:$V$1858,$V1573)/SUMIFS('Comp2016-2017 (3)'!$G$5:$G$289,'Comp2016-2017 (3)'!$A$5:$A$289,$D1573,'Comp2016-2017 (3)'!$R$5:$R$289,$V1573)*$AB1573))</f>
        <v/>
      </c>
      <c r="AI1573" s="205">
        <f>IF($W1573=AI$3,$AB1573,IF(NOT($W1573=0),"",SUMIFS('Val-Vol (2)'!AI$4:AI$1858,'Val-Vol (2)'!$A$4:$A$1858,$D1573,'Val-Vol (2)'!$V$4:$V$1858,$V1573)/SUMIFS('Comp2016-2017 (3)'!$G$5:$G$289,'Comp2016-2017 (3)'!$A$5:$A$289,$D1573,'Comp2016-2017 (3)'!$R$5:$R$289,$V1573)*$AB1573))</f>
        <v>0</v>
      </c>
      <c r="AJ1573" s="205" t="str">
        <f>IF($W1573=AJ$3,$AB1573,IF(NOT($W1573=0),"",SUMIFS('Val-Vol (2)'!AJ$4:AJ$1858,'Val-Vol (2)'!$A$4:$A$1858,$D1573,'Val-Vol (2)'!$V$4:$V$1858,$V1573)/SUMIFS('Comp2016-2017 (3)'!$G$5:$G$289,'Comp2016-2017 (3)'!$A$5:$A$289,$D1573,'Comp2016-2017 (3)'!$R$5:$R$289,$V1573)*$AB1573))</f>
        <v/>
      </c>
      <c r="AK1573" s="205">
        <f t="shared" si="182"/>
        <v>0</v>
      </c>
      <c r="AL1573" s="218" t="str">
        <f t="shared" si="184"/>
        <v/>
      </c>
      <c r="AM1573" s="218" t="str">
        <f>VLOOKUP(A1573,'Table corresp.'!$M$4:$U$63,8,FALSE)</f>
        <v>Production intermédiaire</v>
      </c>
      <c r="AN1573" s="218" t="str">
        <f>VLOOKUP(D1573,'Table corresp.'!$M$4:$U$63,9,FALSE)</f>
        <v>Production finale</v>
      </c>
    </row>
    <row r="1574" spans="1:40" x14ac:dyDescent="0.25">
      <c r="A1574" t="s">
        <v>5</v>
      </c>
      <c r="B1574" t="str">
        <f>VLOOKUP(LEFT(A1574,3),'Table corresp.'!$A$4:$D$63,3,FALSE)</f>
        <v>Transformation</v>
      </c>
      <c r="C1574" t="str">
        <f>VLOOKUP(A1574,'Table corresp.'!$M$4:$P$63,4,FALSE)</f>
        <v>Production et transformation de produits bois</v>
      </c>
      <c r="D1574" t="s">
        <v>19</v>
      </c>
      <c r="E1574" t="str">
        <f>VLOOKUP(LEFT(D1574,3),'Table corresp.'!$A$4:$D$63,4,FALSE)</f>
        <v>Transformation</v>
      </c>
      <c r="F1574" t="str">
        <f t="shared" si="180"/>
        <v xml:space="preserve">09  - 52 </v>
      </c>
      <c r="G1574" s="238">
        <v>7948.6026831248</v>
      </c>
      <c r="H1574" s="238">
        <v>1097.9732483400301</v>
      </c>
      <c r="I1574" s="238">
        <v>9046.5760852146395</v>
      </c>
      <c r="J1574" s="238">
        <v>51.256761229954826</v>
      </c>
      <c r="K1574" s="238">
        <v>2.2162200955127642</v>
      </c>
      <c r="L1574" s="238">
        <v>53.472981325467593</v>
      </c>
      <c r="M1574" s="238"/>
      <c r="N1574" s="238"/>
      <c r="O1574" s="238"/>
      <c r="P1574" s="238"/>
      <c r="Q1574" s="238"/>
      <c r="R1574" s="238"/>
      <c r="S1574" s="238"/>
      <c r="T1574" s="218">
        <f>VLOOKUP(A1574,'Groupe de branches'!$Z$27:$AM$86,14,FALSE)</f>
        <v>0</v>
      </c>
      <c r="U1574" s="218">
        <f>VLOOKUP(D1574,'Groupe de branches'!$Z$27:$AM$86,14,FALSE)</f>
        <v>0</v>
      </c>
      <c r="V1574" s="218">
        <v>2020</v>
      </c>
      <c r="W1574" s="218" t="str">
        <f>VLOOKUP(D1574,'Table corresp.'!$M$4:$S$63,7,FALSE)</f>
        <v>Construction</v>
      </c>
      <c r="X1574" s="240">
        <f>IFERROR(G1574/SUMIFS('Comp2016-2017 (3)'!$I$5:$I$289,'Comp2016-2017 (3)'!$A$5:$A$289,A1574,'Comp2016-2017 (3)'!$R$5:$R$289,V1574),0)</f>
        <v>0.10645494209244769</v>
      </c>
      <c r="Y1574" s="219" t="e">
        <f>IF(RIGHT(F1574,3)="Exp",VLOOKUP(F1574,#REF!,2,FALSE),VLOOKUP(F1574,#REF!,9,FALSE))</f>
        <v>#REF!</v>
      </c>
      <c r="Z1574" s="226" t="str">
        <f t="shared" si="181"/>
        <v/>
      </c>
      <c r="AA1574" s="226" t="e">
        <f t="shared" si="183"/>
        <v>#VALUE!</v>
      </c>
      <c r="AB1574" s="205">
        <f>IFERROR(SUMIFS('Comp2016-2017 (3)'!$G$5:$G$289,'Comp2016-2017 (3)'!$A$5:$A$289,A1574,'Comp2016-2017 (3)'!$R$5:$R$289,V1574)*AA1574/SUMIFS($AA$4:$AA$1858,$A$4:$A$1858,A1574,$V$4:$V$1858,V1574),0)</f>
        <v>0</v>
      </c>
      <c r="AC1574" s="205" t="str">
        <f>IF($W1574=AC$3,$AB1574,IF(NOT($W1574=0),"",SUMIFS('Val-Vol (2)'!AC$4:AC$1858,'Val-Vol (2)'!$A$4:$A$1858,$D1574,'Val-Vol (2)'!$V$4:$V$1858,$V1574)/SUMIFS('Comp2016-2017 (3)'!$G$5:$G$289,'Comp2016-2017 (3)'!$A$5:$A$289,$D1574,'Comp2016-2017 (3)'!$R$5:$R$289,$V1574)*$AB1574))</f>
        <v/>
      </c>
      <c r="AD1574" s="205">
        <f>IF($W1574=AD$3,$AB1574,IF(NOT($W1574=0),"",SUMIFS('Val-Vol (2)'!AD$4:AD$1858,'Val-Vol (2)'!$A$4:$A$1858,$D1574,'Val-Vol (2)'!$V$4:$V$1858,$V1574)/SUMIFS('Comp2016-2017 (3)'!$G$5:$G$289,'Comp2016-2017 (3)'!$A$5:$A$289,$D1574,'Comp2016-2017 (3)'!$R$5:$R$289,$V1574)*$AB1574))</f>
        <v>0</v>
      </c>
      <c r="AE1574" s="205" t="str">
        <f>IF($W1574=AE$3,$AB1574,IF(NOT($W1574=0),"",SUMIFS('Val-Vol (2)'!AE$4:AE$1858,'Val-Vol (2)'!$A$4:$A$1858,$D1574,'Val-Vol (2)'!$V$4:$V$1858,$V1574)/SUMIFS('Comp2016-2017 (3)'!$G$5:$G$289,'Comp2016-2017 (3)'!$A$5:$A$289,$D1574,'Comp2016-2017 (3)'!$R$5:$R$289,$V1574)*$AB1574))</f>
        <v/>
      </c>
      <c r="AF1574" s="205" t="str">
        <f>IF($W1574=AF$3,$AB1574,IF(NOT($W1574=0),"",SUMIFS('Val-Vol (2)'!AF$4:AF$1858,'Val-Vol (2)'!$A$4:$A$1858,$D1574,'Val-Vol (2)'!$V$4:$V$1858,$V1574)/SUMIFS('Comp2016-2017 (3)'!$G$5:$G$289,'Comp2016-2017 (3)'!$A$5:$A$289,$D1574,'Comp2016-2017 (3)'!$R$5:$R$289,$V1574)*$AB1574))</f>
        <v/>
      </c>
      <c r="AG1574" s="205" t="str">
        <f>IF($W1574=AG$3,$AB1574,IF(NOT($W1574=0),"",SUMIFS('Val-Vol (2)'!AG$4:AG$1858,'Val-Vol (2)'!$A$4:$A$1858,$D1574,'Val-Vol (2)'!$V$4:$V$1858,$V1574)/SUMIFS('Comp2016-2017 (3)'!$G$5:$G$289,'Comp2016-2017 (3)'!$A$5:$A$289,$D1574,'Comp2016-2017 (3)'!$R$5:$R$289,$V1574)*$AB1574))</f>
        <v/>
      </c>
      <c r="AH1574" s="205" t="str">
        <f>IF($W1574=AH$3,$AB1574,IF(NOT($W1574=0),"",SUMIFS('Val-Vol (2)'!AH$4:AH$1858,'Val-Vol (2)'!$A$4:$A$1858,$D1574,'Val-Vol (2)'!$V$4:$V$1858,$V1574)/SUMIFS('Comp2016-2017 (3)'!$G$5:$G$289,'Comp2016-2017 (3)'!$A$5:$A$289,$D1574,'Comp2016-2017 (3)'!$R$5:$R$289,$V1574)*$AB1574))</f>
        <v/>
      </c>
      <c r="AI1574" s="205" t="str">
        <f>IF($W1574=AI$3,$AB1574,IF(NOT($W1574=0),"",SUMIFS('Val-Vol (2)'!AI$4:AI$1858,'Val-Vol (2)'!$A$4:$A$1858,$D1574,'Val-Vol (2)'!$V$4:$V$1858,$V1574)/SUMIFS('Comp2016-2017 (3)'!$G$5:$G$289,'Comp2016-2017 (3)'!$A$5:$A$289,$D1574,'Comp2016-2017 (3)'!$R$5:$R$289,$V1574)*$AB1574))</f>
        <v/>
      </c>
      <c r="AJ1574" s="205" t="str">
        <f>IF($W1574=AJ$3,$AB1574,IF(NOT($W1574=0),"",SUMIFS('Val-Vol (2)'!AJ$4:AJ$1858,'Val-Vol (2)'!$A$4:$A$1858,$D1574,'Val-Vol (2)'!$V$4:$V$1858,$V1574)/SUMIFS('Comp2016-2017 (3)'!$G$5:$G$289,'Comp2016-2017 (3)'!$A$5:$A$289,$D1574,'Comp2016-2017 (3)'!$R$5:$R$289,$V1574)*$AB1574))</f>
        <v/>
      </c>
      <c r="AK1574" s="205">
        <f t="shared" si="182"/>
        <v>0</v>
      </c>
      <c r="AL1574" s="218" t="str">
        <f t="shared" si="184"/>
        <v/>
      </c>
      <c r="AM1574" s="218" t="str">
        <f>VLOOKUP(A1574,'Table corresp.'!$M$4:$U$63,8,FALSE)</f>
        <v>Production intermédiaire</v>
      </c>
      <c r="AN1574" s="218" t="str">
        <f>VLOOKUP(D1574,'Table corresp.'!$M$4:$U$63,9,FALSE)</f>
        <v xml:space="preserve">Mise en œuvre </v>
      </c>
    </row>
    <row r="1575" spans="1:40" x14ac:dyDescent="0.25">
      <c r="A1575" t="s">
        <v>5</v>
      </c>
      <c r="B1575" t="str">
        <f>VLOOKUP(LEFT(A1575,3),'Table corresp.'!$A$4:$D$63,3,FALSE)</f>
        <v>Transformation</v>
      </c>
      <c r="C1575" t="str">
        <f>VLOOKUP(A1575,'Table corresp.'!$M$4:$P$63,4,FALSE)</f>
        <v>Production et transformation de produits bois</v>
      </c>
      <c r="D1575" t="s">
        <v>21</v>
      </c>
      <c r="E1575" t="str">
        <f>VLOOKUP(LEFT(D1575,3),'Table corresp.'!$A$4:$D$63,4,FALSE)</f>
        <v>Transformation</v>
      </c>
      <c r="F1575" t="str">
        <f t="shared" si="180"/>
        <v xml:space="preserve">09  - 54 </v>
      </c>
      <c r="G1575" s="238">
        <v>13843.744262276299</v>
      </c>
      <c r="H1575" s="238">
        <v>963.36274469495902</v>
      </c>
      <c r="I1575" s="238">
        <v>14807.107393353701</v>
      </c>
      <c r="J1575" s="238">
        <v>52.075174481146242</v>
      </c>
      <c r="K1575" s="238">
        <v>1.1342995788698211</v>
      </c>
      <c r="L1575" s="238">
        <v>53.209474060016063</v>
      </c>
      <c r="M1575" s="238"/>
      <c r="N1575" s="238"/>
      <c r="O1575" s="238"/>
      <c r="P1575" s="238"/>
      <c r="Q1575" s="238"/>
      <c r="R1575" s="238"/>
      <c r="S1575" s="238"/>
      <c r="T1575" s="218">
        <f>VLOOKUP(A1575,'Groupe de branches'!$Z$27:$AM$86,14,FALSE)</f>
        <v>0</v>
      </c>
      <c r="U1575" s="218">
        <f>VLOOKUP(D1575,'Groupe de branches'!$Z$27:$AM$86,14,FALSE)</f>
        <v>0</v>
      </c>
      <c r="V1575" s="218">
        <v>2020</v>
      </c>
      <c r="W1575" s="218" t="str">
        <f>VLOOKUP(D1575,'Table corresp.'!$M$4:$S$63,7,FALSE)</f>
        <v>Construction</v>
      </c>
      <c r="X1575" s="240">
        <f>IFERROR(G1575/SUMIFS('Comp2016-2017 (3)'!$I$5:$I$289,'Comp2016-2017 (3)'!$A$5:$A$289,A1575,'Comp2016-2017 (3)'!$R$5:$R$289,V1575),0)</f>
        <v>0.1854080588166869</v>
      </c>
      <c r="Y1575" s="219" t="e">
        <f>IF(RIGHT(F1575,3)="Exp",VLOOKUP(F1575,#REF!,2,FALSE),VLOOKUP(F1575,#REF!,9,FALSE))</f>
        <v>#REF!</v>
      </c>
      <c r="Z1575" s="226" t="str">
        <f t="shared" si="181"/>
        <v/>
      </c>
      <c r="AA1575" s="226" t="e">
        <f t="shared" si="183"/>
        <v>#VALUE!</v>
      </c>
      <c r="AB1575" s="205">
        <f>IFERROR(SUMIFS('Comp2016-2017 (3)'!$G$5:$G$289,'Comp2016-2017 (3)'!$A$5:$A$289,A1575,'Comp2016-2017 (3)'!$R$5:$R$289,V1575)*AA1575/SUMIFS($AA$4:$AA$1858,$A$4:$A$1858,A1575,$V$4:$V$1858,V1575),0)</f>
        <v>0</v>
      </c>
      <c r="AC1575" s="205" t="str">
        <f>IF($W1575=AC$3,$AB1575,IF(NOT($W1575=0),"",SUMIFS('Val-Vol (2)'!AC$4:AC$1858,'Val-Vol (2)'!$A$4:$A$1858,$D1575,'Val-Vol (2)'!$V$4:$V$1858,$V1575)/SUMIFS('Comp2016-2017 (3)'!$G$5:$G$289,'Comp2016-2017 (3)'!$A$5:$A$289,$D1575,'Comp2016-2017 (3)'!$R$5:$R$289,$V1575)*$AB1575))</f>
        <v/>
      </c>
      <c r="AD1575" s="205">
        <f>IF($W1575=AD$3,$AB1575,IF(NOT($W1575=0),"",SUMIFS('Val-Vol (2)'!AD$4:AD$1858,'Val-Vol (2)'!$A$4:$A$1858,$D1575,'Val-Vol (2)'!$V$4:$V$1858,$V1575)/SUMIFS('Comp2016-2017 (3)'!$G$5:$G$289,'Comp2016-2017 (3)'!$A$5:$A$289,$D1575,'Comp2016-2017 (3)'!$R$5:$R$289,$V1575)*$AB1575))</f>
        <v>0</v>
      </c>
      <c r="AE1575" s="205" t="str">
        <f>IF($W1575=AE$3,$AB1575,IF(NOT($W1575=0),"",SUMIFS('Val-Vol (2)'!AE$4:AE$1858,'Val-Vol (2)'!$A$4:$A$1858,$D1575,'Val-Vol (2)'!$V$4:$V$1858,$V1575)/SUMIFS('Comp2016-2017 (3)'!$G$5:$G$289,'Comp2016-2017 (3)'!$A$5:$A$289,$D1575,'Comp2016-2017 (3)'!$R$5:$R$289,$V1575)*$AB1575))</f>
        <v/>
      </c>
      <c r="AF1575" s="205" t="str">
        <f>IF($W1575=AF$3,$AB1575,IF(NOT($W1575=0),"",SUMIFS('Val-Vol (2)'!AF$4:AF$1858,'Val-Vol (2)'!$A$4:$A$1858,$D1575,'Val-Vol (2)'!$V$4:$V$1858,$V1575)/SUMIFS('Comp2016-2017 (3)'!$G$5:$G$289,'Comp2016-2017 (3)'!$A$5:$A$289,$D1575,'Comp2016-2017 (3)'!$R$5:$R$289,$V1575)*$AB1575))</f>
        <v/>
      </c>
      <c r="AG1575" s="205" t="str">
        <f>IF($W1575=AG$3,$AB1575,IF(NOT($W1575=0),"",SUMIFS('Val-Vol (2)'!AG$4:AG$1858,'Val-Vol (2)'!$A$4:$A$1858,$D1575,'Val-Vol (2)'!$V$4:$V$1858,$V1575)/SUMIFS('Comp2016-2017 (3)'!$G$5:$G$289,'Comp2016-2017 (3)'!$A$5:$A$289,$D1575,'Comp2016-2017 (3)'!$R$5:$R$289,$V1575)*$AB1575))</f>
        <v/>
      </c>
      <c r="AH1575" s="205" t="str">
        <f>IF($W1575=AH$3,$AB1575,IF(NOT($W1575=0),"",SUMIFS('Val-Vol (2)'!AH$4:AH$1858,'Val-Vol (2)'!$A$4:$A$1858,$D1575,'Val-Vol (2)'!$V$4:$V$1858,$V1575)/SUMIFS('Comp2016-2017 (3)'!$G$5:$G$289,'Comp2016-2017 (3)'!$A$5:$A$289,$D1575,'Comp2016-2017 (3)'!$R$5:$R$289,$V1575)*$AB1575))</f>
        <v/>
      </c>
      <c r="AI1575" s="205" t="str">
        <f>IF($W1575=AI$3,$AB1575,IF(NOT($W1575=0),"",SUMIFS('Val-Vol (2)'!AI$4:AI$1858,'Val-Vol (2)'!$A$4:$A$1858,$D1575,'Val-Vol (2)'!$V$4:$V$1858,$V1575)/SUMIFS('Comp2016-2017 (3)'!$G$5:$G$289,'Comp2016-2017 (3)'!$A$5:$A$289,$D1575,'Comp2016-2017 (3)'!$R$5:$R$289,$V1575)*$AB1575))</f>
        <v/>
      </c>
      <c r="AJ1575" s="205" t="str">
        <f>IF($W1575=AJ$3,$AB1575,IF(NOT($W1575=0),"",SUMIFS('Val-Vol (2)'!AJ$4:AJ$1858,'Val-Vol (2)'!$A$4:$A$1858,$D1575,'Val-Vol (2)'!$V$4:$V$1858,$V1575)/SUMIFS('Comp2016-2017 (3)'!$G$5:$G$289,'Comp2016-2017 (3)'!$A$5:$A$289,$D1575,'Comp2016-2017 (3)'!$R$5:$R$289,$V1575)*$AB1575))</f>
        <v/>
      </c>
      <c r="AK1575" s="205">
        <f t="shared" si="182"/>
        <v>0</v>
      </c>
      <c r="AL1575" s="218" t="str">
        <f t="shared" si="184"/>
        <v/>
      </c>
      <c r="AM1575" s="218" t="str">
        <f>VLOOKUP(A1575,'Table corresp.'!$M$4:$U$63,8,FALSE)</f>
        <v>Production intermédiaire</v>
      </c>
      <c r="AN1575" s="218" t="str">
        <f>VLOOKUP(D1575,'Table corresp.'!$M$4:$U$63,9,FALSE)</f>
        <v xml:space="preserve">Mise en œuvre </v>
      </c>
    </row>
    <row r="1576" spans="1:40" x14ac:dyDescent="0.25">
      <c r="A1576" t="s">
        <v>5</v>
      </c>
      <c r="B1576" t="str">
        <f>VLOOKUP(LEFT(A1576,3),'Table corresp.'!$A$4:$D$63,3,FALSE)</f>
        <v>Transformation</v>
      </c>
      <c r="C1576" t="str">
        <f>VLOOKUP(A1576,'Table corresp.'!$M$4:$P$63,4,FALSE)</f>
        <v>Production et transformation de produits bois</v>
      </c>
      <c r="D1576" t="s">
        <v>22</v>
      </c>
      <c r="E1576" t="str">
        <f>VLOOKUP(LEFT(D1576,3),'Table corresp.'!$A$4:$D$63,4,FALSE)</f>
        <v>Transformation</v>
      </c>
      <c r="F1576" t="str">
        <f t="shared" si="180"/>
        <v xml:space="preserve">09  - 55 </v>
      </c>
      <c r="G1576" s="238">
        <v>1198.7590249884299</v>
      </c>
      <c r="H1576" s="238">
        <v>0</v>
      </c>
      <c r="I1576" s="238">
        <v>1198.7590688723801</v>
      </c>
      <c r="J1576" s="238">
        <v>4.5092992332449171</v>
      </c>
      <c r="K1576" s="238">
        <v>0</v>
      </c>
      <c r="L1576" s="238">
        <v>4.5092992332449171</v>
      </c>
      <c r="M1576" s="238"/>
      <c r="N1576" s="238"/>
      <c r="O1576" s="238"/>
      <c r="P1576" s="238"/>
      <c r="Q1576" s="238"/>
      <c r="R1576" s="238"/>
      <c r="S1576" s="238"/>
      <c r="T1576" s="218">
        <f>VLOOKUP(A1576,'Groupe de branches'!$Z$27:$AM$86,14,FALSE)</f>
        <v>0</v>
      </c>
      <c r="U1576" s="218">
        <f>VLOOKUP(D1576,'Groupe de branches'!$Z$27:$AM$86,14,FALSE)</f>
        <v>0</v>
      </c>
      <c r="V1576" s="218">
        <v>2020</v>
      </c>
      <c r="W1576" s="218" t="str">
        <f>VLOOKUP(D1576,'Table corresp.'!$M$4:$S$63,7,FALSE)</f>
        <v>Construction</v>
      </c>
      <c r="X1576" s="240">
        <f>IFERROR(G1576/SUMIFS('Comp2016-2017 (3)'!$I$5:$I$289,'Comp2016-2017 (3)'!$A$5:$A$289,A1576,'Comp2016-2017 (3)'!$R$5:$R$289,V1576),0)</f>
        <v>1.6054875010782912E-2</v>
      </c>
      <c r="Y1576" s="219" t="e">
        <f>IF(RIGHT(F1576,3)="Exp",VLOOKUP(F1576,#REF!,2,FALSE),VLOOKUP(F1576,#REF!,9,FALSE))</f>
        <v>#REF!</v>
      </c>
      <c r="Z1576" s="226" t="str">
        <f t="shared" si="181"/>
        <v/>
      </c>
      <c r="AA1576" s="226" t="e">
        <f t="shared" si="183"/>
        <v>#VALUE!</v>
      </c>
      <c r="AB1576" s="205">
        <f>IFERROR(SUMIFS('Comp2016-2017 (3)'!$G$5:$G$289,'Comp2016-2017 (3)'!$A$5:$A$289,A1576,'Comp2016-2017 (3)'!$R$5:$R$289,V1576)*AA1576/SUMIFS($AA$4:$AA$1858,$A$4:$A$1858,A1576,$V$4:$V$1858,V1576),0)</f>
        <v>0</v>
      </c>
      <c r="AC1576" s="205" t="str">
        <f>IF($W1576=AC$3,$AB1576,IF(NOT($W1576=0),"",SUMIFS('Val-Vol (2)'!AC$4:AC$1858,'Val-Vol (2)'!$A$4:$A$1858,$D1576,'Val-Vol (2)'!$V$4:$V$1858,$V1576)/SUMIFS('Comp2016-2017 (3)'!$G$5:$G$289,'Comp2016-2017 (3)'!$A$5:$A$289,$D1576,'Comp2016-2017 (3)'!$R$5:$R$289,$V1576)*$AB1576))</f>
        <v/>
      </c>
      <c r="AD1576" s="205">
        <f>IF($W1576=AD$3,$AB1576,IF(NOT($W1576=0),"",SUMIFS('Val-Vol (2)'!AD$4:AD$1858,'Val-Vol (2)'!$A$4:$A$1858,$D1576,'Val-Vol (2)'!$V$4:$V$1858,$V1576)/SUMIFS('Comp2016-2017 (3)'!$G$5:$G$289,'Comp2016-2017 (3)'!$A$5:$A$289,$D1576,'Comp2016-2017 (3)'!$R$5:$R$289,$V1576)*$AB1576))</f>
        <v>0</v>
      </c>
      <c r="AE1576" s="205" t="str">
        <f>IF($W1576=AE$3,$AB1576,IF(NOT($W1576=0),"",SUMIFS('Val-Vol (2)'!AE$4:AE$1858,'Val-Vol (2)'!$A$4:$A$1858,$D1576,'Val-Vol (2)'!$V$4:$V$1858,$V1576)/SUMIFS('Comp2016-2017 (3)'!$G$5:$G$289,'Comp2016-2017 (3)'!$A$5:$A$289,$D1576,'Comp2016-2017 (3)'!$R$5:$R$289,$V1576)*$AB1576))</f>
        <v/>
      </c>
      <c r="AF1576" s="205" t="str">
        <f>IF($W1576=AF$3,$AB1576,IF(NOT($W1576=0),"",SUMIFS('Val-Vol (2)'!AF$4:AF$1858,'Val-Vol (2)'!$A$4:$A$1858,$D1576,'Val-Vol (2)'!$V$4:$V$1858,$V1576)/SUMIFS('Comp2016-2017 (3)'!$G$5:$G$289,'Comp2016-2017 (3)'!$A$5:$A$289,$D1576,'Comp2016-2017 (3)'!$R$5:$R$289,$V1576)*$AB1576))</f>
        <v/>
      </c>
      <c r="AG1576" s="205" t="str">
        <f>IF($W1576=AG$3,$AB1576,IF(NOT($W1576=0),"",SUMIFS('Val-Vol (2)'!AG$4:AG$1858,'Val-Vol (2)'!$A$4:$A$1858,$D1576,'Val-Vol (2)'!$V$4:$V$1858,$V1576)/SUMIFS('Comp2016-2017 (3)'!$G$5:$G$289,'Comp2016-2017 (3)'!$A$5:$A$289,$D1576,'Comp2016-2017 (3)'!$R$5:$R$289,$V1576)*$AB1576))</f>
        <v/>
      </c>
      <c r="AH1576" s="205" t="str">
        <f>IF($W1576=AH$3,$AB1576,IF(NOT($W1576=0),"",SUMIFS('Val-Vol (2)'!AH$4:AH$1858,'Val-Vol (2)'!$A$4:$A$1858,$D1576,'Val-Vol (2)'!$V$4:$V$1858,$V1576)/SUMIFS('Comp2016-2017 (3)'!$G$5:$G$289,'Comp2016-2017 (3)'!$A$5:$A$289,$D1576,'Comp2016-2017 (3)'!$R$5:$R$289,$V1576)*$AB1576))</f>
        <v/>
      </c>
      <c r="AI1576" s="205" t="str">
        <f>IF($W1576=AI$3,$AB1576,IF(NOT($W1576=0),"",SUMIFS('Val-Vol (2)'!AI$4:AI$1858,'Val-Vol (2)'!$A$4:$A$1858,$D1576,'Val-Vol (2)'!$V$4:$V$1858,$V1576)/SUMIFS('Comp2016-2017 (3)'!$G$5:$G$289,'Comp2016-2017 (3)'!$A$5:$A$289,$D1576,'Comp2016-2017 (3)'!$R$5:$R$289,$V1576)*$AB1576))</f>
        <v/>
      </c>
      <c r="AJ1576" s="205" t="str">
        <f>IF($W1576=AJ$3,$AB1576,IF(NOT($W1576=0),"",SUMIFS('Val-Vol (2)'!AJ$4:AJ$1858,'Val-Vol (2)'!$A$4:$A$1858,$D1576,'Val-Vol (2)'!$V$4:$V$1858,$V1576)/SUMIFS('Comp2016-2017 (3)'!$G$5:$G$289,'Comp2016-2017 (3)'!$A$5:$A$289,$D1576,'Comp2016-2017 (3)'!$R$5:$R$289,$V1576)*$AB1576))</f>
        <v/>
      </c>
      <c r="AK1576" s="205">
        <f t="shared" si="182"/>
        <v>0</v>
      </c>
      <c r="AL1576" s="218" t="str">
        <f t="shared" si="184"/>
        <v/>
      </c>
      <c r="AM1576" s="218" t="str">
        <f>VLOOKUP(A1576,'Table corresp.'!$M$4:$U$63,8,FALSE)</f>
        <v>Production intermédiaire</v>
      </c>
      <c r="AN1576" s="218" t="str">
        <f>VLOOKUP(D1576,'Table corresp.'!$M$4:$U$63,9,FALSE)</f>
        <v xml:space="preserve">Mise en œuvre </v>
      </c>
    </row>
    <row r="1577" spans="1:40" x14ac:dyDescent="0.25">
      <c r="A1577" t="s">
        <v>5</v>
      </c>
      <c r="B1577" t="str">
        <f>VLOOKUP(LEFT(A1577,3),'Table corresp.'!$A$4:$D$63,3,FALSE)</f>
        <v>Transformation</v>
      </c>
      <c r="C1577" t="str">
        <f>VLOOKUP(A1577,'Table corresp.'!$M$4:$P$63,4,FALSE)</f>
        <v>Production et transformation de produits bois</v>
      </c>
      <c r="D1577" t="s">
        <v>54</v>
      </c>
      <c r="E1577" t="str">
        <f>VLOOKUP(LEFT(D1577,3),'Table corresp.'!$A$4:$D$63,4,FALSE)</f>
        <v>Consommation finale</v>
      </c>
      <c r="F1577" t="str">
        <f t="shared" si="180"/>
        <v>09  - Con</v>
      </c>
      <c r="G1577" s="238">
        <v>802.91201317976004</v>
      </c>
      <c r="H1577" s="238">
        <v>1133.5244026099199</v>
      </c>
      <c r="I1577" s="238">
        <v>1936.43630350799</v>
      </c>
      <c r="J1577" s="238">
        <v>6.5296620468890865</v>
      </c>
      <c r="K1577" s="238">
        <v>4.6670305572623585</v>
      </c>
      <c r="L1577" s="238">
        <v>11.196692604151444</v>
      </c>
      <c r="M1577" s="238"/>
      <c r="N1577" s="238"/>
      <c r="O1577" s="238"/>
      <c r="P1577" s="238"/>
      <c r="Q1577" s="238"/>
      <c r="R1577" s="238"/>
      <c r="S1577" s="238"/>
      <c r="T1577" s="218">
        <f>VLOOKUP(A1577,'Groupe de branches'!$Z$27:$AM$86,14,FALSE)</f>
        <v>0</v>
      </c>
      <c r="U1577" s="218">
        <f>VLOOKUP(D1577,'Groupe de branches'!$Z$27:$AM$86,14,FALSE)</f>
        <v>0</v>
      </c>
      <c r="V1577" s="218">
        <v>2020</v>
      </c>
      <c r="W1577" s="218" t="str">
        <f>VLOOKUP(D1577,'Table corresp.'!$M$4:$S$63,7,FALSE)</f>
        <v>Consommation finale</v>
      </c>
      <c r="X1577" s="240">
        <f>IFERROR(G1577/SUMIFS('Comp2016-2017 (3)'!$I$5:$I$289,'Comp2016-2017 (3)'!$A$5:$A$289,A1577,'Comp2016-2017 (3)'!$R$5:$R$289,V1577),0)</f>
        <v>1.0753330525608803E-2</v>
      </c>
      <c r="Y1577" s="219" t="e">
        <f>IF(RIGHT(F1577,3)="Exp",VLOOKUP(F1577,#REF!,2,FALSE),VLOOKUP(F1577,#REF!,9,FALSE))</f>
        <v>#REF!</v>
      </c>
      <c r="Z1577" s="226" t="str">
        <f t="shared" si="181"/>
        <v/>
      </c>
      <c r="AA1577" s="226" t="e">
        <f t="shared" si="183"/>
        <v>#VALUE!</v>
      </c>
      <c r="AB1577" s="205">
        <f>IFERROR(SUMIFS('Comp2016-2017 (3)'!$G$5:$G$289,'Comp2016-2017 (3)'!$A$5:$A$289,A1577,'Comp2016-2017 (3)'!$R$5:$R$289,V1577)*AA1577/SUMIFS($AA$4:$AA$1858,$A$4:$A$1858,A1577,$V$4:$V$1858,V1577),0)</f>
        <v>0</v>
      </c>
      <c r="AC1577" s="205" t="str">
        <f>IF($W1577=AC$3,$AB1577,IF(NOT($W1577=0),"",SUMIFS('Val-Vol (2)'!AC$4:AC$1858,'Val-Vol (2)'!$A$4:$A$1858,$D1577,'Val-Vol (2)'!$V$4:$V$1858,$V1577)/SUMIFS('Comp2016-2017 (3)'!$G$5:$G$289,'Comp2016-2017 (3)'!$A$5:$A$289,$D1577,'Comp2016-2017 (3)'!$R$5:$R$289,$V1577)*$AB1577))</f>
        <v/>
      </c>
      <c r="AD1577" s="205" t="str">
        <f>IF($W1577=AD$3,$AB1577,IF(NOT($W1577=0),"",SUMIFS('Val-Vol (2)'!AD$4:AD$1858,'Val-Vol (2)'!$A$4:$A$1858,$D1577,'Val-Vol (2)'!$V$4:$V$1858,$V1577)/SUMIFS('Comp2016-2017 (3)'!$G$5:$G$289,'Comp2016-2017 (3)'!$A$5:$A$289,$D1577,'Comp2016-2017 (3)'!$R$5:$R$289,$V1577)*$AB1577))</f>
        <v/>
      </c>
      <c r="AE1577" s="205" t="str">
        <f>IF($W1577=AE$3,$AB1577,IF(NOT($W1577=0),"",SUMIFS('Val-Vol (2)'!AE$4:AE$1858,'Val-Vol (2)'!$A$4:$A$1858,$D1577,'Val-Vol (2)'!$V$4:$V$1858,$V1577)/SUMIFS('Comp2016-2017 (3)'!$G$5:$G$289,'Comp2016-2017 (3)'!$A$5:$A$289,$D1577,'Comp2016-2017 (3)'!$R$5:$R$289,$V1577)*$AB1577))</f>
        <v/>
      </c>
      <c r="AF1577" s="205" t="str">
        <f>IF($W1577=AF$3,$AB1577,IF(NOT($W1577=0),"",SUMIFS('Val-Vol (2)'!AF$4:AF$1858,'Val-Vol (2)'!$A$4:$A$1858,$D1577,'Val-Vol (2)'!$V$4:$V$1858,$V1577)/SUMIFS('Comp2016-2017 (3)'!$G$5:$G$289,'Comp2016-2017 (3)'!$A$5:$A$289,$D1577,'Comp2016-2017 (3)'!$R$5:$R$289,$V1577)*$AB1577))</f>
        <v/>
      </c>
      <c r="AG1577" s="205" t="str">
        <f>IF($W1577=AG$3,$AB1577,IF(NOT($W1577=0),"",SUMIFS('Val-Vol (2)'!AG$4:AG$1858,'Val-Vol (2)'!$A$4:$A$1858,$D1577,'Val-Vol (2)'!$V$4:$V$1858,$V1577)/SUMIFS('Comp2016-2017 (3)'!$G$5:$G$289,'Comp2016-2017 (3)'!$A$5:$A$289,$D1577,'Comp2016-2017 (3)'!$R$5:$R$289,$V1577)*$AB1577))</f>
        <v/>
      </c>
      <c r="AH1577" s="205" t="str">
        <f>IF($W1577=AH$3,$AB1577,IF(NOT($W1577=0),"",SUMIFS('Val-Vol (2)'!AH$4:AH$1858,'Val-Vol (2)'!$A$4:$A$1858,$D1577,'Val-Vol (2)'!$V$4:$V$1858,$V1577)/SUMIFS('Comp2016-2017 (3)'!$G$5:$G$289,'Comp2016-2017 (3)'!$A$5:$A$289,$D1577,'Comp2016-2017 (3)'!$R$5:$R$289,$V1577)*$AB1577))</f>
        <v/>
      </c>
      <c r="AI1577" s="205" t="str">
        <f>IF($W1577=AI$3,$AB1577,IF(NOT($W1577=0),"",SUMIFS('Val-Vol (2)'!AI$4:AI$1858,'Val-Vol (2)'!$A$4:$A$1858,$D1577,'Val-Vol (2)'!$V$4:$V$1858,$V1577)/SUMIFS('Comp2016-2017 (3)'!$G$5:$G$289,'Comp2016-2017 (3)'!$A$5:$A$289,$D1577,'Comp2016-2017 (3)'!$R$5:$R$289,$V1577)*$AB1577))</f>
        <v/>
      </c>
      <c r="AJ1577" s="205">
        <f>IF($W1577=AJ$3,$AB1577,IF(NOT($W1577=0),"",SUMIFS('Val-Vol (2)'!AJ$4:AJ$1858,'Val-Vol (2)'!$A$4:$A$1858,$D1577,'Val-Vol (2)'!$V$4:$V$1858,$V1577)/SUMIFS('Comp2016-2017 (3)'!$G$5:$G$289,'Comp2016-2017 (3)'!$A$5:$A$289,$D1577,'Comp2016-2017 (3)'!$R$5:$R$289,$V1577)*$AB1577))</f>
        <v>0</v>
      </c>
      <c r="AK1577" s="205">
        <f t="shared" si="182"/>
        <v>0</v>
      </c>
      <c r="AL1577" s="218" t="str">
        <f t="shared" si="184"/>
        <v/>
      </c>
      <c r="AM1577" s="218" t="str">
        <f>VLOOKUP(A1577,'Table corresp.'!$M$4:$U$63,8,FALSE)</f>
        <v>Production intermédiaire</v>
      </c>
      <c r="AN1577" s="218" t="str">
        <f>VLOOKUP(D1577,'Table corresp.'!$M$4:$U$63,9,FALSE)</f>
        <v>Consommation finale française</v>
      </c>
    </row>
    <row r="1578" spans="1:40" x14ac:dyDescent="0.25">
      <c r="A1578" t="s">
        <v>5</v>
      </c>
      <c r="B1578" t="str">
        <f>VLOOKUP(LEFT(A1578,3),'Table corresp.'!$A$4:$D$63,3,FALSE)</f>
        <v>Transformation</v>
      </c>
      <c r="C1578" t="str">
        <f>VLOOKUP(A1578,'Table corresp.'!$M$4:$P$63,4,FALSE)</f>
        <v>Production et transformation de produits bois</v>
      </c>
      <c r="D1578" t="s">
        <v>53</v>
      </c>
      <c r="E1578" t="str">
        <f>VLOOKUP(LEFT(D1578,3),'Table corresp.'!$A$4:$D$63,4,FALSE)</f>
        <v>Exportation</v>
      </c>
      <c r="F1578" t="str">
        <f t="shared" ref="F1578:F1641" si="185">LEFT(A1578,3)&amp;" - "&amp;LEFT(D1578,3)</f>
        <v>09  - Exp</v>
      </c>
      <c r="G1578" s="238">
        <v>28263.1178623491</v>
      </c>
      <c r="H1578" s="238">
        <v>0</v>
      </c>
      <c r="I1578" s="238">
        <v>28263.118897</v>
      </c>
      <c r="J1578" s="238">
        <v>219.906815853175</v>
      </c>
      <c r="K1578" s="238">
        <v>0</v>
      </c>
      <c r="L1578" s="238">
        <v>219.906815853175</v>
      </c>
      <c r="M1578" s="238"/>
      <c r="N1578" s="238"/>
      <c r="O1578" s="238"/>
      <c r="P1578" s="238"/>
      <c r="Q1578" s="238"/>
      <c r="R1578" s="238"/>
      <c r="S1578" s="238"/>
      <c r="T1578" s="218">
        <f>VLOOKUP(A1578,'Groupe de branches'!$Z$27:$AM$86,14,FALSE)</f>
        <v>0</v>
      </c>
      <c r="U1578" s="218">
        <f>VLOOKUP(D1578,'Groupe de branches'!$Z$27:$AM$86,14,FALSE)</f>
        <v>0</v>
      </c>
      <c r="V1578" s="218">
        <v>2020</v>
      </c>
      <c r="W1578" s="218" t="str">
        <f>VLOOKUP(D1578,'Table corresp.'!$M$4:$S$63,7,FALSE)</f>
        <v>Exportation</v>
      </c>
      <c r="X1578" s="240">
        <f>IFERROR(G1578/SUMIFS('Comp2016-2017 (3)'!$I$5:$I$289,'Comp2016-2017 (3)'!$A$5:$A$289,A1578,'Comp2016-2017 (3)'!$R$5:$R$289,V1578),0)</f>
        <v>0.37852547112162122</v>
      </c>
      <c r="Y1578" s="219" t="e">
        <f>IF(RIGHT(F1578,3)="Exp",VLOOKUP(F1578,#REF!,2,FALSE),VLOOKUP(F1578,#REF!,9,FALSE))</f>
        <v>#REF!</v>
      </c>
      <c r="Z1578" s="226" t="str">
        <f t="shared" si="181"/>
        <v/>
      </c>
      <c r="AA1578" s="226" t="e">
        <f t="shared" si="183"/>
        <v>#VALUE!</v>
      </c>
      <c r="AB1578" s="205">
        <f>IFERROR(SUMIFS('Comp2016-2017 (3)'!$G$5:$G$289,'Comp2016-2017 (3)'!$A$5:$A$289,A1578,'Comp2016-2017 (3)'!$R$5:$R$289,V1578)*AA1578/SUMIFS($AA$4:$AA$1858,$A$4:$A$1858,A1578,$V$4:$V$1858,V1578),0)</f>
        <v>0</v>
      </c>
      <c r="AC1578" s="205">
        <f>IF($W1578=AC$3,$AB1578,IF(NOT($W1578=0),"",SUMIFS('Val-Vol (2)'!AC$4:AC$1858,'Val-Vol (2)'!$A$4:$A$1858,$D1578,'Val-Vol (2)'!$V$4:$V$1858,$V1578)/SUMIFS('Comp2016-2017 (3)'!$G$5:$G$289,'Comp2016-2017 (3)'!$A$5:$A$289,$D1578,'Comp2016-2017 (3)'!$R$5:$R$289,$V1578)*$AB1578))</f>
        <v>0</v>
      </c>
      <c r="AD1578" s="205" t="str">
        <f>IF($W1578=AD$3,$AB1578,IF(NOT($W1578=0),"",SUMIFS('Val-Vol (2)'!AD$4:AD$1858,'Val-Vol (2)'!$A$4:$A$1858,$D1578,'Val-Vol (2)'!$V$4:$V$1858,$V1578)/SUMIFS('Comp2016-2017 (3)'!$G$5:$G$289,'Comp2016-2017 (3)'!$A$5:$A$289,$D1578,'Comp2016-2017 (3)'!$R$5:$R$289,$V1578)*$AB1578))</f>
        <v/>
      </c>
      <c r="AE1578" s="205" t="str">
        <f>IF($W1578=AE$3,$AB1578,IF(NOT($W1578=0),"",SUMIFS('Val-Vol (2)'!AE$4:AE$1858,'Val-Vol (2)'!$A$4:$A$1858,$D1578,'Val-Vol (2)'!$V$4:$V$1858,$V1578)/SUMIFS('Comp2016-2017 (3)'!$G$5:$G$289,'Comp2016-2017 (3)'!$A$5:$A$289,$D1578,'Comp2016-2017 (3)'!$R$5:$R$289,$V1578)*$AB1578))</f>
        <v/>
      </c>
      <c r="AF1578" s="205" t="str">
        <f>IF($W1578=AF$3,$AB1578,IF(NOT($W1578=0),"",SUMIFS('Val-Vol (2)'!AF$4:AF$1858,'Val-Vol (2)'!$A$4:$A$1858,$D1578,'Val-Vol (2)'!$V$4:$V$1858,$V1578)/SUMIFS('Comp2016-2017 (3)'!$G$5:$G$289,'Comp2016-2017 (3)'!$A$5:$A$289,$D1578,'Comp2016-2017 (3)'!$R$5:$R$289,$V1578)*$AB1578))</f>
        <v/>
      </c>
      <c r="AG1578" s="205" t="str">
        <f>IF($W1578=AG$3,$AB1578,IF(NOT($W1578=0),"",SUMIFS('Val-Vol (2)'!AG$4:AG$1858,'Val-Vol (2)'!$A$4:$A$1858,$D1578,'Val-Vol (2)'!$V$4:$V$1858,$V1578)/SUMIFS('Comp2016-2017 (3)'!$G$5:$G$289,'Comp2016-2017 (3)'!$A$5:$A$289,$D1578,'Comp2016-2017 (3)'!$R$5:$R$289,$V1578)*$AB1578))</f>
        <v/>
      </c>
      <c r="AH1578" s="205" t="str">
        <f>IF($W1578=AH$3,$AB1578,IF(NOT($W1578=0),"",SUMIFS('Val-Vol (2)'!AH$4:AH$1858,'Val-Vol (2)'!$A$4:$A$1858,$D1578,'Val-Vol (2)'!$V$4:$V$1858,$V1578)/SUMIFS('Comp2016-2017 (3)'!$G$5:$G$289,'Comp2016-2017 (3)'!$A$5:$A$289,$D1578,'Comp2016-2017 (3)'!$R$5:$R$289,$V1578)*$AB1578))</f>
        <v/>
      </c>
      <c r="AI1578" s="205" t="str">
        <f>IF($W1578=AI$3,$AB1578,IF(NOT($W1578=0),"",SUMIFS('Val-Vol (2)'!AI$4:AI$1858,'Val-Vol (2)'!$A$4:$A$1858,$D1578,'Val-Vol (2)'!$V$4:$V$1858,$V1578)/SUMIFS('Comp2016-2017 (3)'!$G$5:$G$289,'Comp2016-2017 (3)'!$A$5:$A$289,$D1578,'Comp2016-2017 (3)'!$R$5:$R$289,$V1578)*$AB1578))</f>
        <v/>
      </c>
      <c r="AJ1578" s="205" t="str">
        <f>IF($W1578=AJ$3,$AB1578,IF(NOT($W1578=0),"",SUMIFS('Val-Vol (2)'!AJ$4:AJ$1858,'Val-Vol (2)'!$A$4:$A$1858,$D1578,'Val-Vol (2)'!$V$4:$V$1858,$V1578)/SUMIFS('Comp2016-2017 (3)'!$G$5:$G$289,'Comp2016-2017 (3)'!$A$5:$A$289,$D1578,'Comp2016-2017 (3)'!$R$5:$R$289,$V1578)*$AB1578))</f>
        <v/>
      </c>
      <c r="AK1578" s="205">
        <f t="shared" si="182"/>
        <v>0</v>
      </c>
      <c r="AL1578" s="218" t="str">
        <f t="shared" si="184"/>
        <v/>
      </c>
      <c r="AM1578" s="218" t="str">
        <f>VLOOKUP(A1578,'Table corresp.'!$M$4:$U$63,8,FALSE)</f>
        <v>Production intermédiaire</v>
      </c>
      <c r="AN1578" s="218" t="str">
        <f>VLOOKUP(D1578,'Table corresp.'!$M$4:$U$63,9,FALSE)</f>
        <v>Exportation</v>
      </c>
    </row>
    <row r="1579" spans="1:40" x14ac:dyDescent="0.25">
      <c r="A1579" t="s">
        <v>82</v>
      </c>
      <c r="B1579" t="str">
        <f>VLOOKUP(LEFT(A1579,3),'Table corresp.'!$A$4:$D$63,3,FALSE)</f>
        <v>Transformation</v>
      </c>
      <c r="C1579" t="str">
        <f>VLOOKUP(A1579,'Table corresp.'!$M$4:$P$63,4,FALSE)</f>
        <v>Production et transformation de produits bois</v>
      </c>
      <c r="D1579" t="s">
        <v>13</v>
      </c>
      <c r="E1579" t="str">
        <f>VLOOKUP(LEFT(D1579,3),'Table corresp.'!$A$4:$D$63,4,FALSE)</f>
        <v>Transformation</v>
      </c>
      <c r="F1579" t="str">
        <f t="shared" si="185"/>
        <v xml:space="preserve">10  - 20 </v>
      </c>
      <c r="G1579" s="238">
        <v>1967.67185942488</v>
      </c>
      <c r="H1579" s="238">
        <v>546.63996969491905</v>
      </c>
      <c r="I1579" s="238">
        <v>2514.3118291197902</v>
      </c>
      <c r="J1579" s="238">
        <v>10.362606076427173</v>
      </c>
      <c r="K1579" s="238">
        <v>1.7831270267587984</v>
      </c>
      <c r="L1579" s="238">
        <v>12.145733103185972</v>
      </c>
      <c r="M1579" s="238"/>
      <c r="N1579" s="238"/>
      <c r="O1579" s="238"/>
      <c r="P1579" s="238"/>
      <c r="Q1579" s="238"/>
      <c r="R1579" s="238"/>
      <c r="S1579" s="238"/>
      <c r="T1579" s="218">
        <f>VLOOKUP(A1579,'Groupe de branches'!$Z$27:$AM$86,14,FALSE)</f>
        <v>0</v>
      </c>
      <c r="U1579" s="218">
        <f>VLOOKUP(D1579,'Groupe de branches'!$Z$27:$AM$86,14,FALSE)</f>
        <v>0</v>
      </c>
      <c r="V1579" s="218">
        <v>2020</v>
      </c>
      <c r="W1579" s="218">
        <f>VLOOKUP(D1579,'Table corresp.'!$M$4:$S$63,7,FALSE)</f>
        <v>0</v>
      </c>
      <c r="X1579" s="240">
        <f>IFERROR(G1579/SUMIFS('Comp2016-2017 (3)'!$I$5:$I$289,'Comp2016-2017 (3)'!$A$5:$A$289,A1579,'Comp2016-2017 (3)'!$R$5:$R$289,V1579),0)</f>
        <v>2.1368076445447977E-2</v>
      </c>
      <c r="Y1579" s="219" t="e">
        <f>IF(RIGHT(F1579,3)="Exp",VLOOKUP(F1579,#REF!,2,FALSE),VLOOKUP(F1579,#REF!,9,FALSE))</f>
        <v>#REF!</v>
      </c>
      <c r="Z1579" s="226" t="str">
        <f t="shared" si="181"/>
        <v/>
      </c>
      <c r="AA1579" s="226" t="e">
        <f t="shared" si="183"/>
        <v>#VALUE!</v>
      </c>
      <c r="AB1579" s="205">
        <f>IFERROR(SUMIFS('Comp2016-2017 (3)'!$G$5:$G$289,'Comp2016-2017 (3)'!$A$5:$A$289,A1579,'Comp2016-2017 (3)'!$R$5:$R$289,V1579)*AA1579/SUMIFS($AA$4:$AA$1858,$A$4:$A$1858,A1579,$V$4:$V$1858,V1579),0)</f>
        <v>0</v>
      </c>
      <c r="AC1579" s="205">
        <f>IF($W1579=AC$3,$AB1579,IF(NOT($W1579=0),"",SUMIFS('Val-Vol (2)'!AC$4:AC$1858,'Val-Vol (2)'!$A$4:$A$1858,$D1579,'Val-Vol (2)'!$V$4:$V$1858,$V1579)/SUMIFS('Comp2016-2017 (3)'!$G$5:$G$289,'Comp2016-2017 (3)'!$A$5:$A$289,$D1579,'Comp2016-2017 (3)'!$R$5:$R$289,$V1579)*$AB1579))</f>
        <v>0</v>
      </c>
      <c r="AD1579" s="205">
        <f>IF($W1579=AD$3,$AB1579,IF(NOT($W1579=0),"",SUMIFS('Val-Vol (2)'!AD$4:AD$1858,'Val-Vol (2)'!$A$4:$A$1858,$D1579,'Val-Vol (2)'!$V$4:$V$1858,$V1579)/SUMIFS('Comp2016-2017 (3)'!$G$5:$G$289,'Comp2016-2017 (3)'!$A$5:$A$289,$D1579,'Comp2016-2017 (3)'!$R$5:$R$289,$V1579)*$AB1579))</f>
        <v>0</v>
      </c>
      <c r="AE1579" s="205">
        <f>IF($W1579=AE$3,$AB1579,IF(NOT($W1579=0),"",SUMIFS('Val-Vol (2)'!AE$4:AE$1858,'Val-Vol (2)'!$A$4:$A$1858,$D1579,'Val-Vol (2)'!$V$4:$V$1858,$V1579)/SUMIFS('Comp2016-2017 (3)'!$G$5:$G$289,'Comp2016-2017 (3)'!$A$5:$A$289,$D1579,'Comp2016-2017 (3)'!$R$5:$R$289,$V1579)*$AB1579))</f>
        <v>0</v>
      </c>
      <c r="AF1579" s="205">
        <f>IF($W1579=AF$3,$AB1579,IF(NOT($W1579=0),"",SUMIFS('Val-Vol (2)'!AF$4:AF$1858,'Val-Vol (2)'!$A$4:$A$1858,$D1579,'Val-Vol (2)'!$V$4:$V$1858,$V1579)/SUMIFS('Comp2016-2017 (3)'!$G$5:$G$289,'Comp2016-2017 (3)'!$A$5:$A$289,$D1579,'Comp2016-2017 (3)'!$R$5:$R$289,$V1579)*$AB1579))</f>
        <v>0</v>
      </c>
      <c r="AG1579" s="205">
        <f>IF($W1579=AG$3,$AB1579,IF(NOT($W1579=0),"",SUMIFS('Val-Vol (2)'!AG$4:AG$1858,'Val-Vol (2)'!$A$4:$A$1858,$D1579,'Val-Vol (2)'!$V$4:$V$1858,$V1579)/SUMIFS('Comp2016-2017 (3)'!$G$5:$G$289,'Comp2016-2017 (3)'!$A$5:$A$289,$D1579,'Comp2016-2017 (3)'!$R$5:$R$289,$V1579)*$AB1579))</f>
        <v>0</v>
      </c>
      <c r="AH1579" s="205">
        <f>IF($W1579=AH$3,$AB1579,IF(NOT($W1579=0),"",SUMIFS('Val-Vol (2)'!AH$4:AH$1858,'Val-Vol (2)'!$A$4:$A$1858,$D1579,'Val-Vol (2)'!$V$4:$V$1858,$V1579)/SUMIFS('Comp2016-2017 (3)'!$G$5:$G$289,'Comp2016-2017 (3)'!$A$5:$A$289,$D1579,'Comp2016-2017 (3)'!$R$5:$R$289,$V1579)*$AB1579))</f>
        <v>0</v>
      </c>
      <c r="AI1579" s="205">
        <f>IF($W1579=AI$3,$AB1579,IF(NOT($W1579=0),"",SUMIFS('Val-Vol (2)'!AI$4:AI$1858,'Val-Vol (2)'!$A$4:$A$1858,$D1579,'Val-Vol (2)'!$V$4:$V$1858,$V1579)/SUMIFS('Comp2016-2017 (3)'!$G$5:$G$289,'Comp2016-2017 (3)'!$A$5:$A$289,$D1579,'Comp2016-2017 (3)'!$R$5:$R$289,$V1579)*$AB1579))</f>
        <v>0</v>
      </c>
      <c r="AJ1579" s="205">
        <f>IF($W1579=AJ$3,$AB1579,IF(NOT($W1579=0),"",SUMIFS('Val-Vol (2)'!AJ$4:AJ$1858,'Val-Vol (2)'!$A$4:$A$1858,$D1579,'Val-Vol (2)'!$V$4:$V$1858,$V1579)/SUMIFS('Comp2016-2017 (3)'!$G$5:$G$289,'Comp2016-2017 (3)'!$A$5:$A$289,$D1579,'Comp2016-2017 (3)'!$R$5:$R$289,$V1579)*$AB1579))</f>
        <v>0</v>
      </c>
      <c r="AK1579" s="205">
        <f t="shared" si="182"/>
        <v>0</v>
      </c>
      <c r="AL1579" s="218" t="str">
        <f t="shared" si="184"/>
        <v/>
      </c>
      <c r="AM1579" s="218" t="str">
        <f>VLOOKUP(A1579,'Table corresp.'!$M$4:$U$63,8,FALSE)</f>
        <v>Production intermédiaire</v>
      </c>
      <c r="AN1579" s="218" t="str">
        <f>VLOOKUP(D1579,'Table corresp.'!$M$4:$U$63,9,FALSE)</f>
        <v>Production intermédiaire</v>
      </c>
    </row>
    <row r="1580" spans="1:40" x14ac:dyDescent="0.25">
      <c r="A1580" t="s">
        <v>82</v>
      </c>
      <c r="B1580" t="str">
        <f>VLOOKUP(LEFT(A1580,3),'Table corresp.'!$A$4:$D$63,3,FALSE)</f>
        <v>Transformation</v>
      </c>
      <c r="C1580" t="str">
        <f>VLOOKUP(A1580,'Table corresp.'!$M$4:$P$63,4,FALSE)</f>
        <v>Production et transformation de produits bois</v>
      </c>
      <c r="D1580" t="s">
        <v>89</v>
      </c>
      <c r="E1580" t="str">
        <f>VLOOKUP(LEFT(D1580,3),'Table corresp.'!$A$4:$D$63,4,FALSE)</f>
        <v>Transformation</v>
      </c>
      <c r="F1580" t="str">
        <f t="shared" si="185"/>
        <v xml:space="preserve">10  - 33 </v>
      </c>
      <c r="G1580" s="238">
        <v>198.88518684347</v>
      </c>
      <c r="H1580" s="238">
        <v>691.794098393274</v>
      </c>
      <c r="I1580" s="238">
        <v>890.67928523674402</v>
      </c>
      <c r="J1580" s="238">
        <v>1.0540024262549523</v>
      </c>
      <c r="K1580" s="238">
        <v>2.2708090172539053</v>
      </c>
      <c r="L1580" s="238">
        <v>3.3248114435088576</v>
      </c>
      <c r="M1580" s="238"/>
      <c r="N1580" s="238"/>
      <c r="O1580" s="238"/>
      <c r="P1580" s="238"/>
      <c r="Q1580" s="238"/>
      <c r="R1580" s="238"/>
      <c r="S1580" s="238"/>
      <c r="T1580" s="218">
        <f>VLOOKUP(A1580,'Groupe de branches'!$Z$27:$AM$86,14,FALSE)</f>
        <v>0</v>
      </c>
      <c r="U1580" s="218">
        <f>VLOOKUP(D1580,'Groupe de branches'!$Z$27:$AM$86,14,FALSE)</f>
        <v>0</v>
      </c>
      <c r="V1580" s="218">
        <v>2020</v>
      </c>
      <c r="W1580" s="218" t="str">
        <f>VLOOKUP(D1580,'Table corresp.'!$M$4:$S$63,7,FALSE)</f>
        <v>Construction</v>
      </c>
      <c r="X1580" s="240">
        <f>IFERROR(G1580/SUMIFS('Comp2016-2017 (3)'!$I$5:$I$289,'Comp2016-2017 (3)'!$A$5:$A$289,A1580,'Comp2016-2017 (3)'!$R$5:$R$289,V1580),0)</f>
        <v>2.1598082302100004E-3</v>
      </c>
      <c r="Y1580" s="219" t="e">
        <f>IF(RIGHT(F1580,3)="Exp",VLOOKUP(F1580,#REF!,2,FALSE),VLOOKUP(F1580,#REF!,9,FALSE))</f>
        <v>#REF!</v>
      </c>
      <c r="Z1580" s="226" t="str">
        <f t="shared" si="181"/>
        <v/>
      </c>
      <c r="AA1580" s="226" t="e">
        <f t="shared" si="183"/>
        <v>#VALUE!</v>
      </c>
      <c r="AB1580" s="205">
        <f>IFERROR(SUMIFS('Comp2016-2017 (3)'!$G$5:$G$289,'Comp2016-2017 (3)'!$A$5:$A$289,A1580,'Comp2016-2017 (3)'!$R$5:$R$289,V1580)*AA1580/SUMIFS($AA$4:$AA$1858,$A$4:$A$1858,A1580,$V$4:$V$1858,V1580),0)</f>
        <v>0</v>
      </c>
      <c r="AC1580" s="205" t="str">
        <f>IF($W1580=AC$3,$AB1580,IF(NOT($W1580=0),"",SUMIFS('Val-Vol (2)'!AC$4:AC$1858,'Val-Vol (2)'!$A$4:$A$1858,$D1580,'Val-Vol (2)'!$V$4:$V$1858,$V1580)/SUMIFS('Comp2016-2017 (3)'!$G$5:$G$289,'Comp2016-2017 (3)'!$A$5:$A$289,$D1580,'Comp2016-2017 (3)'!$R$5:$R$289,$V1580)*$AB1580))</f>
        <v/>
      </c>
      <c r="AD1580" s="205">
        <f>IF($W1580=AD$3,$AB1580,IF(NOT($W1580=0),"",SUMIFS('Val-Vol (2)'!AD$4:AD$1858,'Val-Vol (2)'!$A$4:$A$1858,$D1580,'Val-Vol (2)'!$V$4:$V$1858,$V1580)/SUMIFS('Comp2016-2017 (3)'!$G$5:$G$289,'Comp2016-2017 (3)'!$A$5:$A$289,$D1580,'Comp2016-2017 (3)'!$R$5:$R$289,$V1580)*$AB1580))</f>
        <v>0</v>
      </c>
      <c r="AE1580" s="205" t="str">
        <f>IF($W1580=AE$3,$AB1580,IF(NOT($W1580=0),"",SUMIFS('Val-Vol (2)'!AE$4:AE$1858,'Val-Vol (2)'!$A$4:$A$1858,$D1580,'Val-Vol (2)'!$V$4:$V$1858,$V1580)/SUMIFS('Comp2016-2017 (3)'!$G$5:$G$289,'Comp2016-2017 (3)'!$A$5:$A$289,$D1580,'Comp2016-2017 (3)'!$R$5:$R$289,$V1580)*$AB1580))</f>
        <v/>
      </c>
      <c r="AF1580" s="205" t="str">
        <f>IF($W1580=AF$3,$AB1580,IF(NOT($W1580=0),"",SUMIFS('Val-Vol (2)'!AF$4:AF$1858,'Val-Vol (2)'!$A$4:$A$1858,$D1580,'Val-Vol (2)'!$V$4:$V$1858,$V1580)/SUMIFS('Comp2016-2017 (3)'!$G$5:$G$289,'Comp2016-2017 (3)'!$A$5:$A$289,$D1580,'Comp2016-2017 (3)'!$R$5:$R$289,$V1580)*$AB1580))</f>
        <v/>
      </c>
      <c r="AG1580" s="205" t="str">
        <f>IF($W1580=AG$3,$AB1580,IF(NOT($W1580=0),"",SUMIFS('Val-Vol (2)'!AG$4:AG$1858,'Val-Vol (2)'!$A$4:$A$1858,$D1580,'Val-Vol (2)'!$V$4:$V$1858,$V1580)/SUMIFS('Comp2016-2017 (3)'!$G$5:$G$289,'Comp2016-2017 (3)'!$A$5:$A$289,$D1580,'Comp2016-2017 (3)'!$R$5:$R$289,$V1580)*$AB1580))</f>
        <v/>
      </c>
      <c r="AH1580" s="205" t="str">
        <f>IF($W1580=AH$3,$AB1580,IF(NOT($W1580=0),"",SUMIFS('Val-Vol (2)'!AH$4:AH$1858,'Val-Vol (2)'!$A$4:$A$1858,$D1580,'Val-Vol (2)'!$V$4:$V$1858,$V1580)/SUMIFS('Comp2016-2017 (3)'!$G$5:$G$289,'Comp2016-2017 (3)'!$A$5:$A$289,$D1580,'Comp2016-2017 (3)'!$R$5:$R$289,$V1580)*$AB1580))</f>
        <v/>
      </c>
      <c r="AI1580" s="205" t="str">
        <f>IF($W1580=AI$3,$AB1580,IF(NOT($W1580=0),"",SUMIFS('Val-Vol (2)'!AI$4:AI$1858,'Val-Vol (2)'!$A$4:$A$1858,$D1580,'Val-Vol (2)'!$V$4:$V$1858,$V1580)/SUMIFS('Comp2016-2017 (3)'!$G$5:$G$289,'Comp2016-2017 (3)'!$A$5:$A$289,$D1580,'Comp2016-2017 (3)'!$R$5:$R$289,$V1580)*$AB1580))</f>
        <v/>
      </c>
      <c r="AJ1580" s="205" t="str">
        <f>IF($W1580=AJ$3,$AB1580,IF(NOT($W1580=0),"",SUMIFS('Val-Vol (2)'!AJ$4:AJ$1858,'Val-Vol (2)'!$A$4:$A$1858,$D1580,'Val-Vol (2)'!$V$4:$V$1858,$V1580)/SUMIFS('Comp2016-2017 (3)'!$G$5:$G$289,'Comp2016-2017 (3)'!$A$5:$A$289,$D1580,'Comp2016-2017 (3)'!$R$5:$R$289,$V1580)*$AB1580))</f>
        <v/>
      </c>
      <c r="AK1580" s="205">
        <f t="shared" si="182"/>
        <v>0</v>
      </c>
      <c r="AL1580" s="218" t="str">
        <f t="shared" si="184"/>
        <v/>
      </c>
      <c r="AM1580" s="218" t="str">
        <f>VLOOKUP(A1580,'Table corresp.'!$M$4:$U$63,8,FALSE)</f>
        <v>Production intermédiaire</v>
      </c>
      <c r="AN1580" s="218" t="str">
        <f>VLOOKUP(D1580,'Table corresp.'!$M$4:$U$63,9,FALSE)</f>
        <v>Production finale</v>
      </c>
    </row>
    <row r="1581" spans="1:40" x14ac:dyDescent="0.25">
      <c r="A1581" t="s">
        <v>82</v>
      </c>
      <c r="B1581" t="str">
        <f>VLOOKUP(LEFT(A1581,3),'Table corresp.'!$A$4:$D$63,3,FALSE)</f>
        <v>Transformation</v>
      </c>
      <c r="C1581" t="str">
        <f>VLOOKUP(A1581,'Table corresp.'!$M$4:$P$63,4,FALSE)</f>
        <v>Production et transformation de produits bois</v>
      </c>
      <c r="D1581" t="s">
        <v>91</v>
      </c>
      <c r="E1581" t="str">
        <f>VLOOKUP(LEFT(D1581,3),'Table corresp.'!$A$4:$D$63,4,FALSE)</f>
        <v>Transformation</v>
      </c>
      <c r="F1581" t="str">
        <f t="shared" si="185"/>
        <v xml:space="preserve">10  - 37 </v>
      </c>
      <c r="G1581" s="238">
        <v>15781.875171207699</v>
      </c>
      <c r="H1581" s="238">
        <v>0</v>
      </c>
      <c r="I1581" s="238">
        <v>15781.875171207699</v>
      </c>
      <c r="J1581" s="238">
        <v>204.58865374416979</v>
      </c>
      <c r="K1581" s="238">
        <v>0</v>
      </c>
      <c r="L1581" s="238">
        <v>204.58865374416979</v>
      </c>
      <c r="M1581" s="238"/>
      <c r="N1581" s="238"/>
      <c r="O1581" s="238"/>
      <c r="P1581" s="238"/>
      <c r="Q1581" s="238"/>
      <c r="R1581" s="238"/>
      <c r="S1581" s="238"/>
      <c r="T1581" s="218">
        <f>VLOOKUP(A1581,'Groupe de branches'!$Z$27:$AM$86,14,FALSE)</f>
        <v>0</v>
      </c>
      <c r="U1581" s="218">
        <f>VLOOKUP(D1581,'Groupe de branches'!$Z$27:$AM$86,14,FALSE)</f>
        <v>0</v>
      </c>
      <c r="V1581" s="218">
        <v>2020</v>
      </c>
      <c r="W1581" s="218" t="str">
        <f>VLOOKUP(D1581,'Table corresp.'!$M$4:$S$63,7,FALSE)</f>
        <v>Emballage bois et carton</v>
      </c>
      <c r="X1581" s="240">
        <f>IFERROR(G1581/SUMIFS('Comp2016-2017 (3)'!$I$5:$I$289,'Comp2016-2017 (3)'!$A$5:$A$289,A1581,'Comp2016-2017 (3)'!$R$5:$R$289,V1581),0)</f>
        <v>0.17138442748754362</v>
      </c>
      <c r="Y1581" s="219" t="e">
        <f>IF(RIGHT(F1581,3)="Exp",VLOOKUP(F1581,#REF!,2,FALSE),VLOOKUP(F1581,#REF!,9,FALSE))</f>
        <v>#REF!</v>
      </c>
      <c r="Z1581" s="226" t="str">
        <f t="shared" si="181"/>
        <v/>
      </c>
      <c r="AA1581" s="226" t="e">
        <f t="shared" si="183"/>
        <v>#VALUE!</v>
      </c>
      <c r="AB1581" s="205">
        <f>IFERROR(SUMIFS('Comp2016-2017 (3)'!$G$5:$G$289,'Comp2016-2017 (3)'!$A$5:$A$289,A1581,'Comp2016-2017 (3)'!$R$5:$R$289,V1581)*AA1581/SUMIFS($AA$4:$AA$1858,$A$4:$A$1858,A1581,$V$4:$V$1858,V1581),0)</f>
        <v>0</v>
      </c>
      <c r="AC1581" s="205" t="str">
        <f>IF($W1581=AC$3,$AB1581,IF(NOT($W1581=0),"",SUMIFS('Val-Vol (2)'!AC$4:AC$1858,'Val-Vol (2)'!$A$4:$A$1858,$D1581,'Val-Vol (2)'!$V$4:$V$1858,$V1581)/SUMIFS('Comp2016-2017 (3)'!$G$5:$G$289,'Comp2016-2017 (3)'!$A$5:$A$289,$D1581,'Comp2016-2017 (3)'!$R$5:$R$289,$V1581)*$AB1581))</f>
        <v/>
      </c>
      <c r="AD1581" s="205" t="str">
        <f>IF($W1581=AD$3,$AB1581,IF(NOT($W1581=0),"",SUMIFS('Val-Vol (2)'!AD$4:AD$1858,'Val-Vol (2)'!$A$4:$A$1858,$D1581,'Val-Vol (2)'!$V$4:$V$1858,$V1581)/SUMIFS('Comp2016-2017 (3)'!$G$5:$G$289,'Comp2016-2017 (3)'!$A$5:$A$289,$D1581,'Comp2016-2017 (3)'!$R$5:$R$289,$V1581)*$AB1581))</f>
        <v/>
      </c>
      <c r="AE1581" s="205" t="str">
        <f>IF($W1581=AE$3,$AB1581,IF(NOT($W1581=0),"",SUMIFS('Val-Vol (2)'!AE$4:AE$1858,'Val-Vol (2)'!$A$4:$A$1858,$D1581,'Val-Vol (2)'!$V$4:$V$1858,$V1581)/SUMIFS('Comp2016-2017 (3)'!$G$5:$G$289,'Comp2016-2017 (3)'!$A$5:$A$289,$D1581,'Comp2016-2017 (3)'!$R$5:$R$289,$V1581)*$AB1581))</f>
        <v/>
      </c>
      <c r="AF1581" s="205" t="str">
        <f>IF($W1581=AF$3,$AB1581,IF(NOT($W1581=0),"",SUMIFS('Val-Vol (2)'!AF$4:AF$1858,'Val-Vol (2)'!$A$4:$A$1858,$D1581,'Val-Vol (2)'!$V$4:$V$1858,$V1581)/SUMIFS('Comp2016-2017 (3)'!$G$5:$G$289,'Comp2016-2017 (3)'!$A$5:$A$289,$D1581,'Comp2016-2017 (3)'!$R$5:$R$289,$V1581)*$AB1581))</f>
        <v/>
      </c>
      <c r="AG1581" s="205">
        <f>IF($W1581=AG$3,$AB1581,IF(NOT($W1581=0),"",SUMIFS('Val-Vol (2)'!AG$4:AG$1858,'Val-Vol (2)'!$A$4:$A$1858,$D1581,'Val-Vol (2)'!$V$4:$V$1858,$V1581)/SUMIFS('Comp2016-2017 (3)'!$G$5:$G$289,'Comp2016-2017 (3)'!$A$5:$A$289,$D1581,'Comp2016-2017 (3)'!$R$5:$R$289,$V1581)*$AB1581))</f>
        <v>0</v>
      </c>
      <c r="AH1581" s="205" t="str">
        <f>IF($W1581=AH$3,$AB1581,IF(NOT($W1581=0),"",SUMIFS('Val-Vol (2)'!AH$4:AH$1858,'Val-Vol (2)'!$A$4:$A$1858,$D1581,'Val-Vol (2)'!$V$4:$V$1858,$V1581)/SUMIFS('Comp2016-2017 (3)'!$G$5:$G$289,'Comp2016-2017 (3)'!$A$5:$A$289,$D1581,'Comp2016-2017 (3)'!$R$5:$R$289,$V1581)*$AB1581))</f>
        <v/>
      </c>
      <c r="AI1581" s="205" t="str">
        <f>IF($W1581=AI$3,$AB1581,IF(NOT($W1581=0),"",SUMIFS('Val-Vol (2)'!AI$4:AI$1858,'Val-Vol (2)'!$A$4:$A$1858,$D1581,'Val-Vol (2)'!$V$4:$V$1858,$V1581)/SUMIFS('Comp2016-2017 (3)'!$G$5:$G$289,'Comp2016-2017 (3)'!$A$5:$A$289,$D1581,'Comp2016-2017 (3)'!$R$5:$R$289,$V1581)*$AB1581))</f>
        <v/>
      </c>
      <c r="AJ1581" s="205" t="str">
        <f>IF($W1581=AJ$3,$AB1581,IF(NOT($W1581=0),"",SUMIFS('Val-Vol (2)'!AJ$4:AJ$1858,'Val-Vol (2)'!$A$4:$A$1858,$D1581,'Val-Vol (2)'!$V$4:$V$1858,$V1581)/SUMIFS('Comp2016-2017 (3)'!$G$5:$G$289,'Comp2016-2017 (3)'!$A$5:$A$289,$D1581,'Comp2016-2017 (3)'!$R$5:$R$289,$V1581)*$AB1581))</f>
        <v/>
      </c>
      <c r="AK1581" s="205">
        <f t="shared" si="182"/>
        <v>0</v>
      </c>
      <c r="AL1581" s="218" t="str">
        <f t="shared" si="184"/>
        <v/>
      </c>
      <c r="AM1581" s="218" t="str">
        <f>VLOOKUP(A1581,'Table corresp.'!$M$4:$U$63,8,FALSE)</f>
        <v>Production intermédiaire</v>
      </c>
      <c r="AN1581" s="218" t="str">
        <f>VLOOKUP(D1581,'Table corresp.'!$M$4:$U$63,9,FALSE)</f>
        <v>Production finale</v>
      </c>
    </row>
    <row r="1582" spans="1:40" x14ac:dyDescent="0.25">
      <c r="A1582" t="s">
        <v>82</v>
      </c>
      <c r="B1582" t="str">
        <f>VLOOKUP(LEFT(A1582,3),'Table corresp.'!$A$4:$D$63,3,FALSE)</f>
        <v>Transformation</v>
      </c>
      <c r="C1582" t="str">
        <f>VLOOKUP(A1582,'Table corresp.'!$M$4:$P$63,4,FALSE)</f>
        <v>Production et transformation de produits bois</v>
      </c>
      <c r="D1582" t="s">
        <v>92</v>
      </c>
      <c r="E1582" t="str">
        <f>VLOOKUP(LEFT(D1582,3),'Table corresp.'!$A$4:$D$63,4,FALSE)</f>
        <v>Transformation</v>
      </c>
      <c r="F1582" t="str">
        <f t="shared" si="185"/>
        <v xml:space="preserve">10  - 40 </v>
      </c>
      <c r="G1582" s="238">
        <v>7682.6245035370603</v>
      </c>
      <c r="H1582" s="238">
        <v>0</v>
      </c>
      <c r="I1582" s="238">
        <v>7682.6245035370603</v>
      </c>
      <c r="J1582" s="238">
        <v>58.850914953624098</v>
      </c>
      <c r="K1582" s="238">
        <v>0</v>
      </c>
      <c r="L1582" s="238">
        <v>58.850914953624098</v>
      </c>
      <c r="M1582" s="238"/>
      <c r="N1582" s="238"/>
      <c r="O1582" s="238"/>
      <c r="P1582" s="238"/>
      <c r="Q1582" s="238"/>
      <c r="R1582" s="238"/>
      <c r="S1582" s="238"/>
      <c r="T1582" s="218">
        <f>VLOOKUP(A1582,'Groupe de branches'!$Z$27:$AM$86,14,FALSE)</f>
        <v>0</v>
      </c>
      <c r="U1582" s="218">
        <f>VLOOKUP(D1582,'Groupe de branches'!$Z$27:$AM$86,14,FALSE)</f>
        <v>0</v>
      </c>
      <c r="V1582" s="218">
        <v>2020</v>
      </c>
      <c r="W1582" s="218" t="str">
        <f>VLOOKUP(D1582,'Table corresp.'!$M$4:$S$63,7,FALSE)</f>
        <v>Construction</v>
      </c>
      <c r="X1582" s="240">
        <f>IFERROR(G1582/SUMIFS('Comp2016-2017 (3)'!$I$5:$I$289,'Comp2016-2017 (3)'!$A$5:$A$289,A1582,'Comp2016-2017 (3)'!$R$5:$R$289,V1582),0)</f>
        <v>8.3430022595959677E-2</v>
      </c>
      <c r="Y1582" s="219" t="e">
        <f>IF(RIGHT(F1582,3)="Exp",VLOOKUP(F1582,#REF!,2,FALSE),VLOOKUP(F1582,#REF!,9,FALSE))</f>
        <v>#REF!</v>
      </c>
      <c r="Z1582" s="226" t="str">
        <f t="shared" si="181"/>
        <v/>
      </c>
      <c r="AA1582" s="226" t="e">
        <f t="shared" si="183"/>
        <v>#VALUE!</v>
      </c>
      <c r="AB1582" s="205">
        <f>IFERROR(SUMIFS('Comp2016-2017 (3)'!$G$5:$G$289,'Comp2016-2017 (3)'!$A$5:$A$289,A1582,'Comp2016-2017 (3)'!$R$5:$R$289,V1582)*AA1582/SUMIFS($AA$4:$AA$1858,$A$4:$A$1858,A1582,$V$4:$V$1858,V1582),0)</f>
        <v>0</v>
      </c>
      <c r="AC1582" s="205" t="str">
        <f>IF($W1582=AC$3,$AB1582,IF(NOT($W1582=0),"",SUMIFS('Val-Vol (2)'!AC$4:AC$1858,'Val-Vol (2)'!$A$4:$A$1858,$D1582,'Val-Vol (2)'!$V$4:$V$1858,$V1582)/SUMIFS('Comp2016-2017 (3)'!$G$5:$G$289,'Comp2016-2017 (3)'!$A$5:$A$289,$D1582,'Comp2016-2017 (3)'!$R$5:$R$289,$V1582)*$AB1582))</f>
        <v/>
      </c>
      <c r="AD1582" s="205">
        <f>IF($W1582=AD$3,$AB1582,IF(NOT($W1582=0),"",SUMIFS('Val-Vol (2)'!AD$4:AD$1858,'Val-Vol (2)'!$A$4:$A$1858,$D1582,'Val-Vol (2)'!$V$4:$V$1858,$V1582)/SUMIFS('Comp2016-2017 (3)'!$G$5:$G$289,'Comp2016-2017 (3)'!$A$5:$A$289,$D1582,'Comp2016-2017 (3)'!$R$5:$R$289,$V1582)*$AB1582))</f>
        <v>0</v>
      </c>
      <c r="AE1582" s="205" t="str">
        <f>IF($W1582=AE$3,$AB1582,IF(NOT($W1582=0),"",SUMIFS('Val-Vol (2)'!AE$4:AE$1858,'Val-Vol (2)'!$A$4:$A$1858,$D1582,'Val-Vol (2)'!$V$4:$V$1858,$V1582)/SUMIFS('Comp2016-2017 (3)'!$G$5:$G$289,'Comp2016-2017 (3)'!$A$5:$A$289,$D1582,'Comp2016-2017 (3)'!$R$5:$R$289,$V1582)*$AB1582))</f>
        <v/>
      </c>
      <c r="AF1582" s="205" t="str">
        <f>IF($W1582=AF$3,$AB1582,IF(NOT($W1582=0),"",SUMIFS('Val-Vol (2)'!AF$4:AF$1858,'Val-Vol (2)'!$A$4:$A$1858,$D1582,'Val-Vol (2)'!$V$4:$V$1858,$V1582)/SUMIFS('Comp2016-2017 (3)'!$G$5:$G$289,'Comp2016-2017 (3)'!$A$5:$A$289,$D1582,'Comp2016-2017 (3)'!$R$5:$R$289,$V1582)*$AB1582))</f>
        <v/>
      </c>
      <c r="AG1582" s="205" t="str">
        <f>IF($W1582=AG$3,$AB1582,IF(NOT($W1582=0),"",SUMIFS('Val-Vol (2)'!AG$4:AG$1858,'Val-Vol (2)'!$A$4:$A$1858,$D1582,'Val-Vol (2)'!$V$4:$V$1858,$V1582)/SUMIFS('Comp2016-2017 (3)'!$G$5:$G$289,'Comp2016-2017 (3)'!$A$5:$A$289,$D1582,'Comp2016-2017 (3)'!$R$5:$R$289,$V1582)*$AB1582))</f>
        <v/>
      </c>
      <c r="AH1582" s="205" t="str">
        <f>IF($W1582=AH$3,$AB1582,IF(NOT($W1582=0),"",SUMIFS('Val-Vol (2)'!AH$4:AH$1858,'Val-Vol (2)'!$A$4:$A$1858,$D1582,'Val-Vol (2)'!$V$4:$V$1858,$V1582)/SUMIFS('Comp2016-2017 (3)'!$G$5:$G$289,'Comp2016-2017 (3)'!$A$5:$A$289,$D1582,'Comp2016-2017 (3)'!$R$5:$R$289,$V1582)*$AB1582))</f>
        <v/>
      </c>
      <c r="AI1582" s="205" t="str">
        <f>IF($W1582=AI$3,$AB1582,IF(NOT($W1582=0),"",SUMIFS('Val-Vol (2)'!AI$4:AI$1858,'Val-Vol (2)'!$A$4:$A$1858,$D1582,'Val-Vol (2)'!$V$4:$V$1858,$V1582)/SUMIFS('Comp2016-2017 (3)'!$G$5:$G$289,'Comp2016-2017 (3)'!$A$5:$A$289,$D1582,'Comp2016-2017 (3)'!$R$5:$R$289,$V1582)*$AB1582))</f>
        <v/>
      </c>
      <c r="AJ1582" s="205" t="str">
        <f>IF($W1582=AJ$3,$AB1582,IF(NOT($W1582=0),"",SUMIFS('Val-Vol (2)'!AJ$4:AJ$1858,'Val-Vol (2)'!$A$4:$A$1858,$D1582,'Val-Vol (2)'!$V$4:$V$1858,$V1582)/SUMIFS('Comp2016-2017 (3)'!$G$5:$G$289,'Comp2016-2017 (3)'!$A$5:$A$289,$D1582,'Comp2016-2017 (3)'!$R$5:$R$289,$V1582)*$AB1582))</f>
        <v/>
      </c>
      <c r="AK1582" s="205">
        <f t="shared" si="182"/>
        <v>0</v>
      </c>
      <c r="AL1582" s="218" t="str">
        <f t="shared" si="184"/>
        <v/>
      </c>
      <c r="AM1582" s="218" t="str">
        <f>VLOOKUP(A1582,'Table corresp.'!$M$4:$U$63,8,FALSE)</f>
        <v>Production intermédiaire</v>
      </c>
      <c r="AN1582" s="218" t="str">
        <f>VLOOKUP(D1582,'Table corresp.'!$M$4:$U$63,9,FALSE)</f>
        <v>Production finale</v>
      </c>
    </row>
    <row r="1583" spans="1:40" x14ac:dyDescent="0.25">
      <c r="A1583" t="s">
        <v>82</v>
      </c>
      <c r="B1583" t="str">
        <f>VLOOKUP(LEFT(A1583,3),'Table corresp.'!$A$4:$D$63,3,FALSE)</f>
        <v>Transformation</v>
      </c>
      <c r="C1583" t="str">
        <f>VLOOKUP(A1583,'Table corresp.'!$M$4:$P$63,4,FALSE)</f>
        <v>Production et transformation de produits bois</v>
      </c>
      <c r="D1583" t="s">
        <v>93</v>
      </c>
      <c r="E1583" t="str">
        <f>VLOOKUP(LEFT(D1583,3),'Table corresp.'!$A$4:$D$63,4,FALSE)</f>
        <v>Transformation</v>
      </c>
      <c r="F1583" t="str">
        <f t="shared" si="185"/>
        <v xml:space="preserve">10  - 41 </v>
      </c>
      <c r="G1583" s="238">
        <v>12949.2995122705</v>
      </c>
      <c r="H1583" s="238">
        <v>603.73358079995501</v>
      </c>
      <c r="I1583" s="238">
        <v>13553.0330930704</v>
      </c>
      <c r="J1583" s="238">
        <v>87.291621382797629</v>
      </c>
      <c r="K1583" s="238">
        <v>2.5207872959298343</v>
      </c>
      <c r="L1583" s="238">
        <v>89.812408678727465</v>
      </c>
      <c r="M1583" s="238"/>
      <c r="N1583" s="238"/>
      <c r="O1583" s="238"/>
      <c r="P1583" s="238"/>
      <c r="Q1583" s="238"/>
      <c r="R1583" s="238"/>
      <c r="S1583" s="238"/>
      <c r="T1583" s="218">
        <f>VLOOKUP(A1583,'Groupe de branches'!$Z$27:$AM$86,14,FALSE)</f>
        <v>0</v>
      </c>
      <c r="U1583" s="218">
        <f>VLOOKUP(D1583,'Groupe de branches'!$Z$27:$AM$86,14,FALSE)</f>
        <v>0</v>
      </c>
      <c r="V1583" s="218">
        <v>2020</v>
      </c>
      <c r="W1583" s="218" t="str">
        <f>VLOOKUP(D1583,'Table corresp.'!$M$4:$S$63,7,FALSE)</f>
        <v>Produits de consommation courante</v>
      </c>
      <c r="X1583" s="240">
        <f>IFERROR(G1583/SUMIFS('Comp2016-2017 (3)'!$I$5:$I$289,'Comp2016-2017 (3)'!$A$5:$A$289,A1583,'Comp2016-2017 (3)'!$R$5:$R$289,V1583),0)</f>
        <v>0.14062386498431392</v>
      </c>
      <c r="Y1583" s="219" t="e">
        <f>IF(RIGHT(F1583,3)="Exp",VLOOKUP(F1583,#REF!,2,FALSE),VLOOKUP(F1583,#REF!,9,FALSE))</f>
        <v>#REF!</v>
      </c>
      <c r="Z1583" s="226" t="str">
        <f t="shared" si="181"/>
        <v/>
      </c>
      <c r="AA1583" s="226" t="e">
        <f t="shared" si="183"/>
        <v>#VALUE!</v>
      </c>
      <c r="AB1583" s="205">
        <f>IFERROR(SUMIFS('Comp2016-2017 (3)'!$G$5:$G$289,'Comp2016-2017 (3)'!$A$5:$A$289,A1583,'Comp2016-2017 (3)'!$R$5:$R$289,V1583)*AA1583/SUMIFS($AA$4:$AA$1858,$A$4:$A$1858,A1583,$V$4:$V$1858,V1583),0)</f>
        <v>0</v>
      </c>
      <c r="AC1583" s="205" t="str">
        <f>IF($W1583=AC$3,$AB1583,IF(NOT($W1583=0),"",SUMIFS('Val-Vol (2)'!AC$4:AC$1858,'Val-Vol (2)'!$A$4:$A$1858,$D1583,'Val-Vol (2)'!$V$4:$V$1858,$V1583)/SUMIFS('Comp2016-2017 (3)'!$G$5:$G$289,'Comp2016-2017 (3)'!$A$5:$A$289,$D1583,'Comp2016-2017 (3)'!$R$5:$R$289,$V1583)*$AB1583))</f>
        <v/>
      </c>
      <c r="AD1583" s="205" t="str">
        <f>IF($W1583=AD$3,$AB1583,IF(NOT($W1583=0),"",SUMIFS('Val-Vol (2)'!AD$4:AD$1858,'Val-Vol (2)'!$A$4:$A$1858,$D1583,'Val-Vol (2)'!$V$4:$V$1858,$V1583)/SUMIFS('Comp2016-2017 (3)'!$G$5:$G$289,'Comp2016-2017 (3)'!$A$5:$A$289,$D1583,'Comp2016-2017 (3)'!$R$5:$R$289,$V1583)*$AB1583))</f>
        <v/>
      </c>
      <c r="AE1583" s="205" t="str">
        <f>IF($W1583=AE$3,$AB1583,IF(NOT($W1583=0),"",SUMIFS('Val-Vol (2)'!AE$4:AE$1858,'Val-Vol (2)'!$A$4:$A$1858,$D1583,'Val-Vol (2)'!$V$4:$V$1858,$V1583)/SUMIFS('Comp2016-2017 (3)'!$G$5:$G$289,'Comp2016-2017 (3)'!$A$5:$A$289,$D1583,'Comp2016-2017 (3)'!$R$5:$R$289,$V1583)*$AB1583))</f>
        <v/>
      </c>
      <c r="AF1583" s="205" t="str">
        <f>IF($W1583=AF$3,$AB1583,IF(NOT($W1583=0),"",SUMIFS('Val-Vol (2)'!AF$4:AF$1858,'Val-Vol (2)'!$A$4:$A$1858,$D1583,'Val-Vol (2)'!$V$4:$V$1858,$V1583)/SUMIFS('Comp2016-2017 (3)'!$G$5:$G$289,'Comp2016-2017 (3)'!$A$5:$A$289,$D1583,'Comp2016-2017 (3)'!$R$5:$R$289,$V1583)*$AB1583))</f>
        <v/>
      </c>
      <c r="AG1583" s="205" t="str">
        <f>IF($W1583=AG$3,$AB1583,IF(NOT($W1583=0),"",SUMIFS('Val-Vol (2)'!AG$4:AG$1858,'Val-Vol (2)'!$A$4:$A$1858,$D1583,'Val-Vol (2)'!$V$4:$V$1858,$V1583)/SUMIFS('Comp2016-2017 (3)'!$G$5:$G$289,'Comp2016-2017 (3)'!$A$5:$A$289,$D1583,'Comp2016-2017 (3)'!$R$5:$R$289,$V1583)*$AB1583))</f>
        <v/>
      </c>
      <c r="AH1583" s="205" t="str">
        <f>IF($W1583=AH$3,$AB1583,IF(NOT($W1583=0),"",SUMIFS('Val-Vol (2)'!AH$4:AH$1858,'Val-Vol (2)'!$A$4:$A$1858,$D1583,'Val-Vol (2)'!$V$4:$V$1858,$V1583)/SUMIFS('Comp2016-2017 (3)'!$G$5:$G$289,'Comp2016-2017 (3)'!$A$5:$A$289,$D1583,'Comp2016-2017 (3)'!$R$5:$R$289,$V1583)*$AB1583))</f>
        <v/>
      </c>
      <c r="AI1583" s="205">
        <f>IF($W1583=AI$3,$AB1583,IF(NOT($W1583=0),"",SUMIFS('Val-Vol (2)'!AI$4:AI$1858,'Val-Vol (2)'!$A$4:$A$1858,$D1583,'Val-Vol (2)'!$V$4:$V$1858,$V1583)/SUMIFS('Comp2016-2017 (3)'!$G$5:$G$289,'Comp2016-2017 (3)'!$A$5:$A$289,$D1583,'Comp2016-2017 (3)'!$R$5:$R$289,$V1583)*$AB1583))</f>
        <v>0</v>
      </c>
      <c r="AJ1583" s="205" t="str">
        <f>IF($W1583=AJ$3,$AB1583,IF(NOT($W1583=0),"",SUMIFS('Val-Vol (2)'!AJ$4:AJ$1858,'Val-Vol (2)'!$A$4:$A$1858,$D1583,'Val-Vol (2)'!$V$4:$V$1858,$V1583)/SUMIFS('Comp2016-2017 (3)'!$G$5:$G$289,'Comp2016-2017 (3)'!$A$5:$A$289,$D1583,'Comp2016-2017 (3)'!$R$5:$R$289,$V1583)*$AB1583))</f>
        <v/>
      </c>
      <c r="AK1583" s="205">
        <f t="shared" si="182"/>
        <v>0</v>
      </c>
      <c r="AL1583" s="218" t="str">
        <f t="shared" si="184"/>
        <v/>
      </c>
      <c r="AM1583" s="218" t="str">
        <f>VLOOKUP(A1583,'Table corresp.'!$M$4:$U$63,8,FALSE)</f>
        <v>Production intermédiaire</v>
      </c>
      <c r="AN1583" s="218" t="str">
        <f>VLOOKUP(D1583,'Table corresp.'!$M$4:$U$63,9,FALSE)</f>
        <v>Production finale</v>
      </c>
    </row>
    <row r="1584" spans="1:40" x14ac:dyDescent="0.25">
      <c r="A1584" t="s">
        <v>82</v>
      </c>
      <c r="B1584" t="str">
        <f>VLOOKUP(LEFT(A1584,3),'Table corresp.'!$A$4:$D$63,3,FALSE)</f>
        <v>Transformation</v>
      </c>
      <c r="C1584" t="str">
        <f>VLOOKUP(A1584,'Table corresp.'!$M$4:$P$63,4,FALSE)</f>
        <v>Production et transformation de produits bois</v>
      </c>
      <c r="D1584" t="s">
        <v>99</v>
      </c>
      <c r="E1584" t="str">
        <f>VLOOKUP(LEFT(D1584,3),'Table corresp.'!$A$4:$D$63,4,FALSE)</f>
        <v>Transformation</v>
      </c>
      <c r="F1584" t="str">
        <f t="shared" si="185"/>
        <v xml:space="preserve">10  - 47 </v>
      </c>
      <c r="G1584" s="238">
        <v>7461.1033123078696</v>
      </c>
      <c r="H1584" s="238">
        <v>8731.7393511118607</v>
      </c>
      <c r="I1584" s="238">
        <v>16192.8426634197</v>
      </c>
      <c r="J1584" s="238">
        <v>43.358210413618863</v>
      </c>
      <c r="K1584" s="238">
        <v>31.429222870254247</v>
      </c>
      <c r="L1584" s="238">
        <v>74.787433283873114</v>
      </c>
      <c r="M1584" s="238"/>
      <c r="N1584" s="238"/>
      <c r="O1584" s="238"/>
      <c r="P1584" s="238"/>
      <c r="Q1584" s="238"/>
      <c r="R1584" s="238"/>
      <c r="S1584" s="238"/>
      <c r="T1584" s="218">
        <f>VLOOKUP(A1584,'Groupe de branches'!$Z$27:$AM$86,14,FALSE)</f>
        <v>0</v>
      </c>
      <c r="U1584" s="218">
        <f>VLOOKUP(D1584,'Groupe de branches'!$Z$27:$AM$86,14,FALSE)</f>
        <v>0</v>
      </c>
      <c r="V1584" s="218">
        <v>2020</v>
      </c>
      <c r="W1584" s="218" t="str">
        <f>VLOOKUP(D1584,'Table corresp.'!$M$4:$S$63,7,FALSE)</f>
        <v>Meuble</v>
      </c>
      <c r="X1584" s="240">
        <f>IFERROR(G1584/SUMIFS('Comp2016-2017 (3)'!$I$5:$I$289,'Comp2016-2017 (3)'!$A$5:$A$289,A1584,'Comp2016-2017 (3)'!$R$5:$R$289,V1584),0)</f>
        <v>8.1024397020841896E-2</v>
      </c>
      <c r="Y1584" s="219" t="e">
        <f>IF(RIGHT(F1584,3)="Exp",VLOOKUP(F1584,#REF!,2,FALSE),VLOOKUP(F1584,#REF!,9,FALSE))</f>
        <v>#REF!</v>
      </c>
      <c r="Z1584" s="226" t="str">
        <f t="shared" si="181"/>
        <v/>
      </c>
      <c r="AA1584" s="226" t="e">
        <f t="shared" si="183"/>
        <v>#VALUE!</v>
      </c>
      <c r="AB1584" s="205">
        <f>IFERROR(SUMIFS('Comp2016-2017 (3)'!$G$5:$G$289,'Comp2016-2017 (3)'!$A$5:$A$289,A1584,'Comp2016-2017 (3)'!$R$5:$R$289,V1584)*AA1584/SUMIFS($AA$4:$AA$1858,$A$4:$A$1858,A1584,$V$4:$V$1858,V1584),0)</f>
        <v>0</v>
      </c>
      <c r="AC1584" s="205" t="str">
        <f>IF($W1584=AC$3,$AB1584,IF(NOT($W1584=0),"",SUMIFS('Val-Vol (2)'!AC$4:AC$1858,'Val-Vol (2)'!$A$4:$A$1858,$D1584,'Val-Vol (2)'!$V$4:$V$1858,$V1584)/SUMIFS('Comp2016-2017 (3)'!$G$5:$G$289,'Comp2016-2017 (3)'!$A$5:$A$289,$D1584,'Comp2016-2017 (3)'!$R$5:$R$289,$V1584)*$AB1584))</f>
        <v/>
      </c>
      <c r="AD1584" s="205" t="str">
        <f>IF($W1584=AD$3,$AB1584,IF(NOT($W1584=0),"",SUMIFS('Val-Vol (2)'!AD$4:AD$1858,'Val-Vol (2)'!$A$4:$A$1858,$D1584,'Val-Vol (2)'!$V$4:$V$1858,$V1584)/SUMIFS('Comp2016-2017 (3)'!$G$5:$G$289,'Comp2016-2017 (3)'!$A$5:$A$289,$D1584,'Comp2016-2017 (3)'!$R$5:$R$289,$V1584)*$AB1584))</f>
        <v/>
      </c>
      <c r="AE1584" s="205">
        <f>IF($W1584=AE$3,$AB1584,IF(NOT($W1584=0),"",SUMIFS('Val-Vol (2)'!AE$4:AE$1858,'Val-Vol (2)'!$A$4:$A$1858,$D1584,'Val-Vol (2)'!$V$4:$V$1858,$V1584)/SUMIFS('Comp2016-2017 (3)'!$G$5:$G$289,'Comp2016-2017 (3)'!$A$5:$A$289,$D1584,'Comp2016-2017 (3)'!$R$5:$R$289,$V1584)*$AB1584))</f>
        <v>0</v>
      </c>
      <c r="AF1584" s="205" t="str">
        <f>IF($W1584=AF$3,$AB1584,IF(NOT($W1584=0),"",SUMIFS('Val-Vol (2)'!AF$4:AF$1858,'Val-Vol (2)'!$A$4:$A$1858,$D1584,'Val-Vol (2)'!$V$4:$V$1858,$V1584)/SUMIFS('Comp2016-2017 (3)'!$G$5:$G$289,'Comp2016-2017 (3)'!$A$5:$A$289,$D1584,'Comp2016-2017 (3)'!$R$5:$R$289,$V1584)*$AB1584))</f>
        <v/>
      </c>
      <c r="AG1584" s="205" t="str">
        <f>IF($W1584=AG$3,$AB1584,IF(NOT($W1584=0),"",SUMIFS('Val-Vol (2)'!AG$4:AG$1858,'Val-Vol (2)'!$A$4:$A$1858,$D1584,'Val-Vol (2)'!$V$4:$V$1858,$V1584)/SUMIFS('Comp2016-2017 (3)'!$G$5:$G$289,'Comp2016-2017 (3)'!$A$5:$A$289,$D1584,'Comp2016-2017 (3)'!$R$5:$R$289,$V1584)*$AB1584))</f>
        <v/>
      </c>
      <c r="AH1584" s="205" t="str">
        <f>IF($W1584=AH$3,$AB1584,IF(NOT($W1584=0),"",SUMIFS('Val-Vol (2)'!AH$4:AH$1858,'Val-Vol (2)'!$A$4:$A$1858,$D1584,'Val-Vol (2)'!$V$4:$V$1858,$V1584)/SUMIFS('Comp2016-2017 (3)'!$G$5:$G$289,'Comp2016-2017 (3)'!$A$5:$A$289,$D1584,'Comp2016-2017 (3)'!$R$5:$R$289,$V1584)*$AB1584))</f>
        <v/>
      </c>
      <c r="AI1584" s="205" t="str">
        <f>IF($W1584=AI$3,$AB1584,IF(NOT($W1584=0),"",SUMIFS('Val-Vol (2)'!AI$4:AI$1858,'Val-Vol (2)'!$A$4:$A$1858,$D1584,'Val-Vol (2)'!$V$4:$V$1858,$V1584)/SUMIFS('Comp2016-2017 (3)'!$G$5:$G$289,'Comp2016-2017 (3)'!$A$5:$A$289,$D1584,'Comp2016-2017 (3)'!$R$5:$R$289,$V1584)*$AB1584))</f>
        <v/>
      </c>
      <c r="AJ1584" s="205" t="str">
        <f>IF($W1584=AJ$3,$AB1584,IF(NOT($W1584=0),"",SUMIFS('Val-Vol (2)'!AJ$4:AJ$1858,'Val-Vol (2)'!$A$4:$A$1858,$D1584,'Val-Vol (2)'!$V$4:$V$1858,$V1584)/SUMIFS('Comp2016-2017 (3)'!$G$5:$G$289,'Comp2016-2017 (3)'!$A$5:$A$289,$D1584,'Comp2016-2017 (3)'!$R$5:$R$289,$V1584)*$AB1584))</f>
        <v/>
      </c>
      <c r="AK1584" s="205">
        <f t="shared" si="182"/>
        <v>0</v>
      </c>
      <c r="AL1584" s="218" t="str">
        <f t="shared" si="184"/>
        <v/>
      </c>
      <c r="AM1584" s="218" t="str">
        <f>VLOOKUP(A1584,'Table corresp.'!$M$4:$U$63,8,FALSE)</f>
        <v>Production intermédiaire</v>
      </c>
      <c r="AN1584" s="218" t="str">
        <f>VLOOKUP(D1584,'Table corresp.'!$M$4:$U$63,9,FALSE)</f>
        <v>Production finale</v>
      </c>
    </row>
    <row r="1585" spans="1:40" x14ac:dyDescent="0.25">
      <c r="A1585" t="s">
        <v>82</v>
      </c>
      <c r="B1585" t="str">
        <f>VLOOKUP(LEFT(A1585,3),'Table corresp.'!$A$4:$D$63,3,FALSE)</f>
        <v>Transformation</v>
      </c>
      <c r="C1585" t="str">
        <f>VLOOKUP(A1585,'Table corresp.'!$M$4:$P$63,4,FALSE)</f>
        <v>Production et transformation de produits bois</v>
      </c>
      <c r="D1585" t="s">
        <v>100</v>
      </c>
      <c r="E1585" t="str">
        <f>VLOOKUP(LEFT(D1585,3),'Table corresp.'!$A$4:$D$63,4,FALSE)</f>
        <v>Transformation</v>
      </c>
      <c r="F1585" t="str">
        <f t="shared" si="185"/>
        <v xml:space="preserve">10  - 48 </v>
      </c>
      <c r="G1585" s="238">
        <v>8863.9736919419993</v>
      </c>
      <c r="H1585" s="238">
        <v>0</v>
      </c>
      <c r="I1585" s="238">
        <v>8863.9736919419902</v>
      </c>
      <c r="J1585" s="238">
        <v>37.345197453098194</v>
      </c>
      <c r="K1585" s="238">
        <v>0</v>
      </c>
      <c r="L1585" s="238">
        <v>37.345197453098194</v>
      </c>
      <c r="M1585" s="238"/>
      <c r="N1585" s="238"/>
      <c r="O1585" s="238"/>
      <c r="P1585" s="238"/>
      <c r="Q1585" s="238"/>
      <c r="R1585" s="238"/>
      <c r="S1585" s="238"/>
      <c r="T1585" s="218">
        <f>VLOOKUP(A1585,'Groupe de branches'!$Z$27:$AM$86,14,FALSE)</f>
        <v>0</v>
      </c>
      <c r="U1585" s="218">
        <f>VLOOKUP(D1585,'Groupe de branches'!$Z$27:$AM$86,14,FALSE)</f>
        <v>0</v>
      </c>
      <c r="V1585" s="218">
        <v>2020</v>
      </c>
      <c r="W1585" s="218" t="str">
        <f>VLOOKUP(D1585,'Table corresp.'!$M$4:$S$63,7,FALSE)</f>
        <v>Produits de consommation courante</v>
      </c>
      <c r="X1585" s="240">
        <f>IFERROR(G1585/SUMIFS('Comp2016-2017 (3)'!$I$5:$I$289,'Comp2016-2017 (3)'!$A$5:$A$289,A1585,'Comp2016-2017 (3)'!$R$5:$R$289,V1585),0)</f>
        <v>9.6258970494814536E-2</v>
      </c>
      <c r="Y1585" s="219" t="e">
        <f>IF(RIGHT(F1585,3)="Exp",VLOOKUP(F1585,#REF!,2,FALSE),VLOOKUP(F1585,#REF!,9,FALSE))</f>
        <v>#REF!</v>
      </c>
      <c r="Z1585" s="226" t="str">
        <f t="shared" si="181"/>
        <v/>
      </c>
      <c r="AA1585" s="226" t="e">
        <f t="shared" si="183"/>
        <v>#VALUE!</v>
      </c>
      <c r="AB1585" s="205">
        <f>IFERROR(SUMIFS('Comp2016-2017 (3)'!$G$5:$G$289,'Comp2016-2017 (3)'!$A$5:$A$289,A1585,'Comp2016-2017 (3)'!$R$5:$R$289,V1585)*AA1585/SUMIFS($AA$4:$AA$1858,$A$4:$A$1858,A1585,$V$4:$V$1858,V1585),0)</f>
        <v>0</v>
      </c>
      <c r="AC1585" s="205" t="str">
        <f>IF($W1585=AC$3,$AB1585,IF(NOT($W1585=0),"",SUMIFS('Val-Vol (2)'!AC$4:AC$1858,'Val-Vol (2)'!$A$4:$A$1858,$D1585,'Val-Vol (2)'!$V$4:$V$1858,$V1585)/SUMIFS('Comp2016-2017 (3)'!$G$5:$G$289,'Comp2016-2017 (3)'!$A$5:$A$289,$D1585,'Comp2016-2017 (3)'!$R$5:$R$289,$V1585)*$AB1585))</f>
        <v/>
      </c>
      <c r="AD1585" s="205" t="str">
        <f>IF($W1585=AD$3,$AB1585,IF(NOT($W1585=0),"",SUMIFS('Val-Vol (2)'!AD$4:AD$1858,'Val-Vol (2)'!$A$4:$A$1858,$D1585,'Val-Vol (2)'!$V$4:$V$1858,$V1585)/SUMIFS('Comp2016-2017 (3)'!$G$5:$G$289,'Comp2016-2017 (3)'!$A$5:$A$289,$D1585,'Comp2016-2017 (3)'!$R$5:$R$289,$V1585)*$AB1585))</f>
        <v/>
      </c>
      <c r="AE1585" s="205" t="str">
        <f>IF($W1585=AE$3,$AB1585,IF(NOT($W1585=0),"",SUMIFS('Val-Vol (2)'!AE$4:AE$1858,'Val-Vol (2)'!$A$4:$A$1858,$D1585,'Val-Vol (2)'!$V$4:$V$1858,$V1585)/SUMIFS('Comp2016-2017 (3)'!$G$5:$G$289,'Comp2016-2017 (3)'!$A$5:$A$289,$D1585,'Comp2016-2017 (3)'!$R$5:$R$289,$V1585)*$AB1585))</f>
        <v/>
      </c>
      <c r="AF1585" s="205" t="str">
        <f>IF($W1585=AF$3,$AB1585,IF(NOT($W1585=0),"",SUMIFS('Val-Vol (2)'!AF$4:AF$1858,'Val-Vol (2)'!$A$4:$A$1858,$D1585,'Val-Vol (2)'!$V$4:$V$1858,$V1585)/SUMIFS('Comp2016-2017 (3)'!$G$5:$G$289,'Comp2016-2017 (3)'!$A$5:$A$289,$D1585,'Comp2016-2017 (3)'!$R$5:$R$289,$V1585)*$AB1585))</f>
        <v/>
      </c>
      <c r="AG1585" s="205" t="str">
        <f>IF($W1585=AG$3,$AB1585,IF(NOT($W1585=0),"",SUMIFS('Val-Vol (2)'!AG$4:AG$1858,'Val-Vol (2)'!$A$4:$A$1858,$D1585,'Val-Vol (2)'!$V$4:$V$1858,$V1585)/SUMIFS('Comp2016-2017 (3)'!$G$5:$G$289,'Comp2016-2017 (3)'!$A$5:$A$289,$D1585,'Comp2016-2017 (3)'!$R$5:$R$289,$V1585)*$AB1585))</f>
        <v/>
      </c>
      <c r="AH1585" s="205" t="str">
        <f>IF($W1585=AH$3,$AB1585,IF(NOT($W1585=0),"",SUMIFS('Val-Vol (2)'!AH$4:AH$1858,'Val-Vol (2)'!$A$4:$A$1858,$D1585,'Val-Vol (2)'!$V$4:$V$1858,$V1585)/SUMIFS('Comp2016-2017 (3)'!$G$5:$G$289,'Comp2016-2017 (3)'!$A$5:$A$289,$D1585,'Comp2016-2017 (3)'!$R$5:$R$289,$V1585)*$AB1585))</f>
        <v/>
      </c>
      <c r="AI1585" s="205">
        <f>IF($W1585=AI$3,$AB1585,IF(NOT($W1585=0),"",SUMIFS('Val-Vol (2)'!AI$4:AI$1858,'Val-Vol (2)'!$A$4:$A$1858,$D1585,'Val-Vol (2)'!$V$4:$V$1858,$V1585)/SUMIFS('Comp2016-2017 (3)'!$G$5:$G$289,'Comp2016-2017 (3)'!$A$5:$A$289,$D1585,'Comp2016-2017 (3)'!$R$5:$R$289,$V1585)*$AB1585))</f>
        <v>0</v>
      </c>
      <c r="AJ1585" s="205" t="str">
        <f>IF($W1585=AJ$3,$AB1585,IF(NOT($W1585=0),"",SUMIFS('Val-Vol (2)'!AJ$4:AJ$1858,'Val-Vol (2)'!$A$4:$A$1858,$D1585,'Val-Vol (2)'!$V$4:$V$1858,$V1585)/SUMIFS('Comp2016-2017 (3)'!$G$5:$G$289,'Comp2016-2017 (3)'!$A$5:$A$289,$D1585,'Comp2016-2017 (3)'!$R$5:$R$289,$V1585)*$AB1585))</f>
        <v/>
      </c>
      <c r="AK1585" s="205">
        <f t="shared" si="182"/>
        <v>0</v>
      </c>
      <c r="AL1585" s="218" t="str">
        <f t="shared" si="184"/>
        <v/>
      </c>
      <c r="AM1585" s="218" t="str">
        <f>VLOOKUP(A1585,'Table corresp.'!$M$4:$U$63,8,FALSE)</f>
        <v>Production intermédiaire</v>
      </c>
      <c r="AN1585" s="218" t="str">
        <f>VLOOKUP(D1585,'Table corresp.'!$M$4:$U$63,9,FALSE)</f>
        <v>Production finale</v>
      </c>
    </row>
    <row r="1586" spans="1:40" x14ac:dyDescent="0.25">
      <c r="A1586" t="s">
        <v>82</v>
      </c>
      <c r="B1586" t="str">
        <f>VLOOKUP(LEFT(A1586,3),'Table corresp.'!$A$4:$D$63,3,FALSE)</f>
        <v>Transformation</v>
      </c>
      <c r="C1586" t="str">
        <f>VLOOKUP(A1586,'Table corresp.'!$M$4:$P$63,4,FALSE)</f>
        <v>Production et transformation de produits bois</v>
      </c>
      <c r="D1586" t="s">
        <v>21</v>
      </c>
      <c r="E1586" t="str">
        <f>VLOOKUP(LEFT(D1586,3),'Table corresp.'!$A$4:$D$63,4,FALSE)</f>
        <v>Transformation</v>
      </c>
      <c r="F1586" t="str">
        <f t="shared" si="185"/>
        <v xml:space="preserve">10  - 54 </v>
      </c>
      <c r="G1586" s="238">
        <v>13535.4451965185</v>
      </c>
      <c r="H1586" s="238">
        <v>0</v>
      </c>
      <c r="I1586" s="238">
        <v>13535.4451965185</v>
      </c>
      <c r="J1586" s="238">
        <v>65.173462318643146</v>
      </c>
      <c r="K1586" s="238">
        <v>0</v>
      </c>
      <c r="L1586" s="238">
        <v>65.173462318643146</v>
      </c>
      <c r="M1586" s="238"/>
      <c r="N1586" s="238"/>
      <c r="O1586" s="238"/>
      <c r="P1586" s="238"/>
      <c r="Q1586" s="238"/>
      <c r="R1586" s="238"/>
      <c r="S1586" s="238"/>
      <c r="T1586" s="218">
        <f>VLOOKUP(A1586,'Groupe de branches'!$Z$27:$AM$86,14,FALSE)</f>
        <v>0</v>
      </c>
      <c r="U1586" s="218">
        <f>VLOOKUP(D1586,'Groupe de branches'!$Z$27:$AM$86,14,FALSE)</f>
        <v>0</v>
      </c>
      <c r="V1586" s="218">
        <v>2020</v>
      </c>
      <c r="W1586" s="218" t="str">
        <f>VLOOKUP(D1586,'Table corresp.'!$M$4:$S$63,7,FALSE)</f>
        <v>Construction</v>
      </c>
      <c r="X1586" s="240">
        <f>IFERROR(G1586/SUMIFS('Comp2016-2017 (3)'!$I$5:$I$289,'Comp2016-2017 (3)'!$A$5:$A$289,A1586,'Comp2016-2017 (3)'!$R$5:$R$289,V1586),0)</f>
        <v>0.1469891569049096</v>
      </c>
      <c r="Y1586" s="219" t="e">
        <f>IF(RIGHT(F1586,3)="Exp",VLOOKUP(F1586,#REF!,2,FALSE),VLOOKUP(F1586,#REF!,9,FALSE))</f>
        <v>#REF!</v>
      </c>
      <c r="Z1586" s="226" t="str">
        <f t="shared" si="181"/>
        <v/>
      </c>
      <c r="AA1586" s="226" t="e">
        <f t="shared" si="183"/>
        <v>#VALUE!</v>
      </c>
      <c r="AB1586" s="205">
        <f>IFERROR(SUMIFS('Comp2016-2017 (3)'!$G$5:$G$289,'Comp2016-2017 (3)'!$A$5:$A$289,A1586,'Comp2016-2017 (3)'!$R$5:$R$289,V1586)*AA1586/SUMIFS($AA$4:$AA$1858,$A$4:$A$1858,A1586,$V$4:$V$1858,V1586),0)</f>
        <v>0</v>
      </c>
      <c r="AC1586" s="205" t="str">
        <f>IF($W1586=AC$3,$AB1586,IF(NOT($W1586=0),"",SUMIFS('Val-Vol (2)'!AC$4:AC$1858,'Val-Vol (2)'!$A$4:$A$1858,$D1586,'Val-Vol (2)'!$V$4:$V$1858,$V1586)/SUMIFS('Comp2016-2017 (3)'!$G$5:$G$289,'Comp2016-2017 (3)'!$A$5:$A$289,$D1586,'Comp2016-2017 (3)'!$R$5:$R$289,$V1586)*$AB1586))</f>
        <v/>
      </c>
      <c r="AD1586" s="205">
        <f>IF($W1586=AD$3,$AB1586,IF(NOT($W1586=0),"",SUMIFS('Val-Vol (2)'!AD$4:AD$1858,'Val-Vol (2)'!$A$4:$A$1858,$D1586,'Val-Vol (2)'!$V$4:$V$1858,$V1586)/SUMIFS('Comp2016-2017 (3)'!$G$5:$G$289,'Comp2016-2017 (3)'!$A$5:$A$289,$D1586,'Comp2016-2017 (3)'!$R$5:$R$289,$V1586)*$AB1586))</f>
        <v>0</v>
      </c>
      <c r="AE1586" s="205" t="str">
        <f>IF($W1586=AE$3,$AB1586,IF(NOT($W1586=0),"",SUMIFS('Val-Vol (2)'!AE$4:AE$1858,'Val-Vol (2)'!$A$4:$A$1858,$D1586,'Val-Vol (2)'!$V$4:$V$1858,$V1586)/SUMIFS('Comp2016-2017 (3)'!$G$5:$G$289,'Comp2016-2017 (3)'!$A$5:$A$289,$D1586,'Comp2016-2017 (3)'!$R$5:$R$289,$V1586)*$AB1586))</f>
        <v/>
      </c>
      <c r="AF1586" s="205" t="str">
        <f>IF($W1586=AF$3,$AB1586,IF(NOT($W1586=0),"",SUMIFS('Val-Vol (2)'!AF$4:AF$1858,'Val-Vol (2)'!$A$4:$A$1858,$D1586,'Val-Vol (2)'!$V$4:$V$1858,$V1586)/SUMIFS('Comp2016-2017 (3)'!$G$5:$G$289,'Comp2016-2017 (3)'!$A$5:$A$289,$D1586,'Comp2016-2017 (3)'!$R$5:$R$289,$V1586)*$AB1586))</f>
        <v/>
      </c>
      <c r="AG1586" s="205" t="str">
        <f>IF($W1586=AG$3,$AB1586,IF(NOT($W1586=0),"",SUMIFS('Val-Vol (2)'!AG$4:AG$1858,'Val-Vol (2)'!$A$4:$A$1858,$D1586,'Val-Vol (2)'!$V$4:$V$1858,$V1586)/SUMIFS('Comp2016-2017 (3)'!$G$5:$G$289,'Comp2016-2017 (3)'!$A$5:$A$289,$D1586,'Comp2016-2017 (3)'!$R$5:$R$289,$V1586)*$AB1586))</f>
        <v/>
      </c>
      <c r="AH1586" s="205" t="str">
        <f>IF($W1586=AH$3,$AB1586,IF(NOT($W1586=0),"",SUMIFS('Val-Vol (2)'!AH$4:AH$1858,'Val-Vol (2)'!$A$4:$A$1858,$D1586,'Val-Vol (2)'!$V$4:$V$1858,$V1586)/SUMIFS('Comp2016-2017 (3)'!$G$5:$G$289,'Comp2016-2017 (3)'!$A$5:$A$289,$D1586,'Comp2016-2017 (3)'!$R$5:$R$289,$V1586)*$AB1586))</f>
        <v/>
      </c>
      <c r="AI1586" s="205" t="str">
        <f>IF($W1586=AI$3,$AB1586,IF(NOT($W1586=0),"",SUMIFS('Val-Vol (2)'!AI$4:AI$1858,'Val-Vol (2)'!$A$4:$A$1858,$D1586,'Val-Vol (2)'!$V$4:$V$1858,$V1586)/SUMIFS('Comp2016-2017 (3)'!$G$5:$G$289,'Comp2016-2017 (3)'!$A$5:$A$289,$D1586,'Comp2016-2017 (3)'!$R$5:$R$289,$V1586)*$AB1586))</f>
        <v/>
      </c>
      <c r="AJ1586" s="205" t="str">
        <f>IF($W1586=AJ$3,$AB1586,IF(NOT($W1586=0),"",SUMIFS('Val-Vol (2)'!AJ$4:AJ$1858,'Val-Vol (2)'!$A$4:$A$1858,$D1586,'Val-Vol (2)'!$V$4:$V$1858,$V1586)/SUMIFS('Comp2016-2017 (3)'!$G$5:$G$289,'Comp2016-2017 (3)'!$A$5:$A$289,$D1586,'Comp2016-2017 (3)'!$R$5:$R$289,$V1586)*$AB1586))</f>
        <v/>
      </c>
      <c r="AK1586" s="205">
        <f t="shared" si="182"/>
        <v>0</v>
      </c>
      <c r="AL1586" s="218" t="str">
        <f t="shared" si="184"/>
        <v/>
      </c>
      <c r="AM1586" s="218" t="str">
        <f>VLOOKUP(A1586,'Table corresp.'!$M$4:$U$63,8,FALSE)</f>
        <v>Production intermédiaire</v>
      </c>
      <c r="AN1586" s="218" t="str">
        <f>VLOOKUP(D1586,'Table corresp.'!$M$4:$U$63,9,FALSE)</f>
        <v xml:space="preserve">Mise en œuvre </v>
      </c>
    </row>
    <row r="1587" spans="1:40" x14ac:dyDescent="0.25">
      <c r="A1587" t="s">
        <v>82</v>
      </c>
      <c r="B1587" t="str">
        <f>VLOOKUP(LEFT(A1587,3),'Table corresp.'!$A$4:$D$63,3,FALSE)</f>
        <v>Transformation</v>
      </c>
      <c r="C1587" t="str">
        <f>VLOOKUP(A1587,'Table corresp.'!$M$4:$P$63,4,FALSE)</f>
        <v>Production et transformation de produits bois</v>
      </c>
      <c r="D1587" t="s">
        <v>22</v>
      </c>
      <c r="E1587" t="str">
        <f>VLOOKUP(LEFT(D1587,3),'Table corresp.'!$A$4:$D$63,4,FALSE)</f>
        <v>Transformation</v>
      </c>
      <c r="F1587" t="str">
        <f t="shared" si="185"/>
        <v xml:space="preserve">10  - 55 </v>
      </c>
      <c r="G1587" s="238">
        <v>2191.6147765409901</v>
      </c>
      <c r="H1587" s="238">
        <v>0</v>
      </c>
      <c r="I1587" s="238">
        <v>2191.6147765409901</v>
      </c>
      <c r="J1587" s="238">
        <v>9.2335886156177569</v>
      </c>
      <c r="K1587" s="238">
        <v>0</v>
      </c>
      <c r="L1587" s="238">
        <v>9.2335886156177569</v>
      </c>
      <c r="M1587" s="238"/>
      <c r="N1587" s="238"/>
      <c r="O1587" s="238"/>
      <c r="P1587" s="238"/>
      <c r="Q1587" s="238"/>
      <c r="R1587" s="238"/>
      <c r="S1587" s="238"/>
      <c r="T1587" s="218">
        <f>VLOOKUP(A1587,'Groupe de branches'!$Z$27:$AM$86,14,FALSE)</f>
        <v>0</v>
      </c>
      <c r="U1587" s="218">
        <f>VLOOKUP(D1587,'Groupe de branches'!$Z$27:$AM$86,14,FALSE)</f>
        <v>0</v>
      </c>
      <c r="V1587" s="218">
        <v>2020</v>
      </c>
      <c r="W1587" s="218" t="str">
        <f>VLOOKUP(D1587,'Table corresp.'!$M$4:$S$63,7,FALSE)</f>
        <v>Construction</v>
      </c>
      <c r="X1587" s="240">
        <f>IFERROR(G1587/SUMIFS('Comp2016-2017 (3)'!$I$5:$I$289,'Comp2016-2017 (3)'!$A$5:$A$289,A1587,'Comp2016-2017 (3)'!$R$5:$R$289,V1587),0)</f>
        <v>2.3800000929925947E-2</v>
      </c>
      <c r="Y1587" s="219" t="e">
        <f>IF(RIGHT(F1587,3)="Exp",VLOOKUP(F1587,#REF!,2,FALSE),VLOOKUP(F1587,#REF!,9,FALSE))</f>
        <v>#REF!</v>
      </c>
      <c r="Z1587" s="226" t="str">
        <f t="shared" si="181"/>
        <v/>
      </c>
      <c r="AA1587" s="226" t="e">
        <f t="shared" si="183"/>
        <v>#VALUE!</v>
      </c>
      <c r="AB1587" s="205">
        <f>IFERROR(SUMIFS('Comp2016-2017 (3)'!$G$5:$G$289,'Comp2016-2017 (3)'!$A$5:$A$289,A1587,'Comp2016-2017 (3)'!$R$5:$R$289,V1587)*AA1587/SUMIFS($AA$4:$AA$1858,$A$4:$A$1858,A1587,$V$4:$V$1858,V1587),0)</f>
        <v>0</v>
      </c>
      <c r="AC1587" s="205" t="str">
        <f>IF($W1587=AC$3,$AB1587,IF(NOT($W1587=0),"",SUMIFS('Val-Vol (2)'!AC$4:AC$1858,'Val-Vol (2)'!$A$4:$A$1858,$D1587,'Val-Vol (2)'!$V$4:$V$1858,$V1587)/SUMIFS('Comp2016-2017 (3)'!$G$5:$G$289,'Comp2016-2017 (3)'!$A$5:$A$289,$D1587,'Comp2016-2017 (3)'!$R$5:$R$289,$V1587)*$AB1587))</f>
        <v/>
      </c>
      <c r="AD1587" s="205">
        <f>IF($W1587=AD$3,$AB1587,IF(NOT($W1587=0),"",SUMIFS('Val-Vol (2)'!AD$4:AD$1858,'Val-Vol (2)'!$A$4:$A$1858,$D1587,'Val-Vol (2)'!$V$4:$V$1858,$V1587)/SUMIFS('Comp2016-2017 (3)'!$G$5:$G$289,'Comp2016-2017 (3)'!$A$5:$A$289,$D1587,'Comp2016-2017 (3)'!$R$5:$R$289,$V1587)*$AB1587))</f>
        <v>0</v>
      </c>
      <c r="AE1587" s="205" t="str">
        <f>IF($W1587=AE$3,$AB1587,IF(NOT($W1587=0),"",SUMIFS('Val-Vol (2)'!AE$4:AE$1858,'Val-Vol (2)'!$A$4:$A$1858,$D1587,'Val-Vol (2)'!$V$4:$V$1858,$V1587)/SUMIFS('Comp2016-2017 (3)'!$G$5:$G$289,'Comp2016-2017 (3)'!$A$5:$A$289,$D1587,'Comp2016-2017 (3)'!$R$5:$R$289,$V1587)*$AB1587))</f>
        <v/>
      </c>
      <c r="AF1587" s="205" t="str">
        <f>IF($W1587=AF$3,$AB1587,IF(NOT($W1587=0),"",SUMIFS('Val-Vol (2)'!AF$4:AF$1858,'Val-Vol (2)'!$A$4:$A$1858,$D1587,'Val-Vol (2)'!$V$4:$V$1858,$V1587)/SUMIFS('Comp2016-2017 (3)'!$G$5:$G$289,'Comp2016-2017 (3)'!$A$5:$A$289,$D1587,'Comp2016-2017 (3)'!$R$5:$R$289,$V1587)*$AB1587))</f>
        <v/>
      </c>
      <c r="AG1587" s="205" t="str">
        <f>IF($W1587=AG$3,$AB1587,IF(NOT($W1587=0),"",SUMIFS('Val-Vol (2)'!AG$4:AG$1858,'Val-Vol (2)'!$A$4:$A$1858,$D1587,'Val-Vol (2)'!$V$4:$V$1858,$V1587)/SUMIFS('Comp2016-2017 (3)'!$G$5:$G$289,'Comp2016-2017 (3)'!$A$5:$A$289,$D1587,'Comp2016-2017 (3)'!$R$5:$R$289,$V1587)*$AB1587))</f>
        <v/>
      </c>
      <c r="AH1587" s="205" t="str">
        <f>IF($W1587=AH$3,$AB1587,IF(NOT($W1587=0),"",SUMIFS('Val-Vol (2)'!AH$4:AH$1858,'Val-Vol (2)'!$A$4:$A$1858,$D1587,'Val-Vol (2)'!$V$4:$V$1858,$V1587)/SUMIFS('Comp2016-2017 (3)'!$G$5:$G$289,'Comp2016-2017 (3)'!$A$5:$A$289,$D1587,'Comp2016-2017 (3)'!$R$5:$R$289,$V1587)*$AB1587))</f>
        <v/>
      </c>
      <c r="AI1587" s="205" t="str">
        <f>IF($W1587=AI$3,$AB1587,IF(NOT($W1587=0),"",SUMIFS('Val-Vol (2)'!AI$4:AI$1858,'Val-Vol (2)'!$A$4:$A$1858,$D1587,'Val-Vol (2)'!$V$4:$V$1858,$V1587)/SUMIFS('Comp2016-2017 (3)'!$G$5:$G$289,'Comp2016-2017 (3)'!$A$5:$A$289,$D1587,'Comp2016-2017 (3)'!$R$5:$R$289,$V1587)*$AB1587))</f>
        <v/>
      </c>
      <c r="AJ1587" s="205" t="str">
        <f>IF($W1587=AJ$3,$AB1587,IF(NOT($W1587=0),"",SUMIFS('Val-Vol (2)'!AJ$4:AJ$1858,'Val-Vol (2)'!$A$4:$A$1858,$D1587,'Val-Vol (2)'!$V$4:$V$1858,$V1587)/SUMIFS('Comp2016-2017 (3)'!$G$5:$G$289,'Comp2016-2017 (3)'!$A$5:$A$289,$D1587,'Comp2016-2017 (3)'!$R$5:$R$289,$V1587)*$AB1587))</f>
        <v/>
      </c>
      <c r="AK1587" s="205">
        <f t="shared" si="182"/>
        <v>0</v>
      </c>
      <c r="AL1587" s="218" t="str">
        <f t="shared" si="184"/>
        <v/>
      </c>
      <c r="AM1587" s="218" t="str">
        <f>VLOOKUP(A1587,'Table corresp.'!$M$4:$U$63,8,FALSE)</f>
        <v>Production intermédiaire</v>
      </c>
      <c r="AN1587" s="218" t="str">
        <f>VLOOKUP(D1587,'Table corresp.'!$M$4:$U$63,9,FALSE)</f>
        <v xml:space="preserve">Mise en œuvre </v>
      </c>
    </row>
    <row r="1588" spans="1:40" x14ac:dyDescent="0.25">
      <c r="A1588" t="s">
        <v>82</v>
      </c>
      <c r="B1588" t="str">
        <f>VLOOKUP(LEFT(A1588,3),'Table corresp.'!$A$4:$D$63,3,FALSE)</f>
        <v>Transformation</v>
      </c>
      <c r="C1588" t="str">
        <f>VLOOKUP(A1588,'Table corresp.'!$M$4:$P$63,4,FALSE)</f>
        <v>Production et transformation de produits bois</v>
      </c>
      <c r="D1588" t="s">
        <v>24</v>
      </c>
      <c r="E1588" t="str">
        <f>VLOOKUP(LEFT(D1588,3),'Table corresp.'!$A$4:$D$63,4,FALSE)</f>
        <v>Transformation</v>
      </c>
      <c r="F1588" t="str">
        <f t="shared" si="185"/>
        <v xml:space="preserve">10  - 57 </v>
      </c>
      <c r="G1588" s="238">
        <v>4701.2704240131998</v>
      </c>
      <c r="H1588" s="238">
        <v>0</v>
      </c>
      <c r="I1588" s="238">
        <v>4701.2704240131998</v>
      </c>
      <c r="J1588" s="238">
        <v>22.636719101635869</v>
      </c>
      <c r="K1588" s="238">
        <v>0</v>
      </c>
      <c r="L1588" s="238">
        <v>22.636719101635869</v>
      </c>
      <c r="M1588" s="238"/>
      <c r="N1588" s="238"/>
      <c r="O1588" s="238"/>
      <c r="P1588" s="238"/>
      <c r="Q1588" s="238"/>
      <c r="R1588" s="238"/>
      <c r="S1588" s="238"/>
      <c r="T1588" s="218">
        <f>VLOOKUP(A1588,'Groupe de branches'!$Z$27:$AM$86,14,FALSE)</f>
        <v>0</v>
      </c>
      <c r="U1588" s="218">
        <f>VLOOKUP(D1588,'Groupe de branches'!$Z$27:$AM$86,14,FALSE)</f>
        <v>0</v>
      </c>
      <c r="V1588" s="218">
        <v>2020</v>
      </c>
      <c r="W1588" s="218" t="str">
        <f>VLOOKUP(D1588,'Table corresp.'!$M$4:$S$63,7,FALSE)</f>
        <v>Construction</v>
      </c>
      <c r="X1588" s="240">
        <f>IFERROR(G1588/SUMIFS('Comp2016-2017 (3)'!$I$5:$I$289,'Comp2016-2017 (3)'!$A$5:$A$289,A1588,'Comp2016-2017 (3)'!$R$5:$R$289,V1588),0)</f>
        <v>5.1053789954794461E-2</v>
      </c>
      <c r="Y1588" s="219" t="e">
        <f>IF(RIGHT(F1588,3)="Exp",VLOOKUP(F1588,#REF!,2,FALSE),VLOOKUP(F1588,#REF!,9,FALSE))</f>
        <v>#REF!</v>
      </c>
      <c r="Z1588" s="226" t="str">
        <f t="shared" si="181"/>
        <v/>
      </c>
      <c r="AA1588" s="226" t="e">
        <f t="shared" si="183"/>
        <v>#VALUE!</v>
      </c>
      <c r="AB1588" s="205">
        <f>IFERROR(SUMIFS('Comp2016-2017 (3)'!$G$5:$G$289,'Comp2016-2017 (3)'!$A$5:$A$289,A1588,'Comp2016-2017 (3)'!$R$5:$R$289,V1588)*AA1588/SUMIFS($AA$4:$AA$1858,$A$4:$A$1858,A1588,$V$4:$V$1858,V1588),0)</f>
        <v>0</v>
      </c>
      <c r="AC1588" s="205" t="str">
        <f>IF($W1588=AC$3,$AB1588,IF(NOT($W1588=0),"",SUMIFS('Val-Vol (2)'!AC$4:AC$1858,'Val-Vol (2)'!$A$4:$A$1858,$D1588,'Val-Vol (2)'!$V$4:$V$1858,$V1588)/SUMIFS('Comp2016-2017 (3)'!$G$5:$G$289,'Comp2016-2017 (3)'!$A$5:$A$289,$D1588,'Comp2016-2017 (3)'!$R$5:$R$289,$V1588)*$AB1588))</f>
        <v/>
      </c>
      <c r="AD1588" s="205">
        <f>IF($W1588=AD$3,$AB1588,IF(NOT($W1588=0),"",SUMIFS('Val-Vol (2)'!AD$4:AD$1858,'Val-Vol (2)'!$A$4:$A$1858,$D1588,'Val-Vol (2)'!$V$4:$V$1858,$V1588)/SUMIFS('Comp2016-2017 (3)'!$G$5:$G$289,'Comp2016-2017 (3)'!$A$5:$A$289,$D1588,'Comp2016-2017 (3)'!$R$5:$R$289,$V1588)*$AB1588))</f>
        <v>0</v>
      </c>
      <c r="AE1588" s="205" t="str">
        <f>IF($W1588=AE$3,$AB1588,IF(NOT($W1588=0),"",SUMIFS('Val-Vol (2)'!AE$4:AE$1858,'Val-Vol (2)'!$A$4:$A$1858,$D1588,'Val-Vol (2)'!$V$4:$V$1858,$V1588)/SUMIFS('Comp2016-2017 (3)'!$G$5:$G$289,'Comp2016-2017 (3)'!$A$5:$A$289,$D1588,'Comp2016-2017 (3)'!$R$5:$R$289,$V1588)*$AB1588))</f>
        <v/>
      </c>
      <c r="AF1588" s="205" t="str">
        <f>IF($W1588=AF$3,$AB1588,IF(NOT($W1588=0),"",SUMIFS('Val-Vol (2)'!AF$4:AF$1858,'Val-Vol (2)'!$A$4:$A$1858,$D1588,'Val-Vol (2)'!$V$4:$V$1858,$V1588)/SUMIFS('Comp2016-2017 (3)'!$G$5:$G$289,'Comp2016-2017 (3)'!$A$5:$A$289,$D1588,'Comp2016-2017 (3)'!$R$5:$R$289,$V1588)*$AB1588))</f>
        <v/>
      </c>
      <c r="AG1588" s="205" t="str">
        <f>IF($W1588=AG$3,$AB1588,IF(NOT($W1588=0),"",SUMIFS('Val-Vol (2)'!AG$4:AG$1858,'Val-Vol (2)'!$A$4:$A$1858,$D1588,'Val-Vol (2)'!$V$4:$V$1858,$V1588)/SUMIFS('Comp2016-2017 (3)'!$G$5:$G$289,'Comp2016-2017 (3)'!$A$5:$A$289,$D1588,'Comp2016-2017 (3)'!$R$5:$R$289,$V1588)*$AB1588))</f>
        <v/>
      </c>
      <c r="AH1588" s="205" t="str">
        <f>IF($W1588=AH$3,$AB1588,IF(NOT($W1588=0),"",SUMIFS('Val-Vol (2)'!AH$4:AH$1858,'Val-Vol (2)'!$A$4:$A$1858,$D1588,'Val-Vol (2)'!$V$4:$V$1858,$V1588)/SUMIFS('Comp2016-2017 (3)'!$G$5:$G$289,'Comp2016-2017 (3)'!$A$5:$A$289,$D1588,'Comp2016-2017 (3)'!$R$5:$R$289,$V1588)*$AB1588))</f>
        <v/>
      </c>
      <c r="AI1588" s="205" t="str">
        <f>IF($W1588=AI$3,$AB1588,IF(NOT($W1588=0),"",SUMIFS('Val-Vol (2)'!AI$4:AI$1858,'Val-Vol (2)'!$A$4:$A$1858,$D1588,'Val-Vol (2)'!$V$4:$V$1858,$V1588)/SUMIFS('Comp2016-2017 (3)'!$G$5:$G$289,'Comp2016-2017 (3)'!$A$5:$A$289,$D1588,'Comp2016-2017 (3)'!$R$5:$R$289,$V1588)*$AB1588))</f>
        <v/>
      </c>
      <c r="AJ1588" s="205" t="str">
        <f>IF($W1588=AJ$3,$AB1588,IF(NOT($W1588=0),"",SUMIFS('Val-Vol (2)'!AJ$4:AJ$1858,'Val-Vol (2)'!$A$4:$A$1858,$D1588,'Val-Vol (2)'!$V$4:$V$1858,$V1588)/SUMIFS('Comp2016-2017 (3)'!$G$5:$G$289,'Comp2016-2017 (3)'!$A$5:$A$289,$D1588,'Comp2016-2017 (3)'!$R$5:$R$289,$V1588)*$AB1588))</f>
        <v/>
      </c>
      <c r="AK1588" s="205">
        <f t="shared" si="182"/>
        <v>0</v>
      </c>
      <c r="AL1588" s="218" t="str">
        <f t="shared" si="184"/>
        <v/>
      </c>
      <c r="AM1588" s="218" t="str">
        <f>VLOOKUP(A1588,'Table corresp.'!$M$4:$U$63,8,FALSE)</f>
        <v>Production intermédiaire</v>
      </c>
      <c r="AN1588" s="218" t="str">
        <f>VLOOKUP(D1588,'Table corresp.'!$M$4:$U$63,9,FALSE)</f>
        <v xml:space="preserve">Mise en œuvre </v>
      </c>
    </row>
    <row r="1589" spans="1:40" x14ac:dyDescent="0.25">
      <c r="A1589" t="s">
        <v>82</v>
      </c>
      <c r="B1589" t="str">
        <f>VLOOKUP(LEFT(A1589,3),'Table corresp.'!$A$4:$D$63,3,FALSE)</f>
        <v>Transformation</v>
      </c>
      <c r="C1589" t="str">
        <f>VLOOKUP(A1589,'Table corresp.'!$M$4:$P$63,4,FALSE)</f>
        <v>Production et transformation de produits bois</v>
      </c>
      <c r="D1589" t="s">
        <v>25</v>
      </c>
      <c r="E1589" t="str">
        <f>VLOOKUP(LEFT(D1589,3),'Table corresp.'!$A$4:$D$63,4,FALSE)</f>
        <v>Transformation</v>
      </c>
      <c r="F1589" t="str">
        <f t="shared" si="185"/>
        <v xml:space="preserve">10  - 58 </v>
      </c>
      <c r="G1589" s="238">
        <v>1063.1768996538101</v>
      </c>
      <c r="H1589" s="238">
        <v>0</v>
      </c>
      <c r="I1589" s="238">
        <v>1063.1768996538101</v>
      </c>
      <c r="J1589" s="238">
        <v>8.9586347218603883</v>
      </c>
      <c r="K1589" s="238">
        <v>0</v>
      </c>
      <c r="L1589" s="238">
        <v>8.9586347218603883</v>
      </c>
      <c r="M1589" s="238"/>
      <c r="N1589" s="238"/>
      <c r="O1589" s="238"/>
      <c r="P1589" s="238"/>
      <c r="Q1589" s="238"/>
      <c r="R1589" s="238"/>
      <c r="S1589" s="238"/>
      <c r="T1589" s="218">
        <f>VLOOKUP(A1589,'Groupe de branches'!$Z$27:$AM$86,14,FALSE)</f>
        <v>0</v>
      </c>
      <c r="U1589" s="218">
        <f>VLOOKUP(D1589,'Groupe de branches'!$Z$27:$AM$86,14,FALSE)</f>
        <v>0</v>
      </c>
      <c r="V1589" s="218">
        <v>2020</v>
      </c>
      <c r="W1589" s="218" t="str">
        <f>VLOOKUP(D1589,'Table corresp.'!$M$4:$S$63,7,FALSE)</f>
        <v>Construction</v>
      </c>
      <c r="X1589" s="240">
        <f>IFERROR(G1589/SUMIFS('Comp2016-2017 (3)'!$I$5:$I$289,'Comp2016-2017 (3)'!$A$5:$A$289,A1589,'Comp2016-2017 (3)'!$R$5:$R$289,V1589),0)</f>
        <v>1.1545647287692126E-2</v>
      </c>
      <c r="Y1589" s="219" t="e">
        <f>IF(RIGHT(F1589,3)="Exp",VLOOKUP(F1589,#REF!,2,FALSE),VLOOKUP(F1589,#REF!,9,FALSE))</f>
        <v>#REF!</v>
      </c>
      <c r="Z1589" s="226" t="str">
        <f t="shared" si="181"/>
        <v/>
      </c>
      <c r="AA1589" s="226" t="e">
        <f t="shared" si="183"/>
        <v>#VALUE!</v>
      </c>
      <c r="AB1589" s="205">
        <f>IFERROR(SUMIFS('Comp2016-2017 (3)'!$G$5:$G$289,'Comp2016-2017 (3)'!$A$5:$A$289,A1589,'Comp2016-2017 (3)'!$R$5:$R$289,V1589)*AA1589/SUMIFS($AA$4:$AA$1858,$A$4:$A$1858,A1589,$V$4:$V$1858,V1589),0)</f>
        <v>0</v>
      </c>
      <c r="AC1589" s="205" t="str">
        <f>IF($W1589=AC$3,$AB1589,IF(NOT($W1589=0),"",SUMIFS('Val-Vol (2)'!AC$4:AC$1858,'Val-Vol (2)'!$A$4:$A$1858,$D1589,'Val-Vol (2)'!$V$4:$V$1858,$V1589)/SUMIFS('Comp2016-2017 (3)'!$G$5:$G$289,'Comp2016-2017 (3)'!$A$5:$A$289,$D1589,'Comp2016-2017 (3)'!$R$5:$R$289,$V1589)*$AB1589))</f>
        <v/>
      </c>
      <c r="AD1589" s="205">
        <f>IF($W1589=AD$3,$AB1589,IF(NOT($W1589=0),"",SUMIFS('Val-Vol (2)'!AD$4:AD$1858,'Val-Vol (2)'!$A$4:$A$1858,$D1589,'Val-Vol (2)'!$V$4:$V$1858,$V1589)/SUMIFS('Comp2016-2017 (3)'!$G$5:$G$289,'Comp2016-2017 (3)'!$A$5:$A$289,$D1589,'Comp2016-2017 (3)'!$R$5:$R$289,$V1589)*$AB1589))</f>
        <v>0</v>
      </c>
      <c r="AE1589" s="205" t="str">
        <f>IF($W1589=AE$3,$AB1589,IF(NOT($W1589=0),"",SUMIFS('Val-Vol (2)'!AE$4:AE$1858,'Val-Vol (2)'!$A$4:$A$1858,$D1589,'Val-Vol (2)'!$V$4:$V$1858,$V1589)/SUMIFS('Comp2016-2017 (3)'!$G$5:$G$289,'Comp2016-2017 (3)'!$A$5:$A$289,$D1589,'Comp2016-2017 (3)'!$R$5:$R$289,$V1589)*$AB1589))</f>
        <v/>
      </c>
      <c r="AF1589" s="205" t="str">
        <f>IF($W1589=AF$3,$AB1589,IF(NOT($W1589=0),"",SUMIFS('Val-Vol (2)'!AF$4:AF$1858,'Val-Vol (2)'!$A$4:$A$1858,$D1589,'Val-Vol (2)'!$V$4:$V$1858,$V1589)/SUMIFS('Comp2016-2017 (3)'!$G$5:$G$289,'Comp2016-2017 (3)'!$A$5:$A$289,$D1589,'Comp2016-2017 (3)'!$R$5:$R$289,$V1589)*$AB1589))</f>
        <v/>
      </c>
      <c r="AG1589" s="205" t="str">
        <f>IF($W1589=AG$3,$AB1589,IF(NOT($W1589=0),"",SUMIFS('Val-Vol (2)'!AG$4:AG$1858,'Val-Vol (2)'!$A$4:$A$1858,$D1589,'Val-Vol (2)'!$V$4:$V$1858,$V1589)/SUMIFS('Comp2016-2017 (3)'!$G$5:$G$289,'Comp2016-2017 (3)'!$A$5:$A$289,$D1589,'Comp2016-2017 (3)'!$R$5:$R$289,$V1589)*$AB1589))</f>
        <v/>
      </c>
      <c r="AH1589" s="205" t="str">
        <f>IF($W1589=AH$3,$AB1589,IF(NOT($W1589=0),"",SUMIFS('Val-Vol (2)'!AH$4:AH$1858,'Val-Vol (2)'!$A$4:$A$1858,$D1589,'Val-Vol (2)'!$V$4:$V$1858,$V1589)/SUMIFS('Comp2016-2017 (3)'!$G$5:$G$289,'Comp2016-2017 (3)'!$A$5:$A$289,$D1589,'Comp2016-2017 (3)'!$R$5:$R$289,$V1589)*$AB1589))</f>
        <v/>
      </c>
      <c r="AI1589" s="205" t="str">
        <f>IF($W1589=AI$3,$AB1589,IF(NOT($W1589=0),"",SUMIFS('Val-Vol (2)'!AI$4:AI$1858,'Val-Vol (2)'!$A$4:$A$1858,$D1589,'Val-Vol (2)'!$V$4:$V$1858,$V1589)/SUMIFS('Comp2016-2017 (3)'!$G$5:$G$289,'Comp2016-2017 (3)'!$A$5:$A$289,$D1589,'Comp2016-2017 (3)'!$R$5:$R$289,$V1589)*$AB1589))</f>
        <v/>
      </c>
      <c r="AJ1589" s="205" t="str">
        <f>IF($W1589=AJ$3,$AB1589,IF(NOT($W1589=0),"",SUMIFS('Val-Vol (2)'!AJ$4:AJ$1858,'Val-Vol (2)'!$A$4:$A$1858,$D1589,'Val-Vol (2)'!$V$4:$V$1858,$V1589)/SUMIFS('Comp2016-2017 (3)'!$G$5:$G$289,'Comp2016-2017 (3)'!$A$5:$A$289,$D1589,'Comp2016-2017 (3)'!$R$5:$R$289,$V1589)*$AB1589))</f>
        <v/>
      </c>
      <c r="AK1589" s="205">
        <f t="shared" si="182"/>
        <v>0</v>
      </c>
      <c r="AL1589" s="218" t="str">
        <f t="shared" si="184"/>
        <v/>
      </c>
      <c r="AM1589" s="218" t="str">
        <f>VLOOKUP(A1589,'Table corresp.'!$M$4:$U$63,8,FALSE)</f>
        <v>Production intermédiaire</v>
      </c>
      <c r="AN1589" s="218" t="str">
        <f>VLOOKUP(D1589,'Table corresp.'!$M$4:$U$63,9,FALSE)</f>
        <v xml:space="preserve">Mise en œuvre </v>
      </c>
    </row>
    <row r="1590" spans="1:40" x14ac:dyDescent="0.25">
      <c r="A1590" t="s">
        <v>82</v>
      </c>
      <c r="B1590" t="str">
        <f>VLOOKUP(LEFT(A1590,3),'Table corresp.'!$A$4:$D$63,3,FALSE)</f>
        <v>Transformation</v>
      </c>
      <c r="C1590" t="str">
        <f>VLOOKUP(A1590,'Table corresp.'!$M$4:$P$63,4,FALSE)</f>
        <v>Production et transformation de produits bois</v>
      </c>
      <c r="D1590" t="s">
        <v>54</v>
      </c>
      <c r="E1590" t="str">
        <f>VLOOKUP(LEFT(D1590,3),'Table corresp.'!$A$4:$D$63,4,FALSE)</f>
        <v>Consommation finale</v>
      </c>
      <c r="F1590" t="str">
        <f t="shared" si="185"/>
        <v>10  - Con</v>
      </c>
      <c r="G1590" s="238">
        <v>1639.75209427305</v>
      </c>
      <c r="H1590" s="238">
        <v>0</v>
      </c>
      <c r="I1590" s="238">
        <v>1639.75209427305</v>
      </c>
      <c r="J1590" s="238">
        <v>11.205113582625026</v>
      </c>
      <c r="K1590" s="238">
        <v>0</v>
      </c>
      <c r="L1590" s="238">
        <v>11.205113582625026</v>
      </c>
      <c r="M1590" s="238"/>
      <c r="N1590" s="238"/>
      <c r="O1590" s="238"/>
      <c r="P1590" s="238"/>
      <c r="Q1590" s="238"/>
      <c r="R1590" s="238"/>
      <c r="S1590" s="238"/>
      <c r="T1590" s="218">
        <f>VLOOKUP(A1590,'Groupe de branches'!$Z$27:$AM$86,14,FALSE)</f>
        <v>0</v>
      </c>
      <c r="U1590" s="218">
        <f>VLOOKUP(D1590,'Groupe de branches'!$Z$27:$AM$86,14,FALSE)</f>
        <v>0</v>
      </c>
      <c r="V1590" s="218">
        <v>2020</v>
      </c>
      <c r="W1590" s="218" t="str">
        <f>VLOOKUP(D1590,'Table corresp.'!$M$4:$S$63,7,FALSE)</f>
        <v>Consommation finale</v>
      </c>
      <c r="X1590" s="240">
        <f>IFERROR(G1590/SUMIFS('Comp2016-2017 (3)'!$I$5:$I$289,'Comp2016-2017 (3)'!$A$5:$A$289,A1590,'Comp2016-2017 (3)'!$R$5:$R$289,V1590),0)</f>
        <v>1.7807007776312417E-2</v>
      </c>
      <c r="Y1590" s="219" t="e">
        <f>IF(RIGHT(F1590,3)="Exp",VLOOKUP(F1590,#REF!,2,FALSE),VLOOKUP(F1590,#REF!,9,FALSE))</f>
        <v>#REF!</v>
      </c>
      <c r="Z1590" s="226" t="str">
        <f t="shared" si="181"/>
        <v/>
      </c>
      <c r="AA1590" s="226" t="e">
        <f t="shared" si="183"/>
        <v>#VALUE!</v>
      </c>
      <c r="AB1590" s="205">
        <f>IFERROR(SUMIFS('Comp2016-2017 (3)'!$G$5:$G$289,'Comp2016-2017 (3)'!$A$5:$A$289,A1590,'Comp2016-2017 (3)'!$R$5:$R$289,V1590)*AA1590/SUMIFS($AA$4:$AA$1858,$A$4:$A$1858,A1590,$V$4:$V$1858,V1590),0)</f>
        <v>0</v>
      </c>
      <c r="AC1590" s="205" t="str">
        <f>IF($W1590=AC$3,$AB1590,IF(NOT($W1590=0),"",SUMIFS('Val-Vol (2)'!AC$4:AC$1858,'Val-Vol (2)'!$A$4:$A$1858,$D1590,'Val-Vol (2)'!$V$4:$V$1858,$V1590)/SUMIFS('Comp2016-2017 (3)'!$G$5:$G$289,'Comp2016-2017 (3)'!$A$5:$A$289,$D1590,'Comp2016-2017 (3)'!$R$5:$R$289,$V1590)*$AB1590))</f>
        <v/>
      </c>
      <c r="AD1590" s="205" t="str">
        <f>IF($W1590=AD$3,$AB1590,IF(NOT($W1590=0),"",SUMIFS('Val-Vol (2)'!AD$4:AD$1858,'Val-Vol (2)'!$A$4:$A$1858,$D1590,'Val-Vol (2)'!$V$4:$V$1858,$V1590)/SUMIFS('Comp2016-2017 (3)'!$G$5:$G$289,'Comp2016-2017 (3)'!$A$5:$A$289,$D1590,'Comp2016-2017 (3)'!$R$5:$R$289,$V1590)*$AB1590))</f>
        <v/>
      </c>
      <c r="AE1590" s="205" t="str">
        <f>IF($W1590=AE$3,$AB1590,IF(NOT($W1590=0),"",SUMIFS('Val-Vol (2)'!AE$4:AE$1858,'Val-Vol (2)'!$A$4:$A$1858,$D1590,'Val-Vol (2)'!$V$4:$V$1858,$V1590)/SUMIFS('Comp2016-2017 (3)'!$G$5:$G$289,'Comp2016-2017 (3)'!$A$5:$A$289,$D1590,'Comp2016-2017 (3)'!$R$5:$R$289,$V1590)*$AB1590))</f>
        <v/>
      </c>
      <c r="AF1590" s="205" t="str">
        <f>IF($W1590=AF$3,$AB1590,IF(NOT($W1590=0),"",SUMIFS('Val-Vol (2)'!AF$4:AF$1858,'Val-Vol (2)'!$A$4:$A$1858,$D1590,'Val-Vol (2)'!$V$4:$V$1858,$V1590)/SUMIFS('Comp2016-2017 (3)'!$G$5:$G$289,'Comp2016-2017 (3)'!$A$5:$A$289,$D1590,'Comp2016-2017 (3)'!$R$5:$R$289,$V1590)*$AB1590))</f>
        <v/>
      </c>
      <c r="AG1590" s="205" t="str">
        <f>IF($W1590=AG$3,$AB1590,IF(NOT($W1590=0),"",SUMIFS('Val-Vol (2)'!AG$4:AG$1858,'Val-Vol (2)'!$A$4:$A$1858,$D1590,'Val-Vol (2)'!$V$4:$V$1858,$V1590)/SUMIFS('Comp2016-2017 (3)'!$G$5:$G$289,'Comp2016-2017 (3)'!$A$5:$A$289,$D1590,'Comp2016-2017 (3)'!$R$5:$R$289,$V1590)*$AB1590))</f>
        <v/>
      </c>
      <c r="AH1590" s="205" t="str">
        <f>IF($W1590=AH$3,$AB1590,IF(NOT($W1590=0),"",SUMIFS('Val-Vol (2)'!AH$4:AH$1858,'Val-Vol (2)'!$A$4:$A$1858,$D1590,'Val-Vol (2)'!$V$4:$V$1858,$V1590)/SUMIFS('Comp2016-2017 (3)'!$G$5:$G$289,'Comp2016-2017 (3)'!$A$5:$A$289,$D1590,'Comp2016-2017 (3)'!$R$5:$R$289,$V1590)*$AB1590))</f>
        <v/>
      </c>
      <c r="AI1590" s="205" t="str">
        <f>IF($W1590=AI$3,$AB1590,IF(NOT($W1590=0),"",SUMIFS('Val-Vol (2)'!AI$4:AI$1858,'Val-Vol (2)'!$A$4:$A$1858,$D1590,'Val-Vol (2)'!$V$4:$V$1858,$V1590)/SUMIFS('Comp2016-2017 (3)'!$G$5:$G$289,'Comp2016-2017 (3)'!$A$5:$A$289,$D1590,'Comp2016-2017 (3)'!$R$5:$R$289,$V1590)*$AB1590))</f>
        <v/>
      </c>
      <c r="AJ1590" s="205">
        <f>IF($W1590=AJ$3,$AB1590,IF(NOT($W1590=0),"",SUMIFS('Val-Vol (2)'!AJ$4:AJ$1858,'Val-Vol (2)'!$A$4:$A$1858,$D1590,'Val-Vol (2)'!$V$4:$V$1858,$V1590)/SUMIFS('Comp2016-2017 (3)'!$G$5:$G$289,'Comp2016-2017 (3)'!$A$5:$A$289,$D1590,'Comp2016-2017 (3)'!$R$5:$R$289,$V1590)*$AB1590))</f>
        <v>0</v>
      </c>
      <c r="AK1590" s="205">
        <f t="shared" si="182"/>
        <v>0</v>
      </c>
      <c r="AL1590" s="218" t="str">
        <f t="shared" si="184"/>
        <v/>
      </c>
      <c r="AM1590" s="218" t="str">
        <f>VLOOKUP(A1590,'Table corresp.'!$M$4:$U$63,8,FALSE)</f>
        <v>Production intermédiaire</v>
      </c>
      <c r="AN1590" s="218" t="str">
        <f>VLOOKUP(D1590,'Table corresp.'!$M$4:$U$63,9,FALSE)</f>
        <v>Consommation finale française</v>
      </c>
    </row>
    <row r="1591" spans="1:40" x14ac:dyDescent="0.25">
      <c r="A1591" t="s">
        <v>82</v>
      </c>
      <c r="B1591" t="str">
        <f>VLOOKUP(LEFT(A1591,3),'Table corresp.'!$A$4:$D$63,3,FALSE)</f>
        <v>Transformation</v>
      </c>
      <c r="C1591" t="str">
        <f>VLOOKUP(A1591,'Table corresp.'!$M$4:$P$63,4,FALSE)</f>
        <v>Production et transformation de produits bois</v>
      </c>
      <c r="D1591" t="s">
        <v>53</v>
      </c>
      <c r="E1591" t="str">
        <f>VLOOKUP(LEFT(D1591,3),'Table corresp.'!$A$4:$D$63,4,FALSE)</f>
        <v>Exportation</v>
      </c>
      <c r="F1591" t="str">
        <f t="shared" si="185"/>
        <v>10  - Exp</v>
      </c>
      <c r="G1591" s="238">
        <v>14047.95825</v>
      </c>
      <c r="H1591" s="238">
        <v>0</v>
      </c>
      <c r="I1591" s="238">
        <v>14047.95825</v>
      </c>
      <c r="J1591" s="238">
        <v>48.807669126066216</v>
      </c>
      <c r="K1591" s="238">
        <v>0</v>
      </c>
      <c r="L1591" s="238">
        <v>48.807669126066216</v>
      </c>
      <c r="M1591" s="238"/>
      <c r="N1591" s="238"/>
      <c r="O1591" s="238"/>
      <c r="P1591" s="238"/>
      <c r="Q1591" s="238"/>
      <c r="R1591" s="238"/>
      <c r="S1591" s="238"/>
      <c r="T1591" s="218">
        <f>VLOOKUP(A1591,'Groupe de branches'!$Z$27:$AM$86,14,FALSE)</f>
        <v>0</v>
      </c>
      <c r="U1591" s="218">
        <f>VLOOKUP(D1591,'Groupe de branches'!$Z$27:$AM$86,14,FALSE)</f>
        <v>0</v>
      </c>
      <c r="V1591" s="218">
        <v>2020</v>
      </c>
      <c r="W1591" s="218" t="str">
        <f>VLOOKUP(D1591,'Table corresp.'!$M$4:$S$63,7,FALSE)</f>
        <v>Exportation</v>
      </c>
      <c r="X1591" s="240">
        <f>IFERROR(G1591/SUMIFS('Comp2016-2017 (3)'!$I$5:$I$289,'Comp2016-2017 (3)'!$A$5:$A$289,A1591,'Comp2016-2017 (3)'!$R$5:$R$289,V1591),0)</f>
        <v>0.15255482988723482</v>
      </c>
      <c r="Y1591" s="219" t="e">
        <f>IF(RIGHT(F1591,3)="Exp",VLOOKUP(F1591,#REF!,2,FALSE),VLOOKUP(F1591,#REF!,9,FALSE))</f>
        <v>#REF!</v>
      </c>
      <c r="Z1591" s="226" t="str">
        <f t="shared" si="181"/>
        <v/>
      </c>
      <c r="AA1591" s="226" t="e">
        <f t="shared" si="183"/>
        <v>#VALUE!</v>
      </c>
      <c r="AB1591" s="205">
        <f>IFERROR(SUMIFS('Comp2016-2017 (3)'!$G$5:$G$289,'Comp2016-2017 (3)'!$A$5:$A$289,A1591,'Comp2016-2017 (3)'!$R$5:$R$289,V1591)*AA1591/SUMIFS($AA$4:$AA$1858,$A$4:$A$1858,A1591,$V$4:$V$1858,V1591),0)</f>
        <v>0</v>
      </c>
      <c r="AC1591" s="205">
        <f>IF($W1591=AC$3,$AB1591,IF(NOT($W1591=0),"",SUMIFS('Val-Vol (2)'!AC$4:AC$1858,'Val-Vol (2)'!$A$4:$A$1858,$D1591,'Val-Vol (2)'!$V$4:$V$1858,$V1591)/SUMIFS('Comp2016-2017 (3)'!$G$5:$G$289,'Comp2016-2017 (3)'!$A$5:$A$289,$D1591,'Comp2016-2017 (3)'!$R$5:$R$289,$V1591)*$AB1591))</f>
        <v>0</v>
      </c>
      <c r="AD1591" s="205" t="str">
        <f>IF($W1591=AD$3,$AB1591,IF(NOT($W1591=0),"",SUMIFS('Val-Vol (2)'!AD$4:AD$1858,'Val-Vol (2)'!$A$4:$A$1858,$D1591,'Val-Vol (2)'!$V$4:$V$1858,$V1591)/SUMIFS('Comp2016-2017 (3)'!$G$5:$G$289,'Comp2016-2017 (3)'!$A$5:$A$289,$D1591,'Comp2016-2017 (3)'!$R$5:$R$289,$V1591)*$AB1591))</f>
        <v/>
      </c>
      <c r="AE1591" s="205" t="str">
        <f>IF($W1591=AE$3,$AB1591,IF(NOT($W1591=0),"",SUMIFS('Val-Vol (2)'!AE$4:AE$1858,'Val-Vol (2)'!$A$4:$A$1858,$D1591,'Val-Vol (2)'!$V$4:$V$1858,$V1591)/SUMIFS('Comp2016-2017 (3)'!$G$5:$G$289,'Comp2016-2017 (3)'!$A$5:$A$289,$D1591,'Comp2016-2017 (3)'!$R$5:$R$289,$V1591)*$AB1591))</f>
        <v/>
      </c>
      <c r="AF1591" s="205" t="str">
        <f>IF($W1591=AF$3,$AB1591,IF(NOT($W1591=0),"",SUMIFS('Val-Vol (2)'!AF$4:AF$1858,'Val-Vol (2)'!$A$4:$A$1858,$D1591,'Val-Vol (2)'!$V$4:$V$1858,$V1591)/SUMIFS('Comp2016-2017 (3)'!$G$5:$G$289,'Comp2016-2017 (3)'!$A$5:$A$289,$D1591,'Comp2016-2017 (3)'!$R$5:$R$289,$V1591)*$AB1591))</f>
        <v/>
      </c>
      <c r="AG1591" s="205" t="str">
        <f>IF($W1591=AG$3,$AB1591,IF(NOT($W1591=0),"",SUMIFS('Val-Vol (2)'!AG$4:AG$1858,'Val-Vol (2)'!$A$4:$A$1858,$D1591,'Val-Vol (2)'!$V$4:$V$1858,$V1591)/SUMIFS('Comp2016-2017 (3)'!$G$5:$G$289,'Comp2016-2017 (3)'!$A$5:$A$289,$D1591,'Comp2016-2017 (3)'!$R$5:$R$289,$V1591)*$AB1591))</f>
        <v/>
      </c>
      <c r="AH1591" s="205" t="str">
        <f>IF($W1591=AH$3,$AB1591,IF(NOT($W1591=0),"",SUMIFS('Val-Vol (2)'!AH$4:AH$1858,'Val-Vol (2)'!$A$4:$A$1858,$D1591,'Val-Vol (2)'!$V$4:$V$1858,$V1591)/SUMIFS('Comp2016-2017 (3)'!$G$5:$G$289,'Comp2016-2017 (3)'!$A$5:$A$289,$D1591,'Comp2016-2017 (3)'!$R$5:$R$289,$V1591)*$AB1591))</f>
        <v/>
      </c>
      <c r="AI1591" s="205" t="str">
        <f>IF($W1591=AI$3,$AB1591,IF(NOT($W1591=0),"",SUMIFS('Val-Vol (2)'!AI$4:AI$1858,'Val-Vol (2)'!$A$4:$A$1858,$D1591,'Val-Vol (2)'!$V$4:$V$1858,$V1591)/SUMIFS('Comp2016-2017 (3)'!$G$5:$G$289,'Comp2016-2017 (3)'!$A$5:$A$289,$D1591,'Comp2016-2017 (3)'!$R$5:$R$289,$V1591)*$AB1591))</f>
        <v/>
      </c>
      <c r="AJ1591" s="205" t="str">
        <f>IF($W1591=AJ$3,$AB1591,IF(NOT($W1591=0),"",SUMIFS('Val-Vol (2)'!AJ$4:AJ$1858,'Val-Vol (2)'!$A$4:$A$1858,$D1591,'Val-Vol (2)'!$V$4:$V$1858,$V1591)/SUMIFS('Comp2016-2017 (3)'!$G$5:$G$289,'Comp2016-2017 (3)'!$A$5:$A$289,$D1591,'Comp2016-2017 (3)'!$R$5:$R$289,$V1591)*$AB1591))</f>
        <v/>
      </c>
      <c r="AK1591" s="205">
        <f t="shared" si="182"/>
        <v>0</v>
      </c>
      <c r="AL1591" s="218" t="str">
        <f t="shared" si="184"/>
        <v/>
      </c>
      <c r="AM1591" s="218" t="str">
        <f>VLOOKUP(A1591,'Table corresp.'!$M$4:$U$63,8,FALSE)</f>
        <v>Production intermédiaire</v>
      </c>
      <c r="AN1591" s="218" t="str">
        <f>VLOOKUP(D1591,'Table corresp.'!$M$4:$U$63,9,FALSE)</f>
        <v>Exportation</v>
      </c>
    </row>
    <row r="1592" spans="1:40" x14ac:dyDescent="0.25">
      <c r="A1592" t="s">
        <v>6</v>
      </c>
      <c r="B1592" t="str">
        <f>VLOOKUP(LEFT(A1592,3),'Table corresp.'!$A$4:$D$63,3,FALSE)</f>
        <v>Transformation</v>
      </c>
      <c r="C1592" t="str">
        <f>VLOOKUP(A1592,'Table corresp.'!$M$4:$P$63,4,FALSE)</f>
        <v>Production et transformation de produits bois</v>
      </c>
      <c r="D1592" t="s">
        <v>13</v>
      </c>
      <c r="E1592" t="str">
        <f>VLOOKUP(LEFT(D1592,3),'Table corresp.'!$A$4:$D$63,4,FALSE)</f>
        <v>Transformation</v>
      </c>
      <c r="F1592" t="str">
        <f t="shared" si="185"/>
        <v xml:space="preserve">11  - 20 </v>
      </c>
      <c r="G1592" s="238">
        <v>40.007379477036501</v>
      </c>
      <c r="H1592" s="238">
        <v>1871.6991582281501</v>
      </c>
      <c r="I1592" s="238">
        <v>1911.70653747904</v>
      </c>
      <c r="J1592" s="238">
        <v>3.0852263820850725E-2</v>
      </c>
      <c r="K1592" s="238">
        <v>1.5176435802747392</v>
      </c>
      <c r="L1592" s="238">
        <v>1.54849584409559</v>
      </c>
      <c r="M1592" s="238"/>
      <c r="N1592" s="238"/>
      <c r="O1592" s="238"/>
      <c r="P1592" s="238"/>
      <c r="Q1592" s="238"/>
      <c r="R1592" s="238"/>
      <c r="S1592" s="238"/>
      <c r="T1592" s="218">
        <f>VLOOKUP(A1592,'Groupe de branches'!$Z$27:$AM$86,14,FALSE)</f>
        <v>0</v>
      </c>
      <c r="U1592" s="218">
        <f>VLOOKUP(D1592,'Groupe de branches'!$Z$27:$AM$86,14,FALSE)</f>
        <v>0</v>
      </c>
      <c r="V1592" s="218">
        <v>2020</v>
      </c>
      <c r="W1592" s="218">
        <f>VLOOKUP(D1592,'Table corresp.'!$M$4:$S$63,7,FALSE)</f>
        <v>0</v>
      </c>
      <c r="X1592" s="240">
        <f>IFERROR(G1592/SUMIFS('Comp2016-2017 (3)'!$I$5:$I$289,'Comp2016-2017 (3)'!$A$5:$A$289,A1592,'Comp2016-2017 (3)'!$R$5:$R$289,V1592),0)</f>
        <v>3.5813606191958196E-3</v>
      </c>
      <c r="Y1592" s="219" t="e">
        <f>IF(RIGHT(F1592,3)="Exp",VLOOKUP(F1592,#REF!,2,FALSE),VLOOKUP(F1592,#REF!,9,FALSE))</f>
        <v>#REF!</v>
      </c>
      <c r="Z1592" s="226" t="str">
        <f t="shared" si="181"/>
        <v/>
      </c>
      <c r="AA1592" s="226" t="e">
        <f t="shared" si="183"/>
        <v>#VALUE!</v>
      </c>
      <c r="AB1592" s="205">
        <f>IFERROR(SUMIFS('Comp2016-2017 (3)'!$G$5:$G$289,'Comp2016-2017 (3)'!$A$5:$A$289,A1592,'Comp2016-2017 (3)'!$R$5:$R$289,V1592)*AA1592/SUMIFS($AA$4:$AA$1858,$A$4:$A$1858,A1592,$V$4:$V$1858,V1592),0)</f>
        <v>0</v>
      </c>
      <c r="AC1592" s="205">
        <f>IF($W1592=AC$3,$AB1592,IF(NOT($W1592=0),"",SUMIFS('Val-Vol (2)'!AC$4:AC$1858,'Val-Vol (2)'!$A$4:$A$1858,$D1592,'Val-Vol (2)'!$V$4:$V$1858,$V1592)/SUMIFS('Comp2016-2017 (3)'!$G$5:$G$289,'Comp2016-2017 (3)'!$A$5:$A$289,$D1592,'Comp2016-2017 (3)'!$R$5:$R$289,$V1592)*$AB1592))</f>
        <v>0</v>
      </c>
      <c r="AD1592" s="205">
        <f>IF($W1592=AD$3,$AB1592,IF(NOT($W1592=0),"",SUMIFS('Val-Vol (2)'!AD$4:AD$1858,'Val-Vol (2)'!$A$4:$A$1858,$D1592,'Val-Vol (2)'!$V$4:$V$1858,$V1592)/SUMIFS('Comp2016-2017 (3)'!$G$5:$G$289,'Comp2016-2017 (3)'!$A$5:$A$289,$D1592,'Comp2016-2017 (3)'!$R$5:$R$289,$V1592)*$AB1592))</f>
        <v>0</v>
      </c>
      <c r="AE1592" s="205">
        <f>IF($W1592=AE$3,$AB1592,IF(NOT($W1592=0),"",SUMIFS('Val-Vol (2)'!AE$4:AE$1858,'Val-Vol (2)'!$A$4:$A$1858,$D1592,'Val-Vol (2)'!$V$4:$V$1858,$V1592)/SUMIFS('Comp2016-2017 (3)'!$G$5:$G$289,'Comp2016-2017 (3)'!$A$5:$A$289,$D1592,'Comp2016-2017 (3)'!$R$5:$R$289,$V1592)*$AB1592))</f>
        <v>0</v>
      </c>
      <c r="AF1592" s="205">
        <f>IF($W1592=AF$3,$AB1592,IF(NOT($W1592=0),"",SUMIFS('Val-Vol (2)'!AF$4:AF$1858,'Val-Vol (2)'!$A$4:$A$1858,$D1592,'Val-Vol (2)'!$V$4:$V$1858,$V1592)/SUMIFS('Comp2016-2017 (3)'!$G$5:$G$289,'Comp2016-2017 (3)'!$A$5:$A$289,$D1592,'Comp2016-2017 (3)'!$R$5:$R$289,$V1592)*$AB1592))</f>
        <v>0</v>
      </c>
      <c r="AG1592" s="205">
        <f>IF($W1592=AG$3,$AB1592,IF(NOT($W1592=0),"",SUMIFS('Val-Vol (2)'!AG$4:AG$1858,'Val-Vol (2)'!$A$4:$A$1858,$D1592,'Val-Vol (2)'!$V$4:$V$1858,$V1592)/SUMIFS('Comp2016-2017 (3)'!$G$5:$G$289,'Comp2016-2017 (3)'!$A$5:$A$289,$D1592,'Comp2016-2017 (3)'!$R$5:$R$289,$V1592)*$AB1592))</f>
        <v>0</v>
      </c>
      <c r="AH1592" s="205">
        <f>IF($W1592=AH$3,$AB1592,IF(NOT($W1592=0),"",SUMIFS('Val-Vol (2)'!AH$4:AH$1858,'Val-Vol (2)'!$A$4:$A$1858,$D1592,'Val-Vol (2)'!$V$4:$V$1858,$V1592)/SUMIFS('Comp2016-2017 (3)'!$G$5:$G$289,'Comp2016-2017 (3)'!$A$5:$A$289,$D1592,'Comp2016-2017 (3)'!$R$5:$R$289,$V1592)*$AB1592))</f>
        <v>0</v>
      </c>
      <c r="AI1592" s="205">
        <f>IF($W1592=AI$3,$AB1592,IF(NOT($W1592=0),"",SUMIFS('Val-Vol (2)'!AI$4:AI$1858,'Val-Vol (2)'!$A$4:$A$1858,$D1592,'Val-Vol (2)'!$V$4:$V$1858,$V1592)/SUMIFS('Comp2016-2017 (3)'!$G$5:$G$289,'Comp2016-2017 (3)'!$A$5:$A$289,$D1592,'Comp2016-2017 (3)'!$R$5:$R$289,$V1592)*$AB1592))</f>
        <v>0</v>
      </c>
      <c r="AJ1592" s="205">
        <f>IF($W1592=AJ$3,$AB1592,IF(NOT($W1592=0),"",SUMIFS('Val-Vol (2)'!AJ$4:AJ$1858,'Val-Vol (2)'!$A$4:$A$1858,$D1592,'Val-Vol (2)'!$V$4:$V$1858,$V1592)/SUMIFS('Comp2016-2017 (3)'!$G$5:$G$289,'Comp2016-2017 (3)'!$A$5:$A$289,$D1592,'Comp2016-2017 (3)'!$R$5:$R$289,$V1592)*$AB1592))</f>
        <v>0</v>
      </c>
      <c r="AK1592" s="205">
        <f t="shared" si="182"/>
        <v>0</v>
      </c>
      <c r="AL1592" s="218" t="str">
        <f t="shared" si="184"/>
        <v/>
      </c>
      <c r="AM1592" s="218" t="str">
        <f>VLOOKUP(A1592,'Table corresp.'!$M$4:$U$63,8,FALSE)</f>
        <v>Production intermédiaire</v>
      </c>
      <c r="AN1592" s="218" t="str">
        <f>VLOOKUP(D1592,'Table corresp.'!$M$4:$U$63,9,FALSE)</f>
        <v>Production intermédiaire</v>
      </c>
    </row>
    <row r="1593" spans="1:40" x14ac:dyDescent="0.25">
      <c r="A1593" t="s">
        <v>6</v>
      </c>
      <c r="B1593" t="str">
        <f>VLOOKUP(LEFT(A1593,3),'Table corresp.'!$A$4:$D$63,3,FALSE)</f>
        <v>Transformation</v>
      </c>
      <c r="C1593" t="str">
        <f>VLOOKUP(A1593,'Table corresp.'!$M$4:$P$63,4,FALSE)</f>
        <v>Production et transformation de produits bois</v>
      </c>
      <c r="D1593" t="s">
        <v>89</v>
      </c>
      <c r="E1593" t="str">
        <f>VLOOKUP(LEFT(D1593,3),'Table corresp.'!$A$4:$D$63,4,FALSE)</f>
        <v>Transformation</v>
      </c>
      <c r="F1593" t="str">
        <f t="shared" si="185"/>
        <v xml:space="preserve">11  - 33 </v>
      </c>
      <c r="G1593" s="238">
        <v>48.314847514241102</v>
      </c>
      <c r="H1593" s="238">
        <v>3527.3224466199999</v>
      </c>
      <c r="I1593" s="238">
        <v>3575.6372936851799</v>
      </c>
      <c r="J1593" s="238">
        <v>3.7258686808745632E-2</v>
      </c>
      <c r="K1593" s="238">
        <v>2.8600847754504897</v>
      </c>
      <c r="L1593" s="238">
        <v>2.8973434622592351</v>
      </c>
      <c r="M1593" s="238"/>
      <c r="N1593" s="238"/>
      <c r="O1593" s="238"/>
      <c r="P1593" s="238"/>
      <c r="Q1593" s="238"/>
      <c r="R1593" s="238"/>
      <c r="S1593" s="238"/>
      <c r="T1593" s="218">
        <f>VLOOKUP(A1593,'Groupe de branches'!$Z$27:$AM$86,14,FALSE)</f>
        <v>0</v>
      </c>
      <c r="U1593" s="218">
        <f>VLOOKUP(D1593,'Groupe de branches'!$Z$27:$AM$86,14,FALSE)</f>
        <v>0</v>
      </c>
      <c r="V1593" s="218">
        <v>2020</v>
      </c>
      <c r="W1593" s="218" t="str">
        <f>VLOOKUP(D1593,'Table corresp.'!$M$4:$S$63,7,FALSE)</f>
        <v>Construction</v>
      </c>
      <c r="X1593" s="240">
        <f>IFERROR(G1593/SUMIFS('Comp2016-2017 (3)'!$I$5:$I$289,'Comp2016-2017 (3)'!$A$5:$A$289,A1593,'Comp2016-2017 (3)'!$R$5:$R$289,V1593),0)</f>
        <v>4.3250243947937604E-3</v>
      </c>
      <c r="Y1593" s="219" t="e">
        <f>IF(RIGHT(F1593,3)="Exp",VLOOKUP(F1593,#REF!,2,FALSE),VLOOKUP(F1593,#REF!,9,FALSE))</f>
        <v>#REF!</v>
      </c>
      <c r="Z1593" s="226" t="str">
        <f t="shared" si="181"/>
        <v/>
      </c>
      <c r="AA1593" s="226" t="e">
        <f t="shared" si="183"/>
        <v>#VALUE!</v>
      </c>
      <c r="AB1593" s="205">
        <f>IFERROR(SUMIFS('Comp2016-2017 (3)'!$G$5:$G$289,'Comp2016-2017 (3)'!$A$5:$A$289,A1593,'Comp2016-2017 (3)'!$R$5:$R$289,V1593)*AA1593/SUMIFS($AA$4:$AA$1858,$A$4:$A$1858,A1593,$V$4:$V$1858,V1593),0)</f>
        <v>0</v>
      </c>
      <c r="AC1593" s="205" t="str">
        <f>IF($W1593=AC$3,$AB1593,IF(NOT($W1593=0),"",SUMIFS('Val-Vol (2)'!AC$4:AC$1858,'Val-Vol (2)'!$A$4:$A$1858,$D1593,'Val-Vol (2)'!$V$4:$V$1858,$V1593)/SUMIFS('Comp2016-2017 (3)'!$G$5:$G$289,'Comp2016-2017 (3)'!$A$5:$A$289,$D1593,'Comp2016-2017 (3)'!$R$5:$R$289,$V1593)*$AB1593))</f>
        <v/>
      </c>
      <c r="AD1593" s="205">
        <f>IF($W1593=AD$3,$AB1593,IF(NOT($W1593=0),"",SUMIFS('Val-Vol (2)'!AD$4:AD$1858,'Val-Vol (2)'!$A$4:$A$1858,$D1593,'Val-Vol (2)'!$V$4:$V$1858,$V1593)/SUMIFS('Comp2016-2017 (3)'!$G$5:$G$289,'Comp2016-2017 (3)'!$A$5:$A$289,$D1593,'Comp2016-2017 (3)'!$R$5:$R$289,$V1593)*$AB1593))</f>
        <v>0</v>
      </c>
      <c r="AE1593" s="205" t="str">
        <f>IF($W1593=AE$3,$AB1593,IF(NOT($W1593=0),"",SUMIFS('Val-Vol (2)'!AE$4:AE$1858,'Val-Vol (2)'!$A$4:$A$1858,$D1593,'Val-Vol (2)'!$V$4:$V$1858,$V1593)/SUMIFS('Comp2016-2017 (3)'!$G$5:$G$289,'Comp2016-2017 (3)'!$A$5:$A$289,$D1593,'Comp2016-2017 (3)'!$R$5:$R$289,$V1593)*$AB1593))</f>
        <v/>
      </c>
      <c r="AF1593" s="205" t="str">
        <f>IF($W1593=AF$3,$AB1593,IF(NOT($W1593=0),"",SUMIFS('Val-Vol (2)'!AF$4:AF$1858,'Val-Vol (2)'!$A$4:$A$1858,$D1593,'Val-Vol (2)'!$V$4:$V$1858,$V1593)/SUMIFS('Comp2016-2017 (3)'!$G$5:$G$289,'Comp2016-2017 (3)'!$A$5:$A$289,$D1593,'Comp2016-2017 (3)'!$R$5:$R$289,$V1593)*$AB1593))</f>
        <v/>
      </c>
      <c r="AG1593" s="205" t="str">
        <f>IF($W1593=AG$3,$AB1593,IF(NOT($W1593=0),"",SUMIFS('Val-Vol (2)'!AG$4:AG$1858,'Val-Vol (2)'!$A$4:$A$1858,$D1593,'Val-Vol (2)'!$V$4:$V$1858,$V1593)/SUMIFS('Comp2016-2017 (3)'!$G$5:$G$289,'Comp2016-2017 (3)'!$A$5:$A$289,$D1593,'Comp2016-2017 (3)'!$R$5:$R$289,$V1593)*$AB1593))</f>
        <v/>
      </c>
      <c r="AH1593" s="205" t="str">
        <f>IF($W1593=AH$3,$AB1593,IF(NOT($W1593=0),"",SUMIFS('Val-Vol (2)'!AH$4:AH$1858,'Val-Vol (2)'!$A$4:$A$1858,$D1593,'Val-Vol (2)'!$V$4:$V$1858,$V1593)/SUMIFS('Comp2016-2017 (3)'!$G$5:$G$289,'Comp2016-2017 (3)'!$A$5:$A$289,$D1593,'Comp2016-2017 (3)'!$R$5:$R$289,$V1593)*$AB1593))</f>
        <v/>
      </c>
      <c r="AI1593" s="205" t="str">
        <f>IF($W1593=AI$3,$AB1593,IF(NOT($W1593=0),"",SUMIFS('Val-Vol (2)'!AI$4:AI$1858,'Val-Vol (2)'!$A$4:$A$1858,$D1593,'Val-Vol (2)'!$V$4:$V$1858,$V1593)/SUMIFS('Comp2016-2017 (3)'!$G$5:$G$289,'Comp2016-2017 (3)'!$A$5:$A$289,$D1593,'Comp2016-2017 (3)'!$R$5:$R$289,$V1593)*$AB1593))</f>
        <v/>
      </c>
      <c r="AJ1593" s="205" t="str">
        <f>IF($W1593=AJ$3,$AB1593,IF(NOT($W1593=0),"",SUMIFS('Val-Vol (2)'!AJ$4:AJ$1858,'Val-Vol (2)'!$A$4:$A$1858,$D1593,'Val-Vol (2)'!$V$4:$V$1858,$V1593)/SUMIFS('Comp2016-2017 (3)'!$G$5:$G$289,'Comp2016-2017 (3)'!$A$5:$A$289,$D1593,'Comp2016-2017 (3)'!$R$5:$R$289,$V1593)*$AB1593))</f>
        <v/>
      </c>
      <c r="AK1593" s="205">
        <f t="shared" si="182"/>
        <v>0</v>
      </c>
      <c r="AL1593" s="218" t="str">
        <f t="shared" si="184"/>
        <v/>
      </c>
      <c r="AM1593" s="218" t="str">
        <f>VLOOKUP(A1593,'Table corresp.'!$M$4:$U$63,8,FALSE)</f>
        <v>Production intermédiaire</v>
      </c>
      <c r="AN1593" s="218" t="str">
        <f>VLOOKUP(D1593,'Table corresp.'!$M$4:$U$63,9,FALSE)</f>
        <v>Production finale</v>
      </c>
    </row>
    <row r="1594" spans="1:40" x14ac:dyDescent="0.25">
      <c r="A1594" t="s">
        <v>6</v>
      </c>
      <c r="B1594" t="str">
        <f>VLOOKUP(LEFT(A1594,3),'Table corresp.'!$A$4:$D$63,3,FALSE)</f>
        <v>Transformation</v>
      </c>
      <c r="C1594" t="str">
        <f>VLOOKUP(A1594,'Table corresp.'!$M$4:$P$63,4,FALSE)</f>
        <v>Production et transformation de produits bois</v>
      </c>
      <c r="D1594" t="s">
        <v>15</v>
      </c>
      <c r="E1594" t="str">
        <f>VLOOKUP(LEFT(D1594,3),'Table corresp.'!$A$4:$D$63,4,FALSE)</f>
        <v>Transformation</v>
      </c>
      <c r="F1594" t="str">
        <f t="shared" si="185"/>
        <v xml:space="preserve">11  - 35 </v>
      </c>
      <c r="G1594" s="238">
        <v>272.963499630294</v>
      </c>
      <c r="H1594" s="238">
        <v>25865.049429191698</v>
      </c>
      <c r="I1594" s="238">
        <v>26138.0129254604</v>
      </c>
      <c r="J1594" s="238">
        <v>0.21049971315642732</v>
      </c>
      <c r="K1594" s="238">
        <v>20.972348065199455</v>
      </c>
      <c r="L1594" s="238">
        <v>21.182847778355882</v>
      </c>
      <c r="M1594" s="238"/>
      <c r="N1594" s="238"/>
      <c r="O1594" s="238"/>
      <c r="P1594" s="238"/>
      <c r="Q1594" s="238"/>
      <c r="R1594" s="238"/>
      <c r="S1594" s="238"/>
      <c r="T1594" s="218">
        <f>VLOOKUP(A1594,'Groupe de branches'!$Z$27:$AM$86,14,FALSE)</f>
        <v>0</v>
      </c>
      <c r="U1594" s="218">
        <f>VLOOKUP(D1594,'Groupe de branches'!$Z$27:$AM$86,14,FALSE)</f>
        <v>0</v>
      </c>
      <c r="V1594" s="218">
        <v>2020</v>
      </c>
      <c r="W1594" s="218" t="str">
        <f>VLOOKUP(D1594,'Table corresp.'!$M$4:$S$63,7,FALSE)</f>
        <v>Construction</v>
      </c>
      <c r="X1594" s="240">
        <f>IFERROR(G1594/SUMIFS('Comp2016-2017 (3)'!$I$5:$I$289,'Comp2016-2017 (3)'!$A$5:$A$289,A1594,'Comp2016-2017 (3)'!$R$5:$R$289,V1594),0)</f>
        <v>2.4435010261417419E-2</v>
      </c>
      <c r="Y1594" s="219" t="e">
        <f>IF(RIGHT(F1594,3)="Exp",VLOOKUP(F1594,#REF!,2,FALSE),VLOOKUP(F1594,#REF!,9,FALSE))</f>
        <v>#REF!</v>
      </c>
      <c r="Z1594" s="226" t="str">
        <f t="shared" si="181"/>
        <v/>
      </c>
      <c r="AA1594" s="226" t="e">
        <f t="shared" si="183"/>
        <v>#VALUE!</v>
      </c>
      <c r="AB1594" s="205">
        <f>IFERROR(SUMIFS('Comp2016-2017 (3)'!$G$5:$G$289,'Comp2016-2017 (3)'!$A$5:$A$289,A1594,'Comp2016-2017 (3)'!$R$5:$R$289,V1594)*AA1594/SUMIFS($AA$4:$AA$1858,$A$4:$A$1858,A1594,$V$4:$V$1858,V1594),0)</f>
        <v>0</v>
      </c>
      <c r="AC1594" s="205" t="str">
        <f>IF($W1594=AC$3,$AB1594,IF(NOT($W1594=0),"",SUMIFS('Val-Vol (2)'!AC$4:AC$1858,'Val-Vol (2)'!$A$4:$A$1858,$D1594,'Val-Vol (2)'!$V$4:$V$1858,$V1594)/SUMIFS('Comp2016-2017 (3)'!$G$5:$G$289,'Comp2016-2017 (3)'!$A$5:$A$289,$D1594,'Comp2016-2017 (3)'!$R$5:$R$289,$V1594)*$AB1594))</f>
        <v/>
      </c>
      <c r="AD1594" s="205">
        <f>IF($W1594=AD$3,$AB1594,IF(NOT($W1594=0),"",SUMIFS('Val-Vol (2)'!AD$4:AD$1858,'Val-Vol (2)'!$A$4:$A$1858,$D1594,'Val-Vol (2)'!$V$4:$V$1858,$V1594)/SUMIFS('Comp2016-2017 (3)'!$G$5:$G$289,'Comp2016-2017 (3)'!$A$5:$A$289,$D1594,'Comp2016-2017 (3)'!$R$5:$R$289,$V1594)*$AB1594))</f>
        <v>0</v>
      </c>
      <c r="AE1594" s="205" t="str">
        <f>IF($W1594=AE$3,$AB1594,IF(NOT($W1594=0),"",SUMIFS('Val-Vol (2)'!AE$4:AE$1858,'Val-Vol (2)'!$A$4:$A$1858,$D1594,'Val-Vol (2)'!$V$4:$V$1858,$V1594)/SUMIFS('Comp2016-2017 (3)'!$G$5:$G$289,'Comp2016-2017 (3)'!$A$5:$A$289,$D1594,'Comp2016-2017 (3)'!$R$5:$R$289,$V1594)*$AB1594))</f>
        <v/>
      </c>
      <c r="AF1594" s="205" t="str">
        <f>IF($W1594=AF$3,$AB1594,IF(NOT($W1594=0),"",SUMIFS('Val-Vol (2)'!AF$4:AF$1858,'Val-Vol (2)'!$A$4:$A$1858,$D1594,'Val-Vol (2)'!$V$4:$V$1858,$V1594)/SUMIFS('Comp2016-2017 (3)'!$G$5:$G$289,'Comp2016-2017 (3)'!$A$5:$A$289,$D1594,'Comp2016-2017 (3)'!$R$5:$R$289,$V1594)*$AB1594))</f>
        <v/>
      </c>
      <c r="AG1594" s="205" t="str">
        <f>IF($W1594=AG$3,$AB1594,IF(NOT($W1594=0),"",SUMIFS('Val-Vol (2)'!AG$4:AG$1858,'Val-Vol (2)'!$A$4:$A$1858,$D1594,'Val-Vol (2)'!$V$4:$V$1858,$V1594)/SUMIFS('Comp2016-2017 (3)'!$G$5:$G$289,'Comp2016-2017 (3)'!$A$5:$A$289,$D1594,'Comp2016-2017 (3)'!$R$5:$R$289,$V1594)*$AB1594))</f>
        <v/>
      </c>
      <c r="AH1594" s="205" t="str">
        <f>IF($W1594=AH$3,$AB1594,IF(NOT($W1594=0),"",SUMIFS('Val-Vol (2)'!AH$4:AH$1858,'Val-Vol (2)'!$A$4:$A$1858,$D1594,'Val-Vol (2)'!$V$4:$V$1858,$V1594)/SUMIFS('Comp2016-2017 (3)'!$G$5:$G$289,'Comp2016-2017 (3)'!$A$5:$A$289,$D1594,'Comp2016-2017 (3)'!$R$5:$R$289,$V1594)*$AB1594))</f>
        <v/>
      </c>
      <c r="AI1594" s="205" t="str">
        <f>IF($W1594=AI$3,$AB1594,IF(NOT($W1594=0),"",SUMIFS('Val-Vol (2)'!AI$4:AI$1858,'Val-Vol (2)'!$A$4:$A$1858,$D1594,'Val-Vol (2)'!$V$4:$V$1858,$V1594)/SUMIFS('Comp2016-2017 (3)'!$G$5:$G$289,'Comp2016-2017 (3)'!$A$5:$A$289,$D1594,'Comp2016-2017 (3)'!$R$5:$R$289,$V1594)*$AB1594))</f>
        <v/>
      </c>
      <c r="AJ1594" s="205" t="str">
        <f>IF($W1594=AJ$3,$AB1594,IF(NOT($W1594=0),"",SUMIFS('Val-Vol (2)'!AJ$4:AJ$1858,'Val-Vol (2)'!$A$4:$A$1858,$D1594,'Val-Vol (2)'!$V$4:$V$1858,$V1594)/SUMIFS('Comp2016-2017 (3)'!$G$5:$G$289,'Comp2016-2017 (3)'!$A$5:$A$289,$D1594,'Comp2016-2017 (3)'!$R$5:$R$289,$V1594)*$AB1594))</f>
        <v/>
      </c>
      <c r="AK1594" s="205">
        <f t="shared" si="182"/>
        <v>0</v>
      </c>
      <c r="AL1594" s="218" t="str">
        <f t="shared" si="184"/>
        <v/>
      </c>
      <c r="AM1594" s="218" t="str">
        <f>VLOOKUP(A1594,'Table corresp.'!$M$4:$U$63,8,FALSE)</f>
        <v>Production intermédiaire</v>
      </c>
      <c r="AN1594" s="218" t="str">
        <f>VLOOKUP(D1594,'Table corresp.'!$M$4:$U$63,9,FALSE)</f>
        <v>Production finale</v>
      </c>
    </row>
    <row r="1595" spans="1:40" x14ac:dyDescent="0.25">
      <c r="A1595" t="s">
        <v>6</v>
      </c>
      <c r="B1595" t="str">
        <f>VLOOKUP(LEFT(A1595,3),'Table corresp.'!$A$4:$D$63,3,FALSE)</f>
        <v>Transformation</v>
      </c>
      <c r="C1595" t="str">
        <f>VLOOKUP(A1595,'Table corresp.'!$M$4:$P$63,4,FALSE)</f>
        <v>Production et transformation de produits bois</v>
      </c>
      <c r="D1595" t="s">
        <v>16</v>
      </c>
      <c r="E1595" t="str">
        <f>VLOOKUP(LEFT(D1595,3),'Table corresp.'!$A$4:$D$63,4,FALSE)</f>
        <v>Transformation</v>
      </c>
      <c r="F1595" t="str">
        <f t="shared" si="185"/>
        <v xml:space="preserve">11  - 36 </v>
      </c>
      <c r="G1595" s="238">
        <v>55.103414984206701</v>
      </c>
      <c r="H1595" s="238">
        <v>1310.8181806089101</v>
      </c>
      <c r="I1595" s="238">
        <v>1365.92159545763</v>
      </c>
      <c r="J1595" s="238">
        <v>4.2493787864770559E-2</v>
      </c>
      <c r="K1595" s="238">
        <v>1.0628603362688664</v>
      </c>
      <c r="L1595" s="238">
        <v>1.1053541241336371</v>
      </c>
      <c r="M1595" s="238"/>
      <c r="N1595" s="238"/>
      <c r="O1595" s="238"/>
      <c r="P1595" s="238"/>
      <c r="Q1595" s="238"/>
      <c r="R1595" s="238"/>
      <c r="S1595" s="238"/>
      <c r="T1595" s="218">
        <f>VLOOKUP(A1595,'Groupe de branches'!$Z$27:$AM$86,14,FALSE)</f>
        <v>0</v>
      </c>
      <c r="U1595" s="218">
        <f>VLOOKUP(D1595,'Groupe de branches'!$Z$27:$AM$86,14,FALSE)</f>
        <v>0</v>
      </c>
      <c r="V1595" s="218">
        <v>2020</v>
      </c>
      <c r="W1595" s="218" t="str">
        <f>VLOOKUP(D1595,'Table corresp.'!$M$4:$S$63,7,FALSE)</f>
        <v>Construction</v>
      </c>
      <c r="X1595" s="240">
        <f>IFERROR(G1595/SUMIFS('Comp2016-2017 (3)'!$I$5:$I$289,'Comp2016-2017 (3)'!$A$5:$A$289,A1595,'Comp2016-2017 (3)'!$R$5:$R$289,V1595),0)</f>
        <v>4.9327199878441237E-3</v>
      </c>
      <c r="Y1595" s="219" t="e">
        <f>IF(RIGHT(F1595,3)="Exp",VLOOKUP(F1595,#REF!,2,FALSE),VLOOKUP(F1595,#REF!,9,FALSE))</f>
        <v>#REF!</v>
      </c>
      <c r="Z1595" s="226" t="str">
        <f t="shared" si="181"/>
        <v/>
      </c>
      <c r="AA1595" s="226" t="e">
        <f t="shared" si="183"/>
        <v>#VALUE!</v>
      </c>
      <c r="AB1595" s="205">
        <f>IFERROR(SUMIFS('Comp2016-2017 (3)'!$G$5:$G$289,'Comp2016-2017 (3)'!$A$5:$A$289,A1595,'Comp2016-2017 (3)'!$R$5:$R$289,V1595)*AA1595/SUMIFS($AA$4:$AA$1858,$A$4:$A$1858,A1595,$V$4:$V$1858,V1595),0)</f>
        <v>0</v>
      </c>
      <c r="AC1595" s="205" t="str">
        <f>IF($W1595=AC$3,$AB1595,IF(NOT($W1595=0),"",SUMIFS('Val-Vol (2)'!AC$4:AC$1858,'Val-Vol (2)'!$A$4:$A$1858,$D1595,'Val-Vol (2)'!$V$4:$V$1858,$V1595)/SUMIFS('Comp2016-2017 (3)'!$G$5:$G$289,'Comp2016-2017 (3)'!$A$5:$A$289,$D1595,'Comp2016-2017 (3)'!$R$5:$R$289,$V1595)*$AB1595))</f>
        <v/>
      </c>
      <c r="AD1595" s="205">
        <f>IF($W1595=AD$3,$AB1595,IF(NOT($W1595=0),"",SUMIFS('Val-Vol (2)'!AD$4:AD$1858,'Val-Vol (2)'!$A$4:$A$1858,$D1595,'Val-Vol (2)'!$V$4:$V$1858,$V1595)/SUMIFS('Comp2016-2017 (3)'!$G$5:$G$289,'Comp2016-2017 (3)'!$A$5:$A$289,$D1595,'Comp2016-2017 (3)'!$R$5:$R$289,$V1595)*$AB1595))</f>
        <v>0</v>
      </c>
      <c r="AE1595" s="205" t="str">
        <f>IF($W1595=AE$3,$AB1595,IF(NOT($W1595=0),"",SUMIFS('Val-Vol (2)'!AE$4:AE$1858,'Val-Vol (2)'!$A$4:$A$1858,$D1595,'Val-Vol (2)'!$V$4:$V$1858,$V1595)/SUMIFS('Comp2016-2017 (3)'!$G$5:$G$289,'Comp2016-2017 (3)'!$A$5:$A$289,$D1595,'Comp2016-2017 (3)'!$R$5:$R$289,$V1595)*$AB1595))</f>
        <v/>
      </c>
      <c r="AF1595" s="205" t="str">
        <f>IF($W1595=AF$3,$AB1595,IF(NOT($W1595=0),"",SUMIFS('Val-Vol (2)'!AF$4:AF$1858,'Val-Vol (2)'!$A$4:$A$1858,$D1595,'Val-Vol (2)'!$V$4:$V$1858,$V1595)/SUMIFS('Comp2016-2017 (3)'!$G$5:$G$289,'Comp2016-2017 (3)'!$A$5:$A$289,$D1595,'Comp2016-2017 (3)'!$R$5:$R$289,$V1595)*$AB1595))</f>
        <v/>
      </c>
      <c r="AG1595" s="205" t="str">
        <f>IF($W1595=AG$3,$AB1595,IF(NOT($W1595=0),"",SUMIFS('Val-Vol (2)'!AG$4:AG$1858,'Val-Vol (2)'!$A$4:$A$1858,$D1595,'Val-Vol (2)'!$V$4:$V$1858,$V1595)/SUMIFS('Comp2016-2017 (3)'!$G$5:$G$289,'Comp2016-2017 (3)'!$A$5:$A$289,$D1595,'Comp2016-2017 (3)'!$R$5:$R$289,$V1595)*$AB1595))</f>
        <v/>
      </c>
      <c r="AH1595" s="205" t="str">
        <f>IF($W1595=AH$3,$AB1595,IF(NOT($W1595=0),"",SUMIFS('Val-Vol (2)'!AH$4:AH$1858,'Val-Vol (2)'!$A$4:$A$1858,$D1595,'Val-Vol (2)'!$V$4:$V$1858,$V1595)/SUMIFS('Comp2016-2017 (3)'!$G$5:$G$289,'Comp2016-2017 (3)'!$A$5:$A$289,$D1595,'Comp2016-2017 (3)'!$R$5:$R$289,$V1595)*$AB1595))</f>
        <v/>
      </c>
      <c r="AI1595" s="205" t="str">
        <f>IF($W1595=AI$3,$AB1595,IF(NOT($W1595=0),"",SUMIFS('Val-Vol (2)'!AI$4:AI$1858,'Val-Vol (2)'!$A$4:$A$1858,$D1595,'Val-Vol (2)'!$V$4:$V$1858,$V1595)/SUMIFS('Comp2016-2017 (3)'!$G$5:$G$289,'Comp2016-2017 (3)'!$A$5:$A$289,$D1595,'Comp2016-2017 (3)'!$R$5:$R$289,$V1595)*$AB1595))</f>
        <v/>
      </c>
      <c r="AJ1595" s="205" t="str">
        <f>IF($W1595=AJ$3,$AB1595,IF(NOT($W1595=0),"",SUMIFS('Val-Vol (2)'!AJ$4:AJ$1858,'Val-Vol (2)'!$A$4:$A$1858,$D1595,'Val-Vol (2)'!$V$4:$V$1858,$V1595)/SUMIFS('Comp2016-2017 (3)'!$G$5:$G$289,'Comp2016-2017 (3)'!$A$5:$A$289,$D1595,'Comp2016-2017 (3)'!$R$5:$R$289,$V1595)*$AB1595))</f>
        <v/>
      </c>
      <c r="AK1595" s="205">
        <f t="shared" si="182"/>
        <v>0</v>
      </c>
      <c r="AL1595" s="218" t="str">
        <f t="shared" si="184"/>
        <v/>
      </c>
      <c r="AM1595" s="218" t="str">
        <f>VLOOKUP(A1595,'Table corresp.'!$M$4:$U$63,8,FALSE)</f>
        <v>Production intermédiaire</v>
      </c>
      <c r="AN1595" s="218" t="str">
        <f>VLOOKUP(D1595,'Table corresp.'!$M$4:$U$63,9,FALSE)</f>
        <v>Production finale</v>
      </c>
    </row>
    <row r="1596" spans="1:40" x14ac:dyDescent="0.25">
      <c r="A1596" t="s">
        <v>6</v>
      </c>
      <c r="B1596" t="str">
        <f>VLOOKUP(LEFT(A1596,3),'Table corresp.'!$A$4:$D$63,3,FALSE)</f>
        <v>Transformation</v>
      </c>
      <c r="C1596" t="str">
        <f>VLOOKUP(A1596,'Table corresp.'!$M$4:$P$63,4,FALSE)</f>
        <v>Production et transformation de produits bois</v>
      </c>
      <c r="D1596" t="s">
        <v>93</v>
      </c>
      <c r="E1596" t="str">
        <f>VLOOKUP(LEFT(D1596,3),'Table corresp.'!$A$4:$D$63,4,FALSE)</f>
        <v>Transformation</v>
      </c>
      <c r="F1596" t="str">
        <f t="shared" si="185"/>
        <v xml:space="preserve">11  - 41 </v>
      </c>
      <c r="G1596" s="238">
        <v>731.43708738070495</v>
      </c>
      <c r="H1596" s="238">
        <v>4817.2888309341397</v>
      </c>
      <c r="I1596" s="238">
        <v>5548.72591826386</v>
      </c>
      <c r="J1596" s="238">
        <v>0.56405818834440047</v>
      </c>
      <c r="K1596" s="238">
        <v>3.9060376965266759</v>
      </c>
      <c r="L1596" s="238">
        <v>4.4700958848710766</v>
      </c>
      <c r="M1596" s="238"/>
      <c r="N1596" s="238"/>
      <c r="O1596" s="238"/>
      <c r="P1596" s="238"/>
      <c r="Q1596" s="238"/>
      <c r="R1596" s="238"/>
      <c r="S1596" s="238"/>
      <c r="T1596" s="218">
        <f>VLOOKUP(A1596,'Groupe de branches'!$Z$27:$AM$86,14,FALSE)</f>
        <v>0</v>
      </c>
      <c r="U1596" s="218">
        <f>VLOOKUP(D1596,'Groupe de branches'!$Z$27:$AM$86,14,FALSE)</f>
        <v>0</v>
      </c>
      <c r="V1596" s="218">
        <v>2020</v>
      </c>
      <c r="W1596" s="218" t="str">
        <f>VLOOKUP(D1596,'Table corresp.'!$M$4:$S$63,7,FALSE)</f>
        <v>Produits de consommation courante</v>
      </c>
      <c r="X1596" s="240">
        <f>IFERROR(G1596/SUMIFS('Comp2016-2017 (3)'!$I$5:$I$289,'Comp2016-2017 (3)'!$A$5:$A$289,A1596,'Comp2016-2017 (3)'!$R$5:$R$289,V1596),0)</f>
        <v>6.5476419960675408E-2</v>
      </c>
      <c r="Y1596" s="219" t="e">
        <f>IF(RIGHT(F1596,3)="Exp",VLOOKUP(F1596,#REF!,2,FALSE),VLOOKUP(F1596,#REF!,9,FALSE))</f>
        <v>#REF!</v>
      </c>
      <c r="Z1596" s="226" t="str">
        <f t="shared" si="181"/>
        <v/>
      </c>
      <c r="AA1596" s="226" t="e">
        <f t="shared" si="183"/>
        <v>#VALUE!</v>
      </c>
      <c r="AB1596" s="205">
        <f>IFERROR(SUMIFS('Comp2016-2017 (3)'!$G$5:$G$289,'Comp2016-2017 (3)'!$A$5:$A$289,A1596,'Comp2016-2017 (3)'!$R$5:$R$289,V1596)*AA1596/SUMIFS($AA$4:$AA$1858,$A$4:$A$1858,A1596,$V$4:$V$1858,V1596),0)</f>
        <v>0</v>
      </c>
      <c r="AC1596" s="205" t="str">
        <f>IF($W1596=AC$3,$AB1596,IF(NOT($W1596=0),"",SUMIFS('Val-Vol (2)'!AC$4:AC$1858,'Val-Vol (2)'!$A$4:$A$1858,$D1596,'Val-Vol (2)'!$V$4:$V$1858,$V1596)/SUMIFS('Comp2016-2017 (3)'!$G$5:$G$289,'Comp2016-2017 (3)'!$A$5:$A$289,$D1596,'Comp2016-2017 (3)'!$R$5:$R$289,$V1596)*$AB1596))</f>
        <v/>
      </c>
      <c r="AD1596" s="205" t="str">
        <f>IF($W1596=AD$3,$AB1596,IF(NOT($W1596=0),"",SUMIFS('Val-Vol (2)'!AD$4:AD$1858,'Val-Vol (2)'!$A$4:$A$1858,$D1596,'Val-Vol (2)'!$V$4:$V$1858,$V1596)/SUMIFS('Comp2016-2017 (3)'!$G$5:$G$289,'Comp2016-2017 (3)'!$A$5:$A$289,$D1596,'Comp2016-2017 (3)'!$R$5:$R$289,$V1596)*$AB1596))</f>
        <v/>
      </c>
      <c r="AE1596" s="205" t="str">
        <f>IF($W1596=AE$3,$AB1596,IF(NOT($W1596=0),"",SUMIFS('Val-Vol (2)'!AE$4:AE$1858,'Val-Vol (2)'!$A$4:$A$1858,$D1596,'Val-Vol (2)'!$V$4:$V$1858,$V1596)/SUMIFS('Comp2016-2017 (3)'!$G$5:$G$289,'Comp2016-2017 (3)'!$A$5:$A$289,$D1596,'Comp2016-2017 (3)'!$R$5:$R$289,$V1596)*$AB1596))</f>
        <v/>
      </c>
      <c r="AF1596" s="205" t="str">
        <f>IF($W1596=AF$3,$AB1596,IF(NOT($W1596=0),"",SUMIFS('Val-Vol (2)'!AF$4:AF$1858,'Val-Vol (2)'!$A$4:$A$1858,$D1596,'Val-Vol (2)'!$V$4:$V$1858,$V1596)/SUMIFS('Comp2016-2017 (3)'!$G$5:$G$289,'Comp2016-2017 (3)'!$A$5:$A$289,$D1596,'Comp2016-2017 (3)'!$R$5:$R$289,$V1596)*$AB1596))</f>
        <v/>
      </c>
      <c r="AG1596" s="205" t="str">
        <f>IF($W1596=AG$3,$AB1596,IF(NOT($W1596=0),"",SUMIFS('Val-Vol (2)'!AG$4:AG$1858,'Val-Vol (2)'!$A$4:$A$1858,$D1596,'Val-Vol (2)'!$V$4:$V$1858,$V1596)/SUMIFS('Comp2016-2017 (3)'!$G$5:$G$289,'Comp2016-2017 (3)'!$A$5:$A$289,$D1596,'Comp2016-2017 (3)'!$R$5:$R$289,$V1596)*$AB1596))</f>
        <v/>
      </c>
      <c r="AH1596" s="205" t="str">
        <f>IF($W1596=AH$3,$AB1596,IF(NOT($W1596=0),"",SUMIFS('Val-Vol (2)'!AH$4:AH$1858,'Val-Vol (2)'!$A$4:$A$1858,$D1596,'Val-Vol (2)'!$V$4:$V$1858,$V1596)/SUMIFS('Comp2016-2017 (3)'!$G$5:$G$289,'Comp2016-2017 (3)'!$A$5:$A$289,$D1596,'Comp2016-2017 (3)'!$R$5:$R$289,$V1596)*$AB1596))</f>
        <v/>
      </c>
      <c r="AI1596" s="205">
        <f>IF($W1596=AI$3,$AB1596,IF(NOT($W1596=0),"",SUMIFS('Val-Vol (2)'!AI$4:AI$1858,'Val-Vol (2)'!$A$4:$A$1858,$D1596,'Val-Vol (2)'!$V$4:$V$1858,$V1596)/SUMIFS('Comp2016-2017 (3)'!$G$5:$G$289,'Comp2016-2017 (3)'!$A$5:$A$289,$D1596,'Comp2016-2017 (3)'!$R$5:$R$289,$V1596)*$AB1596))</f>
        <v>0</v>
      </c>
      <c r="AJ1596" s="205" t="str">
        <f>IF($W1596=AJ$3,$AB1596,IF(NOT($W1596=0),"",SUMIFS('Val-Vol (2)'!AJ$4:AJ$1858,'Val-Vol (2)'!$A$4:$A$1858,$D1596,'Val-Vol (2)'!$V$4:$V$1858,$V1596)/SUMIFS('Comp2016-2017 (3)'!$G$5:$G$289,'Comp2016-2017 (3)'!$A$5:$A$289,$D1596,'Comp2016-2017 (3)'!$R$5:$R$289,$V1596)*$AB1596))</f>
        <v/>
      </c>
      <c r="AK1596" s="205">
        <f t="shared" si="182"/>
        <v>0</v>
      </c>
      <c r="AL1596" s="218" t="str">
        <f t="shared" si="184"/>
        <v/>
      </c>
      <c r="AM1596" s="218" t="str">
        <f>VLOOKUP(A1596,'Table corresp.'!$M$4:$U$63,8,FALSE)</f>
        <v>Production intermédiaire</v>
      </c>
      <c r="AN1596" s="218" t="str">
        <f>VLOOKUP(D1596,'Table corresp.'!$M$4:$U$63,9,FALSE)</f>
        <v>Production finale</v>
      </c>
    </row>
    <row r="1597" spans="1:40" x14ac:dyDescent="0.25">
      <c r="A1597" t="s">
        <v>6</v>
      </c>
      <c r="B1597" t="str">
        <f>VLOOKUP(LEFT(A1597,3),'Table corresp.'!$A$4:$D$63,3,FALSE)</f>
        <v>Transformation</v>
      </c>
      <c r="C1597" t="str">
        <f>VLOOKUP(A1597,'Table corresp.'!$M$4:$P$63,4,FALSE)</f>
        <v>Production et transformation de produits bois</v>
      </c>
      <c r="D1597" t="s">
        <v>99</v>
      </c>
      <c r="E1597" t="str">
        <f>VLOOKUP(LEFT(D1597,3),'Table corresp.'!$A$4:$D$63,4,FALSE)</f>
        <v>Transformation</v>
      </c>
      <c r="F1597" t="str">
        <f t="shared" si="185"/>
        <v xml:space="preserve">11  - 47 </v>
      </c>
      <c r="G1597" s="238">
        <v>43.164307823401899</v>
      </c>
      <c r="H1597" s="238">
        <v>8453.7291545847802</v>
      </c>
      <c r="I1597" s="238">
        <v>8496.8934612705598</v>
      </c>
      <c r="J1597" s="238">
        <v>3.328677434062851E-2</v>
      </c>
      <c r="K1597" s="238">
        <v>6.854599321924316</v>
      </c>
      <c r="L1597" s="238">
        <v>6.8878860962649444</v>
      </c>
      <c r="M1597" s="238"/>
      <c r="N1597" s="238"/>
      <c r="O1597" s="238"/>
      <c r="P1597" s="238"/>
      <c r="Q1597" s="238"/>
      <c r="R1597" s="238"/>
      <c r="S1597" s="238"/>
      <c r="T1597" s="218">
        <f>VLOOKUP(A1597,'Groupe de branches'!$Z$27:$AM$86,14,FALSE)</f>
        <v>0</v>
      </c>
      <c r="U1597" s="218">
        <f>VLOOKUP(D1597,'Groupe de branches'!$Z$27:$AM$86,14,FALSE)</f>
        <v>0</v>
      </c>
      <c r="V1597" s="218">
        <v>2020</v>
      </c>
      <c r="W1597" s="218" t="str">
        <f>VLOOKUP(D1597,'Table corresp.'!$M$4:$S$63,7,FALSE)</f>
        <v>Meuble</v>
      </c>
      <c r="X1597" s="240">
        <f>IFERROR(G1597/SUMIFS('Comp2016-2017 (3)'!$I$5:$I$289,'Comp2016-2017 (3)'!$A$5:$A$289,A1597,'Comp2016-2017 (3)'!$R$5:$R$289,V1597),0)</f>
        <v>3.8639609545610865E-3</v>
      </c>
      <c r="Y1597" s="219" t="e">
        <f>IF(RIGHT(F1597,3)="Exp",VLOOKUP(F1597,#REF!,2,FALSE),VLOOKUP(F1597,#REF!,9,FALSE))</f>
        <v>#REF!</v>
      </c>
      <c r="Z1597" s="226" t="str">
        <f t="shared" si="181"/>
        <v/>
      </c>
      <c r="AA1597" s="226" t="e">
        <f t="shared" si="183"/>
        <v>#VALUE!</v>
      </c>
      <c r="AB1597" s="205">
        <f>IFERROR(SUMIFS('Comp2016-2017 (3)'!$G$5:$G$289,'Comp2016-2017 (3)'!$A$5:$A$289,A1597,'Comp2016-2017 (3)'!$R$5:$R$289,V1597)*AA1597/SUMIFS($AA$4:$AA$1858,$A$4:$A$1858,A1597,$V$4:$V$1858,V1597),0)</f>
        <v>0</v>
      </c>
      <c r="AC1597" s="205" t="str">
        <f>IF($W1597=AC$3,$AB1597,IF(NOT($W1597=0),"",SUMIFS('Val-Vol (2)'!AC$4:AC$1858,'Val-Vol (2)'!$A$4:$A$1858,$D1597,'Val-Vol (2)'!$V$4:$V$1858,$V1597)/SUMIFS('Comp2016-2017 (3)'!$G$5:$G$289,'Comp2016-2017 (3)'!$A$5:$A$289,$D1597,'Comp2016-2017 (3)'!$R$5:$R$289,$V1597)*$AB1597))</f>
        <v/>
      </c>
      <c r="AD1597" s="205" t="str">
        <f>IF($W1597=AD$3,$AB1597,IF(NOT($W1597=0),"",SUMIFS('Val-Vol (2)'!AD$4:AD$1858,'Val-Vol (2)'!$A$4:$A$1858,$D1597,'Val-Vol (2)'!$V$4:$V$1858,$V1597)/SUMIFS('Comp2016-2017 (3)'!$G$5:$G$289,'Comp2016-2017 (3)'!$A$5:$A$289,$D1597,'Comp2016-2017 (3)'!$R$5:$R$289,$V1597)*$AB1597))</f>
        <v/>
      </c>
      <c r="AE1597" s="205">
        <f>IF($W1597=AE$3,$AB1597,IF(NOT($W1597=0),"",SUMIFS('Val-Vol (2)'!AE$4:AE$1858,'Val-Vol (2)'!$A$4:$A$1858,$D1597,'Val-Vol (2)'!$V$4:$V$1858,$V1597)/SUMIFS('Comp2016-2017 (3)'!$G$5:$G$289,'Comp2016-2017 (3)'!$A$5:$A$289,$D1597,'Comp2016-2017 (3)'!$R$5:$R$289,$V1597)*$AB1597))</f>
        <v>0</v>
      </c>
      <c r="AF1597" s="205" t="str">
        <f>IF($W1597=AF$3,$AB1597,IF(NOT($W1597=0),"",SUMIFS('Val-Vol (2)'!AF$4:AF$1858,'Val-Vol (2)'!$A$4:$A$1858,$D1597,'Val-Vol (2)'!$V$4:$V$1858,$V1597)/SUMIFS('Comp2016-2017 (3)'!$G$5:$G$289,'Comp2016-2017 (3)'!$A$5:$A$289,$D1597,'Comp2016-2017 (3)'!$R$5:$R$289,$V1597)*$AB1597))</f>
        <v/>
      </c>
      <c r="AG1597" s="205" t="str">
        <f>IF($W1597=AG$3,$AB1597,IF(NOT($W1597=0),"",SUMIFS('Val-Vol (2)'!AG$4:AG$1858,'Val-Vol (2)'!$A$4:$A$1858,$D1597,'Val-Vol (2)'!$V$4:$V$1858,$V1597)/SUMIFS('Comp2016-2017 (3)'!$G$5:$G$289,'Comp2016-2017 (3)'!$A$5:$A$289,$D1597,'Comp2016-2017 (3)'!$R$5:$R$289,$V1597)*$AB1597))</f>
        <v/>
      </c>
      <c r="AH1597" s="205" t="str">
        <f>IF($W1597=AH$3,$AB1597,IF(NOT($W1597=0),"",SUMIFS('Val-Vol (2)'!AH$4:AH$1858,'Val-Vol (2)'!$A$4:$A$1858,$D1597,'Val-Vol (2)'!$V$4:$V$1858,$V1597)/SUMIFS('Comp2016-2017 (3)'!$G$5:$G$289,'Comp2016-2017 (3)'!$A$5:$A$289,$D1597,'Comp2016-2017 (3)'!$R$5:$R$289,$V1597)*$AB1597))</f>
        <v/>
      </c>
      <c r="AI1597" s="205" t="str">
        <f>IF($W1597=AI$3,$AB1597,IF(NOT($W1597=0),"",SUMIFS('Val-Vol (2)'!AI$4:AI$1858,'Val-Vol (2)'!$A$4:$A$1858,$D1597,'Val-Vol (2)'!$V$4:$V$1858,$V1597)/SUMIFS('Comp2016-2017 (3)'!$G$5:$G$289,'Comp2016-2017 (3)'!$A$5:$A$289,$D1597,'Comp2016-2017 (3)'!$R$5:$R$289,$V1597)*$AB1597))</f>
        <v/>
      </c>
      <c r="AJ1597" s="205" t="str">
        <f>IF($W1597=AJ$3,$AB1597,IF(NOT($W1597=0),"",SUMIFS('Val-Vol (2)'!AJ$4:AJ$1858,'Val-Vol (2)'!$A$4:$A$1858,$D1597,'Val-Vol (2)'!$V$4:$V$1858,$V1597)/SUMIFS('Comp2016-2017 (3)'!$G$5:$G$289,'Comp2016-2017 (3)'!$A$5:$A$289,$D1597,'Comp2016-2017 (3)'!$R$5:$R$289,$V1597)*$AB1597))</f>
        <v/>
      </c>
      <c r="AK1597" s="205">
        <f t="shared" si="182"/>
        <v>0</v>
      </c>
      <c r="AL1597" s="218" t="str">
        <f t="shared" si="184"/>
        <v/>
      </c>
      <c r="AM1597" s="218" t="str">
        <f>VLOOKUP(A1597,'Table corresp.'!$M$4:$U$63,8,FALSE)</f>
        <v>Production intermédiaire</v>
      </c>
      <c r="AN1597" s="218" t="str">
        <f>VLOOKUP(D1597,'Table corresp.'!$M$4:$U$63,9,FALSE)</f>
        <v>Production finale</v>
      </c>
    </row>
    <row r="1598" spans="1:40" x14ac:dyDescent="0.25">
      <c r="A1598" t="s">
        <v>6</v>
      </c>
      <c r="B1598" t="str">
        <f>VLOOKUP(LEFT(A1598,3),'Table corresp.'!$A$4:$D$63,3,FALSE)</f>
        <v>Transformation</v>
      </c>
      <c r="C1598" t="str">
        <f>VLOOKUP(A1598,'Table corresp.'!$M$4:$P$63,4,FALSE)</f>
        <v>Production et transformation de produits bois</v>
      </c>
      <c r="D1598" t="s">
        <v>100</v>
      </c>
      <c r="E1598" t="str">
        <f>VLOOKUP(LEFT(D1598,3),'Table corresp.'!$A$4:$D$63,4,FALSE)</f>
        <v>Transformation</v>
      </c>
      <c r="F1598" t="str">
        <f t="shared" si="185"/>
        <v xml:space="preserve">11  - 48 </v>
      </c>
      <c r="G1598" s="238">
        <v>6081.9542333716199</v>
      </c>
      <c r="H1598" s="238">
        <v>0</v>
      </c>
      <c r="I1598" s="238">
        <v>6081.9542385108498</v>
      </c>
      <c r="J1598" s="238">
        <v>4.6901861358358712</v>
      </c>
      <c r="K1598" s="238">
        <v>0</v>
      </c>
      <c r="L1598" s="238">
        <v>4.6901861358358712</v>
      </c>
      <c r="M1598" s="238"/>
      <c r="N1598" s="238"/>
      <c r="O1598" s="238"/>
      <c r="P1598" s="238"/>
      <c r="Q1598" s="238"/>
      <c r="R1598" s="238"/>
      <c r="S1598" s="238"/>
      <c r="T1598" s="218">
        <f>VLOOKUP(A1598,'Groupe de branches'!$Z$27:$AM$86,14,FALSE)</f>
        <v>0</v>
      </c>
      <c r="U1598" s="218">
        <f>VLOOKUP(D1598,'Groupe de branches'!$Z$27:$AM$86,14,FALSE)</f>
        <v>0</v>
      </c>
      <c r="V1598" s="218">
        <v>2020</v>
      </c>
      <c r="W1598" s="218" t="str">
        <f>VLOOKUP(D1598,'Table corresp.'!$M$4:$S$63,7,FALSE)</f>
        <v>Produits de consommation courante</v>
      </c>
      <c r="X1598" s="240">
        <f>IFERROR(G1598/SUMIFS('Comp2016-2017 (3)'!$I$5:$I$289,'Comp2016-2017 (3)'!$A$5:$A$289,A1598,'Comp2016-2017 (3)'!$R$5:$R$289,V1598),0)</f>
        <v>0.54444134216915407</v>
      </c>
      <c r="Y1598" s="219" t="e">
        <f>IF(RIGHT(F1598,3)="Exp",VLOOKUP(F1598,#REF!,2,FALSE),VLOOKUP(F1598,#REF!,9,FALSE))</f>
        <v>#REF!</v>
      </c>
      <c r="Z1598" s="226" t="str">
        <f t="shared" si="181"/>
        <v/>
      </c>
      <c r="AA1598" s="226" t="e">
        <f t="shared" si="183"/>
        <v>#VALUE!</v>
      </c>
      <c r="AB1598" s="205">
        <f>IFERROR(SUMIFS('Comp2016-2017 (3)'!$G$5:$G$289,'Comp2016-2017 (3)'!$A$5:$A$289,A1598,'Comp2016-2017 (3)'!$R$5:$R$289,V1598)*AA1598/SUMIFS($AA$4:$AA$1858,$A$4:$A$1858,A1598,$V$4:$V$1858,V1598),0)</f>
        <v>0</v>
      </c>
      <c r="AC1598" s="205" t="str">
        <f>IF($W1598=AC$3,$AB1598,IF(NOT($W1598=0),"",SUMIFS('Val-Vol (2)'!AC$4:AC$1858,'Val-Vol (2)'!$A$4:$A$1858,$D1598,'Val-Vol (2)'!$V$4:$V$1858,$V1598)/SUMIFS('Comp2016-2017 (3)'!$G$5:$G$289,'Comp2016-2017 (3)'!$A$5:$A$289,$D1598,'Comp2016-2017 (3)'!$R$5:$R$289,$V1598)*$AB1598))</f>
        <v/>
      </c>
      <c r="AD1598" s="205" t="str">
        <f>IF($W1598=AD$3,$AB1598,IF(NOT($W1598=0),"",SUMIFS('Val-Vol (2)'!AD$4:AD$1858,'Val-Vol (2)'!$A$4:$A$1858,$D1598,'Val-Vol (2)'!$V$4:$V$1858,$V1598)/SUMIFS('Comp2016-2017 (3)'!$G$5:$G$289,'Comp2016-2017 (3)'!$A$5:$A$289,$D1598,'Comp2016-2017 (3)'!$R$5:$R$289,$V1598)*$AB1598))</f>
        <v/>
      </c>
      <c r="AE1598" s="205" t="str">
        <f>IF($W1598=AE$3,$AB1598,IF(NOT($W1598=0),"",SUMIFS('Val-Vol (2)'!AE$4:AE$1858,'Val-Vol (2)'!$A$4:$A$1858,$D1598,'Val-Vol (2)'!$V$4:$V$1858,$V1598)/SUMIFS('Comp2016-2017 (3)'!$G$5:$G$289,'Comp2016-2017 (3)'!$A$5:$A$289,$D1598,'Comp2016-2017 (3)'!$R$5:$R$289,$V1598)*$AB1598))</f>
        <v/>
      </c>
      <c r="AF1598" s="205" t="str">
        <f>IF($W1598=AF$3,$AB1598,IF(NOT($W1598=0),"",SUMIFS('Val-Vol (2)'!AF$4:AF$1858,'Val-Vol (2)'!$A$4:$A$1858,$D1598,'Val-Vol (2)'!$V$4:$V$1858,$V1598)/SUMIFS('Comp2016-2017 (3)'!$G$5:$G$289,'Comp2016-2017 (3)'!$A$5:$A$289,$D1598,'Comp2016-2017 (3)'!$R$5:$R$289,$V1598)*$AB1598))</f>
        <v/>
      </c>
      <c r="AG1598" s="205" t="str">
        <f>IF($W1598=AG$3,$AB1598,IF(NOT($W1598=0),"",SUMIFS('Val-Vol (2)'!AG$4:AG$1858,'Val-Vol (2)'!$A$4:$A$1858,$D1598,'Val-Vol (2)'!$V$4:$V$1858,$V1598)/SUMIFS('Comp2016-2017 (3)'!$G$5:$G$289,'Comp2016-2017 (3)'!$A$5:$A$289,$D1598,'Comp2016-2017 (3)'!$R$5:$R$289,$V1598)*$AB1598))</f>
        <v/>
      </c>
      <c r="AH1598" s="205" t="str">
        <f>IF($W1598=AH$3,$AB1598,IF(NOT($W1598=0),"",SUMIFS('Val-Vol (2)'!AH$4:AH$1858,'Val-Vol (2)'!$A$4:$A$1858,$D1598,'Val-Vol (2)'!$V$4:$V$1858,$V1598)/SUMIFS('Comp2016-2017 (3)'!$G$5:$G$289,'Comp2016-2017 (3)'!$A$5:$A$289,$D1598,'Comp2016-2017 (3)'!$R$5:$R$289,$V1598)*$AB1598))</f>
        <v/>
      </c>
      <c r="AI1598" s="205">
        <f>IF($W1598=AI$3,$AB1598,IF(NOT($W1598=0),"",SUMIFS('Val-Vol (2)'!AI$4:AI$1858,'Val-Vol (2)'!$A$4:$A$1858,$D1598,'Val-Vol (2)'!$V$4:$V$1858,$V1598)/SUMIFS('Comp2016-2017 (3)'!$G$5:$G$289,'Comp2016-2017 (3)'!$A$5:$A$289,$D1598,'Comp2016-2017 (3)'!$R$5:$R$289,$V1598)*$AB1598))</f>
        <v>0</v>
      </c>
      <c r="AJ1598" s="205" t="str">
        <f>IF($W1598=AJ$3,$AB1598,IF(NOT($W1598=0),"",SUMIFS('Val-Vol (2)'!AJ$4:AJ$1858,'Val-Vol (2)'!$A$4:$A$1858,$D1598,'Val-Vol (2)'!$V$4:$V$1858,$V1598)/SUMIFS('Comp2016-2017 (3)'!$G$5:$G$289,'Comp2016-2017 (3)'!$A$5:$A$289,$D1598,'Comp2016-2017 (3)'!$R$5:$R$289,$V1598)*$AB1598))</f>
        <v/>
      </c>
      <c r="AK1598" s="205">
        <f t="shared" si="182"/>
        <v>0</v>
      </c>
      <c r="AL1598" s="218" t="str">
        <f t="shared" si="184"/>
        <v/>
      </c>
      <c r="AM1598" s="218" t="str">
        <f>VLOOKUP(A1598,'Table corresp.'!$M$4:$U$63,8,FALSE)</f>
        <v>Production intermédiaire</v>
      </c>
      <c r="AN1598" s="218" t="str">
        <f>VLOOKUP(D1598,'Table corresp.'!$M$4:$U$63,9,FALSE)</f>
        <v>Production finale</v>
      </c>
    </row>
    <row r="1599" spans="1:40" x14ac:dyDescent="0.25">
      <c r="A1599" t="s">
        <v>6</v>
      </c>
      <c r="B1599" t="str">
        <f>VLOOKUP(LEFT(A1599,3),'Table corresp.'!$A$4:$D$63,3,FALSE)</f>
        <v>Transformation</v>
      </c>
      <c r="C1599" t="str">
        <f>VLOOKUP(A1599,'Table corresp.'!$M$4:$P$63,4,FALSE)</f>
        <v>Production et transformation de produits bois</v>
      </c>
      <c r="D1599" t="s">
        <v>21</v>
      </c>
      <c r="E1599" t="str">
        <f>VLOOKUP(LEFT(D1599,3),'Table corresp.'!$A$4:$D$63,4,FALSE)</f>
        <v>Transformation</v>
      </c>
      <c r="F1599" t="str">
        <f t="shared" si="185"/>
        <v xml:space="preserve">11  - 54 </v>
      </c>
      <c r="G1599" s="238">
        <v>2146.49369169687</v>
      </c>
      <c r="H1599" s="238">
        <v>12698.742375285001</v>
      </c>
      <c r="I1599" s="238">
        <v>14845.236067031899</v>
      </c>
      <c r="J1599" s="238">
        <v>1.6552993605600967</v>
      </c>
      <c r="K1599" s="238">
        <v>10.296614580763144</v>
      </c>
      <c r="L1599" s="238">
        <v>11.951913941323241</v>
      </c>
      <c r="M1599" s="238"/>
      <c r="N1599" s="238"/>
      <c r="O1599" s="238"/>
      <c r="P1599" s="238"/>
      <c r="Q1599" s="238"/>
      <c r="R1599" s="238"/>
      <c r="S1599" s="238"/>
      <c r="T1599" s="218">
        <f>VLOOKUP(A1599,'Groupe de branches'!$Z$27:$AM$86,14,FALSE)</f>
        <v>0</v>
      </c>
      <c r="U1599" s="218">
        <f>VLOOKUP(D1599,'Groupe de branches'!$Z$27:$AM$86,14,FALSE)</f>
        <v>0</v>
      </c>
      <c r="V1599" s="218">
        <v>2020</v>
      </c>
      <c r="W1599" s="218" t="str">
        <f>VLOOKUP(D1599,'Table corresp.'!$M$4:$S$63,7,FALSE)</f>
        <v>Construction</v>
      </c>
      <c r="X1599" s="240">
        <f>IFERROR(G1599/SUMIFS('Comp2016-2017 (3)'!$I$5:$I$289,'Comp2016-2017 (3)'!$A$5:$A$289,A1599,'Comp2016-2017 (3)'!$R$5:$R$289,V1599),0)</f>
        <v>0.1921487504875902</v>
      </c>
      <c r="Y1599" s="219" t="e">
        <f>IF(RIGHT(F1599,3)="Exp",VLOOKUP(F1599,#REF!,2,FALSE),VLOOKUP(F1599,#REF!,9,FALSE))</f>
        <v>#REF!</v>
      </c>
      <c r="Z1599" s="226" t="str">
        <f t="shared" si="181"/>
        <v/>
      </c>
      <c r="AA1599" s="226" t="e">
        <f t="shared" si="183"/>
        <v>#VALUE!</v>
      </c>
      <c r="AB1599" s="205">
        <f>IFERROR(SUMIFS('Comp2016-2017 (3)'!$G$5:$G$289,'Comp2016-2017 (3)'!$A$5:$A$289,A1599,'Comp2016-2017 (3)'!$R$5:$R$289,V1599)*AA1599/SUMIFS($AA$4:$AA$1858,$A$4:$A$1858,A1599,$V$4:$V$1858,V1599),0)</f>
        <v>0</v>
      </c>
      <c r="AC1599" s="205" t="str">
        <f>IF($W1599=AC$3,$AB1599,IF(NOT($W1599=0),"",SUMIFS('Val-Vol (2)'!AC$4:AC$1858,'Val-Vol (2)'!$A$4:$A$1858,$D1599,'Val-Vol (2)'!$V$4:$V$1858,$V1599)/SUMIFS('Comp2016-2017 (3)'!$G$5:$G$289,'Comp2016-2017 (3)'!$A$5:$A$289,$D1599,'Comp2016-2017 (3)'!$R$5:$R$289,$V1599)*$AB1599))</f>
        <v/>
      </c>
      <c r="AD1599" s="205">
        <f>IF($W1599=AD$3,$AB1599,IF(NOT($W1599=0),"",SUMIFS('Val-Vol (2)'!AD$4:AD$1858,'Val-Vol (2)'!$A$4:$A$1858,$D1599,'Val-Vol (2)'!$V$4:$V$1858,$V1599)/SUMIFS('Comp2016-2017 (3)'!$G$5:$G$289,'Comp2016-2017 (3)'!$A$5:$A$289,$D1599,'Comp2016-2017 (3)'!$R$5:$R$289,$V1599)*$AB1599))</f>
        <v>0</v>
      </c>
      <c r="AE1599" s="205" t="str">
        <f>IF($W1599=AE$3,$AB1599,IF(NOT($W1599=0),"",SUMIFS('Val-Vol (2)'!AE$4:AE$1858,'Val-Vol (2)'!$A$4:$A$1858,$D1599,'Val-Vol (2)'!$V$4:$V$1858,$V1599)/SUMIFS('Comp2016-2017 (3)'!$G$5:$G$289,'Comp2016-2017 (3)'!$A$5:$A$289,$D1599,'Comp2016-2017 (3)'!$R$5:$R$289,$V1599)*$AB1599))</f>
        <v/>
      </c>
      <c r="AF1599" s="205" t="str">
        <f>IF($W1599=AF$3,$AB1599,IF(NOT($W1599=0),"",SUMIFS('Val-Vol (2)'!AF$4:AF$1858,'Val-Vol (2)'!$A$4:$A$1858,$D1599,'Val-Vol (2)'!$V$4:$V$1858,$V1599)/SUMIFS('Comp2016-2017 (3)'!$G$5:$G$289,'Comp2016-2017 (3)'!$A$5:$A$289,$D1599,'Comp2016-2017 (3)'!$R$5:$R$289,$V1599)*$AB1599))</f>
        <v/>
      </c>
      <c r="AG1599" s="205" t="str">
        <f>IF($W1599=AG$3,$AB1599,IF(NOT($W1599=0),"",SUMIFS('Val-Vol (2)'!AG$4:AG$1858,'Val-Vol (2)'!$A$4:$A$1858,$D1599,'Val-Vol (2)'!$V$4:$V$1858,$V1599)/SUMIFS('Comp2016-2017 (3)'!$G$5:$G$289,'Comp2016-2017 (3)'!$A$5:$A$289,$D1599,'Comp2016-2017 (3)'!$R$5:$R$289,$V1599)*$AB1599))</f>
        <v/>
      </c>
      <c r="AH1599" s="205" t="str">
        <f>IF($W1599=AH$3,$AB1599,IF(NOT($W1599=0),"",SUMIFS('Val-Vol (2)'!AH$4:AH$1858,'Val-Vol (2)'!$A$4:$A$1858,$D1599,'Val-Vol (2)'!$V$4:$V$1858,$V1599)/SUMIFS('Comp2016-2017 (3)'!$G$5:$G$289,'Comp2016-2017 (3)'!$A$5:$A$289,$D1599,'Comp2016-2017 (3)'!$R$5:$R$289,$V1599)*$AB1599))</f>
        <v/>
      </c>
      <c r="AI1599" s="205" t="str">
        <f>IF($W1599=AI$3,$AB1599,IF(NOT($W1599=0),"",SUMIFS('Val-Vol (2)'!AI$4:AI$1858,'Val-Vol (2)'!$A$4:$A$1858,$D1599,'Val-Vol (2)'!$V$4:$V$1858,$V1599)/SUMIFS('Comp2016-2017 (3)'!$G$5:$G$289,'Comp2016-2017 (3)'!$A$5:$A$289,$D1599,'Comp2016-2017 (3)'!$R$5:$R$289,$V1599)*$AB1599))</f>
        <v/>
      </c>
      <c r="AJ1599" s="205" t="str">
        <f>IF($W1599=AJ$3,$AB1599,IF(NOT($W1599=0),"",SUMIFS('Val-Vol (2)'!AJ$4:AJ$1858,'Val-Vol (2)'!$A$4:$A$1858,$D1599,'Val-Vol (2)'!$V$4:$V$1858,$V1599)/SUMIFS('Comp2016-2017 (3)'!$G$5:$G$289,'Comp2016-2017 (3)'!$A$5:$A$289,$D1599,'Comp2016-2017 (3)'!$R$5:$R$289,$V1599)*$AB1599))</f>
        <v/>
      </c>
      <c r="AK1599" s="205">
        <f t="shared" si="182"/>
        <v>0</v>
      </c>
      <c r="AL1599" s="218" t="str">
        <f t="shared" si="184"/>
        <v/>
      </c>
      <c r="AM1599" s="218" t="str">
        <f>VLOOKUP(A1599,'Table corresp.'!$M$4:$U$63,8,FALSE)</f>
        <v>Production intermédiaire</v>
      </c>
      <c r="AN1599" s="218" t="str">
        <f>VLOOKUP(D1599,'Table corresp.'!$M$4:$U$63,9,FALSE)</f>
        <v xml:space="preserve">Mise en œuvre </v>
      </c>
    </row>
    <row r="1600" spans="1:40" x14ac:dyDescent="0.25">
      <c r="A1600" t="s">
        <v>6</v>
      </c>
      <c r="B1600" t="str">
        <f>VLOOKUP(LEFT(A1600,3),'Table corresp.'!$A$4:$D$63,3,FALSE)</f>
        <v>Transformation</v>
      </c>
      <c r="C1600" t="str">
        <f>VLOOKUP(A1600,'Table corresp.'!$M$4:$P$63,4,FALSE)</f>
        <v>Production et transformation de produits bois</v>
      </c>
      <c r="D1600" t="s">
        <v>22</v>
      </c>
      <c r="E1600" t="str">
        <f>VLOOKUP(LEFT(D1600,3),'Table corresp.'!$A$4:$D$63,4,FALSE)</f>
        <v>Transformation</v>
      </c>
      <c r="F1600" t="str">
        <f t="shared" si="185"/>
        <v xml:space="preserve">11  - 55 </v>
      </c>
      <c r="G1600" s="238">
        <v>2.09897294095834</v>
      </c>
      <c r="H1600" s="238">
        <v>131.20905187735701</v>
      </c>
      <c r="I1600" s="238">
        <v>133.308024801866</v>
      </c>
      <c r="J1600" s="238">
        <v>1.6186530528560009E-3</v>
      </c>
      <c r="K1600" s="238">
        <v>0.10638919955710821</v>
      </c>
      <c r="L1600" s="238">
        <v>0.10800785260996421</v>
      </c>
      <c r="M1600" s="238"/>
      <c r="N1600" s="238"/>
      <c r="O1600" s="238"/>
      <c r="P1600" s="238"/>
      <c r="Q1600" s="238"/>
      <c r="R1600" s="238"/>
      <c r="S1600" s="238"/>
      <c r="T1600" s="218">
        <f>VLOOKUP(A1600,'Groupe de branches'!$Z$27:$AM$86,14,FALSE)</f>
        <v>0</v>
      </c>
      <c r="U1600" s="218">
        <f>VLOOKUP(D1600,'Groupe de branches'!$Z$27:$AM$86,14,FALSE)</f>
        <v>0</v>
      </c>
      <c r="V1600" s="218">
        <v>2020</v>
      </c>
      <c r="W1600" s="218" t="str">
        <f>VLOOKUP(D1600,'Table corresp.'!$M$4:$S$63,7,FALSE)</f>
        <v>Construction</v>
      </c>
      <c r="X1600" s="240">
        <f>IFERROR(G1600/SUMIFS('Comp2016-2017 (3)'!$I$5:$I$289,'Comp2016-2017 (3)'!$A$5:$A$289,A1600,'Comp2016-2017 (3)'!$R$5:$R$289,V1600),0)</f>
        <v>1.8789481165144928E-4</v>
      </c>
      <c r="Y1600" s="219" t="e">
        <f>IF(RIGHT(F1600,3)="Exp",VLOOKUP(F1600,#REF!,2,FALSE),VLOOKUP(F1600,#REF!,9,FALSE))</f>
        <v>#REF!</v>
      </c>
      <c r="Z1600" s="226" t="str">
        <f t="shared" si="181"/>
        <v/>
      </c>
      <c r="AA1600" s="226" t="e">
        <f t="shared" si="183"/>
        <v>#VALUE!</v>
      </c>
      <c r="AB1600" s="205">
        <f>IFERROR(SUMIFS('Comp2016-2017 (3)'!$G$5:$G$289,'Comp2016-2017 (3)'!$A$5:$A$289,A1600,'Comp2016-2017 (3)'!$R$5:$R$289,V1600)*AA1600/SUMIFS($AA$4:$AA$1858,$A$4:$A$1858,A1600,$V$4:$V$1858,V1600),0)</f>
        <v>0</v>
      </c>
      <c r="AC1600" s="205" t="str">
        <f>IF($W1600=AC$3,$AB1600,IF(NOT($W1600=0),"",SUMIFS('Val-Vol (2)'!AC$4:AC$1858,'Val-Vol (2)'!$A$4:$A$1858,$D1600,'Val-Vol (2)'!$V$4:$V$1858,$V1600)/SUMIFS('Comp2016-2017 (3)'!$G$5:$G$289,'Comp2016-2017 (3)'!$A$5:$A$289,$D1600,'Comp2016-2017 (3)'!$R$5:$R$289,$V1600)*$AB1600))</f>
        <v/>
      </c>
      <c r="AD1600" s="205">
        <f>IF($W1600=AD$3,$AB1600,IF(NOT($W1600=0),"",SUMIFS('Val-Vol (2)'!AD$4:AD$1858,'Val-Vol (2)'!$A$4:$A$1858,$D1600,'Val-Vol (2)'!$V$4:$V$1858,$V1600)/SUMIFS('Comp2016-2017 (3)'!$G$5:$G$289,'Comp2016-2017 (3)'!$A$5:$A$289,$D1600,'Comp2016-2017 (3)'!$R$5:$R$289,$V1600)*$AB1600))</f>
        <v>0</v>
      </c>
      <c r="AE1600" s="205" t="str">
        <f>IF($W1600=AE$3,$AB1600,IF(NOT($W1600=0),"",SUMIFS('Val-Vol (2)'!AE$4:AE$1858,'Val-Vol (2)'!$A$4:$A$1858,$D1600,'Val-Vol (2)'!$V$4:$V$1858,$V1600)/SUMIFS('Comp2016-2017 (3)'!$G$5:$G$289,'Comp2016-2017 (3)'!$A$5:$A$289,$D1600,'Comp2016-2017 (3)'!$R$5:$R$289,$V1600)*$AB1600))</f>
        <v/>
      </c>
      <c r="AF1600" s="205" t="str">
        <f>IF($W1600=AF$3,$AB1600,IF(NOT($W1600=0),"",SUMIFS('Val-Vol (2)'!AF$4:AF$1858,'Val-Vol (2)'!$A$4:$A$1858,$D1600,'Val-Vol (2)'!$V$4:$V$1858,$V1600)/SUMIFS('Comp2016-2017 (3)'!$G$5:$G$289,'Comp2016-2017 (3)'!$A$5:$A$289,$D1600,'Comp2016-2017 (3)'!$R$5:$R$289,$V1600)*$AB1600))</f>
        <v/>
      </c>
      <c r="AG1600" s="205" t="str">
        <f>IF($W1600=AG$3,$AB1600,IF(NOT($W1600=0),"",SUMIFS('Val-Vol (2)'!AG$4:AG$1858,'Val-Vol (2)'!$A$4:$A$1858,$D1600,'Val-Vol (2)'!$V$4:$V$1858,$V1600)/SUMIFS('Comp2016-2017 (3)'!$G$5:$G$289,'Comp2016-2017 (3)'!$A$5:$A$289,$D1600,'Comp2016-2017 (3)'!$R$5:$R$289,$V1600)*$AB1600))</f>
        <v/>
      </c>
      <c r="AH1600" s="205" t="str">
        <f>IF($W1600=AH$3,$AB1600,IF(NOT($W1600=0),"",SUMIFS('Val-Vol (2)'!AH$4:AH$1858,'Val-Vol (2)'!$A$4:$A$1858,$D1600,'Val-Vol (2)'!$V$4:$V$1858,$V1600)/SUMIFS('Comp2016-2017 (3)'!$G$5:$G$289,'Comp2016-2017 (3)'!$A$5:$A$289,$D1600,'Comp2016-2017 (3)'!$R$5:$R$289,$V1600)*$AB1600))</f>
        <v/>
      </c>
      <c r="AI1600" s="205" t="str">
        <f>IF($W1600=AI$3,$AB1600,IF(NOT($W1600=0),"",SUMIFS('Val-Vol (2)'!AI$4:AI$1858,'Val-Vol (2)'!$A$4:$A$1858,$D1600,'Val-Vol (2)'!$V$4:$V$1858,$V1600)/SUMIFS('Comp2016-2017 (3)'!$G$5:$G$289,'Comp2016-2017 (3)'!$A$5:$A$289,$D1600,'Comp2016-2017 (3)'!$R$5:$R$289,$V1600)*$AB1600))</f>
        <v/>
      </c>
      <c r="AJ1600" s="205" t="str">
        <f>IF($W1600=AJ$3,$AB1600,IF(NOT($W1600=0),"",SUMIFS('Val-Vol (2)'!AJ$4:AJ$1858,'Val-Vol (2)'!$A$4:$A$1858,$D1600,'Val-Vol (2)'!$V$4:$V$1858,$V1600)/SUMIFS('Comp2016-2017 (3)'!$G$5:$G$289,'Comp2016-2017 (3)'!$A$5:$A$289,$D1600,'Comp2016-2017 (3)'!$R$5:$R$289,$V1600)*$AB1600))</f>
        <v/>
      </c>
      <c r="AK1600" s="205">
        <f t="shared" si="182"/>
        <v>0</v>
      </c>
      <c r="AL1600" s="218" t="str">
        <f t="shared" si="184"/>
        <v/>
      </c>
      <c r="AM1600" s="218" t="str">
        <f>VLOOKUP(A1600,'Table corresp.'!$M$4:$U$63,8,FALSE)</f>
        <v>Production intermédiaire</v>
      </c>
      <c r="AN1600" s="218" t="str">
        <f>VLOOKUP(D1600,'Table corresp.'!$M$4:$U$63,9,FALSE)</f>
        <v xml:space="preserve">Mise en œuvre </v>
      </c>
    </row>
    <row r="1601" spans="1:40" x14ac:dyDescent="0.25">
      <c r="A1601" t="s">
        <v>6</v>
      </c>
      <c r="B1601" t="str">
        <f>VLOOKUP(LEFT(A1601,3),'Table corresp.'!$A$4:$D$63,3,FALSE)</f>
        <v>Transformation</v>
      </c>
      <c r="C1601" t="str">
        <f>VLOOKUP(A1601,'Table corresp.'!$M$4:$P$63,4,FALSE)</f>
        <v>Production et transformation de produits bois</v>
      </c>
      <c r="D1601" t="s">
        <v>54</v>
      </c>
      <c r="E1601" t="str">
        <f>VLOOKUP(LEFT(D1601,3),'Table corresp.'!$A$4:$D$63,4,FALSE)</f>
        <v>Consommation finale</v>
      </c>
      <c r="F1601" t="str">
        <f t="shared" si="185"/>
        <v>11  - Con</v>
      </c>
      <c r="G1601" s="238">
        <v>251.039069446833</v>
      </c>
      <c r="H1601" s="238">
        <v>9290.3753726699306</v>
      </c>
      <c r="I1601" s="238">
        <v>9541.4144410385998</v>
      </c>
      <c r="J1601" s="238">
        <v>0.19359237473576885</v>
      </c>
      <c r="K1601" s="238">
        <v>7.5329833219684579</v>
      </c>
      <c r="L1601" s="238">
        <v>7.7265756967042272</v>
      </c>
      <c r="M1601" s="238"/>
      <c r="N1601" s="238"/>
      <c r="O1601" s="238"/>
      <c r="P1601" s="238"/>
      <c r="Q1601" s="238"/>
      <c r="R1601" s="238"/>
      <c r="S1601" s="238"/>
      <c r="T1601" s="218">
        <f>VLOOKUP(A1601,'Groupe de branches'!$Z$27:$AM$86,14,FALSE)</f>
        <v>0</v>
      </c>
      <c r="U1601" s="218">
        <f>VLOOKUP(D1601,'Groupe de branches'!$Z$27:$AM$86,14,FALSE)</f>
        <v>0</v>
      </c>
      <c r="V1601" s="218">
        <v>2020</v>
      </c>
      <c r="W1601" s="218" t="str">
        <f>VLOOKUP(D1601,'Table corresp.'!$M$4:$S$63,7,FALSE)</f>
        <v>Consommation finale</v>
      </c>
      <c r="X1601" s="240">
        <f>IFERROR(G1601/SUMIFS('Comp2016-2017 (3)'!$I$5:$I$289,'Comp2016-2017 (3)'!$A$5:$A$289,A1601,'Comp2016-2017 (3)'!$R$5:$R$289,V1601),0)</f>
        <v>2.2472390067749797E-2</v>
      </c>
      <c r="Y1601" s="219" t="e">
        <f>IF(RIGHT(F1601,3)="Exp",VLOOKUP(F1601,#REF!,2,FALSE),VLOOKUP(F1601,#REF!,9,FALSE))</f>
        <v>#REF!</v>
      </c>
      <c r="Z1601" s="226" t="str">
        <f t="shared" si="181"/>
        <v/>
      </c>
      <c r="AA1601" s="226" t="e">
        <f t="shared" si="183"/>
        <v>#VALUE!</v>
      </c>
      <c r="AB1601" s="205">
        <f>IFERROR(SUMIFS('Comp2016-2017 (3)'!$G$5:$G$289,'Comp2016-2017 (3)'!$A$5:$A$289,A1601,'Comp2016-2017 (3)'!$R$5:$R$289,V1601)*AA1601/SUMIFS($AA$4:$AA$1858,$A$4:$A$1858,A1601,$V$4:$V$1858,V1601),0)</f>
        <v>0</v>
      </c>
      <c r="AC1601" s="205" t="str">
        <f>IF($W1601=AC$3,$AB1601,IF(NOT($W1601=0),"",SUMIFS('Val-Vol (2)'!AC$4:AC$1858,'Val-Vol (2)'!$A$4:$A$1858,$D1601,'Val-Vol (2)'!$V$4:$V$1858,$V1601)/SUMIFS('Comp2016-2017 (3)'!$G$5:$G$289,'Comp2016-2017 (3)'!$A$5:$A$289,$D1601,'Comp2016-2017 (3)'!$R$5:$R$289,$V1601)*$AB1601))</f>
        <v/>
      </c>
      <c r="AD1601" s="205" t="str">
        <f>IF($W1601=AD$3,$AB1601,IF(NOT($W1601=0),"",SUMIFS('Val-Vol (2)'!AD$4:AD$1858,'Val-Vol (2)'!$A$4:$A$1858,$D1601,'Val-Vol (2)'!$V$4:$V$1858,$V1601)/SUMIFS('Comp2016-2017 (3)'!$G$5:$G$289,'Comp2016-2017 (3)'!$A$5:$A$289,$D1601,'Comp2016-2017 (3)'!$R$5:$R$289,$V1601)*$AB1601))</f>
        <v/>
      </c>
      <c r="AE1601" s="205" t="str">
        <f>IF($W1601=AE$3,$AB1601,IF(NOT($W1601=0),"",SUMIFS('Val-Vol (2)'!AE$4:AE$1858,'Val-Vol (2)'!$A$4:$A$1858,$D1601,'Val-Vol (2)'!$V$4:$V$1858,$V1601)/SUMIFS('Comp2016-2017 (3)'!$G$5:$G$289,'Comp2016-2017 (3)'!$A$5:$A$289,$D1601,'Comp2016-2017 (3)'!$R$5:$R$289,$V1601)*$AB1601))</f>
        <v/>
      </c>
      <c r="AF1601" s="205" t="str">
        <f>IF($W1601=AF$3,$AB1601,IF(NOT($W1601=0),"",SUMIFS('Val-Vol (2)'!AF$4:AF$1858,'Val-Vol (2)'!$A$4:$A$1858,$D1601,'Val-Vol (2)'!$V$4:$V$1858,$V1601)/SUMIFS('Comp2016-2017 (3)'!$G$5:$G$289,'Comp2016-2017 (3)'!$A$5:$A$289,$D1601,'Comp2016-2017 (3)'!$R$5:$R$289,$V1601)*$AB1601))</f>
        <v/>
      </c>
      <c r="AG1601" s="205" t="str">
        <f>IF($W1601=AG$3,$AB1601,IF(NOT($W1601=0),"",SUMIFS('Val-Vol (2)'!AG$4:AG$1858,'Val-Vol (2)'!$A$4:$A$1858,$D1601,'Val-Vol (2)'!$V$4:$V$1858,$V1601)/SUMIFS('Comp2016-2017 (3)'!$G$5:$G$289,'Comp2016-2017 (3)'!$A$5:$A$289,$D1601,'Comp2016-2017 (3)'!$R$5:$R$289,$V1601)*$AB1601))</f>
        <v/>
      </c>
      <c r="AH1601" s="205" t="str">
        <f>IF($W1601=AH$3,$AB1601,IF(NOT($W1601=0),"",SUMIFS('Val-Vol (2)'!AH$4:AH$1858,'Val-Vol (2)'!$A$4:$A$1858,$D1601,'Val-Vol (2)'!$V$4:$V$1858,$V1601)/SUMIFS('Comp2016-2017 (3)'!$G$5:$G$289,'Comp2016-2017 (3)'!$A$5:$A$289,$D1601,'Comp2016-2017 (3)'!$R$5:$R$289,$V1601)*$AB1601))</f>
        <v/>
      </c>
      <c r="AI1601" s="205" t="str">
        <f>IF($W1601=AI$3,$AB1601,IF(NOT($W1601=0),"",SUMIFS('Val-Vol (2)'!AI$4:AI$1858,'Val-Vol (2)'!$A$4:$A$1858,$D1601,'Val-Vol (2)'!$V$4:$V$1858,$V1601)/SUMIFS('Comp2016-2017 (3)'!$G$5:$G$289,'Comp2016-2017 (3)'!$A$5:$A$289,$D1601,'Comp2016-2017 (3)'!$R$5:$R$289,$V1601)*$AB1601))</f>
        <v/>
      </c>
      <c r="AJ1601" s="205">
        <f>IF($W1601=AJ$3,$AB1601,IF(NOT($W1601=0),"",SUMIFS('Val-Vol (2)'!AJ$4:AJ$1858,'Val-Vol (2)'!$A$4:$A$1858,$D1601,'Val-Vol (2)'!$V$4:$V$1858,$V1601)/SUMIFS('Comp2016-2017 (3)'!$G$5:$G$289,'Comp2016-2017 (3)'!$A$5:$A$289,$D1601,'Comp2016-2017 (3)'!$R$5:$R$289,$V1601)*$AB1601))</f>
        <v>0</v>
      </c>
      <c r="AK1601" s="205">
        <f t="shared" si="182"/>
        <v>0</v>
      </c>
      <c r="AL1601" s="218" t="str">
        <f t="shared" si="184"/>
        <v/>
      </c>
      <c r="AM1601" s="218" t="str">
        <f>VLOOKUP(A1601,'Table corresp.'!$M$4:$U$63,8,FALSE)</f>
        <v>Production intermédiaire</v>
      </c>
      <c r="AN1601" s="218" t="str">
        <f>VLOOKUP(D1601,'Table corresp.'!$M$4:$U$63,9,FALSE)</f>
        <v>Consommation finale française</v>
      </c>
    </row>
    <row r="1602" spans="1:40" x14ac:dyDescent="0.25">
      <c r="A1602" t="s">
        <v>6</v>
      </c>
      <c r="B1602" t="str">
        <f>VLOOKUP(LEFT(A1602,3),'Table corresp.'!$A$4:$D$63,3,FALSE)</f>
        <v>Transformation</v>
      </c>
      <c r="C1602" t="str">
        <f>VLOOKUP(A1602,'Table corresp.'!$M$4:$P$63,4,FALSE)</f>
        <v>Production et transformation de produits bois</v>
      </c>
      <c r="D1602" t="s">
        <v>53</v>
      </c>
      <c r="E1602" t="str">
        <f>VLOOKUP(LEFT(D1602,3),'Table corresp.'!$A$4:$D$63,4,FALSE)</f>
        <v>Exportation</v>
      </c>
      <c r="F1602" t="str">
        <f t="shared" si="185"/>
        <v>11  - Exp</v>
      </c>
      <c r="G1602" s="238">
        <v>1498.4234957338399</v>
      </c>
      <c r="H1602" s="238">
        <v>0</v>
      </c>
      <c r="I1602" s="238">
        <v>1498.423497</v>
      </c>
      <c r="J1602" s="238">
        <v>0.87181881923198201</v>
      </c>
      <c r="K1602" s="238">
        <v>0</v>
      </c>
      <c r="L1602" s="238">
        <v>0.87181881923198201</v>
      </c>
      <c r="M1602" s="238"/>
      <c r="N1602" s="238"/>
      <c r="O1602" s="238"/>
      <c r="P1602" s="238"/>
      <c r="Q1602" s="238"/>
      <c r="R1602" s="238"/>
      <c r="S1602" s="238"/>
      <c r="T1602" s="218">
        <f>VLOOKUP(A1602,'Groupe de branches'!$Z$27:$AM$86,14,FALSE)</f>
        <v>0</v>
      </c>
      <c r="U1602" s="218">
        <f>VLOOKUP(D1602,'Groupe de branches'!$Z$27:$AM$86,14,FALSE)</f>
        <v>0</v>
      </c>
      <c r="V1602" s="218">
        <v>2020</v>
      </c>
      <c r="W1602" s="218" t="str">
        <f>VLOOKUP(D1602,'Table corresp.'!$M$4:$S$63,7,FALSE)</f>
        <v>Exportation</v>
      </c>
      <c r="X1602" s="240">
        <f>IFERROR(G1602/SUMIFS('Comp2016-2017 (3)'!$I$5:$I$289,'Comp2016-2017 (3)'!$A$5:$A$289,A1602,'Comp2016-2017 (3)'!$R$5:$R$289,V1602),0)</f>
        <v>0.13413512628536747</v>
      </c>
      <c r="Y1602" s="219" t="e">
        <f>IF(RIGHT(F1602,3)="Exp",VLOOKUP(F1602,#REF!,2,FALSE),VLOOKUP(F1602,#REF!,9,FALSE))</f>
        <v>#REF!</v>
      </c>
      <c r="Z1602" s="226" t="str">
        <f t="shared" si="181"/>
        <v/>
      </c>
      <c r="AA1602" s="226" t="e">
        <f t="shared" si="183"/>
        <v>#VALUE!</v>
      </c>
      <c r="AB1602" s="205">
        <f>IFERROR(SUMIFS('Comp2016-2017 (3)'!$G$5:$G$289,'Comp2016-2017 (3)'!$A$5:$A$289,A1602,'Comp2016-2017 (3)'!$R$5:$R$289,V1602)*AA1602/SUMIFS($AA$4:$AA$1858,$A$4:$A$1858,A1602,$V$4:$V$1858,V1602),0)</f>
        <v>0</v>
      </c>
      <c r="AC1602" s="205">
        <f>IF($W1602=AC$3,$AB1602,IF(NOT($W1602=0),"",SUMIFS('Val-Vol (2)'!AC$4:AC$1858,'Val-Vol (2)'!$A$4:$A$1858,$D1602,'Val-Vol (2)'!$V$4:$V$1858,$V1602)/SUMIFS('Comp2016-2017 (3)'!$G$5:$G$289,'Comp2016-2017 (3)'!$A$5:$A$289,$D1602,'Comp2016-2017 (3)'!$R$5:$R$289,$V1602)*$AB1602))</f>
        <v>0</v>
      </c>
      <c r="AD1602" s="205" t="str">
        <f>IF($W1602=AD$3,$AB1602,IF(NOT($W1602=0),"",SUMIFS('Val-Vol (2)'!AD$4:AD$1858,'Val-Vol (2)'!$A$4:$A$1858,$D1602,'Val-Vol (2)'!$V$4:$V$1858,$V1602)/SUMIFS('Comp2016-2017 (3)'!$G$5:$G$289,'Comp2016-2017 (3)'!$A$5:$A$289,$D1602,'Comp2016-2017 (3)'!$R$5:$R$289,$V1602)*$AB1602))</f>
        <v/>
      </c>
      <c r="AE1602" s="205" t="str">
        <f>IF($W1602=AE$3,$AB1602,IF(NOT($W1602=0),"",SUMIFS('Val-Vol (2)'!AE$4:AE$1858,'Val-Vol (2)'!$A$4:$A$1858,$D1602,'Val-Vol (2)'!$V$4:$V$1858,$V1602)/SUMIFS('Comp2016-2017 (3)'!$G$5:$G$289,'Comp2016-2017 (3)'!$A$5:$A$289,$D1602,'Comp2016-2017 (3)'!$R$5:$R$289,$V1602)*$AB1602))</f>
        <v/>
      </c>
      <c r="AF1602" s="205" t="str">
        <f>IF($W1602=AF$3,$AB1602,IF(NOT($W1602=0),"",SUMIFS('Val-Vol (2)'!AF$4:AF$1858,'Val-Vol (2)'!$A$4:$A$1858,$D1602,'Val-Vol (2)'!$V$4:$V$1858,$V1602)/SUMIFS('Comp2016-2017 (3)'!$G$5:$G$289,'Comp2016-2017 (3)'!$A$5:$A$289,$D1602,'Comp2016-2017 (3)'!$R$5:$R$289,$V1602)*$AB1602))</f>
        <v/>
      </c>
      <c r="AG1602" s="205" t="str">
        <f>IF($W1602=AG$3,$AB1602,IF(NOT($W1602=0),"",SUMIFS('Val-Vol (2)'!AG$4:AG$1858,'Val-Vol (2)'!$A$4:$A$1858,$D1602,'Val-Vol (2)'!$V$4:$V$1858,$V1602)/SUMIFS('Comp2016-2017 (3)'!$G$5:$G$289,'Comp2016-2017 (3)'!$A$5:$A$289,$D1602,'Comp2016-2017 (3)'!$R$5:$R$289,$V1602)*$AB1602))</f>
        <v/>
      </c>
      <c r="AH1602" s="205" t="str">
        <f>IF($W1602=AH$3,$AB1602,IF(NOT($W1602=0),"",SUMIFS('Val-Vol (2)'!AH$4:AH$1858,'Val-Vol (2)'!$A$4:$A$1858,$D1602,'Val-Vol (2)'!$V$4:$V$1858,$V1602)/SUMIFS('Comp2016-2017 (3)'!$G$5:$G$289,'Comp2016-2017 (3)'!$A$5:$A$289,$D1602,'Comp2016-2017 (3)'!$R$5:$R$289,$V1602)*$AB1602))</f>
        <v/>
      </c>
      <c r="AI1602" s="205" t="str">
        <f>IF($W1602=AI$3,$AB1602,IF(NOT($W1602=0),"",SUMIFS('Val-Vol (2)'!AI$4:AI$1858,'Val-Vol (2)'!$A$4:$A$1858,$D1602,'Val-Vol (2)'!$V$4:$V$1858,$V1602)/SUMIFS('Comp2016-2017 (3)'!$G$5:$G$289,'Comp2016-2017 (3)'!$A$5:$A$289,$D1602,'Comp2016-2017 (3)'!$R$5:$R$289,$V1602)*$AB1602))</f>
        <v/>
      </c>
      <c r="AJ1602" s="205" t="str">
        <f>IF($W1602=AJ$3,$AB1602,IF(NOT($W1602=0),"",SUMIFS('Val-Vol (2)'!AJ$4:AJ$1858,'Val-Vol (2)'!$A$4:$A$1858,$D1602,'Val-Vol (2)'!$V$4:$V$1858,$V1602)/SUMIFS('Comp2016-2017 (3)'!$G$5:$G$289,'Comp2016-2017 (3)'!$A$5:$A$289,$D1602,'Comp2016-2017 (3)'!$R$5:$R$289,$V1602)*$AB1602))</f>
        <v/>
      </c>
      <c r="AK1602" s="205">
        <f t="shared" si="182"/>
        <v>0</v>
      </c>
      <c r="AL1602" s="218" t="str">
        <f t="shared" si="184"/>
        <v/>
      </c>
      <c r="AM1602" s="218" t="str">
        <f>VLOOKUP(A1602,'Table corresp.'!$M$4:$U$63,8,FALSE)</f>
        <v>Production intermédiaire</v>
      </c>
      <c r="AN1602" s="218" t="str">
        <f>VLOOKUP(D1602,'Table corresp.'!$M$4:$U$63,9,FALSE)</f>
        <v>Exportation</v>
      </c>
    </row>
    <row r="1603" spans="1:40" x14ac:dyDescent="0.25">
      <c r="A1603" t="s">
        <v>7</v>
      </c>
      <c r="B1603" t="str">
        <f>VLOOKUP(LEFT(A1603,3),'Table corresp.'!$A$4:$D$63,3,FALSE)</f>
        <v>Transformation</v>
      </c>
      <c r="C1603" t="str">
        <f>VLOOKUP(A1603,'Table corresp.'!$M$4:$P$63,4,FALSE)</f>
        <v>Production et transformation de produits bois</v>
      </c>
      <c r="D1603" t="s">
        <v>13</v>
      </c>
      <c r="E1603" t="str">
        <f>VLOOKUP(LEFT(D1603,3),'Table corresp.'!$A$4:$D$63,4,FALSE)</f>
        <v>Transformation</v>
      </c>
      <c r="F1603" t="str">
        <f t="shared" si="185"/>
        <v xml:space="preserve">12  - 20 </v>
      </c>
      <c r="G1603" s="238">
        <v>23762.948099101599</v>
      </c>
      <c r="H1603" s="238">
        <v>107693.54864025601</v>
      </c>
      <c r="I1603" s="238">
        <v>131456.49673935701</v>
      </c>
      <c r="J1603" s="238">
        <v>178.008512440098</v>
      </c>
      <c r="K1603" s="238">
        <v>999.03965845569246</v>
      </c>
      <c r="L1603" s="238">
        <v>1177.0481708957905</v>
      </c>
      <c r="M1603" s="238"/>
      <c r="N1603" s="238"/>
      <c r="O1603" s="238"/>
      <c r="P1603" s="238"/>
      <c r="Q1603" s="238"/>
      <c r="R1603" s="238"/>
      <c r="S1603" s="238"/>
      <c r="T1603" s="218">
        <f>VLOOKUP(A1603,'Groupe de branches'!$Z$27:$AM$86,14,FALSE)</f>
        <v>0</v>
      </c>
      <c r="U1603" s="218">
        <f>VLOOKUP(D1603,'Groupe de branches'!$Z$27:$AM$86,14,FALSE)</f>
        <v>0</v>
      </c>
      <c r="V1603" s="218">
        <v>2020</v>
      </c>
      <c r="W1603" s="218">
        <f>VLOOKUP(D1603,'Table corresp.'!$M$4:$S$63,7,FALSE)</f>
        <v>0</v>
      </c>
      <c r="X1603" s="240">
        <f>IFERROR(G1603/SUMIFS('Comp2016-2017 (3)'!$I$5:$I$289,'Comp2016-2017 (3)'!$A$5:$A$289,A1603,'Comp2016-2017 (3)'!$R$5:$R$289,V1603),0)</f>
        <v>3.1349571268288849E-2</v>
      </c>
      <c r="Y1603" s="219" t="e">
        <f>IF(RIGHT(F1603,3)="Exp",VLOOKUP(F1603,#REF!,2,FALSE),VLOOKUP(F1603,#REF!,9,FALSE))</f>
        <v>#REF!</v>
      </c>
      <c r="Z1603" s="226" t="str">
        <f t="shared" si="181"/>
        <v/>
      </c>
      <c r="AA1603" s="226" t="e">
        <f t="shared" si="183"/>
        <v>#VALUE!</v>
      </c>
      <c r="AB1603" s="205">
        <f>IFERROR(SUMIFS('Comp2016-2017 (3)'!$G$5:$G$289,'Comp2016-2017 (3)'!$A$5:$A$289,A1603,'Comp2016-2017 (3)'!$R$5:$R$289,V1603)*AA1603/SUMIFS($AA$4:$AA$1858,$A$4:$A$1858,A1603,$V$4:$V$1858,V1603),0)</f>
        <v>0</v>
      </c>
      <c r="AC1603" s="205">
        <f>IF($W1603=AC$3,$AB1603,IF(NOT($W1603=0),"",SUMIFS('Val-Vol (2)'!AC$4:AC$1858,'Val-Vol (2)'!$A$4:$A$1858,$D1603,'Val-Vol (2)'!$V$4:$V$1858,$V1603)/SUMIFS('Comp2016-2017 (3)'!$G$5:$G$289,'Comp2016-2017 (3)'!$A$5:$A$289,$D1603,'Comp2016-2017 (3)'!$R$5:$R$289,$V1603)*$AB1603))</f>
        <v>0</v>
      </c>
      <c r="AD1603" s="205">
        <f>IF($W1603=AD$3,$AB1603,IF(NOT($W1603=0),"",SUMIFS('Val-Vol (2)'!AD$4:AD$1858,'Val-Vol (2)'!$A$4:$A$1858,$D1603,'Val-Vol (2)'!$V$4:$V$1858,$V1603)/SUMIFS('Comp2016-2017 (3)'!$G$5:$G$289,'Comp2016-2017 (3)'!$A$5:$A$289,$D1603,'Comp2016-2017 (3)'!$R$5:$R$289,$V1603)*$AB1603))</f>
        <v>0</v>
      </c>
      <c r="AE1603" s="205">
        <f>IF($W1603=AE$3,$AB1603,IF(NOT($W1603=0),"",SUMIFS('Val-Vol (2)'!AE$4:AE$1858,'Val-Vol (2)'!$A$4:$A$1858,$D1603,'Val-Vol (2)'!$V$4:$V$1858,$V1603)/SUMIFS('Comp2016-2017 (3)'!$G$5:$G$289,'Comp2016-2017 (3)'!$A$5:$A$289,$D1603,'Comp2016-2017 (3)'!$R$5:$R$289,$V1603)*$AB1603))</f>
        <v>0</v>
      </c>
      <c r="AF1603" s="205">
        <f>IF($W1603=AF$3,$AB1603,IF(NOT($W1603=0),"",SUMIFS('Val-Vol (2)'!AF$4:AF$1858,'Val-Vol (2)'!$A$4:$A$1858,$D1603,'Val-Vol (2)'!$V$4:$V$1858,$V1603)/SUMIFS('Comp2016-2017 (3)'!$G$5:$G$289,'Comp2016-2017 (3)'!$A$5:$A$289,$D1603,'Comp2016-2017 (3)'!$R$5:$R$289,$V1603)*$AB1603))</f>
        <v>0</v>
      </c>
      <c r="AG1603" s="205">
        <f>IF($W1603=AG$3,$AB1603,IF(NOT($W1603=0),"",SUMIFS('Val-Vol (2)'!AG$4:AG$1858,'Val-Vol (2)'!$A$4:$A$1858,$D1603,'Val-Vol (2)'!$V$4:$V$1858,$V1603)/SUMIFS('Comp2016-2017 (3)'!$G$5:$G$289,'Comp2016-2017 (3)'!$A$5:$A$289,$D1603,'Comp2016-2017 (3)'!$R$5:$R$289,$V1603)*$AB1603))</f>
        <v>0</v>
      </c>
      <c r="AH1603" s="205">
        <f>IF($W1603=AH$3,$AB1603,IF(NOT($W1603=0),"",SUMIFS('Val-Vol (2)'!AH$4:AH$1858,'Val-Vol (2)'!$A$4:$A$1858,$D1603,'Val-Vol (2)'!$V$4:$V$1858,$V1603)/SUMIFS('Comp2016-2017 (3)'!$G$5:$G$289,'Comp2016-2017 (3)'!$A$5:$A$289,$D1603,'Comp2016-2017 (3)'!$R$5:$R$289,$V1603)*$AB1603))</f>
        <v>0</v>
      </c>
      <c r="AI1603" s="205">
        <f>IF($W1603=AI$3,$AB1603,IF(NOT($W1603=0),"",SUMIFS('Val-Vol (2)'!AI$4:AI$1858,'Val-Vol (2)'!$A$4:$A$1858,$D1603,'Val-Vol (2)'!$V$4:$V$1858,$V1603)/SUMIFS('Comp2016-2017 (3)'!$G$5:$G$289,'Comp2016-2017 (3)'!$A$5:$A$289,$D1603,'Comp2016-2017 (3)'!$R$5:$R$289,$V1603)*$AB1603))</f>
        <v>0</v>
      </c>
      <c r="AJ1603" s="205">
        <f>IF($W1603=AJ$3,$AB1603,IF(NOT($W1603=0),"",SUMIFS('Val-Vol (2)'!AJ$4:AJ$1858,'Val-Vol (2)'!$A$4:$A$1858,$D1603,'Val-Vol (2)'!$V$4:$V$1858,$V1603)/SUMIFS('Comp2016-2017 (3)'!$G$5:$G$289,'Comp2016-2017 (3)'!$A$5:$A$289,$D1603,'Comp2016-2017 (3)'!$R$5:$R$289,$V1603)*$AB1603))</f>
        <v>0</v>
      </c>
      <c r="AK1603" s="205">
        <f t="shared" si="182"/>
        <v>0</v>
      </c>
      <c r="AL1603" s="218" t="str">
        <f t="shared" si="184"/>
        <v/>
      </c>
      <c r="AM1603" s="218" t="str">
        <f>VLOOKUP(A1603,'Table corresp.'!$M$4:$U$63,8,FALSE)</f>
        <v>Production intermédiaire</v>
      </c>
      <c r="AN1603" s="218" t="str">
        <f>VLOOKUP(D1603,'Table corresp.'!$M$4:$U$63,9,FALSE)</f>
        <v>Production intermédiaire</v>
      </c>
    </row>
    <row r="1604" spans="1:40" x14ac:dyDescent="0.25">
      <c r="A1604" t="s">
        <v>7</v>
      </c>
      <c r="B1604" t="str">
        <f>VLOOKUP(LEFT(A1604,3),'Table corresp.'!$A$4:$D$63,3,FALSE)</f>
        <v>Transformation</v>
      </c>
      <c r="C1604" t="str">
        <f>VLOOKUP(A1604,'Table corresp.'!$M$4:$P$63,4,FALSE)</f>
        <v>Production et transformation de produits bois</v>
      </c>
      <c r="D1604" t="s">
        <v>14</v>
      </c>
      <c r="E1604" t="str">
        <f>VLOOKUP(LEFT(D1604,3),'Table corresp.'!$A$4:$D$63,4,FALSE)</f>
        <v>Transformation</v>
      </c>
      <c r="F1604" t="str">
        <f t="shared" si="185"/>
        <v>12  - 20b</v>
      </c>
      <c r="G1604" s="238">
        <v>23490.5290666783</v>
      </c>
      <c r="H1604" s="238">
        <v>36592.317071863101</v>
      </c>
      <c r="I1604" s="238">
        <v>60082.846138541303</v>
      </c>
      <c r="J1604" s="238">
        <v>155.16542125758986</v>
      </c>
      <c r="K1604" s="238">
        <v>297.02363196083286</v>
      </c>
      <c r="L1604" s="238">
        <v>452.18905321842271</v>
      </c>
      <c r="M1604" s="238"/>
      <c r="N1604" s="238"/>
      <c r="O1604" s="238"/>
      <c r="P1604" s="238"/>
      <c r="Q1604" s="238"/>
      <c r="R1604" s="238"/>
      <c r="S1604" s="238"/>
      <c r="T1604" s="218">
        <f>VLOOKUP(A1604,'Groupe de branches'!$Z$27:$AM$86,14,FALSE)</f>
        <v>0</v>
      </c>
      <c r="U1604" s="218">
        <f>VLOOKUP(D1604,'Groupe de branches'!$Z$27:$AM$86,14,FALSE)</f>
        <v>0</v>
      </c>
      <c r="V1604" s="218">
        <v>2020</v>
      </c>
      <c r="W1604" s="218">
        <f>VLOOKUP(D1604,'Table corresp.'!$M$4:$S$63,7,FALSE)</f>
        <v>0</v>
      </c>
      <c r="X1604" s="240">
        <f>IFERROR(G1604/SUMIFS('Comp2016-2017 (3)'!$I$5:$I$289,'Comp2016-2017 (3)'!$A$5:$A$289,A1604,'Comp2016-2017 (3)'!$R$5:$R$289,V1604),0)</f>
        <v>3.0990178997760121E-2</v>
      </c>
      <c r="Y1604" s="219" t="e">
        <f>IF(RIGHT(F1604,3)="Exp",VLOOKUP(F1604,#REF!,2,FALSE),VLOOKUP(F1604,#REF!,9,FALSE))</f>
        <v>#REF!</v>
      </c>
      <c r="Z1604" s="226" t="str">
        <f t="shared" si="181"/>
        <v/>
      </c>
      <c r="AA1604" s="226" t="e">
        <f t="shared" si="183"/>
        <v>#VALUE!</v>
      </c>
      <c r="AB1604" s="205">
        <f>IFERROR(SUMIFS('Comp2016-2017 (3)'!$G$5:$G$289,'Comp2016-2017 (3)'!$A$5:$A$289,A1604,'Comp2016-2017 (3)'!$R$5:$R$289,V1604)*AA1604/SUMIFS($AA$4:$AA$1858,$A$4:$A$1858,A1604,$V$4:$V$1858,V1604),0)</f>
        <v>0</v>
      </c>
      <c r="AC1604" s="205">
        <f>IF($W1604=AC$3,$AB1604,IF(NOT($W1604=0),"",SUMIFS('Val-Vol (2)'!AC$4:AC$1858,'Val-Vol (2)'!$A$4:$A$1858,$D1604,'Val-Vol (2)'!$V$4:$V$1858,$V1604)/SUMIFS('Comp2016-2017 (3)'!$G$5:$G$289,'Comp2016-2017 (3)'!$A$5:$A$289,$D1604,'Comp2016-2017 (3)'!$R$5:$R$289,$V1604)*$AB1604))</f>
        <v>0</v>
      </c>
      <c r="AD1604" s="205">
        <f>IF($W1604=AD$3,$AB1604,IF(NOT($W1604=0),"",SUMIFS('Val-Vol (2)'!AD$4:AD$1858,'Val-Vol (2)'!$A$4:$A$1858,$D1604,'Val-Vol (2)'!$V$4:$V$1858,$V1604)/SUMIFS('Comp2016-2017 (3)'!$G$5:$G$289,'Comp2016-2017 (3)'!$A$5:$A$289,$D1604,'Comp2016-2017 (3)'!$R$5:$R$289,$V1604)*$AB1604))</f>
        <v>0</v>
      </c>
      <c r="AE1604" s="205">
        <f>IF($W1604=AE$3,$AB1604,IF(NOT($W1604=0),"",SUMIFS('Val-Vol (2)'!AE$4:AE$1858,'Val-Vol (2)'!$A$4:$A$1858,$D1604,'Val-Vol (2)'!$V$4:$V$1858,$V1604)/SUMIFS('Comp2016-2017 (3)'!$G$5:$G$289,'Comp2016-2017 (3)'!$A$5:$A$289,$D1604,'Comp2016-2017 (3)'!$R$5:$R$289,$V1604)*$AB1604))</f>
        <v>0</v>
      </c>
      <c r="AF1604" s="205">
        <f>IF($W1604=AF$3,$AB1604,IF(NOT($W1604=0),"",SUMIFS('Val-Vol (2)'!AF$4:AF$1858,'Val-Vol (2)'!$A$4:$A$1858,$D1604,'Val-Vol (2)'!$V$4:$V$1858,$V1604)/SUMIFS('Comp2016-2017 (3)'!$G$5:$G$289,'Comp2016-2017 (3)'!$A$5:$A$289,$D1604,'Comp2016-2017 (3)'!$R$5:$R$289,$V1604)*$AB1604))</f>
        <v>0</v>
      </c>
      <c r="AG1604" s="205">
        <f>IF($W1604=AG$3,$AB1604,IF(NOT($W1604=0),"",SUMIFS('Val-Vol (2)'!AG$4:AG$1858,'Val-Vol (2)'!$A$4:$A$1858,$D1604,'Val-Vol (2)'!$V$4:$V$1858,$V1604)/SUMIFS('Comp2016-2017 (3)'!$G$5:$G$289,'Comp2016-2017 (3)'!$A$5:$A$289,$D1604,'Comp2016-2017 (3)'!$R$5:$R$289,$V1604)*$AB1604))</f>
        <v>0</v>
      </c>
      <c r="AH1604" s="205">
        <f>IF($W1604=AH$3,$AB1604,IF(NOT($W1604=0),"",SUMIFS('Val-Vol (2)'!AH$4:AH$1858,'Val-Vol (2)'!$A$4:$A$1858,$D1604,'Val-Vol (2)'!$V$4:$V$1858,$V1604)/SUMIFS('Comp2016-2017 (3)'!$G$5:$G$289,'Comp2016-2017 (3)'!$A$5:$A$289,$D1604,'Comp2016-2017 (3)'!$R$5:$R$289,$V1604)*$AB1604))</f>
        <v>0</v>
      </c>
      <c r="AI1604" s="205">
        <f>IF($W1604=AI$3,$AB1604,IF(NOT($W1604=0),"",SUMIFS('Val-Vol (2)'!AI$4:AI$1858,'Val-Vol (2)'!$A$4:$A$1858,$D1604,'Val-Vol (2)'!$V$4:$V$1858,$V1604)/SUMIFS('Comp2016-2017 (3)'!$G$5:$G$289,'Comp2016-2017 (3)'!$A$5:$A$289,$D1604,'Comp2016-2017 (3)'!$R$5:$R$289,$V1604)*$AB1604))</f>
        <v>0</v>
      </c>
      <c r="AJ1604" s="205">
        <f>IF($W1604=AJ$3,$AB1604,IF(NOT($W1604=0),"",SUMIFS('Val-Vol (2)'!AJ$4:AJ$1858,'Val-Vol (2)'!$A$4:$A$1858,$D1604,'Val-Vol (2)'!$V$4:$V$1858,$V1604)/SUMIFS('Comp2016-2017 (3)'!$G$5:$G$289,'Comp2016-2017 (3)'!$A$5:$A$289,$D1604,'Comp2016-2017 (3)'!$R$5:$R$289,$V1604)*$AB1604))</f>
        <v>0</v>
      </c>
      <c r="AK1604" s="205">
        <f t="shared" si="182"/>
        <v>0</v>
      </c>
      <c r="AL1604" s="218" t="str">
        <f t="shared" si="184"/>
        <v/>
      </c>
      <c r="AM1604" s="218" t="str">
        <f>VLOOKUP(A1604,'Table corresp.'!$M$4:$U$63,8,FALSE)</f>
        <v>Production intermédiaire</v>
      </c>
      <c r="AN1604" s="218" t="str">
        <f>VLOOKUP(D1604,'Table corresp.'!$M$4:$U$63,9,FALSE)</f>
        <v>Production intermédiaire</v>
      </c>
    </row>
    <row r="1605" spans="1:40" x14ac:dyDescent="0.25">
      <c r="A1605" t="s">
        <v>7</v>
      </c>
      <c r="B1605" t="str">
        <f>VLOOKUP(LEFT(A1605,3),'Table corresp.'!$A$4:$D$63,3,FALSE)</f>
        <v>Transformation</v>
      </c>
      <c r="C1605" t="str">
        <f>VLOOKUP(A1605,'Table corresp.'!$M$4:$P$63,4,FALSE)</f>
        <v>Production et transformation de produits bois</v>
      </c>
      <c r="D1605" t="s">
        <v>85</v>
      </c>
      <c r="E1605" t="str">
        <f>VLOOKUP(LEFT(D1605,3),'Table corresp.'!$A$4:$D$63,4,FALSE)</f>
        <v>Transformation</v>
      </c>
      <c r="F1605" t="str">
        <f t="shared" si="185"/>
        <v xml:space="preserve">12  - 29 </v>
      </c>
      <c r="G1605" s="238">
        <v>3110.1921216247401</v>
      </c>
      <c r="H1605" s="238">
        <v>0</v>
      </c>
      <c r="I1605" s="238">
        <v>3110.1921216247401</v>
      </c>
      <c r="J1605" s="238">
        <v>29.446695422207178</v>
      </c>
      <c r="K1605" s="238">
        <v>0</v>
      </c>
      <c r="L1605" s="238">
        <v>29.446695422207178</v>
      </c>
      <c r="M1605" s="238"/>
      <c r="N1605" s="238"/>
      <c r="O1605" s="238"/>
      <c r="P1605" s="238"/>
      <c r="Q1605" s="238"/>
      <c r="R1605" s="238"/>
      <c r="S1605" s="238"/>
      <c r="T1605" s="218">
        <f>VLOOKUP(A1605,'Groupe de branches'!$Z$27:$AM$86,14,FALSE)</f>
        <v>0</v>
      </c>
      <c r="U1605" s="218">
        <f>VLOOKUP(D1605,'Groupe de branches'!$Z$27:$AM$86,14,FALSE)</f>
        <v>0</v>
      </c>
      <c r="V1605" s="218">
        <v>2020</v>
      </c>
      <c r="W1605" s="218" t="str">
        <f>VLOOKUP(D1605,'Table corresp.'!$M$4:$S$63,7,FALSE)</f>
        <v>Construction</v>
      </c>
      <c r="X1605" s="240">
        <f>IFERROR(G1605/SUMIFS('Comp2016-2017 (3)'!$I$5:$I$289,'Comp2016-2017 (3)'!$A$5:$A$289,A1605,'Comp2016-2017 (3)'!$R$5:$R$289,V1605),0)</f>
        <v>4.1031604819534821E-3</v>
      </c>
      <c r="Y1605" s="219" t="e">
        <f>IF(RIGHT(F1605,3)="Exp",VLOOKUP(F1605,#REF!,2,FALSE),VLOOKUP(F1605,#REF!,9,FALSE))</f>
        <v>#REF!</v>
      </c>
      <c r="Z1605" s="226" t="str">
        <f t="shared" si="181"/>
        <v/>
      </c>
      <c r="AA1605" s="226" t="e">
        <f t="shared" si="183"/>
        <v>#VALUE!</v>
      </c>
      <c r="AB1605" s="205">
        <f>IFERROR(SUMIFS('Comp2016-2017 (3)'!$G$5:$G$289,'Comp2016-2017 (3)'!$A$5:$A$289,A1605,'Comp2016-2017 (3)'!$R$5:$R$289,V1605)*AA1605/SUMIFS($AA$4:$AA$1858,$A$4:$A$1858,A1605,$V$4:$V$1858,V1605),0)</f>
        <v>0</v>
      </c>
      <c r="AC1605" s="205" t="str">
        <f>IF($W1605=AC$3,$AB1605,IF(NOT($W1605=0),"",SUMIFS('Val-Vol (2)'!AC$4:AC$1858,'Val-Vol (2)'!$A$4:$A$1858,$D1605,'Val-Vol (2)'!$V$4:$V$1858,$V1605)/SUMIFS('Comp2016-2017 (3)'!$G$5:$G$289,'Comp2016-2017 (3)'!$A$5:$A$289,$D1605,'Comp2016-2017 (3)'!$R$5:$R$289,$V1605)*$AB1605))</f>
        <v/>
      </c>
      <c r="AD1605" s="205">
        <f>IF($W1605=AD$3,$AB1605,IF(NOT($W1605=0),"",SUMIFS('Val-Vol (2)'!AD$4:AD$1858,'Val-Vol (2)'!$A$4:$A$1858,$D1605,'Val-Vol (2)'!$V$4:$V$1858,$V1605)/SUMIFS('Comp2016-2017 (3)'!$G$5:$G$289,'Comp2016-2017 (3)'!$A$5:$A$289,$D1605,'Comp2016-2017 (3)'!$R$5:$R$289,$V1605)*$AB1605))</f>
        <v>0</v>
      </c>
      <c r="AE1605" s="205" t="str">
        <f>IF($W1605=AE$3,$AB1605,IF(NOT($W1605=0),"",SUMIFS('Val-Vol (2)'!AE$4:AE$1858,'Val-Vol (2)'!$A$4:$A$1858,$D1605,'Val-Vol (2)'!$V$4:$V$1858,$V1605)/SUMIFS('Comp2016-2017 (3)'!$G$5:$G$289,'Comp2016-2017 (3)'!$A$5:$A$289,$D1605,'Comp2016-2017 (3)'!$R$5:$R$289,$V1605)*$AB1605))</f>
        <v/>
      </c>
      <c r="AF1605" s="205" t="str">
        <f>IF($W1605=AF$3,$AB1605,IF(NOT($W1605=0),"",SUMIFS('Val-Vol (2)'!AF$4:AF$1858,'Val-Vol (2)'!$A$4:$A$1858,$D1605,'Val-Vol (2)'!$V$4:$V$1858,$V1605)/SUMIFS('Comp2016-2017 (3)'!$G$5:$G$289,'Comp2016-2017 (3)'!$A$5:$A$289,$D1605,'Comp2016-2017 (3)'!$R$5:$R$289,$V1605)*$AB1605))</f>
        <v/>
      </c>
      <c r="AG1605" s="205" t="str">
        <f>IF($W1605=AG$3,$AB1605,IF(NOT($W1605=0),"",SUMIFS('Val-Vol (2)'!AG$4:AG$1858,'Val-Vol (2)'!$A$4:$A$1858,$D1605,'Val-Vol (2)'!$V$4:$V$1858,$V1605)/SUMIFS('Comp2016-2017 (3)'!$G$5:$G$289,'Comp2016-2017 (3)'!$A$5:$A$289,$D1605,'Comp2016-2017 (3)'!$R$5:$R$289,$V1605)*$AB1605))</f>
        <v/>
      </c>
      <c r="AH1605" s="205" t="str">
        <f>IF($W1605=AH$3,$AB1605,IF(NOT($W1605=0),"",SUMIFS('Val-Vol (2)'!AH$4:AH$1858,'Val-Vol (2)'!$A$4:$A$1858,$D1605,'Val-Vol (2)'!$V$4:$V$1858,$V1605)/SUMIFS('Comp2016-2017 (3)'!$G$5:$G$289,'Comp2016-2017 (3)'!$A$5:$A$289,$D1605,'Comp2016-2017 (3)'!$R$5:$R$289,$V1605)*$AB1605))</f>
        <v/>
      </c>
      <c r="AI1605" s="205" t="str">
        <f>IF($W1605=AI$3,$AB1605,IF(NOT($W1605=0),"",SUMIFS('Val-Vol (2)'!AI$4:AI$1858,'Val-Vol (2)'!$A$4:$A$1858,$D1605,'Val-Vol (2)'!$V$4:$V$1858,$V1605)/SUMIFS('Comp2016-2017 (3)'!$G$5:$G$289,'Comp2016-2017 (3)'!$A$5:$A$289,$D1605,'Comp2016-2017 (3)'!$R$5:$R$289,$V1605)*$AB1605))</f>
        <v/>
      </c>
      <c r="AJ1605" s="205" t="str">
        <f>IF($W1605=AJ$3,$AB1605,IF(NOT($W1605=0),"",SUMIFS('Val-Vol (2)'!AJ$4:AJ$1858,'Val-Vol (2)'!$A$4:$A$1858,$D1605,'Val-Vol (2)'!$V$4:$V$1858,$V1605)/SUMIFS('Comp2016-2017 (3)'!$G$5:$G$289,'Comp2016-2017 (3)'!$A$5:$A$289,$D1605,'Comp2016-2017 (3)'!$R$5:$R$289,$V1605)*$AB1605))</f>
        <v/>
      </c>
      <c r="AK1605" s="205">
        <f t="shared" si="182"/>
        <v>0</v>
      </c>
      <c r="AL1605" s="218" t="str">
        <f t="shared" si="184"/>
        <v/>
      </c>
      <c r="AM1605" s="218" t="str">
        <f>VLOOKUP(A1605,'Table corresp.'!$M$4:$U$63,8,FALSE)</f>
        <v>Production intermédiaire</v>
      </c>
      <c r="AN1605" s="218" t="str">
        <f>VLOOKUP(D1605,'Table corresp.'!$M$4:$U$63,9,FALSE)</f>
        <v>Production intermédiaire</v>
      </c>
    </row>
    <row r="1606" spans="1:40" x14ac:dyDescent="0.25">
      <c r="A1606" t="s">
        <v>7</v>
      </c>
      <c r="B1606" t="str">
        <f>VLOOKUP(LEFT(A1606,3),'Table corresp.'!$A$4:$D$63,3,FALSE)</f>
        <v>Transformation</v>
      </c>
      <c r="C1606" t="str">
        <f>VLOOKUP(A1606,'Table corresp.'!$M$4:$P$63,4,FALSE)</f>
        <v>Production et transformation de produits bois</v>
      </c>
      <c r="D1606" t="s">
        <v>88</v>
      </c>
      <c r="E1606" t="str">
        <f>VLOOKUP(LEFT(D1606,3),'Table corresp.'!$A$4:$D$63,4,FALSE)</f>
        <v>Transformation</v>
      </c>
      <c r="F1606" t="str">
        <f t="shared" si="185"/>
        <v xml:space="preserve">12  - 32 </v>
      </c>
      <c r="G1606" s="238">
        <v>0</v>
      </c>
      <c r="H1606" s="238">
        <v>0</v>
      </c>
      <c r="I1606" s="238">
        <v>0</v>
      </c>
      <c r="J1606" s="238"/>
      <c r="K1606" s="238"/>
      <c r="L1606" s="238"/>
      <c r="M1606" s="238"/>
      <c r="N1606" s="238"/>
      <c r="O1606" s="238"/>
      <c r="P1606" s="238"/>
      <c r="Q1606" s="238"/>
      <c r="R1606" s="238"/>
      <c r="S1606" s="238"/>
      <c r="T1606" s="218">
        <f>VLOOKUP(A1606,'Groupe de branches'!$Z$27:$AM$86,14,FALSE)</f>
        <v>0</v>
      </c>
      <c r="U1606" s="218">
        <f>VLOOKUP(D1606,'Groupe de branches'!$Z$27:$AM$86,14,FALSE)</f>
        <v>0</v>
      </c>
      <c r="V1606" s="218">
        <v>2020</v>
      </c>
      <c r="W1606" s="218" t="str">
        <f>VLOOKUP(D1606,'Table corresp.'!$M$4:$S$63,7,FALSE)</f>
        <v>Construction</v>
      </c>
      <c r="X1606" s="240">
        <f>IFERROR(G1606/SUMIFS('Comp2016-2017 (3)'!$I$5:$I$289,'Comp2016-2017 (3)'!$A$5:$A$289,A1606,'Comp2016-2017 (3)'!$R$5:$R$289,V1606),0)</f>
        <v>0</v>
      </c>
      <c r="Y1606" s="219"/>
      <c r="Z1606" s="226"/>
      <c r="AA1606" s="226">
        <f t="shared" si="183"/>
        <v>0</v>
      </c>
      <c r="AB1606" s="205">
        <f>IFERROR(SUMIFS('Comp2016-2017 (3)'!$G$5:$G$289,'Comp2016-2017 (3)'!$A$5:$A$289,A1606,'Comp2016-2017 (3)'!$R$5:$R$289,V1606)*AA1606/SUMIFS($AA$4:$AA$1858,$A$4:$A$1858,A1606,$V$4:$V$1858,V1606),0)</f>
        <v>0</v>
      </c>
      <c r="AC1606" s="205" t="str">
        <f>IF($W1606=AC$3,$AB1606,IF(NOT($W1606=0),"",SUMIFS('Val-Vol (2)'!AC$4:AC$1858,'Val-Vol (2)'!$A$4:$A$1858,$D1606,'Val-Vol (2)'!$V$4:$V$1858,$V1606)/SUMIFS('Comp2016-2017 (3)'!$G$5:$G$289,'Comp2016-2017 (3)'!$A$5:$A$289,$D1606,'Comp2016-2017 (3)'!$R$5:$R$289,$V1606)*$AB1606))</f>
        <v/>
      </c>
      <c r="AD1606" s="205">
        <f>IF($W1606=AD$3,$AB1606,IF(NOT($W1606=0),"",SUMIFS('Val-Vol (2)'!AD$4:AD$1858,'Val-Vol (2)'!$A$4:$A$1858,$D1606,'Val-Vol (2)'!$V$4:$V$1858,$V1606)/SUMIFS('Comp2016-2017 (3)'!$G$5:$G$289,'Comp2016-2017 (3)'!$A$5:$A$289,$D1606,'Comp2016-2017 (3)'!$R$5:$R$289,$V1606)*$AB1606))</f>
        <v>0</v>
      </c>
      <c r="AE1606" s="205" t="str">
        <f>IF($W1606=AE$3,$AB1606,IF(NOT($W1606=0),"",SUMIFS('Val-Vol (2)'!AE$4:AE$1858,'Val-Vol (2)'!$A$4:$A$1858,$D1606,'Val-Vol (2)'!$V$4:$V$1858,$V1606)/SUMIFS('Comp2016-2017 (3)'!$G$5:$G$289,'Comp2016-2017 (3)'!$A$5:$A$289,$D1606,'Comp2016-2017 (3)'!$R$5:$R$289,$V1606)*$AB1606))</f>
        <v/>
      </c>
      <c r="AF1606" s="205" t="str">
        <f>IF($W1606=AF$3,$AB1606,IF(NOT($W1606=0),"",SUMIFS('Val-Vol (2)'!AF$4:AF$1858,'Val-Vol (2)'!$A$4:$A$1858,$D1606,'Val-Vol (2)'!$V$4:$V$1858,$V1606)/SUMIFS('Comp2016-2017 (3)'!$G$5:$G$289,'Comp2016-2017 (3)'!$A$5:$A$289,$D1606,'Comp2016-2017 (3)'!$R$5:$R$289,$V1606)*$AB1606))</f>
        <v/>
      </c>
      <c r="AG1606" s="205" t="str">
        <f>IF($W1606=AG$3,$AB1606,IF(NOT($W1606=0),"",SUMIFS('Val-Vol (2)'!AG$4:AG$1858,'Val-Vol (2)'!$A$4:$A$1858,$D1606,'Val-Vol (2)'!$V$4:$V$1858,$V1606)/SUMIFS('Comp2016-2017 (3)'!$G$5:$G$289,'Comp2016-2017 (3)'!$A$5:$A$289,$D1606,'Comp2016-2017 (3)'!$R$5:$R$289,$V1606)*$AB1606))</f>
        <v/>
      </c>
      <c r="AH1606" s="205" t="str">
        <f>IF($W1606=AH$3,$AB1606,IF(NOT($W1606=0),"",SUMIFS('Val-Vol (2)'!AH$4:AH$1858,'Val-Vol (2)'!$A$4:$A$1858,$D1606,'Val-Vol (2)'!$V$4:$V$1858,$V1606)/SUMIFS('Comp2016-2017 (3)'!$G$5:$G$289,'Comp2016-2017 (3)'!$A$5:$A$289,$D1606,'Comp2016-2017 (3)'!$R$5:$R$289,$V1606)*$AB1606))</f>
        <v/>
      </c>
      <c r="AI1606" s="205" t="str">
        <f>IF($W1606=AI$3,$AB1606,IF(NOT($W1606=0),"",SUMIFS('Val-Vol (2)'!AI$4:AI$1858,'Val-Vol (2)'!$A$4:$A$1858,$D1606,'Val-Vol (2)'!$V$4:$V$1858,$V1606)/SUMIFS('Comp2016-2017 (3)'!$G$5:$G$289,'Comp2016-2017 (3)'!$A$5:$A$289,$D1606,'Comp2016-2017 (3)'!$R$5:$R$289,$V1606)*$AB1606))</f>
        <v/>
      </c>
      <c r="AJ1606" s="205" t="str">
        <f>IF($W1606=AJ$3,$AB1606,IF(NOT($W1606=0),"",SUMIFS('Val-Vol (2)'!AJ$4:AJ$1858,'Val-Vol (2)'!$A$4:$A$1858,$D1606,'Val-Vol (2)'!$V$4:$V$1858,$V1606)/SUMIFS('Comp2016-2017 (3)'!$G$5:$G$289,'Comp2016-2017 (3)'!$A$5:$A$289,$D1606,'Comp2016-2017 (3)'!$R$5:$R$289,$V1606)*$AB1606))</f>
        <v/>
      </c>
      <c r="AK1606" s="205">
        <f t="shared" si="182"/>
        <v>0</v>
      </c>
      <c r="AL1606" s="218" t="str">
        <f t="shared" si="184"/>
        <v/>
      </c>
      <c r="AM1606" s="218" t="str">
        <f>VLOOKUP(A1606,'Table corresp.'!$M$4:$U$63,8,FALSE)</f>
        <v>Production intermédiaire</v>
      </c>
      <c r="AN1606" s="218" t="str">
        <f>VLOOKUP(D1606,'Table corresp.'!$M$4:$U$63,9,FALSE)</f>
        <v>Production finale</v>
      </c>
    </row>
    <row r="1607" spans="1:40" x14ac:dyDescent="0.25">
      <c r="A1607" t="s">
        <v>7</v>
      </c>
      <c r="B1607" t="str">
        <f>VLOOKUP(LEFT(A1607,3),'Table corresp.'!$A$4:$D$63,3,FALSE)</f>
        <v>Transformation</v>
      </c>
      <c r="C1607" t="str">
        <f>VLOOKUP(A1607,'Table corresp.'!$M$4:$P$63,4,FALSE)</f>
        <v>Production et transformation de produits bois</v>
      </c>
      <c r="D1607" t="s">
        <v>90</v>
      </c>
      <c r="E1607" t="str">
        <f>VLOOKUP(LEFT(D1607,3),'Table corresp.'!$A$4:$D$63,4,FALSE)</f>
        <v>Transformation</v>
      </c>
      <c r="F1607" t="str">
        <f t="shared" si="185"/>
        <v xml:space="preserve">12  - 34 </v>
      </c>
      <c r="G1607" s="238">
        <v>29737.989001220601</v>
      </c>
      <c r="H1607" s="238">
        <v>38521.539422734902</v>
      </c>
      <c r="I1607" s="238">
        <v>68259.528423955504</v>
      </c>
      <c r="J1607" s="238">
        <v>298.11547980454395</v>
      </c>
      <c r="K1607" s="238">
        <v>416.91110643409047</v>
      </c>
      <c r="L1607" s="238">
        <v>715.02658623863442</v>
      </c>
      <c r="M1607" s="238"/>
      <c r="N1607" s="238"/>
      <c r="O1607" s="238"/>
      <c r="P1607" s="238"/>
      <c r="Q1607" s="238"/>
      <c r="R1607" s="238"/>
      <c r="S1607" s="238"/>
      <c r="T1607" s="218">
        <f>VLOOKUP(A1607,'Groupe de branches'!$Z$27:$AM$86,14,FALSE)</f>
        <v>0</v>
      </c>
      <c r="U1607" s="218">
        <f>VLOOKUP(D1607,'Groupe de branches'!$Z$27:$AM$86,14,FALSE)</f>
        <v>0</v>
      </c>
      <c r="V1607" s="218">
        <v>2020</v>
      </c>
      <c r="W1607" s="218" t="str">
        <f>VLOOKUP(D1607,'Table corresp.'!$M$4:$S$63,7,FALSE)</f>
        <v>Construction</v>
      </c>
      <c r="X1607" s="240">
        <f>IFERROR(G1607/SUMIFS('Comp2016-2017 (3)'!$I$5:$I$289,'Comp2016-2017 (3)'!$A$5:$A$289,A1607,'Comp2016-2017 (3)'!$R$5:$R$289,V1607),0)</f>
        <v>3.9232219911493282E-2</v>
      </c>
      <c r="Y1607" s="219" t="e">
        <f>IF(RIGHT(F1607,3)="Exp",VLOOKUP(F1607,#REF!,2,FALSE),VLOOKUP(F1607,#REF!,9,FALSE))</f>
        <v>#REF!</v>
      </c>
      <c r="Z1607" s="226" t="str">
        <f t="shared" ref="Z1607:Z1670" si="186">IFERROR(Y1607/SUMIFS($Y$4:$Y$1858,$V$4:$V$1858,V1607,$A$4:$A$1858,A1607),"")</f>
        <v/>
      </c>
      <c r="AA1607" s="226" t="e">
        <f t="shared" si="183"/>
        <v>#VALUE!</v>
      </c>
      <c r="AB1607" s="205">
        <f>IFERROR(SUMIFS('Comp2016-2017 (3)'!$G$5:$G$289,'Comp2016-2017 (3)'!$A$5:$A$289,A1607,'Comp2016-2017 (3)'!$R$5:$R$289,V1607)*AA1607/SUMIFS($AA$4:$AA$1858,$A$4:$A$1858,A1607,$V$4:$V$1858,V1607),0)</f>
        <v>0</v>
      </c>
      <c r="AC1607" s="205" t="str">
        <f>IF($W1607=AC$3,$AB1607,IF(NOT($W1607=0),"",SUMIFS('Val-Vol (2)'!AC$4:AC$1858,'Val-Vol (2)'!$A$4:$A$1858,$D1607,'Val-Vol (2)'!$V$4:$V$1858,$V1607)/SUMIFS('Comp2016-2017 (3)'!$G$5:$G$289,'Comp2016-2017 (3)'!$A$5:$A$289,$D1607,'Comp2016-2017 (3)'!$R$5:$R$289,$V1607)*$AB1607))</f>
        <v/>
      </c>
      <c r="AD1607" s="205">
        <f>IF($W1607=AD$3,$AB1607,IF(NOT($W1607=0),"",SUMIFS('Val-Vol (2)'!AD$4:AD$1858,'Val-Vol (2)'!$A$4:$A$1858,$D1607,'Val-Vol (2)'!$V$4:$V$1858,$V1607)/SUMIFS('Comp2016-2017 (3)'!$G$5:$G$289,'Comp2016-2017 (3)'!$A$5:$A$289,$D1607,'Comp2016-2017 (3)'!$R$5:$R$289,$V1607)*$AB1607))</f>
        <v>0</v>
      </c>
      <c r="AE1607" s="205" t="str">
        <f>IF($W1607=AE$3,$AB1607,IF(NOT($W1607=0),"",SUMIFS('Val-Vol (2)'!AE$4:AE$1858,'Val-Vol (2)'!$A$4:$A$1858,$D1607,'Val-Vol (2)'!$V$4:$V$1858,$V1607)/SUMIFS('Comp2016-2017 (3)'!$G$5:$G$289,'Comp2016-2017 (3)'!$A$5:$A$289,$D1607,'Comp2016-2017 (3)'!$R$5:$R$289,$V1607)*$AB1607))</f>
        <v/>
      </c>
      <c r="AF1607" s="205" t="str">
        <f>IF($W1607=AF$3,$AB1607,IF(NOT($W1607=0),"",SUMIFS('Val-Vol (2)'!AF$4:AF$1858,'Val-Vol (2)'!$A$4:$A$1858,$D1607,'Val-Vol (2)'!$V$4:$V$1858,$V1607)/SUMIFS('Comp2016-2017 (3)'!$G$5:$G$289,'Comp2016-2017 (3)'!$A$5:$A$289,$D1607,'Comp2016-2017 (3)'!$R$5:$R$289,$V1607)*$AB1607))</f>
        <v/>
      </c>
      <c r="AG1607" s="205" t="str">
        <f>IF($W1607=AG$3,$AB1607,IF(NOT($W1607=0),"",SUMIFS('Val-Vol (2)'!AG$4:AG$1858,'Val-Vol (2)'!$A$4:$A$1858,$D1607,'Val-Vol (2)'!$V$4:$V$1858,$V1607)/SUMIFS('Comp2016-2017 (3)'!$G$5:$G$289,'Comp2016-2017 (3)'!$A$5:$A$289,$D1607,'Comp2016-2017 (3)'!$R$5:$R$289,$V1607)*$AB1607))</f>
        <v/>
      </c>
      <c r="AH1607" s="205" t="str">
        <f>IF($W1607=AH$3,$AB1607,IF(NOT($W1607=0),"",SUMIFS('Val-Vol (2)'!AH$4:AH$1858,'Val-Vol (2)'!$A$4:$A$1858,$D1607,'Val-Vol (2)'!$V$4:$V$1858,$V1607)/SUMIFS('Comp2016-2017 (3)'!$G$5:$G$289,'Comp2016-2017 (3)'!$A$5:$A$289,$D1607,'Comp2016-2017 (3)'!$R$5:$R$289,$V1607)*$AB1607))</f>
        <v/>
      </c>
      <c r="AI1607" s="205" t="str">
        <f>IF($W1607=AI$3,$AB1607,IF(NOT($W1607=0),"",SUMIFS('Val-Vol (2)'!AI$4:AI$1858,'Val-Vol (2)'!$A$4:$A$1858,$D1607,'Val-Vol (2)'!$V$4:$V$1858,$V1607)/SUMIFS('Comp2016-2017 (3)'!$G$5:$G$289,'Comp2016-2017 (3)'!$A$5:$A$289,$D1607,'Comp2016-2017 (3)'!$R$5:$R$289,$V1607)*$AB1607))</f>
        <v/>
      </c>
      <c r="AJ1607" s="205" t="str">
        <f>IF($W1607=AJ$3,$AB1607,IF(NOT($W1607=0),"",SUMIFS('Val-Vol (2)'!AJ$4:AJ$1858,'Val-Vol (2)'!$A$4:$A$1858,$D1607,'Val-Vol (2)'!$V$4:$V$1858,$V1607)/SUMIFS('Comp2016-2017 (3)'!$G$5:$G$289,'Comp2016-2017 (3)'!$A$5:$A$289,$D1607,'Comp2016-2017 (3)'!$R$5:$R$289,$V1607)*$AB1607))</f>
        <v/>
      </c>
      <c r="AK1607" s="205">
        <f t="shared" si="182"/>
        <v>0</v>
      </c>
      <c r="AL1607" s="218" t="str">
        <f t="shared" si="184"/>
        <v/>
      </c>
      <c r="AM1607" s="218" t="str">
        <f>VLOOKUP(A1607,'Table corresp.'!$M$4:$U$63,8,FALSE)</f>
        <v>Production intermédiaire</v>
      </c>
      <c r="AN1607" s="218" t="str">
        <f>VLOOKUP(D1607,'Table corresp.'!$M$4:$U$63,9,FALSE)</f>
        <v>Production finale</v>
      </c>
    </row>
    <row r="1608" spans="1:40" x14ac:dyDescent="0.25">
      <c r="A1608" t="s">
        <v>7</v>
      </c>
      <c r="B1608" t="str">
        <f>VLOOKUP(LEFT(A1608,3),'Table corresp.'!$A$4:$D$63,3,FALSE)</f>
        <v>Transformation</v>
      </c>
      <c r="C1608" t="str">
        <f>VLOOKUP(A1608,'Table corresp.'!$M$4:$P$63,4,FALSE)</f>
        <v>Production et transformation de produits bois</v>
      </c>
      <c r="D1608" t="s">
        <v>15</v>
      </c>
      <c r="E1608" t="str">
        <f>VLOOKUP(LEFT(D1608,3),'Table corresp.'!$A$4:$D$63,4,FALSE)</f>
        <v>Transformation</v>
      </c>
      <c r="F1608" t="str">
        <f t="shared" si="185"/>
        <v xml:space="preserve">12  - 35 </v>
      </c>
      <c r="G1608" s="238">
        <v>4896.7939157362698</v>
      </c>
      <c r="H1608" s="238">
        <v>1575.1853965816199</v>
      </c>
      <c r="I1608" s="238">
        <v>6471.9793123178897</v>
      </c>
      <c r="J1608" s="238">
        <v>27.817136693152666</v>
      </c>
      <c r="K1608" s="238">
        <v>10.959379882601354</v>
      </c>
      <c r="L1608" s="238">
        <v>38.776516575754016</v>
      </c>
      <c r="M1608" s="238"/>
      <c r="N1608" s="238"/>
      <c r="O1608" s="238"/>
      <c r="P1608" s="238"/>
      <c r="Q1608" s="238"/>
      <c r="R1608" s="238"/>
      <c r="S1608" s="238"/>
      <c r="T1608" s="218">
        <f>VLOOKUP(A1608,'Groupe de branches'!$Z$27:$AM$86,14,FALSE)</f>
        <v>0</v>
      </c>
      <c r="U1608" s="218">
        <f>VLOOKUP(D1608,'Groupe de branches'!$Z$27:$AM$86,14,FALSE)</f>
        <v>0</v>
      </c>
      <c r="V1608" s="218">
        <v>2020</v>
      </c>
      <c r="W1608" s="218" t="str">
        <f>VLOOKUP(D1608,'Table corresp.'!$M$4:$S$63,7,FALSE)</f>
        <v>Construction</v>
      </c>
      <c r="X1608" s="240">
        <f>IFERROR(G1608/SUMIFS('Comp2016-2017 (3)'!$I$5:$I$289,'Comp2016-2017 (3)'!$A$5:$A$289,A1608,'Comp2016-2017 (3)'!$R$5:$R$289,V1608),0)</f>
        <v>6.4601576036477232E-3</v>
      </c>
      <c r="Y1608" s="219" t="e">
        <f>IF(RIGHT(F1608,3)="Exp",VLOOKUP(F1608,#REF!,2,FALSE),VLOOKUP(F1608,#REF!,9,FALSE))</f>
        <v>#REF!</v>
      </c>
      <c r="Z1608" s="226" t="str">
        <f t="shared" si="186"/>
        <v/>
      </c>
      <c r="AA1608" s="226" t="e">
        <f t="shared" si="183"/>
        <v>#VALUE!</v>
      </c>
      <c r="AB1608" s="205">
        <f>IFERROR(SUMIFS('Comp2016-2017 (3)'!$G$5:$G$289,'Comp2016-2017 (3)'!$A$5:$A$289,A1608,'Comp2016-2017 (3)'!$R$5:$R$289,V1608)*AA1608/SUMIFS($AA$4:$AA$1858,$A$4:$A$1858,A1608,$V$4:$V$1858,V1608),0)</f>
        <v>0</v>
      </c>
      <c r="AC1608" s="205" t="str">
        <f>IF($W1608=AC$3,$AB1608,IF(NOT($W1608=0),"",SUMIFS('Val-Vol (2)'!AC$4:AC$1858,'Val-Vol (2)'!$A$4:$A$1858,$D1608,'Val-Vol (2)'!$V$4:$V$1858,$V1608)/SUMIFS('Comp2016-2017 (3)'!$G$5:$G$289,'Comp2016-2017 (3)'!$A$5:$A$289,$D1608,'Comp2016-2017 (3)'!$R$5:$R$289,$V1608)*$AB1608))</f>
        <v/>
      </c>
      <c r="AD1608" s="205">
        <f>IF($W1608=AD$3,$AB1608,IF(NOT($W1608=0),"",SUMIFS('Val-Vol (2)'!AD$4:AD$1858,'Val-Vol (2)'!$A$4:$A$1858,$D1608,'Val-Vol (2)'!$V$4:$V$1858,$V1608)/SUMIFS('Comp2016-2017 (3)'!$G$5:$G$289,'Comp2016-2017 (3)'!$A$5:$A$289,$D1608,'Comp2016-2017 (3)'!$R$5:$R$289,$V1608)*$AB1608))</f>
        <v>0</v>
      </c>
      <c r="AE1608" s="205" t="str">
        <f>IF($W1608=AE$3,$AB1608,IF(NOT($W1608=0),"",SUMIFS('Val-Vol (2)'!AE$4:AE$1858,'Val-Vol (2)'!$A$4:$A$1858,$D1608,'Val-Vol (2)'!$V$4:$V$1858,$V1608)/SUMIFS('Comp2016-2017 (3)'!$G$5:$G$289,'Comp2016-2017 (3)'!$A$5:$A$289,$D1608,'Comp2016-2017 (3)'!$R$5:$R$289,$V1608)*$AB1608))</f>
        <v/>
      </c>
      <c r="AF1608" s="205" t="str">
        <f>IF($W1608=AF$3,$AB1608,IF(NOT($W1608=0),"",SUMIFS('Val-Vol (2)'!AF$4:AF$1858,'Val-Vol (2)'!$A$4:$A$1858,$D1608,'Val-Vol (2)'!$V$4:$V$1858,$V1608)/SUMIFS('Comp2016-2017 (3)'!$G$5:$G$289,'Comp2016-2017 (3)'!$A$5:$A$289,$D1608,'Comp2016-2017 (3)'!$R$5:$R$289,$V1608)*$AB1608))</f>
        <v/>
      </c>
      <c r="AG1608" s="205" t="str">
        <f>IF($W1608=AG$3,$AB1608,IF(NOT($W1608=0),"",SUMIFS('Val-Vol (2)'!AG$4:AG$1858,'Val-Vol (2)'!$A$4:$A$1858,$D1608,'Val-Vol (2)'!$V$4:$V$1858,$V1608)/SUMIFS('Comp2016-2017 (3)'!$G$5:$G$289,'Comp2016-2017 (3)'!$A$5:$A$289,$D1608,'Comp2016-2017 (3)'!$R$5:$R$289,$V1608)*$AB1608))</f>
        <v/>
      </c>
      <c r="AH1608" s="205" t="str">
        <f>IF($W1608=AH$3,$AB1608,IF(NOT($W1608=0),"",SUMIFS('Val-Vol (2)'!AH$4:AH$1858,'Val-Vol (2)'!$A$4:$A$1858,$D1608,'Val-Vol (2)'!$V$4:$V$1858,$V1608)/SUMIFS('Comp2016-2017 (3)'!$G$5:$G$289,'Comp2016-2017 (3)'!$A$5:$A$289,$D1608,'Comp2016-2017 (3)'!$R$5:$R$289,$V1608)*$AB1608))</f>
        <v/>
      </c>
      <c r="AI1608" s="205" t="str">
        <f>IF($W1608=AI$3,$AB1608,IF(NOT($W1608=0),"",SUMIFS('Val-Vol (2)'!AI$4:AI$1858,'Val-Vol (2)'!$A$4:$A$1858,$D1608,'Val-Vol (2)'!$V$4:$V$1858,$V1608)/SUMIFS('Comp2016-2017 (3)'!$G$5:$G$289,'Comp2016-2017 (3)'!$A$5:$A$289,$D1608,'Comp2016-2017 (3)'!$R$5:$R$289,$V1608)*$AB1608))</f>
        <v/>
      </c>
      <c r="AJ1608" s="205" t="str">
        <f>IF($W1608=AJ$3,$AB1608,IF(NOT($W1608=0),"",SUMIFS('Val-Vol (2)'!AJ$4:AJ$1858,'Val-Vol (2)'!$A$4:$A$1858,$D1608,'Val-Vol (2)'!$V$4:$V$1858,$V1608)/SUMIFS('Comp2016-2017 (3)'!$G$5:$G$289,'Comp2016-2017 (3)'!$A$5:$A$289,$D1608,'Comp2016-2017 (3)'!$R$5:$R$289,$V1608)*$AB1608))</f>
        <v/>
      </c>
      <c r="AK1608" s="205">
        <f t="shared" si="182"/>
        <v>0</v>
      </c>
      <c r="AL1608" s="218" t="str">
        <f t="shared" si="184"/>
        <v/>
      </c>
      <c r="AM1608" s="218" t="str">
        <f>VLOOKUP(A1608,'Table corresp.'!$M$4:$U$63,8,FALSE)</f>
        <v>Production intermédiaire</v>
      </c>
      <c r="AN1608" s="218" t="str">
        <f>VLOOKUP(D1608,'Table corresp.'!$M$4:$U$63,9,FALSE)</f>
        <v>Production finale</v>
      </c>
    </row>
    <row r="1609" spans="1:40" x14ac:dyDescent="0.25">
      <c r="A1609" t="s">
        <v>7</v>
      </c>
      <c r="B1609" t="str">
        <f>VLOOKUP(LEFT(A1609,3),'Table corresp.'!$A$4:$D$63,3,FALSE)</f>
        <v>Transformation</v>
      </c>
      <c r="C1609" t="str">
        <f>VLOOKUP(A1609,'Table corresp.'!$M$4:$P$63,4,FALSE)</f>
        <v>Production et transformation de produits bois</v>
      </c>
      <c r="D1609" t="s">
        <v>16</v>
      </c>
      <c r="E1609" t="str">
        <f>VLOOKUP(LEFT(D1609,3),'Table corresp.'!$A$4:$D$63,4,FALSE)</f>
        <v>Transformation</v>
      </c>
      <c r="F1609" t="str">
        <f t="shared" si="185"/>
        <v xml:space="preserve">12  - 36 </v>
      </c>
      <c r="G1609" s="238">
        <v>11209.0511200455</v>
      </c>
      <c r="H1609" s="238">
        <v>6211.3258724432499</v>
      </c>
      <c r="I1609" s="238">
        <v>17420.376992488698</v>
      </c>
      <c r="J1609" s="238">
        <v>76.410086903147032</v>
      </c>
      <c r="K1609" s="238">
        <v>48.401257117719638</v>
      </c>
      <c r="L1609" s="238">
        <v>124.81134402086667</v>
      </c>
      <c r="M1609" s="238"/>
      <c r="N1609" s="238"/>
      <c r="O1609" s="238"/>
      <c r="P1609" s="238"/>
      <c r="Q1609" s="238"/>
      <c r="R1609" s="238"/>
      <c r="S1609" s="238"/>
      <c r="T1609" s="218">
        <f>VLOOKUP(A1609,'Groupe de branches'!$Z$27:$AM$86,14,FALSE)</f>
        <v>0</v>
      </c>
      <c r="U1609" s="218">
        <f>VLOOKUP(D1609,'Groupe de branches'!$Z$27:$AM$86,14,FALSE)</f>
        <v>0</v>
      </c>
      <c r="V1609" s="218">
        <v>2020</v>
      </c>
      <c r="W1609" s="218" t="str">
        <f>VLOOKUP(D1609,'Table corresp.'!$M$4:$S$63,7,FALSE)</f>
        <v>Construction</v>
      </c>
      <c r="X1609" s="240">
        <f>IFERROR(G1609/SUMIFS('Comp2016-2017 (3)'!$I$5:$I$289,'Comp2016-2017 (3)'!$A$5:$A$289,A1609,'Comp2016-2017 (3)'!$R$5:$R$289,V1609),0)</f>
        <v>1.4787683138989165E-2</v>
      </c>
      <c r="Y1609" s="219" t="e">
        <f>IF(RIGHT(F1609,3)="Exp",VLOOKUP(F1609,#REF!,2,FALSE),VLOOKUP(F1609,#REF!,9,FALSE))</f>
        <v>#REF!</v>
      </c>
      <c r="Z1609" s="226" t="str">
        <f t="shared" si="186"/>
        <v/>
      </c>
      <c r="AA1609" s="226" t="e">
        <f t="shared" si="183"/>
        <v>#VALUE!</v>
      </c>
      <c r="AB1609" s="205">
        <f>IFERROR(SUMIFS('Comp2016-2017 (3)'!$G$5:$G$289,'Comp2016-2017 (3)'!$A$5:$A$289,A1609,'Comp2016-2017 (3)'!$R$5:$R$289,V1609)*AA1609/SUMIFS($AA$4:$AA$1858,$A$4:$A$1858,A1609,$V$4:$V$1858,V1609),0)</f>
        <v>0</v>
      </c>
      <c r="AC1609" s="205" t="str">
        <f>IF($W1609=AC$3,$AB1609,IF(NOT($W1609=0),"",SUMIFS('Val-Vol (2)'!AC$4:AC$1858,'Val-Vol (2)'!$A$4:$A$1858,$D1609,'Val-Vol (2)'!$V$4:$V$1858,$V1609)/SUMIFS('Comp2016-2017 (3)'!$G$5:$G$289,'Comp2016-2017 (3)'!$A$5:$A$289,$D1609,'Comp2016-2017 (3)'!$R$5:$R$289,$V1609)*$AB1609))</f>
        <v/>
      </c>
      <c r="AD1609" s="205">
        <f>IF($W1609=AD$3,$AB1609,IF(NOT($W1609=0),"",SUMIFS('Val-Vol (2)'!AD$4:AD$1858,'Val-Vol (2)'!$A$4:$A$1858,$D1609,'Val-Vol (2)'!$V$4:$V$1858,$V1609)/SUMIFS('Comp2016-2017 (3)'!$G$5:$G$289,'Comp2016-2017 (3)'!$A$5:$A$289,$D1609,'Comp2016-2017 (3)'!$R$5:$R$289,$V1609)*$AB1609))</f>
        <v>0</v>
      </c>
      <c r="AE1609" s="205" t="str">
        <f>IF($W1609=AE$3,$AB1609,IF(NOT($W1609=0),"",SUMIFS('Val-Vol (2)'!AE$4:AE$1858,'Val-Vol (2)'!$A$4:$A$1858,$D1609,'Val-Vol (2)'!$V$4:$V$1858,$V1609)/SUMIFS('Comp2016-2017 (3)'!$G$5:$G$289,'Comp2016-2017 (3)'!$A$5:$A$289,$D1609,'Comp2016-2017 (3)'!$R$5:$R$289,$V1609)*$AB1609))</f>
        <v/>
      </c>
      <c r="AF1609" s="205" t="str">
        <f>IF($W1609=AF$3,$AB1609,IF(NOT($W1609=0),"",SUMIFS('Val-Vol (2)'!AF$4:AF$1858,'Val-Vol (2)'!$A$4:$A$1858,$D1609,'Val-Vol (2)'!$V$4:$V$1858,$V1609)/SUMIFS('Comp2016-2017 (3)'!$G$5:$G$289,'Comp2016-2017 (3)'!$A$5:$A$289,$D1609,'Comp2016-2017 (3)'!$R$5:$R$289,$V1609)*$AB1609))</f>
        <v/>
      </c>
      <c r="AG1609" s="205" t="str">
        <f>IF($W1609=AG$3,$AB1609,IF(NOT($W1609=0),"",SUMIFS('Val-Vol (2)'!AG$4:AG$1858,'Val-Vol (2)'!$A$4:$A$1858,$D1609,'Val-Vol (2)'!$V$4:$V$1858,$V1609)/SUMIFS('Comp2016-2017 (3)'!$G$5:$G$289,'Comp2016-2017 (3)'!$A$5:$A$289,$D1609,'Comp2016-2017 (3)'!$R$5:$R$289,$V1609)*$AB1609))</f>
        <v/>
      </c>
      <c r="AH1609" s="205" t="str">
        <f>IF($W1609=AH$3,$AB1609,IF(NOT($W1609=0),"",SUMIFS('Val-Vol (2)'!AH$4:AH$1858,'Val-Vol (2)'!$A$4:$A$1858,$D1609,'Val-Vol (2)'!$V$4:$V$1858,$V1609)/SUMIFS('Comp2016-2017 (3)'!$G$5:$G$289,'Comp2016-2017 (3)'!$A$5:$A$289,$D1609,'Comp2016-2017 (3)'!$R$5:$R$289,$V1609)*$AB1609))</f>
        <v/>
      </c>
      <c r="AI1609" s="205" t="str">
        <f>IF($W1609=AI$3,$AB1609,IF(NOT($W1609=0),"",SUMIFS('Val-Vol (2)'!AI$4:AI$1858,'Val-Vol (2)'!$A$4:$A$1858,$D1609,'Val-Vol (2)'!$V$4:$V$1858,$V1609)/SUMIFS('Comp2016-2017 (3)'!$G$5:$G$289,'Comp2016-2017 (3)'!$A$5:$A$289,$D1609,'Comp2016-2017 (3)'!$R$5:$R$289,$V1609)*$AB1609))</f>
        <v/>
      </c>
      <c r="AJ1609" s="205" t="str">
        <f>IF($W1609=AJ$3,$AB1609,IF(NOT($W1609=0),"",SUMIFS('Val-Vol (2)'!AJ$4:AJ$1858,'Val-Vol (2)'!$A$4:$A$1858,$D1609,'Val-Vol (2)'!$V$4:$V$1858,$V1609)/SUMIFS('Comp2016-2017 (3)'!$G$5:$G$289,'Comp2016-2017 (3)'!$A$5:$A$289,$D1609,'Comp2016-2017 (3)'!$R$5:$R$289,$V1609)*$AB1609))</f>
        <v/>
      </c>
      <c r="AK1609" s="205">
        <f t="shared" si="182"/>
        <v>0</v>
      </c>
      <c r="AL1609" s="218" t="str">
        <f t="shared" si="184"/>
        <v/>
      </c>
      <c r="AM1609" s="218" t="str">
        <f>VLOOKUP(A1609,'Table corresp.'!$M$4:$U$63,8,FALSE)</f>
        <v>Production intermédiaire</v>
      </c>
      <c r="AN1609" s="218" t="str">
        <f>VLOOKUP(D1609,'Table corresp.'!$M$4:$U$63,9,FALSE)</f>
        <v>Production finale</v>
      </c>
    </row>
    <row r="1610" spans="1:40" x14ac:dyDescent="0.25">
      <c r="A1610" t="s">
        <v>7</v>
      </c>
      <c r="B1610" t="str">
        <f>VLOOKUP(LEFT(A1610,3),'Table corresp.'!$A$4:$D$63,3,FALSE)</f>
        <v>Transformation</v>
      </c>
      <c r="C1610" t="str">
        <f>VLOOKUP(A1610,'Table corresp.'!$M$4:$P$63,4,FALSE)</f>
        <v>Production et transformation de produits bois</v>
      </c>
      <c r="D1610" t="s">
        <v>91</v>
      </c>
      <c r="E1610" t="str">
        <f>VLOOKUP(LEFT(D1610,3),'Table corresp.'!$A$4:$D$63,4,FALSE)</f>
        <v>Transformation</v>
      </c>
      <c r="F1610" t="str">
        <f t="shared" si="185"/>
        <v xml:space="preserve">12  - 37 </v>
      </c>
      <c r="G1610" s="238">
        <v>69324.910342590098</v>
      </c>
      <c r="H1610" s="238">
        <v>16598.7889517031</v>
      </c>
      <c r="I1610" s="238">
        <v>85923.699294293197</v>
      </c>
      <c r="J1610" s="238">
        <v>908.7989503200497</v>
      </c>
      <c r="K1610" s="238">
        <v>215.5745457016582</v>
      </c>
      <c r="L1610" s="238">
        <v>1124.373496021708</v>
      </c>
      <c r="M1610" s="238"/>
      <c r="N1610" s="238"/>
      <c r="O1610" s="238"/>
      <c r="P1610" s="238"/>
      <c r="Q1610" s="238"/>
      <c r="R1610" s="238"/>
      <c r="S1610" s="238"/>
      <c r="T1610" s="218">
        <f>VLOOKUP(A1610,'Groupe de branches'!$Z$27:$AM$86,14,FALSE)</f>
        <v>0</v>
      </c>
      <c r="U1610" s="218">
        <f>VLOOKUP(D1610,'Groupe de branches'!$Z$27:$AM$86,14,FALSE)</f>
        <v>0</v>
      </c>
      <c r="V1610" s="218">
        <v>2020</v>
      </c>
      <c r="W1610" s="218" t="str">
        <f>VLOOKUP(D1610,'Table corresp.'!$M$4:$S$63,7,FALSE)</f>
        <v>Emballage bois et carton</v>
      </c>
      <c r="X1610" s="240">
        <f>IFERROR(G1610/SUMIFS('Comp2016-2017 (3)'!$I$5:$I$289,'Comp2016-2017 (3)'!$A$5:$A$289,A1610,'Comp2016-2017 (3)'!$R$5:$R$289,V1610),0)</f>
        <v>9.1457768976692277E-2</v>
      </c>
      <c r="Y1610" s="219" t="e">
        <f>IF(RIGHT(F1610,3)="Exp",VLOOKUP(F1610,#REF!,2,FALSE),VLOOKUP(F1610,#REF!,9,FALSE))</f>
        <v>#REF!</v>
      </c>
      <c r="Z1610" s="226" t="str">
        <f t="shared" si="186"/>
        <v/>
      </c>
      <c r="AA1610" s="226" t="e">
        <f t="shared" si="183"/>
        <v>#VALUE!</v>
      </c>
      <c r="AB1610" s="205">
        <f>IFERROR(SUMIFS('Comp2016-2017 (3)'!$G$5:$G$289,'Comp2016-2017 (3)'!$A$5:$A$289,A1610,'Comp2016-2017 (3)'!$R$5:$R$289,V1610)*AA1610/SUMIFS($AA$4:$AA$1858,$A$4:$A$1858,A1610,$V$4:$V$1858,V1610),0)</f>
        <v>0</v>
      </c>
      <c r="AC1610" s="205" t="str">
        <f>IF($W1610=AC$3,$AB1610,IF(NOT($W1610=0),"",SUMIFS('Val-Vol (2)'!AC$4:AC$1858,'Val-Vol (2)'!$A$4:$A$1858,$D1610,'Val-Vol (2)'!$V$4:$V$1858,$V1610)/SUMIFS('Comp2016-2017 (3)'!$G$5:$G$289,'Comp2016-2017 (3)'!$A$5:$A$289,$D1610,'Comp2016-2017 (3)'!$R$5:$R$289,$V1610)*$AB1610))</f>
        <v/>
      </c>
      <c r="AD1610" s="205" t="str">
        <f>IF($W1610=AD$3,$AB1610,IF(NOT($W1610=0),"",SUMIFS('Val-Vol (2)'!AD$4:AD$1858,'Val-Vol (2)'!$A$4:$A$1858,$D1610,'Val-Vol (2)'!$V$4:$V$1858,$V1610)/SUMIFS('Comp2016-2017 (3)'!$G$5:$G$289,'Comp2016-2017 (3)'!$A$5:$A$289,$D1610,'Comp2016-2017 (3)'!$R$5:$R$289,$V1610)*$AB1610))</f>
        <v/>
      </c>
      <c r="AE1610" s="205" t="str">
        <f>IF($W1610=AE$3,$AB1610,IF(NOT($W1610=0),"",SUMIFS('Val-Vol (2)'!AE$4:AE$1858,'Val-Vol (2)'!$A$4:$A$1858,$D1610,'Val-Vol (2)'!$V$4:$V$1858,$V1610)/SUMIFS('Comp2016-2017 (3)'!$G$5:$G$289,'Comp2016-2017 (3)'!$A$5:$A$289,$D1610,'Comp2016-2017 (3)'!$R$5:$R$289,$V1610)*$AB1610))</f>
        <v/>
      </c>
      <c r="AF1610" s="205" t="str">
        <f>IF($W1610=AF$3,$AB1610,IF(NOT($W1610=0),"",SUMIFS('Val-Vol (2)'!AF$4:AF$1858,'Val-Vol (2)'!$A$4:$A$1858,$D1610,'Val-Vol (2)'!$V$4:$V$1858,$V1610)/SUMIFS('Comp2016-2017 (3)'!$G$5:$G$289,'Comp2016-2017 (3)'!$A$5:$A$289,$D1610,'Comp2016-2017 (3)'!$R$5:$R$289,$V1610)*$AB1610))</f>
        <v/>
      </c>
      <c r="AG1610" s="205">
        <f>IF($W1610=AG$3,$AB1610,IF(NOT($W1610=0),"",SUMIFS('Val-Vol (2)'!AG$4:AG$1858,'Val-Vol (2)'!$A$4:$A$1858,$D1610,'Val-Vol (2)'!$V$4:$V$1858,$V1610)/SUMIFS('Comp2016-2017 (3)'!$G$5:$G$289,'Comp2016-2017 (3)'!$A$5:$A$289,$D1610,'Comp2016-2017 (3)'!$R$5:$R$289,$V1610)*$AB1610))</f>
        <v>0</v>
      </c>
      <c r="AH1610" s="205" t="str">
        <f>IF($W1610=AH$3,$AB1610,IF(NOT($W1610=0),"",SUMIFS('Val-Vol (2)'!AH$4:AH$1858,'Val-Vol (2)'!$A$4:$A$1858,$D1610,'Val-Vol (2)'!$V$4:$V$1858,$V1610)/SUMIFS('Comp2016-2017 (3)'!$G$5:$G$289,'Comp2016-2017 (3)'!$A$5:$A$289,$D1610,'Comp2016-2017 (3)'!$R$5:$R$289,$V1610)*$AB1610))</f>
        <v/>
      </c>
      <c r="AI1610" s="205" t="str">
        <f>IF($W1610=AI$3,$AB1610,IF(NOT($W1610=0),"",SUMIFS('Val-Vol (2)'!AI$4:AI$1858,'Val-Vol (2)'!$A$4:$A$1858,$D1610,'Val-Vol (2)'!$V$4:$V$1858,$V1610)/SUMIFS('Comp2016-2017 (3)'!$G$5:$G$289,'Comp2016-2017 (3)'!$A$5:$A$289,$D1610,'Comp2016-2017 (3)'!$R$5:$R$289,$V1610)*$AB1610))</f>
        <v/>
      </c>
      <c r="AJ1610" s="205" t="str">
        <f>IF($W1610=AJ$3,$AB1610,IF(NOT($W1610=0),"",SUMIFS('Val-Vol (2)'!AJ$4:AJ$1858,'Val-Vol (2)'!$A$4:$A$1858,$D1610,'Val-Vol (2)'!$V$4:$V$1858,$V1610)/SUMIFS('Comp2016-2017 (3)'!$G$5:$G$289,'Comp2016-2017 (3)'!$A$5:$A$289,$D1610,'Comp2016-2017 (3)'!$R$5:$R$289,$V1610)*$AB1610))</f>
        <v/>
      </c>
      <c r="AK1610" s="205">
        <f t="shared" si="182"/>
        <v>0</v>
      </c>
      <c r="AL1610" s="218" t="str">
        <f t="shared" si="184"/>
        <v/>
      </c>
      <c r="AM1610" s="218" t="str">
        <f>VLOOKUP(A1610,'Table corresp.'!$M$4:$U$63,8,FALSE)</f>
        <v>Production intermédiaire</v>
      </c>
      <c r="AN1610" s="218" t="str">
        <f>VLOOKUP(D1610,'Table corresp.'!$M$4:$U$63,9,FALSE)</f>
        <v>Production finale</v>
      </c>
    </row>
    <row r="1611" spans="1:40" x14ac:dyDescent="0.25">
      <c r="A1611" t="s">
        <v>7</v>
      </c>
      <c r="B1611" t="str">
        <f>VLOOKUP(LEFT(A1611,3),'Table corresp.'!$A$4:$D$63,3,FALSE)</f>
        <v>Transformation</v>
      </c>
      <c r="C1611" t="str">
        <f>VLOOKUP(A1611,'Table corresp.'!$M$4:$P$63,4,FALSE)</f>
        <v>Production et transformation de produits bois</v>
      </c>
      <c r="D1611" t="s">
        <v>18</v>
      </c>
      <c r="E1611" t="str">
        <f>VLOOKUP(LEFT(D1611,3),'Table corresp.'!$A$4:$D$63,4,FALSE)</f>
        <v>Transformation</v>
      </c>
      <c r="F1611" t="str">
        <f t="shared" si="185"/>
        <v xml:space="preserve">12  - 39 </v>
      </c>
      <c r="G1611" s="238">
        <v>1643.2371677702299</v>
      </c>
      <c r="H1611" s="238">
        <v>0</v>
      </c>
      <c r="I1611" s="238">
        <v>1643.2371677702299</v>
      </c>
      <c r="J1611" s="238">
        <v>20.002950779797843</v>
      </c>
      <c r="K1611" s="238">
        <v>0</v>
      </c>
      <c r="L1611" s="238">
        <v>20.002950779797843</v>
      </c>
      <c r="M1611" s="238"/>
      <c r="N1611" s="238"/>
      <c r="O1611" s="238"/>
      <c r="P1611" s="238"/>
      <c r="Q1611" s="238"/>
      <c r="R1611" s="238"/>
      <c r="S1611" s="238"/>
      <c r="T1611" s="218">
        <f>VLOOKUP(A1611,'Groupe de branches'!$Z$27:$AM$86,14,FALSE)</f>
        <v>0</v>
      </c>
      <c r="U1611" s="218">
        <f>VLOOKUP(D1611,'Groupe de branches'!$Z$27:$AM$86,14,FALSE)</f>
        <v>0</v>
      </c>
      <c r="V1611" s="218">
        <v>2020</v>
      </c>
      <c r="W1611" s="218" t="str">
        <f>VLOOKUP(D1611,'Table corresp.'!$M$4:$S$63,7,FALSE)</f>
        <v>Construction</v>
      </c>
      <c r="X1611" s="240">
        <f>IFERROR(G1611/SUMIFS('Comp2016-2017 (3)'!$I$5:$I$289,'Comp2016-2017 (3)'!$A$5:$A$289,A1611,'Comp2016-2017 (3)'!$R$5:$R$289,V1611),0)</f>
        <v>2.1678615164614843E-3</v>
      </c>
      <c r="Y1611" s="219" t="e">
        <f>IF(RIGHT(F1611,3)="Exp",VLOOKUP(F1611,#REF!,2,FALSE),VLOOKUP(F1611,#REF!,9,FALSE))</f>
        <v>#REF!</v>
      </c>
      <c r="Z1611" s="226" t="str">
        <f t="shared" si="186"/>
        <v/>
      </c>
      <c r="AA1611" s="226" t="e">
        <f t="shared" si="183"/>
        <v>#VALUE!</v>
      </c>
      <c r="AB1611" s="205">
        <f>IFERROR(SUMIFS('Comp2016-2017 (3)'!$G$5:$G$289,'Comp2016-2017 (3)'!$A$5:$A$289,A1611,'Comp2016-2017 (3)'!$R$5:$R$289,V1611)*AA1611/SUMIFS($AA$4:$AA$1858,$A$4:$A$1858,A1611,$V$4:$V$1858,V1611),0)</f>
        <v>0</v>
      </c>
      <c r="AC1611" s="205" t="str">
        <f>IF($W1611=AC$3,$AB1611,IF(NOT($W1611=0),"",SUMIFS('Val-Vol (2)'!AC$4:AC$1858,'Val-Vol (2)'!$A$4:$A$1858,$D1611,'Val-Vol (2)'!$V$4:$V$1858,$V1611)/SUMIFS('Comp2016-2017 (3)'!$G$5:$G$289,'Comp2016-2017 (3)'!$A$5:$A$289,$D1611,'Comp2016-2017 (3)'!$R$5:$R$289,$V1611)*$AB1611))</f>
        <v/>
      </c>
      <c r="AD1611" s="205">
        <f>IF($W1611=AD$3,$AB1611,IF(NOT($W1611=0),"",SUMIFS('Val-Vol (2)'!AD$4:AD$1858,'Val-Vol (2)'!$A$4:$A$1858,$D1611,'Val-Vol (2)'!$V$4:$V$1858,$V1611)/SUMIFS('Comp2016-2017 (3)'!$G$5:$G$289,'Comp2016-2017 (3)'!$A$5:$A$289,$D1611,'Comp2016-2017 (3)'!$R$5:$R$289,$V1611)*$AB1611))</f>
        <v>0</v>
      </c>
      <c r="AE1611" s="205" t="str">
        <f>IF($W1611=AE$3,$AB1611,IF(NOT($W1611=0),"",SUMIFS('Val-Vol (2)'!AE$4:AE$1858,'Val-Vol (2)'!$A$4:$A$1858,$D1611,'Val-Vol (2)'!$V$4:$V$1858,$V1611)/SUMIFS('Comp2016-2017 (3)'!$G$5:$G$289,'Comp2016-2017 (3)'!$A$5:$A$289,$D1611,'Comp2016-2017 (3)'!$R$5:$R$289,$V1611)*$AB1611))</f>
        <v/>
      </c>
      <c r="AF1611" s="205" t="str">
        <f>IF($W1611=AF$3,$AB1611,IF(NOT($W1611=0),"",SUMIFS('Val-Vol (2)'!AF$4:AF$1858,'Val-Vol (2)'!$A$4:$A$1858,$D1611,'Val-Vol (2)'!$V$4:$V$1858,$V1611)/SUMIFS('Comp2016-2017 (3)'!$G$5:$G$289,'Comp2016-2017 (3)'!$A$5:$A$289,$D1611,'Comp2016-2017 (3)'!$R$5:$R$289,$V1611)*$AB1611))</f>
        <v/>
      </c>
      <c r="AG1611" s="205" t="str">
        <f>IF($W1611=AG$3,$AB1611,IF(NOT($W1611=0),"",SUMIFS('Val-Vol (2)'!AG$4:AG$1858,'Val-Vol (2)'!$A$4:$A$1858,$D1611,'Val-Vol (2)'!$V$4:$V$1858,$V1611)/SUMIFS('Comp2016-2017 (3)'!$G$5:$G$289,'Comp2016-2017 (3)'!$A$5:$A$289,$D1611,'Comp2016-2017 (3)'!$R$5:$R$289,$V1611)*$AB1611))</f>
        <v/>
      </c>
      <c r="AH1611" s="205" t="str">
        <f>IF($W1611=AH$3,$AB1611,IF(NOT($W1611=0),"",SUMIFS('Val-Vol (2)'!AH$4:AH$1858,'Val-Vol (2)'!$A$4:$A$1858,$D1611,'Val-Vol (2)'!$V$4:$V$1858,$V1611)/SUMIFS('Comp2016-2017 (3)'!$G$5:$G$289,'Comp2016-2017 (3)'!$A$5:$A$289,$D1611,'Comp2016-2017 (3)'!$R$5:$R$289,$V1611)*$AB1611))</f>
        <v/>
      </c>
      <c r="AI1611" s="205" t="str">
        <f>IF($W1611=AI$3,$AB1611,IF(NOT($W1611=0),"",SUMIFS('Val-Vol (2)'!AI$4:AI$1858,'Val-Vol (2)'!$A$4:$A$1858,$D1611,'Val-Vol (2)'!$V$4:$V$1858,$V1611)/SUMIFS('Comp2016-2017 (3)'!$G$5:$G$289,'Comp2016-2017 (3)'!$A$5:$A$289,$D1611,'Comp2016-2017 (3)'!$R$5:$R$289,$V1611)*$AB1611))</f>
        <v/>
      </c>
      <c r="AJ1611" s="205" t="str">
        <f>IF($W1611=AJ$3,$AB1611,IF(NOT($W1611=0),"",SUMIFS('Val-Vol (2)'!AJ$4:AJ$1858,'Val-Vol (2)'!$A$4:$A$1858,$D1611,'Val-Vol (2)'!$V$4:$V$1858,$V1611)/SUMIFS('Comp2016-2017 (3)'!$G$5:$G$289,'Comp2016-2017 (3)'!$A$5:$A$289,$D1611,'Comp2016-2017 (3)'!$R$5:$R$289,$V1611)*$AB1611))</f>
        <v/>
      </c>
      <c r="AK1611" s="205">
        <f t="shared" si="182"/>
        <v>0</v>
      </c>
      <c r="AL1611" s="218" t="str">
        <f t="shared" si="184"/>
        <v/>
      </c>
      <c r="AM1611" s="218" t="str">
        <f>VLOOKUP(A1611,'Table corresp.'!$M$4:$U$63,8,FALSE)</f>
        <v>Production intermédiaire</v>
      </c>
      <c r="AN1611" s="218" t="str">
        <f>VLOOKUP(D1611,'Table corresp.'!$M$4:$U$63,9,FALSE)</f>
        <v>Production finale</v>
      </c>
    </row>
    <row r="1612" spans="1:40" x14ac:dyDescent="0.25">
      <c r="A1612" t="s">
        <v>7</v>
      </c>
      <c r="B1612" t="str">
        <f>VLOOKUP(LEFT(A1612,3),'Table corresp.'!$A$4:$D$63,3,FALSE)</f>
        <v>Transformation</v>
      </c>
      <c r="C1612" t="str">
        <f>VLOOKUP(A1612,'Table corresp.'!$M$4:$P$63,4,FALSE)</f>
        <v>Production et transformation de produits bois</v>
      </c>
      <c r="D1612" t="s">
        <v>92</v>
      </c>
      <c r="E1612" t="str">
        <f>VLOOKUP(LEFT(D1612,3),'Table corresp.'!$A$4:$D$63,4,FALSE)</f>
        <v>Transformation</v>
      </c>
      <c r="F1612" t="str">
        <f t="shared" si="185"/>
        <v xml:space="preserve">12  - 40 </v>
      </c>
      <c r="G1612" s="238">
        <v>630.36603482200201</v>
      </c>
      <c r="H1612" s="238">
        <v>0</v>
      </c>
      <c r="I1612" s="238">
        <v>630.36603482200201</v>
      </c>
      <c r="J1612" s="238">
        <v>5.3713649560626084</v>
      </c>
      <c r="K1612" s="238">
        <v>0</v>
      </c>
      <c r="L1612" s="238">
        <v>5.3713649560626084</v>
      </c>
      <c r="M1612" s="238"/>
      <c r="N1612" s="238"/>
      <c r="O1612" s="238"/>
      <c r="P1612" s="238"/>
      <c r="Q1612" s="238"/>
      <c r="R1612" s="238"/>
      <c r="S1612" s="238"/>
      <c r="T1612" s="218">
        <f>VLOOKUP(A1612,'Groupe de branches'!$Z$27:$AM$86,14,FALSE)</f>
        <v>0</v>
      </c>
      <c r="U1612" s="218">
        <f>VLOOKUP(D1612,'Groupe de branches'!$Z$27:$AM$86,14,FALSE)</f>
        <v>0</v>
      </c>
      <c r="V1612" s="218">
        <v>2020</v>
      </c>
      <c r="W1612" s="218" t="str">
        <f>VLOOKUP(D1612,'Table corresp.'!$M$4:$S$63,7,FALSE)</f>
        <v>Construction</v>
      </c>
      <c r="X1612" s="240">
        <f>IFERROR(G1612/SUMIFS('Comp2016-2017 (3)'!$I$5:$I$289,'Comp2016-2017 (3)'!$A$5:$A$289,A1612,'Comp2016-2017 (3)'!$R$5:$R$289,V1612),0)</f>
        <v>8.3161840236936461E-4</v>
      </c>
      <c r="Y1612" s="219" t="e">
        <f>IF(RIGHT(F1612,3)="Exp",VLOOKUP(F1612,#REF!,2,FALSE),VLOOKUP(F1612,#REF!,9,FALSE))</f>
        <v>#REF!</v>
      </c>
      <c r="Z1612" s="226" t="str">
        <f t="shared" si="186"/>
        <v/>
      </c>
      <c r="AA1612" s="226" t="e">
        <f t="shared" si="183"/>
        <v>#VALUE!</v>
      </c>
      <c r="AB1612" s="205">
        <f>IFERROR(SUMIFS('Comp2016-2017 (3)'!$G$5:$G$289,'Comp2016-2017 (3)'!$A$5:$A$289,A1612,'Comp2016-2017 (3)'!$R$5:$R$289,V1612)*AA1612/SUMIFS($AA$4:$AA$1858,$A$4:$A$1858,A1612,$V$4:$V$1858,V1612),0)</f>
        <v>0</v>
      </c>
      <c r="AC1612" s="205" t="str">
        <f>IF($W1612=AC$3,$AB1612,IF(NOT($W1612=0),"",SUMIFS('Val-Vol (2)'!AC$4:AC$1858,'Val-Vol (2)'!$A$4:$A$1858,$D1612,'Val-Vol (2)'!$V$4:$V$1858,$V1612)/SUMIFS('Comp2016-2017 (3)'!$G$5:$G$289,'Comp2016-2017 (3)'!$A$5:$A$289,$D1612,'Comp2016-2017 (3)'!$R$5:$R$289,$V1612)*$AB1612))</f>
        <v/>
      </c>
      <c r="AD1612" s="205">
        <f>IF($W1612=AD$3,$AB1612,IF(NOT($W1612=0),"",SUMIFS('Val-Vol (2)'!AD$4:AD$1858,'Val-Vol (2)'!$A$4:$A$1858,$D1612,'Val-Vol (2)'!$V$4:$V$1858,$V1612)/SUMIFS('Comp2016-2017 (3)'!$G$5:$G$289,'Comp2016-2017 (3)'!$A$5:$A$289,$D1612,'Comp2016-2017 (3)'!$R$5:$R$289,$V1612)*$AB1612))</f>
        <v>0</v>
      </c>
      <c r="AE1612" s="205" t="str">
        <f>IF($W1612=AE$3,$AB1612,IF(NOT($W1612=0),"",SUMIFS('Val-Vol (2)'!AE$4:AE$1858,'Val-Vol (2)'!$A$4:$A$1858,$D1612,'Val-Vol (2)'!$V$4:$V$1858,$V1612)/SUMIFS('Comp2016-2017 (3)'!$G$5:$G$289,'Comp2016-2017 (3)'!$A$5:$A$289,$D1612,'Comp2016-2017 (3)'!$R$5:$R$289,$V1612)*$AB1612))</f>
        <v/>
      </c>
      <c r="AF1612" s="205" t="str">
        <f>IF($W1612=AF$3,$AB1612,IF(NOT($W1612=0),"",SUMIFS('Val-Vol (2)'!AF$4:AF$1858,'Val-Vol (2)'!$A$4:$A$1858,$D1612,'Val-Vol (2)'!$V$4:$V$1858,$V1612)/SUMIFS('Comp2016-2017 (3)'!$G$5:$G$289,'Comp2016-2017 (3)'!$A$5:$A$289,$D1612,'Comp2016-2017 (3)'!$R$5:$R$289,$V1612)*$AB1612))</f>
        <v/>
      </c>
      <c r="AG1612" s="205" t="str">
        <f>IF($W1612=AG$3,$AB1612,IF(NOT($W1612=0),"",SUMIFS('Val-Vol (2)'!AG$4:AG$1858,'Val-Vol (2)'!$A$4:$A$1858,$D1612,'Val-Vol (2)'!$V$4:$V$1858,$V1612)/SUMIFS('Comp2016-2017 (3)'!$G$5:$G$289,'Comp2016-2017 (3)'!$A$5:$A$289,$D1612,'Comp2016-2017 (3)'!$R$5:$R$289,$V1612)*$AB1612))</f>
        <v/>
      </c>
      <c r="AH1612" s="205" t="str">
        <f>IF($W1612=AH$3,$AB1612,IF(NOT($W1612=0),"",SUMIFS('Val-Vol (2)'!AH$4:AH$1858,'Val-Vol (2)'!$A$4:$A$1858,$D1612,'Val-Vol (2)'!$V$4:$V$1858,$V1612)/SUMIFS('Comp2016-2017 (3)'!$G$5:$G$289,'Comp2016-2017 (3)'!$A$5:$A$289,$D1612,'Comp2016-2017 (3)'!$R$5:$R$289,$V1612)*$AB1612))</f>
        <v/>
      </c>
      <c r="AI1612" s="205" t="str">
        <f>IF($W1612=AI$3,$AB1612,IF(NOT($W1612=0),"",SUMIFS('Val-Vol (2)'!AI$4:AI$1858,'Val-Vol (2)'!$A$4:$A$1858,$D1612,'Val-Vol (2)'!$V$4:$V$1858,$V1612)/SUMIFS('Comp2016-2017 (3)'!$G$5:$G$289,'Comp2016-2017 (3)'!$A$5:$A$289,$D1612,'Comp2016-2017 (3)'!$R$5:$R$289,$V1612)*$AB1612))</f>
        <v/>
      </c>
      <c r="AJ1612" s="205" t="str">
        <f>IF($W1612=AJ$3,$AB1612,IF(NOT($W1612=0),"",SUMIFS('Val-Vol (2)'!AJ$4:AJ$1858,'Val-Vol (2)'!$A$4:$A$1858,$D1612,'Val-Vol (2)'!$V$4:$V$1858,$V1612)/SUMIFS('Comp2016-2017 (3)'!$G$5:$G$289,'Comp2016-2017 (3)'!$A$5:$A$289,$D1612,'Comp2016-2017 (3)'!$R$5:$R$289,$V1612)*$AB1612))</f>
        <v/>
      </c>
      <c r="AK1612" s="205">
        <f t="shared" si="182"/>
        <v>0</v>
      </c>
      <c r="AL1612" s="218" t="str">
        <f t="shared" si="184"/>
        <v/>
      </c>
      <c r="AM1612" s="218" t="str">
        <f>VLOOKUP(A1612,'Table corresp.'!$M$4:$U$63,8,FALSE)</f>
        <v>Production intermédiaire</v>
      </c>
      <c r="AN1612" s="218" t="str">
        <f>VLOOKUP(D1612,'Table corresp.'!$M$4:$U$63,9,FALSE)</f>
        <v>Production finale</v>
      </c>
    </row>
    <row r="1613" spans="1:40" x14ac:dyDescent="0.25">
      <c r="A1613" t="s">
        <v>7</v>
      </c>
      <c r="B1613" t="str">
        <f>VLOOKUP(LEFT(A1613,3),'Table corresp.'!$A$4:$D$63,3,FALSE)</f>
        <v>Transformation</v>
      </c>
      <c r="C1613" t="str">
        <f>VLOOKUP(A1613,'Table corresp.'!$M$4:$P$63,4,FALSE)</f>
        <v>Production et transformation de produits bois</v>
      </c>
      <c r="D1613" t="s">
        <v>93</v>
      </c>
      <c r="E1613" t="str">
        <f>VLOOKUP(LEFT(D1613,3),'Table corresp.'!$A$4:$D$63,4,FALSE)</f>
        <v>Transformation</v>
      </c>
      <c r="F1613" t="str">
        <f t="shared" si="185"/>
        <v xml:space="preserve">12  - 41 </v>
      </c>
      <c r="G1613" s="238">
        <v>15397.4516512626</v>
      </c>
      <c r="H1613" s="238">
        <v>0</v>
      </c>
      <c r="I1613" s="238">
        <v>15397.4516512626</v>
      </c>
      <c r="J1613" s="238">
        <v>104.96166055090706</v>
      </c>
      <c r="K1613" s="238">
        <v>0</v>
      </c>
      <c r="L1613" s="238">
        <v>104.96166055090706</v>
      </c>
      <c r="M1613" s="238"/>
      <c r="N1613" s="238"/>
      <c r="O1613" s="238"/>
      <c r="P1613" s="238"/>
      <c r="Q1613" s="238"/>
      <c r="R1613" s="238"/>
      <c r="S1613" s="238"/>
      <c r="T1613" s="218">
        <f>VLOOKUP(A1613,'Groupe de branches'!$Z$27:$AM$86,14,FALSE)</f>
        <v>0</v>
      </c>
      <c r="U1613" s="218">
        <f>VLOOKUP(D1613,'Groupe de branches'!$Z$27:$AM$86,14,FALSE)</f>
        <v>0</v>
      </c>
      <c r="V1613" s="218">
        <v>2020</v>
      </c>
      <c r="W1613" s="218" t="str">
        <f>VLOOKUP(D1613,'Table corresp.'!$M$4:$S$63,7,FALSE)</f>
        <v>Produits de consommation courante</v>
      </c>
      <c r="X1613" s="240">
        <f>IFERROR(G1613/SUMIFS('Comp2016-2017 (3)'!$I$5:$I$289,'Comp2016-2017 (3)'!$A$5:$A$289,A1613,'Comp2016-2017 (3)'!$R$5:$R$289,V1613),0)</f>
        <v>2.0313283767578409E-2</v>
      </c>
      <c r="Y1613" s="219" t="e">
        <f>IF(RIGHT(F1613,3)="Exp",VLOOKUP(F1613,#REF!,2,FALSE),VLOOKUP(F1613,#REF!,9,FALSE))</f>
        <v>#REF!</v>
      </c>
      <c r="Z1613" s="226" t="str">
        <f t="shared" si="186"/>
        <v/>
      </c>
      <c r="AA1613" s="226" t="e">
        <f t="shared" si="183"/>
        <v>#VALUE!</v>
      </c>
      <c r="AB1613" s="205">
        <f>IFERROR(SUMIFS('Comp2016-2017 (3)'!$G$5:$G$289,'Comp2016-2017 (3)'!$A$5:$A$289,A1613,'Comp2016-2017 (3)'!$R$5:$R$289,V1613)*AA1613/SUMIFS($AA$4:$AA$1858,$A$4:$A$1858,A1613,$V$4:$V$1858,V1613),0)</f>
        <v>0</v>
      </c>
      <c r="AC1613" s="205" t="str">
        <f>IF($W1613=AC$3,$AB1613,IF(NOT($W1613=0),"",SUMIFS('Val-Vol (2)'!AC$4:AC$1858,'Val-Vol (2)'!$A$4:$A$1858,$D1613,'Val-Vol (2)'!$V$4:$V$1858,$V1613)/SUMIFS('Comp2016-2017 (3)'!$G$5:$G$289,'Comp2016-2017 (3)'!$A$5:$A$289,$D1613,'Comp2016-2017 (3)'!$R$5:$R$289,$V1613)*$AB1613))</f>
        <v/>
      </c>
      <c r="AD1613" s="205" t="str">
        <f>IF($W1613=AD$3,$AB1613,IF(NOT($W1613=0),"",SUMIFS('Val-Vol (2)'!AD$4:AD$1858,'Val-Vol (2)'!$A$4:$A$1858,$D1613,'Val-Vol (2)'!$V$4:$V$1858,$V1613)/SUMIFS('Comp2016-2017 (3)'!$G$5:$G$289,'Comp2016-2017 (3)'!$A$5:$A$289,$D1613,'Comp2016-2017 (3)'!$R$5:$R$289,$V1613)*$AB1613))</f>
        <v/>
      </c>
      <c r="AE1613" s="205" t="str">
        <f>IF($W1613=AE$3,$AB1613,IF(NOT($W1613=0),"",SUMIFS('Val-Vol (2)'!AE$4:AE$1858,'Val-Vol (2)'!$A$4:$A$1858,$D1613,'Val-Vol (2)'!$V$4:$V$1858,$V1613)/SUMIFS('Comp2016-2017 (3)'!$G$5:$G$289,'Comp2016-2017 (3)'!$A$5:$A$289,$D1613,'Comp2016-2017 (3)'!$R$5:$R$289,$V1613)*$AB1613))</f>
        <v/>
      </c>
      <c r="AF1613" s="205" t="str">
        <f>IF($W1613=AF$3,$AB1613,IF(NOT($W1613=0),"",SUMIFS('Val-Vol (2)'!AF$4:AF$1858,'Val-Vol (2)'!$A$4:$A$1858,$D1613,'Val-Vol (2)'!$V$4:$V$1858,$V1613)/SUMIFS('Comp2016-2017 (3)'!$G$5:$G$289,'Comp2016-2017 (3)'!$A$5:$A$289,$D1613,'Comp2016-2017 (3)'!$R$5:$R$289,$V1613)*$AB1613))</f>
        <v/>
      </c>
      <c r="AG1613" s="205" t="str">
        <f>IF($W1613=AG$3,$AB1613,IF(NOT($W1613=0),"",SUMIFS('Val-Vol (2)'!AG$4:AG$1858,'Val-Vol (2)'!$A$4:$A$1858,$D1613,'Val-Vol (2)'!$V$4:$V$1858,$V1613)/SUMIFS('Comp2016-2017 (3)'!$G$5:$G$289,'Comp2016-2017 (3)'!$A$5:$A$289,$D1613,'Comp2016-2017 (3)'!$R$5:$R$289,$V1613)*$AB1613))</f>
        <v/>
      </c>
      <c r="AH1613" s="205" t="str">
        <f>IF($W1613=AH$3,$AB1613,IF(NOT($W1613=0),"",SUMIFS('Val-Vol (2)'!AH$4:AH$1858,'Val-Vol (2)'!$A$4:$A$1858,$D1613,'Val-Vol (2)'!$V$4:$V$1858,$V1613)/SUMIFS('Comp2016-2017 (3)'!$G$5:$G$289,'Comp2016-2017 (3)'!$A$5:$A$289,$D1613,'Comp2016-2017 (3)'!$R$5:$R$289,$V1613)*$AB1613))</f>
        <v/>
      </c>
      <c r="AI1613" s="205">
        <f>IF($W1613=AI$3,$AB1613,IF(NOT($W1613=0),"",SUMIFS('Val-Vol (2)'!AI$4:AI$1858,'Val-Vol (2)'!$A$4:$A$1858,$D1613,'Val-Vol (2)'!$V$4:$V$1858,$V1613)/SUMIFS('Comp2016-2017 (3)'!$G$5:$G$289,'Comp2016-2017 (3)'!$A$5:$A$289,$D1613,'Comp2016-2017 (3)'!$R$5:$R$289,$V1613)*$AB1613))</f>
        <v>0</v>
      </c>
      <c r="AJ1613" s="205" t="str">
        <f>IF($W1613=AJ$3,$AB1613,IF(NOT($W1613=0),"",SUMIFS('Val-Vol (2)'!AJ$4:AJ$1858,'Val-Vol (2)'!$A$4:$A$1858,$D1613,'Val-Vol (2)'!$V$4:$V$1858,$V1613)/SUMIFS('Comp2016-2017 (3)'!$G$5:$G$289,'Comp2016-2017 (3)'!$A$5:$A$289,$D1613,'Comp2016-2017 (3)'!$R$5:$R$289,$V1613)*$AB1613))</f>
        <v/>
      </c>
      <c r="AK1613" s="205">
        <f t="shared" si="182"/>
        <v>0</v>
      </c>
      <c r="AL1613" s="218" t="str">
        <f t="shared" si="184"/>
        <v/>
      </c>
      <c r="AM1613" s="218" t="str">
        <f>VLOOKUP(A1613,'Table corresp.'!$M$4:$U$63,8,FALSE)</f>
        <v>Production intermédiaire</v>
      </c>
      <c r="AN1613" s="218" t="str">
        <f>VLOOKUP(D1613,'Table corresp.'!$M$4:$U$63,9,FALSE)</f>
        <v>Production finale</v>
      </c>
    </row>
    <row r="1614" spans="1:40" x14ac:dyDescent="0.25">
      <c r="A1614" t="s">
        <v>7</v>
      </c>
      <c r="B1614" t="str">
        <f>VLOOKUP(LEFT(A1614,3),'Table corresp.'!$A$4:$D$63,3,FALSE)</f>
        <v>Transformation</v>
      </c>
      <c r="C1614" t="str">
        <f>VLOOKUP(A1614,'Table corresp.'!$M$4:$P$63,4,FALSE)</f>
        <v>Production et transformation de produits bois</v>
      </c>
      <c r="D1614" t="s">
        <v>99</v>
      </c>
      <c r="E1614" t="str">
        <f>VLOOKUP(LEFT(D1614,3),'Table corresp.'!$A$4:$D$63,4,FALSE)</f>
        <v>Transformation</v>
      </c>
      <c r="F1614" t="str">
        <f t="shared" si="185"/>
        <v xml:space="preserve">12  - 47 </v>
      </c>
      <c r="G1614" s="238">
        <v>11663.146229891499</v>
      </c>
      <c r="H1614" s="238">
        <v>6160.0310299150296</v>
      </c>
      <c r="I1614" s="238">
        <v>17823.1772598065</v>
      </c>
      <c r="J1614" s="238">
        <v>66.254643044404844</v>
      </c>
      <c r="K1614" s="238">
        <v>42.858523378871844</v>
      </c>
      <c r="L1614" s="238">
        <v>109.11316642327668</v>
      </c>
      <c r="M1614" s="238"/>
      <c r="N1614" s="238"/>
      <c r="O1614" s="238"/>
      <c r="P1614" s="238"/>
      <c r="Q1614" s="238"/>
      <c r="R1614" s="238"/>
      <c r="S1614" s="238"/>
      <c r="T1614" s="218">
        <f>VLOOKUP(A1614,'Groupe de branches'!$Z$27:$AM$86,14,FALSE)</f>
        <v>0</v>
      </c>
      <c r="U1614" s="218">
        <f>VLOOKUP(D1614,'Groupe de branches'!$Z$27:$AM$86,14,FALSE)</f>
        <v>0</v>
      </c>
      <c r="V1614" s="218">
        <v>2020</v>
      </c>
      <c r="W1614" s="218" t="str">
        <f>VLOOKUP(D1614,'Table corresp.'!$M$4:$S$63,7,FALSE)</f>
        <v>Meuble</v>
      </c>
      <c r="X1614" s="240">
        <f>IFERROR(G1614/SUMIFS('Comp2016-2017 (3)'!$I$5:$I$289,'Comp2016-2017 (3)'!$A$5:$A$289,A1614,'Comp2016-2017 (3)'!$R$5:$R$289,V1614),0)</f>
        <v>1.5386753883466229E-2</v>
      </c>
      <c r="Y1614" s="219" t="e">
        <f>IF(RIGHT(F1614,3)="Exp",VLOOKUP(F1614,#REF!,2,FALSE),VLOOKUP(F1614,#REF!,9,FALSE))</f>
        <v>#REF!</v>
      </c>
      <c r="Z1614" s="226" t="str">
        <f t="shared" si="186"/>
        <v/>
      </c>
      <c r="AA1614" s="226" t="e">
        <f t="shared" si="183"/>
        <v>#VALUE!</v>
      </c>
      <c r="AB1614" s="205">
        <f>IFERROR(SUMIFS('Comp2016-2017 (3)'!$G$5:$G$289,'Comp2016-2017 (3)'!$A$5:$A$289,A1614,'Comp2016-2017 (3)'!$R$5:$R$289,V1614)*AA1614/SUMIFS($AA$4:$AA$1858,$A$4:$A$1858,A1614,$V$4:$V$1858,V1614),0)</f>
        <v>0</v>
      </c>
      <c r="AC1614" s="205" t="str">
        <f>IF($W1614=AC$3,$AB1614,IF(NOT($W1614=0),"",SUMIFS('Val-Vol (2)'!AC$4:AC$1858,'Val-Vol (2)'!$A$4:$A$1858,$D1614,'Val-Vol (2)'!$V$4:$V$1858,$V1614)/SUMIFS('Comp2016-2017 (3)'!$G$5:$G$289,'Comp2016-2017 (3)'!$A$5:$A$289,$D1614,'Comp2016-2017 (3)'!$R$5:$R$289,$V1614)*$AB1614))</f>
        <v/>
      </c>
      <c r="AD1614" s="205" t="str">
        <f>IF($W1614=AD$3,$AB1614,IF(NOT($W1614=0),"",SUMIFS('Val-Vol (2)'!AD$4:AD$1858,'Val-Vol (2)'!$A$4:$A$1858,$D1614,'Val-Vol (2)'!$V$4:$V$1858,$V1614)/SUMIFS('Comp2016-2017 (3)'!$G$5:$G$289,'Comp2016-2017 (3)'!$A$5:$A$289,$D1614,'Comp2016-2017 (3)'!$R$5:$R$289,$V1614)*$AB1614))</f>
        <v/>
      </c>
      <c r="AE1614" s="205">
        <f>IF($W1614=AE$3,$AB1614,IF(NOT($W1614=0),"",SUMIFS('Val-Vol (2)'!AE$4:AE$1858,'Val-Vol (2)'!$A$4:$A$1858,$D1614,'Val-Vol (2)'!$V$4:$V$1858,$V1614)/SUMIFS('Comp2016-2017 (3)'!$G$5:$G$289,'Comp2016-2017 (3)'!$A$5:$A$289,$D1614,'Comp2016-2017 (3)'!$R$5:$R$289,$V1614)*$AB1614))</f>
        <v>0</v>
      </c>
      <c r="AF1614" s="205" t="str">
        <f>IF($W1614=AF$3,$AB1614,IF(NOT($W1614=0),"",SUMIFS('Val-Vol (2)'!AF$4:AF$1858,'Val-Vol (2)'!$A$4:$A$1858,$D1614,'Val-Vol (2)'!$V$4:$V$1858,$V1614)/SUMIFS('Comp2016-2017 (3)'!$G$5:$G$289,'Comp2016-2017 (3)'!$A$5:$A$289,$D1614,'Comp2016-2017 (3)'!$R$5:$R$289,$V1614)*$AB1614))</f>
        <v/>
      </c>
      <c r="AG1614" s="205" t="str">
        <f>IF($W1614=AG$3,$AB1614,IF(NOT($W1614=0),"",SUMIFS('Val-Vol (2)'!AG$4:AG$1858,'Val-Vol (2)'!$A$4:$A$1858,$D1614,'Val-Vol (2)'!$V$4:$V$1858,$V1614)/SUMIFS('Comp2016-2017 (3)'!$G$5:$G$289,'Comp2016-2017 (3)'!$A$5:$A$289,$D1614,'Comp2016-2017 (3)'!$R$5:$R$289,$V1614)*$AB1614))</f>
        <v/>
      </c>
      <c r="AH1614" s="205" t="str">
        <f>IF($W1614=AH$3,$AB1614,IF(NOT($W1614=0),"",SUMIFS('Val-Vol (2)'!AH$4:AH$1858,'Val-Vol (2)'!$A$4:$A$1858,$D1614,'Val-Vol (2)'!$V$4:$V$1858,$V1614)/SUMIFS('Comp2016-2017 (3)'!$G$5:$G$289,'Comp2016-2017 (3)'!$A$5:$A$289,$D1614,'Comp2016-2017 (3)'!$R$5:$R$289,$V1614)*$AB1614))</f>
        <v/>
      </c>
      <c r="AI1614" s="205" t="str">
        <f>IF($W1614=AI$3,$AB1614,IF(NOT($W1614=0),"",SUMIFS('Val-Vol (2)'!AI$4:AI$1858,'Val-Vol (2)'!$A$4:$A$1858,$D1614,'Val-Vol (2)'!$V$4:$V$1858,$V1614)/SUMIFS('Comp2016-2017 (3)'!$G$5:$G$289,'Comp2016-2017 (3)'!$A$5:$A$289,$D1614,'Comp2016-2017 (3)'!$R$5:$R$289,$V1614)*$AB1614))</f>
        <v/>
      </c>
      <c r="AJ1614" s="205" t="str">
        <f>IF($W1614=AJ$3,$AB1614,IF(NOT($W1614=0),"",SUMIFS('Val-Vol (2)'!AJ$4:AJ$1858,'Val-Vol (2)'!$A$4:$A$1858,$D1614,'Val-Vol (2)'!$V$4:$V$1858,$V1614)/SUMIFS('Comp2016-2017 (3)'!$G$5:$G$289,'Comp2016-2017 (3)'!$A$5:$A$289,$D1614,'Comp2016-2017 (3)'!$R$5:$R$289,$V1614)*$AB1614))</f>
        <v/>
      </c>
      <c r="AK1614" s="205">
        <f t="shared" si="182"/>
        <v>0</v>
      </c>
      <c r="AL1614" s="218" t="str">
        <f t="shared" si="184"/>
        <v/>
      </c>
      <c r="AM1614" s="218" t="str">
        <f>VLOOKUP(A1614,'Table corresp.'!$M$4:$U$63,8,FALSE)</f>
        <v>Production intermédiaire</v>
      </c>
      <c r="AN1614" s="218" t="str">
        <f>VLOOKUP(D1614,'Table corresp.'!$M$4:$U$63,9,FALSE)</f>
        <v>Production finale</v>
      </c>
    </row>
    <row r="1615" spans="1:40" x14ac:dyDescent="0.25">
      <c r="A1615" t="s">
        <v>7</v>
      </c>
      <c r="B1615" t="str">
        <f>VLOOKUP(LEFT(A1615,3),'Table corresp.'!$A$4:$D$63,3,FALSE)</f>
        <v>Transformation</v>
      </c>
      <c r="C1615" t="str">
        <f>VLOOKUP(A1615,'Table corresp.'!$M$4:$P$63,4,FALSE)</f>
        <v>Production et transformation de produits bois</v>
      </c>
      <c r="D1615" t="s">
        <v>100</v>
      </c>
      <c r="E1615" t="str">
        <f>VLOOKUP(LEFT(D1615,3),'Table corresp.'!$A$4:$D$63,4,FALSE)</f>
        <v>Transformation</v>
      </c>
      <c r="F1615" t="str">
        <f t="shared" si="185"/>
        <v xml:space="preserve">12  - 48 </v>
      </c>
      <c r="G1615" s="238">
        <v>6478.9586493013703</v>
      </c>
      <c r="H1615" s="238">
        <v>0</v>
      </c>
      <c r="I1615" s="238">
        <v>6478.9586493013703</v>
      </c>
      <c r="J1615" s="238">
        <v>27.603685413081394</v>
      </c>
      <c r="K1615" s="238">
        <v>0</v>
      </c>
      <c r="L1615" s="238">
        <v>27.603685413081394</v>
      </c>
      <c r="M1615" s="238"/>
      <c r="N1615" s="238"/>
      <c r="O1615" s="238"/>
      <c r="P1615" s="238"/>
      <c r="Q1615" s="238"/>
      <c r="R1615" s="238"/>
      <c r="S1615" s="238"/>
      <c r="T1615" s="218">
        <f>VLOOKUP(A1615,'Groupe de branches'!$Z$27:$AM$86,14,FALSE)</f>
        <v>0</v>
      </c>
      <c r="U1615" s="218">
        <f>VLOOKUP(D1615,'Groupe de branches'!$Z$27:$AM$86,14,FALSE)</f>
        <v>0</v>
      </c>
      <c r="V1615" s="218">
        <v>2020</v>
      </c>
      <c r="W1615" s="218" t="str">
        <f>VLOOKUP(D1615,'Table corresp.'!$M$4:$S$63,7,FALSE)</f>
        <v>Produits de consommation courante</v>
      </c>
      <c r="X1615" s="240">
        <f>IFERROR(G1615/SUMIFS('Comp2016-2017 (3)'!$I$5:$I$289,'Comp2016-2017 (3)'!$A$5:$A$289,A1615,'Comp2016-2017 (3)'!$R$5:$R$289,V1615),0)</f>
        <v>8.5474485351524545E-3</v>
      </c>
      <c r="Y1615" s="219" t="e">
        <f>IF(RIGHT(F1615,3)="Exp",VLOOKUP(F1615,#REF!,2,FALSE),VLOOKUP(F1615,#REF!,9,FALSE))</f>
        <v>#REF!</v>
      </c>
      <c r="Z1615" s="226" t="str">
        <f t="shared" si="186"/>
        <v/>
      </c>
      <c r="AA1615" s="226" t="e">
        <f t="shared" si="183"/>
        <v>#VALUE!</v>
      </c>
      <c r="AB1615" s="205">
        <f>IFERROR(SUMIFS('Comp2016-2017 (3)'!$G$5:$G$289,'Comp2016-2017 (3)'!$A$5:$A$289,A1615,'Comp2016-2017 (3)'!$R$5:$R$289,V1615)*AA1615/SUMIFS($AA$4:$AA$1858,$A$4:$A$1858,A1615,$V$4:$V$1858,V1615),0)</f>
        <v>0</v>
      </c>
      <c r="AC1615" s="205" t="str">
        <f>IF($W1615=AC$3,$AB1615,IF(NOT($W1615=0),"",SUMIFS('Val-Vol (2)'!AC$4:AC$1858,'Val-Vol (2)'!$A$4:$A$1858,$D1615,'Val-Vol (2)'!$V$4:$V$1858,$V1615)/SUMIFS('Comp2016-2017 (3)'!$G$5:$G$289,'Comp2016-2017 (3)'!$A$5:$A$289,$D1615,'Comp2016-2017 (3)'!$R$5:$R$289,$V1615)*$AB1615))</f>
        <v/>
      </c>
      <c r="AD1615" s="205" t="str">
        <f>IF($W1615=AD$3,$AB1615,IF(NOT($W1615=0),"",SUMIFS('Val-Vol (2)'!AD$4:AD$1858,'Val-Vol (2)'!$A$4:$A$1858,$D1615,'Val-Vol (2)'!$V$4:$V$1858,$V1615)/SUMIFS('Comp2016-2017 (3)'!$G$5:$G$289,'Comp2016-2017 (3)'!$A$5:$A$289,$D1615,'Comp2016-2017 (3)'!$R$5:$R$289,$V1615)*$AB1615))</f>
        <v/>
      </c>
      <c r="AE1615" s="205" t="str">
        <f>IF($W1615=AE$3,$AB1615,IF(NOT($W1615=0),"",SUMIFS('Val-Vol (2)'!AE$4:AE$1858,'Val-Vol (2)'!$A$4:$A$1858,$D1615,'Val-Vol (2)'!$V$4:$V$1858,$V1615)/SUMIFS('Comp2016-2017 (3)'!$G$5:$G$289,'Comp2016-2017 (3)'!$A$5:$A$289,$D1615,'Comp2016-2017 (3)'!$R$5:$R$289,$V1615)*$AB1615))</f>
        <v/>
      </c>
      <c r="AF1615" s="205" t="str">
        <f>IF($W1615=AF$3,$AB1615,IF(NOT($W1615=0),"",SUMIFS('Val-Vol (2)'!AF$4:AF$1858,'Val-Vol (2)'!$A$4:$A$1858,$D1615,'Val-Vol (2)'!$V$4:$V$1858,$V1615)/SUMIFS('Comp2016-2017 (3)'!$G$5:$G$289,'Comp2016-2017 (3)'!$A$5:$A$289,$D1615,'Comp2016-2017 (3)'!$R$5:$R$289,$V1615)*$AB1615))</f>
        <v/>
      </c>
      <c r="AG1615" s="205" t="str">
        <f>IF($W1615=AG$3,$AB1615,IF(NOT($W1615=0),"",SUMIFS('Val-Vol (2)'!AG$4:AG$1858,'Val-Vol (2)'!$A$4:$A$1858,$D1615,'Val-Vol (2)'!$V$4:$V$1858,$V1615)/SUMIFS('Comp2016-2017 (3)'!$G$5:$G$289,'Comp2016-2017 (3)'!$A$5:$A$289,$D1615,'Comp2016-2017 (3)'!$R$5:$R$289,$V1615)*$AB1615))</f>
        <v/>
      </c>
      <c r="AH1615" s="205" t="str">
        <f>IF($W1615=AH$3,$AB1615,IF(NOT($W1615=0),"",SUMIFS('Val-Vol (2)'!AH$4:AH$1858,'Val-Vol (2)'!$A$4:$A$1858,$D1615,'Val-Vol (2)'!$V$4:$V$1858,$V1615)/SUMIFS('Comp2016-2017 (3)'!$G$5:$G$289,'Comp2016-2017 (3)'!$A$5:$A$289,$D1615,'Comp2016-2017 (3)'!$R$5:$R$289,$V1615)*$AB1615))</f>
        <v/>
      </c>
      <c r="AI1615" s="205">
        <f>IF($W1615=AI$3,$AB1615,IF(NOT($W1615=0),"",SUMIFS('Val-Vol (2)'!AI$4:AI$1858,'Val-Vol (2)'!$A$4:$A$1858,$D1615,'Val-Vol (2)'!$V$4:$V$1858,$V1615)/SUMIFS('Comp2016-2017 (3)'!$G$5:$G$289,'Comp2016-2017 (3)'!$A$5:$A$289,$D1615,'Comp2016-2017 (3)'!$R$5:$R$289,$V1615)*$AB1615))</f>
        <v>0</v>
      </c>
      <c r="AJ1615" s="205" t="str">
        <f>IF($W1615=AJ$3,$AB1615,IF(NOT($W1615=0),"",SUMIFS('Val-Vol (2)'!AJ$4:AJ$1858,'Val-Vol (2)'!$A$4:$A$1858,$D1615,'Val-Vol (2)'!$V$4:$V$1858,$V1615)/SUMIFS('Comp2016-2017 (3)'!$G$5:$G$289,'Comp2016-2017 (3)'!$A$5:$A$289,$D1615,'Comp2016-2017 (3)'!$R$5:$R$289,$V1615)*$AB1615))</f>
        <v/>
      </c>
      <c r="AK1615" s="205">
        <f t="shared" si="182"/>
        <v>0</v>
      </c>
      <c r="AL1615" s="218" t="str">
        <f t="shared" si="184"/>
        <v/>
      </c>
      <c r="AM1615" s="218" t="str">
        <f>VLOOKUP(A1615,'Table corresp.'!$M$4:$U$63,8,FALSE)</f>
        <v>Production intermédiaire</v>
      </c>
      <c r="AN1615" s="218" t="str">
        <f>VLOOKUP(D1615,'Table corresp.'!$M$4:$U$63,9,FALSE)</f>
        <v>Production finale</v>
      </c>
    </row>
    <row r="1616" spans="1:40" x14ac:dyDescent="0.25">
      <c r="A1616" t="s">
        <v>7</v>
      </c>
      <c r="B1616" t="str">
        <f>VLOOKUP(LEFT(A1616,3),'Table corresp.'!$A$4:$D$63,3,FALSE)</f>
        <v>Transformation</v>
      </c>
      <c r="C1616" t="str">
        <f>VLOOKUP(A1616,'Table corresp.'!$M$4:$P$63,4,FALSE)</f>
        <v>Production et transformation de produits bois</v>
      </c>
      <c r="D1616" t="s">
        <v>19</v>
      </c>
      <c r="E1616" t="str">
        <f>VLOOKUP(LEFT(D1616,3),'Table corresp.'!$A$4:$D$63,4,FALSE)</f>
        <v>Transformation</v>
      </c>
      <c r="F1616" t="str">
        <f t="shared" si="185"/>
        <v xml:space="preserve">12  - 52 </v>
      </c>
      <c r="G1616" s="238">
        <v>10321.0682534316</v>
      </c>
      <c r="H1616" s="238">
        <v>309.61415045405101</v>
      </c>
      <c r="I1616" s="238">
        <v>10630.682403885599</v>
      </c>
      <c r="J1616" s="238">
        <v>109.9326051515193</v>
      </c>
      <c r="K1616" s="238">
        <v>3.0158041960685611</v>
      </c>
      <c r="L1616" s="238">
        <v>112.94840934758786</v>
      </c>
      <c r="M1616" s="238"/>
      <c r="N1616" s="238"/>
      <c r="O1616" s="238"/>
      <c r="P1616" s="238"/>
      <c r="Q1616" s="238"/>
      <c r="R1616" s="238"/>
      <c r="S1616" s="238"/>
      <c r="T1616" s="218">
        <f>VLOOKUP(A1616,'Groupe de branches'!$Z$27:$AM$86,14,FALSE)</f>
        <v>0</v>
      </c>
      <c r="U1616" s="218">
        <f>VLOOKUP(D1616,'Groupe de branches'!$Z$27:$AM$86,14,FALSE)</f>
        <v>0</v>
      </c>
      <c r="V1616" s="218">
        <v>2020</v>
      </c>
      <c r="W1616" s="218" t="str">
        <f>VLOOKUP(D1616,'Table corresp.'!$M$4:$S$63,7,FALSE)</f>
        <v>Construction</v>
      </c>
      <c r="X1616" s="240">
        <f>IFERROR(G1616/SUMIFS('Comp2016-2017 (3)'!$I$5:$I$289,'Comp2016-2017 (3)'!$A$5:$A$289,A1616,'Comp2016-2017 (3)'!$R$5:$R$289,V1616),0)</f>
        <v>1.3616200457386022E-2</v>
      </c>
      <c r="Y1616" s="219" t="e">
        <f>IF(RIGHT(F1616,3)="Exp",VLOOKUP(F1616,#REF!,2,FALSE),VLOOKUP(F1616,#REF!,9,FALSE))</f>
        <v>#REF!</v>
      </c>
      <c r="Z1616" s="226" t="str">
        <f t="shared" si="186"/>
        <v/>
      </c>
      <c r="AA1616" s="226" t="e">
        <f t="shared" si="183"/>
        <v>#VALUE!</v>
      </c>
      <c r="AB1616" s="205">
        <f>IFERROR(SUMIFS('Comp2016-2017 (3)'!$G$5:$G$289,'Comp2016-2017 (3)'!$A$5:$A$289,A1616,'Comp2016-2017 (3)'!$R$5:$R$289,V1616)*AA1616/SUMIFS($AA$4:$AA$1858,$A$4:$A$1858,A1616,$V$4:$V$1858,V1616),0)</f>
        <v>0</v>
      </c>
      <c r="AC1616" s="205" t="str">
        <f>IF($W1616=AC$3,$AB1616,IF(NOT($W1616=0),"",SUMIFS('Val-Vol (2)'!AC$4:AC$1858,'Val-Vol (2)'!$A$4:$A$1858,$D1616,'Val-Vol (2)'!$V$4:$V$1858,$V1616)/SUMIFS('Comp2016-2017 (3)'!$G$5:$G$289,'Comp2016-2017 (3)'!$A$5:$A$289,$D1616,'Comp2016-2017 (3)'!$R$5:$R$289,$V1616)*$AB1616))</f>
        <v/>
      </c>
      <c r="AD1616" s="205">
        <f>IF($W1616=AD$3,$AB1616,IF(NOT($W1616=0),"",SUMIFS('Val-Vol (2)'!AD$4:AD$1858,'Val-Vol (2)'!$A$4:$A$1858,$D1616,'Val-Vol (2)'!$V$4:$V$1858,$V1616)/SUMIFS('Comp2016-2017 (3)'!$G$5:$G$289,'Comp2016-2017 (3)'!$A$5:$A$289,$D1616,'Comp2016-2017 (3)'!$R$5:$R$289,$V1616)*$AB1616))</f>
        <v>0</v>
      </c>
      <c r="AE1616" s="205" t="str">
        <f>IF($W1616=AE$3,$AB1616,IF(NOT($W1616=0),"",SUMIFS('Val-Vol (2)'!AE$4:AE$1858,'Val-Vol (2)'!$A$4:$A$1858,$D1616,'Val-Vol (2)'!$V$4:$V$1858,$V1616)/SUMIFS('Comp2016-2017 (3)'!$G$5:$G$289,'Comp2016-2017 (3)'!$A$5:$A$289,$D1616,'Comp2016-2017 (3)'!$R$5:$R$289,$V1616)*$AB1616))</f>
        <v/>
      </c>
      <c r="AF1616" s="205" t="str">
        <f>IF($W1616=AF$3,$AB1616,IF(NOT($W1616=0),"",SUMIFS('Val-Vol (2)'!AF$4:AF$1858,'Val-Vol (2)'!$A$4:$A$1858,$D1616,'Val-Vol (2)'!$V$4:$V$1858,$V1616)/SUMIFS('Comp2016-2017 (3)'!$G$5:$G$289,'Comp2016-2017 (3)'!$A$5:$A$289,$D1616,'Comp2016-2017 (3)'!$R$5:$R$289,$V1616)*$AB1616))</f>
        <v/>
      </c>
      <c r="AG1616" s="205" t="str">
        <f>IF($W1616=AG$3,$AB1616,IF(NOT($W1616=0),"",SUMIFS('Val-Vol (2)'!AG$4:AG$1858,'Val-Vol (2)'!$A$4:$A$1858,$D1616,'Val-Vol (2)'!$V$4:$V$1858,$V1616)/SUMIFS('Comp2016-2017 (3)'!$G$5:$G$289,'Comp2016-2017 (3)'!$A$5:$A$289,$D1616,'Comp2016-2017 (3)'!$R$5:$R$289,$V1616)*$AB1616))</f>
        <v/>
      </c>
      <c r="AH1616" s="205" t="str">
        <f>IF($W1616=AH$3,$AB1616,IF(NOT($W1616=0),"",SUMIFS('Val-Vol (2)'!AH$4:AH$1858,'Val-Vol (2)'!$A$4:$A$1858,$D1616,'Val-Vol (2)'!$V$4:$V$1858,$V1616)/SUMIFS('Comp2016-2017 (3)'!$G$5:$G$289,'Comp2016-2017 (3)'!$A$5:$A$289,$D1616,'Comp2016-2017 (3)'!$R$5:$R$289,$V1616)*$AB1616))</f>
        <v/>
      </c>
      <c r="AI1616" s="205" t="str">
        <f>IF($W1616=AI$3,$AB1616,IF(NOT($W1616=0),"",SUMIFS('Val-Vol (2)'!AI$4:AI$1858,'Val-Vol (2)'!$A$4:$A$1858,$D1616,'Val-Vol (2)'!$V$4:$V$1858,$V1616)/SUMIFS('Comp2016-2017 (3)'!$G$5:$G$289,'Comp2016-2017 (3)'!$A$5:$A$289,$D1616,'Comp2016-2017 (3)'!$R$5:$R$289,$V1616)*$AB1616))</f>
        <v/>
      </c>
      <c r="AJ1616" s="205" t="str">
        <f>IF($W1616=AJ$3,$AB1616,IF(NOT($W1616=0),"",SUMIFS('Val-Vol (2)'!AJ$4:AJ$1858,'Val-Vol (2)'!$A$4:$A$1858,$D1616,'Val-Vol (2)'!$V$4:$V$1858,$V1616)/SUMIFS('Comp2016-2017 (3)'!$G$5:$G$289,'Comp2016-2017 (3)'!$A$5:$A$289,$D1616,'Comp2016-2017 (3)'!$R$5:$R$289,$V1616)*$AB1616))</f>
        <v/>
      </c>
      <c r="AK1616" s="205">
        <f t="shared" si="182"/>
        <v>0</v>
      </c>
      <c r="AL1616" s="218" t="str">
        <f t="shared" si="184"/>
        <v/>
      </c>
      <c r="AM1616" s="218" t="str">
        <f>VLOOKUP(A1616,'Table corresp.'!$M$4:$U$63,8,FALSE)</f>
        <v>Production intermédiaire</v>
      </c>
      <c r="AN1616" s="218" t="str">
        <f>VLOOKUP(D1616,'Table corresp.'!$M$4:$U$63,9,FALSE)</f>
        <v xml:space="preserve">Mise en œuvre </v>
      </c>
    </row>
    <row r="1617" spans="1:40" x14ac:dyDescent="0.25">
      <c r="A1617" t="s">
        <v>7</v>
      </c>
      <c r="B1617" t="str">
        <f>VLOOKUP(LEFT(A1617,3),'Table corresp.'!$A$4:$D$63,3,FALSE)</f>
        <v>Transformation</v>
      </c>
      <c r="C1617" t="str">
        <f>VLOOKUP(A1617,'Table corresp.'!$M$4:$P$63,4,FALSE)</f>
        <v>Production et transformation de produits bois</v>
      </c>
      <c r="D1617" t="s">
        <v>20</v>
      </c>
      <c r="E1617" t="str">
        <f>VLOOKUP(LEFT(D1617,3),'Table corresp.'!$A$4:$D$63,4,FALSE)</f>
        <v>Transformation</v>
      </c>
      <c r="F1617" t="str">
        <f t="shared" si="185"/>
        <v xml:space="preserve">12  - 53 </v>
      </c>
      <c r="G1617" s="238">
        <v>92.250429232252301</v>
      </c>
      <c r="H1617" s="238">
        <v>312.56850637971002</v>
      </c>
      <c r="I1617" s="238">
        <v>404.81893561196199</v>
      </c>
      <c r="J1617" s="238">
        <v>0.87340916121636503</v>
      </c>
      <c r="K1617" s="238">
        <v>3.8057264651680858</v>
      </c>
      <c r="L1617" s="238">
        <v>4.6791356263844506</v>
      </c>
      <c r="M1617" s="238"/>
      <c r="N1617" s="238"/>
      <c r="O1617" s="238"/>
      <c r="P1617" s="238"/>
      <c r="Q1617" s="238"/>
      <c r="R1617" s="238"/>
      <c r="S1617" s="238"/>
      <c r="T1617" s="218">
        <f>VLOOKUP(A1617,'Groupe de branches'!$Z$27:$AM$86,14,FALSE)</f>
        <v>0</v>
      </c>
      <c r="U1617" s="218">
        <f>VLOOKUP(D1617,'Groupe de branches'!$Z$27:$AM$86,14,FALSE)</f>
        <v>0</v>
      </c>
      <c r="V1617" s="218">
        <v>2020</v>
      </c>
      <c r="W1617" s="218" t="str">
        <f>VLOOKUP(D1617,'Table corresp.'!$M$4:$S$63,7,FALSE)</f>
        <v>Construction</v>
      </c>
      <c r="X1617" s="240">
        <f>IFERROR(G1617/SUMIFS('Comp2016-2017 (3)'!$I$5:$I$289,'Comp2016-2017 (3)'!$A$5:$A$289,A1617,'Comp2016-2017 (3)'!$R$5:$R$289,V1617),0)</f>
        <v>1.2170255111806048E-4</v>
      </c>
      <c r="Y1617" s="219" t="e">
        <f>IF(RIGHT(F1617,3)="Exp",VLOOKUP(F1617,#REF!,2,FALSE),VLOOKUP(F1617,#REF!,9,FALSE))</f>
        <v>#REF!</v>
      </c>
      <c r="Z1617" s="226" t="str">
        <f t="shared" si="186"/>
        <v/>
      </c>
      <c r="AA1617" s="226" t="e">
        <f t="shared" si="183"/>
        <v>#VALUE!</v>
      </c>
      <c r="AB1617" s="205">
        <f>IFERROR(SUMIFS('Comp2016-2017 (3)'!$G$5:$G$289,'Comp2016-2017 (3)'!$A$5:$A$289,A1617,'Comp2016-2017 (3)'!$R$5:$R$289,V1617)*AA1617/SUMIFS($AA$4:$AA$1858,$A$4:$A$1858,A1617,$V$4:$V$1858,V1617),0)</f>
        <v>0</v>
      </c>
      <c r="AC1617" s="205" t="str">
        <f>IF($W1617=AC$3,$AB1617,IF(NOT($W1617=0),"",SUMIFS('Val-Vol (2)'!AC$4:AC$1858,'Val-Vol (2)'!$A$4:$A$1858,$D1617,'Val-Vol (2)'!$V$4:$V$1858,$V1617)/SUMIFS('Comp2016-2017 (3)'!$G$5:$G$289,'Comp2016-2017 (3)'!$A$5:$A$289,$D1617,'Comp2016-2017 (3)'!$R$5:$R$289,$V1617)*$AB1617))</f>
        <v/>
      </c>
      <c r="AD1617" s="205">
        <f>IF($W1617=AD$3,$AB1617,IF(NOT($W1617=0),"",SUMIFS('Val-Vol (2)'!AD$4:AD$1858,'Val-Vol (2)'!$A$4:$A$1858,$D1617,'Val-Vol (2)'!$V$4:$V$1858,$V1617)/SUMIFS('Comp2016-2017 (3)'!$G$5:$G$289,'Comp2016-2017 (3)'!$A$5:$A$289,$D1617,'Comp2016-2017 (3)'!$R$5:$R$289,$V1617)*$AB1617))</f>
        <v>0</v>
      </c>
      <c r="AE1617" s="205" t="str">
        <f>IF($W1617=AE$3,$AB1617,IF(NOT($W1617=0),"",SUMIFS('Val-Vol (2)'!AE$4:AE$1858,'Val-Vol (2)'!$A$4:$A$1858,$D1617,'Val-Vol (2)'!$V$4:$V$1858,$V1617)/SUMIFS('Comp2016-2017 (3)'!$G$5:$G$289,'Comp2016-2017 (3)'!$A$5:$A$289,$D1617,'Comp2016-2017 (3)'!$R$5:$R$289,$V1617)*$AB1617))</f>
        <v/>
      </c>
      <c r="AF1617" s="205" t="str">
        <f>IF($W1617=AF$3,$AB1617,IF(NOT($W1617=0),"",SUMIFS('Val-Vol (2)'!AF$4:AF$1858,'Val-Vol (2)'!$A$4:$A$1858,$D1617,'Val-Vol (2)'!$V$4:$V$1858,$V1617)/SUMIFS('Comp2016-2017 (3)'!$G$5:$G$289,'Comp2016-2017 (3)'!$A$5:$A$289,$D1617,'Comp2016-2017 (3)'!$R$5:$R$289,$V1617)*$AB1617))</f>
        <v/>
      </c>
      <c r="AG1617" s="205" t="str">
        <f>IF($W1617=AG$3,$AB1617,IF(NOT($W1617=0),"",SUMIFS('Val-Vol (2)'!AG$4:AG$1858,'Val-Vol (2)'!$A$4:$A$1858,$D1617,'Val-Vol (2)'!$V$4:$V$1858,$V1617)/SUMIFS('Comp2016-2017 (3)'!$G$5:$G$289,'Comp2016-2017 (3)'!$A$5:$A$289,$D1617,'Comp2016-2017 (3)'!$R$5:$R$289,$V1617)*$AB1617))</f>
        <v/>
      </c>
      <c r="AH1617" s="205" t="str">
        <f>IF($W1617=AH$3,$AB1617,IF(NOT($W1617=0),"",SUMIFS('Val-Vol (2)'!AH$4:AH$1858,'Val-Vol (2)'!$A$4:$A$1858,$D1617,'Val-Vol (2)'!$V$4:$V$1858,$V1617)/SUMIFS('Comp2016-2017 (3)'!$G$5:$G$289,'Comp2016-2017 (3)'!$A$5:$A$289,$D1617,'Comp2016-2017 (3)'!$R$5:$R$289,$V1617)*$AB1617))</f>
        <v/>
      </c>
      <c r="AI1617" s="205" t="str">
        <f>IF($W1617=AI$3,$AB1617,IF(NOT($W1617=0),"",SUMIFS('Val-Vol (2)'!AI$4:AI$1858,'Val-Vol (2)'!$A$4:$A$1858,$D1617,'Val-Vol (2)'!$V$4:$V$1858,$V1617)/SUMIFS('Comp2016-2017 (3)'!$G$5:$G$289,'Comp2016-2017 (3)'!$A$5:$A$289,$D1617,'Comp2016-2017 (3)'!$R$5:$R$289,$V1617)*$AB1617))</f>
        <v/>
      </c>
      <c r="AJ1617" s="205" t="str">
        <f>IF($W1617=AJ$3,$AB1617,IF(NOT($W1617=0),"",SUMIFS('Val-Vol (2)'!AJ$4:AJ$1858,'Val-Vol (2)'!$A$4:$A$1858,$D1617,'Val-Vol (2)'!$V$4:$V$1858,$V1617)/SUMIFS('Comp2016-2017 (3)'!$G$5:$G$289,'Comp2016-2017 (3)'!$A$5:$A$289,$D1617,'Comp2016-2017 (3)'!$R$5:$R$289,$V1617)*$AB1617))</f>
        <v/>
      </c>
      <c r="AK1617" s="205">
        <f t="shared" si="182"/>
        <v>0</v>
      </c>
      <c r="AL1617" s="218" t="str">
        <f t="shared" si="184"/>
        <v/>
      </c>
      <c r="AM1617" s="218" t="str">
        <f>VLOOKUP(A1617,'Table corresp.'!$M$4:$U$63,8,FALSE)</f>
        <v>Production intermédiaire</v>
      </c>
      <c r="AN1617" s="218" t="str">
        <f>VLOOKUP(D1617,'Table corresp.'!$M$4:$U$63,9,FALSE)</f>
        <v xml:space="preserve">Mise en œuvre </v>
      </c>
    </row>
    <row r="1618" spans="1:40" x14ac:dyDescent="0.25">
      <c r="A1618" t="s">
        <v>7</v>
      </c>
      <c r="B1618" t="str">
        <f>VLOOKUP(LEFT(A1618,3),'Table corresp.'!$A$4:$D$63,3,FALSE)</f>
        <v>Transformation</v>
      </c>
      <c r="C1618" t="str">
        <f>VLOOKUP(A1618,'Table corresp.'!$M$4:$P$63,4,FALSE)</f>
        <v>Production et transformation de produits bois</v>
      </c>
      <c r="D1618" t="s">
        <v>21</v>
      </c>
      <c r="E1618" t="str">
        <f>VLOOKUP(LEFT(D1618,3),'Table corresp.'!$A$4:$D$63,4,FALSE)</f>
        <v>Transformation</v>
      </c>
      <c r="F1618" t="str">
        <f t="shared" si="185"/>
        <v xml:space="preserve">12  - 54 </v>
      </c>
      <c r="G1618" s="238">
        <v>135842.16972218099</v>
      </c>
      <c r="H1618" s="238">
        <v>8090.9516836680596</v>
      </c>
      <c r="I1618" s="238">
        <v>143933.121405849</v>
      </c>
      <c r="J1618" s="238">
        <v>857.41820030744918</v>
      </c>
      <c r="K1618" s="238">
        <v>63.048090023044004</v>
      </c>
      <c r="L1618" s="238">
        <v>920.46629033049317</v>
      </c>
      <c r="M1618" s="238"/>
      <c r="N1618" s="238"/>
      <c r="O1618" s="238"/>
      <c r="P1618" s="238"/>
      <c r="Q1618" s="238"/>
      <c r="R1618" s="238"/>
      <c r="S1618" s="238"/>
      <c r="T1618" s="218">
        <f>VLOOKUP(A1618,'Groupe de branches'!$Z$27:$AM$86,14,FALSE)</f>
        <v>0</v>
      </c>
      <c r="U1618" s="218">
        <f>VLOOKUP(D1618,'Groupe de branches'!$Z$27:$AM$86,14,FALSE)</f>
        <v>0</v>
      </c>
      <c r="V1618" s="218">
        <v>2020</v>
      </c>
      <c r="W1618" s="218" t="str">
        <f>VLOOKUP(D1618,'Table corresp.'!$M$4:$S$63,7,FALSE)</f>
        <v>Construction</v>
      </c>
      <c r="X1618" s="240">
        <f>IFERROR(G1618/SUMIFS('Comp2016-2017 (3)'!$I$5:$I$289,'Comp2016-2017 (3)'!$A$5:$A$289,A1618,'Comp2016-2017 (3)'!$R$5:$R$289,V1618),0)</f>
        <v>0.1792115087397555</v>
      </c>
      <c r="Y1618" s="219" t="e">
        <f>IF(RIGHT(F1618,3)="Exp",VLOOKUP(F1618,#REF!,2,FALSE),VLOOKUP(F1618,#REF!,9,FALSE))</f>
        <v>#REF!</v>
      </c>
      <c r="Z1618" s="226" t="str">
        <f t="shared" si="186"/>
        <v/>
      </c>
      <c r="AA1618" s="226" t="e">
        <f t="shared" si="183"/>
        <v>#VALUE!</v>
      </c>
      <c r="AB1618" s="205">
        <f>IFERROR(SUMIFS('Comp2016-2017 (3)'!$G$5:$G$289,'Comp2016-2017 (3)'!$A$5:$A$289,A1618,'Comp2016-2017 (3)'!$R$5:$R$289,V1618)*AA1618/SUMIFS($AA$4:$AA$1858,$A$4:$A$1858,A1618,$V$4:$V$1858,V1618),0)</f>
        <v>0</v>
      </c>
      <c r="AC1618" s="205" t="str">
        <f>IF($W1618=AC$3,$AB1618,IF(NOT($W1618=0),"",SUMIFS('Val-Vol (2)'!AC$4:AC$1858,'Val-Vol (2)'!$A$4:$A$1858,$D1618,'Val-Vol (2)'!$V$4:$V$1858,$V1618)/SUMIFS('Comp2016-2017 (3)'!$G$5:$G$289,'Comp2016-2017 (3)'!$A$5:$A$289,$D1618,'Comp2016-2017 (3)'!$R$5:$R$289,$V1618)*$AB1618))</f>
        <v/>
      </c>
      <c r="AD1618" s="205">
        <f>IF($W1618=AD$3,$AB1618,IF(NOT($W1618=0),"",SUMIFS('Val-Vol (2)'!AD$4:AD$1858,'Val-Vol (2)'!$A$4:$A$1858,$D1618,'Val-Vol (2)'!$V$4:$V$1858,$V1618)/SUMIFS('Comp2016-2017 (3)'!$G$5:$G$289,'Comp2016-2017 (3)'!$A$5:$A$289,$D1618,'Comp2016-2017 (3)'!$R$5:$R$289,$V1618)*$AB1618))</f>
        <v>0</v>
      </c>
      <c r="AE1618" s="205" t="str">
        <f>IF($W1618=AE$3,$AB1618,IF(NOT($W1618=0),"",SUMIFS('Val-Vol (2)'!AE$4:AE$1858,'Val-Vol (2)'!$A$4:$A$1858,$D1618,'Val-Vol (2)'!$V$4:$V$1858,$V1618)/SUMIFS('Comp2016-2017 (3)'!$G$5:$G$289,'Comp2016-2017 (3)'!$A$5:$A$289,$D1618,'Comp2016-2017 (3)'!$R$5:$R$289,$V1618)*$AB1618))</f>
        <v/>
      </c>
      <c r="AF1618" s="205" t="str">
        <f>IF($W1618=AF$3,$AB1618,IF(NOT($W1618=0),"",SUMIFS('Val-Vol (2)'!AF$4:AF$1858,'Val-Vol (2)'!$A$4:$A$1858,$D1618,'Val-Vol (2)'!$V$4:$V$1858,$V1618)/SUMIFS('Comp2016-2017 (3)'!$G$5:$G$289,'Comp2016-2017 (3)'!$A$5:$A$289,$D1618,'Comp2016-2017 (3)'!$R$5:$R$289,$V1618)*$AB1618))</f>
        <v/>
      </c>
      <c r="AG1618" s="205" t="str">
        <f>IF($W1618=AG$3,$AB1618,IF(NOT($W1618=0),"",SUMIFS('Val-Vol (2)'!AG$4:AG$1858,'Val-Vol (2)'!$A$4:$A$1858,$D1618,'Val-Vol (2)'!$V$4:$V$1858,$V1618)/SUMIFS('Comp2016-2017 (3)'!$G$5:$G$289,'Comp2016-2017 (3)'!$A$5:$A$289,$D1618,'Comp2016-2017 (3)'!$R$5:$R$289,$V1618)*$AB1618))</f>
        <v/>
      </c>
      <c r="AH1618" s="205" t="str">
        <f>IF($W1618=AH$3,$AB1618,IF(NOT($W1618=0),"",SUMIFS('Val-Vol (2)'!AH$4:AH$1858,'Val-Vol (2)'!$A$4:$A$1858,$D1618,'Val-Vol (2)'!$V$4:$V$1858,$V1618)/SUMIFS('Comp2016-2017 (3)'!$G$5:$G$289,'Comp2016-2017 (3)'!$A$5:$A$289,$D1618,'Comp2016-2017 (3)'!$R$5:$R$289,$V1618)*$AB1618))</f>
        <v/>
      </c>
      <c r="AI1618" s="205" t="str">
        <f>IF($W1618=AI$3,$AB1618,IF(NOT($W1618=0),"",SUMIFS('Val-Vol (2)'!AI$4:AI$1858,'Val-Vol (2)'!$A$4:$A$1858,$D1618,'Val-Vol (2)'!$V$4:$V$1858,$V1618)/SUMIFS('Comp2016-2017 (3)'!$G$5:$G$289,'Comp2016-2017 (3)'!$A$5:$A$289,$D1618,'Comp2016-2017 (3)'!$R$5:$R$289,$V1618)*$AB1618))</f>
        <v/>
      </c>
      <c r="AJ1618" s="205" t="str">
        <f>IF($W1618=AJ$3,$AB1618,IF(NOT($W1618=0),"",SUMIFS('Val-Vol (2)'!AJ$4:AJ$1858,'Val-Vol (2)'!$A$4:$A$1858,$D1618,'Val-Vol (2)'!$V$4:$V$1858,$V1618)/SUMIFS('Comp2016-2017 (3)'!$G$5:$G$289,'Comp2016-2017 (3)'!$A$5:$A$289,$D1618,'Comp2016-2017 (3)'!$R$5:$R$289,$V1618)*$AB1618))</f>
        <v/>
      </c>
      <c r="AK1618" s="205">
        <f t="shared" si="182"/>
        <v>0</v>
      </c>
      <c r="AL1618" s="218" t="str">
        <f t="shared" si="184"/>
        <v/>
      </c>
      <c r="AM1618" s="218" t="str">
        <f>VLOOKUP(A1618,'Table corresp.'!$M$4:$U$63,8,FALSE)</f>
        <v>Production intermédiaire</v>
      </c>
      <c r="AN1618" s="218" t="str">
        <f>VLOOKUP(D1618,'Table corresp.'!$M$4:$U$63,9,FALSE)</f>
        <v xml:space="preserve">Mise en œuvre </v>
      </c>
    </row>
    <row r="1619" spans="1:40" x14ac:dyDescent="0.25">
      <c r="A1619" t="s">
        <v>7</v>
      </c>
      <c r="B1619" t="str">
        <f>VLOOKUP(LEFT(A1619,3),'Table corresp.'!$A$4:$D$63,3,FALSE)</f>
        <v>Transformation</v>
      </c>
      <c r="C1619" t="str">
        <f>VLOOKUP(A1619,'Table corresp.'!$M$4:$P$63,4,FALSE)</f>
        <v>Production et transformation de produits bois</v>
      </c>
      <c r="D1619" t="s">
        <v>22</v>
      </c>
      <c r="E1619" t="str">
        <f>VLOOKUP(LEFT(D1619,3),'Table corresp.'!$A$4:$D$63,4,FALSE)</f>
        <v>Transformation</v>
      </c>
      <c r="F1619" t="str">
        <f t="shared" si="185"/>
        <v xml:space="preserve">12  - 55 </v>
      </c>
      <c r="G1619" s="238">
        <v>5554.7941482430997</v>
      </c>
      <c r="H1619" s="238">
        <v>6097.7947074180702</v>
      </c>
      <c r="I1619" s="238">
        <v>11652.588855661201</v>
      </c>
      <c r="J1619" s="238">
        <v>35.061141995932488</v>
      </c>
      <c r="K1619" s="238">
        <v>47.516574648613172</v>
      </c>
      <c r="L1619" s="238">
        <v>82.57771664454566</v>
      </c>
      <c r="M1619" s="238"/>
      <c r="N1619" s="238"/>
      <c r="O1619" s="238"/>
      <c r="P1619" s="238"/>
      <c r="Q1619" s="238"/>
      <c r="R1619" s="238"/>
      <c r="S1619" s="238"/>
      <c r="T1619" s="218">
        <f>VLOOKUP(A1619,'Groupe de branches'!$Z$27:$AM$86,14,FALSE)</f>
        <v>0</v>
      </c>
      <c r="U1619" s="218">
        <f>VLOOKUP(D1619,'Groupe de branches'!$Z$27:$AM$86,14,FALSE)</f>
        <v>0</v>
      </c>
      <c r="V1619" s="218">
        <v>2020</v>
      </c>
      <c r="W1619" s="218" t="str">
        <f>VLOOKUP(D1619,'Table corresp.'!$M$4:$S$63,7,FALSE)</f>
        <v>Construction</v>
      </c>
      <c r="X1619" s="240">
        <f>IFERROR(G1619/SUMIFS('Comp2016-2017 (3)'!$I$5:$I$289,'Comp2016-2017 (3)'!$A$5:$A$289,A1619,'Comp2016-2017 (3)'!$R$5:$R$289,V1619),0)</f>
        <v>7.3282327724986532E-3</v>
      </c>
      <c r="Y1619" s="219" t="e">
        <f>IF(RIGHT(F1619,3)="Exp",VLOOKUP(F1619,#REF!,2,FALSE),VLOOKUP(F1619,#REF!,9,FALSE))</f>
        <v>#REF!</v>
      </c>
      <c r="Z1619" s="226" t="str">
        <f t="shared" si="186"/>
        <v/>
      </c>
      <c r="AA1619" s="226" t="e">
        <f t="shared" si="183"/>
        <v>#VALUE!</v>
      </c>
      <c r="AB1619" s="205">
        <f>IFERROR(SUMIFS('Comp2016-2017 (3)'!$G$5:$G$289,'Comp2016-2017 (3)'!$A$5:$A$289,A1619,'Comp2016-2017 (3)'!$R$5:$R$289,V1619)*AA1619/SUMIFS($AA$4:$AA$1858,$A$4:$A$1858,A1619,$V$4:$V$1858,V1619),0)</f>
        <v>0</v>
      </c>
      <c r="AC1619" s="205" t="str">
        <f>IF($W1619=AC$3,$AB1619,IF(NOT($W1619=0),"",SUMIFS('Val-Vol (2)'!AC$4:AC$1858,'Val-Vol (2)'!$A$4:$A$1858,$D1619,'Val-Vol (2)'!$V$4:$V$1858,$V1619)/SUMIFS('Comp2016-2017 (3)'!$G$5:$G$289,'Comp2016-2017 (3)'!$A$5:$A$289,$D1619,'Comp2016-2017 (3)'!$R$5:$R$289,$V1619)*$AB1619))</f>
        <v/>
      </c>
      <c r="AD1619" s="205">
        <f>IF($W1619=AD$3,$AB1619,IF(NOT($W1619=0),"",SUMIFS('Val-Vol (2)'!AD$4:AD$1858,'Val-Vol (2)'!$A$4:$A$1858,$D1619,'Val-Vol (2)'!$V$4:$V$1858,$V1619)/SUMIFS('Comp2016-2017 (3)'!$G$5:$G$289,'Comp2016-2017 (3)'!$A$5:$A$289,$D1619,'Comp2016-2017 (3)'!$R$5:$R$289,$V1619)*$AB1619))</f>
        <v>0</v>
      </c>
      <c r="AE1619" s="205" t="str">
        <f>IF($W1619=AE$3,$AB1619,IF(NOT($W1619=0),"",SUMIFS('Val-Vol (2)'!AE$4:AE$1858,'Val-Vol (2)'!$A$4:$A$1858,$D1619,'Val-Vol (2)'!$V$4:$V$1858,$V1619)/SUMIFS('Comp2016-2017 (3)'!$G$5:$G$289,'Comp2016-2017 (3)'!$A$5:$A$289,$D1619,'Comp2016-2017 (3)'!$R$5:$R$289,$V1619)*$AB1619))</f>
        <v/>
      </c>
      <c r="AF1619" s="205" t="str">
        <f>IF($W1619=AF$3,$AB1619,IF(NOT($W1619=0),"",SUMIFS('Val-Vol (2)'!AF$4:AF$1858,'Val-Vol (2)'!$A$4:$A$1858,$D1619,'Val-Vol (2)'!$V$4:$V$1858,$V1619)/SUMIFS('Comp2016-2017 (3)'!$G$5:$G$289,'Comp2016-2017 (3)'!$A$5:$A$289,$D1619,'Comp2016-2017 (3)'!$R$5:$R$289,$V1619)*$AB1619))</f>
        <v/>
      </c>
      <c r="AG1619" s="205" t="str">
        <f>IF($W1619=AG$3,$AB1619,IF(NOT($W1619=0),"",SUMIFS('Val-Vol (2)'!AG$4:AG$1858,'Val-Vol (2)'!$A$4:$A$1858,$D1619,'Val-Vol (2)'!$V$4:$V$1858,$V1619)/SUMIFS('Comp2016-2017 (3)'!$G$5:$G$289,'Comp2016-2017 (3)'!$A$5:$A$289,$D1619,'Comp2016-2017 (3)'!$R$5:$R$289,$V1619)*$AB1619))</f>
        <v/>
      </c>
      <c r="AH1619" s="205" t="str">
        <f>IF($W1619=AH$3,$AB1619,IF(NOT($W1619=0),"",SUMIFS('Val-Vol (2)'!AH$4:AH$1858,'Val-Vol (2)'!$A$4:$A$1858,$D1619,'Val-Vol (2)'!$V$4:$V$1858,$V1619)/SUMIFS('Comp2016-2017 (3)'!$G$5:$G$289,'Comp2016-2017 (3)'!$A$5:$A$289,$D1619,'Comp2016-2017 (3)'!$R$5:$R$289,$V1619)*$AB1619))</f>
        <v/>
      </c>
      <c r="AI1619" s="205" t="str">
        <f>IF($W1619=AI$3,$AB1619,IF(NOT($W1619=0),"",SUMIFS('Val-Vol (2)'!AI$4:AI$1858,'Val-Vol (2)'!$A$4:$A$1858,$D1619,'Val-Vol (2)'!$V$4:$V$1858,$V1619)/SUMIFS('Comp2016-2017 (3)'!$G$5:$G$289,'Comp2016-2017 (3)'!$A$5:$A$289,$D1619,'Comp2016-2017 (3)'!$R$5:$R$289,$V1619)*$AB1619))</f>
        <v/>
      </c>
      <c r="AJ1619" s="205" t="str">
        <f>IF($W1619=AJ$3,$AB1619,IF(NOT($W1619=0),"",SUMIFS('Val-Vol (2)'!AJ$4:AJ$1858,'Val-Vol (2)'!$A$4:$A$1858,$D1619,'Val-Vol (2)'!$V$4:$V$1858,$V1619)/SUMIFS('Comp2016-2017 (3)'!$G$5:$G$289,'Comp2016-2017 (3)'!$A$5:$A$289,$D1619,'Comp2016-2017 (3)'!$R$5:$R$289,$V1619)*$AB1619))</f>
        <v/>
      </c>
      <c r="AK1619" s="205">
        <f t="shared" si="182"/>
        <v>0</v>
      </c>
      <c r="AL1619" s="218" t="str">
        <f t="shared" si="184"/>
        <v/>
      </c>
      <c r="AM1619" s="218" t="str">
        <f>VLOOKUP(A1619,'Table corresp.'!$M$4:$U$63,8,FALSE)</f>
        <v>Production intermédiaire</v>
      </c>
      <c r="AN1619" s="218" t="str">
        <f>VLOOKUP(D1619,'Table corresp.'!$M$4:$U$63,9,FALSE)</f>
        <v xml:space="preserve">Mise en œuvre </v>
      </c>
    </row>
    <row r="1620" spans="1:40" x14ac:dyDescent="0.25">
      <c r="A1620" t="s">
        <v>7</v>
      </c>
      <c r="B1620" t="str">
        <f>VLOOKUP(LEFT(A1620,3),'Table corresp.'!$A$4:$D$63,3,FALSE)</f>
        <v>Transformation</v>
      </c>
      <c r="C1620" t="str">
        <f>VLOOKUP(A1620,'Table corresp.'!$M$4:$P$63,4,FALSE)</f>
        <v>Production et transformation de produits bois</v>
      </c>
      <c r="D1620" t="s">
        <v>23</v>
      </c>
      <c r="E1620" t="str">
        <f>VLOOKUP(LEFT(D1620,3),'Table corresp.'!$A$4:$D$63,4,FALSE)</f>
        <v>Transformation</v>
      </c>
      <c r="F1620" t="str">
        <f t="shared" si="185"/>
        <v xml:space="preserve">12  - 56 </v>
      </c>
      <c r="G1620" s="238">
        <v>9715.9669244642591</v>
      </c>
      <c r="H1620" s="238">
        <v>2065.5946147668101</v>
      </c>
      <c r="I1620" s="238">
        <v>11781.561539231099</v>
      </c>
      <c r="J1620" s="238">
        <v>82.790000363942781</v>
      </c>
      <c r="K1620" s="238">
        <v>21.178920847991893</v>
      </c>
      <c r="L1620" s="238">
        <v>103.96892121193467</v>
      </c>
      <c r="M1620" s="238"/>
      <c r="N1620" s="238"/>
      <c r="O1620" s="238"/>
      <c r="P1620" s="238"/>
      <c r="Q1620" s="238"/>
      <c r="R1620" s="238"/>
      <c r="S1620" s="238"/>
      <c r="T1620" s="218">
        <f>VLOOKUP(A1620,'Groupe de branches'!$Z$27:$AM$86,14,FALSE)</f>
        <v>0</v>
      </c>
      <c r="U1620" s="218">
        <f>VLOOKUP(D1620,'Groupe de branches'!$Z$27:$AM$86,14,FALSE)</f>
        <v>0</v>
      </c>
      <c r="V1620" s="218">
        <v>2020</v>
      </c>
      <c r="W1620" s="218" t="str">
        <f>VLOOKUP(D1620,'Table corresp.'!$M$4:$S$63,7,FALSE)</f>
        <v>Construction</v>
      </c>
      <c r="X1620" s="240">
        <f>IFERROR(G1620/SUMIFS('Comp2016-2017 (3)'!$I$5:$I$289,'Comp2016-2017 (3)'!$A$5:$A$289,A1620,'Comp2016-2017 (3)'!$R$5:$R$289,V1620),0)</f>
        <v>1.2817912839288874E-2</v>
      </c>
      <c r="Y1620" s="219" t="e">
        <f>IF(RIGHT(F1620,3)="Exp",VLOOKUP(F1620,#REF!,2,FALSE),VLOOKUP(F1620,#REF!,9,FALSE))</f>
        <v>#REF!</v>
      </c>
      <c r="Z1620" s="226" t="str">
        <f t="shared" si="186"/>
        <v/>
      </c>
      <c r="AA1620" s="226" t="e">
        <f t="shared" si="183"/>
        <v>#VALUE!</v>
      </c>
      <c r="AB1620" s="205">
        <f>IFERROR(SUMIFS('Comp2016-2017 (3)'!$G$5:$G$289,'Comp2016-2017 (3)'!$A$5:$A$289,A1620,'Comp2016-2017 (3)'!$R$5:$R$289,V1620)*AA1620/SUMIFS($AA$4:$AA$1858,$A$4:$A$1858,A1620,$V$4:$V$1858,V1620),0)</f>
        <v>0</v>
      </c>
      <c r="AC1620" s="205" t="str">
        <f>IF($W1620=AC$3,$AB1620,IF(NOT($W1620=0),"",SUMIFS('Val-Vol (2)'!AC$4:AC$1858,'Val-Vol (2)'!$A$4:$A$1858,$D1620,'Val-Vol (2)'!$V$4:$V$1858,$V1620)/SUMIFS('Comp2016-2017 (3)'!$G$5:$G$289,'Comp2016-2017 (3)'!$A$5:$A$289,$D1620,'Comp2016-2017 (3)'!$R$5:$R$289,$V1620)*$AB1620))</f>
        <v/>
      </c>
      <c r="AD1620" s="205">
        <f>IF($W1620=AD$3,$AB1620,IF(NOT($W1620=0),"",SUMIFS('Val-Vol (2)'!AD$4:AD$1858,'Val-Vol (2)'!$A$4:$A$1858,$D1620,'Val-Vol (2)'!$V$4:$V$1858,$V1620)/SUMIFS('Comp2016-2017 (3)'!$G$5:$G$289,'Comp2016-2017 (3)'!$A$5:$A$289,$D1620,'Comp2016-2017 (3)'!$R$5:$R$289,$V1620)*$AB1620))</f>
        <v>0</v>
      </c>
      <c r="AE1620" s="205" t="str">
        <f>IF($W1620=AE$3,$AB1620,IF(NOT($W1620=0),"",SUMIFS('Val-Vol (2)'!AE$4:AE$1858,'Val-Vol (2)'!$A$4:$A$1858,$D1620,'Val-Vol (2)'!$V$4:$V$1858,$V1620)/SUMIFS('Comp2016-2017 (3)'!$G$5:$G$289,'Comp2016-2017 (3)'!$A$5:$A$289,$D1620,'Comp2016-2017 (3)'!$R$5:$R$289,$V1620)*$AB1620))</f>
        <v/>
      </c>
      <c r="AF1620" s="205" t="str">
        <f>IF($W1620=AF$3,$AB1620,IF(NOT($W1620=0),"",SUMIFS('Val-Vol (2)'!AF$4:AF$1858,'Val-Vol (2)'!$A$4:$A$1858,$D1620,'Val-Vol (2)'!$V$4:$V$1858,$V1620)/SUMIFS('Comp2016-2017 (3)'!$G$5:$G$289,'Comp2016-2017 (3)'!$A$5:$A$289,$D1620,'Comp2016-2017 (3)'!$R$5:$R$289,$V1620)*$AB1620))</f>
        <v/>
      </c>
      <c r="AG1620" s="205" t="str">
        <f>IF($W1620=AG$3,$AB1620,IF(NOT($W1620=0),"",SUMIFS('Val-Vol (2)'!AG$4:AG$1858,'Val-Vol (2)'!$A$4:$A$1858,$D1620,'Val-Vol (2)'!$V$4:$V$1858,$V1620)/SUMIFS('Comp2016-2017 (3)'!$G$5:$G$289,'Comp2016-2017 (3)'!$A$5:$A$289,$D1620,'Comp2016-2017 (3)'!$R$5:$R$289,$V1620)*$AB1620))</f>
        <v/>
      </c>
      <c r="AH1620" s="205" t="str">
        <f>IF($W1620=AH$3,$AB1620,IF(NOT($W1620=0),"",SUMIFS('Val-Vol (2)'!AH$4:AH$1858,'Val-Vol (2)'!$A$4:$A$1858,$D1620,'Val-Vol (2)'!$V$4:$V$1858,$V1620)/SUMIFS('Comp2016-2017 (3)'!$G$5:$G$289,'Comp2016-2017 (3)'!$A$5:$A$289,$D1620,'Comp2016-2017 (3)'!$R$5:$R$289,$V1620)*$AB1620))</f>
        <v/>
      </c>
      <c r="AI1620" s="205" t="str">
        <f>IF($W1620=AI$3,$AB1620,IF(NOT($W1620=0),"",SUMIFS('Val-Vol (2)'!AI$4:AI$1858,'Val-Vol (2)'!$A$4:$A$1858,$D1620,'Val-Vol (2)'!$V$4:$V$1858,$V1620)/SUMIFS('Comp2016-2017 (3)'!$G$5:$G$289,'Comp2016-2017 (3)'!$A$5:$A$289,$D1620,'Comp2016-2017 (3)'!$R$5:$R$289,$V1620)*$AB1620))</f>
        <v/>
      </c>
      <c r="AJ1620" s="205" t="str">
        <f>IF($W1620=AJ$3,$AB1620,IF(NOT($W1620=0),"",SUMIFS('Val-Vol (2)'!AJ$4:AJ$1858,'Val-Vol (2)'!$A$4:$A$1858,$D1620,'Val-Vol (2)'!$V$4:$V$1858,$V1620)/SUMIFS('Comp2016-2017 (3)'!$G$5:$G$289,'Comp2016-2017 (3)'!$A$5:$A$289,$D1620,'Comp2016-2017 (3)'!$R$5:$R$289,$V1620)*$AB1620))</f>
        <v/>
      </c>
      <c r="AK1620" s="205">
        <f t="shared" si="182"/>
        <v>0</v>
      </c>
      <c r="AL1620" s="218" t="str">
        <f t="shared" si="184"/>
        <v/>
      </c>
      <c r="AM1620" s="218" t="str">
        <f>VLOOKUP(A1620,'Table corresp.'!$M$4:$U$63,8,FALSE)</f>
        <v>Production intermédiaire</v>
      </c>
      <c r="AN1620" s="218" t="str">
        <f>VLOOKUP(D1620,'Table corresp.'!$M$4:$U$63,9,FALSE)</f>
        <v xml:space="preserve">Mise en œuvre </v>
      </c>
    </row>
    <row r="1621" spans="1:40" x14ac:dyDescent="0.25">
      <c r="A1621" t="s">
        <v>7</v>
      </c>
      <c r="B1621" t="str">
        <f>VLOOKUP(LEFT(A1621,3),'Table corresp.'!$A$4:$D$63,3,FALSE)</f>
        <v>Transformation</v>
      </c>
      <c r="C1621" t="str">
        <f>VLOOKUP(A1621,'Table corresp.'!$M$4:$P$63,4,FALSE)</f>
        <v>Production et transformation de produits bois</v>
      </c>
      <c r="D1621" t="s">
        <v>24</v>
      </c>
      <c r="E1621" t="str">
        <f>VLOOKUP(LEFT(D1621,3),'Table corresp.'!$A$4:$D$63,4,FALSE)</f>
        <v>Transformation</v>
      </c>
      <c r="F1621" t="str">
        <f t="shared" si="185"/>
        <v xml:space="preserve">12  - 57 </v>
      </c>
      <c r="G1621" s="238">
        <v>162267.283270126</v>
      </c>
      <c r="H1621" s="238">
        <v>35504.301931924703</v>
      </c>
      <c r="I1621" s="238">
        <v>197771.58520205101</v>
      </c>
      <c r="J1621" s="238">
        <v>1626.6866265458609</v>
      </c>
      <c r="K1621" s="238">
        <v>432.28815037910471</v>
      </c>
      <c r="L1621" s="238">
        <v>2058.9747769249657</v>
      </c>
      <c r="M1621" s="238"/>
      <c r="N1621" s="238"/>
      <c r="O1621" s="238"/>
      <c r="P1621" s="238"/>
      <c r="Q1621" s="238"/>
      <c r="R1621" s="238"/>
      <c r="S1621" s="238"/>
      <c r="T1621" s="218">
        <f>VLOOKUP(A1621,'Groupe de branches'!$Z$27:$AM$86,14,FALSE)</f>
        <v>0</v>
      </c>
      <c r="U1621" s="218">
        <f>VLOOKUP(D1621,'Groupe de branches'!$Z$27:$AM$86,14,FALSE)</f>
        <v>0</v>
      </c>
      <c r="V1621" s="218">
        <v>2020</v>
      </c>
      <c r="W1621" s="218" t="str">
        <f>VLOOKUP(D1621,'Table corresp.'!$M$4:$S$63,7,FALSE)</f>
        <v>Construction</v>
      </c>
      <c r="X1621" s="240">
        <f>IFERROR(G1621/SUMIFS('Comp2016-2017 (3)'!$I$5:$I$289,'Comp2016-2017 (3)'!$A$5:$A$289,A1621,'Comp2016-2017 (3)'!$R$5:$R$289,V1621),0)</f>
        <v>0.21407317560823835</v>
      </c>
      <c r="Y1621" s="219" t="e">
        <f>IF(RIGHT(F1621,3)="Exp",VLOOKUP(F1621,#REF!,2,FALSE),VLOOKUP(F1621,#REF!,9,FALSE))</f>
        <v>#REF!</v>
      </c>
      <c r="Z1621" s="226" t="str">
        <f t="shared" si="186"/>
        <v/>
      </c>
      <c r="AA1621" s="226" t="e">
        <f t="shared" si="183"/>
        <v>#VALUE!</v>
      </c>
      <c r="AB1621" s="205">
        <f>IFERROR(SUMIFS('Comp2016-2017 (3)'!$G$5:$G$289,'Comp2016-2017 (3)'!$A$5:$A$289,A1621,'Comp2016-2017 (3)'!$R$5:$R$289,V1621)*AA1621/SUMIFS($AA$4:$AA$1858,$A$4:$A$1858,A1621,$V$4:$V$1858,V1621),0)</f>
        <v>0</v>
      </c>
      <c r="AC1621" s="205" t="str">
        <f>IF($W1621=AC$3,$AB1621,IF(NOT($W1621=0),"",SUMIFS('Val-Vol (2)'!AC$4:AC$1858,'Val-Vol (2)'!$A$4:$A$1858,$D1621,'Val-Vol (2)'!$V$4:$V$1858,$V1621)/SUMIFS('Comp2016-2017 (3)'!$G$5:$G$289,'Comp2016-2017 (3)'!$A$5:$A$289,$D1621,'Comp2016-2017 (3)'!$R$5:$R$289,$V1621)*$AB1621))</f>
        <v/>
      </c>
      <c r="AD1621" s="205">
        <f>IF($W1621=AD$3,$AB1621,IF(NOT($W1621=0),"",SUMIFS('Val-Vol (2)'!AD$4:AD$1858,'Val-Vol (2)'!$A$4:$A$1858,$D1621,'Val-Vol (2)'!$V$4:$V$1858,$V1621)/SUMIFS('Comp2016-2017 (3)'!$G$5:$G$289,'Comp2016-2017 (3)'!$A$5:$A$289,$D1621,'Comp2016-2017 (3)'!$R$5:$R$289,$V1621)*$AB1621))</f>
        <v>0</v>
      </c>
      <c r="AE1621" s="205" t="str">
        <f>IF($W1621=AE$3,$AB1621,IF(NOT($W1621=0),"",SUMIFS('Val-Vol (2)'!AE$4:AE$1858,'Val-Vol (2)'!$A$4:$A$1858,$D1621,'Val-Vol (2)'!$V$4:$V$1858,$V1621)/SUMIFS('Comp2016-2017 (3)'!$G$5:$G$289,'Comp2016-2017 (3)'!$A$5:$A$289,$D1621,'Comp2016-2017 (3)'!$R$5:$R$289,$V1621)*$AB1621))</f>
        <v/>
      </c>
      <c r="AF1621" s="205" t="str">
        <f>IF($W1621=AF$3,$AB1621,IF(NOT($W1621=0),"",SUMIFS('Val-Vol (2)'!AF$4:AF$1858,'Val-Vol (2)'!$A$4:$A$1858,$D1621,'Val-Vol (2)'!$V$4:$V$1858,$V1621)/SUMIFS('Comp2016-2017 (3)'!$G$5:$G$289,'Comp2016-2017 (3)'!$A$5:$A$289,$D1621,'Comp2016-2017 (3)'!$R$5:$R$289,$V1621)*$AB1621))</f>
        <v/>
      </c>
      <c r="AG1621" s="205" t="str">
        <f>IF($W1621=AG$3,$AB1621,IF(NOT($W1621=0),"",SUMIFS('Val-Vol (2)'!AG$4:AG$1858,'Val-Vol (2)'!$A$4:$A$1858,$D1621,'Val-Vol (2)'!$V$4:$V$1858,$V1621)/SUMIFS('Comp2016-2017 (3)'!$G$5:$G$289,'Comp2016-2017 (3)'!$A$5:$A$289,$D1621,'Comp2016-2017 (3)'!$R$5:$R$289,$V1621)*$AB1621))</f>
        <v/>
      </c>
      <c r="AH1621" s="205" t="str">
        <f>IF($W1621=AH$3,$AB1621,IF(NOT($W1621=0),"",SUMIFS('Val-Vol (2)'!AH$4:AH$1858,'Val-Vol (2)'!$A$4:$A$1858,$D1621,'Val-Vol (2)'!$V$4:$V$1858,$V1621)/SUMIFS('Comp2016-2017 (3)'!$G$5:$G$289,'Comp2016-2017 (3)'!$A$5:$A$289,$D1621,'Comp2016-2017 (3)'!$R$5:$R$289,$V1621)*$AB1621))</f>
        <v/>
      </c>
      <c r="AI1621" s="205" t="str">
        <f>IF($W1621=AI$3,$AB1621,IF(NOT($W1621=0),"",SUMIFS('Val-Vol (2)'!AI$4:AI$1858,'Val-Vol (2)'!$A$4:$A$1858,$D1621,'Val-Vol (2)'!$V$4:$V$1858,$V1621)/SUMIFS('Comp2016-2017 (3)'!$G$5:$G$289,'Comp2016-2017 (3)'!$A$5:$A$289,$D1621,'Comp2016-2017 (3)'!$R$5:$R$289,$V1621)*$AB1621))</f>
        <v/>
      </c>
      <c r="AJ1621" s="205" t="str">
        <f>IF($W1621=AJ$3,$AB1621,IF(NOT($W1621=0),"",SUMIFS('Val-Vol (2)'!AJ$4:AJ$1858,'Val-Vol (2)'!$A$4:$A$1858,$D1621,'Val-Vol (2)'!$V$4:$V$1858,$V1621)/SUMIFS('Comp2016-2017 (3)'!$G$5:$G$289,'Comp2016-2017 (3)'!$A$5:$A$289,$D1621,'Comp2016-2017 (3)'!$R$5:$R$289,$V1621)*$AB1621))</f>
        <v/>
      </c>
      <c r="AK1621" s="205">
        <f t="shared" si="182"/>
        <v>0</v>
      </c>
      <c r="AL1621" s="218" t="str">
        <f t="shared" si="184"/>
        <v/>
      </c>
      <c r="AM1621" s="218" t="str">
        <f>VLOOKUP(A1621,'Table corresp.'!$M$4:$U$63,8,FALSE)</f>
        <v>Production intermédiaire</v>
      </c>
      <c r="AN1621" s="218" t="str">
        <f>VLOOKUP(D1621,'Table corresp.'!$M$4:$U$63,9,FALSE)</f>
        <v xml:space="preserve">Mise en œuvre </v>
      </c>
    </row>
    <row r="1622" spans="1:40" x14ac:dyDescent="0.25">
      <c r="A1622" t="s">
        <v>7</v>
      </c>
      <c r="B1622" t="str">
        <f>VLOOKUP(LEFT(A1622,3),'Table corresp.'!$A$4:$D$63,3,FALSE)</f>
        <v>Transformation</v>
      </c>
      <c r="C1622" t="str">
        <f>VLOOKUP(A1622,'Table corresp.'!$M$4:$P$63,4,FALSE)</f>
        <v>Production et transformation de produits bois</v>
      </c>
      <c r="D1622" t="s">
        <v>25</v>
      </c>
      <c r="E1622" t="str">
        <f>VLOOKUP(LEFT(D1622,3),'Table corresp.'!$A$4:$D$63,4,FALSE)</f>
        <v>Transformation</v>
      </c>
      <c r="F1622" t="str">
        <f t="shared" si="185"/>
        <v xml:space="preserve">12  - 58 </v>
      </c>
      <c r="G1622" s="238">
        <v>108328.009799418</v>
      </c>
      <c r="H1622" s="238">
        <v>4897.5398680584703</v>
      </c>
      <c r="I1622" s="238">
        <v>113225.54966747601</v>
      </c>
      <c r="J1622" s="238">
        <v>769.22143042508173</v>
      </c>
      <c r="K1622" s="238">
        <v>41.48226671907171</v>
      </c>
      <c r="L1622" s="238">
        <v>810.70369714415347</v>
      </c>
      <c r="M1622" s="238"/>
      <c r="N1622" s="238"/>
      <c r="O1622" s="238"/>
      <c r="P1622" s="238"/>
      <c r="Q1622" s="238"/>
      <c r="R1622" s="238"/>
      <c r="S1622" s="238"/>
      <c r="T1622" s="218">
        <f>VLOOKUP(A1622,'Groupe de branches'!$Z$27:$AM$86,14,FALSE)</f>
        <v>0</v>
      </c>
      <c r="U1622" s="218">
        <f>VLOOKUP(D1622,'Groupe de branches'!$Z$27:$AM$86,14,FALSE)</f>
        <v>0</v>
      </c>
      <c r="V1622" s="218">
        <v>2020</v>
      </c>
      <c r="W1622" s="218" t="str">
        <f>VLOOKUP(D1622,'Table corresp.'!$M$4:$S$63,7,FALSE)</f>
        <v>Construction</v>
      </c>
      <c r="X1622" s="240">
        <f>IFERROR(G1622/SUMIFS('Comp2016-2017 (3)'!$I$5:$I$289,'Comp2016-2017 (3)'!$A$5:$A$289,A1622,'Comp2016-2017 (3)'!$R$5:$R$289,V1622),0)</f>
        <v>0.14291310360128004</v>
      </c>
      <c r="Y1622" s="219" t="e">
        <f>IF(RIGHT(F1622,3)="Exp",VLOOKUP(F1622,#REF!,2,FALSE),VLOOKUP(F1622,#REF!,9,FALSE))</f>
        <v>#REF!</v>
      </c>
      <c r="Z1622" s="226" t="str">
        <f t="shared" si="186"/>
        <v/>
      </c>
      <c r="AA1622" s="226" t="e">
        <f t="shared" si="183"/>
        <v>#VALUE!</v>
      </c>
      <c r="AB1622" s="205">
        <f>IFERROR(SUMIFS('Comp2016-2017 (3)'!$G$5:$G$289,'Comp2016-2017 (3)'!$A$5:$A$289,A1622,'Comp2016-2017 (3)'!$R$5:$R$289,V1622)*AA1622/SUMIFS($AA$4:$AA$1858,$A$4:$A$1858,A1622,$V$4:$V$1858,V1622),0)</f>
        <v>0</v>
      </c>
      <c r="AC1622" s="205" t="str">
        <f>IF($W1622=AC$3,$AB1622,IF(NOT($W1622=0),"",SUMIFS('Val-Vol (2)'!AC$4:AC$1858,'Val-Vol (2)'!$A$4:$A$1858,$D1622,'Val-Vol (2)'!$V$4:$V$1858,$V1622)/SUMIFS('Comp2016-2017 (3)'!$G$5:$G$289,'Comp2016-2017 (3)'!$A$5:$A$289,$D1622,'Comp2016-2017 (3)'!$R$5:$R$289,$V1622)*$AB1622))</f>
        <v/>
      </c>
      <c r="AD1622" s="205">
        <f>IF($W1622=AD$3,$AB1622,IF(NOT($W1622=0),"",SUMIFS('Val-Vol (2)'!AD$4:AD$1858,'Val-Vol (2)'!$A$4:$A$1858,$D1622,'Val-Vol (2)'!$V$4:$V$1858,$V1622)/SUMIFS('Comp2016-2017 (3)'!$G$5:$G$289,'Comp2016-2017 (3)'!$A$5:$A$289,$D1622,'Comp2016-2017 (3)'!$R$5:$R$289,$V1622)*$AB1622))</f>
        <v>0</v>
      </c>
      <c r="AE1622" s="205" t="str">
        <f>IF($W1622=AE$3,$AB1622,IF(NOT($W1622=0),"",SUMIFS('Val-Vol (2)'!AE$4:AE$1858,'Val-Vol (2)'!$A$4:$A$1858,$D1622,'Val-Vol (2)'!$V$4:$V$1858,$V1622)/SUMIFS('Comp2016-2017 (3)'!$G$5:$G$289,'Comp2016-2017 (3)'!$A$5:$A$289,$D1622,'Comp2016-2017 (3)'!$R$5:$R$289,$V1622)*$AB1622))</f>
        <v/>
      </c>
      <c r="AF1622" s="205" t="str">
        <f>IF($W1622=AF$3,$AB1622,IF(NOT($W1622=0),"",SUMIFS('Val-Vol (2)'!AF$4:AF$1858,'Val-Vol (2)'!$A$4:$A$1858,$D1622,'Val-Vol (2)'!$V$4:$V$1858,$V1622)/SUMIFS('Comp2016-2017 (3)'!$G$5:$G$289,'Comp2016-2017 (3)'!$A$5:$A$289,$D1622,'Comp2016-2017 (3)'!$R$5:$R$289,$V1622)*$AB1622))</f>
        <v/>
      </c>
      <c r="AG1622" s="205" t="str">
        <f>IF($W1622=AG$3,$AB1622,IF(NOT($W1622=0),"",SUMIFS('Val-Vol (2)'!AG$4:AG$1858,'Val-Vol (2)'!$A$4:$A$1858,$D1622,'Val-Vol (2)'!$V$4:$V$1858,$V1622)/SUMIFS('Comp2016-2017 (3)'!$G$5:$G$289,'Comp2016-2017 (3)'!$A$5:$A$289,$D1622,'Comp2016-2017 (3)'!$R$5:$R$289,$V1622)*$AB1622))</f>
        <v/>
      </c>
      <c r="AH1622" s="205" t="str">
        <f>IF($W1622=AH$3,$AB1622,IF(NOT($W1622=0),"",SUMIFS('Val-Vol (2)'!AH$4:AH$1858,'Val-Vol (2)'!$A$4:$A$1858,$D1622,'Val-Vol (2)'!$V$4:$V$1858,$V1622)/SUMIFS('Comp2016-2017 (3)'!$G$5:$G$289,'Comp2016-2017 (3)'!$A$5:$A$289,$D1622,'Comp2016-2017 (3)'!$R$5:$R$289,$V1622)*$AB1622))</f>
        <v/>
      </c>
      <c r="AI1622" s="205" t="str">
        <f>IF($W1622=AI$3,$AB1622,IF(NOT($W1622=0),"",SUMIFS('Val-Vol (2)'!AI$4:AI$1858,'Val-Vol (2)'!$A$4:$A$1858,$D1622,'Val-Vol (2)'!$V$4:$V$1858,$V1622)/SUMIFS('Comp2016-2017 (3)'!$G$5:$G$289,'Comp2016-2017 (3)'!$A$5:$A$289,$D1622,'Comp2016-2017 (3)'!$R$5:$R$289,$V1622)*$AB1622))</f>
        <v/>
      </c>
      <c r="AJ1622" s="205" t="str">
        <f>IF($W1622=AJ$3,$AB1622,IF(NOT($W1622=0),"",SUMIFS('Val-Vol (2)'!AJ$4:AJ$1858,'Val-Vol (2)'!$A$4:$A$1858,$D1622,'Val-Vol (2)'!$V$4:$V$1858,$V1622)/SUMIFS('Comp2016-2017 (3)'!$G$5:$G$289,'Comp2016-2017 (3)'!$A$5:$A$289,$D1622,'Comp2016-2017 (3)'!$R$5:$R$289,$V1622)*$AB1622))</f>
        <v/>
      </c>
      <c r="AK1622" s="205">
        <f t="shared" si="182"/>
        <v>0</v>
      </c>
      <c r="AL1622" s="218" t="str">
        <f t="shared" si="184"/>
        <v/>
      </c>
      <c r="AM1622" s="218" t="str">
        <f>VLOOKUP(A1622,'Table corresp.'!$M$4:$U$63,8,FALSE)</f>
        <v>Production intermédiaire</v>
      </c>
      <c r="AN1622" s="218" t="str">
        <f>VLOOKUP(D1622,'Table corresp.'!$M$4:$U$63,9,FALSE)</f>
        <v xml:space="preserve">Mise en œuvre </v>
      </c>
    </row>
    <row r="1623" spans="1:40" x14ac:dyDescent="0.25">
      <c r="A1623" t="s">
        <v>7</v>
      </c>
      <c r="B1623" t="str">
        <f>VLOOKUP(LEFT(A1623,3),'Table corresp.'!$A$4:$D$63,3,FALSE)</f>
        <v>Transformation</v>
      </c>
      <c r="C1623" t="str">
        <f>VLOOKUP(A1623,'Table corresp.'!$M$4:$P$63,4,FALSE)</f>
        <v>Production et transformation de produits bois</v>
      </c>
      <c r="D1623" t="s">
        <v>26</v>
      </c>
      <c r="E1623" t="str">
        <f>VLOOKUP(LEFT(D1623,3),'Table corresp.'!$A$4:$D$63,4,FALSE)</f>
        <v>Transformation</v>
      </c>
      <c r="F1623" t="str">
        <f t="shared" si="185"/>
        <v xml:space="preserve">12  - 59 </v>
      </c>
      <c r="G1623" s="238">
        <v>4579.7747580707601</v>
      </c>
      <c r="H1623" s="238">
        <v>6040.1878380122398</v>
      </c>
      <c r="I1623" s="238">
        <v>10619.962596083</v>
      </c>
      <c r="J1623" s="238">
        <v>60.03750271394096</v>
      </c>
      <c r="K1623" s="238">
        <v>90.514764910829982</v>
      </c>
      <c r="L1623" s="238">
        <v>150.55226762477093</v>
      </c>
      <c r="M1623" s="238"/>
      <c r="N1623" s="238"/>
      <c r="O1623" s="238"/>
      <c r="P1623" s="238"/>
      <c r="Q1623" s="238"/>
      <c r="R1623" s="238"/>
      <c r="S1623" s="238"/>
      <c r="T1623" s="218">
        <f>VLOOKUP(A1623,'Groupe de branches'!$Z$27:$AM$86,14,FALSE)</f>
        <v>0</v>
      </c>
      <c r="U1623" s="218">
        <f>VLOOKUP(D1623,'Groupe de branches'!$Z$27:$AM$86,14,FALSE)</f>
        <v>0</v>
      </c>
      <c r="V1623" s="218">
        <v>2020</v>
      </c>
      <c r="W1623" s="218" t="str">
        <f>VLOOKUP(D1623,'Table corresp.'!$M$4:$S$63,7,FALSE)</f>
        <v>Construction</v>
      </c>
      <c r="X1623" s="240">
        <f>IFERROR(G1623/SUMIFS('Comp2016-2017 (3)'!$I$5:$I$289,'Comp2016-2017 (3)'!$A$5:$A$289,A1623,'Comp2016-2017 (3)'!$R$5:$R$289,V1623),0)</f>
        <v>6.0419260510979145E-3</v>
      </c>
      <c r="Y1623" s="219" t="e">
        <f>IF(RIGHT(F1623,3)="Exp",VLOOKUP(F1623,#REF!,2,FALSE),VLOOKUP(F1623,#REF!,9,FALSE))</f>
        <v>#REF!</v>
      </c>
      <c r="Z1623" s="226" t="str">
        <f t="shared" si="186"/>
        <v/>
      </c>
      <c r="AA1623" s="226" t="e">
        <f t="shared" si="183"/>
        <v>#VALUE!</v>
      </c>
      <c r="AB1623" s="205">
        <f>IFERROR(SUMIFS('Comp2016-2017 (3)'!$G$5:$G$289,'Comp2016-2017 (3)'!$A$5:$A$289,A1623,'Comp2016-2017 (3)'!$R$5:$R$289,V1623)*AA1623/SUMIFS($AA$4:$AA$1858,$A$4:$A$1858,A1623,$V$4:$V$1858,V1623),0)</f>
        <v>0</v>
      </c>
      <c r="AC1623" s="205" t="str">
        <f>IF($W1623=AC$3,$AB1623,IF(NOT($W1623=0),"",SUMIFS('Val-Vol (2)'!AC$4:AC$1858,'Val-Vol (2)'!$A$4:$A$1858,$D1623,'Val-Vol (2)'!$V$4:$V$1858,$V1623)/SUMIFS('Comp2016-2017 (3)'!$G$5:$G$289,'Comp2016-2017 (3)'!$A$5:$A$289,$D1623,'Comp2016-2017 (3)'!$R$5:$R$289,$V1623)*$AB1623))</f>
        <v/>
      </c>
      <c r="AD1623" s="205">
        <f>IF($W1623=AD$3,$AB1623,IF(NOT($W1623=0),"",SUMIFS('Val-Vol (2)'!AD$4:AD$1858,'Val-Vol (2)'!$A$4:$A$1858,$D1623,'Val-Vol (2)'!$V$4:$V$1858,$V1623)/SUMIFS('Comp2016-2017 (3)'!$G$5:$G$289,'Comp2016-2017 (3)'!$A$5:$A$289,$D1623,'Comp2016-2017 (3)'!$R$5:$R$289,$V1623)*$AB1623))</f>
        <v>0</v>
      </c>
      <c r="AE1623" s="205" t="str">
        <f>IF($W1623=AE$3,$AB1623,IF(NOT($W1623=0),"",SUMIFS('Val-Vol (2)'!AE$4:AE$1858,'Val-Vol (2)'!$A$4:$A$1858,$D1623,'Val-Vol (2)'!$V$4:$V$1858,$V1623)/SUMIFS('Comp2016-2017 (3)'!$G$5:$G$289,'Comp2016-2017 (3)'!$A$5:$A$289,$D1623,'Comp2016-2017 (3)'!$R$5:$R$289,$V1623)*$AB1623))</f>
        <v/>
      </c>
      <c r="AF1623" s="205" t="str">
        <f>IF($W1623=AF$3,$AB1623,IF(NOT($W1623=0),"",SUMIFS('Val-Vol (2)'!AF$4:AF$1858,'Val-Vol (2)'!$A$4:$A$1858,$D1623,'Val-Vol (2)'!$V$4:$V$1858,$V1623)/SUMIFS('Comp2016-2017 (3)'!$G$5:$G$289,'Comp2016-2017 (3)'!$A$5:$A$289,$D1623,'Comp2016-2017 (3)'!$R$5:$R$289,$V1623)*$AB1623))</f>
        <v/>
      </c>
      <c r="AG1623" s="205" t="str">
        <f>IF($W1623=AG$3,$AB1623,IF(NOT($W1623=0),"",SUMIFS('Val-Vol (2)'!AG$4:AG$1858,'Val-Vol (2)'!$A$4:$A$1858,$D1623,'Val-Vol (2)'!$V$4:$V$1858,$V1623)/SUMIFS('Comp2016-2017 (3)'!$G$5:$G$289,'Comp2016-2017 (3)'!$A$5:$A$289,$D1623,'Comp2016-2017 (3)'!$R$5:$R$289,$V1623)*$AB1623))</f>
        <v/>
      </c>
      <c r="AH1623" s="205" t="str">
        <f>IF($W1623=AH$3,$AB1623,IF(NOT($W1623=0),"",SUMIFS('Val-Vol (2)'!AH$4:AH$1858,'Val-Vol (2)'!$A$4:$A$1858,$D1623,'Val-Vol (2)'!$V$4:$V$1858,$V1623)/SUMIFS('Comp2016-2017 (3)'!$G$5:$G$289,'Comp2016-2017 (3)'!$A$5:$A$289,$D1623,'Comp2016-2017 (3)'!$R$5:$R$289,$V1623)*$AB1623))</f>
        <v/>
      </c>
      <c r="AI1623" s="205" t="str">
        <f>IF($W1623=AI$3,$AB1623,IF(NOT($W1623=0),"",SUMIFS('Val-Vol (2)'!AI$4:AI$1858,'Val-Vol (2)'!$A$4:$A$1858,$D1623,'Val-Vol (2)'!$V$4:$V$1858,$V1623)/SUMIFS('Comp2016-2017 (3)'!$G$5:$G$289,'Comp2016-2017 (3)'!$A$5:$A$289,$D1623,'Comp2016-2017 (3)'!$R$5:$R$289,$V1623)*$AB1623))</f>
        <v/>
      </c>
      <c r="AJ1623" s="205" t="str">
        <f>IF($W1623=AJ$3,$AB1623,IF(NOT($W1623=0),"",SUMIFS('Val-Vol (2)'!AJ$4:AJ$1858,'Val-Vol (2)'!$A$4:$A$1858,$D1623,'Val-Vol (2)'!$V$4:$V$1858,$V1623)/SUMIFS('Comp2016-2017 (3)'!$G$5:$G$289,'Comp2016-2017 (3)'!$A$5:$A$289,$D1623,'Comp2016-2017 (3)'!$R$5:$R$289,$V1623)*$AB1623))</f>
        <v/>
      </c>
      <c r="AK1623" s="205">
        <f t="shared" si="182"/>
        <v>0</v>
      </c>
      <c r="AL1623" s="218" t="str">
        <f t="shared" si="184"/>
        <v/>
      </c>
      <c r="AM1623" s="218" t="str">
        <f>VLOOKUP(A1623,'Table corresp.'!$M$4:$U$63,8,FALSE)</f>
        <v>Production intermédiaire</v>
      </c>
      <c r="AN1623" s="218" t="str">
        <f>VLOOKUP(D1623,'Table corresp.'!$M$4:$U$63,9,FALSE)</f>
        <v xml:space="preserve">Mise en œuvre </v>
      </c>
    </row>
    <row r="1624" spans="1:40" x14ac:dyDescent="0.25">
      <c r="A1624" t="s">
        <v>7</v>
      </c>
      <c r="B1624" t="str">
        <f>VLOOKUP(LEFT(A1624,3),'Table corresp.'!$A$4:$D$63,3,FALSE)</f>
        <v>Transformation</v>
      </c>
      <c r="C1624" t="str">
        <f>VLOOKUP(A1624,'Table corresp.'!$M$4:$P$63,4,FALSE)</f>
        <v>Production et transformation de produits bois</v>
      </c>
      <c r="D1624" t="s">
        <v>54</v>
      </c>
      <c r="E1624" t="str">
        <f>VLOOKUP(LEFT(D1624,3),'Table corresp.'!$A$4:$D$63,4,FALSE)</f>
        <v>Consommation finale</v>
      </c>
      <c r="F1624" t="str">
        <f t="shared" si="185"/>
        <v>12  - Con</v>
      </c>
      <c r="G1624" s="238">
        <v>70059.970331726494</v>
      </c>
      <c r="H1624" s="238">
        <v>9438.9293138213598</v>
      </c>
      <c r="I1624" s="238">
        <v>79498.899645547805</v>
      </c>
      <c r="J1624" s="238">
        <v>596.98278250173087</v>
      </c>
      <c r="K1624" s="238">
        <v>92.979856246999134</v>
      </c>
      <c r="L1624" s="238">
        <v>689.96263874873</v>
      </c>
      <c r="M1624" s="238"/>
      <c r="N1624" s="238"/>
      <c r="O1624" s="238"/>
      <c r="P1624" s="238"/>
      <c r="Q1624" s="238"/>
      <c r="R1624" s="238"/>
      <c r="S1624" s="238"/>
      <c r="T1624" s="218">
        <f>VLOOKUP(A1624,'Groupe de branches'!$Z$27:$AM$86,14,FALSE)</f>
        <v>0</v>
      </c>
      <c r="U1624" s="218">
        <f>VLOOKUP(D1624,'Groupe de branches'!$Z$27:$AM$86,14,FALSE)</f>
        <v>0</v>
      </c>
      <c r="V1624" s="218">
        <v>2020</v>
      </c>
      <c r="W1624" s="218" t="str">
        <f>VLOOKUP(D1624,'Table corresp.'!$M$4:$S$63,7,FALSE)</f>
        <v>Consommation finale</v>
      </c>
      <c r="X1624" s="240">
        <f>IFERROR(G1624/SUMIFS('Comp2016-2017 (3)'!$I$5:$I$289,'Comp2016-2017 (3)'!$A$5:$A$289,A1624,'Comp2016-2017 (3)'!$R$5:$R$289,V1624),0)</f>
        <v>9.242750620878136E-2</v>
      </c>
      <c r="Y1624" s="219" t="e">
        <f>IF(RIGHT(F1624,3)="Exp",VLOOKUP(F1624,#REF!,2,FALSE),VLOOKUP(F1624,#REF!,9,FALSE))</f>
        <v>#REF!</v>
      </c>
      <c r="Z1624" s="226" t="str">
        <f t="shared" si="186"/>
        <v/>
      </c>
      <c r="AA1624" s="226" t="e">
        <f t="shared" si="183"/>
        <v>#VALUE!</v>
      </c>
      <c r="AB1624" s="205">
        <f>IFERROR(SUMIFS('Comp2016-2017 (3)'!$G$5:$G$289,'Comp2016-2017 (3)'!$A$5:$A$289,A1624,'Comp2016-2017 (3)'!$R$5:$R$289,V1624)*AA1624/SUMIFS($AA$4:$AA$1858,$A$4:$A$1858,A1624,$V$4:$V$1858,V1624),0)</f>
        <v>0</v>
      </c>
      <c r="AC1624" s="205" t="str">
        <f>IF($W1624=AC$3,$AB1624,IF(NOT($W1624=0),"",SUMIFS('Val-Vol (2)'!AC$4:AC$1858,'Val-Vol (2)'!$A$4:$A$1858,$D1624,'Val-Vol (2)'!$V$4:$V$1858,$V1624)/SUMIFS('Comp2016-2017 (3)'!$G$5:$G$289,'Comp2016-2017 (3)'!$A$5:$A$289,$D1624,'Comp2016-2017 (3)'!$R$5:$R$289,$V1624)*$AB1624))</f>
        <v/>
      </c>
      <c r="AD1624" s="205" t="str">
        <f>IF($W1624=AD$3,$AB1624,IF(NOT($W1624=0),"",SUMIFS('Val-Vol (2)'!AD$4:AD$1858,'Val-Vol (2)'!$A$4:$A$1858,$D1624,'Val-Vol (2)'!$V$4:$V$1858,$V1624)/SUMIFS('Comp2016-2017 (3)'!$G$5:$G$289,'Comp2016-2017 (3)'!$A$5:$A$289,$D1624,'Comp2016-2017 (3)'!$R$5:$R$289,$V1624)*$AB1624))</f>
        <v/>
      </c>
      <c r="AE1624" s="205" t="str">
        <f>IF($W1624=AE$3,$AB1624,IF(NOT($W1624=0),"",SUMIFS('Val-Vol (2)'!AE$4:AE$1858,'Val-Vol (2)'!$A$4:$A$1858,$D1624,'Val-Vol (2)'!$V$4:$V$1858,$V1624)/SUMIFS('Comp2016-2017 (3)'!$G$5:$G$289,'Comp2016-2017 (3)'!$A$5:$A$289,$D1624,'Comp2016-2017 (3)'!$R$5:$R$289,$V1624)*$AB1624))</f>
        <v/>
      </c>
      <c r="AF1624" s="205" t="str">
        <f>IF($W1624=AF$3,$AB1624,IF(NOT($W1624=0),"",SUMIFS('Val-Vol (2)'!AF$4:AF$1858,'Val-Vol (2)'!$A$4:$A$1858,$D1624,'Val-Vol (2)'!$V$4:$V$1858,$V1624)/SUMIFS('Comp2016-2017 (3)'!$G$5:$G$289,'Comp2016-2017 (3)'!$A$5:$A$289,$D1624,'Comp2016-2017 (3)'!$R$5:$R$289,$V1624)*$AB1624))</f>
        <v/>
      </c>
      <c r="AG1624" s="205" t="str">
        <f>IF($W1624=AG$3,$AB1624,IF(NOT($W1624=0),"",SUMIFS('Val-Vol (2)'!AG$4:AG$1858,'Val-Vol (2)'!$A$4:$A$1858,$D1624,'Val-Vol (2)'!$V$4:$V$1858,$V1624)/SUMIFS('Comp2016-2017 (3)'!$G$5:$G$289,'Comp2016-2017 (3)'!$A$5:$A$289,$D1624,'Comp2016-2017 (3)'!$R$5:$R$289,$V1624)*$AB1624))</f>
        <v/>
      </c>
      <c r="AH1624" s="205" t="str">
        <f>IF($W1624=AH$3,$AB1624,IF(NOT($W1624=0),"",SUMIFS('Val-Vol (2)'!AH$4:AH$1858,'Val-Vol (2)'!$A$4:$A$1858,$D1624,'Val-Vol (2)'!$V$4:$V$1858,$V1624)/SUMIFS('Comp2016-2017 (3)'!$G$5:$G$289,'Comp2016-2017 (3)'!$A$5:$A$289,$D1624,'Comp2016-2017 (3)'!$R$5:$R$289,$V1624)*$AB1624))</f>
        <v/>
      </c>
      <c r="AI1624" s="205" t="str">
        <f>IF($W1624=AI$3,$AB1624,IF(NOT($W1624=0),"",SUMIFS('Val-Vol (2)'!AI$4:AI$1858,'Val-Vol (2)'!$A$4:$A$1858,$D1624,'Val-Vol (2)'!$V$4:$V$1858,$V1624)/SUMIFS('Comp2016-2017 (3)'!$G$5:$G$289,'Comp2016-2017 (3)'!$A$5:$A$289,$D1624,'Comp2016-2017 (3)'!$R$5:$R$289,$V1624)*$AB1624))</f>
        <v/>
      </c>
      <c r="AJ1624" s="205">
        <f>IF($W1624=AJ$3,$AB1624,IF(NOT($W1624=0),"",SUMIFS('Val-Vol (2)'!AJ$4:AJ$1858,'Val-Vol (2)'!$A$4:$A$1858,$D1624,'Val-Vol (2)'!$V$4:$V$1858,$V1624)/SUMIFS('Comp2016-2017 (3)'!$G$5:$G$289,'Comp2016-2017 (3)'!$A$5:$A$289,$D1624,'Comp2016-2017 (3)'!$R$5:$R$289,$V1624)*$AB1624))</f>
        <v>0</v>
      </c>
      <c r="AK1624" s="205">
        <f t="shared" si="182"/>
        <v>0</v>
      </c>
      <c r="AL1624" s="218" t="str">
        <f t="shared" si="184"/>
        <v/>
      </c>
      <c r="AM1624" s="218" t="str">
        <f>VLOOKUP(A1624,'Table corresp.'!$M$4:$U$63,8,FALSE)</f>
        <v>Production intermédiaire</v>
      </c>
      <c r="AN1624" s="218" t="str">
        <f>VLOOKUP(D1624,'Table corresp.'!$M$4:$U$63,9,FALSE)</f>
        <v>Consommation finale française</v>
      </c>
    </row>
    <row r="1625" spans="1:40" x14ac:dyDescent="0.25">
      <c r="A1625" t="s">
        <v>7</v>
      </c>
      <c r="B1625" t="str">
        <f>VLOOKUP(LEFT(A1625,3),'Table corresp.'!$A$4:$D$63,3,FALSE)</f>
        <v>Transformation</v>
      </c>
      <c r="C1625" t="str">
        <f>VLOOKUP(A1625,'Table corresp.'!$M$4:$P$63,4,FALSE)</f>
        <v>Production et transformation de produits bois</v>
      </c>
      <c r="D1625" t="s">
        <v>53</v>
      </c>
      <c r="E1625" t="str">
        <f>VLOOKUP(LEFT(D1625,3),'Table corresp.'!$A$4:$D$63,4,FALSE)</f>
        <v>Exportation</v>
      </c>
      <c r="F1625" t="str">
        <f t="shared" si="185"/>
        <v>12  - Exp</v>
      </c>
      <c r="G1625" s="238">
        <v>49892.280186999997</v>
      </c>
      <c r="H1625" s="238">
        <v>0</v>
      </c>
      <c r="I1625" s="238">
        <v>49892.280186999997</v>
      </c>
      <c r="J1625" s="238">
        <v>546.66041179258673</v>
      </c>
      <c r="K1625" s="238">
        <v>0</v>
      </c>
      <c r="L1625" s="238">
        <v>546.66041179258673</v>
      </c>
      <c r="M1625" s="238"/>
      <c r="N1625" s="238"/>
      <c r="O1625" s="238"/>
      <c r="P1625" s="238"/>
      <c r="Q1625" s="238"/>
      <c r="R1625" s="238"/>
      <c r="S1625" s="238"/>
      <c r="T1625" s="218">
        <f>VLOOKUP(A1625,'Groupe de branches'!$Z$27:$AM$86,14,FALSE)</f>
        <v>0</v>
      </c>
      <c r="U1625" s="218">
        <f>VLOOKUP(D1625,'Groupe de branches'!$Z$27:$AM$86,14,FALSE)</f>
        <v>0</v>
      </c>
      <c r="V1625" s="218">
        <v>2020</v>
      </c>
      <c r="W1625" s="218" t="str">
        <f>VLOOKUP(D1625,'Table corresp.'!$M$4:$S$63,7,FALSE)</f>
        <v>Exportation</v>
      </c>
      <c r="X1625" s="240">
        <f>IFERROR(G1625/SUMIFS('Comp2016-2017 (3)'!$I$5:$I$289,'Comp2016-2017 (3)'!$A$5:$A$289,A1625,'Comp2016-2017 (3)'!$R$5:$R$289,V1625),0)</f>
        <v>6.5821024686702312E-2</v>
      </c>
      <c r="Y1625" s="219" t="e">
        <f>IF(RIGHT(F1625,3)="Exp",VLOOKUP(F1625,#REF!,2,FALSE),VLOOKUP(F1625,#REF!,9,FALSE))</f>
        <v>#REF!</v>
      </c>
      <c r="Z1625" s="226" t="str">
        <f t="shared" si="186"/>
        <v/>
      </c>
      <c r="AA1625" s="226" t="e">
        <f t="shared" si="183"/>
        <v>#VALUE!</v>
      </c>
      <c r="AB1625" s="205">
        <f>IFERROR(SUMIFS('Comp2016-2017 (3)'!$G$5:$G$289,'Comp2016-2017 (3)'!$A$5:$A$289,A1625,'Comp2016-2017 (3)'!$R$5:$R$289,V1625)*AA1625/SUMIFS($AA$4:$AA$1858,$A$4:$A$1858,A1625,$V$4:$V$1858,V1625),0)</f>
        <v>0</v>
      </c>
      <c r="AC1625" s="205">
        <f>IF($W1625=AC$3,$AB1625,IF(NOT($W1625=0),"",SUMIFS('Val-Vol (2)'!AC$4:AC$1858,'Val-Vol (2)'!$A$4:$A$1858,$D1625,'Val-Vol (2)'!$V$4:$V$1858,$V1625)/SUMIFS('Comp2016-2017 (3)'!$G$5:$G$289,'Comp2016-2017 (3)'!$A$5:$A$289,$D1625,'Comp2016-2017 (3)'!$R$5:$R$289,$V1625)*$AB1625))</f>
        <v>0</v>
      </c>
      <c r="AD1625" s="205" t="str">
        <f>IF($W1625=AD$3,$AB1625,IF(NOT($W1625=0),"",SUMIFS('Val-Vol (2)'!AD$4:AD$1858,'Val-Vol (2)'!$A$4:$A$1858,$D1625,'Val-Vol (2)'!$V$4:$V$1858,$V1625)/SUMIFS('Comp2016-2017 (3)'!$G$5:$G$289,'Comp2016-2017 (3)'!$A$5:$A$289,$D1625,'Comp2016-2017 (3)'!$R$5:$R$289,$V1625)*$AB1625))</f>
        <v/>
      </c>
      <c r="AE1625" s="205" t="str">
        <f>IF($W1625=AE$3,$AB1625,IF(NOT($W1625=0),"",SUMIFS('Val-Vol (2)'!AE$4:AE$1858,'Val-Vol (2)'!$A$4:$A$1858,$D1625,'Val-Vol (2)'!$V$4:$V$1858,$V1625)/SUMIFS('Comp2016-2017 (3)'!$G$5:$G$289,'Comp2016-2017 (3)'!$A$5:$A$289,$D1625,'Comp2016-2017 (3)'!$R$5:$R$289,$V1625)*$AB1625))</f>
        <v/>
      </c>
      <c r="AF1625" s="205" t="str">
        <f>IF($W1625=AF$3,$AB1625,IF(NOT($W1625=0),"",SUMIFS('Val-Vol (2)'!AF$4:AF$1858,'Val-Vol (2)'!$A$4:$A$1858,$D1625,'Val-Vol (2)'!$V$4:$V$1858,$V1625)/SUMIFS('Comp2016-2017 (3)'!$G$5:$G$289,'Comp2016-2017 (3)'!$A$5:$A$289,$D1625,'Comp2016-2017 (3)'!$R$5:$R$289,$V1625)*$AB1625))</f>
        <v/>
      </c>
      <c r="AG1625" s="205" t="str">
        <f>IF($W1625=AG$3,$AB1625,IF(NOT($W1625=0),"",SUMIFS('Val-Vol (2)'!AG$4:AG$1858,'Val-Vol (2)'!$A$4:$A$1858,$D1625,'Val-Vol (2)'!$V$4:$V$1858,$V1625)/SUMIFS('Comp2016-2017 (3)'!$G$5:$G$289,'Comp2016-2017 (3)'!$A$5:$A$289,$D1625,'Comp2016-2017 (3)'!$R$5:$R$289,$V1625)*$AB1625))</f>
        <v/>
      </c>
      <c r="AH1625" s="205" t="str">
        <f>IF($W1625=AH$3,$AB1625,IF(NOT($W1625=0),"",SUMIFS('Val-Vol (2)'!AH$4:AH$1858,'Val-Vol (2)'!$A$4:$A$1858,$D1625,'Val-Vol (2)'!$V$4:$V$1858,$V1625)/SUMIFS('Comp2016-2017 (3)'!$G$5:$G$289,'Comp2016-2017 (3)'!$A$5:$A$289,$D1625,'Comp2016-2017 (3)'!$R$5:$R$289,$V1625)*$AB1625))</f>
        <v/>
      </c>
      <c r="AI1625" s="205" t="str">
        <f>IF($W1625=AI$3,$AB1625,IF(NOT($W1625=0),"",SUMIFS('Val-Vol (2)'!AI$4:AI$1858,'Val-Vol (2)'!$A$4:$A$1858,$D1625,'Val-Vol (2)'!$V$4:$V$1858,$V1625)/SUMIFS('Comp2016-2017 (3)'!$G$5:$G$289,'Comp2016-2017 (3)'!$A$5:$A$289,$D1625,'Comp2016-2017 (3)'!$R$5:$R$289,$V1625)*$AB1625))</f>
        <v/>
      </c>
      <c r="AJ1625" s="205" t="str">
        <f>IF($W1625=AJ$3,$AB1625,IF(NOT($W1625=0),"",SUMIFS('Val-Vol (2)'!AJ$4:AJ$1858,'Val-Vol (2)'!$A$4:$A$1858,$D1625,'Val-Vol (2)'!$V$4:$V$1858,$V1625)/SUMIFS('Comp2016-2017 (3)'!$G$5:$G$289,'Comp2016-2017 (3)'!$A$5:$A$289,$D1625,'Comp2016-2017 (3)'!$R$5:$R$289,$V1625)*$AB1625))</f>
        <v/>
      </c>
      <c r="AK1625" s="205">
        <f t="shared" ref="AK1625:AK1688" si="187">SUM(AC1625:AJ1625)-AB1625</f>
        <v>0</v>
      </c>
      <c r="AL1625" s="218" t="str">
        <f t="shared" si="184"/>
        <v/>
      </c>
      <c r="AM1625" s="218" t="str">
        <f>VLOOKUP(A1625,'Table corresp.'!$M$4:$U$63,8,FALSE)</f>
        <v>Production intermédiaire</v>
      </c>
      <c r="AN1625" s="218" t="str">
        <f>VLOOKUP(D1625,'Table corresp.'!$M$4:$U$63,9,FALSE)</f>
        <v>Exportation</v>
      </c>
    </row>
    <row r="1626" spans="1:40" x14ac:dyDescent="0.25">
      <c r="A1626" t="s">
        <v>8</v>
      </c>
      <c r="B1626" t="str">
        <f>VLOOKUP(LEFT(A1626,3),'Table corresp.'!$A$4:$D$63,3,FALSE)</f>
        <v>Transformation</v>
      </c>
      <c r="C1626" t="str">
        <f>VLOOKUP(A1626,'Table corresp.'!$M$4:$P$63,4,FALSE)</f>
        <v>Production et transformation de produits bois</v>
      </c>
      <c r="D1626" t="s">
        <v>13</v>
      </c>
      <c r="E1626" t="str">
        <f>VLOOKUP(LEFT(D1626,3),'Table corresp.'!$A$4:$D$63,4,FALSE)</f>
        <v>Transformation</v>
      </c>
      <c r="F1626" t="str">
        <f t="shared" si="185"/>
        <v xml:space="preserve">13  - 20 </v>
      </c>
      <c r="G1626" s="238">
        <v>95547.596570881506</v>
      </c>
      <c r="H1626" s="238">
        <v>0</v>
      </c>
      <c r="I1626" s="238">
        <v>95547.596570881593</v>
      </c>
      <c r="J1626" s="238">
        <v>480.8849848136378</v>
      </c>
      <c r="K1626" s="238">
        <v>0</v>
      </c>
      <c r="L1626" s="238">
        <v>480.8849848136378</v>
      </c>
      <c r="M1626" s="238"/>
      <c r="N1626" s="238"/>
      <c r="O1626" s="238"/>
      <c r="P1626" s="238"/>
      <c r="Q1626" s="238"/>
      <c r="R1626" s="238"/>
      <c r="S1626" s="238"/>
      <c r="T1626" s="218">
        <f>VLOOKUP(A1626,'Groupe de branches'!$Z$27:$AM$86,14,FALSE)</f>
        <v>0</v>
      </c>
      <c r="U1626" s="218">
        <f>VLOOKUP(D1626,'Groupe de branches'!$Z$27:$AM$86,14,FALSE)</f>
        <v>0</v>
      </c>
      <c r="V1626" s="218">
        <v>2020</v>
      </c>
      <c r="W1626" s="218">
        <f>VLOOKUP(D1626,'Table corresp.'!$M$4:$S$63,7,FALSE)</f>
        <v>0</v>
      </c>
      <c r="X1626" s="240">
        <f>IFERROR(G1626/SUMIFS('Comp2016-2017 (3)'!$I$5:$I$289,'Comp2016-2017 (3)'!$A$5:$A$289,A1626,'Comp2016-2017 (3)'!$R$5:$R$289,V1626),0)</f>
        <v>0.26003883889800844</v>
      </c>
      <c r="Y1626" s="219" t="e">
        <f>IF(RIGHT(F1626,3)="Exp",VLOOKUP(F1626,#REF!,2,FALSE),VLOOKUP(F1626,#REF!,9,FALSE))</f>
        <v>#REF!</v>
      </c>
      <c r="Z1626" s="226" t="str">
        <f t="shared" si="186"/>
        <v/>
      </c>
      <c r="AA1626" s="226" t="e">
        <f t="shared" si="183"/>
        <v>#VALUE!</v>
      </c>
      <c r="AB1626" s="205">
        <f>IFERROR(SUMIFS('Comp2016-2017 (3)'!$G$5:$G$289,'Comp2016-2017 (3)'!$A$5:$A$289,A1626,'Comp2016-2017 (3)'!$R$5:$R$289,V1626)*AA1626/SUMIFS($AA$4:$AA$1858,$A$4:$A$1858,A1626,$V$4:$V$1858,V1626),0)</f>
        <v>0</v>
      </c>
      <c r="AC1626" s="205">
        <f>IF($W1626=AC$3,$AB1626,IF(NOT($W1626=0),"",SUMIFS('Val-Vol (2)'!AC$4:AC$1858,'Val-Vol (2)'!$A$4:$A$1858,$D1626,'Val-Vol (2)'!$V$4:$V$1858,$V1626)/SUMIFS('Comp2016-2017 (3)'!$G$5:$G$289,'Comp2016-2017 (3)'!$A$5:$A$289,$D1626,'Comp2016-2017 (3)'!$R$5:$R$289,$V1626)*$AB1626))</f>
        <v>0</v>
      </c>
      <c r="AD1626" s="205">
        <f>IF($W1626=AD$3,$AB1626,IF(NOT($W1626=0),"",SUMIFS('Val-Vol (2)'!AD$4:AD$1858,'Val-Vol (2)'!$A$4:$A$1858,$D1626,'Val-Vol (2)'!$V$4:$V$1858,$V1626)/SUMIFS('Comp2016-2017 (3)'!$G$5:$G$289,'Comp2016-2017 (3)'!$A$5:$A$289,$D1626,'Comp2016-2017 (3)'!$R$5:$R$289,$V1626)*$AB1626))</f>
        <v>0</v>
      </c>
      <c r="AE1626" s="205">
        <f>IF($W1626=AE$3,$AB1626,IF(NOT($W1626=0),"",SUMIFS('Val-Vol (2)'!AE$4:AE$1858,'Val-Vol (2)'!$A$4:$A$1858,$D1626,'Val-Vol (2)'!$V$4:$V$1858,$V1626)/SUMIFS('Comp2016-2017 (3)'!$G$5:$G$289,'Comp2016-2017 (3)'!$A$5:$A$289,$D1626,'Comp2016-2017 (3)'!$R$5:$R$289,$V1626)*$AB1626))</f>
        <v>0</v>
      </c>
      <c r="AF1626" s="205">
        <f>IF($W1626=AF$3,$AB1626,IF(NOT($W1626=0),"",SUMIFS('Val-Vol (2)'!AF$4:AF$1858,'Val-Vol (2)'!$A$4:$A$1858,$D1626,'Val-Vol (2)'!$V$4:$V$1858,$V1626)/SUMIFS('Comp2016-2017 (3)'!$G$5:$G$289,'Comp2016-2017 (3)'!$A$5:$A$289,$D1626,'Comp2016-2017 (3)'!$R$5:$R$289,$V1626)*$AB1626))</f>
        <v>0</v>
      </c>
      <c r="AG1626" s="205">
        <f>IF($W1626=AG$3,$AB1626,IF(NOT($W1626=0),"",SUMIFS('Val-Vol (2)'!AG$4:AG$1858,'Val-Vol (2)'!$A$4:$A$1858,$D1626,'Val-Vol (2)'!$V$4:$V$1858,$V1626)/SUMIFS('Comp2016-2017 (3)'!$G$5:$G$289,'Comp2016-2017 (3)'!$A$5:$A$289,$D1626,'Comp2016-2017 (3)'!$R$5:$R$289,$V1626)*$AB1626))</f>
        <v>0</v>
      </c>
      <c r="AH1626" s="205">
        <f>IF($W1626=AH$3,$AB1626,IF(NOT($W1626=0),"",SUMIFS('Val-Vol (2)'!AH$4:AH$1858,'Val-Vol (2)'!$A$4:$A$1858,$D1626,'Val-Vol (2)'!$V$4:$V$1858,$V1626)/SUMIFS('Comp2016-2017 (3)'!$G$5:$G$289,'Comp2016-2017 (3)'!$A$5:$A$289,$D1626,'Comp2016-2017 (3)'!$R$5:$R$289,$V1626)*$AB1626))</f>
        <v>0</v>
      </c>
      <c r="AI1626" s="205">
        <f>IF($W1626=AI$3,$AB1626,IF(NOT($W1626=0),"",SUMIFS('Val-Vol (2)'!AI$4:AI$1858,'Val-Vol (2)'!$A$4:$A$1858,$D1626,'Val-Vol (2)'!$V$4:$V$1858,$V1626)/SUMIFS('Comp2016-2017 (3)'!$G$5:$G$289,'Comp2016-2017 (3)'!$A$5:$A$289,$D1626,'Comp2016-2017 (3)'!$R$5:$R$289,$V1626)*$AB1626))</f>
        <v>0</v>
      </c>
      <c r="AJ1626" s="205">
        <f>IF($W1626=AJ$3,$AB1626,IF(NOT($W1626=0),"",SUMIFS('Val-Vol (2)'!AJ$4:AJ$1858,'Val-Vol (2)'!$A$4:$A$1858,$D1626,'Val-Vol (2)'!$V$4:$V$1858,$V1626)/SUMIFS('Comp2016-2017 (3)'!$G$5:$G$289,'Comp2016-2017 (3)'!$A$5:$A$289,$D1626,'Comp2016-2017 (3)'!$R$5:$R$289,$V1626)*$AB1626))</f>
        <v>0</v>
      </c>
      <c r="AK1626" s="205">
        <f t="shared" si="187"/>
        <v>0</v>
      </c>
      <c r="AL1626" s="218" t="str">
        <f t="shared" si="184"/>
        <v/>
      </c>
      <c r="AM1626" s="218" t="str">
        <f>VLOOKUP(A1626,'Table corresp.'!$M$4:$U$63,8,FALSE)</f>
        <v>Production intermédiaire</v>
      </c>
      <c r="AN1626" s="218" t="str">
        <f>VLOOKUP(D1626,'Table corresp.'!$M$4:$U$63,9,FALSE)</f>
        <v>Production intermédiaire</v>
      </c>
    </row>
    <row r="1627" spans="1:40" x14ac:dyDescent="0.25">
      <c r="A1627" t="s">
        <v>8</v>
      </c>
      <c r="B1627" t="str">
        <f>VLOOKUP(LEFT(A1627,3),'Table corresp.'!$A$4:$D$63,3,FALSE)</f>
        <v>Transformation</v>
      </c>
      <c r="C1627" t="str">
        <f>VLOOKUP(A1627,'Table corresp.'!$M$4:$P$63,4,FALSE)</f>
        <v>Production et transformation de produits bois</v>
      </c>
      <c r="D1627" t="s">
        <v>14</v>
      </c>
      <c r="E1627" t="str">
        <f>VLOOKUP(LEFT(D1627,3),'Table corresp.'!$A$4:$D$63,4,FALSE)</f>
        <v>Transformation</v>
      </c>
      <c r="F1627" t="str">
        <f t="shared" si="185"/>
        <v>13  - 20b</v>
      </c>
      <c r="G1627" s="238">
        <v>9225.8886764994295</v>
      </c>
      <c r="H1627" s="238">
        <v>0</v>
      </c>
      <c r="I1627" s="238">
        <v>9225.8886764994404</v>
      </c>
      <c r="J1627" s="238">
        <v>63.483043373171469</v>
      </c>
      <c r="K1627" s="238">
        <v>0</v>
      </c>
      <c r="L1627" s="238">
        <v>63.483043373171469</v>
      </c>
      <c r="M1627" s="238"/>
      <c r="N1627" s="238"/>
      <c r="O1627" s="238"/>
      <c r="P1627" s="238"/>
      <c r="Q1627" s="238"/>
      <c r="R1627" s="238"/>
      <c r="S1627" s="238"/>
      <c r="T1627" s="218">
        <f>VLOOKUP(A1627,'Groupe de branches'!$Z$27:$AM$86,14,FALSE)</f>
        <v>0</v>
      </c>
      <c r="U1627" s="218">
        <f>VLOOKUP(D1627,'Groupe de branches'!$Z$27:$AM$86,14,FALSE)</f>
        <v>0</v>
      </c>
      <c r="V1627" s="218">
        <v>2020</v>
      </c>
      <c r="W1627" s="218">
        <f>VLOOKUP(D1627,'Table corresp.'!$M$4:$S$63,7,FALSE)</f>
        <v>0</v>
      </c>
      <c r="X1627" s="240">
        <f>IFERROR(G1627/SUMIFS('Comp2016-2017 (3)'!$I$5:$I$289,'Comp2016-2017 (3)'!$A$5:$A$289,A1627,'Comp2016-2017 (3)'!$R$5:$R$289,V1627),0)</f>
        <v>2.5108840675646331E-2</v>
      </c>
      <c r="Y1627" s="219" t="e">
        <f>IF(RIGHT(F1627,3)="Exp",VLOOKUP(F1627,#REF!,2,FALSE),VLOOKUP(F1627,#REF!,9,FALSE))</f>
        <v>#REF!</v>
      </c>
      <c r="Z1627" s="226" t="str">
        <f t="shared" si="186"/>
        <v/>
      </c>
      <c r="AA1627" s="226" t="e">
        <f t="shared" si="183"/>
        <v>#VALUE!</v>
      </c>
      <c r="AB1627" s="205">
        <f>IFERROR(SUMIFS('Comp2016-2017 (3)'!$G$5:$G$289,'Comp2016-2017 (3)'!$A$5:$A$289,A1627,'Comp2016-2017 (3)'!$R$5:$R$289,V1627)*AA1627/SUMIFS($AA$4:$AA$1858,$A$4:$A$1858,A1627,$V$4:$V$1858,V1627),0)</f>
        <v>0</v>
      </c>
      <c r="AC1627" s="205">
        <f>IF($W1627=AC$3,$AB1627,IF(NOT($W1627=0),"",SUMIFS('Val-Vol (2)'!AC$4:AC$1858,'Val-Vol (2)'!$A$4:$A$1858,$D1627,'Val-Vol (2)'!$V$4:$V$1858,$V1627)/SUMIFS('Comp2016-2017 (3)'!$G$5:$G$289,'Comp2016-2017 (3)'!$A$5:$A$289,$D1627,'Comp2016-2017 (3)'!$R$5:$R$289,$V1627)*$AB1627))</f>
        <v>0</v>
      </c>
      <c r="AD1627" s="205">
        <f>IF($W1627=AD$3,$AB1627,IF(NOT($W1627=0),"",SUMIFS('Val-Vol (2)'!AD$4:AD$1858,'Val-Vol (2)'!$A$4:$A$1858,$D1627,'Val-Vol (2)'!$V$4:$V$1858,$V1627)/SUMIFS('Comp2016-2017 (3)'!$G$5:$G$289,'Comp2016-2017 (3)'!$A$5:$A$289,$D1627,'Comp2016-2017 (3)'!$R$5:$R$289,$V1627)*$AB1627))</f>
        <v>0</v>
      </c>
      <c r="AE1627" s="205">
        <f>IF($W1627=AE$3,$AB1627,IF(NOT($W1627=0),"",SUMIFS('Val-Vol (2)'!AE$4:AE$1858,'Val-Vol (2)'!$A$4:$A$1858,$D1627,'Val-Vol (2)'!$V$4:$V$1858,$V1627)/SUMIFS('Comp2016-2017 (3)'!$G$5:$G$289,'Comp2016-2017 (3)'!$A$5:$A$289,$D1627,'Comp2016-2017 (3)'!$R$5:$R$289,$V1627)*$AB1627))</f>
        <v>0</v>
      </c>
      <c r="AF1627" s="205">
        <f>IF($W1627=AF$3,$AB1627,IF(NOT($W1627=0),"",SUMIFS('Val-Vol (2)'!AF$4:AF$1858,'Val-Vol (2)'!$A$4:$A$1858,$D1627,'Val-Vol (2)'!$V$4:$V$1858,$V1627)/SUMIFS('Comp2016-2017 (3)'!$G$5:$G$289,'Comp2016-2017 (3)'!$A$5:$A$289,$D1627,'Comp2016-2017 (3)'!$R$5:$R$289,$V1627)*$AB1627))</f>
        <v>0</v>
      </c>
      <c r="AG1627" s="205">
        <f>IF($W1627=AG$3,$AB1627,IF(NOT($W1627=0),"",SUMIFS('Val-Vol (2)'!AG$4:AG$1858,'Val-Vol (2)'!$A$4:$A$1858,$D1627,'Val-Vol (2)'!$V$4:$V$1858,$V1627)/SUMIFS('Comp2016-2017 (3)'!$G$5:$G$289,'Comp2016-2017 (3)'!$A$5:$A$289,$D1627,'Comp2016-2017 (3)'!$R$5:$R$289,$V1627)*$AB1627))</f>
        <v>0</v>
      </c>
      <c r="AH1627" s="205">
        <f>IF($W1627=AH$3,$AB1627,IF(NOT($W1627=0),"",SUMIFS('Val-Vol (2)'!AH$4:AH$1858,'Val-Vol (2)'!$A$4:$A$1858,$D1627,'Val-Vol (2)'!$V$4:$V$1858,$V1627)/SUMIFS('Comp2016-2017 (3)'!$G$5:$G$289,'Comp2016-2017 (3)'!$A$5:$A$289,$D1627,'Comp2016-2017 (3)'!$R$5:$R$289,$V1627)*$AB1627))</f>
        <v>0</v>
      </c>
      <c r="AI1627" s="205">
        <f>IF($W1627=AI$3,$AB1627,IF(NOT($W1627=0),"",SUMIFS('Val-Vol (2)'!AI$4:AI$1858,'Val-Vol (2)'!$A$4:$A$1858,$D1627,'Val-Vol (2)'!$V$4:$V$1858,$V1627)/SUMIFS('Comp2016-2017 (3)'!$G$5:$G$289,'Comp2016-2017 (3)'!$A$5:$A$289,$D1627,'Comp2016-2017 (3)'!$R$5:$R$289,$V1627)*$AB1627))</f>
        <v>0</v>
      </c>
      <c r="AJ1627" s="205">
        <f>IF($W1627=AJ$3,$AB1627,IF(NOT($W1627=0),"",SUMIFS('Val-Vol (2)'!AJ$4:AJ$1858,'Val-Vol (2)'!$A$4:$A$1858,$D1627,'Val-Vol (2)'!$V$4:$V$1858,$V1627)/SUMIFS('Comp2016-2017 (3)'!$G$5:$G$289,'Comp2016-2017 (3)'!$A$5:$A$289,$D1627,'Comp2016-2017 (3)'!$R$5:$R$289,$V1627)*$AB1627))</f>
        <v>0</v>
      </c>
      <c r="AK1627" s="205">
        <f t="shared" si="187"/>
        <v>0</v>
      </c>
      <c r="AL1627" s="218" t="str">
        <f t="shared" si="184"/>
        <v/>
      </c>
      <c r="AM1627" s="218" t="str">
        <f>VLOOKUP(A1627,'Table corresp.'!$M$4:$U$63,8,FALSE)</f>
        <v>Production intermédiaire</v>
      </c>
      <c r="AN1627" s="218" t="str">
        <f>VLOOKUP(D1627,'Table corresp.'!$M$4:$U$63,9,FALSE)</f>
        <v>Production intermédiaire</v>
      </c>
    </row>
    <row r="1628" spans="1:40" x14ac:dyDescent="0.25">
      <c r="A1628" t="s">
        <v>8</v>
      </c>
      <c r="B1628" t="str">
        <f>VLOOKUP(LEFT(A1628,3),'Table corresp.'!$A$4:$D$63,3,FALSE)</f>
        <v>Transformation</v>
      </c>
      <c r="C1628" t="str">
        <f>VLOOKUP(A1628,'Table corresp.'!$M$4:$P$63,4,FALSE)</f>
        <v>Production et transformation de produits bois</v>
      </c>
      <c r="D1628" t="s">
        <v>85</v>
      </c>
      <c r="E1628" t="str">
        <f>VLOOKUP(LEFT(D1628,3),'Table corresp.'!$A$4:$D$63,4,FALSE)</f>
        <v>Transformation</v>
      </c>
      <c r="F1628" t="str">
        <f t="shared" si="185"/>
        <v xml:space="preserve">13  - 29 </v>
      </c>
      <c r="G1628" s="238">
        <v>413.13489079826599</v>
      </c>
      <c r="H1628" s="238">
        <v>0</v>
      </c>
      <c r="I1628" s="238">
        <v>413.13489079826599</v>
      </c>
      <c r="J1628" s="238">
        <v>3.0322857615019436</v>
      </c>
      <c r="K1628" s="238">
        <v>0</v>
      </c>
      <c r="L1628" s="238">
        <v>3.0322857615019436</v>
      </c>
      <c r="M1628" s="238"/>
      <c r="N1628" s="238"/>
      <c r="O1628" s="238"/>
      <c r="P1628" s="238"/>
      <c r="Q1628" s="238"/>
      <c r="R1628" s="238"/>
      <c r="S1628" s="238"/>
      <c r="T1628" s="218">
        <f>VLOOKUP(A1628,'Groupe de branches'!$Z$27:$AM$86,14,FALSE)</f>
        <v>0</v>
      </c>
      <c r="U1628" s="218">
        <f>VLOOKUP(D1628,'Groupe de branches'!$Z$27:$AM$86,14,FALSE)</f>
        <v>0</v>
      </c>
      <c r="V1628" s="218">
        <v>2020</v>
      </c>
      <c r="W1628" s="218" t="str">
        <f>VLOOKUP(D1628,'Table corresp.'!$M$4:$S$63,7,FALSE)</f>
        <v>Construction</v>
      </c>
      <c r="X1628" s="240">
        <f>IFERROR(G1628/SUMIFS('Comp2016-2017 (3)'!$I$5:$I$289,'Comp2016-2017 (3)'!$A$5:$A$289,A1628,'Comp2016-2017 (3)'!$R$5:$R$289,V1628),0)</f>
        <v>1.1243727855754001E-3</v>
      </c>
      <c r="Y1628" s="219" t="e">
        <f>IF(RIGHT(F1628,3)="Exp",VLOOKUP(F1628,#REF!,2,FALSE),VLOOKUP(F1628,#REF!,9,FALSE))</f>
        <v>#REF!</v>
      </c>
      <c r="Z1628" s="226" t="str">
        <f t="shared" si="186"/>
        <v/>
      </c>
      <c r="AA1628" s="226" t="e">
        <f t="shared" si="183"/>
        <v>#VALUE!</v>
      </c>
      <c r="AB1628" s="205">
        <f>IFERROR(SUMIFS('Comp2016-2017 (3)'!$G$5:$G$289,'Comp2016-2017 (3)'!$A$5:$A$289,A1628,'Comp2016-2017 (3)'!$R$5:$R$289,V1628)*AA1628/SUMIFS($AA$4:$AA$1858,$A$4:$A$1858,A1628,$V$4:$V$1858,V1628),0)</f>
        <v>0</v>
      </c>
      <c r="AC1628" s="205" t="str">
        <f>IF($W1628=AC$3,$AB1628,IF(NOT($W1628=0),"",SUMIFS('Val-Vol (2)'!AC$4:AC$1858,'Val-Vol (2)'!$A$4:$A$1858,$D1628,'Val-Vol (2)'!$V$4:$V$1858,$V1628)/SUMIFS('Comp2016-2017 (3)'!$G$5:$G$289,'Comp2016-2017 (3)'!$A$5:$A$289,$D1628,'Comp2016-2017 (3)'!$R$5:$R$289,$V1628)*$AB1628))</f>
        <v/>
      </c>
      <c r="AD1628" s="205">
        <f>IF($W1628=AD$3,$AB1628,IF(NOT($W1628=0),"",SUMIFS('Val-Vol (2)'!AD$4:AD$1858,'Val-Vol (2)'!$A$4:$A$1858,$D1628,'Val-Vol (2)'!$V$4:$V$1858,$V1628)/SUMIFS('Comp2016-2017 (3)'!$G$5:$G$289,'Comp2016-2017 (3)'!$A$5:$A$289,$D1628,'Comp2016-2017 (3)'!$R$5:$R$289,$V1628)*$AB1628))</f>
        <v>0</v>
      </c>
      <c r="AE1628" s="205" t="str">
        <f>IF($W1628=AE$3,$AB1628,IF(NOT($W1628=0),"",SUMIFS('Val-Vol (2)'!AE$4:AE$1858,'Val-Vol (2)'!$A$4:$A$1858,$D1628,'Val-Vol (2)'!$V$4:$V$1858,$V1628)/SUMIFS('Comp2016-2017 (3)'!$G$5:$G$289,'Comp2016-2017 (3)'!$A$5:$A$289,$D1628,'Comp2016-2017 (3)'!$R$5:$R$289,$V1628)*$AB1628))</f>
        <v/>
      </c>
      <c r="AF1628" s="205" t="str">
        <f>IF($W1628=AF$3,$AB1628,IF(NOT($W1628=0),"",SUMIFS('Val-Vol (2)'!AF$4:AF$1858,'Val-Vol (2)'!$A$4:$A$1858,$D1628,'Val-Vol (2)'!$V$4:$V$1858,$V1628)/SUMIFS('Comp2016-2017 (3)'!$G$5:$G$289,'Comp2016-2017 (3)'!$A$5:$A$289,$D1628,'Comp2016-2017 (3)'!$R$5:$R$289,$V1628)*$AB1628))</f>
        <v/>
      </c>
      <c r="AG1628" s="205" t="str">
        <f>IF($W1628=AG$3,$AB1628,IF(NOT($W1628=0),"",SUMIFS('Val-Vol (2)'!AG$4:AG$1858,'Val-Vol (2)'!$A$4:$A$1858,$D1628,'Val-Vol (2)'!$V$4:$V$1858,$V1628)/SUMIFS('Comp2016-2017 (3)'!$G$5:$G$289,'Comp2016-2017 (3)'!$A$5:$A$289,$D1628,'Comp2016-2017 (3)'!$R$5:$R$289,$V1628)*$AB1628))</f>
        <v/>
      </c>
      <c r="AH1628" s="205" t="str">
        <f>IF($W1628=AH$3,$AB1628,IF(NOT($W1628=0),"",SUMIFS('Val-Vol (2)'!AH$4:AH$1858,'Val-Vol (2)'!$A$4:$A$1858,$D1628,'Val-Vol (2)'!$V$4:$V$1858,$V1628)/SUMIFS('Comp2016-2017 (3)'!$G$5:$G$289,'Comp2016-2017 (3)'!$A$5:$A$289,$D1628,'Comp2016-2017 (3)'!$R$5:$R$289,$V1628)*$AB1628))</f>
        <v/>
      </c>
      <c r="AI1628" s="205" t="str">
        <f>IF($W1628=AI$3,$AB1628,IF(NOT($W1628=0),"",SUMIFS('Val-Vol (2)'!AI$4:AI$1858,'Val-Vol (2)'!$A$4:$A$1858,$D1628,'Val-Vol (2)'!$V$4:$V$1858,$V1628)/SUMIFS('Comp2016-2017 (3)'!$G$5:$G$289,'Comp2016-2017 (3)'!$A$5:$A$289,$D1628,'Comp2016-2017 (3)'!$R$5:$R$289,$V1628)*$AB1628))</f>
        <v/>
      </c>
      <c r="AJ1628" s="205" t="str">
        <f>IF($W1628=AJ$3,$AB1628,IF(NOT($W1628=0),"",SUMIFS('Val-Vol (2)'!AJ$4:AJ$1858,'Val-Vol (2)'!$A$4:$A$1858,$D1628,'Val-Vol (2)'!$V$4:$V$1858,$V1628)/SUMIFS('Comp2016-2017 (3)'!$G$5:$G$289,'Comp2016-2017 (3)'!$A$5:$A$289,$D1628,'Comp2016-2017 (3)'!$R$5:$R$289,$V1628)*$AB1628))</f>
        <v/>
      </c>
      <c r="AK1628" s="205">
        <f t="shared" si="187"/>
        <v>0</v>
      </c>
      <c r="AL1628" s="218" t="str">
        <f t="shared" si="184"/>
        <v/>
      </c>
      <c r="AM1628" s="218" t="str">
        <f>VLOOKUP(A1628,'Table corresp.'!$M$4:$U$63,8,FALSE)</f>
        <v>Production intermédiaire</v>
      </c>
      <c r="AN1628" s="218" t="str">
        <f>VLOOKUP(D1628,'Table corresp.'!$M$4:$U$63,9,FALSE)</f>
        <v>Production intermédiaire</v>
      </c>
    </row>
    <row r="1629" spans="1:40" x14ac:dyDescent="0.25">
      <c r="A1629" t="s">
        <v>8</v>
      </c>
      <c r="B1629" t="str">
        <f>VLOOKUP(LEFT(A1629,3),'Table corresp.'!$A$4:$D$63,3,FALSE)</f>
        <v>Transformation</v>
      </c>
      <c r="C1629" t="str">
        <f>VLOOKUP(A1629,'Table corresp.'!$M$4:$P$63,4,FALSE)</f>
        <v>Production et transformation de produits bois</v>
      </c>
      <c r="D1629" t="s">
        <v>91</v>
      </c>
      <c r="E1629" t="str">
        <f>VLOOKUP(LEFT(D1629,3),'Table corresp.'!$A$4:$D$63,4,FALSE)</f>
        <v>Transformation</v>
      </c>
      <c r="F1629" t="str">
        <f t="shared" si="185"/>
        <v xml:space="preserve">13  - 37 </v>
      </c>
      <c r="G1629" s="238">
        <v>76286.851432893207</v>
      </c>
      <c r="H1629" s="238">
        <v>0</v>
      </c>
      <c r="I1629" s="238">
        <v>76286.851432893294</v>
      </c>
      <c r="J1629" s="238">
        <v>746.56337366490334</v>
      </c>
      <c r="K1629" s="238">
        <v>0</v>
      </c>
      <c r="L1629" s="238">
        <v>746.56337366490334</v>
      </c>
      <c r="M1629" s="238"/>
      <c r="N1629" s="238"/>
      <c r="O1629" s="238"/>
      <c r="P1629" s="238"/>
      <c r="Q1629" s="238"/>
      <c r="R1629" s="238"/>
      <c r="S1629" s="238"/>
      <c r="T1629" s="218">
        <f>VLOOKUP(A1629,'Groupe de branches'!$Z$27:$AM$86,14,FALSE)</f>
        <v>0</v>
      </c>
      <c r="U1629" s="218">
        <f>VLOOKUP(D1629,'Groupe de branches'!$Z$27:$AM$86,14,FALSE)</f>
        <v>0</v>
      </c>
      <c r="V1629" s="218">
        <v>2020</v>
      </c>
      <c r="W1629" s="218" t="str">
        <f>VLOOKUP(D1629,'Table corresp.'!$M$4:$S$63,7,FALSE)</f>
        <v>Emballage bois et carton</v>
      </c>
      <c r="X1629" s="240">
        <f>IFERROR(G1629/SUMIFS('Comp2016-2017 (3)'!$I$5:$I$289,'Comp2016-2017 (3)'!$A$5:$A$289,A1629,'Comp2016-2017 (3)'!$R$5:$R$289,V1629),0)</f>
        <v>0.20761950045575492</v>
      </c>
      <c r="Y1629" s="219" t="e">
        <f>IF(RIGHT(F1629,3)="Exp",VLOOKUP(F1629,#REF!,2,FALSE),VLOOKUP(F1629,#REF!,9,FALSE))</f>
        <v>#REF!</v>
      </c>
      <c r="Z1629" s="226" t="str">
        <f t="shared" si="186"/>
        <v/>
      </c>
      <c r="AA1629" s="226" t="e">
        <f t="shared" ref="AA1629:AA1692" si="188">X1629*Z1629</f>
        <v>#VALUE!</v>
      </c>
      <c r="AB1629" s="205">
        <f>IFERROR(SUMIFS('Comp2016-2017 (3)'!$G$5:$G$289,'Comp2016-2017 (3)'!$A$5:$A$289,A1629,'Comp2016-2017 (3)'!$R$5:$R$289,V1629)*AA1629/SUMIFS($AA$4:$AA$1858,$A$4:$A$1858,A1629,$V$4:$V$1858,V1629),0)</f>
        <v>0</v>
      </c>
      <c r="AC1629" s="205" t="str">
        <f>IF($W1629=AC$3,$AB1629,IF(NOT($W1629=0),"",SUMIFS('Val-Vol (2)'!AC$4:AC$1858,'Val-Vol (2)'!$A$4:$A$1858,$D1629,'Val-Vol (2)'!$V$4:$V$1858,$V1629)/SUMIFS('Comp2016-2017 (3)'!$G$5:$G$289,'Comp2016-2017 (3)'!$A$5:$A$289,$D1629,'Comp2016-2017 (3)'!$R$5:$R$289,$V1629)*$AB1629))</f>
        <v/>
      </c>
      <c r="AD1629" s="205" t="str">
        <f>IF($W1629=AD$3,$AB1629,IF(NOT($W1629=0),"",SUMIFS('Val-Vol (2)'!AD$4:AD$1858,'Val-Vol (2)'!$A$4:$A$1858,$D1629,'Val-Vol (2)'!$V$4:$V$1858,$V1629)/SUMIFS('Comp2016-2017 (3)'!$G$5:$G$289,'Comp2016-2017 (3)'!$A$5:$A$289,$D1629,'Comp2016-2017 (3)'!$R$5:$R$289,$V1629)*$AB1629))</f>
        <v/>
      </c>
      <c r="AE1629" s="205" t="str">
        <f>IF($W1629=AE$3,$AB1629,IF(NOT($W1629=0),"",SUMIFS('Val-Vol (2)'!AE$4:AE$1858,'Val-Vol (2)'!$A$4:$A$1858,$D1629,'Val-Vol (2)'!$V$4:$V$1858,$V1629)/SUMIFS('Comp2016-2017 (3)'!$G$5:$G$289,'Comp2016-2017 (3)'!$A$5:$A$289,$D1629,'Comp2016-2017 (3)'!$R$5:$R$289,$V1629)*$AB1629))</f>
        <v/>
      </c>
      <c r="AF1629" s="205" t="str">
        <f>IF($W1629=AF$3,$AB1629,IF(NOT($W1629=0),"",SUMIFS('Val-Vol (2)'!AF$4:AF$1858,'Val-Vol (2)'!$A$4:$A$1858,$D1629,'Val-Vol (2)'!$V$4:$V$1858,$V1629)/SUMIFS('Comp2016-2017 (3)'!$G$5:$G$289,'Comp2016-2017 (3)'!$A$5:$A$289,$D1629,'Comp2016-2017 (3)'!$R$5:$R$289,$V1629)*$AB1629))</f>
        <v/>
      </c>
      <c r="AG1629" s="205">
        <f>IF($W1629=AG$3,$AB1629,IF(NOT($W1629=0),"",SUMIFS('Val-Vol (2)'!AG$4:AG$1858,'Val-Vol (2)'!$A$4:$A$1858,$D1629,'Val-Vol (2)'!$V$4:$V$1858,$V1629)/SUMIFS('Comp2016-2017 (3)'!$G$5:$G$289,'Comp2016-2017 (3)'!$A$5:$A$289,$D1629,'Comp2016-2017 (3)'!$R$5:$R$289,$V1629)*$AB1629))</f>
        <v>0</v>
      </c>
      <c r="AH1629" s="205" t="str">
        <f>IF($W1629=AH$3,$AB1629,IF(NOT($W1629=0),"",SUMIFS('Val-Vol (2)'!AH$4:AH$1858,'Val-Vol (2)'!$A$4:$A$1858,$D1629,'Val-Vol (2)'!$V$4:$V$1858,$V1629)/SUMIFS('Comp2016-2017 (3)'!$G$5:$G$289,'Comp2016-2017 (3)'!$A$5:$A$289,$D1629,'Comp2016-2017 (3)'!$R$5:$R$289,$V1629)*$AB1629))</f>
        <v/>
      </c>
      <c r="AI1629" s="205" t="str">
        <f>IF($W1629=AI$3,$AB1629,IF(NOT($W1629=0),"",SUMIFS('Val-Vol (2)'!AI$4:AI$1858,'Val-Vol (2)'!$A$4:$A$1858,$D1629,'Val-Vol (2)'!$V$4:$V$1858,$V1629)/SUMIFS('Comp2016-2017 (3)'!$G$5:$G$289,'Comp2016-2017 (3)'!$A$5:$A$289,$D1629,'Comp2016-2017 (3)'!$R$5:$R$289,$V1629)*$AB1629))</f>
        <v/>
      </c>
      <c r="AJ1629" s="205" t="str">
        <f>IF($W1629=AJ$3,$AB1629,IF(NOT($W1629=0),"",SUMIFS('Val-Vol (2)'!AJ$4:AJ$1858,'Val-Vol (2)'!$A$4:$A$1858,$D1629,'Val-Vol (2)'!$V$4:$V$1858,$V1629)/SUMIFS('Comp2016-2017 (3)'!$G$5:$G$289,'Comp2016-2017 (3)'!$A$5:$A$289,$D1629,'Comp2016-2017 (3)'!$R$5:$R$289,$V1629)*$AB1629))</f>
        <v/>
      </c>
      <c r="AK1629" s="205">
        <f t="shared" si="187"/>
        <v>0</v>
      </c>
      <c r="AL1629" s="218" t="str">
        <f t="shared" si="184"/>
        <v/>
      </c>
      <c r="AM1629" s="218" t="str">
        <f>VLOOKUP(A1629,'Table corresp.'!$M$4:$U$63,8,FALSE)</f>
        <v>Production intermédiaire</v>
      </c>
      <c r="AN1629" s="218" t="str">
        <f>VLOOKUP(D1629,'Table corresp.'!$M$4:$U$63,9,FALSE)</f>
        <v>Production finale</v>
      </c>
    </row>
    <row r="1630" spans="1:40" x14ac:dyDescent="0.25">
      <c r="A1630" t="s">
        <v>8</v>
      </c>
      <c r="B1630" t="str">
        <f>VLOOKUP(LEFT(A1630,3),'Table corresp.'!$A$4:$D$63,3,FALSE)</f>
        <v>Transformation</v>
      </c>
      <c r="C1630" t="str">
        <f>VLOOKUP(A1630,'Table corresp.'!$M$4:$P$63,4,FALSE)</f>
        <v>Production et transformation de produits bois</v>
      </c>
      <c r="D1630" t="s">
        <v>92</v>
      </c>
      <c r="E1630" t="str">
        <f>VLOOKUP(LEFT(D1630,3),'Table corresp.'!$A$4:$D$63,4,FALSE)</f>
        <v>Transformation</v>
      </c>
      <c r="F1630" t="str">
        <f t="shared" si="185"/>
        <v xml:space="preserve">13  - 40 </v>
      </c>
      <c r="G1630" s="238">
        <v>20755.498548990399</v>
      </c>
      <c r="H1630" s="238">
        <v>0</v>
      </c>
      <c r="I1630" s="238">
        <v>20755.498548990399</v>
      </c>
      <c r="J1630" s="238">
        <v>178.52239778993558</v>
      </c>
      <c r="K1630" s="238">
        <v>0</v>
      </c>
      <c r="L1630" s="238">
        <v>178.52239778993558</v>
      </c>
      <c r="M1630" s="238"/>
      <c r="N1630" s="238"/>
      <c r="O1630" s="238"/>
      <c r="P1630" s="238"/>
      <c r="Q1630" s="238"/>
      <c r="R1630" s="238"/>
      <c r="S1630" s="238"/>
      <c r="T1630" s="218">
        <f>VLOOKUP(A1630,'Groupe de branches'!$Z$27:$AM$86,14,FALSE)</f>
        <v>0</v>
      </c>
      <c r="U1630" s="218">
        <f>VLOOKUP(D1630,'Groupe de branches'!$Z$27:$AM$86,14,FALSE)</f>
        <v>0</v>
      </c>
      <c r="V1630" s="218">
        <v>2020</v>
      </c>
      <c r="W1630" s="218" t="str">
        <f>VLOOKUP(D1630,'Table corresp.'!$M$4:$S$63,7,FALSE)</f>
        <v>Construction</v>
      </c>
      <c r="X1630" s="240">
        <f>IFERROR(G1630/SUMIFS('Comp2016-2017 (3)'!$I$5:$I$289,'Comp2016-2017 (3)'!$A$5:$A$289,A1630,'Comp2016-2017 (3)'!$R$5:$R$289,V1630),0)</f>
        <v>5.6487404572493349E-2</v>
      </c>
      <c r="Y1630" s="219" t="e">
        <f>IF(RIGHT(F1630,3)="Exp",VLOOKUP(F1630,#REF!,2,FALSE),VLOOKUP(F1630,#REF!,9,FALSE))</f>
        <v>#REF!</v>
      </c>
      <c r="Z1630" s="226" t="str">
        <f t="shared" si="186"/>
        <v/>
      </c>
      <c r="AA1630" s="226" t="e">
        <f t="shared" si="188"/>
        <v>#VALUE!</v>
      </c>
      <c r="AB1630" s="205">
        <f>IFERROR(SUMIFS('Comp2016-2017 (3)'!$G$5:$G$289,'Comp2016-2017 (3)'!$A$5:$A$289,A1630,'Comp2016-2017 (3)'!$R$5:$R$289,V1630)*AA1630/SUMIFS($AA$4:$AA$1858,$A$4:$A$1858,A1630,$V$4:$V$1858,V1630),0)</f>
        <v>0</v>
      </c>
      <c r="AC1630" s="205" t="str">
        <f>IF($W1630=AC$3,$AB1630,IF(NOT($W1630=0),"",SUMIFS('Val-Vol (2)'!AC$4:AC$1858,'Val-Vol (2)'!$A$4:$A$1858,$D1630,'Val-Vol (2)'!$V$4:$V$1858,$V1630)/SUMIFS('Comp2016-2017 (3)'!$G$5:$G$289,'Comp2016-2017 (3)'!$A$5:$A$289,$D1630,'Comp2016-2017 (3)'!$R$5:$R$289,$V1630)*$AB1630))</f>
        <v/>
      </c>
      <c r="AD1630" s="205">
        <f>IF($W1630=AD$3,$AB1630,IF(NOT($W1630=0),"",SUMIFS('Val-Vol (2)'!AD$4:AD$1858,'Val-Vol (2)'!$A$4:$A$1858,$D1630,'Val-Vol (2)'!$V$4:$V$1858,$V1630)/SUMIFS('Comp2016-2017 (3)'!$G$5:$G$289,'Comp2016-2017 (3)'!$A$5:$A$289,$D1630,'Comp2016-2017 (3)'!$R$5:$R$289,$V1630)*$AB1630))</f>
        <v>0</v>
      </c>
      <c r="AE1630" s="205" t="str">
        <f>IF($W1630=AE$3,$AB1630,IF(NOT($W1630=0),"",SUMIFS('Val-Vol (2)'!AE$4:AE$1858,'Val-Vol (2)'!$A$4:$A$1858,$D1630,'Val-Vol (2)'!$V$4:$V$1858,$V1630)/SUMIFS('Comp2016-2017 (3)'!$G$5:$G$289,'Comp2016-2017 (3)'!$A$5:$A$289,$D1630,'Comp2016-2017 (3)'!$R$5:$R$289,$V1630)*$AB1630))</f>
        <v/>
      </c>
      <c r="AF1630" s="205" t="str">
        <f>IF($W1630=AF$3,$AB1630,IF(NOT($W1630=0),"",SUMIFS('Val-Vol (2)'!AF$4:AF$1858,'Val-Vol (2)'!$A$4:$A$1858,$D1630,'Val-Vol (2)'!$V$4:$V$1858,$V1630)/SUMIFS('Comp2016-2017 (3)'!$G$5:$G$289,'Comp2016-2017 (3)'!$A$5:$A$289,$D1630,'Comp2016-2017 (3)'!$R$5:$R$289,$V1630)*$AB1630))</f>
        <v/>
      </c>
      <c r="AG1630" s="205" t="str">
        <f>IF($W1630=AG$3,$AB1630,IF(NOT($W1630=0),"",SUMIFS('Val-Vol (2)'!AG$4:AG$1858,'Val-Vol (2)'!$A$4:$A$1858,$D1630,'Val-Vol (2)'!$V$4:$V$1858,$V1630)/SUMIFS('Comp2016-2017 (3)'!$G$5:$G$289,'Comp2016-2017 (3)'!$A$5:$A$289,$D1630,'Comp2016-2017 (3)'!$R$5:$R$289,$V1630)*$AB1630))</f>
        <v/>
      </c>
      <c r="AH1630" s="205" t="str">
        <f>IF($W1630=AH$3,$AB1630,IF(NOT($W1630=0),"",SUMIFS('Val-Vol (2)'!AH$4:AH$1858,'Val-Vol (2)'!$A$4:$A$1858,$D1630,'Val-Vol (2)'!$V$4:$V$1858,$V1630)/SUMIFS('Comp2016-2017 (3)'!$G$5:$G$289,'Comp2016-2017 (3)'!$A$5:$A$289,$D1630,'Comp2016-2017 (3)'!$R$5:$R$289,$V1630)*$AB1630))</f>
        <v/>
      </c>
      <c r="AI1630" s="205" t="str">
        <f>IF($W1630=AI$3,$AB1630,IF(NOT($W1630=0),"",SUMIFS('Val-Vol (2)'!AI$4:AI$1858,'Val-Vol (2)'!$A$4:$A$1858,$D1630,'Val-Vol (2)'!$V$4:$V$1858,$V1630)/SUMIFS('Comp2016-2017 (3)'!$G$5:$G$289,'Comp2016-2017 (3)'!$A$5:$A$289,$D1630,'Comp2016-2017 (3)'!$R$5:$R$289,$V1630)*$AB1630))</f>
        <v/>
      </c>
      <c r="AJ1630" s="205" t="str">
        <f>IF($W1630=AJ$3,$AB1630,IF(NOT($W1630=0),"",SUMIFS('Val-Vol (2)'!AJ$4:AJ$1858,'Val-Vol (2)'!$A$4:$A$1858,$D1630,'Val-Vol (2)'!$V$4:$V$1858,$V1630)/SUMIFS('Comp2016-2017 (3)'!$G$5:$G$289,'Comp2016-2017 (3)'!$A$5:$A$289,$D1630,'Comp2016-2017 (3)'!$R$5:$R$289,$V1630)*$AB1630))</f>
        <v/>
      </c>
      <c r="AK1630" s="205">
        <f t="shared" si="187"/>
        <v>0</v>
      </c>
      <c r="AL1630" s="218" t="str">
        <f t="shared" ref="AL1630:AL1693" si="189">IF(A1630=D1630,"remplir à la main","")</f>
        <v/>
      </c>
      <c r="AM1630" s="218" t="str">
        <f>VLOOKUP(A1630,'Table corresp.'!$M$4:$U$63,8,FALSE)</f>
        <v>Production intermédiaire</v>
      </c>
      <c r="AN1630" s="218" t="str">
        <f>VLOOKUP(D1630,'Table corresp.'!$M$4:$U$63,9,FALSE)</f>
        <v>Production finale</v>
      </c>
    </row>
    <row r="1631" spans="1:40" x14ac:dyDescent="0.25">
      <c r="A1631" t="s">
        <v>8</v>
      </c>
      <c r="B1631" t="str">
        <f>VLOOKUP(LEFT(A1631,3),'Table corresp.'!$A$4:$D$63,3,FALSE)</f>
        <v>Transformation</v>
      </c>
      <c r="C1631" t="str">
        <f>VLOOKUP(A1631,'Table corresp.'!$M$4:$P$63,4,FALSE)</f>
        <v>Production et transformation de produits bois</v>
      </c>
      <c r="D1631" t="s">
        <v>19</v>
      </c>
      <c r="E1631" t="str">
        <f>VLOOKUP(LEFT(D1631,3),'Table corresp.'!$A$4:$D$63,4,FALSE)</f>
        <v>Transformation</v>
      </c>
      <c r="F1631" t="str">
        <f t="shared" si="185"/>
        <v xml:space="preserve">13  - 52 </v>
      </c>
      <c r="G1631" s="238">
        <v>3223.9326191365099</v>
      </c>
      <c r="H1631" s="238">
        <v>0</v>
      </c>
      <c r="I1631" s="238">
        <v>3223.9326191365099</v>
      </c>
      <c r="J1631" s="238">
        <v>31.550260200843624</v>
      </c>
      <c r="K1631" s="238">
        <v>0</v>
      </c>
      <c r="L1631" s="238">
        <v>31.550260200843624</v>
      </c>
      <c r="M1631" s="238"/>
      <c r="N1631" s="238"/>
      <c r="O1631" s="238"/>
      <c r="P1631" s="238"/>
      <c r="Q1631" s="238"/>
      <c r="R1631" s="238"/>
      <c r="S1631" s="238"/>
      <c r="T1631" s="218">
        <f>VLOOKUP(A1631,'Groupe de branches'!$Z$27:$AM$86,14,FALSE)</f>
        <v>0</v>
      </c>
      <c r="U1631" s="218">
        <f>VLOOKUP(D1631,'Groupe de branches'!$Z$27:$AM$86,14,FALSE)</f>
        <v>0</v>
      </c>
      <c r="V1631" s="218">
        <v>2020</v>
      </c>
      <c r="W1631" s="218" t="str">
        <f>VLOOKUP(D1631,'Table corresp.'!$M$4:$S$63,7,FALSE)</f>
        <v>Construction</v>
      </c>
      <c r="X1631" s="240">
        <f>IFERROR(G1631/SUMIFS('Comp2016-2017 (3)'!$I$5:$I$289,'Comp2016-2017 (3)'!$A$5:$A$289,A1631,'Comp2016-2017 (3)'!$R$5:$R$289,V1631),0)</f>
        <v>8.7741369228869007E-3</v>
      </c>
      <c r="Y1631" s="219" t="e">
        <f>IF(RIGHT(F1631,3)="Exp",VLOOKUP(F1631,#REF!,2,FALSE),VLOOKUP(F1631,#REF!,9,FALSE))</f>
        <v>#REF!</v>
      </c>
      <c r="Z1631" s="226" t="str">
        <f t="shared" si="186"/>
        <v/>
      </c>
      <c r="AA1631" s="226" t="e">
        <f t="shared" si="188"/>
        <v>#VALUE!</v>
      </c>
      <c r="AB1631" s="205">
        <f>IFERROR(SUMIFS('Comp2016-2017 (3)'!$G$5:$G$289,'Comp2016-2017 (3)'!$A$5:$A$289,A1631,'Comp2016-2017 (3)'!$R$5:$R$289,V1631)*AA1631/SUMIFS($AA$4:$AA$1858,$A$4:$A$1858,A1631,$V$4:$V$1858,V1631),0)</f>
        <v>0</v>
      </c>
      <c r="AC1631" s="205" t="str">
        <f>IF($W1631=AC$3,$AB1631,IF(NOT($W1631=0),"",SUMIFS('Val-Vol (2)'!AC$4:AC$1858,'Val-Vol (2)'!$A$4:$A$1858,$D1631,'Val-Vol (2)'!$V$4:$V$1858,$V1631)/SUMIFS('Comp2016-2017 (3)'!$G$5:$G$289,'Comp2016-2017 (3)'!$A$5:$A$289,$D1631,'Comp2016-2017 (3)'!$R$5:$R$289,$V1631)*$AB1631))</f>
        <v/>
      </c>
      <c r="AD1631" s="205">
        <f>IF($W1631=AD$3,$AB1631,IF(NOT($W1631=0),"",SUMIFS('Val-Vol (2)'!AD$4:AD$1858,'Val-Vol (2)'!$A$4:$A$1858,$D1631,'Val-Vol (2)'!$V$4:$V$1858,$V1631)/SUMIFS('Comp2016-2017 (3)'!$G$5:$G$289,'Comp2016-2017 (3)'!$A$5:$A$289,$D1631,'Comp2016-2017 (3)'!$R$5:$R$289,$V1631)*$AB1631))</f>
        <v>0</v>
      </c>
      <c r="AE1631" s="205" t="str">
        <f>IF($W1631=AE$3,$AB1631,IF(NOT($W1631=0),"",SUMIFS('Val-Vol (2)'!AE$4:AE$1858,'Val-Vol (2)'!$A$4:$A$1858,$D1631,'Val-Vol (2)'!$V$4:$V$1858,$V1631)/SUMIFS('Comp2016-2017 (3)'!$G$5:$G$289,'Comp2016-2017 (3)'!$A$5:$A$289,$D1631,'Comp2016-2017 (3)'!$R$5:$R$289,$V1631)*$AB1631))</f>
        <v/>
      </c>
      <c r="AF1631" s="205" t="str">
        <f>IF($W1631=AF$3,$AB1631,IF(NOT($W1631=0),"",SUMIFS('Val-Vol (2)'!AF$4:AF$1858,'Val-Vol (2)'!$A$4:$A$1858,$D1631,'Val-Vol (2)'!$V$4:$V$1858,$V1631)/SUMIFS('Comp2016-2017 (3)'!$G$5:$G$289,'Comp2016-2017 (3)'!$A$5:$A$289,$D1631,'Comp2016-2017 (3)'!$R$5:$R$289,$V1631)*$AB1631))</f>
        <v/>
      </c>
      <c r="AG1631" s="205" t="str">
        <f>IF($W1631=AG$3,$AB1631,IF(NOT($W1631=0),"",SUMIFS('Val-Vol (2)'!AG$4:AG$1858,'Val-Vol (2)'!$A$4:$A$1858,$D1631,'Val-Vol (2)'!$V$4:$V$1858,$V1631)/SUMIFS('Comp2016-2017 (3)'!$G$5:$G$289,'Comp2016-2017 (3)'!$A$5:$A$289,$D1631,'Comp2016-2017 (3)'!$R$5:$R$289,$V1631)*$AB1631))</f>
        <v/>
      </c>
      <c r="AH1631" s="205" t="str">
        <f>IF($W1631=AH$3,$AB1631,IF(NOT($W1631=0),"",SUMIFS('Val-Vol (2)'!AH$4:AH$1858,'Val-Vol (2)'!$A$4:$A$1858,$D1631,'Val-Vol (2)'!$V$4:$V$1858,$V1631)/SUMIFS('Comp2016-2017 (3)'!$G$5:$G$289,'Comp2016-2017 (3)'!$A$5:$A$289,$D1631,'Comp2016-2017 (3)'!$R$5:$R$289,$V1631)*$AB1631))</f>
        <v/>
      </c>
      <c r="AI1631" s="205" t="str">
        <f>IF($W1631=AI$3,$AB1631,IF(NOT($W1631=0),"",SUMIFS('Val-Vol (2)'!AI$4:AI$1858,'Val-Vol (2)'!$A$4:$A$1858,$D1631,'Val-Vol (2)'!$V$4:$V$1858,$V1631)/SUMIFS('Comp2016-2017 (3)'!$G$5:$G$289,'Comp2016-2017 (3)'!$A$5:$A$289,$D1631,'Comp2016-2017 (3)'!$R$5:$R$289,$V1631)*$AB1631))</f>
        <v/>
      </c>
      <c r="AJ1631" s="205" t="str">
        <f>IF($W1631=AJ$3,$AB1631,IF(NOT($W1631=0),"",SUMIFS('Val-Vol (2)'!AJ$4:AJ$1858,'Val-Vol (2)'!$A$4:$A$1858,$D1631,'Val-Vol (2)'!$V$4:$V$1858,$V1631)/SUMIFS('Comp2016-2017 (3)'!$G$5:$G$289,'Comp2016-2017 (3)'!$A$5:$A$289,$D1631,'Comp2016-2017 (3)'!$R$5:$R$289,$V1631)*$AB1631))</f>
        <v/>
      </c>
      <c r="AK1631" s="205">
        <f t="shared" si="187"/>
        <v>0</v>
      </c>
      <c r="AL1631" s="218" t="str">
        <f t="shared" si="189"/>
        <v/>
      </c>
      <c r="AM1631" s="218" t="str">
        <f>VLOOKUP(A1631,'Table corresp.'!$M$4:$U$63,8,FALSE)</f>
        <v>Production intermédiaire</v>
      </c>
      <c r="AN1631" s="218" t="str">
        <f>VLOOKUP(D1631,'Table corresp.'!$M$4:$U$63,9,FALSE)</f>
        <v xml:space="preserve">Mise en œuvre </v>
      </c>
    </row>
    <row r="1632" spans="1:40" x14ac:dyDescent="0.25">
      <c r="A1632" t="s">
        <v>8</v>
      </c>
      <c r="B1632" t="str">
        <f>VLOOKUP(LEFT(A1632,3),'Table corresp.'!$A$4:$D$63,3,FALSE)</f>
        <v>Transformation</v>
      </c>
      <c r="C1632" t="str">
        <f>VLOOKUP(A1632,'Table corresp.'!$M$4:$P$63,4,FALSE)</f>
        <v>Production et transformation de produits bois</v>
      </c>
      <c r="D1632" t="s">
        <v>21</v>
      </c>
      <c r="E1632" t="str">
        <f>VLOOKUP(LEFT(D1632,3),'Table corresp.'!$A$4:$D$63,4,FALSE)</f>
        <v>Transformation</v>
      </c>
      <c r="F1632" t="str">
        <f t="shared" si="185"/>
        <v xml:space="preserve">13  - 54 </v>
      </c>
      <c r="G1632" s="238">
        <v>10264.5811921844</v>
      </c>
      <c r="H1632" s="238">
        <v>0</v>
      </c>
      <c r="I1632" s="238">
        <v>10264.5811921845</v>
      </c>
      <c r="J1632" s="238">
        <v>36.162689628117398</v>
      </c>
      <c r="K1632" s="238">
        <v>0</v>
      </c>
      <c r="L1632" s="238">
        <v>36.162689628117398</v>
      </c>
      <c r="M1632" s="238"/>
      <c r="N1632" s="238"/>
      <c r="O1632" s="238"/>
      <c r="P1632" s="238"/>
      <c r="Q1632" s="238"/>
      <c r="R1632" s="238"/>
      <c r="S1632" s="238"/>
      <c r="T1632" s="218">
        <f>VLOOKUP(A1632,'Groupe de branches'!$Z$27:$AM$86,14,FALSE)</f>
        <v>0</v>
      </c>
      <c r="U1632" s="218">
        <f>VLOOKUP(D1632,'Groupe de branches'!$Z$27:$AM$86,14,FALSE)</f>
        <v>0</v>
      </c>
      <c r="V1632" s="218">
        <v>2020</v>
      </c>
      <c r="W1632" s="218" t="str">
        <f>VLOOKUP(D1632,'Table corresp.'!$M$4:$S$63,7,FALSE)</f>
        <v>Construction</v>
      </c>
      <c r="X1632" s="240">
        <f>IFERROR(G1632/SUMIFS('Comp2016-2017 (3)'!$I$5:$I$289,'Comp2016-2017 (3)'!$A$5:$A$289,A1632,'Comp2016-2017 (3)'!$R$5:$R$289,V1632),0)</f>
        <v>2.7935708178801141E-2</v>
      </c>
      <c r="Y1632" s="219" t="e">
        <f>IF(RIGHT(F1632,3)="Exp",VLOOKUP(F1632,#REF!,2,FALSE),VLOOKUP(F1632,#REF!,9,FALSE))</f>
        <v>#REF!</v>
      </c>
      <c r="Z1632" s="226" t="str">
        <f t="shared" si="186"/>
        <v/>
      </c>
      <c r="AA1632" s="226" t="e">
        <f t="shared" si="188"/>
        <v>#VALUE!</v>
      </c>
      <c r="AB1632" s="205">
        <f>IFERROR(SUMIFS('Comp2016-2017 (3)'!$G$5:$G$289,'Comp2016-2017 (3)'!$A$5:$A$289,A1632,'Comp2016-2017 (3)'!$R$5:$R$289,V1632)*AA1632/SUMIFS($AA$4:$AA$1858,$A$4:$A$1858,A1632,$V$4:$V$1858,V1632),0)</f>
        <v>0</v>
      </c>
      <c r="AC1632" s="205" t="str">
        <f>IF($W1632=AC$3,$AB1632,IF(NOT($W1632=0),"",SUMIFS('Val-Vol (2)'!AC$4:AC$1858,'Val-Vol (2)'!$A$4:$A$1858,$D1632,'Val-Vol (2)'!$V$4:$V$1858,$V1632)/SUMIFS('Comp2016-2017 (3)'!$G$5:$G$289,'Comp2016-2017 (3)'!$A$5:$A$289,$D1632,'Comp2016-2017 (3)'!$R$5:$R$289,$V1632)*$AB1632))</f>
        <v/>
      </c>
      <c r="AD1632" s="205">
        <f>IF($W1632=AD$3,$AB1632,IF(NOT($W1632=0),"",SUMIFS('Val-Vol (2)'!AD$4:AD$1858,'Val-Vol (2)'!$A$4:$A$1858,$D1632,'Val-Vol (2)'!$V$4:$V$1858,$V1632)/SUMIFS('Comp2016-2017 (3)'!$G$5:$G$289,'Comp2016-2017 (3)'!$A$5:$A$289,$D1632,'Comp2016-2017 (3)'!$R$5:$R$289,$V1632)*$AB1632))</f>
        <v>0</v>
      </c>
      <c r="AE1632" s="205" t="str">
        <f>IF($W1632=AE$3,$AB1632,IF(NOT($W1632=0),"",SUMIFS('Val-Vol (2)'!AE$4:AE$1858,'Val-Vol (2)'!$A$4:$A$1858,$D1632,'Val-Vol (2)'!$V$4:$V$1858,$V1632)/SUMIFS('Comp2016-2017 (3)'!$G$5:$G$289,'Comp2016-2017 (3)'!$A$5:$A$289,$D1632,'Comp2016-2017 (3)'!$R$5:$R$289,$V1632)*$AB1632))</f>
        <v/>
      </c>
      <c r="AF1632" s="205" t="str">
        <f>IF($W1632=AF$3,$AB1632,IF(NOT($W1632=0),"",SUMIFS('Val-Vol (2)'!AF$4:AF$1858,'Val-Vol (2)'!$A$4:$A$1858,$D1632,'Val-Vol (2)'!$V$4:$V$1858,$V1632)/SUMIFS('Comp2016-2017 (3)'!$G$5:$G$289,'Comp2016-2017 (3)'!$A$5:$A$289,$D1632,'Comp2016-2017 (3)'!$R$5:$R$289,$V1632)*$AB1632))</f>
        <v/>
      </c>
      <c r="AG1632" s="205" t="str">
        <f>IF($W1632=AG$3,$AB1632,IF(NOT($W1632=0),"",SUMIFS('Val-Vol (2)'!AG$4:AG$1858,'Val-Vol (2)'!$A$4:$A$1858,$D1632,'Val-Vol (2)'!$V$4:$V$1858,$V1632)/SUMIFS('Comp2016-2017 (3)'!$G$5:$G$289,'Comp2016-2017 (3)'!$A$5:$A$289,$D1632,'Comp2016-2017 (3)'!$R$5:$R$289,$V1632)*$AB1632))</f>
        <v/>
      </c>
      <c r="AH1632" s="205" t="str">
        <f>IF($W1632=AH$3,$AB1632,IF(NOT($W1632=0),"",SUMIFS('Val-Vol (2)'!AH$4:AH$1858,'Val-Vol (2)'!$A$4:$A$1858,$D1632,'Val-Vol (2)'!$V$4:$V$1858,$V1632)/SUMIFS('Comp2016-2017 (3)'!$G$5:$G$289,'Comp2016-2017 (3)'!$A$5:$A$289,$D1632,'Comp2016-2017 (3)'!$R$5:$R$289,$V1632)*$AB1632))</f>
        <v/>
      </c>
      <c r="AI1632" s="205" t="str">
        <f>IF($W1632=AI$3,$AB1632,IF(NOT($W1632=0),"",SUMIFS('Val-Vol (2)'!AI$4:AI$1858,'Val-Vol (2)'!$A$4:$A$1858,$D1632,'Val-Vol (2)'!$V$4:$V$1858,$V1632)/SUMIFS('Comp2016-2017 (3)'!$G$5:$G$289,'Comp2016-2017 (3)'!$A$5:$A$289,$D1632,'Comp2016-2017 (3)'!$R$5:$R$289,$V1632)*$AB1632))</f>
        <v/>
      </c>
      <c r="AJ1632" s="205" t="str">
        <f>IF($W1632=AJ$3,$AB1632,IF(NOT($W1632=0),"",SUMIFS('Val-Vol (2)'!AJ$4:AJ$1858,'Val-Vol (2)'!$A$4:$A$1858,$D1632,'Val-Vol (2)'!$V$4:$V$1858,$V1632)/SUMIFS('Comp2016-2017 (3)'!$G$5:$G$289,'Comp2016-2017 (3)'!$A$5:$A$289,$D1632,'Comp2016-2017 (3)'!$R$5:$R$289,$V1632)*$AB1632))</f>
        <v/>
      </c>
      <c r="AK1632" s="205">
        <f t="shared" si="187"/>
        <v>0</v>
      </c>
      <c r="AL1632" s="218" t="str">
        <f t="shared" si="189"/>
        <v/>
      </c>
      <c r="AM1632" s="218" t="str">
        <f>VLOOKUP(A1632,'Table corresp.'!$M$4:$U$63,8,FALSE)</f>
        <v>Production intermédiaire</v>
      </c>
      <c r="AN1632" s="218" t="str">
        <f>VLOOKUP(D1632,'Table corresp.'!$M$4:$U$63,9,FALSE)</f>
        <v xml:space="preserve">Mise en œuvre </v>
      </c>
    </row>
    <row r="1633" spans="1:40" x14ac:dyDescent="0.25">
      <c r="A1633" t="s">
        <v>8</v>
      </c>
      <c r="B1633" t="str">
        <f>VLOOKUP(LEFT(A1633,3),'Table corresp.'!$A$4:$D$63,3,FALSE)</f>
        <v>Transformation</v>
      </c>
      <c r="C1633" t="str">
        <f>VLOOKUP(A1633,'Table corresp.'!$M$4:$P$63,4,FALSE)</f>
        <v>Production et transformation de produits bois</v>
      </c>
      <c r="D1633" t="s">
        <v>22</v>
      </c>
      <c r="E1633" t="str">
        <f>VLOOKUP(LEFT(D1633,3),'Table corresp.'!$A$4:$D$63,4,FALSE)</f>
        <v>Transformation</v>
      </c>
      <c r="F1633" t="str">
        <f t="shared" si="185"/>
        <v xml:space="preserve">13  - 55 </v>
      </c>
      <c r="G1633" s="238">
        <v>831.003616400532</v>
      </c>
      <c r="H1633" s="238">
        <v>0</v>
      </c>
      <c r="I1633" s="238">
        <v>831.003616400532</v>
      </c>
      <c r="J1633" s="238">
        <v>2.9276718939704121</v>
      </c>
      <c r="K1633" s="238">
        <v>0</v>
      </c>
      <c r="L1633" s="238">
        <v>2.9276718939704121</v>
      </c>
      <c r="M1633" s="238"/>
      <c r="N1633" s="238"/>
      <c r="O1633" s="238"/>
      <c r="P1633" s="238"/>
      <c r="Q1633" s="238"/>
      <c r="R1633" s="238"/>
      <c r="S1633" s="238"/>
      <c r="T1633" s="218">
        <f>VLOOKUP(A1633,'Groupe de branches'!$Z$27:$AM$86,14,FALSE)</f>
        <v>0</v>
      </c>
      <c r="U1633" s="218">
        <f>VLOOKUP(D1633,'Groupe de branches'!$Z$27:$AM$86,14,FALSE)</f>
        <v>0</v>
      </c>
      <c r="V1633" s="218">
        <v>2020</v>
      </c>
      <c r="W1633" s="218" t="str">
        <f>VLOOKUP(D1633,'Table corresp.'!$M$4:$S$63,7,FALSE)</f>
        <v>Construction</v>
      </c>
      <c r="X1633" s="240">
        <f>IFERROR(G1633/SUMIFS('Comp2016-2017 (3)'!$I$5:$I$289,'Comp2016-2017 (3)'!$A$5:$A$289,A1633,'Comp2016-2017 (3)'!$R$5:$R$289,V1633),0)</f>
        <v>2.2616290025519654E-3</v>
      </c>
      <c r="Y1633" s="219" t="e">
        <f>IF(RIGHT(F1633,3)="Exp",VLOOKUP(F1633,#REF!,2,FALSE),VLOOKUP(F1633,#REF!,9,FALSE))</f>
        <v>#REF!</v>
      </c>
      <c r="Z1633" s="226" t="str">
        <f t="shared" si="186"/>
        <v/>
      </c>
      <c r="AA1633" s="226" t="e">
        <f t="shared" si="188"/>
        <v>#VALUE!</v>
      </c>
      <c r="AB1633" s="205">
        <f>IFERROR(SUMIFS('Comp2016-2017 (3)'!$G$5:$G$289,'Comp2016-2017 (3)'!$A$5:$A$289,A1633,'Comp2016-2017 (3)'!$R$5:$R$289,V1633)*AA1633/SUMIFS($AA$4:$AA$1858,$A$4:$A$1858,A1633,$V$4:$V$1858,V1633),0)</f>
        <v>0</v>
      </c>
      <c r="AC1633" s="205" t="str">
        <f>IF($W1633=AC$3,$AB1633,IF(NOT($W1633=0),"",SUMIFS('Val-Vol (2)'!AC$4:AC$1858,'Val-Vol (2)'!$A$4:$A$1858,$D1633,'Val-Vol (2)'!$V$4:$V$1858,$V1633)/SUMIFS('Comp2016-2017 (3)'!$G$5:$G$289,'Comp2016-2017 (3)'!$A$5:$A$289,$D1633,'Comp2016-2017 (3)'!$R$5:$R$289,$V1633)*$AB1633))</f>
        <v/>
      </c>
      <c r="AD1633" s="205">
        <f>IF($W1633=AD$3,$AB1633,IF(NOT($W1633=0),"",SUMIFS('Val-Vol (2)'!AD$4:AD$1858,'Val-Vol (2)'!$A$4:$A$1858,$D1633,'Val-Vol (2)'!$V$4:$V$1858,$V1633)/SUMIFS('Comp2016-2017 (3)'!$G$5:$G$289,'Comp2016-2017 (3)'!$A$5:$A$289,$D1633,'Comp2016-2017 (3)'!$R$5:$R$289,$V1633)*$AB1633))</f>
        <v>0</v>
      </c>
      <c r="AE1633" s="205" t="str">
        <f>IF($W1633=AE$3,$AB1633,IF(NOT($W1633=0),"",SUMIFS('Val-Vol (2)'!AE$4:AE$1858,'Val-Vol (2)'!$A$4:$A$1858,$D1633,'Val-Vol (2)'!$V$4:$V$1858,$V1633)/SUMIFS('Comp2016-2017 (3)'!$G$5:$G$289,'Comp2016-2017 (3)'!$A$5:$A$289,$D1633,'Comp2016-2017 (3)'!$R$5:$R$289,$V1633)*$AB1633))</f>
        <v/>
      </c>
      <c r="AF1633" s="205" t="str">
        <f>IF($W1633=AF$3,$AB1633,IF(NOT($W1633=0),"",SUMIFS('Val-Vol (2)'!AF$4:AF$1858,'Val-Vol (2)'!$A$4:$A$1858,$D1633,'Val-Vol (2)'!$V$4:$V$1858,$V1633)/SUMIFS('Comp2016-2017 (3)'!$G$5:$G$289,'Comp2016-2017 (3)'!$A$5:$A$289,$D1633,'Comp2016-2017 (3)'!$R$5:$R$289,$V1633)*$AB1633))</f>
        <v/>
      </c>
      <c r="AG1633" s="205" t="str">
        <f>IF($W1633=AG$3,$AB1633,IF(NOT($W1633=0),"",SUMIFS('Val-Vol (2)'!AG$4:AG$1858,'Val-Vol (2)'!$A$4:$A$1858,$D1633,'Val-Vol (2)'!$V$4:$V$1858,$V1633)/SUMIFS('Comp2016-2017 (3)'!$G$5:$G$289,'Comp2016-2017 (3)'!$A$5:$A$289,$D1633,'Comp2016-2017 (3)'!$R$5:$R$289,$V1633)*$AB1633))</f>
        <v/>
      </c>
      <c r="AH1633" s="205" t="str">
        <f>IF($W1633=AH$3,$AB1633,IF(NOT($W1633=0),"",SUMIFS('Val-Vol (2)'!AH$4:AH$1858,'Val-Vol (2)'!$A$4:$A$1858,$D1633,'Val-Vol (2)'!$V$4:$V$1858,$V1633)/SUMIFS('Comp2016-2017 (3)'!$G$5:$G$289,'Comp2016-2017 (3)'!$A$5:$A$289,$D1633,'Comp2016-2017 (3)'!$R$5:$R$289,$V1633)*$AB1633))</f>
        <v/>
      </c>
      <c r="AI1633" s="205" t="str">
        <f>IF($W1633=AI$3,$AB1633,IF(NOT($W1633=0),"",SUMIFS('Val-Vol (2)'!AI$4:AI$1858,'Val-Vol (2)'!$A$4:$A$1858,$D1633,'Val-Vol (2)'!$V$4:$V$1858,$V1633)/SUMIFS('Comp2016-2017 (3)'!$G$5:$G$289,'Comp2016-2017 (3)'!$A$5:$A$289,$D1633,'Comp2016-2017 (3)'!$R$5:$R$289,$V1633)*$AB1633))</f>
        <v/>
      </c>
      <c r="AJ1633" s="205" t="str">
        <f>IF($W1633=AJ$3,$AB1633,IF(NOT($W1633=0),"",SUMIFS('Val-Vol (2)'!AJ$4:AJ$1858,'Val-Vol (2)'!$A$4:$A$1858,$D1633,'Val-Vol (2)'!$V$4:$V$1858,$V1633)/SUMIFS('Comp2016-2017 (3)'!$G$5:$G$289,'Comp2016-2017 (3)'!$A$5:$A$289,$D1633,'Comp2016-2017 (3)'!$R$5:$R$289,$V1633)*$AB1633))</f>
        <v/>
      </c>
      <c r="AK1633" s="205">
        <f t="shared" si="187"/>
        <v>0</v>
      </c>
      <c r="AL1633" s="218" t="str">
        <f t="shared" si="189"/>
        <v/>
      </c>
      <c r="AM1633" s="218" t="str">
        <f>VLOOKUP(A1633,'Table corresp.'!$M$4:$U$63,8,FALSE)</f>
        <v>Production intermédiaire</v>
      </c>
      <c r="AN1633" s="218" t="str">
        <f>VLOOKUP(D1633,'Table corresp.'!$M$4:$U$63,9,FALSE)</f>
        <v xml:space="preserve">Mise en œuvre </v>
      </c>
    </row>
    <row r="1634" spans="1:40" x14ac:dyDescent="0.25">
      <c r="A1634" t="s">
        <v>8</v>
      </c>
      <c r="B1634" t="str">
        <f>VLOOKUP(LEFT(A1634,3),'Table corresp.'!$A$4:$D$63,3,FALSE)</f>
        <v>Transformation</v>
      </c>
      <c r="C1634" t="str">
        <f>VLOOKUP(A1634,'Table corresp.'!$M$4:$P$63,4,FALSE)</f>
        <v>Production et transformation de produits bois</v>
      </c>
      <c r="D1634" t="s">
        <v>24</v>
      </c>
      <c r="E1634" t="str">
        <f>VLOOKUP(LEFT(D1634,3),'Table corresp.'!$A$4:$D$63,4,FALSE)</f>
        <v>Transformation</v>
      </c>
      <c r="F1634" t="str">
        <f t="shared" si="185"/>
        <v xml:space="preserve">13  - 57 </v>
      </c>
      <c r="G1634" s="238">
        <v>22746.4300334203</v>
      </c>
      <c r="H1634" s="238">
        <v>0</v>
      </c>
      <c r="I1634" s="238">
        <v>22746.4300334203</v>
      </c>
      <c r="J1634" s="238">
        <v>182.12940074868698</v>
      </c>
      <c r="K1634" s="238">
        <v>0</v>
      </c>
      <c r="L1634" s="238">
        <v>182.12940074868698</v>
      </c>
      <c r="M1634" s="238"/>
      <c r="N1634" s="238"/>
      <c r="O1634" s="238"/>
      <c r="P1634" s="238"/>
      <c r="Q1634" s="238"/>
      <c r="R1634" s="238"/>
      <c r="S1634" s="238"/>
      <c r="T1634" s="218">
        <f>VLOOKUP(A1634,'Groupe de branches'!$Z$27:$AM$86,14,FALSE)</f>
        <v>0</v>
      </c>
      <c r="U1634" s="218">
        <f>VLOOKUP(D1634,'Groupe de branches'!$Z$27:$AM$86,14,FALSE)</f>
        <v>0</v>
      </c>
      <c r="V1634" s="218">
        <v>2020</v>
      </c>
      <c r="W1634" s="218" t="str">
        <f>VLOOKUP(D1634,'Table corresp.'!$M$4:$S$63,7,FALSE)</f>
        <v>Construction</v>
      </c>
      <c r="X1634" s="240">
        <f>IFERROR(G1634/SUMIFS('Comp2016-2017 (3)'!$I$5:$I$289,'Comp2016-2017 (3)'!$A$5:$A$289,A1634,'Comp2016-2017 (3)'!$R$5:$R$289,V1634),0)</f>
        <v>6.1905850772263245E-2</v>
      </c>
      <c r="Y1634" s="219" t="e">
        <f>IF(RIGHT(F1634,3)="Exp",VLOOKUP(F1634,#REF!,2,FALSE),VLOOKUP(F1634,#REF!,9,FALSE))</f>
        <v>#REF!</v>
      </c>
      <c r="Z1634" s="226" t="str">
        <f t="shared" si="186"/>
        <v/>
      </c>
      <c r="AA1634" s="226" t="e">
        <f t="shared" si="188"/>
        <v>#VALUE!</v>
      </c>
      <c r="AB1634" s="205">
        <f>IFERROR(SUMIFS('Comp2016-2017 (3)'!$G$5:$G$289,'Comp2016-2017 (3)'!$A$5:$A$289,A1634,'Comp2016-2017 (3)'!$R$5:$R$289,V1634)*AA1634/SUMIFS($AA$4:$AA$1858,$A$4:$A$1858,A1634,$V$4:$V$1858,V1634),0)</f>
        <v>0</v>
      </c>
      <c r="AC1634" s="205" t="str">
        <f>IF($W1634=AC$3,$AB1634,IF(NOT($W1634=0),"",SUMIFS('Val-Vol (2)'!AC$4:AC$1858,'Val-Vol (2)'!$A$4:$A$1858,$D1634,'Val-Vol (2)'!$V$4:$V$1858,$V1634)/SUMIFS('Comp2016-2017 (3)'!$G$5:$G$289,'Comp2016-2017 (3)'!$A$5:$A$289,$D1634,'Comp2016-2017 (3)'!$R$5:$R$289,$V1634)*$AB1634))</f>
        <v/>
      </c>
      <c r="AD1634" s="205">
        <f>IF($W1634=AD$3,$AB1634,IF(NOT($W1634=0),"",SUMIFS('Val-Vol (2)'!AD$4:AD$1858,'Val-Vol (2)'!$A$4:$A$1858,$D1634,'Val-Vol (2)'!$V$4:$V$1858,$V1634)/SUMIFS('Comp2016-2017 (3)'!$G$5:$G$289,'Comp2016-2017 (3)'!$A$5:$A$289,$D1634,'Comp2016-2017 (3)'!$R$5:$R$289,$V1634)*$AB1634))</f>
        <v>0</v>
      </c>
      <c r="AE1634" s="205" t="str">
        <f>IF($W1634=AE$3,$AB1634,IF(NOT($W1634=0),"",SUMIFS('Val-Vol (2)'!AE$4:AE$1858,'Val-Vol (2)'!$A$4:$A$1858,$D1634,'Val-Vol (2)'!$V$4:$V$1858,$V1634)/SUMIFS('Comp2016-2017 (3)'!$G$5:$G$289,'Comp2016-2017 (3)'!$A$5:$A$289,$D1634,'Comp2016-2017 (3)'!$R$5:$R$289,$V1634)*$AB1634))</f>
        <v/>
      </c>
      <c r="AF1634" s="205" t="str">
        <f>IF($W1634=AF$3,$AB1634,IF(NOT($W1634=0),"",SUMIFS('Val-Vol (2)'!AF$4:AF$1858,'Val-Vol (2)'!$A$4:$A$1858,$D1634,'Val-Vol (2)'!$V$4:$V$1858,$V1634)/SUMIFS('Comp2016-2017 (3)'!$G$5:$G$289,'Comp2016-2017 (3)'!$A$5:$A$289,$D1634,'Comp2016-2017 (3)'!$R$5:$R$289,$V1634)*$AB1634))</f>
        <v/>
      </c>
      <c r="AG1634" s="205" t="str">
        <f>IF($W1634=AG$3,$AB1634,IF(NOT($W1634=0),"",SUMIFS('Val-Vol (2)'!AG$4:AG$1858,'Val-Vol (2)'!$A$4:$A$1858,$D1634,'Val-Vol (2)'!$V$4:$V$1858,$V1634)/SUMIFS('Comp2016-2017 (3)'!$G$5:$G$289,'Comp2016-2017 (3)'!$A$5:$A$289,$D1634,'Comp2016-2017 (3)'!$R$5:$R$289,$V1634)*$AB1634))</f>
        <v/>
      </c>
      <c r="AH1634" s="205" t="str">
        <f>IF($W1634=AH$3,$AB1634,IF(NOT($W1634=0),"",SUMIFS('Val-Vol (2)'!AH$4:AH$1858,'Val-Vol (2)'!$A$4:$A$1858,$D1634,'Val-Vol (2)'!$V$4:$V$1858,$V1634)/SUMIFS('Comp2016-2017 (3)'!$G$5:$G$289,'Comp2016-2017 (3)'!$A$5:$A$289,$D1634,'Comp2016-2017 (3)'!$R$5:$R$289,$V1634)*$AB1634))</f>
        <v/>
      </c>
      <c r="AI1634" s="205" t="str">
        <f>IF($W1634=AI$3,$AB1634,IF(NOT($W1634=0),"",SUMIFS('Val-Vol (2)'!AI$4:AI$1858,'Val-Vol (2)'!$A$4:$A$1858,$D1634,'Val-Vol (2)'!$V$4:$V$1858,$V1634)/SUMIFS('Comp2016-2017 (3)'!$G$5:$G$289,'Comp2016-2017 (3)'!$A$5:$A$289,$D1634,'Comp2016-2017 (3)'!$R$5:$R$289,$V1634)*$AB1634))</f>
        <v/>
      </c>
      <c r="AJ1634" s="205" t="str">
        <f>IF($W1634=AJ$3,$AB1634,IF(NOT($W1634=0),"",SUMIFS('Val-Vol (2)'!AJ$4:AJ$1858,'Val-Vol (2)'!$A$4:$A$1858,$D1634,'Val-Vol (2)'!$V$4:$V$1858,$V1634)/SUMIFS('Comp2016-2017 (3)'!$G$5:$G$289,'Comp2016-2017 (3)'!$A$5:$A$289,$D1634,'Comp2016-2017 (3)'!$R$5:$R$289,$V1634)*$AB1634))</f>
        <v/>
      </c>
      <c r="AK1634" s="205">
        <f t="shared" si="187"/>
        <v>0</v>
      </c>
      <c r="AL1634" s="218" t="str">
        <f t="shared" si="189"/>
        <v/>
      </c>
      <c r="AM1634" s="218" t="str">
        <f>VLOOKUP(A1634,'Table corresp.'!$M$4:$U$63,8,FALSE)</f>
        <v>Production intermédiaire</v>
      </c>
      <c r="AN1634" s="218" t="str">
        <f>VLOOKUP(D1634,'Table corresp.'!$M$4:$U$63,9,FALSE)</f>
        <v xml:space="preserve">Mise en œuvre </v>
      </c>
    </row>
    <row r="1635" spans="1:40" x14ac:dyDescent="0.25">
      <c r="A1635" t="s">
        <v>8</v>
      </c>
      <c r="B1635" t="str">
        <f>VLOOKUP(LEFT(A1635,3),'Table corresp.'!$A$4:$D$63,3,FALSE)</f>
        <v>Transformation</v>
      </c>
      <c r="C1635" t="str">
        <f>VLOOKUP(A1635,'Table corresp.'!$M$4:$P$63,4,FALSE)</f>
        <v>Production et transformation de produits bois</v>
      </c>
      <c r="D1635" t="s">
        <v>26</v>
      </c>
      <c r="E1635" t="str">
        <f>VLOOKUP(LEFT(D1635,3),'Table corresp.'!$A$4:$D$63,4,FALSE)</f>
        <v>Transformation</v>
      </c>
      <c r="F1635" t="str">
        <f t="shared" si="185"/>
        <v xml:space="preserve">13  - 59 </v>
      </c>
      <c r="G1635" s="238">
        <v>3220.6816577463801</v>
      </c>
      <c r="H1635" s="238">
        <v>0</v>
      </c>
      <c r="I1635" s="238">
        <v>3220.6816577463801</v>
      </c>
      <c r="J1635" s="238">
        <v>31.518445429916756</v>
      </c>
      <c r="K1635" s="238">
        <v>0</v>
      </c>
      <c r="L1635" s="238">
        <v>31.518445429916756</v>
      </c>
      <c r="M1635" s="238"/>
      <c r="N1635" s="238"/>
      <c r="O1635" s="238"/>
      <c r="P1635" s="238"/>
      <c r="Q1635" s="238"/>
      <c r="R1635" s="238"/>
      <c r="S1635" s="238"/>
      <c r="T1635" s="218">
        <f>VLOOKUP(A1635,'Groupe de branches'!$Z$27:$AM$86,14,FALSE)</f>
        <v>0</v>
      </c>
      <c r="U1635" s="218">
        <f>VLOOKUP(D1635,'Groupe de branches'!$Z$27:$AM$86,14,FALSE)</f>
        <v>0</v>
      </c>
      <c r="V1635" s="218">
        <v>2020</v>
      </c>
      <c r="W1635" s="218" t="str">
        <f>VLOOKUP(D1635,'Table corresp.'!$M$4:$S$63,7,FALSE)</f>
        <v>Construction</v>
      </c>
      <c r="X1635" s="240">
        <f>IFERROR(G1635/SUMIFS('Comp2016-2017 (3)'!$I$5:$I$289,'Comp2016-2017 (3)'!$A$5:$A$289,A1635,'Comp2016-2017 (3)'!$R$5:$R$289,V1635),0)</f>
        <v>8.7652892254509486E-3</v>
      </c>
      <c r="Y1635" s="219" t="e">
        <f>IF(RIGHT(F1635,3)="Exp",VLOOKUP(F1635,#REF!,2,FALSE),VLOOKUP(F1635,#REF!,9,FALSE))</f>
        <v>#REF!</v>
      </c>
      <c r="Z1635" s="226" t="str">
        <f t="shared" si="186"/>
        <v/>
      </c>
      <c r="AA1635" s="226" t="e">
        <f t="shared" si="188"/>
        <v>#VALUE!</v>
      </c>
      <c r="AB1635" s="205">
        <f>IFERROR(SUMIFS('Comp2016-2017 (3)'!$G$5:$G$289,'Comp2016-2017 (3)'!$A$5:$A$289,A1635,'Comp2016-2017 (3)'!$R$5:$R$289,V1635)*AA1635/SUMIFS($AA$4:$AA$1858,$A$4:$A$1858,A1635,$V$4:$V$1858,V1635),0)</f>
        <v>0</v>
      </c>
      <c r="AC1635" s="205" t="str">
        <f>IF($W1635=AC$3,$AB1635,IF(NOT($W1635=0),"",SUMIFS('Val-Vol (2)'!AC$4:AC$1858,'Val-Vol (2)'!$A$4:$A$1858,$D1635,'Val-Vol (2)'!$V$4:$V$1858,$V1635)/SUMIFS('Comp2016-2017 (3)'!$G$5:$G$289,'Comp2016-2017 (3)'!$A$5:$A$289,$D1635,'Comp2016-2017 (3)'!$R$5:$R$289,$V1635)*$AB1635))</f>
        <v/>
      </c>
      <c r="AD1635" s="205">
        <f>IF($W1635=AD$3,$AB1635,IF(NOT($W1635=0),"",SUMIFS('Val-Vol (2)'!AD$4:AD$1858,'Val-Vol (2)'!$A$4:$A$1858,$D1635,'Val-Vol (2)'!$V$4:$V$1858,$V1635)/SUMIFS('Comp2016-2017 (3)'!$G$5:$G$289,'Comp2016-2017 (3)'!$A$5:$A$289,$D1635,'Comp2016-2017 (3)'!$R$5:$R$289,$V1635)*$AB1635))</f>
        <v>0</v>
      </c>
      <c r="AE1635" s="205" t="str">
        <f>IF($W1635=AE$3,$AB1635,IF(NOT($W1635=0),"",SUMIFS('Val-Vol (2)'!AE$4:AE$1858,'Val-Vol (2)'!$A$4:$A$1858,$D1635,'Val-Vol (2)'!$V$4:$V$1858,$V1635)/SUMIFS('Comp2016-2017 (3)'!$G$5:$G$289,'Comp2016-2017 (3)'!$A$5:$A$289,$D1635,'Comp2016-2017 (3)'!$R$5:$R$289,$V1635)*$AB1635))</f>
        <v/>
      </c>
      <c r="AF1635" s="205" t="str">
        <f>IF($W1635=AF$3,$AB1635,IF(NOT($W1635=0),"",SUMIFS('Val-Vol (2)'!AF$4:AF$1858,'Val-Vol (2)'!$A$4:$A$1858,$D1635,'Val-Vol (2)'!$V$4:$V$1858,$V1635)/SUMIFS('Comp2016-2017 (3)'!$G$5:$G$289,'Comp2016-2017 (3)'!$A$5:$A$289,$D1635,'Comp2016-2017 (3)'!$R$5:$R$289,$V1635)*$AB1635))</f>
        <v/>
      </c>
      <c r="AG1635" s="205" t="str">
        <f>IF($W1635=AG$3,$AB1635,IF(NOT($W1635=0),"",SUMIFS('Val-Vol (2)'!AG$4:AG$1858,'Val-Vol (2)'!$A$4:$A$1858,$D1635,'Val-Vol (2)'!$V$4:$V$1858,$V1635)/SUMIFS('Comp2016-2017 (3)'!$G$5:$G$289,'Comp2016-2017 (3)'!$A$5:$A$289,$D1635,'Comp2016-2017 (3)'!$R$5:$R$289,$V1635)*$AB1635))</f>
        <v/>
      </c>
      <c r="AH1635" s="205" t="str">
        <f>IF($W1635=AH$3,$AB1635,IF(NOT($W1635=0),"",SUMIFS('Val-Vol (2)'!AH$4:AH$1858,'Val-Vol (2)'!$A$4:$A$1858,$D1635,'Val-Vol (2)'!$V$4:$V$1858,$V1635)/SUMIFS('Comp2016-2017 (3)'!$G$5:$G$289,'Comp2016-2017 (3)'!$A$5:$A$289,$D1635,'Comp2016-2017 (3)'!$R$5:$R$289,$V1635)*$AB1635))</f>
        <v/>
      </c>
      <c r="AI1635" s="205" t="str">
        <f>IF($W1635=AI$3,$AB1635,IF(NOT($W1635=0),"",SUMIFS('Val-Vol (2)'!AI$4:AI$1858,'Val-Vol (2)'!$A$4:$A$1858,$D1635,'Val-Vol (2)'!$V$4:$V$1858,$V1635)/SUMIFS('Comp2016-2017 (3)'!$G$5:$G$289,'Comp2016-2017 (3)'!$A$5:$A$289,$D1635,'Comp2016-2017 (3)'!$R$5:$R$289,$V1635)*$AB1635))</f>
        <v/>
      </c>
      <c r="AJ1635" s="205" t="str">
        <f>IF($W1635=AJ$3,$AB1635,IF(NOT($W1635=0),"",SUMIFS('Val-Vol (2)'!AJ$4:AJ$1858,'Val-Vol (2)'!$A$4:$A$1858,$D1635,'Val-Vol (2)'!$V$4:$V$1858,$V1635)/SUMIFS('Comp2016-2017 (3)'!$G$5:$G$289,'Comp2016-2017 (3)'!$A$5:$A$289,$D1635,'Comp2016-2017 (3)'!$R$5:$R$289,$V1635)*$AB1635))</f>
        <v/>
      </c>
      <c r="AK1635" s="205">
        <f t="shared" si="187"/>
        <v>0</v>
      </c>
      <c r="AL1635" s="218" t="str">
        <f t="shared" si="189"/>
        <v/>
      </c>
      <c r="AM1635" s="218" t="str">
        <f>VLOOKUP(A1635,'Table corresp.'!$M$4:$U$63,8,FALSE)</f>
        <v>Production intermédiaire</v>
      </c>
      <c r="AN1635" s="218" t="str">
        <f>VLOOKUP(D1635,'Table corresp.'!$M$4:$U$63,9,FALSE)</f>
        <v xml:space="preserve">Mise en œuvre </v>
      </c>
    </row>
    <row r="1636" spans="1:40" x14ac:dyDescent="0.25">
      <c r="A1636" t="s">
        <v>8</v>
      </c>
      <c r="B1636" t="str">
        <f>VLOOKUP(LEFT(A1636,3),'Table corresp.'!$A$4:$D$63,3,FALSE)</f>
        <v>Transformation</v>
      </c>
      <c r="C1636" t="str">
        <f>VLOOKUP(A1636,'Table corresp.'!$M$4:$P$63,4,FALSE)</f>
        <v>Production et transformation de produits bois</v>
      </c>
      <c r="D1636" t="s">
        <v>54</v>
      </c>
      <c r="E1636" t="str">
        <f>VLOOKUP(LEFT(D1636,3),'Table corresp.'!$A$4:$D$63,4,FALSE)</f>
        <v>Consommation finale</v>
      </c>
      <c r="F1636" t="str">
        <f t="shared" si="185"/>
        <v>13  - Con</v>
      </c>
      <c r="G1636" s="238">
        <v>124920.26909438201</v>
      </c>
      <c r="H1636" s="238">
        <v>0</v>
      </c>
      <c r="I1636" s="238">
        <v>124920.26909438201</v>
      </c>
      <c r="J1636" s="238">
        <v>951.07762452755367</v>
      </c>
      <c r="K1636" s="238">
        <v>0</v>
      </c>
      <c r="L1636" s="238">
        <v>951.07762452755367</v>
      </c>
      <c r="M1636" s="238"/>
      <c r="N1636" s="238"/>
      <c r="O1636" s="238"/>
      <c r="P1636" s="238"/>
      <c r="Q1636" s="238"/>
      <c r="R1636" s="238"/>
      <c r="S1636" s="238"/>
      <c r="T1636" s="218">
        <f>VLOOKUP(A1636,'Groupe de branches'!$Z$27:$AM$86,14,FALSE)</f>
        <v>0</v>
      </c>
      <c r="U1636" s="218">
        <f>VLOOKUP(D1636,'Groupe de branches'!$Z$27:$AM$86,14,FALSE)</f>
        <v>0</v>
      </c>
      <c r="V1636" s="218">
        <v>2020</v>
      </c>
      <c r="W1636" s="218" t="str">
        <f>VLOOKUP(D1636,'Table corresp.'!$M$4:$S$63,7,FALSE)</f>
        <v>Consommation finale</v>
      </c>
      <c r="X1636" s="240">
        <f>IFERROR(G1636/SUMIFS('Comp2016-2017 (3)'!$I$5:$I$289,'Comp2016-2017 (3)'!$A$5:$A$289,A1636,'Comp2016-2017 (3)'!$R$5:$R$289,V1636),0)</f>
        <v>0.33997842851056626</v>
      </c>
      <c r="Y1636" s="219" t="e">
        <f>IF(RIGHT(F1636,3)="Exp",VLOOKUP(F1636,#REF!,2,FALSE),VLOOKUP(F1636,#REF!,9,FALSE))</f>
        <v>#REF!</v>
      </c>
      <c r="Z1636" s="226" t="str">
        <f t="shared" si="186"/>
        <v/>
      </c>
      <c r="AA1636" s="226" t="e">
        <f t="shared" si="188"/>
        <v>#VALUE!</v>
      </c>
      <c r="AB1636" s="205">
        <f>IFERROR(SUMIFS('Comp2016-2017 (3)'!$G$5:$G$289,'Comp2016-2017 (3)'!$A$5:$A$289,A1636,'Comp2016-2017 (3)'!$R$5:$R$289,V1636)*AA1636/SUMIFS($AA$4:$AA$1858,$A$4:$A$1858,A1636,$V$4:$V$1858,V1636),0)</f>
        <v>0</v>
      </c>
      <c r="AC1636" s="205" t="str">
        <f>IF($W1636=AC$3,$AB1636,IF(NOT($W1636=0),"",SUMIFS('Val-Vol (2)'!AC$4:AC$1858,'Val-Vol (2)'!$A$4:$A$1858,$D1636,'Val-Vol (2)'!$V$4:$V$1858,$V1636)/SUMIFS('Comp2016-2017 (3)'!$G$5:$G$289,'Comp2016-2017 (3)'!$A$5:$A$289,$D1636,'Comp2016-2017 (3)'!$R$5:$R$289,$V1636)*$AB1636))</f>
        <v/>
      </c>
      <c r="AD1636" s="205" t="str">
        <f>IF($W1636=AD$3,$AB1636,IF(NOT($W1636=0),"",SUMIFS('Val-Vol (2)'!AD$4:AD$1858,'Val-Vol (2)'!$A$4:$A$1858,$D1636,'Val-Vol (2)'!$V$4:$V$1858,$V1636)/SUMIFS('Comp2016-2017 (3)'!$G$5:$G$289,'Comp2016-2017 (3)'!$A$5:$A$289,$D1636,'Comp2016-2017 (3)'!$R$5:$R$289,$V1636)*$AB1636))</f>
        <v/>
      </c>
      <c r="AE1636" s="205" t="str">
        <f>IF($W1636=AE$3,$AB1636,IF(NOT($W1636=0),"",SUMIFS('Val-Vol (2)'!AE$4:AE$1858,'Val-Vol (2)'!$A$4:$A$1858,$D1636,'Val-Vol (2)'!$V$4:$V$1858,$V1636)/SUMIFS('Comp2016-2017 (3)'!$G$5:$G$289,'Comp2016-2017 (3)'!$A$5:$A$289,$D1636,'Comp2016-2017 (3)'!$R$5:$R$289,$V1636)*$AB1636))</f>
        <v/>
      </c>
      <c r="AF1636" s="205" t="str">
        <f>IF($W1636=AF$3,$AB1636,IF(NOT($W1636=0),"",SUMIFS('Val-Vol (2)'!AF$4:AF$1858,'Val-Vol (2)'!$A$4:$A$1858,$D1636,'Val-Vol (2)'!$V$4:$V$1858,$V1636)/SUMIFS('Comp2016-2017 (3)'!$G$5:$G$289,'Comp2016-2017 (3)'!$A$5:$A$289,$D1636,'Comp2016-2017 (3)'!$R$5:$R$289,$V1636)*$AB1636))</f>
        <v/>
      </c>
      <c r="AG1636" s="205" t="str">
        <f>IF($W1636=AG$3,$AB1636,IF(NOT($W1636=0),"",SUMIFS('Val-Vol (2)'!AG$4:AG$1858,'Val-Vol (2)'!$A$4:$A$1858,$D1636,'Val-Vol (2)'!$V$4:$V$1858,$V1636)/SUMIFS('Comp2016-2017 (3)'!$G$5:$G$289,'Comp2016-2017 (3)'!$A$5:$A$289,$D1636,'Comp2016-2017 (3)'!$R$5:$R$289,$V1636)*$AB1636))</f>
        <v/>
      </c>
      <c r="AH1636" s="205" t="str">
        <f>IF($W1636=AH$3,$AB1636,IF(NOT($W1636=0),"",SUMIFS('Val-Vol (2)'!AH$4:AH$1858,'Val-Vol (2)'!$A$4:$A$1858,$D1636,'Val-Vol (2)'!$V$4:$V$1858,$V1636)/SUMIFS('Comp2016-2017 (3)'!$G$5:$G$289,'Comp2016-2017 (3)'!$A$5:$A$289,$D1636,'Comp2016-2017 (3)'!$R$5:$R$289,$V1636)*$AB1636))</f>
        <v/>
      </c>
      <c r="AI1636" s="205" t="str">
        <f>IF($W1636=AI$3,$AB1636,IF(NOT($W1636=0),"",SUMIFS('Val-Vol (2)'!AI$4:AI$1858,'Val-Vol (2)'!$A$4:$A$1858,$D1636,'Val-Vol (2)'!$V$4:$V$1858,$V1636)/SUMIFS('Comp2016-2017 (3)'!$G$5:$G$289,'Comp2016-2017 (3)'!$A$5:$A$289,$D1636,'Comp2016-2017 (3)'!$R$5:$R$289,$V1636)*$AB1636))</f>
        <v/>
      </c>
      <c r="AJ1636" s="205">
        <f>IF($W1636=AJ$3,$AB1636,IF(NOT($W1636=0),"",SUMIFS('Val-Vol (2)'!AJ$4:AJ$1858,'Val-Vol (2)'!$A$4:$A$1858,$D1636,'Val-Vol (2)'!$V$4:$V$1858,$V1636)/SUMIFS('Comp2016-2017 (3)'!$G$5:$G$289,'Comp2016-2017 (3)'!$A$5:$A$289,$D1636,'Comp2016-2017 (3)'!$R$5:$R$289,$V1636)*$AB1636))</f>
        <v>0</v>
      </c>
      <c r="AK1636" s="205">
        <f t="shared" si="187"/>
        <v>0</v>
      </c>
      <c r="AL1636" s="218" t="str">
        <f t="shared" si="189"/>
        <v/>
      </c>
      <c r="AM1636" s="218" t="str">
        <f>VLOOKUP(A1636,'Table corresp.'!$M$4:$U$63,8,FALSE)</f>
        <v>Production intermédiaire</v>
      </c>
      <c r="AN1636" s="218" t="str">
        <f>VLOOKUP(D1636,'Table corresp.'!$M$4:$U$63,9,FALSE)</f>
        <v>Consommation finale française</v>
      </c>
    </row>
    <row r="1637" spans="1:40" x14ac:dyDescent="0.25">
      <c r="A1637" t="s">
        <v>8</v>
      </c>
      <c r="B1637" t="str">
        <f>VLOOKUP(LEFT(A1637,3),'Table corresp.'!$A$4:$D$63,3,FALSE)</f>
        <v>Transformation</v>
      </c>
      <c r="C1637" t="str">
        <f>VLOOKUP(A1637,'Table corresp.'!$M$4:$P$63,4,FALSE)</f>
        <v>Production et transformation de produits bois</v>
      </c>
      <c r="D1637" t="s">
        <v>53</v>
      </c>
      <c r="E1637" t="str">
        <f>VLOOKUP(LEFT(D1637,3),'Table corresp.'!$A$4:$D$63,4,FALSE)</f>
        <v>Exportation</v>
      </c>
      <c r="F1637" t="str">
        <f t="shared" si="185"/>
        <v>13  - Exp</v>
      </c>
      <c r="G1637" s="238"/>
      <c r="H1637" s="238"/>
      <c r="I1637" s="238"/>
      <c r="J1637" s="238"/>
      <c r="K1637" s="238"/>
      <c r="L1637" s="238"/>
      <c r="M1637" s="238"/>
      <c r="N1637" s="238"/>
      <c r="O1637" s="238"/>
      <c r="P1637" s="238"/>
      <c r="Q1637" s="238"/>
      <c r="R1637" s="238"/>
      <c r="S1637" s="238"/>
      <c r="T1637" s="218">
        <f>VLOOKUP(A1637,'Groupe de branches'!$Z$27:$AM$86,14,FALSE)</f>
        <v>0</v>
      </c>
      <c r="U1637" s="218">
        <f>VLOOKUP(D1637,'Groupe de branches'!$Z$27:$AM$86,14,FALSE)</f>
        <v>0</v>
      </c>
      <c r="V1637" s="218">
        <v>2020</v>
      </c>
      <c r="W1637" s="218" t="str">
        <f>VLOOKUP(D1637,'Table corresp.'!$M$4:$S$63,7,FALSE)</f>
        <v>Exportation</v>
      </c>
      <c r="X1637" s="240">
        <f>IFERROR(G1637/SUMIFS('Comp2016-2017 (3)'!$I$5:$I$289,'Comp2016-2017 (3)'!$A$5:$A$289,A1637,'Comp2016-2017 (3)'!$R$5:$R$289,V1637),0)</f>
        <v>0</v>
      </c>
      <c r="Y1637" s="219" t="e">
        <f>IF(RIGHT(F1637,3)="Exp",VLOOKUP(F1637,#REF!,2,FALSE),VLOOKUP(F1637,#REF!,9,FALSE))</f>
        <v>#REF!</v>
      </c>
      <c r="Z1637" s="226" t="str">
        <f t="shared" si="186"/>
        <v/>
      </c>
      <c r="AA1637" s="226" t="e">
        <f t="shared" si="188"/>
        <v>#VALUE!</v>
      </c>
      <c r="AB1637" s="205">
        <f>IFERROR(SUMIFS('Comp2016-2017 (3)'!$G$5:$G$289,'Comp2016-2017 (3)'!$A$5:$A$289,A1637,'Comp2016-2017 (3)'!$R$5:$R$289,V1637)*AA1637/SUMIFS($AA$4:$AA$1858,$A$4:$A$1858,A1637,$V$4:$V$1858,V1637),0)</f>
        <v>0</v>
      </c>
      <c r="AC1637" s="205">
        <f>IF($W1637=AC$3,$AB1637,IF(NOT($W1637=0),"",SUMIFS('Val-Vol (2)'!AC$4:AC$1858,'Val-Vol (2)'!$A$4:$A$1858,$D1637,'Val-Vol (2)'!$V$4:$V$1858,$V1637)/SUMIFS('Comp2016-2017 (3)'!$G$5:$G$289,'Comp2016-2017 (3)'!$A$5:$A$289,$D1637,'Comp2016-2017 (3)'!$R$5:$R$289,$V1637)*$AB1637))</f>
        <v>0</v>
      </c>
      <c r="AD1637" s="205" t="str">
        <f>IF($W1637=AD$3,$AB1637,IF(NOT($W1637=0),"",SUMIFS('Val-Vol (2)'!AD$4:AD$1858,'Val-Vol (2)'!$A$4:$A$1858,$D1637,'Val-Vol (2)'!$V$4:$V$1858,$V1637)/SUMIFS('Comp2016-2017 (3)'!$G$5:$G$289,'Comp2016-2017 (3)'!$A$5:$A$289,$D1637,'Comp2016-2017 (3)'!$R$5:$R$289,$V1637)*$AB1637))</f>
        <v/>
      </c>
      <c r="AE1637" s="205" t="str">
        <f>IF($W1637=AE$3,$AB1637,IF(NOT($W1637=0),"",SUMIFS('Val-Vol (2)'!AE$4:AE$1858,'Val-Vol (2)'!$A$4:$A$1858,$D1637,'Val-Vol (2)'!$V$4:$V$1858,$V1637)/SUMIFS('Comp2016-2017 (3)'!$G$5:$G$289,'Comp2016-2017 (3)'!$A$5:$A$289,$D1637,'Comp2016-2017 (3)'!$R$5:$R$289,$V1637)*$AB1637))</f>
        <v/>
      </c>
      <c r="AF1637" s="205" t="str">
        <f>IF($W1637=AF$3,$AB1637,IF(NOT($W1637=0),"",SUMIFS('Val-Vol (2)'!AF$4:AF$1858,'Val-Vol (2)'!$A$4:$A$1858,$D1637,'Val-Vol (2)'!$V$4:$V$1858,$V1637)/SUMIFS('Comp2016-2017 (3)'!$G$5:$G$289,'Comp2016-2017 (3)'!$A$5:$A$289,$D1637,'Comp2016-2017 (3)'!$R$5:$R$289,$V1637)*$AB1637))</f>
        <v/>
      </c>
      <c r="AG1637" s="205" t="str">
        <f>IF($W1637=AG$3,$AB1637,IF(NOT($W1637=0),"",SUMIFS('Val-Vol (2)'!AG$4:AG$1858,'Val-Vol (2)'!$A$4:$A$1858,$D1637,'Val-Vol (2)'!$V$4:$V$1858,$V1637)/SUMIFS('Comp2016-2017 (3)'!$G$5:$G$289,'Comp2016-2017 (3)'!$A$5:$A$289,$D1637,'Comp2016-2017 (3)'!$R$5:$R$289,$V1637)*$AB1637))</f>
        <v/>
      </c>
      <c r="AH1637" s="205" t="str">
        <f>IF($W1637=AH$3,$AB1637,IF(NOT($W1637=0),"",SUMIFS('Val-Vol (2)'!AH$4:AH$1858,'Val-Vol (2)'!$A$4:$A$1858,$D1637,'Val-Vol (2)'!$V$4:$V$1858,$V1637)/SUMIFS('Comp2016-2017 (3)'!$G$5:$G$289,'Comp2016-2017 (3)'!$A$5:$A$289,$D1637,'Comp2016-2017 (3)'!$R$5:$R$289,$V1637)*$AB1637))</f>
        <v/>
      </c>
      <c r="AI1637" s="205" t="str">
        <f>IF($W1637=AI$3,$AB1637,IF(NOT($W1637=0),"",SUMIFS('Val-Vol (2)'!AI$4:AI$1858,'Val-Vol (2)'!$A$4:$A$1858,$D1637,'Val-Vol (2)'!$V$4:$V$1858,$V1637)/SUMIFS('Comp2016-2017 (3)'!$G$5:$G$289,'Comp2016-2017 (3)'!$A$5:$A$289,$D1637,'Comp2016-2017 (3)'!$R$5:$R$289,$V1637)*$AB1637))</f>
        <v/>
      </c>
      <c r="AJ1637" s="205" t="str">
        <f>IF($W1637=AJ$3,$AB1637,IF(NOT($W1637=0),"",SUMIFS('Val-Vol (2)'!AJ$4:AJ$1858,'Val-Vol (2)'!$A$4:$A$1858,$D1637,'Val-Vol (2)'!$V$4:$V$1858,$V1637)/SUMIFS('Comp2016-2017 (3)'!$G$5:$G$289,'Comp2016-2017 (3)'!$A$5:$A$289,$D1637,'Comp2016-2017 (3)'!$R$5:$R$289,$V1637)*$AB1637))</f>
        <v/>
      </c>
      <c r="AK1637" s="205">
        <f t="shared" si="187"/>
        <v>0</v>
      </c>
      <c r="AL1637" s="218" t="str">
        <f t="shared" si="189"/>
        <v/>
      </c>
      <c r="AM1637" s="218" t="str">
        <f>VLOOKUP(A1637,'Table corresp.'!$M$4:$U$63,8,FALSE)</f>
        <v>Production intermédiaire</v>
      </c>
      <c r="AN1637" s="218" t="str">
        <f>VLOOKUP(D1637,'Table corresp.'!$M$4:$U$63,9,FALSE)</f>
        <v>Exportation</v>
      </c>
    </row>
    <row r="1638" spans="1:40" x14ac:dyDescent="0.25">
      <c r="A1638" t="s">
        <v>83</v>
      </c>
      <c r="B1638" t="str">
        <f>VLOOKUP(LEFT(A1638,3),'Table corresp.'!$A$4:$D$63,3,FALSE)</f>
        <v>Transformation</v>
      </c>
      <c r="C1638" t="str">
        <f>VLOOKUP(A1638,'Table corresp.'!$M$4:$P$63,4,FALSE)</f>
        <v>Production et transformation de produits bois</v>
      </c>
      <c r="D1638" t="s">
        <v>13</v>
      </c>
      <c r="E1638" t="str">
        <f>VLOOKUP(LEFT(D1638,3),'Table corresp.'!$A$4:$D$63,4,FALSE)</f>
        <v>Transformation</v>
      </c>
      <c r="F1638" t="str">
        <f t="shared" si="185"/>
        <v xml:space="preserve">14  - 20 </v>
      </c>
      <c r="G1638" s="238">
        <v>0.247832008996798</v>
      </c>
      <c r="H1638" s="238">
        <v>44187.433336571601</v>
      </c>
      <c r="I1638" s="238">
        <v>44187.6787553553</v>
      </c>
      <c r="J1638" s="238">
        <v>1.9710472469234423E-3</v>
      </c>
      <c r="K1638" s="238">
        <v>143.77950578594761</v>
      </c>
      <c r="L1638" s="238">
        <v>143.78147683319452</v>
      </c>
      <c r="M1638" s="238"/>
      <c r="N1638" s="238"/>
      <c r="O1638" s="238"/>
      <c r="P1638" s="238"/>
      <c r="Q1638" s="238"/>
      <c r="R1638" s="238"/>
      <c r="S1638" s="238"/>
      <c r="T1638" s="218">
        <f>VLOOKUP(A1638,'Groupe de branches'!$Z$27:$AM$86,14,FALSE)</f>
        <v>0</v>
      </c>
      <c r="U1638" s="218">
        <f>VLOOKUP(D1638,'Groupe de branches'!$Z$27:$AM$86,14,FALSE)</f>
        <v>0</v>
      </c>
      <c r="V1638" s="218">
        <v>2020</v>
      </c>
      <c r="W1638" s="218">
        <f>VLOOKUP(D1638,'Table corresp.'!$M$4:$S$63,7,FALSE)</f>
        <v>0</v>
      </c>
      <c r="X1638" s="240">
        <f>IFERROR(G1638/SUMIFS('Comp2016-2017 (3)'!$I$5:$I$289,'Comp2016-2017 (3)'!$A$5:$A$289,A1638,'Comp2016-2017 (3)'!$R$5:$R$289,V1638),0)</f>
        <v>2.3711614688175878E-6</v>
      </c>
      <c r="Y1638" s="219" t="e">
        <f>IF(RIGHT(F1638,3)="Exp",VLOOKUP(F1638,#REF!,2,FALSE),VLOOKUP(F1638,#REF!,9,FALSE))</f>
        <v>#REF!</v>
      </c>
      <c r="Z1638" s="226" t="str">
        <f t="shared" si="186"/>
        <v/>
      </c>
      <c r="AA1638" s="226" t="e">
        <f t="shared" si="188"/>
        <v>#VALUE!</v>
      </c>
      <c r="AB1638" s="205">
        <f>IFERROR(SUMIFS('Comp2016-2017 (3)'!$G$5:$G$289,'Comp2016-2017 (3)'!$A$5:$A$289,A1638,'Comp2016-2017 (3)'!$R$5:$R$289,V1638)*AA1638/SUMIFS($AA$4:$AA$1858,$A$4:$A$1858,A1638,$V$4:$V$1858,V1638),0)</f>
        <v>0</v>
      </c>
      <c r="AC1638" s="205">
        <f>IF($W1638=AC$3,$AB1638,IF(NOT($W1638=0),"",SUMIFS('Val-Vol (2)'!AC$4:AC$1858,'Val-Vol (2)'!$A$4:$A$1858,$D1638,'Val-Vol (2)'!$V$4:$V$1858,$V1638)/SUMIFS('Comp2016-2017 (3)'!$G$5:$G$289,'Comp2016-2017 (3)'!$A$5:$A$289,$D1638,'Comp2016-2017 (3)'!$R$5:$R$289,$V1638)*$AB1638))</f>
        <v>0</v>
      </c>
      <c r="AD1638" s="205">
        <f>IF($W1638=AD$3,$AB1638,IF(NOT($W1638=0),"",SUMIFS('Val-Vol (2)'!AD$4:AD$1858,'Val-Vol (2)'!$A$4:$A$1858,$D1638,'Val-Vol (2)'!$V$4:$V$1858,$V1638)/SUMIFS('Comp2016-2017 (3)'!$G$5:$G$289,'Comp2016-2017 (3)'!$A$5:$A$289,$D1638,'Comp2016-2017 (3)'!$R$5:$R$289,$V1638)*$AB1638))</f>
        <v>0</v>
      </c>
      <c r="AE1638" s="205">
        <f>IF($W1638=AE$3,$AB1638,IF(NOT($W1638=0),"",SUMIFS('Val-Vol (2)'!AE$4:AE$1858,'Val-Vol (2)'!$A$4:$A$1858,$D1638,'Val-Vol (2)'!$V$4:$V$1858,$V1638)/SUMIFS('Comp2016-2017 (3)'!$G$5:$G$289,'Comp2016-2017 (3)'!$A$5:$A$289,$D1638,'Comp2016-2017 (3)'!$R$5:$R$289,$V1638)*$AB1638))</f>
        <v>0</v>
      </c>
      <c r="AF1638" s="205">
        <f>IF($W1638=AF$3,$AB1638,IF(NOT($W1638=0),"",SUMIFS('Val-Vol (2)'!AF$4:AF$1858,'Val-Vol (2)'!$A$4:$A$1858,$D1638,'Val-Vol (2)'!$V$4:$V$1858,$V1638)/SUMIFS('Comp2016-2017 (3)'!$G$5:$G$289,'Comp2016-2017 (3)'!$A$5:$A$289,$D1638,'Comp2016-2017 (3)'!$R$5:$R$289,$V1638)*$AB1638))</f>
        <v>0</v>
      </c>
      <c r="AG1638" s="205">
        <f>IF($W1638=AG$3,$AB1638,IF(NOT($W1638=0),"",SUMIFS('Val-Vol (2)'!AG$4:AG$1858,'Val-Vol (2)'!$A$4:$A$1858,$D1638,'Val-Vol (2)'!$V$4:$V$1858,$V1638)/SUMIFS('Comp2016-2017 (3)'!$G$5:$G$289,'Comp2016-2017 (3)'!$A$5:$A$289,$D1638,'Comp2016-2017 (3)'!$R$5:$R$289,$V1638)*$AB1638))</f>
        <v>0</v>
      </c>
      <c r="AH1638" s="205">
        <f>IF($W1638=AH$3,$AB1638,IF(NOT($W1638=0),"",SUMIFS('Val-Vol (2)'!AH$4:AH$1858,'Val-Vol (2)'!$A$4:$A$1858,$D1638,'Val-Vol (2)'!$V$4:$V$1858,$V1638)/SUMIFS('Comp2016-2017 (3)'!$G$5:$G$289,'Comp2016-2017 (3)'!$A$5:$A$289,$D1638,'Comp2016-2017 (3)'!$R$5:$R$289,$V1638)*$AB1638))</f>
        <v>0</v>
      </c>
      <c r="AI1638" s="205">
        <f>IF($W1638=AI$3,$AB1638,IF(NOT($W1638=0),"",SUMIFS('Val-Vol (2)'!AI$4:AI$1858,'Val-Vol (2)'!$A$4:$A$1858,$D1638,'Val-Vol (2)'!$V$4:$V$1858,$V1638)/SUMIFS('Comp2016-2017 (3)'!$G$5:$G$289,'Comp2016-2017 (3)'!$A$5:$A$289,$D1638,'Comp2016-2017 (3)'!$R$5:$R$289,$V1638)*$AB1638))</f>
        <v>0</v>
      </c>
      <c r="AJ1638" s="205">
        <f>IF($W1638=AJ$3,$AB1638,IF(NOT($W1638=0),"",SUMIFS('Val-Vol (2)'!AJ$4:AJ$1858,'Val-Vol (2)'!$A$4:$A$1858,$D1638,'Val-Vol (2)'!$V$4:$V$1858,$V1638)/SUMIFS('Comp2016-2017 (3)'!$G$5:$G$289,'Comp2016-2017 (3)'!$A$5:$A$289,$D1638,'Comp2016-2017 (3)'!$R$5:$R$289,$V1638)*$AB1638))</f>
        <v>0</v>
      </c>
      <c r="AK1638" s="205">
        <f t="shared" si="187"/>
        <v>0</v>
      </c>
      <c r="AL1638" s="218" t="str">
        <f t="shared" si="189"/>
        <v/>
      </c>
      <c r="AM1638" s="218" t="str">
        <f>VLOOKUP(A1638,'Table corresp.'!$M$4:$U$63,8,FALSE)</f>
        <v>Production intermédiaire</v>
      </c>
      <c r="AN1638" s="218" t="str">
        <f>VLOOKUP(D1638,'Table corresp.'!$M$4:$U$63,9,FALSE)</f>
        <v>Production intermédiaire</v>
      </c>
    </row>
    <row r="1639" spans="1:40" x14ac:dyDescent="0.25">
      <c r="A1639" t="s">
        <v>83</v>
      </c>
      <c r="B1639" t="str">
        <f>VLOOKUP(LEFT(A1639,3),'Table corresp.'!$A$4:$D$63,3,FALSE)</f>
        <v>Transformation</v>
      </c>
      <c r="C1639" t="str">
        <f>VLOOKUP(A1639,'Table corresp.'!$M$4:$P$63,4,FALSE)</f>
        <v>Production et transformation de produits bois</v>
      </c>
      <c r="D1639" t="s">
        <v>14</v>
      </c>
      <c r="E1639" t="str">
        <f>VLOOKUP(LEFT(D1639,3),'Table corresp.'!$A$4:$D$63,4,FALSE)</f>
        <v>Transformation</v>
      </c>
      <c r="F1639" t="str">
        <f t="shared" si="185"/>
        <v>14  - 20b</v>
      </c>
      <c r="G1639" s="238">
        <v>0.293790852855424</v>
      </c>
      <c r="H1639" s="238">
        <v>2163.93352424049</v>
      </c>
      <c r="I1639" s="238">
        <v>2164.2271969328299</v>
      </c>
      <c r="J1639" s="238">
        <v>2.9311750024474449E-3</v>
      </c>
      <c r="K1639" s="238">
        <v>8.8329539601703644</v>
      </c>
      <c r="L1639" s="238">
        <v>8.8358851351728127</v>
      </c>
      <c r="M1639" s="238"/>
      <c r="N1639" s="238"/>
      <c r="O1639" s="238"/>
      <c r="P1639" s="238"/>
      <c r="Q1639" s="238"/>
      <c r="R1639" s="238"/>
      <c r="S1639" s="238"/>
      <c r="T1639" s="218">
        <f>VLOOKUP(A1639,'Groupe de branches'!$Z$27:$AM$86,14,FALSE)</f>
        <v>0</v>
      </c>
      <c r="U1639" s="218">
        <f>VLOOKUP(D1639,'Groupe de branches'!$Z$27:$AM$86,14,FALSE)</f>
        <v>0</v>
      </c>
      <c r="V1639" s="218">
        <v>2020</v>
      </c>
      <c r="W1639" s="218">
        <f>VLOOKUP(D1639,'Table corresp.'!$M$4:$S$63,7,FALSE)</f>
        <v>0</v>
      </c>
      <c r="X1639" s="240">
        <f>IFERROR(G1639/SUMIFS('Comp2016-2017 (3)'!$I$5:$I$289,'Comp2016-2017 (3)'!$A$5:$A$289,A1639,'Comp2016-2017 (3)'!$R$5:$R$289,V1639),0)</f>
        <v>2.8108780338815693E-6</v>
      </c>
      <c r="Y1639" s="219" t="e">
        <f>IF(RIGHT(F1639,3)="Exp",VLOOKUP(F1639,#REF!,2,FALSE),VLOOKUP(F1639,#REF!,9,FALSE))</f>
        <v>#REF!</v>
      </c>
      <c r="Z1639" s="226" t="str">
        <f t="shared" si="186"/>
        <v/>
      </c>
      <c r="AA1639" s="226" t="e">
        <f t="shared" si="188"/>
        <v>#VALUE!</v>
      </c>
      <c r="AB1639" s="205">
        <f>IFERROR(SUMIFS('Comp2016-2017 (3)'!$G$5:$G$289,'Comp2016-2017 (3)'!$A$5:$A$289,A1639,'Comp2016-2017 (3)'!$R$5:$R$289,V1639)*AA1639/SUMIFS($AA$4:$AA$1858,$A$4:$A$1858,A1639,$V$4:$V$1858,V1639),0)</f>
        <v>0</v>
      </c>
      <c r="AC1639" s="205">
        <f>IF($W1639=AC$3,$AB1639,IF(NOT($W1639=0),"",SUMIFS('Val-Vol (2)'!AC$4:AC$1858,'Val-Vol (2)'!$A$4:$A$1858,$D1639,'Val-Vol (2)'!$V$4:$V$1858,$V1639)/SUMIFS('Comp2016-2017 (3)'!$G$5:$G$289,'Comp2016-2017 (3)'!$A$5:$A$289,$D1639,'Comp2016-2017 (3)'!$R$5:$R$289,$V1639)*$AB1639))</f>
        <v>0</v>
      </c>
      <c r="AD1639" s="205">
        <f>IF($W1639=AD$3,$AB1639,IF(NOT($W1639=0),"",SUMIFS('Val-Vol (2)'!AD$4:AD$1858,'Val-Vol (2)'!$A$4:$A$1858,$D1639,'Val-Vol (2)'!$V$4:$V$1858,$V1639)/SUMIFS('Comp2016-2017 (3)'!$G$5:$G$289,'Comp2016-2017 (3)'!$A$5:$A$289,$D1639,'Comp2016-2017 (3)'!$R$5:$R$289,$V1639)*$AB1639))</f>
        <v>0</v>
      </c>
      <c r="AE1639" s="205">
        <f>IF($W1639=AE$3,$AB1639,IF(NOT($W1639=0),"",SUMIFS('Val-Vol (2)'!AE$4:AE$1858,'Val-Vol (2)'!$A$4:$A$1858,$D1639,'Val-Vol (2)'!$V$4:$V$1858,$V1639)/SUMIFS('Comp2016-2017 (3)'!$G$5:$G$289,'Comp2016-2017 (3)'!$A$5:$A$289,$D1639,'Comp2016-2017 (3)'!$R$5:$R$289,$V1639)*$AB1639))</f>
        <v>0</v>
      </c>
      <c r="AF1639" s="205">
        <f>IF($W1639=AF$3,$AB1639,IF(NOT($W1639=0),"",SUMIFS('Val-Vol (2)'!AF$4:AF$1858,'Val-Vol (2)'!$A$4:$A$1858,$D1639,'Val-Vol (2)'!$V$4:$V$1858,$V1639)/SUMIFS('Comp2016-2017 (3)'!$G$5:$G$289,'Comp2016-2017 (3)'!$A$5:$A$289,$D1639,'Comp2016-2017 (3)'!$R$5:$R$289,$V1639)*$AB1639))</f>
        <v>0</v>
      </c>
      <c r="AG1639" s="205">
        <f>IF($W1639=AG$3,$AB1639,IF(NOT($W1639=0),"",SUMIFS('Val-Vol (2)'!AG$4:AG$1858,'Val-Vol (2)'!$A$4:$A$1858,$D1639,'Val-Vol (2)'!$V$4:$V$1858,$V1639)/SUMIFS('Comp2016-2017 (3)'!$G$5:$G$289,'Comp2016-2017 (3)'!$A$5:$A$289,$D1639,'Comp2016-2017 (3)'!$R$5:$R$289,$V1639)*$AB1639))</f>
        <v>0</v>
      </c>
      <c r="AH1639" s="205">
        <f>IF($W1639=AH$3,$AB1639,IF(NOT($W1639=0),"",SUMIFS('Val-Vol (2)'!AH$4:AH$1858,'Val-Vol (2)'!$A$4:$A$1858,$D1639,'Val-Vol (2)'!$V$4:$V$1858,$V1639)/SUMIFS('Comp2016-2017 (3)'!$G$5:$G$289,'Comp2016-2017 (3)'!$A$5:$A$289,$D1639,'Comp2016-2017 (3)'!$R$5:$R$289,$V1639)*$AB1639))</f>
        <v>0</v>
      </c>
      <c r="AI1639" s="205">
        <f>IF($W1639=AI$3,$AB1639,IF(NOT($W1639=0),"",SUMIFS('Val-Vol (2)'!AI$4:AI$1858,'Val-Vol (2)'!$A$4:$A$1858,$D1639,'Val-Vol (2)'!$V$4:$V$1858,$V1639)/SUMIFS('Comp2016-2017 (3)'!$G$5:$G$289,'Comp2016-2017 (3)'!$A$5:$A$289,$D1639,'Comp2016-2017 (3)'!$R$5:$R$289,$V1639)*$AB1639))</f>
        <v>0</v>
      </c>
      <c r="AJ1639" s="205">
        <f>IF($W1639=AJ$3,$AB1639,IF(NOT($W1639=0),"",SUMIFS('Val-Vol (2)'!AJ$4:AJ$1858,'Val-Vol (2)'!$A$4:$A$1858,$D1639,'Val-Vol (2)'!$V$4:$V$1858,$V1639)/SUMIFS('Comp2016-2017 (3)'!$G$5:$G$289,'Comp2016-2017 (3)'!$A$5:$A$289,$D1639,'Comp2016-2017 (3)'!$R$5:$R$289,$V1639)*$AB1639))</f>
        <v>0</v>
      </c>
      <c r="AK1639" s="205">
        <f t="shared" si="187"/>
        <v>0</v>
      </c>
      <c r="AL1639" s="218" t="str">
        <f t="shared" si="189"/>
        <v/>
      </c>
      <c r="AM1639" s="218" t="str">
        <f>VLOOKUP(A1639,'Table corresp.'!$M$4:$U$63,8,FALSE)</f>
        <v>Production intermédiaire</v>
      </c>
      <c r="AN1639" s="218" t="str">
        <f>VLOOKUP(D1639,'Table corresp.'!$M$4:$U$63,9,FALSE)</f>
        <v>Production intermédiaire</v>
      </c>
    </row>
    <row r="1640" spans="1:40" x14ac:dyDescent="0.25">
      <c r="A1640" t="s">
        <v>83</v>
      </c>
      <c r="B1640" t="str">
        <f>VLOOKUP(LEFT(A1640,3),'Table corresp.'!$A$4:$D$63,3,FALSE)</f>
        <v>Transformation</v>
      </c>
      <c r="C1640" t="str">
        <f>VLOOKUP(A1640,'Table corresp.'!$M$4:$P$63,4,FALSE)</f>
        <v>Production et transformation de produits bois</v>
      </c>
      <c r="D1640" t="s">
        <v>85</v>
      </c>
      <c r="E1640" t="str">
        <f>VLOOKUP(LEFT(D1640,3),'Table corresp.'!$A$4:$D$63,4,FALSE)</f>
        <v>Transformation</v>
      </c>
      <c r="F1640" t="str">
        <f t="shared" si="185"/>
        <v xml:space="preserve">14  - 29 </v>
      </c>
      <c r="G1640" s="238">
        <v>0.19635525288289099</v>
      </c>
      <c r="H1640" s="238">
        <v>5432.77774763256</v>
      </c>
      <c r="I1640" s="238">
        <v>5432.9738061943799</v>
      </c>
      <c r="J1640" s="238">
        <v>2.2039336952209667E-3</v>
      </c>
      <c r="K1640" s="238">
        <v>24.948044651560782</v>
      </c>
      <c r="L1640" s="238">
        <v>24.950248585256002</v>
      </c>
      <c r="M1640" s="238"/>
      <c r="N1640" s="238"/>
      <c r="O1640" s="238"/>
      <c r="P1640" s="238"/>
      <c r="Q1640" s="238"/>
      <c r="R1640" s="238"/>
      <c r="S1640" s="238"/>
      <c r="T1640" s="218">
        <f>VLOOKUP(A1640,'Groupe de branches'!$Z$27:$AM$86,14,FALSE)</f>
        <v>0</v>
      </c>
      <c r="U1640" s="218">
        <f>VLOOKUP(D1640,'Groupe de branches'!$Z$27:$AM$86,14,FALSE)</f>
        <v>0</v>
      </c>
      <c r="V1640" s="218">
        <v>2020</v>
      </c>
      <c r="W1640" s="218" t="str">
        <f>VLOOKUP(D1640,'Table corresp.'!$M$4:$S$63,7,FALSE)</f>
        <v>Construction</v>
      </c>
      <c r="X1640" s="240">
        <f>IFERROR(G1640/SUMIFS('Comp2016-2017 (3)'!$I$5:$I$289,'Comp2016-2017 (3)'!$A$5:$A$289,A1640,'Comp2016-2017 (3)'!$R$5:$R$289,V1640),0)</f>
        <v>1.8786516387471974E-6</v>
      </c>
      <c r="Y1640" s="219" t="e">
        <f>IF(RIGHT(F1640,3)="Exp",VLOOKUP(F1640,#REF!,2,FALSE),VLOOKUP(F1640,#REF!,9,FALSE))</f>
        <v>#REF!</v>
      </c>
      <c r="Z1640" s="226" t="str">
        <f t="shared" si="186"/>
        <v/>
      </c>
      <c r="AA1640" s="226" t="e">
        <f t="shared" si="188"/>
        <v>#VALUE!</v>
      </c>
      <c r="AB1640" s="205">
        <f>IFERROR(SUMIFS('Comp2016-2017 (3)'!$G$5:$G$289,'Comp2016-2017 (3)'!$A$5:$A$289,A1640,'Comp2016-2017 (3)'!$R$5:$R$289,V1640)*AA1640/SUMIFS($AA$4:$AA$1858,$A$4:$A$1858,A1640,$V$4:$V$1858,V1640),0)</f>
        <v>0</v>
      </c>
      <c r="AC1640" s="205" t="str">
        <f>IF($W1640=AC$3,$AB1640,IF(NOT($W1640=0),"",SUMIFS('Val-Vol (2)'!AC$4:AC$1858,'Val-Vol (2)'!$A$4:$A$1858,$D1640,'Val-Vol (2)'!$V$4:$V$1858,$V1640)/SUMIFS('Comp2016-2017 (3)'!$G$5:$G$289,'Comp2016-2017 (3)'!$A$5:$A$289,$D1640,'Comp2016-2017 (3)'!$R$5:$R$289,$V1640)*$AB1640))</f>
        <v/>
      </c>
      <c r="AD1640" s="205">
        <f>IF($W1640=AD$3,$AB1640,IF(NOT($W1640=0),"",SUMIFS('Val-Vol (2)'!AD$4:AD$1858,'Val-Vol (2)'!$A$4:$A$1858,$D1640,'Val-Vol (2)'!$V$4:$V$1858,$V1640)/SUMIFS('Comp2016-2017 (3)'!$G$5:$G$289,'Comp2016-2017 (3)'!$A$5:$A$289,$D1640,'Comp2016-2017 (3)'!$R$5:$R$289,$V1640)*$AB1640))</f>
        <v>0</v>
      </c>
      <c r="AE1640" s="205" t="str">
        <f>IF($W1640=AE$3,$AB1640,IF(NOT($W1640=0),"",SUMIFS('Val-Vol (2)'!AE$4:AE$1858,'Val-Vol (2)'!$A$4:$A$1858,$D1640,'Val-Vol (2)'!$V$4:$V$1858,$V1640)/SUMIFS('Comp2016-2017 (3)'!$G$5:$G$289,'Comp2016-2017 (3)'!$A$5:$A$289,$D1640,'Comp2016-2017 (3)'!$R$5:$R$289,$V1640)*$AB1640))</f>
        <v/>
      </c>
      <c r="AF1640" s="205" t="str">
        <f>IF($W1640=AF$3,$AB1640,IF(NOT($W1640=0),"",SUMIFS('Val-Vol (2)'!AF$4:AF$1858,'Val-Vol (2)'!$A$4:$A$1858,$D1640,'Val-Vol (2)'!$V$4:$V$1858,$V1640)/SUMIFS('Comp2016-2017 (3)'!$G$5:$G$289,'Comp2016-2017 (3)'!$A$5:$A$289,$D1640,'Comp2016-2017 (3)'!$R$5:$R$289,$V1640)*$AB1640))</f>
        <v/>
      </c>
      <c r="AG1640" s="205" t="str">
        <f>IF($W1640=AG$3,$AB1640,IF(NOT($W1640=0),"",SUMIFS('Val-Vol (2)'!AG$4:AG$1858,'Val-Vol (2)'!$A$4:$A$1858,$D1640,'Val-Vol (2)'!$V$4:$V$1858,$V1640)/SUMIFS('Comp2016-2017 (3)'!$G$5:$G$289,'Comp2016-2017 (3)'!$A$5:$A$289,$D1640,'Comp2016-2017 (3)'!$R$5:$R$289,$V1640)*$AB1640))</f>
        <v/>
      </c>
      <c r="AH1640" s="205" t="str">
        <f>IF($W1640=AH$3,$AB1640,IF(NOT($W1640=0),"",SUMIFS('Val-Vol (2)'!AH$4:AH$1858,'Val-Vol (2)'!$A$4:$A$1858,$D1640,'Val-Vol (2)'!$V$4:$V$1858,$V1640)/SUMIFS('Comp2016-2017 (3)'!$G$5:$G$289,'Comp2016-2017 (3)'!$A$5:$A$289,$D1640,'Comp2016-2017 (3)'!$R$5:$R$289,$V1640)*$AB1640))</f>
        <v/>
      </c>
      <c r="AI1640" s="205" t="str">
        <f>IF($W1640=AI$3,$AB1640,IF(NOT($W1640=0),"",SUMIFS('Val-Vol (2)'!AI$4:AI$1858,'Val-Vol (2)'!$A$4:$A$1858,$D1640,'Val-Vol (2)'!$V$4:$V$1858,$V1640)/SUMIFS('Comp2016-2017 (3)'!$G$5:$G$289,'Comp2016-2017 (3)'!$A$5:$A$289,$D1640,'Comp2016-2017 (3)'!$R$5:$R$289,$V1640)*$AB1640))</f>
        <v/>
      </c>
      <c r="AJ1640" s="205" t="str">
        <f>IF($W1640=AJ$3,$AB1640,IF(NOT($W1640=0),"",SUMIFS('Val-Vol (2)'!AJ$4:AJ$1858,'Val-Vol (2)'!$A$4:$A$1858,$D1640,'Val-Vol (2)'!$V$4:$V$1858,$V1640)/SUMIFS('Comp2016-2017 (3)'!$G$5:$G$289,'Comp2016-2017 (3)'!$A$5:$A$289,$D1640,'Comp2016-2017 (3)'!$R$5:$R$289,$V1640)*$AB1640))</f>
        <v/>
      </c>
      <c r="AK1640" s="205">
        <f t="shared" si="187"/>
        <v>0</v>
      </c>
      <c r="AL1640" s="218" t="str">
        <f t="shared" si="189"/>
        <v/>
      </c>
      <c r="AM1640" s="218" t="str">
        <f>VLOOKUP(A1640,'Table corresp.'!$M$4:$U$63,8,FALSE)</f>
        <v>Production intermédiaire</v>
      </c>
      <c r="AN1640" s="218" t="str">
        <f>VLOOKUP(D1640,'Table corresp.'!$M$4:$U$63,9,FALSE)</f>
        <v>Production intermédiaire</v>
      </c>
    </row>
    <row r="1641" spans="1:40" x14ac:dyDescent="0.25">
      <c r="A1641" t="s">
        <v>83</v>
      </c>
      <c r="B1641" t="str">
        <f>VLOOKUP(LEFT(A1641,3),'Table corresp.'!$A$4:$D$63,3,FALSE)</f>
        <v>Transformation</v>
      </c>
      <c r="C1641" t="str">
        <f>VLOOKUP(A1641,'Table corresp.'!$M$4:$P$63,4,FALSE)</f>
        <v>Production et transformation de produits bois</v>
      </c>
      <c r="D1641" t="s">
        <v>15</v>
      </c>
      <c r="E1641" t="str">
        <f>VLOOKUP(LEFT(D1641,3),'Table corresp.'!$A$4:$D$63,4,FALSE)</f>
        <v>Transformation</v>
      </c>
      <c r="F1641" t="str">
        <f t="shared" si="185"/>
        <v xml:space="preserve">14  - 35 </v>
      </c>
      <c r="G1641" s="238">
        <v>0.27218087929227502</v>
      </c>
      <c r="H1641" s="238">
        <v>1751.3083851388201</v>
      </c>
      <c r="I1641" s="238">
        <v>1751.5804703911299</v>
      </c>
      <c r="J1641" s="238">
        <v>2.5770210374793678E-3</v>
      </c>
      <c r="K1641" s="238">
        <v>6.7839330228555674</v>
      </c>
      <c r="L1641" s="238">
        <v>6.7865100438930472</v>
      </c>
      <c r="M1641" s="238"/>
      <c r="N1641" s="238"/>
      <c r="O1641" s="238"/>
      <c r="P1641" s="238"/>
      <c r="Q1641" s="238"/>
      <c r="R1641" s="238"/>
      <c r="S1641" s="238"/>
      <c r="T1641" s="218">
        <f>VLOOKUP(A1641,'Groupe de branches'!$Z$27:$AM$86,14,FALSE)</f>
        <v>0</v>
      </c>
      <c r="U1641" s="218">
        <f>VLOOKUP(D1641,'Groupe de branches'!$Z$27:$AM$86,14,FALSE)</f>
        <v>0</v>
      </c>
      <c r="V1641" s="218">
        <v>2020</v>
      </c>
      <c r="W1641" s="218" t="str">
        <f>VLOOKUP(D1641,'Table corresp.'!$M$4:$S$63,7,FALSE)</f>
        <v>Construction</v>
      </c>
      <c r="X1641" s="240">
        <f>IFERROR(G1641/SUMIFS('Comp2016-2017 (3)'!$I$5:$I$289,'Comp2016-2017 (3)'!$A$5:$A$289,A1641,'Comp2016-2017 (3)'!$R$5:$R$289,V1641),0)</f>
        <v>2.6041221073064532E-6</v>
      </c>
      <c r="Y1641" s="219" t="e">
        <f>IF(RIGHT(F1641,3)="Exp",VLOOKUP(F1641,#REF!,2,FALSE),VLOOKUP(F1641,#REF!,9,FALSE))</f>
        <v>#REF!</v>
      </c>
      <c r="Z1641" s="226" t="str">
        <f t="shared" si="186"/>
        <v/>
      </c>
      <c r="AA1641" s="226" t="e">
        <f t="shared" si="188"/>
        <v>#VALUE!</v>
      </c>
      <c r="AB1641" s="205">
        <f>IFERROR(SUMIFS('Comp2016-2017 (3)'!$G$5:$G$289,'Comp2016-2017 (3)'!$A$5:$A$289,A1641,'Comp2016-2017 (3)'!$R$5:$R$289,V1641)*AA1641/SUMIFS($AA$4:$AA$1858,$A$4:$A$1858,A1641,$V$4:$V$1858,V1641),0)</f>
        <v>0</v>
      </c>
      <c r="AC1641" s="205" t="str">
        <f>IF($W1641=AC$3,$AB1641,IF(NOT($W1641=0),"",SUMIFS('Val-Vol (2)'!AC$4:AC$1858,'Val-Vol (2)'!$A$4:$A$1858,$D1641,'Val-Vol (2)'!$V$4:$V$1858,$V1641)/SUMIFS('Comp2016-2017 (3)'!$G$5:$G$289,'Comp2016-2017 (3)'!$A$5:$A$289,$D1641,'Comp2016-2017 (3)'!$R$5:$R$289,$V1641)*$AB1641))</f>
        <v/>
      </c>
      <c r="AD1641" s="205">
        <f>IF($W1641=AD$3,$AB1641,IF(NOT($W1641=0),"",SUMIFS('Val-Vol (2)'!AD$4:AD$1858,'Val-Vol (2)'!$A$4:$A$1858,$D1641,'Val-Vol (2)'!$V$4:$V$1858,$V1641)/SUMIFS('Comp2016-2017 (3)'!$G$5:$G$289,'Comp2016-2017 (3)'!$A$5:$A$289,$D1641,'Comp2016-2017 (3)'!$R$5:$R$289,$V1641)*$AB1641))</f>
        <v>0</v>
      </c>
      <c r="AE1641" s="205" t="str">
        <f>IF($W1641=AE$3,$AB1641,IF(NOT($W1641=0),"",SUMIFS('Val-Vol (2)'!AE$4:AE$1858,'Val-Vol (2)'!$A$4:$A$1858,$D1641,'Val-Vol (2)'!$V$4:$V$1858,$V1641)/SUMIFS('Comp2016-2017 (3)'!$G$5:$G$289,'Comp2016-2017 (3)'!$A$5:$A$289,$D1641,'Comp2016-2017 (3)'!$R$5:$R$289,$V1641)*$AB1641))</f>
        <v/>
      </c>
      <c r="AF1641" s="205" t="str">
        <f>IF($W1641=AF$3,$AB1641,IF(NOT($W1641=0),"",SUMIFS('Val-Vol (2)'!AF$4:AF$1858,'Val-Vol (2)'!$A$4:$A$1858,$D1641,'Val-Vol (2)'!$V$4:$V$1858,$V1641)/SUMIFS('Comp2016-2017 (3)'!$G$5:$G$289,'Comp2016-2017 (3)'!$A$5:$A$289,$D1641,'Comp2016-2017 (3)'!$R$5:$R$289,$V1641)*$AB1641))</f>
        <v/>
      </c>
      <c r="AG1641" s="205" t="str">
        <f>IF($W1641=AG$3,$AB1641,IF(NOT($W1641=0),"",SUMIFS('Val-Vol (2)'!AG$4:AG$1858,'Val-Vol (2)'!$A$4:$A$1858,$D1641,'Val-Vol (2)'!$V$4:$V$1858,$V1641)/SUMIFS('Comp2016-2017 (3)'!$G$5:$G$289,'Comp2016-2017 (3)'!$A$5:$A$289,$D1641,'Comp2016-2017 (3)'!$R$5:$R$289,$V1641)*$AB1641))</f>
        <v/>
      </c>
      <c r="AH1641" s="205" t="str">
        <f>IF($W1641=AH$3,$AB1641,IF(NOT($W1641=0),"",SUMIFS('Val-Vol (2)'!AH$4:AH$1858,'Val-Vol (2)'!$A$4:$A$1858,$D1641,'Val-Vol (2)'!$V$4:$V$1858,$V1641)/SUMIFS('Comp2016-2017 (3)'!$G$5:$G$289,'Comp2016-2017 (3)'!$A$5:$A$289,$D1641,'Comp2016-2017 (3)'!$R$5:$R$289,$V1641)*$AB1641))</f>
        <v/>
      </c>
      <c r="AI1641" s="205" t="str">
        <f>IF($W1641=AI$3,$AB1641,IF(NOT($W1641=0),"",SUMIFS('Val-Vol (2)'!AI$4:AI$1858,'Val-Vol (2)'!$A$4:$A$1858,$D1641,'Val-Vol (2)'!$V$4:$V$1858,$V1641)/SUMIFS('Comp2016-2017 (3)'!$G$5:$G$289,'Comp2016-2017 (3)'!$A$5:$A$289,$D1641,'Comp2016-2017 (3)'!$R$5:$R$289,$V1641)*$AB1641))</f>
        <v/>
      </c>
      <c r="AJ1641" s="205" t="str">
        <f>IF($W1641=AJ$3,$AB1641,IF(NOT($W1641=0),"",SUMIFS('Val-Vol (2)'!AJ$4:AJ$1858,'Val-Vol (2)'!$A$4:$A$1858,$D1641,'Val-Vol (2)'!$V$4:$V$1858,$V1641)/SUMIFS('Comp2016-2017 (3)'!$G$5:$G$289,'Comp2016-2017 (3)'!$A$5:$A$289,$D1641,'Comp2016-2017 (3)'!$R$5:$R$289,$V1641)*$AB1641))</f>
        <v/>
      </c>
      <c r="AK1641" s="205">
        <f t="shared" si="187"/>
        <v>0</v>
      </c>
      <c r="AL1641" s="218" t="str">
        <f t="shared" si="189"/>
        <v/>
      </c>
      <c r="AM1641" s="218" t="str">
        <f>VLOOKUP(A1641,'Table corresp.'!$M$4:$U$63,8,FALSE)</f>
        <v>Production intermédiaire</v>
      </c>
      <c r="AN1641" s="218" t="str">
        <f>VLOOKUP(D1641,'Table corresp.'!$M$4:$U$63,9,FALSE)</f>
        <v>Production finale</v>
      </c>
    </row>
    <row r="1642" spans="1:40" x14ac:dyDescent="0.25">
      <c r="A1642" t="s">
        <v>83</v>
      </c>
      <c r="B1642" t="str">
        <f>VLOOKUP(LEFT(A1642,3),'Table corresp.'!$A$4:$D$63,3,FALSE)</f>
        <v>Transformation</v>
      </c>
      <c r="C1642" t="str">
        <f>VLOOKUP(A1642,'Table corresp.'!$M$4:$P$63,4,FALSE)</f>
        <v>Production et transformation de produits bois</v>
      </c>
      <c r="D1642" t="s">
        <v>91</v>
      </c>
      <c r="E1642" t="str">
        <f>VLOOKUP(LEFT(D1642,3),'Table corresp.'!$A$4:$D$63,4,FALSE)</f>
        <v>Transformation</v>
      </c>
      <c r="F1642" t="str">
        <f t="shared" ref="F1642:F1705" si="190">LEFT(A1642,3)&amp;" - "&amp;LEFT(D1642,3)</f>
        <v xml:space="preserve">14  - 37 </v>
      </c>
      <c r="G1642" s="238">
        <v>8707.5711989963493</v>
      </c>
      <c r="H1642" s="238">
        <v>19987.547941687499</v>
      </c>
      <c r="I1642" s="238">
        <v>28695.118643128499</v>
      </c>
      <c r="J1642" s="238">
        <v>166.93142451009234</v>
      </c>
      <c r="K1642" s="238">
        <v>156.76862779862483</v>
      </c>
      <c r="L1642" s="238">
        <v>323.7000523087172</v>
      </c>
      <c r="M1642" s="238"/>
      <c r="N1642" s="238"/>
      <c r="O1642" s="238"/>
      <c r="P1642" s="238"/>
      <c r="Q1642" s="238"/>
      <c r="R1642" s="238"/>
      <c r="S1642" s="238"/>
      <c r="T1642" s="218">
        <f>VLOOKUP(A1642,'Groupe de branches'!$Z$27:$AM$86,14,FALSE)</f>
        <v>0</v>
      </c>
      <c r="U1642" s="218">
        <f>VLOOKUP(D1642,'Groupe de branches'!$Z$27:$AM$86,14,FALSE)</f>
        <v>0</v>
      </c>
      <c r="V1642" s="218">
        <v>2020</v>
      </c>
      <c r="W1642" s="218" t="str">
        <f>VLOOKUP(D1642,'Table corresp.'!$M$4:$S$63,7,FALSE)</f>
        <v>Emballage bois et carton</v>
      </c>
      <c r="X1642" s="240">
        <f>IFERROR(G1642/SUMIFS('Comp2016-2017 (3)'!$I$5:$I$289,'Comp2016-2017 (3)'!$A$5:$A$289,A1642,'Comp2016-2017 (3)'!$R$5:$R$289,V1642),0)</f>
        <v>8.3310696619146835E-2</v>
      </c>
      <c r="Y1642" s="219" t="e">
        <f>IF(RIGHT(F1642,3)="Exp",VLOOKUP(F1642,#REF!,2,FALSE),VLOOKUP(F1642,#REF!,9,FALSE))</f>
        <v>#REF!</v>
      </c>
      <c r="Z1642" s="226" t="str">
        <f t="shared" si="186"/>
        <v/>
      </c>
      <c r="AA1642" s="226" t="e">
        <f t="shared" si="188"/>
        <v>#VALUE!</v>
      </c>
      <c r="AB1642" s="205">
        <f>IFERROR(SUMIFS('Comp2016-2017 (3)'!$G$5:$G$289,'Comp2016-2017 (3)'!$A$5:$A$289,A1642,'Comp2016-2017 (3)'!$R$5:$R$289,V1642)*AA1642/SUMIFS($AA$4:$AA$1858,$A$4:$A$1858,A1642,$V$4:$V$1858,V1642),0)</f>
        <v>0</v>
      </c>
      <c r="AC1642" s="205" t="str">
        <f>IF($W1642=AC$3,$AB1642,IF(NOT($W1642=0),"",SUMIFS('Val-Vol (2)'!AC$4:AC$1858,'Val-Vol (2)'!$A$4:$A$1858,$D1642,'Val-Vol (2)'!$V$4:$V$1858,$V1642)/SUMIFS('Comp2016-2017 (3)'!$G$5:$G$289,'Comp2016-2017 (3)'!$A$5:$A$289,$D1642,'Comp2016-2017 (3)'!$R$5:$R$289,$V1642)*$AB1642))</f>
        <v/>
      </c>
      <c r="AD1642" s="205" t="str">
        <f>IF($W1642=AD$3,$AB1642,IF(NOT($W1642=0),"",SUMIFS('Val-Vol (2)'!AD$4:AD$1858,'Val-Vol (2)'!$A$4:$A$1858,$D1642,'Val-Vol (2)'!$V$4:$V$1858,$V1642)/SUMIFS('Comp2016-2017 (3)'!$G$5:$G$289,'Comp2016-2017 (3)'!$A$5:$A$289,$D1642,'Comp2016-2017 (3)'!$R$5:$R$289,$V1642)*$AB1642))</f>
        <v/>
      </c>
      <c r="AE1642" s="205" t="str">
        <f>IF($W1642=AE$3,$AB1642,IF(NOT($W1642=0),"",SUMIFS('Val-Vol (2)'!AE$4:AE$1858,'Val-Vol (2)'!$A$4:$A$1858,$D1642,'Val-Vol (2)'!$V$4:$V$1858,$V1642)/SUMIFS('Comp2016-2017 (3)'!$G$5:$G$289,'Comp2016-2017 (3)'!$A$5:$A$289,$D1642,'Comp2016-2017 (3)'!$R$5:$R$289,$V1642)*$AB1642))</f>
        <v/>
      </c>
      <c r="AF1642" s="205" t="str">
        <f>IF($W1642=AF$3,$AB1642,IF(NOT($W1642=0),"",SUMIFS('Val-Vol (2)'!AF$4:AF$1858,'Val-Vol (2)'!$A$4:$A$1858,$D1642,'Val-Vol (2)'!$V$4:$V$1858,$V1642)/SUMIFS('Comp2016-2017 (3)'!$G$5:$G$289,'Comp2016-2017 (3)'!$A$5:$A$289,$D1642,'Comp2016-2017 (3)'!$R$5:$R$289,$V1642)*$AB1642))</f>
        <v/>
      </c>
      <c r="AG1642" s="205">
        <f>IF($W1642=AG$3,$AB1642,IF(NOT($W1642=0),"",SUMIFS('Val-Vol (2)'!AG$4:AG$1858,'Val-Vol (2)'!$A$4:$A$1858,$D1642,'Val-Vol (2)'!$V$4:$V$1858,$V1642)/SUMIFS('Comp2016-2017 (3)'!$G$5:$G$289,'Comp2016-2017 (3)'!$A$5:$A$289,$D1642,'Comp2016-2017 (3)'!$R$5:$R$289,$V1642)*$AB1642))</f>
        <v>0</v>
      </c>
      <c r="AH1642" s="205" t="str">
        <f>IF($W1642=AH$3,$AB1642,IF(NOT($W1642=0),"",SUMIFS('Val-Vol (2)'!AH$4:AH$1858,'Val-Vol (2)'!$A$4:$A$1858,$D1642,'Val-Vol (2)'!$V$4:$V$1858,$V1642)/SUMIFS('Comp2016-2017 (3)'!$G$5:$G$289,'Comp2016-2017 (3)'!$A$5:$A$289,$D1642,'Comp2016-2017 (3)'!$R$5:$R$289,$V1642)*$AB1642))</f>
        <v/>
      </c>
      <c r="AI1642" s="205" t="str">
        <f>IF($W1642=AI$3,$AB1642,IF(NOT($W1642=0),"",SUMIFS('Val-Vol (2)'!AI$4:AI$1858,'Val-Vol (2)'!$A$4:$A$1858,$D1642,'Val-Vol (2)'!$V$4:$V$1858,$V1642)/SUMIFS('Comp2016-2017 (3)'!$G$5:$G$289,'Comp2016-2017 (3)'!$A$5:$A$289,$D1642,'Comp2016-2017 (3)'!$R$5:$R$289,$V1642)*$AB1642))</f>
        <v/>
      </c>
      <c r="AJ1642" s="205" t="str">
        <f>IF($W1642=AJ$3,$AB1642,IF(NOT($W1642=0),"",SUMIFS('Val-Vol (2)'!AJ$4:AJ$1858,'Val-Vol (2)'!$A$4:$A$1858,$D1642,'Val-Vol (2)'!$V$4:$V$1858,$V1642)/SUMIFS('Comp2016-2017 (3)'!$G$5:$G$289,'Comp2016-2017 (3)'!$A$5:$A$289,$D1642,'Comp2016-2017 (3)'!$R$5:$R$289,$V1642)*$AB1642))</f>
        <v/>
      </c>
      <c r="AK1642" s="205">
        <f t="shared" si="187"/>
        <v>0</v>
      </c>
      <c r="AL1642" s="218" t="str">
        <f t="shared" si="189"/>
        <v/>
      </c>
      <c r="AM1642" s="218" t="str">
        <f>VLOOKUP(A1642,'Table corresp.'!$M$4:$U$63,8,FALSE)</f>
        <v>Production intermédiaire</v>
      </c>
      <c r="AN1642" s="218" t="str">
        <f>VLOOKUP(D1642,'Table corresp.'!$M$4:$U$63,9,FALSE)</f>
        <v>Production finale</v>
      </c>
    </row>
    <row r="1643" spans="1:40" x14ac:dyDescent="0.25">
      <c r="A1643" t="s">
        <v>83</v>
      </c>
      <c r="B1643" t="str">
        <f>VLOOKUP(LEFT(A1643,3),'Table corresp.'!$A$4:$D$63,3,FALSE)</f>
        <v>Transformation</v>
      </c>
      <c r="C1643" t="str">
        <f>VLOOKUP(A1643,'Table corresp.'!$M$4:$P$63,4,FALSE)</f>
        <v>Production et transformation de produits bois</v>
      </c>
      <c r="D1643" t="s">
        <v>92</v>
      </c>
      <c r="E1643" t="str">
        <f>VLOOKUP(LEFT(D1643,3),'Table corresp.'!$A$4:$D$63,4,FALSE)</f>
        <v>Transformation</v>
      </c>
      <c r="F1643" t="str">
        <f t="shared" si="190"/>
        <v xml:space="preserve">14  - 40 </v>
      </c>
      <c r="G1643" s="238">
        <v>2513.2680496570401</v>
      </c>
      <c r="H1643" s="238">
        <v>33362.587338515899</v>
      </c>
      <c r="I1643" s="238">
        <v>35875.853737574202</v>
      </c>
      <c r="J1643" s="238">
        <v>31.343847204586968</v>
      </c>
      <c r="K1643" s="238">
        <v>170.22831030397859</v>
      </c>
      <c r="L1643" s="238">
        <v>201.57215750856557</v>
      </c>
      <c r="M1643" s="238"/>
      <c r="N1643" s="238"/>
      <c r="O1643" s="238"/>
      <c r="P1643" s="238"/>
      <c r="Q1643" s="238"/>
      <c r="R1643" s="238"/>
      <c r="S1643" s="238"/>
      <c r="T1643" s="218">
        <f>VLOOKUP(A1643,'Groupe de branches'!$Z$27:$AM$86,14,FALSE)</f>
        <v>0</v>
      </c>
      <c r="U1643" s="218">
        <f>VLOOKUP(D1643,'Groupe de branches'!$Z$27:$AM$86,14,FALSE)</f>
        <v>0</v>
      </c>
      <c r="V1643" s="218">
        <v>2020</v>
      </c>
      <c r="W1643" s="218" t="str">
        <f>VLOOKUP(D1643,'Table corresp.'!$M$4:$S$63,7,FALSE)</f>
        <v>Construction</v>
      </c>
      <c r="X1643" s="240">
        <f>IFERROR(G1643/SUMIFS('Comp2016-2017 (3)'!$I$5:$I$289,'Comp2016-2017 (3)'!$A$5:$A$289,A1643,'Comp2016-2017 (3)'!$R$5:$R$289,V1643),0)</f>
        <v>2.4045983342830011E-2</v>
      </c>
      <c r="Y1643" s="219" t="e">
        <f>IF(RIGHT(F1643,3)="Exp",VLOOKUP(F1643,#REF!,2,FALSE),VLOOKUP(F1643,#REF!,9,FALSE))</f>
        <v>#REF!</v>
      </c>
      <c r="Z1643" s="226" t="str">
        <f t="shared" si="186"/>
        <v/>
      </c>
      <c r="AA1643" s="226" t="e">
        <f t="shared" si="188"/>
        <v>#VALUE!</v>
      </c>
      <c r="AB1643" s="205">
        <f>IFERROR(SUMIFS('Comp2016-2017 (3)'!$G$5:$G$289,'Comp2016-2017 (3)'!$A$5:$A$289,A1643,'Comp2016-2017 (3)'!$R$5:$R$289,V1643)*AA1643/SUMIFS($AA$4:$AA$1858,$A$4:$A$1858,A1643,$V$4:$V$1858,V1643),0)</f>
        <v>0</v>
      </c>
      <c r="AC1643" s="205" t="str">
        <f>IF($W1643=AC$3,$AB1643,IF(NOT($W1643=0),"",SUMIFS('Val-Vol (2)'!AC$4:AC$1858,'Val-Vol (2)'!$A$4:$A$1858,$D1643,'Val-Vol (2)'!$V$4:$V$1858,$V1643)/SUMIFS('Comp2016-2017 (3)'!$G$5:$G$289,'Comp2016-2017 (3)'!$A$5:$A$289,$D1643,'Comp2016-2017 (3)'!$R$5:$R$289,$V1643)*$AB1643))</f>
        <v/>
      </c>
      <c r="AD1643" s="205">
        <f>IF($W1643=AD$3,$AB1643,IF(NOT($W1643=0),"",SUMIFS('Val-Vol (2)'!AD$4:AD$1858,'Val-Vol (2)'!$A$4:$A$1858,$D1643,'Val-Vol (2)'!$V$4:$V$1858,$V1643)/SUMIFS('Comp2016-2017 (3)'!$G$5:$G$289,'Comp2016-2017 (3)'!$A$5:$A$289,$D1643,'Comp2016-2017 (3)'!$R$5:$R$289,$V1643)*$AB1643))</f>
        <v>0</v>
      </c>
      <c r="AE1643" s="205" t="str">
        <f>IF($W1643=AE$3,$AB1643,IF(NOT($W1643=0),"",SUMIFS('Val-Vol (2)'!AE$4:AE$1858,'Val-Vol (2)'!$A$4:$A$1858,$D1643,'Val-Vol (2)'!$V$4:$V$1858,$V1643)/SUMIFS('Comp2016-2017 (3)'!$G$5:$G$289,'Comp2016-2017 (3)'!$A$5:$A$289,$D1643,'Comp2016-2017 (3)'!$R$5:$R$289,$V1643)*$AB1643))</f>
        <v/>
      </c>
      <c r="AF1643" s="205" t="str">
        <f>IF($W1643=AF$3,$AB1643,IF(NOT($W1643=0),"",SUMIFS('Val-Vol (2)'!AF$4:AF$1858,'Val-Vol (2)'!$A$4:$A$1858,$D1643,'Val-Vol (2)'!$V$4:$V$1858,$V1643)/SUMIFS('Comp2016-2017 (3)'!$G$5:$G$289,'Comp2016-2017 (3)'!$A$5:$A$289,$D1643,'Comp2016-2017 (3)'!$R$5:$R$289,$V1643)*$AB1643))</f>
        <v/>
      </c>
      <c r="AG1643" s="205" t="str">
        <f>IF($W1643=AG$3,$AB1643,IF(NOT($W1643=0),"",SUMIFS('Val-Vol (2)'!AG$4:AG$1858,'Val-Vol (2)'!$A$4:$A$1858,$D1643,'Val-Vol (2)'!$V$4:$V$1858,$V1643)/SUMIFS('Comp2016-2017 (3)'!$G$5:$G$289,'Comp2016-2017 (3)'!$A$5:$A$289,$D1643,'Comp2016-2017 (3)'!$R$5:$R$289,$V1643)*$AB1643))</f>
        <v/>
      </c>
      <c r="AH1643" s="205" t="str">
        <f>IF($W1643=AH$3,$AB1643,IF(NOT($W1643=0),"",SUMIFS('Val-Vol (2)'!AH$4:AH$1858,'Val-Vol (2)'!$A$4:$A$1858,$D1643,'Val-Vol (2)'!$V$4:$V$1858,$V1643)/SUMIFS('Comp2016-2017 (3)'!$G$5:$G$289,'Comp2016-2017 (3)'!$A$5:$A$289,$D1643,'Comp2016-2017 (3)'!$R$5:$R$289,$V1643)*$AB1643))</f>
        <v/>
      </c>
      <c r="AI1643" s="205" t="str">
        <f>IF($W1643=AI$3,$AB1643,IF(NOT($W1643=0),"",SUMIFS('Val-Vol (2)'!AI$4:AI$1858,'Val-Vol (2)'!$A$4:$A$1858,$D1643,'Val-Vol (2)'!$V$4:$V$1858,$V1643)/SUMIFS('Comp2016-2017 (3)'!$G$5:$G$289,'Comp2016-2017 (3)'!$A$5:$A$289,$D1643,'Comp2016-2017 (3)'!$R$5:$R$289,$V1643)*$AB1643))</f>
        <v/>
      </c>
      <c r="AJ1643" s="205" t="str">
        <f>IF($W1643=AJ$3,$AB1643,IF(NOT($W1643=0),"",SUMIFS('Val-Vol (2)'!AJ$4:AJ$1858,'Val-Vol (2)'!$A$4:$A$1858,$D1643,'Val-Vol (2)'!$V$4:$V$1858,$V1643)/SUMIFS('Comp2016-2017 (3)'!$G$5:$G$289,'Comp2016-2017 (3)'!$A$5:$A$289,$D1643,'Comp2016-2017 (3)'!$R$5:$R$289,$V1643)*$AB1643))</f>
        <v/>
      </c>
      <c r="AK1643" s="205">
        <f t="shared" si="187"/>
        <v>0</v>
      </c>
      <c r="AL1643" s="218" t="str">
        <f t="shared" si="189"/>
        <v/>
      </c>
      <c r="AM1643" s="218" t="str">
        <f>VLOOKUP(A1643,'Table corresp.'!$M$4:$U$63,8,FALSE)</f>
        <v>Production intermédiaire</v>
      </c>
      <c r="AN1643" s="218" t="str">
        <f>VLOOKUP(D1643,'Table corresp.'!$M$4:$U$63,9,FALSE)</f>
        <v>Production finale</v>
      </c>
    </row>
    <row r="1644" spans="1:40" x14ac:dyDescent="0.25">
      <c r="A1644" t="s">
        <v>83</v>
      </c>
      <c r="B1644" t="str">
        <f>VLOOKUP(LEFT(A1644,3),'Table corresp.'!$A$4:$D$63,3,FALSE)</f>
        <v>Transformation</v>
      </c>
      <c r="C1644" t="str">
        <f>VLOOKUP(A1644,'Table corresp.'!$M$4:$P$63,4,FALSE)</f>
        <v>Production et transformation de produits bois</v>
      </c>
      <c r="D1644" t="s">
        <v>99</v>
      </c>
      <c r="E1644" t="str">
        <f>VLOOKUP(LEFT(D1644,3),'Table corresp.'!$A$4:$D$63,4,FALSE)</f>
        <v>Transformation</v>
      </c>
      <c r="F1644" t="str">
        <f t="shared" si="190"/>
        <v xml:space="preserve">14  - 47 </v>
      </c>
      <c r="G1644" s="238">
        <v>267.70009231515201</v>
      </c>
      <c r="H1644" s="238">
        <v>961.83415519578</v>
      </c>
      <c r="I1644" s="238">
        <v>1229.53421324434</v>
      </c>
      <c r="J1644" s="238">
        <v>2.9806857674790854</v>
      </c>
      <c r="K1644" s="238">
        <v>4.3815365739899486</v>
      </c>
      <c r="L1644" s="238">
        <v>7.3622223414690335</v>
      </c>
      <c r="M1644" s="238"/>
      <c r="N1644" s="238"/>
      <c r="O1644" s="238"/>
      <c r="P1644" s="238"/>
      <c r="Q1644" s="238"/>
      <c r="R1644" s="238"/>
      <c r="S1644" s="238"/>
      <c r="T1644" s="218">
        <f>VLOOKUP(A1644,'Groupe de branches'!$Z$27:$AM$86,14,FALSE)</f>
        <v>0</v>
      </c>
      <c r="U1644" s="218">
        <f>VLOOKUP(D1644,'Groupe de branches'!$Z$27:$AM$86,14,FALSE)</f>
        <v>0</v>
      </c>
      <c r="V1644" s="218">
        <v>2020</v>
      </c>
      <c r="W1644" s="218" t="str">
        <f>VLOOKUP(D1644,'Table corresp.'!$M$4:$S$63,7,FALSE)</f>
        <v>Meuble</v>
      </c>
      <c r="X1644" s="240">
        <f>IFERROR(G1644/SUMIFS('Comp2016-2017 (3)'!$I$5:$I$289,'Comp2016-2017 (3)'!$A$5:$A$289,A1644,'Comp2016-2017 (3)'!$R$5:$R$289,V1644),0)</f>
        <v>2.5612516585975013E-3</v>
      </c>
      <c r="Y1644" s="219" t="e">
        <f>IF(RIGHT(F1644,3)="Exp",VLOOKUP(F1644,#REF!,2,FALSE),VLOOKUP(F1644,#REF!,9,FALSE))</f>
        <v>#REF!</v>
      </c>
      <c r="Z1644" s="226" t="str">
        <f t="shared" si="186"/>
        <v/>
      </c>
      <c r="AA1644" s="226" t="e">
        <f t="shared" si="188"/>
        <v>#VALUE!</v>
      </c>
      <c r="AB1644" s="205">
        <f>IFERROR(SUMIFS('Comp2016-2017 (3)'!$G$5:$G$289,'Comp2016-2017 (3)'!$A$5:$A$289,A1644,'Comp2016-2017 (3)'!$R$5:$R$289,V1644)*AA1644/SUMIFS($AA$4:$AA$1858,$A$4:$A$1858,A1644,$V$4:$V$1858,V1644),0)</f>
        <v>0</v>
      </c>
      <c r="AC1644" s="205" t="str">
        <f>IF($W1644=AC$3,$AB1644,IF(NOT($W1644=0),"",SUMIFS('Val-Vol (2)'!AC$4:AC$1858,'Val-Vol (2)'!$A$4:$A$1858,$D1644,'Val-Vol (2)'!$V$4:$V$1858,$V1644)/SUMIFS('Comp2016-2017 (3)'!$G$5:$G$289,'Comp2016-2017 (3)'!$A$5:$A$289,$D1644,'Comp2016-2017 (3)'!$R$5:$R$289,$V1644)*$AB1644))</f>
        <v/>
      </c>
      <c r="AD1644" s="205" t="str">
        <f>IF($W1644=AD$3,$AB1644,IF(NOT($W1644=0),"",SUMIFS('Val-Vol (2)'!AD$4:AD$1858,'Val-Vol (2)'!$A$4:$A$1858,$D1644,'Val-Vol (2)'!$V$4:$V$1858,$V1644)/SUMIFS('Comp2016-2017 (3)'!$G$5:$G$289,'Comp2016-2017 (3)'!$A$5:$A$289,$D1644,'Comp2016-2017 (3)'!$R$5:$R$289,$V1644)*$AB1644))</f>
        <v/>
      </c>
      <c r="AE1644" s="205">
        <f>IF($W1644=AE$3,$AB1644,IF(NOT($W1644=0),"",SUMIFS('Val-Vol (2)'!AE$4:AE$1858,'Val-Vol (2)'!$A$4:$A$1858,$D1644,'Val-Vol (2)'!$V$4:$V$1858,$V1644)/SUMIFS('Comp2016-2017 (3)'!$G$5:$G$289,'Comp2016-2017 (3)'!$A$5:$A$289,$D1644,'Comp2016-2017 (3)'!$R$5:$R$289,$V1644)*$AB1644))</f>
        <v>0</v>
      </c>
      <c r="AF1644" s="205" t="str">
        <f>IF($W1644=AF$3,$AB1644,IF(NOT($W1644=0),"",SUMIFS('Val-Vol (2)'!AF$4:AF$1858,'Val-Vol (2)'!$A$4:$A$1858,$D1644,'Val-Vol (2)'!$V$4:$V$1858,$V1644)/SUMIFS('Comp2016-2017 (3)'!$G$5:$G$289,'Comp2016-2017 (3)'!$A$5:$A$289,$D1644,'Comp2016-2017 (3)'!$R$5:$R$289,$V1644)*$AB1644))</f>
        <v/>
      </c>
      <c r="AG1644" s="205" t="str">
        <f>IF($W1644=AG$3,$AB1644,IF(NOT($W1644=0),"",SUMIFS('Val-Vol (2)'!AG$4:AG$1858,'Val-Vol (2)'!$A$4:$A$1858,$D1644,'Val-Vol (2)'!$V$4:$V$1858,$V1644)/SUMIFS('Comp2016-2017 (3)'!$G$5:$G$289,'Comp2016-2017 (3)'!$A$5:$A$289,$D1644,'Comp2016-2017 (3)'!$R$5:$R$289,$V1644)*$AB1644))</f>
        <v/>
      </c>
      <c r="AH1644" s="205" t="str">
        <f>IF($W1644=AH$3,$AB1644,IF(NOT($W1644=0),"",SUMIFS('Val-Vol (2)'!AH$4:AH$1858,'Val-Vol (2)'!$A$4:$A$1858,$D1644,'Val-Vol (2)'!$V$4:$V$1858,$V1644)/SUMIFS('Comp2016-2017 (3)'!$G$5:$G$289,'Comp2016-2017 (3)'!$A$5:$A$289,$D1644,'Comp2016-2017 (3)'!$R$5:$R$289,$V1644)*$AB1644))</f>
        <v/>
      </c>
      <c r="AI1644" s="205" t="str">
        <f>IF($W1644=AI$3,$AB1644,IF(NOT($W1644=0),"",SUMIFS('Val-Vol (2)'!AI$4:AI$1858,'Val-Vol (2)'!$A$4:$A$1858,$D1644,'Val-Vol (2)'!$V$4:$V$1858,$V1644)/SUMIFS('Comp2016-2017 (3)'!$G$5:$G$289,'Comp2016-2017 (3)'!$A$5:$A$289,$D1644,'Comp2016-2017 (3)'!$R$5:$R$289,$V1644)*$AB1644))</f>
        <v/>
      </c>
      <c r="AJ1644" s="205" t="str">
        <f>IF($W1644=AJ$3,$AB1644,IF(NOT($W1644=0),"",SUMIFS('Val-Vol (2)'!AJ$4:AJ$1858,'Val-Vol (2)'!$A$4:$A$1858,$D1644,'Val-Vol (2)'!$V$4:$V$1858,$V1644)/SUMIFS('Comp2016-2017 (3)'!$G$5:$G$289,'Comp2016-2017 (3)'!$A$5:$A$289,$D1644,'Comp2016-2017 (3)'!$R$5:$R$289,$V1644)*$AB1644))</f>
        <v/>
      </c>
      <c r="AK1644" s="205">
        <f t="shared" si="187"/>
        <v>0</v>
      </c>
      <c r="AL1644" s="218" t="str">
        <f t="shared" si="189"/>
        <v/>
      </c>
      <c r="AM1644" s="218" t="str">
        <f>VLOOKUP(A1644,'Table corresp.'!$M$4:$U$63,8,FALSE)</f>
        <v>Production intermédiaire</v>
      </c>
      <c r="AN1644" s="218" t="str">
        <f>VLOOKUP(D1644,'Table corresp.'!$M$4:$U$63,9,FALSE)</f>
        <v>Production finale</v>
      </c>
    </row>
    <row r="1645" spans="1:40" x14ac:dyDescent="0.25">
      <c r="A1645" t="s">
        <v>83</v>
      </c>
      <c r="B1645" t="str">
        <f>VLOOKUP(LEFT(A1645,3),'Table corresp.'!$A$4:$D$63,3,FALSE)</f>
        <v>Transformation</v>
      </c>
      <c r="C1645" t="str">
        <f>VLOOKUP(A1645,'Table corresp.'!$M$4:$P$63,4,FALSE)</f>
        <v>Production et transformation de produits bois</v>
      </c>
      <c r="D1645" t="s">
        <v>19</v>
      </c>
      <c r="E1645" t="str">
        <f>VLOOKUP(LEFT(D1645,3),'Table corresp.'!$A$4:$D$63,4,FALSE)</f>
        <v>Transformation</v>
      </c>
      <c r="F1645" t="str">
        <f t="shared" si="190"/>
        <v xml:space="preserve">14  - 52 </v>
      </c>
      <c r="G1645" s="238">
        <v>795.67150486647301</v>
      </c>
      <c r="H1645" s="238">
        <v>814.91729511706706</v>
      </c>
      <c r="I1645" s="238">
        <v>1610.58880975941</v>
      </c>
      <c r="J1645" s="238">
        <v>11.074177774993641</v>
      </c>
      <c r="K1645" s="238">
        <v>4.6403399094899074</v>
      </c>
      <c r="L1645" s="238">
        <v>15.71451768448355</v>
      </c>
      <c r="M1645" s="238"/>
      <c r="N1645" s="238"/>
      <c r="O1645" s="238"/>
      <c r="P1645" s="238"/>
      <c r="Q1645" s="238"/>
      <c r="R1645" s="238"/>
      <c r="S1645" s="238"/>
      <c r="T1645" s="218">
        <f>VLOOKUP(A1645,'Groupe de branches'!$Z$27:$AM$86,14,FALSE)</f>
        <v>0</v>
      </c>
      <c r="U1645" s="218">
        <f>VLOOKUP(D1645,'Groupe de branches'!$Z$27:$AM$86,14,FALSE)</f>
        <v>0</v>
      </c>
      <c r="V1645" s="218">
        <v>2020</v>
      </c>
      <c r="W1645" s="218" t="str">
        <f>VLOOKUP(D1645,'Table corresp.'!$M$4:$S$63,7,FALSE)</f>
        <v>Construction</v>
      </c>
      <c r="X1645" s="240">
        <f>IFERROR(G1645/SUMIFS('Comp2016-2017 (3)'!$I$5:$I$289,'Comp2016-2017 (3)'!$A$5:$A$289,A1645,'Comp2016-2017 (3)'!$R$5:$R$289,V1645),0)</f>
        <v>7.6126793379617981E-3</v>
      </c>
      <c r="Y1645" s="219" t="e">
        <f>IF(RIGHT(F1645,3)="Exp",VLOOKUP(F1645,#REF!,2,FALSE),VLOOKUP(F1645,#REF!,9,FALSE))</f>
        <v>#REF!</v>
      </c>
      <c r="Z1645" s="226" t="str">
        <f t="shared" si="186"/>
        <v/>
      </c>
      <c r="AA1645" s="226" t="e">
        <f t="shared" si="188"/>
        <v>#VALUE!</v>
      </c>
      <c r="AB1645" s="205">
        <f>IFERROR(SUMIFS('Comp2016-2017 (3)'!$G$5:$G$289,'Comp2016-2017 (3)'!$A$5:$A$289,A1645,'Comp2016-2017 (3)'!$R$5:$R$289,V1645)*AA1645/SUMIFS($AA$4:$AA$1858,$A$4:$A$1858,A1645,$V$4:$V$1858,V1645),0)</f>
        <v>0</v>
      </c>
      <c r="AC1645" s="205" t="str">
        <f>IF($W1645=AC$3,$AB1645,IF(NOT($W1645=0),"",SUMIFS('Val-Vol (2)'!AC$4:AC$1858,'Val-Vol (2)'!$A$4:$A$1858,$D1645,'Val-Vol (2)'!$V$4:$V$1858,$V1645)/SUMIFS('Comp2016-2017 (3)'!$G$5:$G$289,'Comp2016-2017 (3)'!$A$5:$A$289,$D1645,'Comp2016-2017 (3)'!$R$5:$R$289,$V1645)*$AB1645))</f>
        <v/>
      </c>
      <c r="AD1645" s="205">
        <f>IF($W1645=AD$3,$AB1645,IF(NOT($W1645=0),"",SUMIFS('Val-Vol (2)'!AD$4:AD$1858,'Val-Vol (2)'!$A$4:$A$1858,$D1645,'Val-Vol (2)'!$V$4:$V$1858,$V1645)/SUMIFS('Comp2016-2017 (3)'!$G$5:$G$289,'Comp2016-2017 (3)'!$A$5:$A$289,$D1645,'Comp2016-2017 (3)'!$R$5:$R$289,$V1645)*$AB1645))</f>
        <v>0</v>
      </c>
      <c r="AE1645" s="205" t="str">
        <f>IF($W1645=AE$3,$AB1645,IF(NOT($W1645=0),"",SUMIFS('Val-Vol (2)'!AE$4:AE$1858,'Val-Vol (2)'!$A$4:$A$1858,$D1645,'Val-Vol (2)'!$V$4:$V$1858,$V1645)/SUMIFS('Comp2016-2017 (3)'!$G$5:$G$289,'Comp2016-2017 (3)'!$A$5:$A$289,$D1645,'Comp2016-2017 (3)'!$R$5:$R$289,$V1645)*$AB1645))</f>
        <v/>
      </c>
      <c r="AF1645" s="205" t="str">
        <f>IF($W1645=AF$3,$AB1645,IF(NOT($W1645=0),"",SUMIFS('Val-Vol (2)'!AF$4:AF$1858,'Val-Vol (2)'!$A$4:$A$1858,$D1645,'Val-Vol (2)'!$V$4:$V$1858,$V1645)/SUMIFS('Comp2016-2017 (3)'!$G$5:$G$289,'Comp2016-2017 (3)'!$A$5:$A$289,$D1645,'Comp2016-2017 (3)'!$R$5:$R$289,$V1645)*$AB1645))</f>
        <v/>
      </c>
      <c r="AG1645" s="205" t="str">
        <f>IF($W1645=AG$3,$AB1645,IF(NOT($W1645=0),"",SUMIFS('Val-Vol (2)'!AG$4:AG$1858,'Val-Vol (2)'!$A$4:$A$1858,$D1645,'Val-Vol (2)'!$V$4:$V$1858,$V1645)/SUMIFS('Comp2016-2017 (3)'!$G$5:$G$289,'Comp2016-2017 (3)'!$A$5:$A$289,$D1645,'Comp2016-2017 (3)'!$R$5:$R$289,$V1645)*$AB1645))</f>
        <v/>
      </c>
      <c r="AH1645" s="205" t="str">
        <f>IF($W1645=AH$3,$AB1645,IF(NOT($W1645=0),"",SUMIFS('Val-Vol (2)'!AH$4:AH$1858,'Val-Vol (2)'!$A$4:$A$1858,$D1645,'Val-Vol (2)'!$V$4:$V$1858,$V1645)/SUMIFS('Comp2016-2017 (3)'!$G$5:$G$289,'Comp2016-2017 (3)'!$A$5:$A$289,$D1645,'Comp2016-2017 (3)'!$R$5:$R$289,$V1645)*$AB1645))</f>
        <v/>
      </c>
      <c r="AI1645" s="205" t="str">
        <f>IF($W1645=AI$3,$AB1645,IF(NOT($W1645=0),"",SUMIFS('Val-Vol (2)'!AI$4:AI$1858,'Val-Vol (2)'!$A$4:$A$1858,$D1645,'Val-Vol (2)'!$V$4:$V$1858,$V1645)/SUMIFS('Comp2016-2017 (3)'!$G$5:$G$289,'Comp2016-2017 (3)'!$A$5:$A$289,$D1645,'Comp2016-2017 (3)'!$R$5:$R$289,$V1645)*$AB1645))</f>
        <v/>
      </c>
      <c r="AJ1645" s="205" t="str">
        <f>IF($W1645=AJ$3,$AB1645,IF(NOT($W1645=0),"",SUMIFS('Val-Vol (2)'!AJ$4:AJ$1858,'Val-Vol (2)'!$A$4:$A$1858,$D1645,'Val-Vol (2)'!$V$4:$V$1858,$V1645)/SUMIFS('Comp2016-2017 (3)'!$G$5:$G$289,'Comp2016-2017 (3)'!$A$5:$A$289,$D1645,'Comp2016-2017 (3)'!$R$5:$R$289,$V1645)*$AB1645))</f>
        <v/>
      </c>
      <c r="AK1645" s="205">
        <f t="shared" si="187"/>
        <v>0</v>
      </c>
      <c r="AL1645" s="218" t="str">
        <f t="shared" si="189"/>
        <v/>
      </c>
      <c r="AM1645" s="218" t="str">
        <f>VLOOKUP(A1645,'Table corresp.'!$M$4:$U$63,8,FALSE)</f>
        <v>Production intermédiaire</v>
      </c>
      <c r="AN1645" s="218" t="str">
        <f>VLOOKUP(D1645,'Table corresp.'!$M$4:$U$63,9,FALSE)</f>
        <v xml:space="preserve">Mise en œuvre </v>
      </c>
    </row>
    <row r="1646" spans="1:40" x14ac:dyDescent="0.25">
      <c r="A1646" t="s">
        <v>83</v>
      </c>
      <c r="B1646" t="str">
        <f>VLOOKUP(LEFT(A1646,3),'Table corresp.'!$A$4:$D$63,3,FALSE)</f>
        <v>Transformation</v>
      </c>
      <c r="C1646" t="str">
        <f>VLOOKUP(A1646,'Table corresp.'!$M$4:$P$63,4,FALSE)</f>
        <v>Production et transformation de produits bois</v>
      </c>
      <c r="D1646" t="s">
        <v>21</v>
      </c>
      <c r="E1646" t="str">
        <f>VLOOKUP(LEFT(D1646,3),'Table corresp.'!$A$4:$D$63,4,FALSE)</f>
        <v>Transformation</v>
      </c>
      <c r="F1646" t="str">
        <f t="shared" si="190"/>
        <v xml:space="preserve">14  - 54 </v>
      </c>
      <c r="G1646" s="238">
        <v>3084.4759897468198</v>
      </c>
      <c r="H1646" s="238">
        <v>13096.5166866245</v>
      </c>
      <c r="I1646" s="238">
        <v>16180.992171547499</v>
      </c>
      <c r="J1646" s="238">
        <v>17.171928487693194</v>
      </c>
      <c r="K1646" s="238">
        <v>29.829917426167249</v>
      </c>
      <c r="L1646" s="238">
        <v>47.001845913860443</v>
      </c>
      <c r="M1646" s="238"/>
      <c r="N1646" s="238"/>
      <c r="O1646" s="238"/>
      <c r="P1646" s="238"/>
      <c r="Q1646" s="238"/>
      <c r="R1646" s="238"/>
      <c r="S1646" s="238"/>
      <c r="T1646" s="218">
        <f>VLOOKUP(A1646,'Groupe de branches'!$Z$27:$AM$86,14,FALSE)</f>
        <v>0</v>
      </c>
      <c r="U1646" s="218">
        <f>VLOOKUP(D1646,'Groupe de branches'!$Z$27:$AM$86,14,FALSE)</f>
        <v>0</v>
      </c>
      <c r="V1646" s="218">
        <v>2020</v>
      </c>
      <c r="W1646" s="218" t="str">
        <f>VLOOKUP(D1646,'Table corresp.'!$M$4:$S$63,7,FALSE)</f>
        <v>Construction</v>
      </c>
      <c r="X1646" s="240">
        <f>IFERROR(G1646/SUMIFS('Comp2016-2017 (3)'!$I$5:$I$289,'Comp2016-2017 (3)'!$A$5:$A$289,A1646,'Comp2016-2017 (3)'!$R$5:$R$289,V1646),0)</f>
        <v>2.9511081510359492E-2</v>
      </c>
      <c r="Y1646" s="219" t="e">
        <f>IF(RIGHT(F1646,3)="Exp",VLOOKUP(F1646,#REF!,2,FALSE),VLOOKUP(F1646,#REF!,9,FALSE))</f>
        <v>#REF!</v>
      </c>
      <c r="Z1646" s="226" t="str">
        <f t="shared" si="186"/>
        <v/>
      </c>
      <c r="AA1646" s="226" t="e">
        <f t="shared" si="188"/>
        <v>#VALUE!</v>
      </c>
      <c r="AB1646" s="205">
        <f>IFERROR(SUMIFS('Comp2016-2017 (3)'!$G$5:$G$289,'Comp2016-2017 (3)'!$A$5:$A$289,A1646,'Comp2016-2017 (3)'!$R$5:$R$289,V1646)*AA1646/SUMIFS($AA$4:$AA$1858,$A$4:$A$1858,A1646,$V$4:$V$1858,V1646),0)</f>
        <v>0</v>
      </c>
      <c r="AC1646" s="205" t="str">
        <f>IF($W1646=AC$3,$AB1646,IF(NOT($W1646=0),"",SUMIFS('Val-Vol (2)'!AC$4:AC$1858,'Val-Vol (2)'!$A$4:$A$1858,$D1646,'Val-Vol (2)'!$V$4:$V$1858,$V1646)/SUMIFS('Comp2016-2017 (3)'!$G$5:$G$289,'Comp2016-2017 (3)'!$A$5:$A$289,$D1646,'Comp2016-2017 (3)'!$R$5:$R$289,$V1646)*$AB1646))</f>
        <v/>
      </c>
      <c r="AD1646" s="205">
        <f>IF($W1646=AD$3,$AB1646,IF(NOT($W1646=0),"",SUMIFS('Val-Vol (2)'!AD$4:AD$1858,'Val-Vol (2)'!$A$4:$A$1858,$D1646,'Val-Vol (2)'!$V$4:$V$1858,$V1646)/SUMIFS('Comp2016-2017 (3)'!$G$5:$G$289,'Comp2016-2017 (3)'!$A$5:$A$289,$D1646,'Comp2016-2017 (3)'!$R$5:$R$289,$V1646)*$AB1646))</f>
        <v>0</v>
      </c>
      <c r="AE1646" s="205" t="str">
        <f>IF($W1646=AE$3,$AB1646,IF(NOT($W1646=0),"",SUMIFS('Val-Vol (2)'!AE$4:AE$1858,'Val-Vol (2)'!$A$4:$A$1858,$D1646,'Val-Vol (2)'!$V$4:$V$1858,$V1646)/SUMIFS('Comp2016-2017 (3)'!$G$5:$G$289,'Comp2016-2017 (3)'!$A$5:$A$289,$D1646,'Comp2016-2017 (3)'!$R$5:$R$289,$V1646)*$AB1646))</f>
        <v/>
      </c>
      <c r="AF1646" s="205" t="str">
        <f>IF($W1646=AF$3,$AB1646,IF(NOT($W1646=0),"",SUMIFS('Val-Vol (2)'!AF$4:AF$1858,'Val-Vol (2)'!$A$4:$A$1858,$D1646,'Val-Vol (2)'!$V$4:$V$1858,$V1646)/SUMIFS('Comp2016-2017 (3)'!$G$5:$G$289,'Comp2016-2017 (3)'!$A$5:$A$289,$D1646,'Comp2016-2017 (3)'!$R$5:$R$289,$V1646)*$AB1646))</f>
        <v/>
      </c>
      <c r="AG1646" s="205" t="str">
        <f>IF($W1646=AG$3,$AB1646,IF(NOT($W1646=0),"",SUMIFS('Val-Vol (2)'!AG$4:AG$1858,'Val-Vol (2)'!$A$4:$A$1858,$D1646,'Val-Vol (2)'!$V$4:$V$1858,$V1646)/SUMIFS('Comp2016-2017 (3)'!$G$5:$G$289,'Comp2016-2017 (3)'!$A$5:$A$289,$D1646,'Comp2016-2017 (3)'!$R$5:$R$289,$V1646)*$AB1646))</f>
        <v/>
      </c>
      <c r="AH1646" s="205" t="str">
        <f>IF($W1646=AH$3,$AB1646,IF(NOT($W1646=0),"",SUMIFS('Val-Vol (2)'!AH$4:AH$1858,'Val-Vol (2)'!$A$4:$A$1858,$D1646,'Val-Vol (2)'!$V$4:$V$1858,$V1646)/SUMIFS('Comp2016-2017 (3)'!$G$5:$G$289,'Comp2016-2017 (3)'!$A$5:$A$289,$D1646,'Comp2016-2017 (3)'!$R$5:$R$289,$V1646)*$AB1646))</f>
        <v/>
      </c>
      <c r="AI1646" s="205" t="str">
        <f>IF($W1646=AI$3,$AB1646,IF(NOT($W1646=0),"",SUMIFS('Val-Vol (2)'!AI$4:AI$1858,'Val-Vol (2)'!$A$4:$A$1858,$D1646,'Val-Vol (2)'!$V$4:$V$1858,$V1646)/SUMIFS('Comp2016-2017 (3)'!$G$5:$G$289,'Comp2016-2017 (3)'!$A$5:$A$289,$D1646,'Comp2016-2017 (3)'!$R$5:$R$289,$V1646)*$AB1646))</f>
        <v/>
      </c>
      <c r="AJ1646" s="205" t="str">
        <f>IF($W1646=AJ$3,$AB1646,IF(NOT($W1646=0),"",SUMIFS('Val-Vol (2)'!AJ$4:AJ$1858,'Val-Vol (2)'!$A$4:$A$1858,$D1646,'Val-Vol (2)'!$V$4:$V$1858,$V1646)/SUMIFS('Comp2016-2017 (3)'!$G$5:$G$289,'Comp2016-2017 (3)'!$A$5:$A$289,$D1646,'Comp2016-2017 (3)'!$R$5:$R$289,$V1646)*$AB1646))</f>
        <v/>
      </c>
      <c r="AK1646" s="205">
        <f t="shared" si="187"/>
        <v>0</v>
      </c>
      <c r="AL1646" s="218" t="str">
        <f t="shared" si="189"/>
        <v/>
      </c>
      <c r="AM1646" s="218" t="str">
        <f>VLOOKUP(A1646,'Table corresp.'!$M$4:$U$63,8,FALSE)</f>
        <v>Production intermédiaire</v>
      </c>
      <c r="AN1646" s="218" t="str">
        <f>VLOOKUP(D1646,'Table corresp.'!$M$4:$U$63,9,FALSE)</f>
        <v xml:space="preserve">Mise en œuvre </v>
      </c>
    </row>
    <row r="1647" spans="1:40" x14ac:dyDescent="0.25">
      <c r="A1647" t="s">
        <v>83</v>
      </c>
      <c r="B1647" t="str">
        <f>VLOOKUP(LEFT(A1647,3),'Table corresp.'!$A$4:$D$63,3,FALSE)</f>
        <v>Transformation</v>
      </c>
      <c r="C1647" t="str">
        <f>VLOOKUP(A1647,'Table corresp.'!$M$4:$P$63,4,FALSE)</f>
        <v>Production et transformation de produits bois</v>
      </c>
      <c r="D1647" t="s">
        <v>22</v>
      </c>
      <c r="E1647" t="str">
        <f>VLOOKUP(LEFT(D1647,3),'Table corresp.'!$A$4:$D$63,4,FALSE)</f>
        <v>Transformation</v>
      </c>
      <c r="F1647" t="str">
        <f t="shared" si="190"/>
        <v xml:space="preserve">14  - 55 </v>
      </c>
      <c r="G1647" s="238">
        <v>517.88536788678402</v>
      </c>
      <c r="H1647" s="238">
        <v>937.655227533328</v>
      </c>
      <c r="I1647" s="238">
        <v>1455.5405795419299</v>
      </c>
      <c r="J1647" s="238">
        <v>2.8831770880163337</v>
      </c>
      <c r="K1647" s="238">
        <v>2.1356959778548776</v>
      </c>
      <c r="L1647" s="238">
        <v>5.0188730658712117</v>
      </c>
      <c r="M1647" s="238"/>
      <c r="N1647" s="238"/>
      <c r="O1647" s="238"/>
      <c r="P1647" s="238"/>
      <c r="Q1647" s="238"/>
      <c r="R1647" s="238"/>
      <c r="S1647" s="238"/>
      <c r="T1647" s="218">
        <f>VLOOKUP(A1647,'Groupe de branches'!$Z$27:$AM$86,14,FALSE)</f>
        <v>0</v>
      </c>
      <c r="U1647" s="218">
        <f>VLOOKUP(D1647,'Groupe de branches'!$Z$27:$AM$86,14,FALSE)</f>
        <v>0</v>
      </c>
      <c r="V1647" s="218">
        <v>2020</v>
      </c>
      <c r="W1647" s="218" t="str">
        <f>VLOOKUP(D1647,'Table corresp.'!$M$4:$S$63,7,FALSE)</f>
        <v>Construction</v>
      </c>
      <c r="X1647" s="240">
        <f>IFERROR(G1647/SUMIFS('Comp2016-2017 (3)'!$I$5:$I$289,'Comp2016-2017 (3)'!$A$5:$A$289,A1647,'Comp2016-2017 (3)'!$R$5:$R$289,V1647),0)</f>
        <v>4.9549282781040172E-3</v>
      </c>
      <c r="Y1647" s="219" t="e">
        <f>IF(RIGHT(F1647,3)="Exp",VLOOKUP(F1647,#REF!,2,FALSE),VLOOKUP(F1647,#REF!,9,FALSE))</f>
        <v>#REF!</v>
      </c>
      <c r="Z1647" s="226" t="str">
        <f t="shared" si="186"/>
        <v/>
      </c>
      <c r="AA1647" s="226" t="e">
        <f t="shared" si="188"/>
        <v>#VALUE!</v>
      </c>
      <c r="AB1647" s="205">
        <f>IFERROR(SUMIFS('Comp2016-2017 (3)'!$G$5:$G$289,'Comp2016-2017 (3)'!$A$5:$A$289,A1647,'Comp2016-2017 (3)'!$R$5:$R$289,V1647)*AA1647/SUMIFS($AA$4:$AA$1858,$A$4:$A$1858,A1647,$V$4:$V$1858,V1647),0)</f>
        <v>0</v>
      </c>
      <c r="AC1647" s="205" t="str">
        <f>IF($W1647=AC$3,$AB1647,IF(NOT($W1647=0),"",SUMIFS('Val-Vol (2)'!AC$4:AC$1858,'Val-Vol (2)'!$A$4:$A$1858,$D1647,'Val-Vol (2)'!$V$4:$V$1858,$V1647)/SUMIFS('Comp2016-2017 (3)'!$G$5:$G$289,'Comp2016-2017 (3)'!$A$5:$A$289,$D1647,'Comp2016-2017 (3)'!$R$5:$R$289,$V1647)*$AB1647))</f>
        <v/>
      </c>
      <c r="AD1647" s="205">
        <f>IF($W1647=AD$3,$AB1647,IF(NOT($W1647=0),"",SUMIFS('Val-Vol (2)'!AD$4:AD$1858,'Val-Vol (2)'!$A$4:$A$1858,$D1647,'Val-Vol (2)'!$V$4:$V$1858,$V1647)/SUMIFS('Comp2016-2017 (3)'!$G$5:$G$289,'Comp2016-2017 (3)'!$A$5:$A$289,$D1647,'Comp2016-2017 (3)'!$R$5:$R$289,$V1647)*$AB1647))</f>
        <v>0</v>
      </c>
      <c r="AE1647" s="205" t="str">
        <f>IF($W1647=AE$3,$AB1647,IF(NOT($W1647=0),"",SUMIFS('Val-Vol (2)'!AE$4:AE$1858,'Val-Vol (2)'!$A$4:$A$1858,$D1647,'Val-Vol (2)'!$V$4:$V$1858,$V1647)/SUMIFS('Comp2016-2017 (3)'!$G$5:$G$289,'Comp2016-2017 (3)'!$A$5:$A$289,$D1647,'Comp2016-2017 (3)'!$R$5:$R$289,$V1647)*$AB1647))</f>
        <v/>
      </c>
      <c r="AF1647" s="205" t="str">
        <f>IF($W1647=AF$3,$AB1647,IF(NOT($W1647=0),"",SUMIFS('Val-Vol (2)'!AF$4:AF$1858,'Val-Vol (2)'!$A$4:$A$1858,$D1647,'Val-Vol (2)'!$V$4:$V$1858,$V1647)/SUMIFS('Comp2016-2017 (3)'!$G$5:$G$289,'Comp2016-2017 (3)'!$A$5:$A$289,$D1647,'Comp2016-2017 (3)'!$R$5:$R$289,$V1647)*$AB1647))</f>
        <v/>
      </c>
      <c r="AG1647" s="205" t="str">
        <f>IF($W1647=AG$3,$AB1647,IF(NOT($W1647=0),"",SUMIFS('Val-Vol (2)'!AG$4:AG$1858,'Val-Vol (2)'!$A$4:$A$1858,$D1647,'Val-Vol (2)'!$V$4:$V$1858,$V1647)/SUMIFS('Comp2016-2017 (3)'!$G$5:$G$289,'Comp2016-2017 (3)'!$A$5:$A$289,$D1647,'Comp2016-2017 (3)'!$R$5:$R$289,$V1647)*$AB1647))</f>
        <v/>
      </c>
      <c r="AH1647" s="205" t="str">
        <f>IF($W1647=AH$3,$AB1647,IF(NOT($W1647=0),"",SUMIFS('Val-Vol (2)'!AH$4:AH$1858,'Val-Vol (2)'!$A$4:$A$1858,$D1647,'Val-Vol (2)'!$V$4:$V$1858,$V1647)/SUMIFS('Comp2016-2017 (3)'!$G$5:$G$289,'Comp2016-2017 (3)'!$A$5:$A$289,$D1647,'Comp2016-2017 (3)'!$R$5:$R$289,$V1647)*$AB1647))</f>
        <v/>
      </c>
      <c r="AI1647" s="205" t="str">
        <f>IF($W1647=AI$3,$AB1647,IF(NOT($W1647=0),"",SUMIFS('Val-Vol (2)'!AI$4:AI$1858,'Val-Vol (2)'!$A$4:$A$1858,$D1647,'Val-Vol (2)'!$V$4:$V$1858,$V1647)/SUMIFS('Comp2016-2017 (3)'!$G$5:$G$289,'Comp2016-2017 (3)'!$A$5:$A$289,$D1647,'Comp2016-2017 (3)'!$R$5:$R$289,$V1647)*$AB1647))</f>
        <v/>
      </c>
      <c r="AJ1647" s="205" t="str">
        <f>IF($W1647=AJ$3,$AB1647,IF(NOT($W1647=0),"",SUMIFS('Val-Vol (2)'!AJ$4:AJ$1858,'Val-Vol (2)'!$A$4:$A$1858,$D1647,'Val-Vol (2)'!$V$4:$V$1858,$V1647)/SUMIFS('Comp2016-2017 (3)'!$G$5:$G$289,'Comp2016-2017 (3)'!$A$5:$A$289,$D1647,'Comp2016-2017 (3)'!$R$5:$R$289,$V1647)*$AB1647))</f>
        <v/>
      </c>
      <c r="AK1647" s="205">
        <f t="shared" si="187"/>
        <v>0</v>
      </c>
      <c r="AL1647" s="218" t="str">
        <f t="shared" si="189"/>
        <v/>
      </c>
      <c r="AM1647" s="218" t="str">
        <f>VLOOKUP(A1647,'Table corresp.'!$M$4:$U$63,8,FALSE)</f>
        <v>Production intermédiaire</v>
      </c>
      <c r="AN1647" s="218" t="str">
        <f>VLOOKUP(D1647,'Table corresp.'!$M$4:$U$63,9,FALSE)</f>
        <v xml:space="preserve">Mise en œuvre </v>
      </c>
    </row>
    <row r="1648" spans="1:40" x14ac:dyDescent="0.25">
      <c r="A1648" t="s">
        <v>83</v>
      </c>
      <c r="B1648" t="str">
        <f>VLOOKUP(LEFT(A1648,3),'Table corresp.'!$A$4:$D$63,3,FALSE)</f>
        <v>Transformation</v>
      </c>
      <c r="C1648" t="str">
        <f>VLOOKUP(A1648,'Table corresp.'!$M$4:$P$63,4,FALSE)</f>
        <v>Production et transformation de produits bois</v>
      </c>
      <c r="D1648" t="s">
        <v>24</v>
      </c>
      <c r="E1648" t="str">
        <f>VLOOKUP(LEFT(D1648,3),'Table corresp.'!$A$4:$D$63,4,FALSE)</f>
        <v>Transformation</v>
      </c>
      <c r="F1648" t="str">
        <f t="shared" si="190"/>
        <v xml:space="preserve">14  - 57 </v>
      </c>
      <c r="G1648" s="238">
        <v>3811.3499419191498</v>
      </c>
      <c r="H1648" s="238">
        <v>5968.0288573990401</v>
      </c>
      <c r="I1648" s="238">
        <v>9779.3787333960699</v>
      </c>
      <c r="J1648" s="238">
        <v>48.224066157698964</v>
      </c>
      <c r="K1648" s="238">
        <v>30.894024632834196</v>
      </c>
      <c r="L1648" s="238">
        <v>79.118090790533159</v>
      </c>
      <c r="M1648" s="238"/>
      <c r="N1648" s="238"/>
      <c r="O1648" s="238"/>
      <c r="P1648" s="238"/>
      <c r="Q1648" s="238"/>
      <c r="R1648" s="238"/>
      <c r="S1648" s="238"/>
      <c r="T1648" s="218">
        <f>VLOOKUP(A1648,'Groupe de branches'!$Z$27:$AM$86,14,FALSE)</f>
        <v>0</v>
      </c>
      <c r="U1648" s="218">
        <f>VLOOKUP(D1648,'Groupe de branches'!$Z$27:$AM$86,14,FALSE)</f>
        <v>0</v>
      </c>
      <c r="V1648" s="218">
        <v>2020</v>
      </c>
      <c r="W1648" s="218" t="str">
        <f>VLOOKUP(D1648,'Table corresp.'!$M$4:$S$63,7,FALSE)</f>
        <v>Construction</v>
      </c>
      <c r="X1648" s="240">
        <f>IFERROR(G1648/SUMIFS('Comp2016-2017 (3)'!$I$5:$I$289,'Comp2016-2017 (3)'!$A$5:$A$289,A1648,'Comp2016-2017 (3)'!$R$5:$R$289,V1648),0)</f>
        <v>3.6465532289558296E-2</v>
      </c>
      <c r="Y1648" s="219" t="e">
        <f>IF(RIGHT(F1648,3)="Exp",VLOOKUP(F1648,#REF!,2,FALSE),VLOOKUP(F1648,#REF!,9,FALSE))</f>
        <v>#REF!</v>
      </c>
      <c r="Z1648" s="226" t="str">
        <f t="shared" si="186"/>
        <v/>
      </c>
      <c r="AA1648" s="226" t="e">
        <f t="shared" si="188"/>
        <v>#VALUE!</v>
      </c>
      <c r="AB1648" s="205">
        <f>IFERROR(SUMIFS('Comp2016-2017 (3)'!$G$5:$G$289,'Comp2016-2017 (3)'!$A$5:$A$289,A1648,'Comp2016-2017 (3)'!$R$5:$R$289,V1648)*AA1648/SUMIFS($AA$4:$AA$1858,$A$4:$A$1858,A1648,$V$4:$V$1858,V1648),0)</f>
        <v>0</v>
      </c>
      <c r="AC1648" s="205" t="str">
        <f>IF($W1648=AC$3,$AB1648,IF(NOT($W1648=0),"",SUMIFS('Val-Vol (2)'!AC$4:AC$1858,'Val-Vol (2)'!$A$4:$A$1858,$D1648,'Val-Vol (2)'!$V$4:$V$1858,$V1648)/SUMIFS('Comp2016-2017 (3)'!$G$5:$G$289,'Comp2016-2017 (3)'!$A$5:$A$289,$D1648,'Comp2016-2017 (3)'!$R$5:$R$289,$V1648)*$AB1648))</f>
        <v/>
      </c>
      <c r="AD1648" s="205">
        <f>IF($W1648=AD$3,$AB1648,IF(NOT($W1648=0),"",SUMIFS('Val-Vol (2)'!AD$4:AD$1858,'Val-Vol (2)'!$A$4:$A$1858,$D1648,'Val-Vol (2)'!$V$4:$V$1858,$V1648)/SUMIFS('Comp2016-2017 (3)'!$G$5:$G$289,'Comp2016-2017 (3)'!$A$5:$A$289,$D1648,'Comp2016-2017 (3)'!$R$5:$R$289,$V1648)*$AB1648))</f>
        <v>0</v>
      </c>
      <c r="AE1648" s="205" t="str">
        <f>IF($W1648=AE$3,$AB1648,IF(NOT($W1648=0),"",SUMIFS('Val-Vol (2)'!AE$4:AE$1858,'Val-Vol (2)'!$A$4:$A$1858,$D1648,'Val-Vol (2)'!$V$4:$V$1858,$V1648)/SUMIFS('Comp2016-2017 (3)'!$G$5:$G$289,'Comp2016-2017 (3)'!$A$5:$A$289,$D1648,'Comp2016-2017 (3)'!$R$5:$R$289,$V1648)*$AB1648))</f>
        <v/>
      </c>
      <c r="AF1648" s="205" t="str">
        <f>IF($W1648=AF$3,$AB1648,IF(NOT($W1648=0),"",SUMIFS('Val-Vol (2)'!AF$4:AF$1858,'Val-Vol (2)'!$A$4:$A$1858,$D1648,'Val-Vol (2)'!$V$4:$V$1858,$V1648)/SUMIFS('Comp2016-2017 (3)'!$G$5:$G$289,'Comp2016-2017 (3)'!$A$5:$A$289,$D1648,'Comp2016-2017 (3)'!$R$5:$R$289,$V1648)*$AB1648))</f>
        <v/>
      </c>
      <c r="AG1648" s="205" t="str">
        <f>IF($W1648=AG$3,$AB1648,IF(NOT($W1648=0),"",SUMIFS('Val-Vol (2)'!AG$4:AG$1858,'Val-Vol (2)'!$A$4:$A$1858,$D1648,'Val-Vol (2)'!$V$4:$V$1858,$V1648)/SUMIFS('Comp2016-2017 (3)'!$G$5:$G$289,'Comp2016-2017 (3)'!$A$5:$A$289,$D1648,'Comp2016-2017 (3)'!$R$5:$R$289,$V1648)*$AB1648))</f>
        <v/>
      </c>
      <c r="AH1648" s="205" t="str">
        <f>IF($W1648=AH$3,$AB1648,IF(NOT($W1648=0),"",SUMIFS('Val-Vol (2)'!AH$4:AH$1858,'Val-Vol (2)'!$A$4:$A$1858,$D1648,'Val-Vol (2)'!$V$4:$V$1858,$V1648)/SUMIFS('Comp2016-2017 (3)'!$G$5:$G$289,'Comp2016-2017 (3)'!$A$5:$A$289,$D1648,'Comp2016-2017 (3)'!$R$5:$R$289,$V1648)*$AB1648))</f>
        <v/>
      </c>
      <c r="AI1648" s="205" t="str">
        <f>IF($W1648=AI$3,$AB1648,IF(NOT($W1648=0),"",SUMIFS('Val-Vol (2)'!AI$4:AI$1858,'Val-Vol (2)'!$A$4:$A$1858,$D1648,'Val-Vol (2)'!$V$4:$V$1858,$V1648)/SUMIFS('Comp2016-2017 (3)'!$G$5:$G$289,'Comp2016-2017 (3)'!$A$5:$A$289,$D1648,'Comp2016-2017 (3)'!$R$5:$R$289,$V1648)*$AB1648))</f>
        <v/>
      </c>
      <c r="AJ1648" s="205" t="str">
        <f>IF($W1648=AJ$3,$AB1648,IF(NOT($W1648=0),"",SUMIFS('Val-Vol (2)'!AJ$4:AJ$1858,'Val-Vol (2)'!$A$4:$A$1858,$D1648,'Val-Vol (2)'!$V$4:$V$1858,$V1648)/SUMIFS('Comp2016-2017 (3)'!$G$5:$G$289,'Comp2016-2017 (3)'!$A$5:$A$289,$D1648,'Comp2016-2017 (3)'!$R$5:$R$289,$V1648)*$AB1648))</f>
        <v/>
      </c>
      <c r="AK1648" s="205">
        <f t="shared" si="187"/>
        <v>0</v>
      </c>
      <c r="AL1648" s="218" t="str">
        <f t="shared" si="189"/>
        <v/>
      </c>
      <c r="AM1648" s="218" t="str">
        <f>VLOOKUP(A1648,'Table corresp.'!$M$4:$U$63,8,FALSE)</f>
        <v>Production intermédiaire</v>
      </c>
      <c r="AN1648" s="218" t="str">
        <f>VLOOKUP(D1648,'Table corresp.'!$M$4:$U$63,9,FALSE)</f>
        <v xml:space="preserve">Mise en œuvre </v>
      </c>
    </row>
    <row r="1649" spans="1:40" x14ac:dyDescent="0.25">
      <c r="A1649" t="s">
        <v>83</v>
      </c>
      <c r="B1649" t="str">
        <f>VLOOKUP(LEFT(A1649,3),'Table corresp.'!$A$4:$D$63,3,FALSE)</f>
        <v>Transformation</v>
      </c>
      <c r="C1649" t="str">
        <f>VLOOKUP(A1649,'Table corresp.'!$M$4:$P$63,4,FALSE)</f>
        <v>Production et transformation de produits bois</v>
      </c>
      <c r="D1649" t="s">
        <v>26</v>
      </c>
      <c r="E1649" t="str">
        <f>VLOOKUP(LEFT(D1649,3),'Table corresp.'!$A$4:$D$63,4,FALSE)</f>
        <v>Transformation</v>
      </c>
      <c r="F1649" t="str">
        <f t="shared" si="190"/>
        <v xml:space="preserve">14  - 59 </v>
      </c>
      <c r="G1649" s="238">
        <v>639.26396498173096</v>
      </c>
      <c r="H1649" s="238">
        <v>969.700762478819</v>
      </c>
      <c r="I1649" s="238">
        <v>1608.96471811282</v>
      </c>
      <c r="J1649" s="238">
        <v>8.8972933554319358</v>
      </c>
      <c r="K1649" s="238">
        <v>5.5217151180315129</v>
      </c>
      <c r="L1649" s="238">
        <v>14.41900847346345</v>
      </c>
      <c r="M1649" s="238"/>
      <c r="N1649" s="238"/>
      <c r="O1649" s="238"/>
      <c r="P1649" s="238"/>
      <c r="Q1649" s="238"/>
      <c r="R1649" s="238"/>
      <c r="S1649" s="238"/>
      <c r="T1649" s="218">
        <f>VLOOKUP(A1649,'Groupe de branches'!$Z$27:$AM$86,14,FALSE)</f>
        <v>0</v>
      </c>
      <c r="U1649" s="218">
        <f>VLOOKUP(D1649,'Groupe de branches'!$Z$27:$AM$86,14,FALSE)</f>
        <v>0</v>
      </c>
      <c r="V1649" s="218">
        <v>2020</v>
      </c>
      <c r="W1649" s="218" t="str">
        <f>VLOOKUP(D1649,'Table corresp.'!$M$4:$S$63,7,FALSE)</f>
        <v>Construction</v>
      </c>
      <c r="X1649" s="240">
        <f>IFERROR(G1649/SUMIFS('Comp2016-2017 (3)'!$I$5:$I$289,'Comp2016-2017 (3)'!$A$5:$A$289,A1649,'Comp2016-2017 (3)'!$R$5:$R$289,V1649),0)</f>
        <v>6.1162320731048929E-3</v>
      </c>
      <c r="Y1649" s="219" t="e">
        <f>IF(RIGHT(F1649,3)="Exp",VLOOKUP(F1649,#REF!,2,FALSE),VLOOKUP(F1649,#REF!,9,FALSE))</f>
        <v>#REF!</v>
      </c>
      <c r="Z1649" s="226" t="str">
        <f t="shared" si="186"/>
        <v/>
      </c>
      <c r="AA1649" s="226" t="e">
        <f t="shared" si="188"/>
        <v>#VALUE!</v>
      </c>
      <c r="AB1649" s="205">
        <f>IFERROR(SUMIFS('Comp2016-2017 (3)'!$G$5:$G$289,'Comp2016-2017 (3)'!$A$5:$A$289,A1649,'Comp2016-2017 (3)'!$R$5:$R$289,V1649)*AA1649/SUMIFS($AA$4:$AA$1858,$A$4:$A$1858,A1649,$V$4:$V$1858,V1649),0)</f>
        <v>0</v>
      </c>
      <c r="AC1649" s="205" t="str">
        <f>IF($W1649=AC$3,$AB1649,IF(NOT($W1649=0),"",SUMIFS('Val-Vol (2)'!AC$4:AC$1858,'Val-Vol (2)'!$A$4:$A$1858,$D1649,'Val-Vol (2)'!$V$4:$V$1858,$V1649)/SUMIFS('Comp2016-2017 (3)'!$G$5:$G$289,'Comp2016-2017 (3)'!$A$5:$A$289,$D1649,'Comp2016-2017 (3)'!$R$5:$R$289,$V1649)*$AB1649))</f>
        <v/>
      </c>
      <c r="AD1649" s="205">
        <f>IF($W1649=AD$3,$AB1649,IF(NOT($W1649=0),"",SUMIFS('Val-Vol (2)'!AD$4:AD$1858,'Val-Vol (2)'!$A$4:$A$1858,$D1649,'Val-Vol (2)'!$V$4:$V$1858,$V1649)/SUMIFS('Comp2016-2017 (3)'!$G$5:$G$289,'Comp2016-2017 (3)'!$A$5:$A$289,$D1649,'Comp2016-2017 (3)'!$R$5:$R$289,$V1649)*$AB1649))</f>
        <v>0</v>
      </c>
      <c r="AE1649" s="205" t="str">
        <f>IF($W1649=AE$3,$AB1649,IF(NOT($W1649=0),"",SUMIFS('Val-Vol (2)'!AE$4:AE$1858,'Val-Vol (2)'!$A$4:$A$1858,$D1649,'Val-Vol (2)'!$V$4:$V$1858,$V1649)/SUMIFS('Comp2016-2017 (3)'!$G$5:$G$289,'Comp2016-2017 (3)'!$A$5:$A$289,$D1649,'Comp2016-2017 (3)'!$R$5:$R$289,$V1649)*$AB1649))</f>
        <v/>
      </c>
      <c r="AF1649" s="205" t="str">
        <f>IF($W1649=AF$3,$AB1649,IF(NOT($W1649=0),"",SUMIFS('Val-Vol (2)'!AF$4:AF$1858,'Val-Vol (2)'!$A$4:$A$1858,$D1649,'Val-Vol (2)'!$V$4:$V$1858,$V1649)/SUMIFS('Comp2016-2017 (3)'!$G$5:$G$289,'Comp2016-2017 (3)'!$A$5:$A$289,$D1649,'Comp2016-2017 (3)'!$R$5:$R$289,$V1649)*$AB1649))</f>
        <v/>
      </c>
      <c r="AG1649" s="205" t="str">
        <f>IF($W1649=AG$3,$AB1649,IF(NOT($W1649=0),"",SUMIFS('Val-Vol (2)'!AG$4:AG$1858,'Val-Vol (2)'!$A$4:$A$1858,$D1649,'Val-Vol (2)'!$V$4:$V$1858,$V1649)/SUMIFS('Comp2016-2017 (3)'!$G$5:$G$289,'Comp2016-2017 (3)'!$A$5:$A$289,$D1649,'Comp2016-2017 (3)'!$R$5:$R$289,$V1649)*$AB1649))</f>
        <v/>
      </c>
      <c r="AH1649" s="205" t="str">
        <f>IF($W1649=AH$3,$AB1649,IF(NOT($W1649=0),"",SUMIFS('Val-Vol (2)'!AH$4:AH$1858,'Val-Vol (2)'!$A$4:$A$1858,$D1649,'Val-Vol (2)'!$V$4:$V$1858,$V1649)/SUMIFS('Comp2016-2017 (3)'!$G$5:$G$289,'Comp2016-2017 (3)'!$A$5:$A$289,$D1649,'Comp2016-2017 (3)'!$R$5:$R$289,$V1649)*$AB1649))</f>
        <v/>
      </c>
      <c r="AI1649" s="205" t="str">
        <f>IF($W1649=AI$3,$AB1649,IF(NOT($W1649=0),"",SUMIFS('Val-Vol (2)'!AI$4:AI$1858,'Val-Vol (2)'!$A$4:$A$1858,$D1649,'Val-Vol (2)'!$V$4:$V$1858,$V1649)/SUMIFS('Comp2016-2017 (3)'!$G$5:$G$289,'Comp2016-2017 (3)'!$A$5:$A$289,$D1649,'Comp2016-2017 (3)'!$R$5:$R$289,$V1649)*$AB1649))</f>
        <v/>
      </c>
      <c r="AJ1649" s="205" t="str">
        <f>IF($W1649=AJ$3,$AB1649,IF(NOT($W1649=0),"",SUMIFS('Val-Vol (2)'!AJ$4:AJ$1858,'Val-Vol (2)'!$A$4:$A$1858,$D1649,'Val-Vol (2)'!$V$4:$V$1858,$V1649)/SUMIFS('Comp2016-2017 (3)'!$G$5:$G$289,'Comp2016-2017 (3)'!$A$5:$A$289,$D1649,'Comp2016-2017 (3)'!$R$5:$R$289,$V1649)*$AB1649))</f>
        <v/>
      </c>
      <c r="AK1649" s="205">
        <f t="shared" si="187"/>
        <v>0</v>
      </c>
      <c r="AL1649" s="218" t="str">
        <f t="shared" si="189"/>
        <v/>
      </c>
      <c r="AM1649" s="218" t="str">
        <f>VLOOKUP(A1649,'Table corresp.'!$M$4:$U$63,8,FALSE)</f>
        <v>Production intermédiaire</v>
      </c>
      <c r="AN1649" s="218" t="str">
        <f>VLOOKUP(D1649,'Table corresp.'!$M$4:$U$63,9,FALSE)</f>
        <v xml:space="preserve">Mise en œuvre </v>
      </c>
    </row>
    <row r="1650" spans="1:40" x14ac:dyDescent="0.25">
      <c r="A1650" t="s">
        <v>83</v>
      </c>
      <c r="B1650" t="str">
        <f>VLOOKUP(LEFT(A1650,3),'Table corresp.'!$A$4:$D$63,3,FALSE)</f>
        <v>Transformation</v>
      </c>
      <c r="C1650" t="str">
        <f>VLOOKUP(A1650,'Table corresp.'!$M$4:$P$63,4,FALSE)</f>
        <v>Production et transformation de produits bois</v>
      </c>
      <c r="D1650" t="s">
        <v>54</v>
      </c>
      <c r="E1650" t="str">
        <f>VLOOKUP(LEFT(D1650,3),'Table corresp.'!$A$4:$D$63,4,FALSE)</f>
        <v>Consommation finale</v>
      </c>
      <c r="F1650" t="str">
        <f t="shared" si="190"/>
        <v>14  - Con</v>
      </c>
      <c r="G1650" s="238">
        <v>240.118926733291</v>
      </c>
      <c r="H1650" s="238">
        <v>926.53874186473104</v>
      </c>
      <c r="I1650" s="238">
        <v>1166.65763437742</v>
      </c>
      <c r="J1650" s="238">
        <v>2.6735854337087339</v>
      </c>
      <c r="K1650" s="238">
        <v>3.713924985501909</v>
      </c>
      <c r="L1650" s="238">
        <v>6.3875104192106429</v>
      </c>
      <c r="M1650" s="238"/>
      <c r="N1650" s="238"/>
      <c r="O1650" s="238"/>
      <c r="P1650" s="238"/>
      <c r="Q1650" s="238"/>
      <c r="R1650" s="238"/>
      <c r="S1650" s="238"/>
      <c r="T1650" s="218">
        <f>VLOOKUP(A1650,'Groupe de branches'!$Z$27:$AM$86,14,FALSE)</f>
        <v>0</v>
      </c>
      <c r="U1650" s="218">
        <f>VLOOKUP(D1650,'Groupe de branches'!$Z$27:$AM$86,14,FALSE)</f>
        <v>0</v>
      </c>
      <c r="V1650" s="218">
        <v>2020</v>
      </c>
      <c r="W1650" s="218" t="str">
        <f>VLOOKUP(D1650,'Table corresp.'!$M$4:$S$63,7,FALSE)</f>
        <v>Consommation finale</v>
      </c>
      <c r="X1650" s="240">
        <f>IFERROR(G1650/SUMIFS('Comp2016-2017 (3)'!$I$5:$I$289,'Comp2016-2017 (3)'!$A$5:$A$289,A1650,'Comp2016-2017 (3)'!$R$5:$R$289,V1650),0)</f>
        <v>2.2973656603460339E-3</v>
      </c>
      <c r="Y1650" s="219" t="e">
        <f>IF(RIGHT(F1650,3)="Exp",VLOOKUP(F1650,#REF!,2,FALSE),VLOOKUP(F1650,#REF!,9,FALSE))</f>
        <v>#REF!</v>
      </c>
      <c r="Z1650" s="226" t="str">
        <f t="shared" si="186"/>
        <v/>
      </c>
      <c r="AA1650" s="226" t="e">
        <f t="shared" si="188"/>
        <v>#VALUE!</v>
      </c>
      <c r="AB1650" s="205">
        <f>IFERROR(SUMIFS('Comp2016-2017 (3)'!$G$5:$G$289,'Comp2016-2017 (3)'!$A$5:$A$289,A1650,'Comp2016-2017 (3)'!$R$5:$R$289,V1650)*AA1650/SUMIFS($AA$4:$AA$1858,$A$4:$A$1858,A1650,$V$4:$V$1858,V1650),0)</f>
        <v>0</v>
      </c>
      <c r="AC1650" s="205" t="str">
        <f>IF($W1650=AC$3,$AB1650,IF(NOT($W1650=0),"",SUMIFS('Val-Vol (2)'!AC$4:AC$1858,'Val-Vol (2)'!$A$4:$A$1858,$D1650,'Val-Vol (2)'!$V$4:$V$1858,$V1650)/SUMIFS('Comp2016-2017 (3)'!$G$5:$G$289,'Comp2016-2017 (3)'!$A$5:$A$289,$D1650,'Comp2016-2017 (3)'!$R$5:$R$289,$V1650)*$AB1650))</f>
        <v/>
      </c>
      <c r="AD1650" s="205" t="str">
        <f>IF($W1650=AD$3,$AB1650,IF(NOT($W1650=0),"",SUMIFS('Val-Vol (2)'!AD$4:AD$1858,'Val-Vol (2)'!$A$4:$A$1858,$D1650,'Val-Vol (2)'!$V$4:$V$1858,$V1650)/SUMIFS('Comp2016-2017 (3)'!$G$5:$G$289,'Comp2016-2017 (3)'!$A$5:$A$289,$D1650,'Comp2016-2017 (3)'!$R$5:$R$289,$V1650)*$AB1650))</f>
        <v/>
      </c>
      <c r="AE1650" s="205" t="str">
        <f>IF($W1650=AE$3,$AB1650,IF(NOT($W1650=0),"",SUMIFS('Val-Vol (2)'!AE$4:AE$1858,'Val-Vol (2)'!$A$4:$A$1858,$D1650,'Val-Vol (2)'!$V$4:$V$1858,$V1650)/SUMIFS('Comp2016-2017 (3)'!$G$5:$G$289,'Comp2016-2017 (3)'!$A$5:$A$289,$D1650,'Comp2016-2017 (3)'!$R$5:$R$289,$V1650)*$AB1650))</f>
        <v/>
      </c>
      <c r="AF1650" s="205" t="str">
        <f>IF($W1650=AF$3,$AB1650,IF(NOT($W1650=0),"",SUMIFS('Val-Vol (2)'!AF$4:AF$1858,'Val-Vol (2)'!$A$4:$A$1858,$D1650,'Val-Vol (2)'!$V$4:$V$1858,$V1650)/SUMIFS('Comp2016-2017 (3)'!$G$5:$G$289,'Comp2016-2017 (3)'!$A$5:$A$289,$D1650,'Comp2016-2017 (3)'!$R$5:$R$289,$V1650)*$AB1650))</f>
        <v/>
      </c>
      <c r="AG1650" s="205" t="str">
        <f>IF($W1650=AG$3,$AB1650,IF(NOT($W1650=0),"",SUMIFS('Val-Vol (2)'!AG$4:AG$1858,'Val-Vol (2)'!$A$4:$A$1858,$D1650,'Val-Vol (2)'!$V$4:$V$1858,$V1650)/SUMIFS('Comp2016-2017 (3)'!$G$5:$G$289,'Comp2016-2017 (3)'!$A$5:$A$289,$D1650,'Comp2016-2017 (3)'!$R$5:$R$289,$V1650)*$AB1650))</f>
        <v/>
      </c>
      <c r="AH1650" s="205" t="str">
        <f>IF($W1650=AH$3,$AB1650,IF(NOT($W1650=0),"",SUMIFS('Val-Vol (2)'!AH$4:AH$1858,'Val-Vol (2)'!$A$4:$A$1858,$D1650,'Val-Vol (2)'!$V$4:$V$1858,$V1650)/SUMIFS('Comp2016-2017 (3)'!$G$5:$G$289,'Comp2016-2017 (3)'!$A$5:$A$289,$D1650,'Comp2016-2017 (3)'!$R$5:$R$289,$V1650)*$AB1650))</f>
        <v/>
      </c>
      <c r="AI1650" s="205" t="str">
        <f>IF($W1650=AI$3,$AB1650,IF(NOT($W1650=0),"",SUMIFS('Val-Vol (2)'!AI$4:AI$1858,'Val-Vol (2)'!$A$4:$A$1858,$D1650,'Val-Vol (2)'!$V$4:$V$1858,$V1650)/SUMIFS('Comp2016-2017 (3)'!$G$5:$G$289,'Comp2016-2017 (3)'!$A$5:$A$289,$D1650,'Comp2016-2017 (3)'!$R$5:$R$289,$V1650)*$AB1650))</f>
        <v/>
      </c>
      <c r="AJ1650" s="205">
        <f>IF($W1650=AJ$3,$AB1650,IF(NOT($W1650=0),"",SUMIFS('Val-Vol (2)'!AJ$4:AJ$1858,'Val-Vol (2)'!$A$4:$A$1858,$D1650,'Val-Vol (2)'!$V$4:$V$1858,$V1650)/SUMIFS('Comp2016-2017 (3)'!$G$5:$G$289,'Comp2016-2017 (3)'!$A$5:$A$289,$D1650,'Comp2016-2017 (3)'!$R$5:$R$289,$V1650)*$AB1650))</f>
        <v>0</v>
      </c>
      <c r="AK1650" s="205">
        <f t="shared" si="187"/>
        <v>0</v>
      </c>
      <c r="AL1650" s="218" t="str">
        <f t="shared" si="189"/>
        <v/>
      </c>
      <c r="AM1650" s="218" t="str">
        <f>VLOOKUP(A1650,'Table corresp.'!$M$4:$U$63,8,FALSE)</f>
        <v>Production intermédiaire</v>
      </c>
      <c r="AN1650" s="218" t="str">
        <f>VLOOKUP(D1650,'Table corresp.'!$M$4:$U$63,9,FALSE)</f>
        <v>Consommation finale française</v>
      </c>
    </row>
    <row r="1651" spans="1:40" x14ac:dyDescent="0.25">
      <c r="A1651" t="s">
        <v>83</v>
      </c>
      <c r="B1651" t="str">
        <f>VLOOKUP(LEFT(A1651,3),'Table corresp.'!$A$4:$D$63,3,FALSE)</f>
        <v>Transformation</v>
      </c>
      <c r="C1651" t="str">
        <f>VLOOKUP(A1651,'Table corresp.'!$M$4:$P$63,4,FALSE)</f>
        <v>Production et transformation de produits bois</v>
      </c>
      <c r="D1651" t="s">
        <v>53</v>
      </c>
      <c r="E1651" t="str">
        <f>VLOOKUP(LEFT(D1651,3),'Table corresp.'!$A$4:$D$63,4,FALSE)</f>
        <v>Exportation</v>
      </c>
      <c r="F1651" t="str">
        <f t="shared" si="190"/>
        <v>14  - Exp</v>
      </c>
      <c r="G1651" s="238">
        <v>83940.930859458706</v>
      </c>
      <c r="H1651" s="238">
        <v>0</v>
      </c>
      <c r="I1651" s="238">
        <v>83940.936585999894</v>
      </c>
      <c r="J1651" s="238">
        <v>597.67282859950296</v>
      </c>
      <c r="K1651" s="238">
        <v>0</v>
      </c>
      <c r="L1651" s="238">
        <v>597.67282859950296</v>
      </c>
      <c r="M1651" s="238"/>
      <c r="N1651" s="238"/>
      <c r="O1651" s="238"/>
      <c r="P1651" s="238"/>
      <c r="Q1651" s="238"/>
      <c r="R1651" s="238"/>
      <c r="S1651" s="238"/>
      <c r="T1651" s="218">
        <f>VLOOKUP(A1651,'Groupe de branches'!$Z$27:$AM$86,14,FALSE)</f>
        <v>0</v>
      </c>
      <c r="U1651" s="218">
        <f>VLOOKUP(D1651,'Groupe de branches'!$Z$27:$AM$86,14,FALSE)</f>
        <v>0</v>
      </c>
      <c r="V1651" s="218">
        <v>2020</v>
      </c>
      <c r="W1651" s="218" t="str">
        <f>VLOOKUP(D1651,'Table corresp.'!$M$4:$S$63,7,FALSE)</f>
        <v>Exportation</v>
      </c>
      <c r="X1651" s="240">
        <f>IFERROR(G1651/SUMIFS('Comp2016-2017 (3)'!$I$5:$I$289,'Comp2016-2017 (3)'!$A$5:$A$289,A1651,'Comp2016-2017 (3)'!$R$5:$R$289,V1651),0)</f>
        <v>0.80311458441674199</v>
      </c>
      <c r="Y1651" s="219" t="e">
        <f>IF(RIGHT(F1651,3)="Exp",VLOOKUP(F1651,#REF!,2,FALSE),VLOOKUP(F1651,#REF!,9,FALSE))</f>
        <v>#REF!</v>
      </c>
      <c r="Z1651" s="226" t="str">
        <f t="shared" si="186"/>
        <v/>
      </c>
      <c r="AA1651" s="226" t="e">
        <f t="shared" si="188"/>
        <v>#VALUE!</v>
      </c>
      <c r="AB1651" s="205">
        <f>IFERROR(SUMIFS('Comp2016-2017 (3)'!$G$5:$G$289,'Comp2016-2017 (3)'!$A$5:$A$289,A1651,'Comp2016-2017 (3)'!$R$5:$R$289,V1651)*AA1651/SUMIFS($AA$4:$AA$1858,$A$4:$A$1858,A1651,$V$4:$V$1858,V1651),0)</f>
        <v>0</v>
      </c>
      <c r="AC1651" s="205">
        <f>IF($W1651=AC$3,$AB1651,IF(NOT($W1651=0),"",SUMIFS('Val-Vol (2)'!AC$4:AC$1858,'Val-Vol (2)'!$A$4:$A$1858,$D1651,'Val-Vol (2)'!$V$4:$V$1858,$V1651)/SUMIFS('Comp2016-2017 (3)'!$G$5:$G$289,'Comp2016-2017 (3)'!$A$5:$A$289,$D1651,'Comp2016-2017 (3)'!$R$5:$R$289,$V1651)*$AB1651))</f>
        <v>0</v>
      </c>
      <c r="AD1651" s="205" t="str">
        <f>IF($W1651=AD$3,$AB1651,IF(NOT($W1651=0),"",SUMIFS('Val-Vol (2)'!AD$4:AD$1858,'Val-Vol (2)'!$A$4:$A$1858,$D1651,'Val-Vol (2)'!$V$4:$V$1858,$V1651)/SUMIFS('Comp2016-2017 (3)'!$G$5:$G$289,'Comp2016-2017 (3)'!$A$5:$A$289,$D1651,'Comp2016-2017 (3)'!$R$5:$R$289,$V1651)*$AB1651))</f>
        <v/>
      </c>
      <c r="AE1651" s="205" t="str">
        <f>IF($W1651=AE$3,$AB1651,IF(NOT($W1651=0),"",SUMIFS('Val-Vol (2)'!AE$4:AE$1858,'Val-Vol (2)'!$A$4:$A$1858,$D1651,'Val-Vol (2)'!$V$4:$V$1858,$V1651)/SUMIFS('Comp2016-2017 (3)'!$G$5:$G$289,'Comp2016-2017 (3)'!$A$5:$A$289,$D1651,'Comp2016-2017 (3)'!$R$5:$R$289,$V1651)*$AB1651))</f>
        <v/>
      </c>
      <c r="AF1651" s="205" t="str">
        <f>IF($W1651=AF$3,$AB1651,IF(NOT($W1651=0),"",SUMIFS('Val-Vol (2)'!AF$4:AF$1858,'Val-Vol (2)'!$A$4:$A$1858,$D1651,'Val-Vol (2)'!$V$4:$V$1858,$V1651)/SUMIFS('Comp2016-2017 (3)'!$G$5:$G$289,'Comp2016-2017 (3)'!$A$5:$A$289,$D1651,'Comp2016-2017 (3)'!$R$5:$R$289,$V1651)*$AB1651))</f>
        <v/>
      </c>
      <c r="AG1651" s="205" t="str">
        <f>IF($W1651=AG$3,$AB1651,IF(NOT($W1651=0),"",SUMIFS('Val-Vol (2)'!AG$4:AG$1858,'Val-Vol (2)'!$A$4:$A$1858,$D1651,'Val-Vol (2)'!$V$4:$V$1858,$V1651)/SUMIFS('Comp2016-2017 (3)'!$G$5:$G$289,'Comp2016-2017 (3)'!$A$5:$A$289,$D1651,'Comp2016-2017 (3)'!$R$5:$R$289,$V1651)*$AB1651))</f>
        <v/>
      </c>
      <c r="AH1651" s="205" t="str">
        <f>IF($W1651=AH$3,$AB1651,IF(NOT($W1651=0),"",SUMIFS('Val-Vol (2)'!AH$4:AH$1858,'Val-Vol (2)'!$A$4:$A$1858,$D1651,'Val-Vol (2)'!$V$4:$V$1858,$V1651)/SUMIFS('Comp2016-2017 (3)'!$G$5:$G$289,'Comp2016-2017 (3)'!$A$5:$A$289,$D1651,'Comp2016-2017 (3)'!$R$5:$R$289,$V1651)*$AB1651))</f>
        <v/>
      </c>
      <c r="AI1651" s="205" t="str">
        <f>IF($W1651=AI$3,$AB1651,IF(NOT($W1651=0),"",SUMIFS('Val-Vol (2)'!AI$4:AI$1858,'Val-Vol (2)'!$A$4:$A$1858,$D1651,'Val-Vol (2)'!$V$4:$V$1858,$V1651)/SUMIFS('Comp2016-2017 (3)'!$G$5:$G$289,'Comp2016-2017 (3)'!$A$5:$A$289,$D1651,'Comp2016-2017 (3)'!$R$5:$R$289,$V1651)*$AB1651))</f>
        <v/>
      </c>
      <c r="AJ1651" s="205" t="str">
        <f>IF($W1651=AJ$3,$AB1651,IF(NOT($W1651=0),"",SUMIFS('Val-Vol (2)'!AJ$4:AJ$1858,'Val-Vol (2)'!$A$4:$A$1858,$D1651,'Val-Vol (2)'!$V$4:$V$1858,$V1651)/SUMIFS('Comp2016-2017 (3)'!$G$5:$G$289,'Comp2016-2017 (3)'!$A$5:$A$289,$D1651,'Comp2016-2017 (3)'!$R$5:$R$289,$V1651)*$AB1651))</f>
        <v/>
      </c>
      <c r="AK1651" s="205">
        <f t="shared" si="187"/>
        <v>0</v>
      </c>
      <c r="AL1651" s="218" t="str">
        <f t="shared" si="189"/>
        <v/>
      </c>
      <c r="AM1651" s="218" t="str">
        <f>VLOOKUP(A1651,'Table corresp.'!$M$4:$U$63,8,FALSE)</f>
        <v>Production intermédiaire</v>
      </c>
      <c r="AN1651" s="218" t="str">
        <f>VLOOKUP(D1651,'Table corresp.'!$M$4:$U$63,9,FALSE)</f>
        <v>Exportation</v>
      </c>
    </row>
    <row r="1652" spans="1:40" x14ac:dyDescent="0.25">
      <c r="A1652" t="s">
        <v>9</v>
      </c>
      <c r="B1652" t="str">
        <f>VLOOKUP(LEFT(A1652,3),'Table corresp.'!$A$4:$D$63,3,FALSE)</f>
        <v>Transformation</v>
      </c>
      <c r="C1652" t="str">
        <f>VLOOKUP(A1652,'Table corresp.'!$M$4:$P$63,4,FALSE)</f>
        <v>Production et transformation de produits bois</v>
      </c>
      <c r="D1652" t="s">
        <v>13</v>
      </c>
      <c r="E1652" t="str">
        <f>VLOOKUP(LEFT(D1652,3),'Table corresp.'!$A$4:$D$63,4,FALSE)</f>
        <v>Transformation</v>
      </c>
      <c r="F1652" t="str">
        <f t="shared" si="190"/>
        <v xml:space="preserve">15  - 20 </v>
      </c>
      <c r="G1652" s="238">
        <v>64278.816283395397</v>
      </c>
      <c r="H1652" s="238">
        <v>0</v>
      </c>
      <c r="I1652" s="238">
        <v>64278.816283395397</v>
      </c>
      <c r="J1652" s="238">
        <v>477.42781453827388</v>
      </c>
      <c r="K1652" s="238">
        <v>0</v>
      </c>
      <c r="L1652" s="238">
        <v>477.42781453827388</v>
      </c>
      <c r="M1652" s="238"/>
      <c r="N1652" s="238"/>
      <c r="O1652" s="238"/>
      <c r="P1652" s="238"/>
      <c r="Q1652" s="238"/>
      <c r="R1652" s="238"/>
      <c r="S1652" s="238"/>
      <c r="T1652" s="218">
        <f>VLOOKUP(A1652,'Groupe de branches'!$Z$27:$AM$86,14,FALSE)</f>
        <v>0</v>
      </c>
      <c r="U1652" s="218">
        <f>VLOOKUP(D1652,'Groupe de branches'!$Z$27:$AM$86,14,FALSE)</f>
        <v>0</v>
      </c>
      <c r="V1652" s="218">
        <v>2020</v>
      </c>
      <c r="W1652" s="218">
        <f>VLOOKUP(D1652,'Table corresp.'!$M$4:$S$63,7,FALSE)</f>
        <v>0</v>
      </c>
      <c r="X1652" s="240">
        <f>IFERROR(G1652/SUMIFS('Comp2016-2017 (3)'!$I$5:$I$289,'Comp2016-2017 (3)'!$A$5:$A$289,A1652,'Comp2016-2017 (3)'!$R$5:$R$289,V1652),0)</f>
        <v>0.27634464062903957</v>
      </c>
      <c r="Y1652" s="219" t="e">
        <f>IF(RIGHT(F1652,3)="Exp",VLOOKUP(F1652,#REF!,2,FALSE),VLOOKUP(F1652,#REF!,9,FALSE))</f>
        <v>#REF!</v>
      </c>
      <c r="Z1652" s="226" t="str">
        <f t="shared" si="186"/>
        <v/>
      </c>
      <c r="AA1652" s="226" t="e">
        <f t="shared" si="188"/>
        <v>#VALUE!</v>
      </c>
      <c r="AB1652" s="205">
        <f>IFERROR(SUMIFS('Comp2016-2017 (3)'!$G$5:$G$289,'Comp2016-2017 (3)'!$A$5:$A$289,A1652,'Comp2016-2017 (3)'!$R$5:$R$289,V1652)*AA1652/SUMIFS($AA$4:$AA$1858,$A$4:$A$1858,A1652,$V$4:$V$1858,V1652),0)</f>
        <v>0</v>
      </c>
      <c r="AC1652" s="205">
        <f>IF($W1652=AC$3,$AB1652,IF(NOT($W1652=0),"",SUMIFS('Val-Vol (2)'!AC$4:AC$1858,'Val-Vol (2)'!$A$4:$A$1858,$D1652,'Val-Vol (2)'!$V$4:$V$1858,$V1652)/SUMIFS('Comp2016-2017 (3)'!$G$5:$G$289,'Comp2016-2017 (3)'!$A$5:$A$289,$D1652,'Comp2016-2017 (3)'!$R$5:$R$289,$V1652)*$AB1652))</f>
        <v>0</v>
      </c>
      <c r="AD1652" s="205">
        <f>IF($W1652=AD$3,$AB1652,IF(NOT($W1652=0),"",SUMIFS('Val-Vol (2)'!AD$4:AD$1858,'Val-Vol (2)'!$A$4:$A$1858,$D1652,'Val-Vol (2)'!$V$4:$V$1858,$V1652)/SUMIFS('Comp2016-2017 (3)'!$G$5:$G$289,'Comp2016-2017 (3)'!$A$5:$A$289,$D1652,'Comp2016-2017 (3)'!$R$5:$R$289,$V1652)*$AB1652))</f>
        <v>0</v>
      </c>
      <c r="AE1652" s="205">
        <f>IF($W1652=AE$3,$AB1652,IF(NOT($W1652=0),"",SUMIFS('Val-Vol (2)'!AE$4:AE$1858,'Val-Vol (2)'!$A$4:$A$1858,$D1652,'Val-Vol (2)'!$V$4:$V$1858,$V1652)/SUMIFS('Comp2016-2017 (3)'!$G$5:$G$289,'Comp2016-2017 (3)'!$A$5:$A$289,$D1652,'Comp2016-2017 (3)'!$R$5:$R$289,$V1652)*$AB1652))</f>
        <v>0</v>
      </c>
      <c r="AF1652" s="205">
        <f>IF($W1652=AF$3,$AB1652,IF(NOT($W1652=0),"",SUMIFS('Val-Vol (2)'!AF$4:AF$1858,'Val-Vol (2)'!$A$4:$A$1858,$D1652,'Val-Vol (2)'!$V$4:$V$1858,$V1652)/SUMIFS('Comp2016-2017 (3)'!$G$5:$G$289,'Comp2016-2017 (3)'!$A$5:$A$289,$D1652,'Comp2016-2017 (3)'!$R$5:$R$289,$V1652)*$AB1652))</f>
        <v>0</v>
      </c>
      <c r="AG1652" s="205">
        <f>IF($W1652=AG$3,$AB1652,IF(NOT($W1652=0),"",SUMIFS('Val-Vol (2)'!AG$4:AG$1858,'Val-Vol (2)'!$A$4:$A$1858,$D1652,'Val-Vol (2)'!$V$4:$V$1858,$V1652)/SUMIFS('Comp2016-2017 (3)'!$G$5:$G$289,'Comp2016-2017 (3)'!$A$5:$A$289,$D1652,'Comp2016-2017 (3)'!$R$5:$R$289,$V1652)*$AB1652))</f>
        <v>0</v>
      </c>
      <c r="AH1652" s="205">
        <f>IF($W1652=AH$3,$AB1652,IF(NOT($W1652=0),"",SUMIFS('Val-Vol (2)'!AH$4:AH$1858,'Val-Vol (2)'!$A$4:$A$1858,$D1652,'Val-Vol (2)'!$V$4:$V$1858,$V1652)/SUMIFS('Comp2016-2017 (3)'!$G$5:$G$289,'Comp2016-2017 (3)'!$A$5:$A$289,$D1652,'Comp2016-2017 (3)'!$R$5:$R$289,$V1652)*$AB1652))</f>
        <v>0</v>
      </c>
      <c r="AI1652" s="205">
        <f>IF($W1652=AI$3,$AB1652,IF(NOT($W1652=0),"",SUMIFS('Val-Vol (2)'!AI$4:AI$1858,'Val-Vol (2)'!$A$4:$A$1858,$D1652,'Val-Vol (2)'!$V$4:$V$1858,$V1652)/SUMIFS('Comp2016-2017 (3)'!$G$5:$G$289,'Comp2016-2017 (3)'!$A$5:$A$289,$D1652,'Comp2016-2017 (3)'!$R$5:$R$289,$V1652)*$AB1652))</f>
        <v>0</v>
      </c>
      <c r="AJ1652" s="205">
        <f>IF($W1652=AJ$3,$AB1652,IF(NOT($W1652=0),"",SUMIFS('Val-Vol (2)'!AJ$4:AJ$1858,'Val-Vol (2)'!$A$4:$A$1858,$D1652,'Val-Vol (2)'!$V$4:$V$1858,$V1652)/SUMIFS('Comp2016-2017 (3)'!$G$5:$G$289,'Comp2016-2017 (3)'!$A$5:$A$289,$D1652,'Comp2016-2017 (3)'!$R$5:$R$289,$V1652)*$AB1652))</f>
        <v>0</v>
      </c>
      <c r="AK1652" s="205">
        <f t="shared" si="187"/>
        <v>0</v>
      </c>
      <c r="AL1652" s="218" t="str">
        <f t="shared" si="189"/>
        <v/>
      </c>
      <c r="AM1652" s="218" t="str">
        <f>VLOOKUP(A1652,'Table corresp.'!$M$4:$U$63,8,FALSE)</f>
        <v>Production intermédiaire</v>
      </c>
      <c r="AN1652" s="218" t="str">
        <f>VLOOKUP(D1652,'Table corresp.'!$M$4:$U$63,9,FALSE)</f>
        <v>Production intermédiaire</v>
      </c>
    </row>
    <row r="1653" spans="1:40" x14ac:dyDescent="0.25">
      <c r="A1653" t="s">
        <v>9</v>
      </c>
      <c r="B1653" t="str">
        <f>VLOOKUP(LEFT(A1653,3),'Table corresp.'!$A$4:$D$63,3,FALSE)</f>
        <v>Transformation</v>
      </c>
      <c r="C1653" t="str">
        <f>VLOOKUP(A1653,'Table corresp.'!$M$4:$P$63,4,FALSE)</f>
        <v>Production et transformation de produits bois</v>
      </c>
      <c r="D1653" t="s">
        <v>14</v>
      </c>
      <c r="E1653" t="str">
        <f>VLOOKUP(LEFT(D1653,3),'Table corresp.'!$A$4:$D$63,4,FALSE)</f>
        <v>Transformation</v>
      </c>
      <c r="F1653" t="str">
        <f t="shared" si="190"/>
        <v>15  - 20b</v>
      </c>
      <c r="G1653" s="238">
        <v>2843.2154267597298</v>
      </c>
      <c r="H1653" s="238">
        <v>0</v>
      </c>
      <c r="I1653" s="238">
        <v>2843.2154267597398</v>
      </c>
      <c r="J1653" s="238">
        <v>23.639379574275235</v>
      </c>
      <c r="K1653" s="238">
        <v>0</v>
      </c>
      <c r="L1653" s="238">
        <v>23.639379574275235</v>
      </c>
      <c r="M1653" s="238"/>
      <c r="N1653" s="238"/>
      <c r="O1653" s="238"/>
      <c r="P1653" s="238"/>
      <c r="Q1653" s="238"/>
      <c r="R1653" s="238"/>
      <c r="S1653" s="238"/>
      <c r="T1653" s="218">
        <f>VLOOKUP(A1653,'Groupe de branches'!$Z$27:$AM$86,14,FALSE)</f>
        <v>0</v>
      </c>
      <c r="U1653" s="218">
        <f>VLOOKUP(D1653,'Groupe de branches'!$Z$27:$AM$86,14,FALSE)</f>
        <v>0</v>
      </c>
      <c r="V1653" s="218">
        <v>2020</v>
      </c>
      <c r="W1653" s="218">
        <f>VLOOKUP(D1653,'Table corresp.'!$M$4:$S$63,7,FALSE)</f>
        <v>0</v>
      </c>
      <c r="X1653" s="240">
        <f>IFERROR(G1653/SUMIFS('Comp2016-2017 (3)'!$I$5:$I$289,'Comp2016-2017 (3)'!$A$5:$A$289,A1653,'Comp2016-2017 (3)'!$R$5:$R$289,V1653),0)</f>
        <v>1.2223425862025777E-2</v>
      </c>
      <c r="Y1653" s="219" t="e">
        <f>IF(RIGHT(F1653,3)="Exp",VLOOKUP(F1653,#REF!,2,FALSE),VLOOKUP(F1653,#REF!,9,FALSE))</f>
        <v>#REF!</v>
      </c>
      <c r="Z1653" s="226" t="str">
        <f t="shared" si="186"/>
        <v/>
      </c>
      <c r="AA1653" s="226" t="e">
        <f t="shared" si="188"/>
        <v>#VALUE!</v>
      </c>
      <c r="AB1653" s="205">
        <f>IFERROR(SUMIFS('Comp2016-2017 (3)'!$G$5:$G$289,'Comp2016-2017 (3)'!$A$5:$A$289,A1653,'Comp2016-2017 (3)'!$R$5:$R$289,V1653)*AA1653/SUMIFS($AA$4:$AA$1858,$A$4:$A$1858,A1653,$V$4:$V$1858,V1653),0)</f>
        <v>0</v>
      </c>
      <c r="AC1653" s="205">
        <f>IF($W1653=AC$3,$AB1653,IF(NOT($W1653=0),"",SUMIFS('Val-Vol (2)'!AC$4:AC$1858,'Val-Vol (2)'!$A$4:$A$1858,$D1653,'Val-Vol (2)'!$V$4:$V$1858,$V1653)/SUMIFS('Comp2016-2017 (3)'!$G$5:$G$289,'Comp2016-2017 (3)'!$A$5:$A$289,$D1653,'Comp2016-2017 (3)'!$R$5:$R$289,$V1653)*$AB1653))</f>
        <v>0</v>
      </c>
      <c r="AD1653" s="205">
        <f>IF($W1653=AD$3,$AB1653,IF(NOT($W1653=0),"",SUMIFS('Val-Vol (2)'!AD$4:AD$1858,'Val-Vol (2)'!$A$4:$A$1858,$D1653,'Val-Vol (2)'!$V$4:$V$1858,$V1653)/SUMIFS('Comp2016-2017 (3)'!$G$5:$G$289,'Comp2016-2017 (3)'!$A$5:$A$289,$D1653,'Comp2016-2017 (3)'!$R$5:$R$289,$V1653)*$AB1653))</f>
        <v>0</v>
      </c>
      <c r="AE1653" s="205">
        <f>IF($W1653=AE$3,$AB1653,IF(NOT($W1653=0),"",SUMIFS('Val-Vol (2)'!AE$4:AE$1858,'Val-Vol (2)'!$A$4:$A$1858,$D1653,'Val-Vol (2)'!$V$4:$V$1858,$V1653)/SUMIFS('Comp2016-2017 (3)'!$G$5:$G$289,'Comp2016-2017 (3)'!$A$5:$A$289,$D1653,'Comp2016-2017 (3)'!$R$5:$R$289,$V1653)*$AB1653))</f>
        <v>0</v>
      </c>
      <c r="AF1653" s="205">
        <f>IF($W1653=AF$3,$AB1653,IF(NOT($W1653=0),"",SUMIFS('Val-Vol (2)'!AF$4:AF$1858,'Val-Vol (2)'!$A$4:$A$1858,$D1653,'Val-Vol (2)'!$V$4:$V$1858,$V1653)/SUMIFS('Comp2016-2017 (3)'!$G$5:$G$289,'Comp2016-2017 (3)'!$A$5:$A$289,$D1653,'Comp2016-2017 (3)'!$R$5:$R$289,$V1653)*$AB1653))</f>
        <v>0</v>
      </c>
      <c r="AG1653" s="205">
        <f>IF($W1653=AG$3,$AB1653,IF(NOT($W1653=0),"",SUMIFS('Val-Vol (2)'!AG$4:AG$1858,'Val-Vol (2)'!$A$4:$A$1858,$D1653,'Val-Vol (2)'!$V$4:$V$1858,$V1653)/SUMIFS('Comp2016-2017 (3)'!$G$5:$G$289,'Comp2016-2017 (3)'!$A$5:$A$289,$D1653,'Comp2016-2017 (3)'!$R$5:$R$289,$V1653)*$AB1653))</f>
        <v>0</v>
      </c>
      <c r="AH1653" s="205">
        <f>IF($W1653=AH$3,$AB1653,IF(NOT($W1653=0),"",SUMIFS('Val-Vol (2)'!AH$4:AH$1858,'Val-Vol (2)'!$A$4:$A$1858,$D1653,'Val-Vol (2)'!$V$4:$V$1858,$V1653)/SUMIFS('Comp2016-2017 (3)'!$G$5:$G$289,'Comp2016-2017 (3)'!$A$5:$A$289,$D1653,'Comp2016-2017 (3)'!$R$5:$R$289,$V1653)*$AB1653))</f>
        <v>0</v>
      </c>
      <c r="AI1653" s="205">
        <f>IF($W1653=AI$3,$AB1653,IF(NOT($W1653=0),"",SUMIFS('Val-Vol (2)'!AI$4:AI$1858,'Val-Vol (2)'!$A$4:$A$1858,$D1653,'Val-Vol (2)'!$V$4:$V$1858,$V1653)/SUMIFS('Comp2016-2017 (3)'!$G$5:$G$289,'Comp2016-2017 (3)'!$A$5:$A$289,$D1653,'Comp2016-2017 (3)'!$R$5:$R$289,$V1653)*$AB1653))</f>
        <v>0</v>
      </c>
      <c r="AJ1653" s="205">
        <f>IF($W1653=AJ$3,$AB1653,IF(NOT($W1653=0),"",SUMIFS('Val-Vol (2)'!AJ$4:AJ$1858,'Val-Vol (2)'!$A$4:$A$1858,$D1653,'Val-Vol (2)'!$V$4:$V$1858,$V1653)/SUMIFS('Comp2016-2017 (3)'!$G$5:$G$289,'Comp2016-2017 (3)'!$A$5:$A$289,$D1653,'Comp2016-2017 (3)'!$R$5:$R$289,$V1653)*$AB1653))</f>
        <v>0</v>
      </c>
      <c r="AK1653" s="205">
        <f t="shared" si="187"/>
        <v>0</v>
      </c>
      <c r="AL1653" s="218" t="str">
        <f t="shared" si="189"/>
        <v/>
      </c>
      <c r="AM1653" s="218" t="str">
        <f>VLOOKUP(A1653,'Table corresp.'!$M$4:$U$63,8,FALSE)</f>
        <v>Production intermédiaire</v>
      </c>
      <c r="AN1653" s="218" t="str">
        <f>VLOOKUP(D1653,'Table corresp.'!$M$4:$U$63,9,FALSE)</f>
        <v>Production intermédiaire</v>
      </c>
    </row>
    <row r="1654" spans="1:40" x14ac:dyDescent="0.25">
      <c r="A1654" t="s">
        <v>9</v>
      </c>
      <c r="B1654" t="str">
        <f>VLOOKUP(LEFT(A1654,3),'Table corresp.'!$A$4:$D$63,3,FALSE)</f>
        <v>Transformation</v>
      </c>
      <c r="C1654" t="str">
        <f>VLOOKUP(A1654,'Table corresp.'!$M$4:$P$63,4,FALSE)</f>
        <v>Production et transformation de produits bois</v>
      </c>
      <c r="D1654" t="s">
        <v>85</v>
      </c>
      <c r="E1654" t="str">
        <f>VLOOKUP(LEFT(D1654,3),'Table corresp.'!$A$4:$D$63,4,FALSE)</f>
        <v>Transformation</v>
      </c>
      <c r="F1654" t="str">
        <f t="shared" si="190"/>
        <v xml:space="preserve">15  - 29 </v>
      </c>
      <c r="G1654" s="238">
        <v>919.29409371102804</v>
      </c>
      <c r="H1654" s="238">
        <v>0</v>
      </c>
      <c r="I1654" s="238">
        <v>919.29409371102804</v>
      </c>
      <c r="J1654" s="238">
        <v>9.227044108342259</v>
      </c>
      <c r="K1654" s="238">
        <v>0</v>
      </c>
      <c r="L1654" s="238">
        <v>9.227044108342259</v>
      </c>
      <c r="M1654" s="238"/>
      <c r="N1654" s="238"/>
      <c r="O1654" s="238"/>
      <c r="P1654" s="238"/>
      <c r="Q1654" s="238"/>
      <c r="R1654" s="238"/>
      <c r="S1654" s="238"/>
      <c r="T1654" s="218">
        <f>VLOOKUP(A1654,'Groupe de branches'!$Z$27:$AM$86,14,FALSE)</f>
        <v>0</v>
      </c>
      <c r="U1654" s="218">
        <f>VLOOKUP(D1654,'Groupe de branches'!$Z$27:$AM$86,14,FALSE)</f>
        <v>0</v>
      </c>
      <c r="V1654" s="218">
        <v>2020</v>
      </c>
      <c r="W1654" s="218" t="str">
        <f>VLOOKUP(D1654,'Table corresp.'!$M$4:$S$63,7,FALSE)</f>
        <v>Construction</v>
      </c>
      <c r="X1654" s="240">
        <f>IFERROR(G1654/SUMIFS('Comp2016-2017 (3)'!$I$5:$I$289,'Comp2016-2017 (3)'!$A$5:$A$289,A1654,'Comp2016-2017 (3)'!$R$5:$R$289,V1654),0)</f>
        <v>3.9521884603310152E-3</v>
      </c>
      <c r="Y1654" s="219" t="e">
        <f>IF(RIGHT(F1654,3)="Exp",VLOOKUP(F1654,#REF!,2,FALSE),VLOOKUP(F1654,#REF!,9,FALSE))</f>
        <v>#REF!</v>
      </c>
      <c r="Z1654" s="226" t="str">
        <f t="shared" si="186"/>
        <v/>
      </c>
      <c r="AA1654" s="226" t="e">
        <f t="shared" si="188"/>
        <v>#VALUE!</v>
      </c>
      <c r="AB1654" s="205">
        <f>IFERROR(SUMIFS('Comp2016-2017 (3)'!$G$5:$G$289,'Comp2016-2017 (3)'!$A$5:$A$289,A1654,'Comp2016-2017 (3)'!$R$5:$R$289,V1654)*AA1654/SUMIFS($AA$4:$AA$1858,$A$4:$A$1858,A1654,$V$4:$V$1858,V1654),0)</f>
        <v>0</v>
      </c>
      <c r="AC1654" s="205" t="str">
        <f>IF($W1654=AC$3,$AB1654,IF(NOT($W1654=0),"",SUMIFS('Val-Vol (2)'!AC$4:AC$1858,'Val-Vol (2)'!$A$4:$A$1858,$D1654,'Val-Vol (2)'!$V$4:$V$1858,$V1654)/SUMIFS('Comp2016-2017 (3)'!$G$5:$G$289,'Comp2016-2017 (3)'!$A$5:$A$289,$D1654,'Comp2016-2017 (3)'!$R$5:$R$289,$V1654)*$AB1654))</f>
        <v/>
      </c>
      <c r="AD1654" s="205">
        <f>IF($W1654=AD$3,$AB1654,IF(NOT($W1654=0),"",SUMIFS('Val-Vol (2)'!AD$4:AD$1858,'Val-Vol (2)'!$A$4:$A$1858,$D1654,'Val-Vol (2)'!$V$4:$V$1858,$V1654)/SUMIFS('Comp2016-2017 (3)'!$G$5:$G$289,'Comp2016-2017 (3)'!$A$5:$A$289,$D1654,'Comp2016-2017 (3)'!$R$5:$R$289,$V1654)*$AB1654))</f>
        <v>0</v>
      </c>
      <c r="AE1654" s="205" t="str">
        <f>IF($W1654=AE$3,$AB1654,IF(NOT($W1654=0),"",SUMIFS('Val-Vol (2)'!AE$4:AE$1858,'Val-Vol (2)'!$A$4:$A$1858,$D1654,'Val-Vol (2)'!$V$4:$V$1858,$V1654)/SUMIFS('Comp2016-2017 (3)'!$G$5:$G$289,'Comp2016-2017 (3)'!$A$5:$A$289,$D1654,'Comp2016-2017 (3)'!$R$5:$R$289,$V1654)*$AB1654))</f>
        <v/>
      </c>
      <c r="AF1654" s="205" t="str">
        <f>IF($W1654=AF$3,$AB1654,IF(NOT($W1654=0),"",SUMIFS('Val-Vol (2)'!AF$4:AF$1858,'Val-Vol (2)'!$A$4:$A$1858,$D1654,'Val-Vol (2)'!$V$4:$V$1858,$V1654)/SUMIFS('Comp2016-2017 (3)'!$G$5:$G$289,'Comp2016-2017 (3)'!$A$5:$A$289,$D1654,'Comp2016-2017 (3)'!$R$5:$R$289,$V1654)*$AB1654))</f>
        <v/>
      </c>
      <c r="AG1654" s="205" t="str">
        <f>IF($W1654=AG$3,$AB1654,IF(NOT($W1654=0),"",SUMIFS('Val-Vol (2)'!AG$4:AG$1858,'Val-Vol (2)'!$A$4:$A$1858,$D1654,'Val-Vol (2)'!$V$4:$V$1858,$V1654)/SUMIFS('Comp2016-2017 (3)'!$G$5:$G$289,'Comp2016-2017 (3)'!$A$5:$A$289,$D1654,'Comp2016-2017 (3)'!$R$5:$R$289,$V1654)*$AB1654))</f>
        <v/>
      </c>
      <c r="AH1654" s="205" t="str">
        <f>IF($W1654=AH$3,$AB1654,IF(NOT($W1654=0),"",SUMIFS('Val-Vol (2)'!AH$4:AH$1858,'Val-Vol (2)'!$A$4:$A$1858,$D1654,'Val-Vol (2)'!$V$4:$V$1858,$V1654)/SUMIFS('Comp2016-2017 (3)'!$G$5:$G$289,'Comp2016-2017 (3)'!$A$5:$A$289,$D1654,'Comp2016-2017 (3)'!$R$5:$R$289,$V1654)*$AB1654))</f>
        <v/>
      </c>
      <c r="AI1654" s="205" t="str">
        <f>IF($W1654=AI$3,$AB1654,IF(NOT($W1654=0),"",SUMIFS('Val-Vol (2)'!AI$4:AI$1858,'Val-Vol (2)'!$A$4:$A$1858,$D1654,'Val-Vol (2)'!$V$4:$V$1858,$V1654)/SUMIFS('Comp2016-2017 (3)'!$G$5:$G$289,'Comp2016-2017 (3)'!$A$5:$A$289,$D1654,'Comp2016-2017 (3)'!$R$5:$R$289,$V1654)*$AB1654))</f>
        <v/>
      </c>
      <c r="AJ1654" s="205" t="str">
        <f>IF($W1654=AJ$3,$AB1654,IF(NOT($W1654=0),"",SUMIFS('Val-Vol (2)'!AJ$4:AJ$1858,'Val-Vol (2)'!$A$4:$A$1858,$D1654,'Val-Vol (2)'!$V$4:$V$1858,$V1654)/SUMIFS('Comp2016-2017 (3)'!$G$5:$G$289,'Comp2016-2017 (3)'!$A$5:$A$289,$D1654,'Comp2016-2017 (3)'!$R$5:$R$289,$V1654)*$AB1654))</f>
        <v/>
      </c>
      <c r="AK1654" s="205">
        <f t="shared" si="187"/>
        <v>0</v>
      </c>
      <c r="AL1654" s="218" t="str">
        <f t="shared" si="189"/>
        <v/>
      </c>
      <c r="AM1654" s="218" t="str">
        <f>VLOOKUP(A1654,'Table corresp.'!$M$4:$U$63,8,FALSE)</f>
        <v>Production intermédiaire</v>
      </c>
      <c r="AN1654" s="218" t="str">
        <f>VLOOKUP(D1654,'Table corresp.'!$M$4:$U$63,9,FALSE)</f>
        <v>Production intermédiaire</v>
      </c>
    </row>
    <row r="1655" spans="1:40" x14ac:dyDescent="0.25">
      <c r="A1655" t="s">
        <v>9</v>
      </c>
      <c r="B1655" t="str">
        <f>VLOOKUP(LEFT(A1655,3),'Table corresp.'!$A$4:$D$63,3,FALSE)</f>
        <v>Transformation</v>
      </c>
      <c r="C1655" t="str">
        <f>VLOOKUP(A1655,'Table corresp.'!$M$4:$P$63,4,FALSE)</f>
        <v>Production et transformation de produits bois</v>
      </c>
      <c r="D1655" t="s">
        <v>91</v>
      </c>
      <c r="E1655" t="str">
        <f>VLOOKUP(LEFT(D1655,3),'Table corresp.'!$A$4:$D$63,4,FALSE)</f>
        <v>Transformation</v>
      </c>
      <c r="F1655" t="str">
        <f t="shared" si="190"/>
        <v xml:space="preserve">15  - 37 </v>
      </c>
      <c r="G1655" s="238">
        <v>98493.448579464093</v>
      </c>
      <c r="H1655" s="238">
        <v>0</v>
      </c>
      <c r="I1655" s="238">
        <v>98493.448579464093</v>
      </c>
      <c r="J1655" s="238">
        <v>1371.6662800203874</v>
      </c>
      <c r="K1655" s="238">
        <v>0</v>
      </c>
      <c r="L1655" s="238">
        <v>1371.6662800203874</v>
      </c>
      <c r="M1655" s="238"/>
      <c r="N1655" s="238"/>
      <c r="O1655" s="238"/>
      <c r="P1655" s="238"/>
      <c r="Q1655" s="238"/>
      <c r="R1655" s="238"/>
      <c r="S1655" s="238"/>
      <c r="T1655" s="218">
        <f>VLOOKUP(A1655,'Groupe de branches'!$Z$27:$AM$86,14,FALSE)</f>
        <v>0</v>
      </c>
      <c r="U1655" s="218">
        <f>VLOOKUP(D1655,'Groupe de branches'!$Z$27:$AM$86,14,FALSE)</f>
        <v>0</v>
      </c>
      <c r="V1655" s="218">
        <v>2020</v>
      </c>
      <c r="W1655" s="218" t="str">
        <f>VLOOKUP(D1655,'Table corresp.'!$M$4:$S$63,7,FALSE)</f>
        <v>Emballage bois et carton</v>
      </c>
      <c r="X1655" s="240">
        <f>IFERROR(G1655/SUMIFS('Comp2016-2017 (3)'!$I$5:$I$289,'Comp2016-2017 (3)'!$A$5:$A$289,A1655,'Comp2016-2017 (3)'!$R$5:$R$289,V1655),0)</f>
        <v>0.42343867273482794</v>
      </c>
      <c r="Y1655" s="219" t="e">
        <f>IF(RIGHT(F1655,3)="Exp",VLOOKUP(F1655,#REF!,2,FALSE),VLOOKUP(F1655,#REF!,9,FALSE))</f>
        <v>#REF!</v>
      </c>
      <c r="Z1655" s="226" t="str">
        <f t="shared" si="186"/>
        <v/>
      </c>
      <c r="AA1655" s="226" t="e">
        <f t="shared" si="188"/>
        <v>#VALUE!</v>
      </c>
      <c r="AB1655" s="205">
        <f>IFERROR(SUMIFS('Comp2016-2017 (3)'!$G$5:$G$289,'Comp2016-2017 (3)'!$A$5:$A$289,A1655,'Comp2016-2017 (3)'!$R$5:$R$289,V1655)*AA1655/SUMIFS($AA$4:$AA$1858,$A$4:$A$1858,A1655,$V$4:$V$1858,V1655),0)</f>
        <v>0</v>
      </c>
      <c r="AC1655" s="205" t="str">
        <f>IF($W1655=AC$3,$AB1655,IF(NOT($W1655=0),"",SUMIFS('Val-Vol (2)'!AC$4:AC$1858,'Val-Vol (2)'!$A$4:$A$1858,$D1655,'Val-Vol (2)'!$V$4:$V$1858,$V1655)/SUMIFS('Comp2016-2017 (3)'!$G$5:$G$289,'Comp2016-2017 (3)'!$A$5:$A$289,$D1655,'Comp2016-2017 (3)'!$R$5:$R$289,$V1655)*$AB1655))</f>
        <v/>
      </c>
      <c r="AD1655" s="205" t="str">
        <f>IF($W1655=AD$3,$AB1655,IF(NOT($W1655=0),"",SUMIFS('Val-Vol (2)'!AD$4:AD$1858,'Val-Vol (2)'!$A$4:$A$1858,$D1655,'Val-Vol (2)'!$V$4:$V$1858,$V1655)/SUMIFS('Comp2016-2017 (3)'!$G$5:$G$289,'Comp2016-2017 (3)'!$A$5:$A$289,$D1655,'Comp2016-2017 (3)'!$R$5:$R$289,$V1655)*$AB1655))</f>
        <v/>
      </c>
      <c r="AE1655" s="205" t="str">
        <f>IF($W1655=AE$3,$AB1655,IF(NOT($W1655=0),"",SUMIFS('Val-Vol (2)'!AE$4:AE$1858,'Val-Vol (2)'!$A$4:$A$1858,$D1655,'Val-Vol (2)'!$V$4:$V$1858,$V1655)/SUMIFS('Comp2016-2017 (3)'!$G$5:$G$289,'Comp2016-2017 (3)'!$A$5:$A$289,$D1655,'Comp2016-2017 (3)'!$R$5:$R$289,$V1655)*$AB1655))</f>
        <v/>
      </c>
      <c r="AF1655" s="205" t="str">
        <f>IF($W1655=AF$3,$AB1655,IF(NOT($W1655=0),"",SUMIFS('Val-Vol (2)'!AF$4:AF$1858,'Val-Vol (2)'!$A$4:$A$1858,$D1655,'Val-Vol (2)'!$V$4:$V$1858,$V1655)/SUMIFS('Comp2016-2017 (3)'!$G$5:$G$289,'Comp2016-2017 (3)'!$A$5:$A$289,$D1655,'Comp2016-2017 (3)'!$R$5:$R$289,$V1655)*$AB1655))</f>
        <v/>
      </c>
      <c r="AG1655" s="205">
        <f>IF($W1655=AG$3,$AB1655,IF(NOT($W1655=0),"",SUMIFS('Val-Vol (2)'!AG$4:AG$1858,'Val-Vol (2)'!$A$4:$A$1858,$D1655,'Val-Vol (2)'!$V$4:$V$1858,$V1655)/SUMIFS('Comp2016-2017 (3)'!$G$5:$G$289,'Comp2016-2017 (3)'!$A$5:$A$289,$D1655,'Comp2016-2017 (3)'!$R$5:$R$289,$V1655)*$AB1655))</f>
        <v>0</v>
      </c>
      <c r="AH1655" s="205" t="str">
        <f>IF($W1655=AH$3,$AB1655,IF(NOT($W1655=0),"",SUMIFS('Val-Vol (2)'!AH$4:AH$1858,'Val-Vol (2)'!$A$4:$A$1858,$D1655,'Val-Vol (2)'!$V$4:$V$1858,$V1655)/SUMIFS('Comp2016-2017 (3)'!$G$5:$G$289,'Comp2016-2017 (3)'!$A$5:$A$289,$D1655,'Comp2016-2017 (3)'!$R$5:$R$289,$V1655)*$AB1655))</f>
        <v/>
      </c>
      <c r="AI1655" s="205" t="str">
        <f>IF($W1655=AI$3,$AB1655,IF(NOT($W1655=0),"",SUMIFS('Val-Vol (2)'!AI$4:AI$1858,'Val-Vol (2)'!$A$4:$A$1858,$D1655,'Val-Vol (2)'!$V$4:$V$1858,$V1655)/SUMIFS('Comp2016-2017 (3)'!$G$5:$G$289,'Comp2016-2017 (3)'!$A$5:$A$289,$D1655,'Comp2016-2017 (3)'!$R$5:$R$289,$V1655)*$AB1655))</f>
        <v/>
      </c>
      <c r="AJ1655" s="205" t="str">
        <f>IF($W1655=AJ$3,$AB1655,IF(NOT($W1655=0),"",SUMIFS('Val-Vol (2)'!AJ$4:AJ$1858,'Val-Vol (2)'!$A$4:$A$1858,$D1655,'Val-Vol (2)'!$V$4:$V$1858,$V1655)/SUMIFS('Comp2016-2017 (3)'!$G$5:$G$289,'Comp2016-2017 (3)'!$A$5:$A$289,$D1655,'Comp2016-2017 (3)'!$R$5:$R$289,$V1655)*$AB1655))</f>
        <v/>
      </c>
      <c r="AK1655" s="205">
        <f t="shared" si="187"/>
        <v>0</v>
      </c>
      <c r="AL1655" s="218" t="str">
        <f t="shared" si="189"/>
        <v/>
      </c>
      <c r="AM1655" s="218" t="str">
        <f>VLOOKUP(A1655,'Table corresp.'!$M$4:$U$63,8,FALSE)</f>
        <v>Production intermédiaire</v>
      </c>
      <c r="AN1655" s="218" t="str">
        <f>VLOOKUP(D1655,'Table corresp.'!$M$4:$U$63,9,FALSE)</f>
        <v>Production finale</v>
      </c>
    </row>
    <row r="1656" spans="1:40" x14ac:dyDescent="0.25">
      <c r="A1656" t="s">
        <v>9</v>
      </c>
      <c r="B1656" t="str">
        <f>VLOOKUP(LEFT(A1656,3),'Table corresp.'!$A$4:$D$63,3,FALSE)</f>
        <v>Transformation</v>
      </c>
      <c r="C1656" t="str">
        <f>VLOOKUP(A1656,'Table corresp.'!$M$4:$P$63,4,FALSE)</f>
        <v>Production et transformation de produits bois</v>
      </c>
      <c r="D1656" t="s">
        <v>92</v>
      </c>
      <c r="E1656" t="str">
        <f>VLOOKUP(LEFT(D1656,3),'Table corresp.'!$A$4:$D$63,4,FALSE)</f>
        <v>Transformation</v>
      </c>
      <c r="F1656" t="str">
        <f t="shared" si="190"/>
        <v xml:space="preserve">15  - 40 </v>
      </c>
      <c r="G1656" s="238">
        <v>2945.70450307292</v>
      </c>
      <c r="H1656" s="238">
        <v>0</v>
      </c>
      <c r="I1656" s="238">
        <v>2945.70450307293</v>
      </c>
      <c r="J1656" s="238">
        <v>30.614382138619579</v>
      </c>
      <c r="K1656" s="238">
        <v>0</v>
      </c>
      <c r="L1656" s="238">
        <v>30.614382138619579</v>
      </c>
      <c r="M1656" s="238"/>
      <c r="N1656" s="238"/>
      <c r="O1656" s="238"/>
      <c r="P1656" s="238"/>
      <c r="Q1656" s="238"/>
      <c r="R1656" s="238"/>
      <c r="S1656" s="238"/>
      <c r="T1656" s="218">
        <f>VLOOKUP(A1656,'Groupe de branches'!$Z$27:$AM$86,14,FALSE)</f>
        <v>0</v>
      </c>
      <c r="U1656" s="218">
        <f>VLOOKUP(D1656,'Groupe de branches'!$Z$27:$AM$86,14,FALSE)</f>
        <v>0</v>
      </c>
      <c r="V1656" s="218">
        <v>2020</v>
      </c>
      <c r="W1656" s="218" t="str">
        <f>VLOOKUP(D1656,'Table corresp.'!$M$4:$S$63,7,FALSE)</f>
        <v>Construction</v>
      </c>
      <c r="X1656" s="240">
        <f>IFERROR(G1656/SUMIFS('Comp2016-2017 (3)'!$I$5:$I$289,'Comp2016-2017 (3)'!$A$5:$A$289,A1656,'Comp2016-2017 (3)'!$R$5:$R$289,V1656),0)</f>
        <v>1.2664042360582658E-2</v>
      </c>
      <c r="Y1656" s="219" t="e">
        <f>IF(RIGHT(F1656,3)="Exp",VLOOKUP(F1656,#REF!,2,FALSE),VLOOKUP(F1656,#REF!,9,FALSE))</f>
        <v>#REF!</v>
      </c>
      <c r="Z1656" s="226" t="str">
        <f t="shared" si="186"/>
        <v/>
      </c>
      <c r="AA1656" s="226" t="e">
        <f t="shared" si="188"/>
        <v>#VALUE!</v>
      </c>
      <c r="AB1656" s="205">
        <f>IFERROR(SUMIFS('Comp2016-2017 (3)'!$G$5:$G$289,'Comp2016-2017 (3)'!$A$5:$A$289,A1656,'Comp2016-2017 (3)'!$R$5:$R$289,V1656)*AA1656/SUMIFS($AA$4:$AA$1858,$A$4:$A$1858,A1656,$V$4:$V$1858,V1656),0)</f>
        <v>0</v>
      </c>
      <c r="AC1656" s="205" t="str">
        <f>IF($W1656=AC$3,$AB1656,IF(NOT($W1656=0),"",SUMIFS('Val-Vol (2)'!AC$4:AC$1858,'Val-Vol (2)'!$A$4:$A$1858,$D1656,'Val-Vol (2)'!$V$4:$V$1858,$V1656)/SUMIFS('Comp2016-2017 (3)'!$G$5:$G$289,'Comp2016-2017 (3)'!$A$5:$A$289,$D1656,'Comp2016-2017 (3)'!$R$5:$R$289,$V1656)*$AB1656))</f>
        <v/>
      </c>
      <c r="AD1656" s="205">
        <f>IF($W1656=AD$3,$AB1656,IF(NOT($W1656=0),"",SUMIFS('Val-Vol (2)'!AD$4:AD$1858,'Val-Vol (2)'!$A$4:$A$1858,$D1656,'Val-Vol (2)'!$V$4:$V$1858,$V1656)/SUMIFS('Comp2016-2017 (3)'!$G$5:$G$289,'Comp2016-2017 (3)'!$A$5:$A$289,$D1656,'Comp2016-2017 (3)'!$R$5:$R$289,$V1656)*$AB1656))</f>
        <v>0</v>
      </c>
      <c r="AE1656" s="205" t="str">
        <f>IF($W1656=AE$3,$AB1656,IF(NOT($W1656=0),"",SUMIFS('Val-Vol (2)'!AE$4:AE$1858,'Val-Vol (2)'!$A$4:$A$1858,$D1656,'Val-Vol (2)'!$V$4:$V$1858,$V1656)/SUMIFS('Comp2016-2017 (3)'!$G$5:$G$289,'Comp2016-2017 (3)'!$A$5:$A$289,$D1656,'Comp2016-2017 (3)'!$R$5:$R$289,$V1656)*$AB1656))</f>
        <v/>
      </c>
      <c r="AF1656" s="205" t="str">
        <f>IF($W1656=AF$3,$AB1656,IF(NOT($W1656=0),"",SUMIFS('Val-Vol (2)'!AF$4:AF$1858,'Val-Vol (2)'!$A$4:$A$1858,$D1656,'Val-Vol (2)'!$V$4:$V$1858,$V1656)/SUMIFS('Comp2016-2017 (3)'!$G$5:$G$289,'Comp2016-2017 (3)'!$A$5:$A$289,$D1656,'Comp2016-2017 (3)'!$R$5:$R$289,$V1656)*$AB1656))</f>
        <v/>
      </c>
      <c r="AG1656" s="205" t="str">
        <f>IF($W1656=AG$3,$AB1656,IF(NOT($W1656=0),"",SUMIFS('Val-Vol (2)'!AG$4:AG$1858,'Val-Vol (2)'!$A$4:$A$1858,$D1656,'Val-Vol (2)'!$V$4:$V$1858,$V1656)/SUMIFS('Comp2016-2017 (3)'!$G$5:$G$289,'Comp2016-2017 (3)'!$A$5:$A$289,$D1656,'Comp2016-2017 (3)'!$R$5:$R$289,$V1656)*$AB1656))</f>
        <v/>
      </c>
      <c r="AH1656" s="205" t="str">
        <f>IF($W1656=AH$3,$AB1656,IF(NOT($W1656=0),"",SUMIFS('Val-Vol (2)'!AH$4:AH$1858,'Val-Vol (2)'!$A$4:$A$1858,$D1656,'Val-Vol (2)'!$V$4:$V$1858,$V1656)/SUMIFS('Comp2016-2017 (3)'!$G$5:$G$289,'Comp2016-2017 (3)'!$A$5:$A$289,$D1656,'Comp2016-2017 (3)'!$R$5:$R$289,$V1656)*$AB1656))</f>
        <v/>
      </c>
      <c r="AI1656" s="205" t="str">
        <f>IF($W1656=AI$3,$AB1656,IF(NOT($W1656=0),"",SUMIFS('Val-Vol (2)'!AI$4:AI$1858,'Val-Vol (2)'!$A$4:$A$1858,$D1656,'Val-Vol (2)'!$V$4:$V$1858,$V1656)/SUMIFS('Comp2016-2017 (3)'!$G$5:$G$289,'Comp2016-2017 (3)'!$A$5:$A$289,$D1656,'Comp2016-2017 (3)'!$R$5:$R$289,$V1656)*$AB1656))</f>
        <v/>
      </c>
      <c r="AJ1656" s="205" t="str">
        <f>IF($W1656=AJ$3,$AB1656,IF(NOT($W1656=0),"",SUMIFS('Val-Vol (2)'!AJ$4:AJ$1858,'Val-Vol (2)'!$A$4:$A$1858,$D1656,'Val-Vol (2)'!$V$4:$V$1858,$V1656)/SUMIFS('Comp2016-2017 (3)'!$G$5:$G$289,'Comp2016-2017 (3)'!$A$5:$A$289,$D1656,'Comp2016-2017 (3)'!$R$5:$R$289,$V1656)*$AB1656))</f>
        <v/>
      </c>
      <c r="AK1656" s="205">
        <f t="shared" si="187"/>
        <v>0</v>
      </c>
      <c r="AL1656" s="218" t="str">
        <f t="shared" si="189"/>
        <v/>
      </c>
      <c r="AM1656" s="218" t="str">
        <f>VLOOKUP(A1656,'Table corresp.'!$M$4:$U$63,8,FALSE)</f>
        <v>Production intermédiaire</v>
      </c>
      <c r="AN1656" s="218" t="str">
        <f>VLOOKUP(D1656,'Table corresp.'!$M$4:$U$63,9,FALSE)</f>
        <v>Production finale</v>
      </c>
    </row>
    <row r="1657" spans="1:40" x14ac:dyDescent="0.25">
      <c r="A1657" t="s">
        <v>9</v>
      </c>
      <c r="B1657" t="str">
        <f>VLOOKUP(LEFT(A1657,3),'Table corresp.'!$A$4:$D$63,3,FALSE)</f>
        <v>Transformation</v>
      </c>
      <c r="C1657" t="str">
        <f>VLOOKUP(A1657,'Table corresp.'!$M$4:$P$63,4,FALSE)</f>
        <v>Production et transformation de produits bois</v>
      </c>
      <c r="D1657" t="s">
        <v>19</v>
      </c>
      <c r="E1657" t="str">
        <f>VLOOKUP(LEFT(D1657,3),'Table corresp.'!$A$4:$D$63,4,FALSE)</f>
        <v>Transformation</v>
      </c>
      <c r="F1657" t="str">
        <f t="shared" si="190"/>
        <v xml:space="preserve">15  - 52 </v>
      </c>
      <c r="G1657" s="238">
        <v>931.44837576511497</v>
      </c>
      <c r="H1657" s="238">
        <v>0</v>
      </c>
      <c r="I1657" s="238">
        <v>931.44837576511497</v>
      </c>
      <c r="J1657" s="238">
        <v>11.530479975345555</v>
      </c>
      <c r="K1657" s="238">
        <v>0</v>
      </c>
      <c r="L1657" s="238">
        <v>11.530479975345555</v>
      </c>
      <c r="M1657" s="238"/>
      <c r="N1657" s="238"/>
      <c r="O1657" s="238"/>
      <c r="P1657" s="238"/>
      <c r="Q1657" s="238"/>
      <c r="R1657" s="238"/>
      <c r="S1657" s="238"/>
      <c r="T1657" s="218">
        <f>VLOOKUP(A1657,'Groupe de branches'!$Z$27:$AM$86,14,FALSE)</f>
        <v>0</v>
      </c>
      <c r="U1657" s="218">
        <f>VLOOKUP(D1657,'Groupe de branches'!$Z$27:$AM$86,14,FALSE)</f>
        <v>0</v>
      </c>
      <c r="V1657" s="218">
        <v>2020</v>
      </c>
      <c r="W1657" s="218" t="str">
        <f>VLOOKUP(D1657,'Table corresp.'!$M$4:$S$63,7,FALSE)</f>
        <v>Construction</v>
      </c>
      <c r="X1657" s="240">
        <f>IFERROR(G1657/SUMIFS('Comp2016-2017 (3)'!$I$5:$I$289,'Comp2016-2017 (3)'!$A$5:$A$289,A1657,'Comp2016-2017 (3)'!$R$5:$R$289,V1657),0)</f>
        <v>4.0044416115329971E-3</v>
      </c>
      <c r="Y1657" s="219" t="e">
        <f>IF(RIGHT(F1657,3)="Exp",VLOOKUP(F1657,#REF!,2,FALSE),VLOOKUP(F1657,#REF!,9,FALSE))</f>
        <v>#REF!</v>
      </c>
      <c r="Z1657" s="226" t="str">
        <f t="shared" si="186"/>
        <v/>
      </c>
      <c r="AA1657" s="226" t="e">
        <f t="shared" si="188"/>
        <v>#VALUE!</v>
      </c>
      <c r="AB1657" s="205">
        <f>IFERROR(SUMIFS('Comp2016-2017 (3)'!$G$5:$G$289,'Comp2016-2017 (3)'!$A$5:$A$289,A1657,'Comp2016-2017 (3)'!$R$5:$R$289,V1657)*AA1657/SUMIFS($AA$4:$AA$1858,$A$4:$A$1858,A1657,$V$4:$V$1858,V1657),0)</f>
        <v>0</v>
      </c>
      <c r="AC1657" s="205" t="str">
        <f>IF($W1657=AC$3,$AB1657,IF(NOT($W1657=0),"",SUMIFS('Val-Vol (2)'!AC$4:AC$1858,'Val-Vol (2)'!$A$4:$A$1858,$D1657,'Val-Vol (2)'!$V$4:$V$1858,$V1657)/SUMIFS('Comp2016-2017 (3)'!$G$5:$G$289,'Comp2016-2017 (3)'!$A$5:$A$289,$D1657,'Comp2016-2017 (3)'!$R$5:$R$289,$V1657)*$AB1657))</f>
        <v/>
      </c>
      <c r="AD1657" s="205">
        <f>IF($W1657=AD$3,$AB1657,IF(NOT($W1657=0),"",SUMIFS('Val-Vol (2)'!AD$4:AD$1858,'Val-Vol (2)'!$A$4:$A$1858,$D1657,'Val-Vol (2)'!$V$4:$V$1858,$V1657)/SUMIFS('Comp2016-2017 (3)'!$G$5:$G$289,'Comp2016-2017 (3)'!$A$5:$A$289,$D1657,'Comp2016-2017 (3)'!$R$5:$R$289,$V1657)*$AB1657))</f>
        <v>0</v>
      </c>
      <c r="AE1657" s="205" t="str">
        <f>IF($W1657=AE$3,$AB1657,IF(NOT($W1657=0),"",SUMIFS('Val-Vol (2)'!AE$4:AE$1858,'Val-Vol (2)'!$A$4:$A$1858,$D1657,'Val-Vol (2)'!$V$4:$V$1858,$V1657)/SUMIFS('Comp2016-2017 (3)'!$G$5:$G$289,'Comp2016-2017 (3)'!$A$5:$A$289,$D1657,'Comp2016-2017 (3)'!$R$5:$R$289,$V1657)*$AB1657))</f>
        <v/>
      </c>
      <c r="AF1657" s="205" t="str">
        <f>IF($W1657=AF$3,$AB1657,IF(NOT($W1657=0),"",SUMIFS('Val-Vol (2)'!AF$4:AF$1858,'Val-Vol (2)'!$A$4:$A$1858,$D1657,'Val-Vol (2)'!$V$4:$V$1858,$V1657)/SUMIFS('Comp2016-2017 (3)'!$G$5:$G$289,'Comp2016-2017 (3)'!$A$5:$A$289,$D1657,'Comp2016-2017 (3)'!$R$5:$R$289,$V1657)*$AB1657))</f>
        <v/>
      </c>
      <c r="AG1657" s="205" t="str">
        <f>IF($W1657=AG$3,$AB1657,IF(NOT($W1657=0),"",SUMIFS('Val-Vol (2)'!AG$4:AG$1858,'Val-Vol (2)'!$A$4:$A$1858,$D1657,'Val-Vol (2)'!$V$4:$V$1858,$V1657)/SUMIFS('Comp2016-2017 (3)'!$G$5:$G$289,'Comp2016-2017 (3)'!$A$5:$A$289,$D1657,'Comp2016-2017 (3)'!$R$5:$R$289,$V1657)*$AB1657))</f>
        <v/>
      </c>
      <c r="AH1657" s="205" t="str">
        <f>IF($W1657=AH$3,$AB1657,IF(NOT($W1657=0),"",SUMIFS('Val-Vol (2)'!AH$4:AH$1858,'Val-Vol (2)'!$A$4:$A$1858,$D1657,'Val-Vol (2)'!$V$4:$V$1858,$V1657)/SUMIFS('Comp2016-2017 (3)'!$G$5:$G$289,'Comp2016-2017 (3)'!$A$5:$A$289,$D1657,'Comp2016-2017 (3)'!$R$5:$R$289,$V1657)*$AB1657))</f>
        <v/>
      </c>
      <c r="AI1657" s="205" t="str">
        <f>IF($W1657=AI$3,$AB1657,IF(NOT($W1657=0),"",SUMIFS('Val-Vol (2)'!AI$4:AI$1858,'Val-Vol (2)'!$A$4:$A$1858,$D1657,'Val-Vol (2)'!$V$4:$V$1858,$V1657)/SUMIFS('Comp2016-2017 (3)'!$G$5:$G$289,'Comp2016-2017 (3)'!$A$5:$A$289,$D1657,'Comp2016-2017 (3)'!$R$5:$R$289,$V1657)*$AB1657))</f>
        <v/>
      </c>
      <c r="AJ1657" s="205" t="str">
        <f>IF($W1657=AJ$3,$AB1657,IF(NOT($W1657=0),"",SUMIFS('Val-Vol (2)'!AJ$4:AJ$1858,'Val-Vol (2)'!$A$4:$A$1858,$D1657,'Val-Vol (2)'!$V$4:$V$1858,$V1657)/SUMIFS('Comp2016-2017 (3)'!$G$5:$G$289,'Comp2016-2017 (3)'!$A$5:$A$289,$D1657,'Comp2016-2017 (3)'!$R$5:$R$289,$V1657)*$AB1657))</f>
        <v/>
      </c>
      <c r="AK1657" s="205">
        <f t="shared" si="187"/>
        <v>0</v>
      </c>
      <c r="AL1657" s="218" t="str">
        <f t="shared" si="189"/>
        <v/>
      </c>
      <c r="AM1657" s="218" t="str">
        <f>VLOOKUP(A1657,'Table corresp.'!$M$4:$U$63,8,FALSE)</f>
        <v>Production intermédiaire</v>
      </c>
      <c r="AN1657" s="218" t="str">
        <f>VLOOKUP(D1657,'Table corresp.'!$M$4:$U$63,9,FALSE)</f>
        <v xml:space="preserve">Mise en œuvre </v>
      </c>
    </row>
    <row r="1658" spans="1:40" x14ac:dyDescent="0.25">
      <c r="A1658" t="s">
        <v>9</v>
      </c>
      <c r="B1658" t="str">
        <f>VLOOKUP(LEFT(A1658,3),'Table corresp.'!$A$4:$D$63,3,FALSE)</f>
        <v>Transformation</v>
      </c>
      <c r="C1658" t="str">
        <f>VLOOKUP(A1658,'Table corresp.'!$M$4:$P$63,4,FALSE)</f>
        <v>Production et transformation de produits bois</v>
      </c>
      <c r="D1658" t="s">
        <v>21</v>
      </c>
      <c r="E1658" t="str">
        <f>VLOOKUP(LEFT(D1658,3),'Table corresp.'!$A$4:$D$63,4,FALSE)</f>
        <v>Transformation</v>
      </c>
      <c r="F1658" t="str">
        <f t="shared" si="190"/>
        <v xml:space="preserve">15  - 54 </v>
      </c>
      <c r="G1658" s="238">
        <v>2767.9028591075598</v>
      </c>
      <c r="H1658" s="238">
        <v>0</v>
      </c>
      <c r="I1658" s="238">
        <v>2767.9028591075598</v>
      </c>
      <c r="J1658" s="238">
        <v>12.335079168712015</v>
      </c>
      <c r="K1658" s="238">
        <v>0</v>
      </c>
      <c r="L1658" s="238">
        <v>12.335079168712015</v>
      </c>
      <c r="M1658" s="238"/>
      <c r="N1658" s="238"/>
      <c r="O1658" s="238"/>
      <c r="P1658" s="238"/>
      <c r="Q1658" s="238"/>
      <c r="R1658" s="238"/>
      <c r="S1658" s="238"/>
      <c r="T1658" s="218">
        <f>VLOOKUP(A1658,'Groupe de branches'!$Z$27:$AM$86,14,FALSE)</f>
        <v>0</v>
      </c>
      <c r="U1658" s="218">
        <f>VLOOKUP(D1658,'Groupe de branches'!$Z$27:$AM$86,14,FALSE)</f>
        <v>0</v>
      </c>
      <c r="V1658" s="218">
        <v>2020</v>
      </c>
      <c r="W1658" s="218" t="str">
        <f>VLOOKUP(D1658,'Table corresp.'!$M$4:$S$63,7,FALSE)</f>
        <v>Construction</v>
      </c>
      <c r="X1658" s="240">
        <f>IFERROR(G1658/SUMIFS('Comp2016-2017 (3)'!$I$5:$I$289,'Comp2016-2017 (3)'!$A$5:$A$289,A1658,'Comp2016-2017 (3)'!$R$5:$R$289,V1658),0)</f>
        <v>1.1899645406098721E-2</v>
      </c>
      <c r="Y1658" s="219" t="e">
        <f>IF(RIGHT(F1658,3)="Exp",VLOOKUP(F1658,#REF!,2,FALSE),VLOOKUP(F1658,#REF!,9,FALSE))</f>
        <v>#REF!</v>
      </c>
      <c r="Z1658" s="226" t="str">
        <f t="shared" si="186"/>
        <v/>
      </c>
      <c r="AA1658" s="226" t="e">
        <f t="shared" si="188"/>
        <v>#VALUE!</v>
      </c>
      <c r="AB1658" s="205">
        <f>IFERROR(SUMIFS('Comp2016-2017 (3)'!$G$5:$G$289,'Comp2016-2017 (3)'!$A$5:$A$289,A1658,'Comp2016-2017 (3)'!$R$5:$R$289,V1658)*AA1658/SUMIFS($AA$4:$AA$1858,$A$4:$A$1858,A1658,$V$4:$V$1858,V1658),0)</f>
        <v>0</v>
      </c>
      <c r="AC1658" s="205" t="str">
        <f>IF($W1658=AC$3,$AB1658,IF(NOT($W1658=0),"",SUMIFS('Val-Vol (2)'!AC$4:AC$1858,'Val-Vol (2)'!$A$4:$A$1858,$D1658,'Val-Vol (2)'!$V$4:$V$1858,$V1658)/SUMIFS('Comp2016-2017 (3)'!$G$5:$G$289,'Comp2016-2017 (3)'!$A$5:$A$289,$D1658,'Comp2016-2017 (3)'!$R$5:$R$289,$V1658)*$AB1658))</f>
        <v/>
      </c>
      <c r="AD1658" s="205">
        <f>IF($W1658=AD$3,$AB1658,IF(NOT($W1658=0),"",SUMIFS('Val-Vol (2)'!AD$4:AD$1858,'Val-Vol (2)'!$A$4:$A$1858,$D1658,'Val-Vol (2)'!$V$4:$V$1858,$V1658)/SUMIFS('Comp2016-2017 (3)'!$G$5:$G$289,'Comp2016-2017 (3)'!$A$5:$A$289,$D1658,'Comp2016-2017 (3)'!$R$5:$R$289,$V1658)*$AB1658))</f>
        <v>0</v>
      </c>
      <c r="AE1658" s="205" t="str">
        <f>IF($W1658=AE$3,$AB1658,IF(NOT($W1658=0),"",SUMIFS('Val-Vol (2)'!AE$4:AE$1858,'Val-Vol (2)'!$A$4:$A$1858,$D1658,'Val-Vol (2)'!$V$4:$V$1858,$V1658)/SUMIFS('Comp2016-2017 (3)'!$G$5:$G$289,'Comp2016-2017 (3)'!$A$5:$A$289,$D1658,'Comp2016-2017 (3)'!$R$5:$R$289,$V1658)*$AB1658))</f>
        <v/>
      </c>
      <c r="AF1658" s="205" t="str">
        <f>IF($W1658=AF$3,$AB1658,IF(NOT($W1658=0),"",SUMIFS('Val-Vol (2)'!AF$4:AF$1858,'Val-Vol (2)'!$A$4:$A$1858,$D1658,'Val-Vol (2)'!$V$4:$V$1858,$V1658)/SUMIFS('Comp2016-2017 (3)'!$G$5:$G$289,'Comp2016-2017 (3)'!$A$5:$A$289,$D1658,'Comp2016-2017 (3)'!$R$5:$R$289,$V1658)*$AB1658))</f>
        <v/>
      </c>
      <c r="AG1658" s="205" t="str">
        <f>IF($W1658=AG$3,$AB1658,IF(NOT($W1658=0),"",SUMIFS('Val-Vol (2)'!AG$4:AG$1858,'Val-Vol (2)'!$A$4:$A$1858,$D1658,'Val-Vol (2)'!$V$4:$V$1858,$V1658)/SUMIFS('Comp2016-2017 (3)'!$G$5:$G$289,'Comp2016-2017 (3)'!$A$5:$A$289,$D1658,'Comp2016-2017 (3)'!$R$5:$R$289,$V1658)*$AB1658))</f>
        <v/>
      </c>
      <c r="AH1658" s="205" t="str">
        <f>IF($W1658=AH$3,$AB1658,IF(NOT($W1658=0),"",SUMIFS('Val-Vol (2)'!AH$4:AH$1858,'Val-Vol (2)'!$A$4:$A$1858,$D1658,'Val-Vol (2)'!$V$4:$V$1858,$V1658)/SUMIFS('Comp2016-2017 (3)'!$G$5:$G$289,'Comp2016-2017 (3)'!$A$5:$A$289,$D1658,'Comp2016-2017 (3)'!$R$5:$R$289,$V1658)*$AB1658))</f>
        <v/>
      </c>
      <c r="AI1658" s="205" t="str">
        <f>IF($W1658=AI$3,$AB1658,IF(NOT($W1658=0),"",SUMIFS('Val-Vol (2)'!AI$4:AI$1858,'Val-Vol (2)'!$A$4:$A$1858,$D1658,'Val-Vol (2)'!$V$4:$V$1858,$V1658)/SUMIFS('Comp2016-2017 (3)'!$G$5:$G$289,'Comp2016-2017 (3)'!$A$5:$A$289,$D1658,'Comp2016-2017 (3)'!$R$5:$R$289,$V1658)*$AB1658))</f>
        <v/>
      </c>
      <c r="AJ1658" s="205" t="str">
        <f>IF($W1658=AJ$3,$AB1658,IF(NOT($W1658=0),"",SUMIFS('Val-Vol (2)'!AJ$4:AJ$1858,'Val-Vol (2)'!$A$4:$A$1858,$D1658,'Val-Vol (2)'!$V$4:$V$1858,$V1658)/SUMIFS('Comp2016-2017 (3)'!$G$5:$G$289,'Comp2016-2017 (3)'!$A$5:$A$289,$D1658,'Comp2016-2017 (3)'!$R$5:$R$289,$V1658)*$AB1658))</f>
        <v/>
      </c>
      <c r="AK1658" s="205">
        <f t="shared" si="187"/>
        <v>0</v>
      </c>
      <c r="AL1658" s="218" t="str">
        <f t="shared" si="189"/>
        <v/>
      </c>
      <c r="AM1658" s="218" t="str">
        <f>VLOOKUP(A1658,'Table corresp.'!$M$4:$U$63,8,FALSE)</f>
        <v>Production intermédiaire</v>
      </c>
      <c r="AN1658" s="218" t="str">
        <f>VLOOKUP(D1658,'Table corresp.'!$M$4:$U$63,9,FALSE)</f>
        <v xml:space="preserve">Mise en œuvre </v>
      </c>
    </row>
    <row r="1659" spans="1:40" x14ac:dyDescent="0.25">
      <c r="A1659" t="s">
        <v>9</v>
      </c>
      <c r="B1659" t="str">
        <f>VLOOKUP(LEFT(A1659,3),'Table corresp.'!$A$4:$D$63,3,FALSE)</f>
        <v>Transformation</v>
      </c>
      <c r="C1659" t="str">
        <f>VLOOKUP(A1659,'Table corresp.'!$M$4:$P$63,4,FALSE)</f>
        <v>Production et transformation de produits bois</v>
      </c>
      <c r="D1659" t="s">
        <v>22</v>
      </c>
      <c r="E1659" t="str">
        <f>VLOOKUP(LEFT(D1659,3),'Table corresp.'!$A$4:$D$63,4,FALSE)</f>
        <v>Transformation</v>
      </c>
      <c r="F1659" t="str">
        <f t="shared" si="190"/>
        <v xml:space="preserve">15  - 55 </v>
      </c>
      <c r="G1659" s="238">
        <v>224.08486451596301</v>
      </c>
      <c r="H1659" s="238">
        <v>0</v>
      </c>
      <c r="I1659" s="238">
        <v>224.08486451596301</v>
      </c>
      <c r="J1659" s="238">
        <v>0.99862772828874691</v>
      </c>
      <c r="K1659" s="238">
        <v>0</v>
      </c>
      <c r="L1659" s="238">
        <v>0.99862772828874691</v>
      </c>
      <c r="M1659" s="238"/>
      <c r="N1659" s="238"/>
      <c r="O1659" s="238"/>
      <c r="P1659" s="238"/>
      <c r="Q1659" s="238"/>
      <c r="R1659" s="238"/>
      <c r="S1659" s="238"/>
      <c r="T1659" s="218">
        <f>VLOOKUP(A1659,'Groupe de branches'!$Z$27:$AM$86,14,FALSE)</f>
        <v>0</v>
      </c>
      <c r="U1659" s="218">
        <f>VLOOKUP(D1659,'Groupe de branches'!$Z$27:$AM$86,14,FALSE)</f>
        <v>0</v>
      </c>
      <c r="V1659" s="218">
        <v>2020</v>
      </c>
      <c r="W1659" s="218" t="str">
        <f>VLOOKUP(D1659,'Table corresp.'!$M$4:$S$63,7,FALSE)</f>
        <v>Construction</v>
      </c>
      <c r="X1659" s="240">
        <f>IFERROR(G1659/SUMIFS('Comp2016-2017 (3)'!$I$5:$I$289,'Comp2016-2017 (3)'!$A$5:$A$289,A1659,'Comp2016-2017 (3)'!$R$5:$R$289,V1659),0)</f>
        <v>9.6337572680328415E-4</v>
      </c>
      <c r="Y1659" s="219" t="e">
        <f>IF(RIGHT(F1659,3)="Exp",VLOOKUP(F1659,#REF!,2,FALSE),VLOOKUP(F1659,#REF!,9,FALSE))</f>
        <v>#REF!</v>
      </c>
      <c r="Z1659" s="226" t="str">
        <f t="shared" si="186"/>
        <v/>
      </c>
      <c r="AA1659" s="226" t="e">
        <f t="shared" si="188"/>
        <v>#VALUE!</v>
      </c>
      <c r="AB1659" s="205">
        <f>IFERROR(SUMIFS('Comp2016-2017 (3)'!$G$5:$G$289,'Comp2016-2017 (3)'!$A$5:$A$289,A1659,'Comp2016-2017 (3)'!$R$5:$R$289,V1659)*AA1659/SUMIFS($AA$4:$AA$1858,$A$4:$A$1858,A1659,$V$4:$V$1858,V1659),0)</f>
        <v>0</v>
      </c>
      <c r="AC1659" s="205" t="str">
        <f>IF($W1659=AC$3,$AB1659,IF(NOT($W1659=0),"",SUMIFS('Val-Vol (2)'!AC$4:AC$1858,'Val-Vol (2)'!$A$4:$A$1858,$D1659,'Val-Vol (2)'!$V$4:$V$1858,$V1659)/SUMIFS('Comp2016-2017 (3)'!$G$5:$G$289,'Comp2016-2017 (3)'!$A$5:$A$289,$D1659,'Comp2016-2017 (3)'!$R$5:$R$289,$V1659)*$AB1659))</f>
        <v/>
      </c>
      <c r="AD1659" s="205">
        <f>IF($W1659=AD$3,$AB1659,IF(NOT($W1659=0),"",SUMIFS('Val-Vol (2)'!AD$4:AD$1858,'Val-Vol (2)'!$A$4:$A$1858,$D1659,'Val-Vol (2)'!$V$4:$V$1858,$V1659)/SUMIFS('Comp2016-2017 (3)'!$G$5:$G$289,'Comp2016-2017 (3)'!$A$5:$A$289,$D1659,'Comp2016-2017 (3)'!$R$5:$R$289,$V1659)*$AB1659))</f>
        <v>0</v>
      </c>
      <c r="AE1659" s="205" t="str">
        <f>IF($W1659=AE$3,$AB1659,IF(NOT($W1659=0),"",SUMIFS('Val-Vol (2)'!AE$4:AE$1858,'Val-Vol (2)'!$A$4:$A$1858,$D1659,'Val-Vol (2)'!$V$4:$V$1858,$V1659)/SUMIFS('Comp2016-2017 (3)'!$G$5:$G$289,'Comp2016-2017 (3)'!$A$5:$A$289,$D1659,'Comp2016-2017 (3)'!$R$5:$R$289,$V1659)*$AB1659))</f>
        <v/>
      </c>
      <c r="AF1659" s="205" t="str">
        <f>IF($W1659=AF$3,$AB1659,IF(NOT($W1659=0),"",SUMIFS('Val-Vol (2)'!AF$4:AF$1858,'Val-Vol (2)'!$A$4:$A$1858,$D1659,'Val-Vol (2)'!$V$4:$V$1858,$V1659)/SUMIFS('Comp2016-2017 (3)'!$G$5:$G$289,'Comp2016-2017 (3)'!$A$5:$A$289,$D1659,'Comp2016-2017 (3)'!$R$5:$R$289,$V1659)*$AB1659))</f>
        <v/>
      </c>
      <c r="AG1659" s="205" t="str">
        <f>IF($W1659=AG$3,$AB1659,IF(NOT($W1659=0),"",SUMIFS('Val-Vol (2)'!AG$4:AG$1858,'Val-Vol (2)'!$A$4:$A$1858,$D1659,'Val-Vol (2)'!$V$4:$V$1858,$V1659)/SUMIFS('Comp2016-2017 (3)'!$G$5:$G$289,'Comp2016-2017 (3)'!$A$5:$A$289,$D1659,'Comp2016-2017 (3)'!$R$5:$R$289,$V1659)*$AB1659))</f>
        <v/>
      </c>
      <c r="AH1659" s="205" t="str">
        <f>IF($W1659=AH$3,$AB1659,IF(NOT($W1659=0),"",SUMIFS('Val-Vol (2)'!AH$4:AH$1858,'Val-Vol (2)'!$A$4:$A$1858,$D1659,'Val-Vol (2)'!$V$4:$V$1858,$V1659)/SUMIFS('Comp2016-2017 (3)'!$G$5:$G$289,'Comp2016-2017 (3)'!$A$5:$A$289,$D1659,'Comp2016-2017 (3)'!$R$5:$R$289,$V1659)*$AB1659))</f>
        <v/>
      </c>
      <c r="AI1659" s="205" t="str">
        <f>IF($W1659=AI$3,$AB1659,IF(NOT($W1659=0),"",SUMIFS('Val-Vol (2)'!AI$4:AI$1858,'Val-Vol (2)'!$A$4:$A$1858,$D1659,'Val-Vol (2)'!$V$4:$V$1858,$V1659)/SUMIFS('Comp2016-2017 (3)'!$G$5:$G$289,'Comp2016-2017 (3)'!$A$5:$A$289,$D1659,'Comp2016-2017 (3)'!$R$5:$R$289,$V1659)*$AB1659))</f>
        <v/>
      </c>
      <c r="AJ1659" s="205" t="str">
        <f>IF($W1659=AJ$3,$AB1659,IF(NOT($W1659=0),"",SUMIFS('Val-Vol (2)'!AJ$4:AJ$1858,'Val-Vol (2)'!$A$4:$A$1858,$D1659,'Val-Vol (2)'!$V$4:$V$1858,$V1659)/SUMIFS('Comp2016-2017 (3)'!$G$5:$G$289,'Comp2016-2017 (3)'!$A$5:$A$289,$D1659,'Comp2016-2017 (3)'!$R$5:$R$289,$V1659)*$AB1659))</f>
        <v/>
      </c>
      <c r="AK1659" s="205">
        <f t="shared" si="187"/>
        <v>0</v>
      </c>
      <c r="AL1659" s="218" t="str">
        <f t="shared" si="189"/>
        <v/>
      </c>
      <c r="AM1659" s="218" t="str">
        <f>VLOOKUP(A1659,'Table corresp.'!$M$4:$U$63,8,FALSE)</f>
        <v>Production intermédiaire</v>
      </c>
      <c r="AN1659" s="218" t="str">
        <f>VLOOKUP(D1659,'Table corresp.'!$M$4:$U$63,9,FALSE)</f>
        <v xml:space="preserve">Mise en œuvre </v>
      </c>
    </row>
    <row r="1660" spans="1:40" x14ac:dyDescent="0.25">
      <c r="A1660" t="s">
        <v>9</v>
      </c>
      <c r="B1660" t="str">
        <f>VLOOKUP(LEFT(A1660,3),'Table corresp.'!$A$4:$D$63,3,FALSE)</f>
        <v>Transformation</v>
      </c>
      <c r="C1660" t="str">
        <f>VLOOKUP(A1660,'Table corresp.'!$M$4:$P$63,4,FALSE)</f>
        <v>Production et transformation de produits bois</v>
      </c>
      <c r="D1660" t="s">
        <v>24</v>
      </c>
      <c r="E1660" t="str">
        <f>VLOOKUP(LEFT(D1660,3),'Table corresp.'!$A$4:$D$63,4,FALSE)</f>
        <v>Transformation</v>
      </c>
      <c r="F1660" t="str">
        <f t="shared" si="190"/>
        <v xml:space="preserve">15  - 57 </v>
      </c>
      <c r="G1660" s="238">
        <v>2184.9467452333902</v>
      </c>
      <c r="H1660" s="238">
        <v>0</v>
      </c>
      <c r="I1660" s="238">
        <v>2184.9467452333902</v>
      </c>
      <c r="J1660" s="238">
        <v>19.474304160055194</v>
      </c>
      <c r="K1660" s="238">
        <v>0</v>
      </c>
      <c r="L1660" s="238">
        <v>19.474304160055194</v>
      </c>
      <c r="M1660" s="238"/>
      <c r="N1660" s="238"/>
      <c r="O1660" s="238"/>
      <c r="P1660" s="238"/>
      <c r="Q1660" s="238"/>
      <c r="R1660" s="238"/>
      <c r="S1660" s="238"/>
      <c r="T1660" s="218">
        <f>VLOOKUP(A1660,'Groupe de branches'!$Z$27:$AM$86,14,FALSE)</f>
        <v>0</v>
      </c>
      <c r="U1660" s="218">
        <f>VLOOKUP(D1660,'Groupe de branches'!$Z$27:$AM$86,14,FALSE)</f>
        <v>0</v>
      </c>
      <c r="V1660" s="218">
        <v>2020</v>
      </c>
      <c r="W1660" s="218" t="str">
        <f>VLOOKUP(D1660,'Table corresp.'!$M$4:$S$63,7,FALSE)</f>
        <v>Construction</v>
      </c>
      <c r="X1660" s="240">
        <f>IFERROR(G1660/SUMIFS('Comp2016-2017 (3)'!$I$5:$I$289,'Comp2016-2017 (3)'!$A$5:$A$289,A1660,'Comp2016-2017 (3)'!$R$5:$R$289,V1660),0)</f>
        <v>9.3934262952674336E-3</v>
      </c>
      <c r="Y1660" s="219" t="e">
        <f>IF(RIGHT(F1660,3)="Exp",VLOOKUP(F1660,#REF!,2,FALSE),VLOOKUP(F1660,#REF!,9,FALSE))</f>
        <v>#REF!</v>
      </c>
      <c r="Z1660" s="226" t="str">
        <f t="shared" si="186"/>
        <v/>
      </c>
      <c r="AA1660" s="226" t="e">
        <f t="shared" si="188"/>
        <v>#VALUE!</v>
      </c>
      <c r="AB1660" s="205">
        <f>IFERROR(SUMIFS('Comp2016-2017 (3)'!$G$5:$G$289,'Comp2016-2017 (3)'!$A$5:$A$289,A1660,'Comp2016-2017 (3)'!$R$5:$R$289,V1660)*AA1660/SUMIFS($AA$4:$AA$1858,$A$4:$A$1858,A1660,$V$4:$V$1858,V1660),0)</f>
        <v>0</v>
      </c>
      <c r="AC1660" s="205" t="str">
        <f>IF($W1660=AC$3,$AB1660,IF(NOT($W1660=0),"",SUMIFS('Val-Vol (2)'!AC$4:AC$1858,'Val-Vol (2)'!$A$4:$A$1858,$D1660,'Val-Vol (2)'!$V$4:$V$1858,$V1660)/SUMIFS('Comp2016-2017 (3)'!$G$5:$G$289,'Comp2016-2017 (3)'!$A$5:$A$289,$D1660,'Comp2016-2017 (3)'!$R$5:$R$289,$V1660)*$AB1660))</f>
        <v/>
      </c>
      <c r="AD1660" s="205">
        <f>IF($W1660=AD$3,$AB1660,IF(NOT($W1660=0),"",SUMIFS('Val-Vol (2)'!AD$4:AD$1858,'Val-Vol (2)'!$A$4:$A$1858,$D1660,'Val-Vol (2)'!$V$4:$V$1858,$V1660)/SUMIFS('Comp2016-2017 (3)'!$G$5:$G$289,'Comp2016-2017 (3)'!$A$5:$A$289,$D1660,'Comp2016-2017 (3)'!$R$5:$R$289,$V1660)*$AB1660))</f>
        <v>0</v>
      </c>
      <c r="AE1660" s="205" t="str">
        <f>IF($W1660=AE$3,$AB1660,IF(NOT($W1660=0),"",SUMIFS('Val-Vol (2)'!AE$4:AE$1858,'Val-Vol (2)'!$A$4:$A$1858,$D1660,'Val-Vol (2)'!$V$4:$V$1858,$V1660)/SUMIFS('Comp2016-2017 (3)'!$G$5:$G$289,'Comp2016-2017 (3)'!$A$5:$A$289,$D1660,'Comp2016-2017 (3)'!$R$5:$R$289,$V1660)*$AB1660))</f>
        <v/>
      </c>
      <c r="AF1660" s="205" t="str">
        <f>IF($W1660=AF$3,$AB1660,IF(NOT($W1660=0),"",SUMIFS('Val-Vol (2)'!AF$4:AF$1858,'Val-Vol (2)'!$A$4:$A$1858,$D1660,'Val-Vol (2)'!$V$4:$V$1858,$V1660)/SUMIFS('Comp2016-2017 (3)'!$G$5:$G$289,'Comp2016-2017 (3)'!$A$5:$A$289,$D1660,'Comp2016-2017 (3)'!$R$5:$R$289,$V1660)*$AB1660))</f>
        <v/>
      </c>
      <c r="AG1660" s="205" t="str">
        <f>IF($W1660=AG$3,$AB1660,IF(NOT($W1660=0),"",SUMIFS('Val-Vol (2)'!AG$4:AG$1858,'Val-Vol (2)'!$A$4:$A$1858,$D1660,'Val-Vol (2)'!$V$4:$V$1858,$V1660)/SUMIFS('Comp2016-2017 (3)'!$G$5:$G$289,'Comp2016-2017 (3)'!$A$5:$A$289,$D1660,'Comp2016-2017 (3)'!$R$5:$R$289,$V1660)*$AB1660))</f>
        <v/>
      </c>
      <c r="AH1660" s="205" t="str">
        <f>IF($W1660=AH$3,$AB1660,IF(NOT($W1660=0),"",SUMIFS('Val-Vol (2)'!AH$4:AH$1858,'Val-Vol (2)'!$A$4:$A$1858,$D1660,'Val-Vol (2)'!$V$4:$V$1858,$V1660)/SUMIFS('Comp2016-2017 (3)'!$G$5:$G$289,'Comp2016-2017 (3)'!$A$5:$A$289,$D1660,'Comp2016-2017 (3)'!$R$5:$R$289,$V1660)*$AB1660))</f>
        <v/>
      </c>
      <c r="AI1660" s="205" t="str">
        <f>IF($W1660=AI$3,$AB1660,IF(NOT($W1660=0),"",SUMIFS('Val-Vol (2)'!AI$4:AI$1858,'Val-Vol (2)'!$A$4:$A$1858,$D1660,'Val-Vol (2)'!$V$4:$V$1858,$V1660)/SUMIFS('Comp2016-2017 (3)'!$G$5:$G$289,'Comp2016-2017 (3)'!$A$5:$A$289,$D1660,'Comp2016-2017 (3)'!$R$5:$R$289,$V1660)*$AB1660))</f>
        <v/>
      </c>
      <c r="AJ1660" s="205" t="str">
        <f>IF($W1660=AJ$3,$AB1660,IF(NOT($W1660=0),"",SUMIFS('Val-Vol (2)'!AJ$4:AJ$1858,'Val-Vol (2)'!$A$4:$A$1858,$D1660,'Val-Vol (2)'!$V$4:$V$1858,$V1660)/SUMIFS('Comp2016-2017 (3)'!$G$5:$G$289,'Comp2016-2017 (3)'!$A$5:$A$289,$D1660,'Comp2016-2017 (3)'!$R$5:$R$289,$V1660)*$AB1660))</f>
        <v/>
      </c>
      <c r="AK1660" s="205">
        <f t="shared" si="187"/>
        <v>0</v>
      </c>
      <c r="AL1660" s="218" t="str">
        <f t="shared" si="189"/>
        <v/>
      </c>
      <c r="AM1660" s="218" t="str">
        <f>VLOOKUP(A1660,'Table corresp.'!$M$4:$U$63,8,FALSE)</f>
        <v>Production intermédiaire</v>
      </c>
      <c r="AN1660" s="218" t="str">
        <f>VLOOKUP(D1660,'Table corresp.'!$M$4:$U$63,9,FALSE)</f>
        <v xml:space="preserve">Mise en œuvre </v>
      </c>
    </row>
    <row r="1661" spans="1:40" x14ac:dyDescent="0.25">
      <c r="A1661" t="s">
        <v>9</v>
      </c>
      <c r="B1661" t="str">
        <f>VLOOKUP(LEFT(A1661,3),'Table corresp.'!$A$4:$D$63,3,FALSE)</f>
        <v>Transformation</v>
      </c>
      <c r="C1661" t="str">
        <f>VLOOKUP(A1661,'Table corresp.'!$M$4:$P$63,4,FALSE)</f>
        <v>Production et transformation de produits bois</v>
      </c>
      <c r="D1661" t="s">
        <v>26</v>
      </c>
      <c r="E1661" t="str">
        <f>VLOOKUP(LEFT(D1661,3),'Table corresp.'!$A$4:$D$63,4,FALSE)</f>
        <v>Transformation</v>
      </c>
      <c r="F1661" t="str">
        <f t="shared" si="190"/>
        <v xml:space="preserve">15  - 59 </v>
      </c>
      <c r="G1661" s="238">
        <v>930.50911832265604</v>
      </c>
      <c r="H1661" s="238">
        <v>0</v>
      </c>
      <c r="I1661" s="238">
        <v>930.50911832265604</v>
      </c>
      <c r="J1661" s="238">
        <v>11.518852826258442</v>
      </c>
      <c r="K1661" s="238">
        <v>0</v>
      </c>
      <c r="L1661" s="238">
        <v>11.518852826258442</v>
      </c>
      <c r="M1661" s="238"/>
      <c r="N1661" s="238"/>
      <c r="O1661" s="238"/>
      <c r="P1661" s="238"/>
      <c r="Q1661" s="238"/>
      <c r="R1661" s="238"/>
      <c r="S1661" s="238"/>
      <c r="T1661" s="218">
        <f>VLOOKUP(A1661,'Groupe de branches'!$Z$27:$AM$86,14,FALSE)</f>
        <v>0</v>
      </c>
      <c r="U1661" s="218">
        <f>VLOOKUP(D1661,'Groupe de branches'!$Z$27:$AM$86,14,FALSE)</f>
        <v>0</v>
      </c>
      <c r="V1661" s="218">
        <v>2020</v>
      </c>
      <c r="W1661" s="218" t="str">
        <f>VLOOKUP(D1661,'Table corresp.'!$M$4:$S$63,7,FALSE)</f>
        <v>Construction</v>
      </c>
      <c r="X1661" s="240">
        <f>IFERROR(G1661/SUMIFS('Comp2016-2017 (3)'!$I$5:$I$289,'Comp2016-2017 (3)'!$A$5:$A$289,A1661,'Comp2016-2017 (3)'!$R$5:$R$289,V1661),0)</f>
        <v>4.0004035975277274E-3</v>
      </c>
      <c r="Y1661" s="219" t="e">
        <f>IF(RIGHT(F1661,3)="Exp",VLOOKUP(F1661,#REF!,2,FALSE),VLOOKUP(F1661,#REF!,9,FALSE))</f>
        <v>#REF!</v>
      </c>
      <c r="Z1661" s="226" t="str">
        <f t="shared" si="186"/>
        <v/>
      </c>
      <c r="AA1661" s="226" t="e">
        <f t="shared" si="188"/>
        <v>#VALUE!</v>
      </c>
      <c r="AB1661" s="205">
        <f>IFERROR(SUMIFS('Comp2016-2017 (3)'!$G$5:$G$289,'Comp2016-2017 (3)'!$A$5:$A$289,A1661,'Comp2016-2017 (3)'!$R$5:$R$289,V1661)*AA1661/SUMIFS($AA$4:$AA$1858,$A$4:$A$1858,A1661,$V$4:$V$1858,V1661),0)</f>
        <v>0</v>
      </c>
      <c r="AC1661" s="205" t="str">
        <f>IF($W1661=AC$3,$AB1661,IF(NOT($W1661=0),"",SUMIFS('Val-Vol (2)'!AC$4:AC$1858,'Val-Vol (2)'!$A$4:$A$1858,$D1661,'Val-Vol (2)'!$V$4:$V$1858,$V1661)/SUMIFS('Comp2016-2017 (3)'!$G$5:$G$289,'Comp2016-2017 (3)'!$A$5:$A$289,$D1661,'Comp2016-2017 (3)'!$R$5:$R$289,$V1661)*$AB1661))</f>
        <v/>
      </c>
      <c r="AD1661" s="205">
        <f>IF($W1661=AD$3,$AB1661,IF(NOT($W1661=0),"",SUMIFS('Val-Vol (2)'!AD$4:AD$1858,'Val-Vol (2)'!$A$4:$A$1858,$D1661,'Val-Vol (2)'!$V$4:$V$1858,$V1661)/SUMIFS('Comp2016-2017 (3)'!$G$5:$G$289,'Comp2016-2017 (3)'!$A$5:$A$289,$D1661,'Comp2016-2017 (3)'!$R$5:$R$289,$V1661)*$AB1661))</f>
        <v>0</v>
      </c>
      <c r="AE1661" s="205" t="str">
        <f>IF($W1661=AE$3,$AB1661,IF(NOT($W1661=0),"",SUMIFS('Val-Vol (2)'!AE$4:AE$1858,'Val-Vol (2)'!$A$4:$A$1858,$D1661,'Val-Vol (2)'!$V$4:$V$1858,$V1661)/SUMIFS('Comp2016-2017 (3)'!$G$5:$G$289,'Comp2016-2017 (3)'!$A$5:$A$289,$D1661,'Comp2016-2017 (3)'!$R$5:$R$289,$V1661)*$AB1661))</f>
        <v/>
      </c>
      <c r="AF1661" s="205" t="str">
        <f>IF($W1661=AF$3,$AB1661,IF(NOT($W1661=0),"",SUMIFS('Val-Vol (2)'!AF$4:AF$1858,'Val-Vol (2)'!$A$4:$A$1858,$D1661,'Val-Vol (2)'!$V$4:$V$1858,$V1661)/SUMIFS('Comp2016-2017 (3)'!$G$5:$G$289,'Comp2016-2017 (3)'!$A$5:$A$289,$D1661,'Comp2016-2017 (3)'!$R$5:$R$289,$V1661)*$AB1661))</f>
        <v/>
      </c>
      <c r="AG1661" s="205" t="str">
        <f>IF($W1661=AG$3,$AB1661,IF(NOT($W1661=0),"",SUMIFS('Val-Vol (2)'!AG$4:AG$1858,'Val-Vol (2)'!$A$4:$A$1858,$D1661,'Val-Vol (2)'!$V$4:$V$1858,$V1661)/SUMIFS('Comp2016-2017 (3)'!$G$5:$G$289,'Comp2016-2017 (3)'!$A$5:$A$289,$D1661,'Comp2016-2017 (3)'!$R$5:$R$289,$V1661)*$AB1661))</f>
        <v/>
      </c>
      <c r="AH1661" s="205" t="str">
        <f>IF($W1661=AH$3,$AB1661,IF(NOT($W1661=0),"",SUMIFS('Val-Vol (2)'!AH$4:AH$1858,'Val-Vol (2)'!$A$4:$A$1858,$D1661,'Val-Vol (2)'!$V$4:$V$1858,$V1661)/SUMIFS('Comp2016-2017 (3)'!$G$5:$G$289,'Comp2016-2017 (3)'!$A$5:$A$289,$D1661,'Comp2016-2017 (3)'!$R$5:$R$289,$V1661)*$AB1661))</f>
        <v/>
      </c>
      <c r="AI1661" s="205" t="str">
        <f>IF($W1661=AI$3,$AB1661,IF(NOT($W1661=0),"",SUMIFS('Val-Vol (2)'!AI$4:AI$1858,'Val-Vol (2)'!$A$4:$A$1858,$D1661,'Val-Vol (2)'!$V$4:$V$1858,$V1661)/SUMIFS('Comp2016-2017 (3)'!$G$5:$G$289,'Comp2016-2017 (3)'!$A$5:$A$289,$D1661,'Comp2016-2017 (3)'!$R$5:$R$289,$V1661)*$AB1661))</f>
        <v/>
      </c>
      <c r="AJ1661" s="205" t="str">
        <f>IF($W1661=AJ$3,$AB1661,IF(NOT($W1661=0),"",SUMIFS('Val-Vol (2)'!AJ$4:AJ$1858,'Val-Vol (2)'!$A$4:$A$1858,$D1661,'Val-Vol (2)'!$V$4:$V$1858,$V1661)/SUMIFS('Comp2016-2017 (3)'!$G$5:$G$289,'Comp2016-2017 (3)'!$A$5:$A$289,$D1661,'Comp2016-2017 (3)'!$R$5:$R$289,$V1661)*$AB1661))</f>
        <v/>
      </c>
      <c r="AK1661" s="205">
        <f t="shared" si="187"/>
        <v>0</v>
      </c>
      <c r="AL1661" s="218" t="str">
        <f t="shared" si="189"/>
        <v/>
      </c>
      <c r="AM1661" s="218" t="str">
        <f>VLOOKUP(A1661,'Table corresp.'!$M$4:$U$63,8,FALSE)</f>
        <v>Production intermédiaire</v>
      </c>
      <c r="AN1661" s="218" t="str">
        <f>VLOOKUP(D1661,'Table corresp.'!$M$4:$U$63,9,FALSE)</f>
        <v xml:space="preserve">Mise en œuvre </v>
      </c>
    </row>
    <row r="1662" spans="1:40" x14ac:dyDescent="0.25">
      <c r="A1662" t="s">
        <v>9</v>
      </c>
      <c r="B1662" t="str">
        <f>VLOOKUP(LEFT(A1662,3),'Table corresp.'!$A$4:$D$63,3,FALSE)</f>
        <v>Transformation</v>
      </c>
      <c r="C1662" t="str">
        <f>VLOOKUP(A1662,'Table corresp.'!$M$4:$P$63,4,FALSE)</f>
        <v>Production et transformation de produits bois</v>
      </c>
      <c r="D1662" t="s">
        <v>54</v>
      </c>
      <c r="E1662" t="str">
        <f>VLOOKUP(LEFT(D1662,3),'Table corresp.'!$A$4:$D$63,4,FALSE)</f>
        <v>Consommation finale</v>
      </c>
      <c r="F1662" t="str">
        <f t="shared" si="190"/>
        <v>15  - Con</v>
      </c>
      <c r="G1662" s="238">
        <v>56084.439150651997</v>
      </c>
      <c r="H1662" s="238">
        <v>0</v>
      </c>
      <c r="I1662" s="238">
        <v>56084.439150651997</v>
      </c>
      <c r="J1662" s="238">
        <v>457.08025673411947</v>
      </c>
      <c r="K1662" s="238">
        <v>0</v>
      </c>
      <c r="L1662" s="238">
        <v>457.08025673411947</v>
      </c>
      <c r="M1662" s="238"/>
      <c r="N1662" s="238"/>
      <c r="O1662" s="238"/>
      <c r="P1662" s="238"/>
      <c r="Q1662" s="238"/>
      <c r="R1662" s="238"/>
      <c r="S1662" s="238"/>
      <c r="T1662" s="218">
        <f>VLOOKUP(A1662,'Groupe de branches'!$Z$27:$AM$86,14,FALSE)</f>
        <v>0</v>
      </c>
      <c r="U1662" s="218">
        <f>VLOOKUP(D1662,'Groupe de branches'!$Z$27:$AM$86,14,FALSE)</f>
        <v>0</v>
      </c>
      <c r="V1662" s="218">
        <v>2020</v>
      </c>
      <c r="W1662" s="218" t="str">
        <f>VLOOKUP(D1662,'Table corresp.'!$M$4:$S$63,7,FALSE)</f>
        <v>Consommation finale</v>
      </c>
      <c r="X1662" s="240">
        <f>IFERROR(G1662/SUMIFS('Comp2016-2017 (3)'!$I$5:$I$289,'Comp2016-2017 (3)'!$A$5:$A$289,A1662,'Comp2016-2017 (3)'!$R$5:$R$289,V1662),0)</f>
        <v>0.24111573731596228</v>
      </c>
      <c r="Y1662" s="219" t="e">
        <f>IF(RIGHT(F1662,3)="Exp",VLOOKUP(F1662,#REF!,2,FALSE),VLOOKUP(F1662,#REF!,9,FALSE))</f>
        <v>#REF!</v>
      </c>
      <c r="Z1662" s="226" t="str">
        <f t="shared" si="186"/>
        <v/>
      </c>
      <c r="AA1662" s="226" t="e">
        <f t="shared" si="188"/>
        <v>#VALUE!</v>
      </c>
      <c r="AB1662" s="205">
        <f>IFERROR(SUMIFS('Comp2016-2017 (3)'!$G$5:$G$289,'Comp2016-2017 (3)'!$A$5:$A$289,A1662,'Comp2016-2017 (3)'!$R$5:$R$289,V1662)*AA1662/SUMIFS($AA$4:$AA$1858,$A$4:$A$1858,A1662,$V$4:$V$1858,V1662),0)</f>
        <v>0</v>
      </c>
      <c r="AC1662" s="205" t="str">
        <f>IF($W1662=AC$3,$AB1662,IF(NOT($W1662=0),"",SUMIFS('Val-Vol (2)'!AC$4:AC$1858,'Val-Vol (2)'!$A$4:$A$1858,$D1662,'Val-Vol (2)'!$V$4:$V$1858,$V1662)/SUMIFS('Comp2016-2017 (3)'!$G$5:$G$289,'Comp2016-2017 (3)'!$A$5:$A$289,$D1662,'Comp2016-2017 (3)'!$R$5:$R$289,$V1662)*$AB1662))</f>
        <v/>
      </c>
      <c r="AD1662" s="205" t="str">
        <f>IF($W1662=AD$3,$AB1662,IF(NOT($W1662=0),"",SUMIFS('Val-Vol (2)'!AD$4:AD$1858,'Val-Vol (2)'!$A$4:$A$1858,$D1662,'Val-Vol (2)'!$V$4:$V$1858,$V1662)/SUMIFS('Comp2016-2017 (3)'!$G$5:$G$289,'Comp2016-2017 (3)'!$A$5:$A$289,$D1662,'Comp2016-2017 (3)'!$R$5:$R$289,$V1662)*$AB1662))</f>
        <v/>
      </c>
      <c r="AE1662" s="205" t="str">
        <f>IF($W1662=AE$3,$AB1662,IF(NOT($W1662=0),"",SUMIFS('Val-Vol (2)'!AE$4:AE$1858,'Val-Vol (2)'!$A$4:$A$1858,$D1662,'Val-Vol (2)'!$V$4:$V$1858,$V1662)/SUMIFS('Comp2016-2017 (3)'!$G$5:$G$289,'Comp2016-2017 (3)'!$A$5:$A$289,$D1662,'Comp2016-2017 (3)'!$R$5:$R$289,$V1662)*$AB1662))</f>
        <v/>
      </c>
      <c r="AF1662" s="205" t="str">
        <f>IF($W1662=AF$3,$AB1662,IF(NOT($W1662=0),"",SUMIFS('Val-Vol (2)'!AF$4:AF$1858,'Val-Vol (2)'!$A$4:$A$1858,$D1662,'Val-Vol (2)'!$V$4:$V$1858,$V1662)/SUMIFS('Comp2016-2017 (3)'!$G$5:$G$289,'Comp2016-2017 (3)'!$A$5:$A$289,$D1662,'Comp2016-2017 (3)'!$R$5:$R$289,$V1662)*$AB1662))</f>
        <v/>
      </c>
      <c r="AG1662" s="205" t="str">
        <f>IF($W1662=AG$3,$AB1662,IF(NOT($W1662=0),"",SUMIFS('Val-Vol (2)'!AG$4:AG$1858,'Val-Vol (2)'!$A$4:$A$1858,$D1662,'Val-Vol (2)'!$V$4:$V$1858,$V1662)/SUMIFS('Comp2016-2017 (3)'!$G$5:$G$289,'Comp2016-2017 (3)'!$A$5:$A$289,$D1662,'Comp2016-2017 (3)'!$R$5:$R$289,$V1662)*$AB1662))</f>
        <v/>
      </c>
      <c r="AH1662" s="205" t="str">
        <f>IF($W1662=AH$3,$AB1662,IF(NOT($W1662=0),"",SUMIFS('Val-Vol (2)'!AH$4:AH$1858,'Val-Vol (2)'!$A$4:$A$1858,$D1662,'Val-Vol (2)'!$V$4:$V$1858,$V1662)/SUMIFS('Comp2016-2017 (3)'!$G$5:$G$289,'Comp2016-2017 (3)'!$A$5:$A$289,$D1662,'Comp2016-2017 (3)'!$R$5:$R$289,$V1662)*$AB1662))</f>
        <v/>
      </c>
      <c r="AI1662" s="205" t="str">
        <f>IF($W1662=AI$3,$AB1662,IF(NOT($W1662=0),"",SUMIFS('Val-Vol (2)'!AI$4:AI$1858,'Val-Vol (2)'!$A$4:$A$1858,$D1662,'Val-Vol (2)'!$V$4:$V$1858,$V1662)/SUMIFS('Comp2016-2017 (3)'!$G$5:$G$289,'Comp2016-2017 (3)'!$A$5:$A$289,$D1662,'Comp2016-2017 (3)'!$R$5:$R$289,$V1662)*$AB1662))</f>
        <v/>
      </c>
      <c r="AJ1662" s="205">
        <f>IF($W1662=AJ$3,$AB1662,IF(NOT($W1662=0),"",SUMIFS('Val-Vol (2)'!AJ$4:AJ$1858,'Val-Vol (2)'!$A$4:$A$1858,$D1662,'Val-Vol (2)'!$V$4:$V$1858,$V1662)/SUMIFS('Comp2016-2017 (3)'!$G$5:$G$289,'Comp2016-2017 (3)'!$A$5:$A$289,$D1662,'Comp2016-2017 (3)'!$R$5:$R$289,$V1662)*$AB1662))</f>
        <v>0</v>
      </c>
      <c r="AK1662" s="205">
        <f t="shared" si="187"/>
        <v>0</v>
      </c>
      <c r="AL1662" s="218" t="str">
        <f t="shared" si="189"/>
        <v/>
      </c>
      <c r="AM1662" s="218" t="str">
        <f>VLOOKUP(A1662,'Table corresp.'!$M$4:$U$63,8,FALSE)</f>
        <v>Production intermédiaire</v>
      </c>
      <c r="AN1662" s="218" t="str">
        <f>VLOOKUP(D1662,'Table corresp.'!$M$4:$U$63,9,FALSE)</f>
        <v>Consommation finale française</v>
      </c>
    </row>
    <row r="1663" spans="1:40" x14ac:dyDescent="0.25">
      <c r="A1663" t="s">
        <v>10</v>
      </c>
      <c r="B1663" t="str">
        <f>VLOOKUP(LEFT(A1663,3),'Table corresp.'!$A$4:$D$63,3,FALSE)</f>
        <v>Transformation</v>
      </c>
      <c r="C1663" t="str">
        <f>VLOOKUP(A1663,'Table corresp.'!$M$4:$P$63,4,FALSE)</f>
        <v>Production et transformation de produits bois</v>
      </c>
      <c r="D1663" t="s">
        <v>17</v>
      </c>
      <c r="E1663" t="str">
        <f>VLOOKUP(LEFT(D1663,3),'Table corresp.'!$A$4:$D$63,4,FALSE)</f>
        <v>Transformation</v>
      </c>
      <c r="F1663" t="str">
        <f t="shared" si="190"/>
        <v xml:space="preserve">16  - 38 </v>
      </c>
      <c r="G1663" s="238">
        <v>224643.13200000001</v>
      </c>
      <c r="H1663" s="238">
        <v>0</v>
      </c>
      <c r="I1663" s="238">
        <v>224643.13200000001</v>
      </c>
      <c r="J1663" s="238">
        <v>288.50803000307292</v>
      </c>
      <c r="K1663" s="238">
        <v>0</v>
      </c>
      <c r="L1663" s="238">
        <v>288.50803000307292</v>
      </c>
      <c r="M1663" s="238"/>
      <c r="N1663" s="238"/>
      <c r="O1663" s="238"/>
      <c r="P1663" s="238"/>
      <c r="Q1663" s="238"/>
      <c r="R1663" s="238"/>
      <c r="S1663" s="238"/>
      <c r="T1663" s="218">
        <f>VLOOKUP(A1663,'Groupe de branches'!$Z$27:$AM$86,14,FALSE)</f>
        <v>0</v>
      </c>
      <c r="U1663" s="218">
        <f>VLOOKUP(D1663,'Groupe de branches'!$Z$27:$AM$86,14,FALSE)</f>
        <v>0</v>
      </c>
      <c r="V1663" s="218">
        <v>2020</v>
      </c>
      <c r="W1663" s="218" t="str">
        <f>VLOOKUP(D1663,'Table corresp.'!$M$4:$S$63,7,FALSE)</f>
        <v>Emballage bois et carton</v>
      </c>
      <c r="X1663" s="240">
        <f>IFERROR(G1663/SUMIFS('Comp2016-2017 (3)'!$I$5:$I$289,'Comp2016-2017 (3)'!$A$5:$A$289,A1663,'Comp2016-2017 (3)'!$R$5:$R$289,V1663),0)</f>
        <v>0.99900000000000011</v>
      </c>
      <c r="Y1663" s="219" t="e">
        <f>IF(RIGHT(F1663,3)="Exp",VLOOKUP(F1663,#REF!,2,FALSE),VLOOKUP(F1663,#REF!,9,FALSE))</f>
        <v>#REF!</v>
      </c>
      <c r="Z1663" s="226" t="str">
        <f t="shared" si="186"/>
        <v/>
      </c>
      <c r="AA1663" s="226" t="e">
        <f t="shared" si="188"/>
        <v>#VALUE!</v>
      </c>
      <c r="AB1663" s="205">
        <f>IFERROR(SUMIFS('Comp2016-2017 (3)'!$G$5:$G$289,'Comp2016-2017 (3)'!$A$5:$A$289,A1663,'Comp2016-2017 (3)'!$R$5:$R$289,V1663)*AA1663/SUMIFS($AA$4:$AA$1858,$A$4:$A$1858,A1663,$V$4:$V$1858,V1663),0)</f>
        <v>0</v>
      </c>
      <c r="AC1663" s="205" t="str">
        <f>IF($W1663=AC$3,$AB1663,IF(NOT($W1663=0),"",SUMIFS('Val-Vol (2)'!AC$4:AC$1858,'Val-Vol (2)'!$A$4:$A$1858,$D1663,'Val-Vol (2)'!$V$4:$V$1858,$V1663)/SUMIFS('Comp2016-2017 (3)'!$G$5:$G$289,'Comp2016-2017 (3)'!$A$5:$A$289,$D1663,'Comp2016-2017 (3)'!$R$5:$R$289,$V1663)*$AB1663))</f>
        <v/>
      </c>
      <c r="AD1663" s="205" t="str">
        <f>IF($W1663=AD$3,$AB1663,IF(NOT($W1663=0),"",SUMIFS('Val-Vol (2)'!AD$4:AD$1858,'Val-Vol (2)'!$A$4:$A$1858,$D1663,'Val-Vol (2)'!$V$4:$V$1858,$V1663)/SUMIFS('Comp2016-2017 (3)'!$G$5:$G$289,'Comp2016-2017 (3)'!$A$5:$A$289,$D1663,'Comp2016-2017 (3)'!$R$5:$R$289,$V1663)*$AB1663))</f>
        <v/>
      </c>
      <c r="AE1663" s="205" t="str">
        <f>IF($W1663=AE$3,$AB1663,IF(NOT($W1663=0),"",SUMIFS('Val-Vol (2)'!AE$4:AE$1858,'Val-Vol (2)'!$A$4:$A$1858,$D1663,'Val-Vol (2)'!$V$4:$V$1858,$V1663)/SUMIFS('Comp2016-2017 (3)'!$G$5:$G$289,'Comp2016-2017 (3)'!$A$5:$A$289,$D1663,'Comp2016-2017 (3)'!$R$5:$R$289,$V1663)*$AB1663))</f>
        <v/>
      </c>
      <c r="AF1663" s="205" t="str">
        <f>IF($W1663=AF$3,$AB1663,IF(NOT($W1663=0),"",SUMIFS('Val-Vol (2)'!AF$4:AF$1858,'Val-Vol (2)'!$A$4:$A$1858,$D1663,'Val-Vol (2)'!$V$4:$V$1858,$V1663)/SUMIFS('Comp2016-2017 (3)'!$G$5:$G$289,'Comp2016-2017 (3)'!$A$5:$A$289,$D1663,'Comp2016-2017 (3)'!$R$5:$R$289,$V1663)*$AB1663))</f>
        <v/>
      </c>
      <c r="AG1663" s="205">
        <f>IF($W1663=AG$3,$AB1663,IF(NOT($W1663=0),"",SUMIFS('Val-Vol (2)'!AG$4:AG$1858,'Val-Vol (2)'!$A$4:$A$1858,$D1663,'Val-Vol (2)'!$V$4:$V$1858,$V1663)/SUMIFS('Comp2016-2017 (3)'!$G$5:$G$289,'Comp2016-2017 (3)'!$A$5:$A$289,$D1663,'Comp2016-2017 (3)'!$R$5:$R$289,$V1663)*$AB1663))</f>
        <v>0</v>
      </c>
      <c r="AH1663" s="205" t="str">
        <f>IF($W1663=AH$3,$AB1663,IF(NOT($W1663=0),"",SUMIFS('Val-Vol (2)'!AH$4:AH$1858,'Val-Vol (2)'!$A$4:$A$1858,$D1663,'Val-Vol (2)'!$V$4:$V$1858,$V1663)/SUMIFS('Comp2016-2017 (3)'!$G$5:$G$289,'Comp2016-2017 (3)'!$A$5:$A$289,$D1663,'Comp2016-2017 (3)'!$R$5:$R$289,$V1663)*$AB1663))</f>
        <v/>
      </c>
      <c r="AI1663" s="205" t="str">
        <f>IF($W1663=AI$3,$AB1663,IF(NOT($W1663=0),"",SUMIFS('Val-Vol (2)'!AI$4:AI$1858,'Val-Vol (2)'!$A$4:$A$1858,$D1663,'Val-Vol (2)'!$V$4:$V$1858,$V1663)/SUMIFS('Comp2016-2017 (3)'!$G$5:$G$289,'Comp2016-2017 (3)'!$A$5:$A$289,$D1663,'Comp2016-2017 (3)'!$R$5:$R$289,$V1663)*$AB1663))</f>
        <v/>
      </c>
      <c r="AJ1663" s="205" t="str">
        <f>IF($W1663=AJ$3,$AB1663,IF(NOT($W1663=0),"",SUMIFS('Val-Vol (2)'!AJ$4:AJ$1858,'Val-Vol (2)'!$A$4:$A$1858,$D1663,'Val-Vol (2)'!$V$4:$V$1858,$V1663)/SUMIFS('Comp2016-2017 (3)'!$G$5:$G$289,'Comp2016-2017 (3)'!$A$5:$A$289,$D1663,'Comp2016-2017 (3)'!$R$5:$R$289,$V1663)*$AB1663))</f>
        <v/>
      </c>
      <c r="AK1663" s="205">
        <f t="shared" si="187"/>
        <v>0</v>
      </c>
      <c r="AL1663" s="218" t="str">
        <f t="shared" si="189"/>
        <v/>
      </c>
      <c r="AM1663" s="218" t="str">
        <f>VLOOKUP(A1663,'Table corresp.'!$M$4:$U$63,8,FALSE)</f>
        <v>Production intermédiaire</v>
      </c>
      <c r="AN1663" s="218" t="str">
        <f>VLOOKUP(D1663,'Table corresp.'!$M$4:$U$63,9,FALSE)</f>
        <v>Production finale</v>
      </c>
    </row>
    <row r="1664" spans="1:40" x14ac:dyDescent="0.25">
      <c r="A1664" t="s">
        <v>10</v>
      </c>
      <c r="B1664" t="str">
        <f>VLOOKUP(LEFT(A1664,3),'Table corresp.'!$A$4:$D$63,3,FALSE)</f>
        <v>Transformation</v>
      </c>
      <c r="C1664" t="str">
        <f>VLOOKUP(A1664,'Table corresp.'!$M$4:$P$63,4,FALSE)</f>
        <v>Production et transformation de produits bois</v>
      </c>
      <c r="D1664" t="s">
        <v>53</v>
      </c>
      <c r="E1664" t="str">
        <f>VLOOKUP(LEFT(D1664,3),'Table corresp.'!$A$4:$D$63,4,FALSE)</f>
        <v>Exportation</v>
      </c>
      <c r="F1664" t="str">
        <f t="shared" si="190"/>
        <v>16  - Exp</v>
      </c>
      <c r="G1664" s="238">
        <v>224.86799999999999</v>
      </c>
      <c r="H1664" s="238">
        <v>0</v>
      </c>
      <c r="I1664" s="238">
        <v>224.86799999999999</v>
      </c>
      <c r="J1664" s="238">
        <v>0.21796397839789386</v>
      </c>
      <c r="K1664" s="238">
        <v>0</v>
      </c>
      <c r="L1664" s="238">
        <v>0.21796397839789386</v>
      </c>
      <c r="M1664" s="238"/>
      <c r="N1664" s="238"/>
      <c r="O1664" s="238"/>
      <c r="P1664" s="238"/>
      <c r="Q1664" s="238"/>
      <c r="R1664" s="238"/>
      <c r="S1664" s="238"/>
      <c r="T1664" s="218">
        <f>VLOOKUP(A1664,'Groupe de branches'!$Z$27:$AM$86,14,FALSE)</f>
        <v>0</v>
      </c>
      <c r="U1664" s="218">
        <f>VLOOKUP(D1664,'Groupe de branches'!$Z$27:$AM$86,14,FALSE)</f>
        <v>0</v>
      </c>
      <c r="V1664" s="218">
        <v>2020</v>
      </c>
      <c r="W1664" s="218" t="str">
        <f>VLOOKUP(D1664,'Table corresp.'!$M$4:$S$63,7,FALSE)</f>
        <v>Exportation</v>
      </c>
      <c r="X1664" s="240">
        <f>IFERROR(G1664/SUMIFS('Comp2016-2017 (3)'!$I$5:$I$289,'Comp2016-2017 (3)'!$A$5:$A$289,A1664,'Comp2016-2017 (3)'!$R$5:$R$289,V1664),0)</f>
        <v>1E-3</v>
      </c>
      <c r="Y1664" s="219" t="e">
        <f>IF(RIGHT(F1664,3)="Exp",VLOOKUP(F1664,#REF!,2,FALSE),VLOOKUP(F1664,#REF!,9,FALSE))</f>
        <v>#REF!</v>
      </c>
      <c r="Z1664" s="226" t="str">
        <f t="shared" si="186"/>
        <v/>
      </c>
      <c r="AA1664" s="226" t="e">
        <f t="shared" si="188"/>
        <v>#VALUE!</v>
      </c>
      <c r="AB1664" s="205">
        <f>IFERROR(SUMIFS('Comp2016-2017 (3)'!$G$5:$G$289,'Comp2016-2017 (3)'!$A$5:$A$289,A1664,'Comp2016-2017 (3)'!$R$5:$R$289,V1664)*AA1664/SUMIFS($AA$4:$AA$1858,$A$4:$A$1858,A1664,$V$4:$V$1858,V1664),0)</f>
        <v>0</v>
      </c>
      <c r="AC1664" s="205">
        <f>IF($W1664=AC$3,$AB1664,IF(NOT($W1664=0),"",SUMIFS('Val-Vol (2)'!AC$4:AC$1858,'Val-Vol (2)'!$A$4:$A$1858,$D1664,'Val-Vol (2)'!$V$4:$V$1858,$V1664)/SUMIFS('Comp2016-2017 (3)'!$G$5:$G$289,'Comp2016-2017 (3)'!$A$5:$A$289,$D1664,'Comp2016-2017 (3)'!$R$5:$R$289,$V1664)*$AB1664))</f>
        <v>0</v>
      </c>
      <c r="AD1664" s="205" t="str">
        <f>IF($W1664=AD$3,$AB1664,IF(NOT($W1664=0),"",SUMIFS('Val-Vol (2)'!AD$4:AD$1858,'Val-Vol (2)'!$A$4:$A$1858,$D1664,'Val-Vol (2)'!$V$4:$V$1858,$V1664)/SUMIFS('Comp2016-2017 (3)'!$G$5:$G$289,'Comp2016-2017 (3)'!$A$5:$A$289,$D1664,'Comp2016-2017 (3)'!$R$5:$R$289,$V1664)*$AB1664))</f>
        <v/>
      </c>
      <c r="AE1664" s="205" t="str">
        <f>IF($W1664=AE$3,$AB1664,IF(NOT($W1664=0),"",SUMIFS('Val-Vol (2)'!AE$4:AE$1858,'Val-Vol (2)'!$A$4:$A$1858,$D1664,'Val-Vol (2)'!$V$4:$V$1858,$V1664)/SUMIFS('Comp2016-2017 (3)'!$G$5:$G$289,'Comp2016-2017 (3)'!$A$5:$A$289,$D1664,'Comp2016-2017 (3)'!$R$5:$R$289,$V1664)*$AB1664))</f>
        <v/>
      </c>
      <c r="AF1664" s="205" t="str">
        <f>IF($W1664=AF$3,$AB1664,IF(NOT($W1664=0),"",SUMIFS('Val-Vol (2)'!AF$4:AF$1858,'Val-Vol (2)'!$A$4:$A$1858,$D1664,'Val-Vol (2)'!$V$4:$V$1858,$V1664)/SUMIFS('Comp2016-2017 (3)'!$G$5:$G$289,'Comp2016-2017 (3)'!$A$5:$A$289,$D1664,'Comp2016-2017 (3)'!$R$5:$R$289,$V1664)*$AB1664))</f>
        <v/>
      </c>
      <c r="AG1664" s="205" t="str">
        <f>IF($W1664=AG$3,$AB1664,IF(NOT($W1664=0),"",SUMIFS('Val-Vol (2)'!AG$4:AG$1858,'Val-Vol (2)'!$A$4:$A$1858,$D1664,'Val-Vol (2)'!$V$4:$V$1858,$V1664)/SUMIFS('Comp2016-2017 (3)'!$G$5:$G$289,'Comp2016-2017 (3)'!$A$5:$A$289,$D1664,'Comp2016-2017 (3)'!$R$5:$R$289,$V1664)*$AB1664))</f>
        <v/>
      </c>
      <c r="AH1664" s="205" t="str">
        <f>IF($W1664=AH$3,$AB1664,IF(NOT($W1664=0),"",SUMIFS('Val-Vol (2)'!AH$4:AH$1858,'Val-Vol (2)'!$A$4:$A$1858,$D1664,'Val-Vol (2)'!$V$4:$V$1858,$V1664)/SUMIFS('Comp2016-2017 (3)'!$G$5:$G$289,'Comp2016-2017 (3)'!$A$5:$A$289,$D1664,'Comp2016-2017 (3)'!$R$5:$R$289,$V1664)*$AB1664))</f>
        <v/>
      </c>
      <c r="AI1664" s="205" t="str">
        <f>IF($W1664=AI$3,$AB1664,IF(NOT($W1664=0),"",SUMIFS('Val-Vol (2)'!AI$4:AI$1858,'Val-Vol (2)'!$A$4:$A$1858,$D1664,'Val-Vol (2)'!$V$4:$V$1858,$V1664)/SUMIFS('Comp2016-2017 (3)'!$G$5:$G$289,'Comp2016-2017 (3)'!$A$5:$A$289,$D1664,'Comp2016-2017 (3)'!$R$5:$R$289,$V1664)*$AB1664))</f>
        <v/>
      </c>
      <c r="AJ1664" s="205" t="str">
        <f>IF($W1664=AJ$3,$AB1664,IF(NOT($W1664=0),"",SUMIFS('Val-Vol (2)'!AJ$4:AJ$1858,'Val-Vol (2)'!$A$4:$A$1858,$D1664,'Val-Vol (2)'!$V$4:$V$1858,$V1664)/SUMIFS('Comp2016-2017 (3)'!$G$5:$G$289,'Comp2016-2017 (3)'!$A$5:$A$289,$D1664,'Comp2016-2017 (3)'!$R$5:$R$289,$V1664)*$AB1664))</f>
        <v/>
      </c>
      <c r="AK1664" s="205">
        <f t="shared" si="187"/>
        <v>0</v>
      </c>
      <c r="AL1664" s="218" t="str">
        <f t="shared" si="189"/>
        <v/>
      </c>
      <c r="AM1664" s="218" t="str">
        <f>VLOOKUP(A1664,'Table corresp.'!$M$4:$U$63,8,FALSE)</f>
        <v>Production intermédiaire</v>
      </c>
      <c r="AN1664" s="218" t="str">
        <f>VLOOKUP(D1664,'Table corresp.'!$M$4:$U$63,9,FALSE)</f>
        <v>Exportation</v>
      </c>
    </row>
    <row r="1665" spans="1:40" x14ac:dyDescent="0.25">
      <c r="A1665" t="s">
        <v>84</v>
      </c>
      <c r="B1665" t="str">
        <f>VLOOKUP(LEFT(A1665,3),'Table corresp.'!$A$4:$D$63,3,FALSE)</f>
        <v>Transformation</v>
      </c>
      <c r="C1665" t="str">
        <f>VLOOKUP(A1665,'Table corresp.'!$M$4:$P$63,4,FALSE)</f>
        <v>Production et transformation de produits bois</v>
      </c>
      <c r="D1665" t="s">
        <v>85</v>
      </c>
      <c r="E1665" t="str">
        <f>VLOOKUP(LEFT(D1665,3),'Table corresp.'!$A$4:$D$63,4,FALSE)</f>
        <v>Transformation</v>
      </c>
      <c r="F1665" t="str">
        <f t="shared" si="190"/>
        <v xml:space="preserve">17  - 29 </v>
      </c>
      <c r="G1665" s="238">
        <v>27988.539045000001</v>
      </c>
      <c r="H1665" s="238">
        <v>12814.785</v>
      </c>
      <c r="I1665" s="238">
        <v>40803.324045000001</v>
      </c>
      <c r="J1665" s="238">
        <v>185.13064389816324</v>
      </c>
      <c r="K1665" s="238">
        <v>36.186512821526016</v>
      </c>
      <c r="L1665" s="238">
        <v>221.31715671968925</v>
      </c>
      <c r="M1665" s="238"/>
      <c r="N1665" s="238"/>
      <c r="O1665" s="238"/>
      <c r="P1665" s="238"/>
      <c r="Q1665" s="238"/>
      <c r="R1665" s="238"/>
      <c r="S1665" s="238"/>
      <c r="T1665" s="218">
        <f>VLOOKUP(A1665,'Groupe de branches'!$Z$27:$AM$86,14,FALSE)</f>
        <v>0</v>
      </c>
      <c r="U1665" s="218">
        <f>VLOOKUP(D1665,'Groupe de branches'!$Z$27:$AM$86,14,FALSE)</f>
        <v>0</v>
      </c>
      <c r="V1665" s="218">
        <v>2020</v>
      </c>
      <c r="W1665" s="218" t="str">
        <f>VLOOKUP(D1665,'Table corresp.'!$M$4:$S$63,7,FALSE)</f>
        <v>Construction</v>
      </c>
      <c r="X1665" s="240">
        <f>IFERROR(G1665/SUMIFS('Comp2016-2017 (3)'!$I$5:$I$289,'Comp2016-2017 (3)'!$A$5:$A$289,A1665,'Comp2016-2017 (3)'!$R$5:$R$289,V1665),0)</f>
        <v>0.6423662308645659</v>
      </c>
      <c r="Y1665" s="219" t="e">
        <f>IF(RIGHT(F1665,3)="Exp",VLOOKUP(F1665,#REF!,2,FALSE),VLOOKUP(F1665,#REF!,9,FALSE))</f>
        <v>#REF!</v>
      </c>
      <c r="Z1665" s="226" t="str">
        <f t="shared" si="186"/>
        <v/>
      </c>
      <c r="AA1665" s="226" t="e">
        <f t="shared" si="188"/>
        <v>#VALUE!</v>
      </c>
      <c r="AB1665" s="205">
        <f>IFERROR(SUMIFS('Comp2016-2017 (3)'!$G$5:$G$289,'Comp2016-2017 (3)'!$A$5:$A$289,A1665,'Comp2016-2017 (3)'!$R$5:$R$289,V1665)*AA1665/SUMIFS($AA$4:$AA$1858,$A$4:$A$1858,A1665,$V$4:$V$1858,V1665),0)</f>
        <v>0</v>
      </c>
      <c r="AC1665" s="205" t="str">
        <f>IF($W1665=AC$3,$AB1665,IF(NOT($W1665=0),"",SUMIFS('Val-Vol (2)'!AC$4:AC$1858,'Val-Vol (2)'!$A$4:$A$1858,$D1665,'Val-Vol (2)'!$V$4:$V$1858,$V1665)/SUMIFS('Comp2016-2017 (3)'!$G$5:$G$289,'Comp2016-2017 (3)'!$A$5:$A$289,$D1665,'Comp2016-2017 (3)'!$R$5:$R$289,$V1665)*$AB1665))</f>
        <v/>
      </c>
      <c r="AD1665" s="205">
        <f>IF($W1665=AD$3,$AB1665,IF(NOT($W1665=0),"",SUMIFS('Val-Vol (2)'!AD$4:AD$1858,'Val-Vol (2)'!$A$4:$A$1858,$D1665,'Val-Vol (2)'!$V$4:$V$1858,$V1665)/SUMIFS('Comp2016-2017 (3)'!$G$5:$G$289,'Comp2016-2017 (3)'!$A$5:$A$289,$D1665,'Comp2016-2017 (3)'!$R$5:$R$289,$V1665)*$AB1665))</f>
        <v>0</v>
      </c>
      <c r="AE1665" s="205" t="str">
        <f>IF($W1665=AE$3,$AB1665,IF(NOT($W1665=0),"",SUMIFS('Val-Vol (2)'!AE$4:AE$1858,'Val-Vol (2)'!$A$4:$A$1858,$D1665,'Val-Vol (2)'!$V$4:$V$1858,$V1665)/SUMIFS('Comp2016-2017 (3)'!$G$5:$G$289,'Comp2016-2017 (3)'!$A$5:$A$289,$D1665,'Comp2016-2017 (3)'!$R$5:$R$289,$V1665)*$AB1665))</f>
        <v/>
      </c>
      <c r="AF1665" s="205" t="str">
        <f>IF($W1665=AF$3,$AB1665,IF(NOT($W1665=0),"",SUMIFS('Val-Vol (2)'!AF$4:AF$1858,'Val-Vol (2)'!$A$4:$A$1858,$D1665,'Val-Vol (2)'!$V$4:$V$1858,$V1665)/SUMIFS('Comp2016-2017 (3)'!$G$5:$G$289,'Comp2016-2017 (3)'!$A$5:$A$289,$D1665,'Comp2016-2017 (3)'!$R$5:$R$289,$V1665)*$AB1665))</f>
        <v/>
      </c>
      <c r="AG1665" s="205" t="str">
        <f>IF($W1665=AG$3,$AB1665,IF(NOT($W1665=0),"",SUMIFS('Val-Vol (2)'!AG$4:AG$1858,'Val-Vol (2)'!$A$4:$A$1858,$D1665,'Val-Vol (2)'!$V$4:$V$1858,$V1665)/SUMIFS('Comp2016-2017 (3)'!$G$5:$G$289,'Comp2016-2017 (3)'!$A$5:$A$289,$D1665,'Comp2016-2017 (3)'!$R$5:$R$289,$V1665)*$AB1665))</f>
        <v/>
      </c>
      <c r="AH1665" s="205" t="str">
        <f>IF($W1665=AH$3,$AB1665,IF(NOT($W1665=0),"",SUMIFS('Val-Vol (2)'!AH$4:AH$1858,'Val-Vol (2)'!$A$4:$A$1858,$D1665,'Val-Vol (2)'!$V$4:$V$1858,$V1665)/SUMIFS('Comp2016-2017 (3)'!$G$5:$G$289,'Comp2016-2017 (3)'!$A$5:$A$289,$D1665,'Comp2016-2017 (3)'!$R$5:$R$289,$V1665)*$AB1665))</f>
        <v/>
      </c>
      <c r="AI1665" s="205" t="str">
        <f>IF($W1665=AI$3,$AB1665,IF(NOT($W1665=0),"",SUMIFS('Val-Vol (2)'!AI$4:AI$1858,'Val-Vol (2)'!$A$4:$A$1858,$D1665,'Val-Vol (2)'!$V$4:$V$1858,$V1665)/SUMIFS('Comp2016-2017 (3)'!$G$5:$G$289,'Comp2016-2017 (3)'!$A$5:$A$289,$D1665,'Comp2016-2017 (3)'!$R$5:$R$289,$V1665)*$AB1665))</f>
        <v/>
      </c>
      <c r="AJ1665" s="205" t="str">
        <f>IF($W1665=AJ$3,$AB1665,IF(NOT($W1665=0),"",SUMIFS('Val-Vol (2)'!AJ$4:AJ$1858,'Val-Vol (2)'!$A$4:$A$1858,$D1665,'Val-Vol (2)'!$V$4:$V$1858,$V1665)/SUMIFS('Comp2016-2017 (3)'!$G$5:$G$289,'Comp2016-2017 (3)'!$A$5:$A$289,$D1665,'Comp2016-2017 (3)'!$R$5:$R$289,$V1665)*$AB1665))</f>
        <v/>
      </c>
      <c r="AK1665" s="205">
        <f t="shared" si="187"/>
        <v>0</v>
      </c>
      <c r="AL1665" s="218" t="str">
        <f t="shared" si="189"/>
        <v/>
      </c>
      <c r="AM1665" s="218" t="str">
        <f>VLOOKUP(A1665,'Table corresp.'!$M$4:$U$63,8,FALSE)</f>
        <v>Production intermédiaire</v>
      </c>
      <c r="AN1665" s="218" t="str">
        <f>VLOOKUP(D1665,'Table corresp.'!$M$4:$U$63,9,FALSE)</f>
        <v>Production intermédiaire</v>
      </c>
    </row>
    <row r="1666" spans="1:40" x14ac:dyDescent="0.25">
      <c r="A1666" t="s">
        <v>84</v>
      </c>
      <c r="B1666" t="str">
        <f>VLOOKUP(LEFT(A1666,3),'Table corresp.'!$A$4:$D$63,3,FALSE)</f>
        <v>Transformation</v>
      </c>
      <c r="C1666" t="str">
        <f>VLOOKUP(A1666,'Table corresp.'!$M$4:$P$63,4,FALSE)</f>
        <v>Production et transformation de produits bois</v>
      </c>
      <c r="D1666" t="s">
        <v>53</v>
      </c>
      <c r="E1666" t="str">
        <f>VLOOKUP(LEFT(D1666,3),'Table corresp.'!$A$4:$D$63,4,FALSE)</f>
        <v>Exportation</v>
      </c>
      <c r="F1666" t="str">
        <f t="shared" si="190"/>
        <v>17  - Exp</v>
      </c>
      <c r="G1666" s="238">
        <v>15582.460955</v>
      </c>
      <c r="H1666" s="238">
        <v>0</v>
      </c>
      <c r="I1666" s="238">
        <v>15582.460955</v>
      </c>
      <c r="J1666" s="238">
        <v>105.29958439201741</v>
      </c>
      <c r="K1666" s="238">
        <v>0</v>
      </c>
      <c r="L1666" s="238">
        <v>105.29958439201741</v>
      </c>
      <c r="M1666" s="238"/>
      <c r="N1666" s="238"/>
      <c r="O1666" s="238"/>
      <c r="P1666" s="238"/>
      <c r="Q1666" s="238"/>
      <c r="R1666" s="238"/>
      <c r="S1666" s="238"/>
      <c r="T1666" s="218">
        <f>VLOOKUP(A1666,'Groupe de branches'!$Z$27:$AM$86,14,FALSE)</f>
        <v>0</v>
      </c>
      <c r="U1666" s="218">
        <f>VLOOKUP(D1666,'Groupe de branches'!$Z$27:$AM$86,14,FALSE)</f>
        <v>0</v>
      </c>
      <c r="V1666" s="218">
        <v>2020</v>
      </c>
      <c r="W1666" s="218" t="str">
        <f>VLOOKUP(D1666,'Table corresp.'!$M$4:$S$63,7,FALSE)</f>
        <v>Exportation</v>
      </c>
      <c r="X1666" s="240">
        <f>IFERROR(G1666/SUMIFS('Comp2016-2017 (3)'!$I$5:$I$289,'Comp2016-2017 (3)'!$A$5:$A$289,A1666,'Comp2016-2017 (3)'!$R$5:$R$289,V1666),0)</f>
        <v>0.35763376913543415</v>
      </c>
      <c r="Y1666" s="219" t="e">
        <f>IF(RIGHT(F1666,3)="Exp",VLOOKUP(F1666,#REF!,2,FALSE),VLOOKUP(F1666,#REF!,9,FALSE))</f>
        <v>#REF!</v>
      </c>
      <c r="Z1666" s="226" t="str">
        <f t="shared" si="186"/>
        <v/>
      </c>
      <c r="AA1666" s="226" t="e">
        <f t="shared" si="188"/>
        <v>#VALUE!</v>
      </c>
      <c r="AB1666" s="205">
        <f>IFERROR(SUMIFS('Comp2016-2017 (3)'!$G$5:$G$289,'Comp2016-2017 (3)'!$A$5:$A$289,A1666,'Comp2016-2017 (3)'!$R$5:$R$289,V1666)*AA1666/SUMIFS($AA$4:$AA$1858,$A$4:$A$1858,A1666,$V$4:$V$1858,V1666),0)</f>
        <v>0</v>
      </c>
      <c r="AC1666" s="205">
        <f>IF($W1666=AC$3,$AB1666,IF(NOT($W1666=0),"",SUMIFS('Val-Vol (2)'!AC$4:AC$1858,'Val-Vol (2)'!$A$4:$A$1858,$D1666,'Val-Vol (2)'!$V$4:$V$1858,$V1666)/SUMIFS('Comp2016-2017 (3)'!$G$5:$G$289,'Comp2016-2017 (3)'!$A$5:$A$289,$D1666,'Comp2016-2017 (3)'!$R$5:$R$289,$V1666)*$AB1666))</f>
        <v>0</v>
      </c>
      <c r="AD1666" s="205" t="str">
        <f>IF($W1666=AD$3,$AB1666,IF(NOT($W1666=0),"",SUMIFS('Val-Vol (2)'!AD$4:AD$1858,'Val-Vol (2)'!$A$4:$A$1858,$D1666,'Val-Vol (2)'!$V$4:$V$1858,$V1666)/SUMIFS('Comp2016-2017 (3)'!$G$5:$G$289,'Comp2016-2017 (3)'!$A$5:$A$289,$D1666,'Comp2016-2017 (3)'!$R$5:$R$289,$V1666)*$AB1666))</f>
        <v/>
      </c>
      <c r="AE1666" s="205" t="str">
        <f>IF($W1666=AE$3,$AB1666,IF(NOT($W1666=0),"",SUMIFS('Val-Vol (2)'!AE$4:AE$1858,'Val-Vol (2)'!$A$4:$A$1858,$D1666,'Val-Vol (2)'!$V$4:$V$1858,$V1666)/SUMIFS('Comp2016-2017 (3)'!$G$5:$G$289,'Comp2016-2017 (3)'!$A$5:$A$289,$D1666,'Comp2016-2017 (3)'!$R$5:$R$289,$V1666)*$AB1666))</f>
        <v/>
      </c>
      <c r="AF1666" s="205" t="str">
        <f>IF($W1666=AF$3,$AB1666,IF(NOT($W1666=0),"",SUMIFS('Val-Vol (2)'!AF$4:AF$1858,'Val-Vol (2)'!$A$4:$A$1858,$D1666,'Val-Vol (2)'!$V$4:$V$1858,$V1666)/SUMIFS('Comp2016-2017 (3)'!$G$5:$G$289,'Comp2016-2017 (3)'!$A$5:$A$289,$D1666,'Comp2016-2017 (3)'!$R$5:$R$289,$V1666)*$AB1666))</f>
        <v/>
      </c>
      <c r="AG1666" s="205" t="str">
        <f>IF($W1666=AG$3,$AB1666,IF(NOT($W1666=0),"",SUMIFS('Val-Vol (2)'!AG$4:AG$1858,'Val-Vol (2)'!$A$4:$A$1858,$D1666,'Val-Vol (2)'!$V$4:$V$1858,$V1666)/SUMIFS('Comp2016-2017 (3)'!$G$5:$G$289,'Comp2016-2017 (3)'!$A$5:$A$289,$D1666,'Comp2016-2017 (3)'!$R$5:$R$289,$V1666)*$AB1666))</f>
        <v/>
      </c>
      <c r="AH1666" s="205" t="str">
        <f>IF($W1666=AH$3,$AB1666,IF(NOT($W1666=0),"",SUMIFS('Val-Vol (2)'!AH$4:AH$1858,'Val-Vol (2)'!$A$4:$A$1858,$D1666,'Val-Vol (2)'!$V$4:$V$1858,$V1666)/SUMIFS('Comp2016-2017 (3)'!$G$5:$G$289,'Comp2016-2017 (3)'!$A$5:$A$289,$D1666,'Comp2016-2017 (3)'!$R$5:$R$289,$V1666)*$AB1666))</f>
        <v/>
      </c>
      <c r="AI1666" s="205" t="str">
        <f>IF($W1666=AI$3,$AB1666,IF(NOT($W1666=0),"",SUMIFS('Val-Vol (2)'!AI$4:AI$1858,'Val-Vol (2)'!$A$4:$A$1858,$D1666,'Val-Vol (2)'!$V$4:$V$1858,$V1666)/SUMIFS('Comp2016-2017 (3)'!$G$5:$G$289,'Comp2016-2017 (3)'!$A$5:$A$289,$D1666,'Comp2016-2017 (3)'!$R$5:$R$289,$V1666)*$AB1666))</f>
        <v/>
      </c>
      <c r="AJ1666" s="205" t="str">
        <f>IF($W1666=AJ$3,$AB1666,IF(NOT($W1666=0),"",SUMIFS('Val-Vol (2)'!AJ$4:AJ$1858,'Val-Vol (2)'!$A$4:$A$1858,$D1666,'Val-Vol (2)'!$V$4:$V$1858,$V1666)/SUMIFS('Comp2016-2017 (3)'!$G$5:$G$289,'Comp2016-2017 (3)'!$A$5:$A$289,$D1666,'Comp2016-2017 (3)'!$R$5:$R$289,$V1666)*$AB1666))</f>
        <v/>
      </c>
      <c r="AK1666" s="205">
        <f t="shared" si="187"/>
        <v>0</v>
      </c>
      <c r="AL1666" s="218" t="str">
        <f t="shared" si="189"/>
        <v/>
      </c>
      <c r="AM1666" s="218" t="str">
        <f>VLOOKUP(A1666,'Table corresp.'!$M$4:$U$63,8,FALSE)</f>
        <v>Production intermédiaire</v>
      </c>
      <c r="AN1666" s="218" t="str">
        <f>VLOOKUP(D1666,'Table corresp.'!$M$4:$U$63,9,FALSE)</f>
        <v>Exportation</v>
      </c>
    </row>
    <row r="1667" spans="1:40" x14ac:dyDescent="0.25">
      <c r="A1667" t="s">
        <v>11</v>
      </c>
      <c r="B1667" t="str">
        <f>VLOOKUP(LEFT(A1667,3),'Table corresp.'!$A$4:$D$63,3,FALSE)</f>
        <v>Produits connexes du sciage</v>
      </c>
      <c r="C1667" t="str">
        <f>VLOOKUP(A1667,'Table corresp.'!$M$4:$P$63,4,FALSE)</f>
        <v>Production et transformation de produits bois</v>
      </c>
      <c r="D1667" t="s">
        <v>87</v>
      </c>
      <c r="E1667" t="str">
        <f>VLOOKUP(LEFT(D1667,3),'Table corresp.'!$A$4:$D$63,4,FALSE)</f>
        <v>Transformation</v>
      </c>
      <c r="F1667" t="str">
        <f t="shared" si="190"/>
        <v xml:space="preserve">18  - 31 </v>
      </c>
      <c r="G1667" s="238">
        <v>13531.555010227299</v>
      </c>
      <c r="H1667" s="238">
        <v>49921.599999999999</v>
      </c>
      <c r="I1667" s="238">
        <v>63453.209594617801</v>
      </c>
      <c r="J1667" s="238"/>
      <c r="K1667" s="238"/>
      <c r="L1667" s="238"/>
      <c r="M1667" s="238">
        <v>543.65245347113546</v>
      </c>
      <c r="N1667" s="238">
        <v>876.05243299999995</v>
      </c>
      <c r="O1667" s="238">
        <v>1419.7048864711355</v>
      </c>
      <c r="P1667" s="238"/>
      <c r="Q1667" s="238"/>
      <c r="R1667" s="238"/>
      <c r="S1667" s="238"/>
      <c r="T1667" s="218">
        <f>VLOOKUP(A1667,'Groupe de branches'!$Z$27:$AM$86,14,FALSE)</f>
        <v>0</v>
      </c>
      <c r="U1667" s="218">
        <f>VLOOKUP(D1667,'Groupe de branches'!$Z$27:$AM$86,14,FALSE)</f>
        <v>0</v>
      </c>
      <c r="V1667" s="218">
        <v>2020</v>
      </c>
      <c r="W1667" s="218">
        <f>VLOOKUP(D1667,'Table corresp.'!$M$4:$S$63,7,FALSE)</f>
        <v>0</v>
      </c>
      <c r="X1667" s="240">
        <f>IFERROR(G1667/SUMIFS('Comp2016-2017 (3)'!$I$5:$I$289,'Comp2016-2017 (3)'!$A$5:$A$289,A1667,'Comp2016-2017 (3)'!$R$5:$R$289,V1667),0)</f>
        <v>0.18030261121900074</v>
      </c>
      <c r="Y1667" s="219" t="e">
        <f>IF(RIGHT(F1667,3)="Exp",VLOOKUP(F1667,#REF!,2,FALSE),VLOOKUP(F1667,#REF!,9,FALSE))</f>
        <v>#REF!</v>
      </c>
      <c r="Z1667" s="226" t="str">
        <f t="shared" si="186"/>
        <v/>
      </c>
      <c r="AA1667" s="226" t="e">
        <f t="shared" si="188"/>
        <v>#VALUE!</v>
      </c>
      <c r="AB1667" s="205">
        <f>IFERROR(SUMIFS('Comp2016-2017 (3)'!$G$5:$G$289,'Comp2016-2017 (3)'!$A$5:$A$289,A1667,'Comp2016-2017 (3)'!$R$5:$R$289,V1667)*AA1667/SUMIFS($AA$4:$AA$1858,$A$4:$A$1858,A1667,$V$4:$V$1858,V1667),0)</f>
        <v>0</v>
      </c>
      <c r="AC1667" s="205">
        <f>IF($W1667=AC$3,$AB1667,IF(NOT($W1667=0),"",SUMIFS('Val-Vol (2)'!AC$4:AC$1858,'Val-Vol (2)'!$A$4:$A$1858,$D1667,'Val-Vol (2)'!$V$4:$V$1858,$V1667)/SUMIFS('Comp2016-2017 (3)'!$G$5:$G$289,'Comp2016-2017 (3)'!$A$5:$A$289,$D1667,'Comp2016-2017 (3)'!$R$5:$R$289,$V1667)*$AB1667))</f>
        <v>0</v>
      </c>
      <c r="AD1667" s="205">
        <f>IF($W1667=AD$3,$AB1667,IF(NOT($W1667=0),"",SUMIFS('Val-Vol (2)'!AD$4:AD$1858,'Val-Vol (2)'!$A$4:$A$1858,$D1667,'Val-Vol (2)'!$V$4:$V$1858,$V1667)/SUMIFS('Comp2016-2017 (3)'!$G$5:$G$289,'Comp2016-2017 (3)'!$A$5:$A$289,$D1667,'Comp2016-2017 (3)'!$R$5:$R$289,$V1667)*$AB1667))</f>
        <v>0</v>
      </c>
      <c r="AE1667" s="205">
        <f>IF($W1667=AE$3,$AB1667,IF(NOT($W1667=0),"",SUMIFS('Val-Vol (2)'!AE$4:AE$1858,'Val-Vol (2)'!$A$4:$A$1858,$D1667,'Val-Vol (2)'!$V$4:$V$1858,$V1667)/SUMIFS('Comp2016-2017 (3)'!$G$5:$G$289,'Comp2016-2017 (3)'!$A$5:$A$289,$D1667,'Comp2016-2017 (3)'!$R$5:$R$289,$V1667)*$AB1667))</f>
        <v>0</v>
      </c>
      <c r="AF1667" s="205">
        <f>IF($W1667=AF$3,$AB1667,IF(NOT($W1667=0),"",SUMIFS('Val-Vol (2)'!AF$4:AF$1858,'Val-Vol (2)'!$A$4:$A$1858,$D1667,'Val-Vol (2)'!$V$4:$V$1858,$V1667)/SUMIFS('Comp2016-2017 (3)'!$G$5:$G$289,'Comp2016-2017 (3)'!$A$5:$A$289,$D1667,'Comp2016-2017 (3)'!$R$5:$R$289,$V1667)*$AB1667))</f>
        <v>0</v>
      </c>
      <c r="AG1667" s="205">
        <f>IF($W1667=AG$3,$AB1667,IF(NOT($W1667=0),"",SUMIFS('Val-Vol (2)'!AG$4:AG$1858,'Val-Vol (2)'!$A$4:$A$1858,$D1667,'Val-Vol (2)'!$V$4:$V$1858,$V1667)/SUMIFS('Comp2016-2017 (3)'!$G$5:$G$289,'Comp2016-2017 (3)'!$A$5:$A$289,$D1667,'Comp2016-2017 (3)'!$R$5:$R$289,$V1667)*$AB1667))</f>
        <v>0</v>
      </c>
      <c r="AH1667" s="205">
        <f>IF($W1667=AH$3,$AB1667,IF(NOT($W1667=0),"",SUMIFS('Val-Vol (2)'!AH$4:AH$1858,'Val-Vol (2)'!$A$4:$A$1858,$D1667,'Val-Vol (2)'!$V$4:$V$1858,$V1667)/SUMIFS('Comp2016-2017 (3)'!$G$5:$G$289,'Comp2016-2017 (3)'!$A$5:$A$289,$D1667,'Comp2016-2017 (3)'!$R$5:$R$289,$V1667)*$AB1667))</f>
        <v>0</v>
      </c>
      <c r="AI1667" s="205">
        <f>IF($W1667=AI$3,$AB1667,IF(NOT($W1667=0),"",SUMIFS('Val-Vol (2)'!AI$4:AI$1858,'Val-Vol (2)'!$A$4:$A$1858,$D1667,'Val-Vol (2)'!$V$4:$V$1858,$V1667)/SUMIFS('Comp2016-2017 (3)'!$G$5:$G$289,'Comp2016-2017 (3)'!$A$5:$A$289,$D1667,'Comp2016-2017 (3)'!$R$5:$R$289,$V1667)*$AB1667))</f>
        <v>0</v>
      </c>
      <c r="AJ1667" s="205">
        <f>IF($W1667=AJ$3,$AB1667,IF(NOT($W1667=0),"",SUMIFS('Val-Vol (2)'!AJ$4:AJ$1858,'Val-Vol (2)'!$A$4:$A$1858,$D1667,'Val-Vol (2)'!$V$4:$V$1858,$V1667)/SUMIFS('Comp2016-2017 (3)'!$G$5:$G$289,'Comp2016-2017 (3)'!$A$5:$A$289,$D1667,'Comp2016-2017 (3)'!$R$5:$R$289,$V1667)*$AB1667))</f>
        <v>0</v>
      </c>
      <c r="AK1667" s="205">
        <f t="shared" si="187"/>
        <v>0</v>
      </c>
      <c r="AL1667" s="218" t="str">
        <f t="shared" si="189"/>
        <v/>
      </c>
      <c r="AM1667" s="218" t="str">
        <f>VLOOKUP(A1667,'Table corresp.'!$M$4:$U$63,8,FALSE)</f>
        <v>Produits connexes du sciage</v>
      </c>
      <c r="AN1667" s="218" t="str">
        <f>VLOOKUP(D1667,'Table corresp.'!$M$4:$U$63,9,FALSE)</f>
        <v>Production intermédiaire</v>
      </c>
    </row>
    <row r="1668" spans="1:40" x14ac:dyDescent="0.25">
      <c r="A1668" t="s">
        <v>11</v>
      </c>
      <c r="B1668" t="str">
        <f>VLOOKUP(LEFT(A1668,3),'Table corresp.'!$A$4:$D$63,3,FALSE)</f>
        <v>Produits connexes du sciage</v>
      </c>
      <c r="C1668" t="str">
        <f>VLOOKUP(A1668,'Table corresp.'!$M$4:$P$63,4,FALSE)</f>
        <v>Production et transformation de produits bois</v>
      </c>
      <c r="D1668" t="s">
        <v>95</v>
      </c>
      <c r="E1668" t="str">
        <f>VLOOKUP(LEFT(D1668,3),'Table corresp.'!$A$4:$D$63,4,FALSE)</f>
        <v>Transformation</v>
      </c>
      <c r="F1668" t="str">
        <f t="shared" si="190"/>
        <v xml:space="preserve">18  - 43 </v>
      </c>
      <c r="G1668" s="238">
        <v>51867.300523485399</v>
      </c>
      <c r="H1668" s="238">
        <v>0</v>
      </c>
      <c r="I1668" s="238">
        <v>51867.254501762996</v>
      </c>
      <c r="J1668" s="238"/>
      <c r="K1668" s="238"/>
      <c r="L1668" s="238"/>
      <c r="M1668" s="238">
        <v>1854.8110592822952</v>
      </c>
      <c r="N1668" s="238">
        <v>0</v>
      </c>
      <c r="O1668" s="238">
        <v>1854.8110592822952</v>
      </c>
      <c r="P1668" s="238"/>
      <c r="Q1668" s="238"/>
      <c r="R1668" s="238"/>
      <c r="S1668" s="238"/>
      <c r="T1668" s="218">
        <f>VLOOKUP(A1668,'Groupe de branches'!$Z$27:$AM$86,14,FALSE)</f>
        <v>0</v>
      </c>
      <c r="U1668" s="218">
        <f>VLOOKUP(D1668,'Groupe de branches'!$Z$27:$AM$86,14,FALSE)</f>
        <v>0</v>
      </c>
      <c r="V1668" s="218">
        <v>2020</v>
      </c>
      <c r="W1668" s="218" t="str">
        <f>VLOOKUP(D1668,'Table corresp.'!$M$4:$S$63,7,FALSE)</f>
        <v>Pate &amp; papier &amp; carton</v>
      </c>
      <c r="X1668" s="240">
        <f>IFERROR(G1668/SUMIFS('Comp2016-2017 (3)'!$I$5:$I$289,'Comp2016-2017 (3)'!$A$5:$A$289,A1668,'Comp2016-2017 (3)'!$R$5:$R$289,V1668),0)</f>
        <v>0.69111123697142418</v>
      </c>
      <c r="Y1668" s="219" t="e">
        <f>IF(RIGHT(F1668,3)="Exp",VLOOKUP(F1668,#REF!,2,FALSE),VLOOKUP(F1668,#REF!,9,FALSE))</f>
        <v>#REF!</v>
      </c>
      <c r="Z1668" s="226" t="str">
        <f t="shared" si="186"/>
        <v/>
      </c>
      <c r="AA1668" s="226" t="e">
        <f t="shared" si="188"/>
        <v>#VALUE!</v>
      </c>
      <c r="AB1668" s="205">
        <f>IFERROR(SUMIFS('Comp2016-2017 (3)'!$G$5:$G$289,'Comp2016-2017 (3)'!$A$5:$A$289,A1668,'Comp2016-2017 (3)'!$R$5:$R$289,V1668)*AA1668/SUMIFS($AA$4:$AA$1858,$A$4:$A$1858,A1668,$V$4:$V$1858,V1668),0)</f>
        <v>0</v>
      </c>
      <c r="AC1668" s="205" t="str">
        <f>IF($W1668=AC$3,$AB1668,IF(NOT($W1668=0),"",SUMIFS('Val-Vol (2)'!AC$4:AC$1858,'Val-Vol (2)'!$A$4:$A$1858,$D1668,'Val-Vol (2)'!$V$4:$V$1858,$V1668)/SUMIFS('Comp2016-2017 (3)'!$G$5:$G$289,'Comp2016-2017 (3)'!$A$5:$A$289,$D1668,'Comp2016-2017 (3)'!$R$5:$R$289,$V1668)*$AB1668))</f>
        <v/>
      </c>
      <c r="AD1668" s="205" t="str">
        <f>IF($W1668=AD$3,$AB1668,IF(NOT($W1668=0),"",SUMIFS('Val-Vol (2)'!AD$4:AD$1858,'Val-Vol (2)'!$A$4:$A$1858,$D1668,'Val-Vol (2)'!$V$4:$V$1858,$V1668)/SUMIFS('Comp2016-2017 (3)'!$G$5:$G$289,'Comp2016-2017 (3)'!$A$5:$A$289,$D1668,'Comp2016-2017 (3)'!$R$5:$R$289,$V1668)*$AB1668))</f>
        <v/>
      </c>
      <c r="AE1668" s="205" t="str">
        <f>IF($W1668=AE$3,$AB1668,IF(NOT($W1668=0),"",SUMIFS('Val-Vol (2)'!AE$4:AE$1858,'Val-Vol (2)'!$A$4:$A$1858,$D1668,'Val-Vol (2)'!$V$4:$V$1858,$V1668)/SUMIFS('Comp2016-2017 (3)'!$G$5:$G$289,'Comp2016-2017 (3)'!$A$5:$A$289,$D1668,'Comp2016-2017 (3)'!$R$5:$R$289,$V1668)*$AB1668))</f>
        <v/>
      </c>
      <c r="AF1668" s="205">
        <f>IF($W1668=AF$3,$AB1668,IF(NOT($W1668=0),"",SUMIFS('Val-Vol (2)'!AF$4:AF$1858,'Val-Vol (2)'!$A$4:$A$1858,$D1668,'Val-Vol (2)'!$V$4:$V$1858,$V1668)/SUMIFS('Comp2016-2017 (3)'!$G$5:$G$289,'Comp2016-2017 (3)'!$A$5:$A$289,$D1668,'Comp2016-2017 (3)'!$R$5:$R$289,$V1668)*$AB1668))</f>
        <v>0</v>
      </c>
      <c r="AG1668" s="205" t="str">
        <f>IF($W1668=AG$3,$AB1668,IF(NOT($W1668=0),"",SUMIFS('Val-Vol (2)'!AG$4:AG$1858,'Val-Vol (2)'!$A$4:$A$1858,$D1668,'Val-Vol (2)'!$V$4:$V$1858,$V1668)/SUMIFS('Comp2016-2017 (3)'!$G$5:$G$289,'Comp2016-2017 (3)'!$A$5:$A$289,$D1668,'Comp2016-2017 (3)'!$R$5:$R$289,$V1668)*$AB1668))</f>
        <v/>
      </c>
      <c r="AH1668" s="205" t="str">
        <f>IF($W1668=AH$3,$AB1668,IF(NOT($W1668=0),"",SUMIFS('Val-Vol (2)'!AH$4:AH$1858,'Val-Vol (2)'!$A$4:$A$1858,$D1668,'Val-Vol (2)'!$V$4:$V$1858,$V1668)/SUMIFS('Comp2016-2017 (3)'!$G$5:$G$289,'Comp2016-2017 (3)'!$A$5:$A$289,$D1668,'Comp2016-2017 (3)'!$R$5:$R$289,$V1668)*$AB1668))</f>
        <v/>
      </c>
      <c r="AI1668" s="205" t="str">
        <f>IF($W1668=AI$3,$AB1668,IF(NOT($W1668=0),"",SUMIFS('Val-Vol (2)'!AI$4:AI$1858,'Val-Vol (2)'!$A$4:$A$1858,$D1668,'Val-Vol (2)'!$V$4:$V$1858,$V1668)/SUMIFS('Comp2016-2017 (3)'!$G$5:$G$289,'Comp2016-2017 (3)'!$A$5:$A$289,$D1668,'Comp2016-2017 (3)'!$R$5:$R$289,$V1668)*$AB1668))</f>
        <v/>
      </c>
      <c r="AJ1668" s="205" t="str">
        <f>IF($W1668=AJ$3,$AB1668,IF(NOT($W1668=0),"",SUMIFS('Val-Vol (2)'!AJ$4:AJ$1858,'Val-Vol (2)'!$A$4:$A$1858,$D1668,'Val-Vol (2)'!$V$4:$V$1858,$V1668)/SUMIFS('Comp2016-2017 (3)'!$G$5:$G$289,'Comp2016-2017 (3)'!$A$5:$A$289,$D1668,'Comp2016-2017 (3)'!$R$5:$R$289,$V1668)*$AB1668))</f>
        <v/>
      </c>
      <c r="AK1668" s="205">
        <f t="shared" si="187"/>
        <v>0</v>
      </c>
      <c r="AL1668" s="218" t="str">
        <f t="shared" si="189"/>
        <v/>
      </c>
      <c r="AM1668" s="218" t="str">
        <f>VLOOKUP(A1668,'Table corresp.'!$M$4:$U$63,8,FALSE)</f>
        <v>Produits connexes du sciage</v>
      </c>
      <c r="AN1668" s="218" t="str">
        <f>VLOOKUP(D1668,'Table corresp.'!$M$4:$U$63,9,FALSE)</f>
        <v>Production intermédiaire</v>
      </c>
    </row>
    <row r="1669" spans="1:40" x14ac:dyDescent="0.25">
      <c r="A1669" t="s">
        <v>11</v>
      </c>
      <c r="B1669" t="str">
        <f>VLOOKUP(LEFT(A1669,3),'Table corresp.'!$A$4:$D$63,3,FALSE)</f>
        <v>Produits connexes du sciage</v>
      </c>
      <c r="C1669" t="str">
        <f>VLOOKUP(A1669,'Table corresp.'!$M$4:$P$63,4,FALSE)</f>
        <v>Production et transformation de produits bois</v>
      </c>
      <c r="D1669" t="s">
        <v>98</v>
      </c>
      <c r="E1669" t="str">
        <f>VLOOKUP(LEFT(D1669,3),'Table corresp.'!$A$4:$D$63,4,FALSE)</f>
        <v>Transformation</v>
      </c>
      <c r="F1669" t="str">
        <f t="shared" si="190"/>
        <v xml:space="preserve">18  - 46 </v>
      </c>
      <c r="G1669" s="238">
        <v>2943.3782722710898</v>
      </c>
      <c r="H1669" s="238">
        <v>0</v>
      </c>
      <c r="I1669" s="238">
        <v>2943.37566061911</v>
      </c>
      <c r="J1669" s="238"/>
      <c r="K1669" s="238"/>
      <c r="L1669" s="238"/>
      <c r="M1669" s="238">
        <v>105.25727223046096</v>
      </c>
      <c r="N1669" s="238">
        <v>0</v>
      </c>
      <c r="O1669" s="238">
        <v>105.25727223046096</v>
      </c>
      <c r="P1669" s="238"/>
      <c r="Q1669" s="238"/>
      <c r="R1669" s="238"/>
      <c r="S1669" s="238"/>
      <c r="T1669" s="218">
        <f>VLOOKUP(A1669,'Groupe de branches'!$Z$27:$AM$86,14,FALSE)</f>
        <v>0</v>
      </c>
      <c r="U1669" s="218">
        <f>VLOOKUP(D1669,'Groupe de branches'!$Z$27:$AM$86,14,FALSE)</f>
        <v>0</v>
      </c>
      <c r="V1669" s="218">
        <v>2020</v>
      </c>
      <c r="W1669" s="218" t="str">
        <f>VLOOKUP(D1669,'Table corresp.'!$M$4:$S$63,7,FALSE)</f>
        <v>Produits de consommation courante</v>
      </c>
      <c r="X1669" s="240">
        <f>IFERROR(G1669/SUMIFS('Comp2016-2017 (3)'!$I$5:$I$289,'Comp2016-2017 (3)'!$A$5:$A$289,A1669,'Comp2016-2017 (3)'!$R$5:$R$289,V1669),0)</f>
        <v>3.9219349726963407E-2</v>
      </c>
      <c r="Y1669" s="219" t="e">
        <f>IF(RIGHT(F1669,3)="Exp",VLOOKUP(F1669,#REF!,2,FALSE),VLOOKUP(F1669,#REF!,9,FALSE))</f>
        <v>#REF!</v>
      </c>
      <c r="Z1669" s="226" t="str">
        <f t="shared" si="186"/>
        <v/>
      </c>
      <c r="AA1669" s="226" t="e">
        <f t="shared" si="188"/>
        <v>#VALUE!</v>
      </c>
      <c r="AB1669" s="205">
        <f>IFERROR(SUMIFS('Comp2016-2017 (3)'!$G$5:$G$289,'Comp2016-2017 (3)'!$A$5:$A$289,A1669,'Comp2016-2017 (3)'!$R$5:$R$289,V1669)*AA1669/SUMIFS($AA$4:$AA$1858,$A$4:$A$1858,A1669,$V$4:$V$1858,V1669),0)</f>
        <v>0</v>
      </c>
      <c r="AC1669" s="205" t="str">
        <f>IF($W1669=AC$3,$AB1669,IF(NOT($W1669=0),"",SUMIFS('Val-Vol (2)'!AC$4:AC$1858,'Val-Vol (2)'!$A$4:$A$1858,$D1669,'Val-Vol (2)'!$V$4:$V$1858,$V1669)/SUMIFS('Comp2016-2017 (3)'!$G$5:$G$289,'Comp2016-2017 (3)'!$A$5:$A$289,$D1669,'Comp2016-2017 (3)'!$R$5:$R$289,$V1669)*$AB1669))</f>
        <v/>
      </c>
      <c r="AD1669" s="205" t="str">
        <f>IF($W1669=AD$3,$AB1669,IF(NOT($W1669=0),"",SUMIFS('Val-Vol (2)'!AD$4:AD$1858,'Val-Vol (2)'!$A$4:$A$1858,$D1669,'Val-Vol (2)'!$V$4:$V$1858,$V1669)/SUMIFS('Comp2016-2017 (3)'!$G$5:$G$289,'Comp2016-2017 (3)'!$A$5:$A$289,$D1669,'Comp2016-2017 (3)'!$R$5:$R$289,$V1669)*$AB1669))</f>
        <v/>
      </c>
      <c r="AE1669" s="205" t="str">
        <f>IF($W1669=AE$3,$AB1669,IF(NOT($W1669=0),"",SUMIFS('Val-Vol (2)'!AE$4:AE$1858,'Val-Vol (2)'!$A$4:$A$1858,$D1669,'Val-Vol (2)'!$V$4:$V$1858,$V1669)/SUMIFS('Comp2016-2017 (3)'!$G$5:$G$289,'Comp2016-2017 (3)'!$A$5:$A$289,$D1669,'Comp2016-2017 (3)'!$R$5:$R$289,$V1669)*$AB1669))</f>
        <v/>
      </c>
      <c r="AF1669" s="205" t="str">
        <f>IF($W1669=AF$3,$AB1669,IF(NOT($W1669=0),"",SUMIFS('Val-Vol (2)'!AF$4:AF$1858,'Val-Vol (2)'!$A$4:$A$1858,$D1669,'Val-Vol (2)'!$V$4:$V$1858,$V1669)/SUMIFS('Comp2016-2017 (3)'!$G$5:$G$289,'Comp2016-2017 (3)'!$A$5:$A$289,$D1669,'Comp2016-2017 (3)'!$R$5:$R$289,$V1669)*$AB1669))</f>
        <v/>
      </c>
      <c r="AG1669" s="205" t="str">
        <f>IF($W1669=AG$3,$AB1669,IF(NOT($W1669=0),"",SUMIFS('Val-Vol (2)'!AG$4:AG$1858,'Val-Vol (2)'!$A$4:$A$1858,$D1669,'Val-Vol (2)'!$V$4:$V$1858,$V1669)/SUMIFS('Comp2016-2017 (3)'!$G$5:$G$289,'Comp2016-2017 (3)'!$A$5:$A$289,$D1669,'Comp2016-2017 (3)'!$R$5:$R$289,$V1669)*$AB1669))</f>
        <v/>
      </c>
      <c r="AH1669" s="205" t="str">
        <f>IF($W1669=AH$3,$AB1669,IF(NOT($W1669=0),"",SUMIFS('Val-Vol (2)'!AH$4:AH$1858,'Val-Vol (2)'!$A$4:$A$1858,$D1669,'Val-Vol (2)'!$V$4:$V$1858,$V1669)/SUMIFS('Comp2016-2017 (3)'!$G$5:$G$289,'Comp2016-2017 (3)'!$A$5:$A$289,$D1669,'Comp2016-2017 (3)'!$R$5:$R$289,$V1669)*$AB1669))</f>
        <v/>
      </c>
      <c r="AI1669" s="205">
        <f>IF($W1669=AI$3,$AB1669,IF(NOT($W1669=0),"",SUMIFS('Val-Vol (2)'!AI$4:AI$1858,'Val-Vol (2)'!$A$4:$A$1858,$D1669,'Val-Vol (2)'!$V$4:$V$1858,$V1669)/SUMIFS('Comp2016-2017 (3)'!$G$5:$G$289,'Comp2016-2017 (3)'!$A$5:$A$289,$D1669,'Comp2016-2017 (3)'!$R$5:$R$289,$V1669)*$AB1669))</f>
        <v>0</v>
      </c>
      <c r="AJ1669" s="205" t="str">
        <f>IF($W1669=AJ$3,$AB1669,IF(NOT($W1669=0),"",SUMIFS('Val-Vol (2)'!AJ$4:AJ$1858,'Val-Vol (2)'!$A$4:$A$1858,$D1669,'Val-Vol (2)'!$V$4:$V$1858,$V1669)/SUMIFS('Comp2016-2017 (3)'!$G$5:$G$289,'Comp2016-2017 (3)'!$A$5:$A$289,$D1669,'Comp2016-2017 (3)'!$R$5:$R$289,$V1669)*$AB1669))</f>
        <v/>
      </c>
      <c r="AK1669" s="205">
        <f t="shared" si="187"/>
        <v>0</v>
      </c>
      <c r="AL1669" s="218" t="str">
        <f t="shared" si="189"/>
        <v/>
      </c>
      <c r="AM1669" s="218" t="str">
        <f>VLOOKUP(A1669,'Table corresp.'!$M$4:$U$63,8,FALSE)</f>
        <v>Produits connexes du sciage</v>
      </c>
      <c r="AN1669" s="218" t="str">
        <f>VLOOKUP(D1669,'Table corresp.'!$M$4:$U$63,9,FALSE)</f>
        <v>Production intermédiaire</v>
      </c>
    </row>
    <row r="1670" spans="1:40" x14ac:dyDescent="0.25">
      <c r="A1670" t="s">
        <v>11</v>
      </c>
      <c r="B1670" t="str">
        <f>VLOOKUP(LEFT(A1670,3),'Table corresp.'!$A$4:$D$63,3,FALSE)</f>
        <v>Produits connexes du sciage</v>
      </c>
      <c r="C1670" t="str">
        <f>VLOOKUP(A1670,'Table corresp.'!$M$4:$P$63,4,FALSE)</f>
        <v>Production et transformation de produits bois</v>
      </c>
      <c r="D1670" t="s">
        <v>53</v>
      </c>
      <c r="E1670" t="str">
        <f>VLOOKUP(LEFT(D1670,3),'Table corresp.'!$A$4:$D$63,4,FALSE)</f>
        <v>Exportation</v>
      </c>
      <c r="F1670" t="str">
        <f t="shared" si="190"/>
        <v>18  - Exp</v>
      </c>
      <c r="G1670" s="238">
        <v>6706.9011940161899</v>
      </c>
      <c r="H1670" s="238">
        <v>0</v>
      </c>
      <c r="I1670" s="238">
        <v>6706.8952429999999</v>
      </c>
      <c r="J1670" s="238"/>
      <c r="K1670" s="238"/>
      <c r="L1670" s="238"/>
      <c r="M1670" s="238">
        <v>250.27921501610925</v>
      </c>
      <c r="N1670" s="238">
        <v>0</v>
      </c>
      <c r="O1670" s="238">
        <v>250.27921501610925</v>
      </c>
      <c r="P1670" s="238"/>
      <c r="Q1670" s="238"/>
      <c r="R1670" s="238"/>
      <c r="S1670" s="238"/>
      <c r="T1670" s="218">
        <f>VLOOKUP(A1670,'Groupe de branches'!$Z$27:$AM$86,14,FALSE)</f>
        <v>0</v>
      </c>
      <c r="U1670" s="218">
        <f>VLOOKUP(D1670,'Groupe de branches'!$Z$27:$AM$86,14,FALSE)</f>
        <v>0</v>
      </c>
      <c r="V1670" s="218">
        <v>2020</v>
      </c>
      <c r="W1670" s="218" t="str">
        <f>VLOOKUP(D1670,'Table corresp.'!$M$4:$S$63,7,FALSE)</f>
        <v>Exportation</v>
      </c>
      <c r="X1670" s="240">
        <f>IFERROR(G1670/SUMIFS('Comp2016-2017 (3)'!$I$5:$I$289,'Comp2016-2017 (3)'!$A$5:$A$289,A1670,'Comp2016-2017 (3)'!$R$5:$R$289,V1670),0)</f>
        <v>8.9366802082611482E-2</v>
      </c>
      <c r="Y1670" s="219" t="e">
        <f>IF(RIGHT(F1670,3)="Exp",VLOOKUP(F1670,#REF!,2,FALSE),VLOOKUP(F1670,#REF!,9,FALSE))</f>
        <v>#REF!</v>
      </c>
      <c r="Z1670" s="226" t="str">
        <f t="shared" si="186"/>
        <v/>
      </c>
      <c r="AA1670" s="226" t="e">
        <f t="shared" si="188"/>
        <v>#VALUE!</v>
      </c>
      <c r="AB1670" s="205">
        <f>IFERROR(SUMIFS('Comp2016-2017 (3)'!$G$5:$G$289,'Comp2016-2017 (3)'!$A$5:$A$289,A1670,'Comp2016-2017 (3)'!$R$5:$R$289,V1670)*AA1670/SUMIFS($AA$4:$AA$1858,$A$4:$A$1858,A1670,$V$4:$V$1858,V1670),0)</f>
        <v>0</v>
      </c>
      <c r="AC1670" s="205">
        <f>IF($W1670=AC$3,$AB1670,IF(NOT($W1670=0),"",SUMIFS('Val-Vol (2)'!AC$4:AC$1858,'Val-Vol (2)'!$A$4:$A$1858,$D1670,'Val-Vol (2)'!$V$4:$V$1858,$V1670)/SUMIFS('Comp2016-2017 (3)'!$G$5:$G$289,'Comp2016-2017 (3)'!$A$5:$A$289,$D1670,'Comp2016-2017 (3)'!$R$5:$R$289,$V1670)*$AB1670))</f>
        <v>0</v>
      </c>
      <c r="AD1670" s="205" t="str">
        <f>IF($W1670=AD$3,$AB1670,IF(NOT($W1670=0),"",SUMIFS('Val-Vol (2)'!AD$4:AD$1858,'Val-Vol (2)'!$A$4:$A$1858,$D1670,'Val-Vol (2)'!$V$4:$V$1858,$V1670)/SUMIFS('Comp2016-2017 (3)'!$G$5:$G$289,'Comp2016-2017 (3)'!$A$5:$A$289,$D1670,'Comp2016-2017 (3)'!$R$5:$R$289,$V1670)*$AB1670))</f>
        <v/>
      </c>
      <c r="AE1670" s="205" t="str">
        <f>IF($W1670=AE$3,$AB1670,IF(NOT($W1670=0),"",SUMIFS('Val-Vol (2)'!AE$4:AE$1858,'Val-Vol (2)'!$A$4:$A$1858,$D1670,'Val-Vol (2)'!$V$4:$V$1858,$V1670)/SUMIFS('Comp2016-2017 (3)'!$G$5:$G$289,'Comp2016-2017 (3)'!$A$5:$A$289,$D1670,'Comp2016-2017 (3)'!$R$5:$R$289,$V1670)*$AB1670))</f>
        <v/>
      </c>
      <c r="AF1670" s="205" t="str">
        <f>IF($W1670=AF$3,$AB1670,IF(NOT($W1670=0),"",SUMIFS('Val-Vol (2)'!AF$4:AF$1858,'Val-Vol (2)'!$A$4:$A$1858,$D1670,'Val-Vol (2)'!$V$4:$V$1858,$V1670)/SUMIFS('Comp2016-2017 (3)'!$G$5:$G$289,'Comp2016-2017 (3)'!$A$5:$A$289,$D1670,'Comp2016-2017 (3)'!$R$5:$R$289,$V1670)*$AB1670))</f>
        <v/>
      </c>
      <c r="AG1670" s="205" t="str">
        <f>IF($W1670=AG$3,$AB1670,IF(NOT($W1670=0),"",SUMIFS('Val-Vol (2)'!AG$4:AG$1858,'Val-Vol (2)'!$A$4:$A$1858,$D1670,'Val-Vol (2)'!$V$4:$V$1858,$V1670)/SUMIFS('Comp2016-2017 (3)'!$G$5:$G$289,'Comp2016-2017 (3)'!$A$5:$A$289,$D1670,'Comp2016-2017 (3)'!$R$5:$R$289,$V1670)*$AB1670))</f>
        <v/>
      </c>
      <c r="AH1670" s="205" t="str">
        <f>IF($W1670=AH$3,$AB1670,IF(NOT($W1670=0),"",SUMIFS('Val-Vol (2)'!AH$4:AH$1858,'Val-Vol (2)'!$A$4:$A$1858,$D1670,'Val-Vol (2)'!$V$4:$V$1858,$V1670)/SUMIFS('Comp2016-2017 (3)'!$G$5:$G$289,'Comp2016-2017 (3)'!$A$5:$A$289,$D1670,'Comp2016-2017 (3)'!$R$5:$R$289,$V1670)*$AB1670))</f>
        <v/>
      </c>
      <c r="AI1670" s="205" t="str">
        <f>IF($W1670=AI$3,$AB1670,IF(NOT($W1670=0),"",SUMIFS('Val-Vol (2)'!AI$4:AI$1858,'Val-Vol (2)'!$A$4:$A$1858,$D1670,'Val-Vol (2)'!$V$4:$V$1858,$V1670)/SUMIFS('Comp2016-2017 (3)'!$G$5:$G$289,'Comp2016-2017 (3)'!$A$5:$A$289,$D1670,'Comp2016-2017 (3)'!$R$5:$R$289,$V1670)*$AB1670))</f>
        <v/>
      </c>
      <c r="AJ1670" s="205" t="str">
        <f>IF($W1670=AJ$3,$AB1670,IF(NOT($W1670=0),"",SUMIFS('Val-Vol (2)'!AJ$4:AJ$1858,'Val-Vol (2)'!$A$4:$A$1858,$D1670,'Val-Vol (2)'!$V$4:$V$1858,$V1670)/SUMIFS('Comp2016-2017 (3)'!$G$5:$G$289,'Comp2016-2017 (3)'!$A$5:$A$289,$D1670,'Comp2016-2017 (3)'!$R$5:$R$289,$V1670)*$AB1670))</f>
        <v/>
      </c>
      <c r="AK1670" s="205">
        <f t="shared" si="187"/>
        <v>0</v>
      </c>
      <c r="AL1670" s="218" t="str">
        <f t="shared" si="189"/>
        <v/>
      </c>
      <c r="AM1670" s="218" t="str">
        <f>VLOOKUP(A1670,'Table corresp.'!$M$4:$U$63,8,FALSE)</f>
        <v>Produits connexes du sciage</v>
      </c>
      <c r="AN1670" s="218" t="str">
        <f>VLOOKUP(D1670,'Table corresp.'!$M$4:$U$63,9,FALSE)</f>
        <v>Exportation</v>
      </c>
    </row>
    <row r="1671" spans="1:40" x14ac:dyDescent="0.25">
      <c r="A1671" t="s">
        <v>12</v>
      </c>
      <c r="B1671" t="str">
        <f>VLOOKUP(LEFT(A1671,3),'Table corresp.'!$A$4:$D$63,3,FALSE)</f>
        <v>Produits connexes du sciage</v>
      </c>
      <c r="C1671" t="str">
        <f>VLOOKUP(A1671,'Table corresp.'!$M$4:$P$63,4,FALSE)</f>
        <v>Production et transformation de produits bois</v>
      </c>
      <c r="D1671" t="s">
        <v>86</v>
      </c>
      <c r="E1671" t="str">
        <f>VLOOKUP(LEFT(D1671,3),'Table corresp.'!$A$4:$D$63,4,FALSE)</f>
        <v>Transformation</v>
      </c>
      <c r="F1671" t="str">
        <f t="shared" si="190"/>
        <v xml:space="preserve">19  - 30 </v>
      </c>
      <c r="G1671" s="238">
        <v>103160.552161867</v>
      </c>
      <c r="H1671" s="238">
        <v>5374.3442420182801</v>
      </c>
      <c r="I1671" s="238">
        <v>108534.896403885</v>
      </c>
      <c r="J1671" s="238"/>
      <c r="K1671" s="238"/>
      <c r="L1671" s="238"/>
      <c r="M1671" s="238"/>
      <c r="N1671" s="238"/>
      <c r="O1671" s="238"/>
      <c r="P1671" s="238">
        <v>2713.378810096795</v>
      </c>
      <c r="Q1671" s="238">
        <v>83.194441499398309</v>
      </c>
      <c r="R1671" s="238">
        <v>2796.5732515961931</v>
      </c>
      <c r="S1671" s="238" t="s">
        <v>198</v>
      </c>
      <c r="T1671" s="218">
        <f>VLOOKUP(A1671,'Groupe de branches'!$Z$27:$AM$86,14,FALSE)</f>
        <v>0</v>
      </c>
      <c r="U1671" s="218">
        <f>VLOOKUP(D1671,'Groupe de branches'!$Z$27:$AM$86,14,FALSE)</f>
        <v>1</v>
      </c>
      <c r="V1671" s="218">
        <v>2020</v>
      </c>
      <c r="W1671" s="218" t="str">
        <f>VLOOKUP(D1671,'Table corresp.'!$M$4:$S$63,7,FALSE)</f>
        <v>Energie</v>
      </c>
      <c r="X1671" s="240">
        <f>IFERROR(G1671/SUMIFS('Comp2016-2017 (3)'!$I$5:$I$289,'Comp2016-2017 (3)'!$A$5:$A$289,A1671,'Comp2016-2017 (3)'!$R$5:$R$289,V1671),0)</f>
        <v>0.55023469042402806</v>
      </c>
      <c r="Y1671" s="219" t="e">
        <f>IF(RIGHT(F1671,3)="Exp",VLOOKUP(F1671,#REF!,2,FALSE),VLOOKUP(F1671,#REF!,9,FALSE))</f>
        <v>#REF!</v>
      </c>
      <c r="Z1671" s="226" t="str">
        <f t="shared" ref="Z1671:Z1721" si="191">IFERROR(Y1671/SUMIFS($Y$4:$Y$1858,$V$4:$V$1858,V1671,$A$4:$A$1858,A1671),"")</f>
        <v/>
      </c>
      <c r="AA1671" s="226" t="e">
        <f t="shared" si="188"/>
        <v>#VALUE!</v>
      </c>
      <c r="AB1671" s="205">
        <f>IFERROR(SUMIFS('Comp2016-2017 (3)'!$G$5:$G$289,'Comp2016-2017 (3)'!$A$5:$A$289,A1671,'Comp2016-2017 (3)'!$R$5:$R$289,V1671)*AA1671/SUMIFS($AA$4:$AA$1858,$A$4:$A$1858,A1671,$V$4:$V$1858,V1671),0)</f>
        <v>0</v>
      </c>
      <c r="AC1671" s="205" t="str">
        <f>IF($W1671=AC$3,$AB1671,IF(NOT($W1671=0),"",SUMIFS('Val-Vol (2)'!AC$4:AC$1858,'Val-Vol (2)'!$A$4:$A$1858,$D1671,'Val-Vol (2)'!$V$4:$V$1858,$V1671)/SUMIFS('Comp2016-2017 (3)'!$G$5:$G$289,'Comp2016-2017 (3)'!$A$5:$A$289,$D1671,'Comp2016-2017 (3)'!$R$5:$R$289,$V1671)*$AB1671))</f>
        <v/>
      </c>
      <c r="AD1671" s="205" t="str">
        <f>IF($W1671=AD$3,$AB1671,IF(NOT($W1671=0),"",SUMIFS('Val-Vol (2)'!AD$4:AD$1858,'Val-Vol (2)'!$A$4:$A$1858,$D1671,'Val-Vol (2)'!$V$4:$V$1858,$V1671)/SUMIFS('Comp2016-2017 (3)'!$G$5:$G$289,'Comp2016-2017 (3)'!$A$5:$A$289,$D1671,'Comp2016-2017 (3)'!$R$5:$R$289,$V1671)*$AB1671))</f>
        <v/>
      </c>
      <c r="AE1671" s="205" t="str">
        <f>IF($W1671=AE$3,$AB1671,IF(NOT($W1671=0),"",SUMIFS('Val-Vol (2)'!AE$4:AE$1858,'Val-Vol (2)'!$A$4:$A$1858,$D1671,'Val-Vol (2)'!$V$4:$V$1858,$V1671)/SUMIFS('Comp2016-2017 (3)'!$G$5:$G$289,'Comp2016-2017 (3)'!$A$5:$A$289,$D1671,'Comp2016-2017 (3)'!$R$5:$R$289,$V1671)*$AB1671))</f>
        <v/>
      </c>
      <c r="AF1671" s="205" t="str">
        <f>IF($W1671=AF$3,$AB1671,IF(NOT($W1671=0),"",SUMIFS('Val-Vol (2)'!AF$4:AF$1858,'Val-Vol (2)'!$A$4:$A$1858,$D1671,'Val-Vol (2)'!$V$4:$V$1858,$V1671)/SUMIFS('Comp2016-2017 (3)'!$G$5:$G$289,'Comp2016-2017 (3)'!$A$5:$A$289,$D1671,'Comp2016-2017 (3)'!$R$5:$R$289,$V1671)*$AB1671))</f>
        <v/>
      </c>
      <c r="AG1671" s="205" t="str">
        <f>IF($W1671=AG$3,$AB1671,IF(NOT($W1671=0),"",SUMIFS('Val-Vol (2)'!AG$4:AG$1858,'Val-Vol (2)'!$A$4:$A$1858,$D1671,'Val-Vol (2)'!$V$4:$V$1858,$V1671)/SUMIFS('Comp2016-2017 (3)'!$G$5:$G$289,'Comp2016-2017 (3)'!$A$5:$A$289,$D1671,'Comp2016-2017 (3)'!$R$5:$R$289,$V1671)*$AB1671))</f>
        <v/>
      </c>
      <c r="AH1671" s="205">
        <f>IF($W1671=AH$3,$AB1671,IF(NOT($W1671=0),"",SUMIFS('Val-Vol (2)'!AH$4:AH$1858,'Val-Vol (2)'!$A$4:$A$1858,$D1671,'Val-Vol (2)'!$V$4:$V$1858,$V1671)/SUMIFS('Comp2016-2017 (3)'!$G$5:$G$289,'Comp2016-2017 (3)'!$A$5:$A$289,$D1671,'Comp2016-2017 (3)'!$R$5:$R$289,$V1671)*$AB1671))</f>
        <v>0</v>
      </c>
      <c r="AI1671" s="205" t="str">
        <f>IF($W1671=AI$3,$AB1671,IF(NOT($W1671=0),"",SUMIFS('Val-Vol (2)'!AI$4:AI$1858,'Val-Vol (2)'!$A$4:$A$1858,$D1671,'Val-Vol (2)'!$V$4:$V$1858,$V1671)/SUMIFS('Comp2016-2017 (3)'!$G$5:$G$289,'Comp2016-2017 (3)'!$A$5:$A$289,$D1671,'Comp2016-2017 (3)'!$R$5:$R$289,$V1671)*$AB1671))</f>
        <v/>
      </c>
      <c r="AJ1671" s="205" t="str">
        <f>IF($W1671=AJ$3,$AB1671,IF(NOT($W1671=0),"",SUMIFS('Val-Vol (2)'!AJ$4:AJ$1858,'Val-Vol (2)'!$A$4:$A$1858,$D1671,'Val-Vol (2)'!$V$4:$V$1858,$V1671)/SUMIFS('Comp2016-2017 (3)'!$G$5:$G$289,'Comp2016-2017 (3)'!$A$5:$A$289,$D1671,'Comp2016-2017 (3)'!$R$5:$R$289,$V1671)*$AB1671))</f>
        <v/>
      </c>
      <c r="AK1671" s="205">
        <f t="shared" si="187"/>
        <v>0</v>
      </c>
      <c r="AL1671" s="218" t="str">
        <f t="shared" si="189"/>
        <v/>
      </c>
      <c r="AM1671" s="218" t="str">
        <f>VLOOKUP(A1671,'Table corresp.'!$M$4:$U$63,8,FALSE)</f>
        <v>Produits connexes du sciage</v>
      </c>
      <c r="AN1671" s="218" t="str">
        <f>VLOOKUP(D1671,'Table corresp.'!$M$4:$U$63,9,FALSE)</f>
        <v>Production intermédiaire</v>
      </c>
    </row>
    <row r="1672" spans="1:40" x14ac:dyDescent="0.25">
      <c r="A1672" t="s">
        <v>12</v>
      </c>
      <c r="B1672" t="str">
        <f>VLOOKUP(LEFT(A1672,3),'Table corresp.'!$A$4:$D$63,3,FALSE)</f>
        <v>Produits connexes du sciage</v>
      </c>
      <c r="C1672" t="str">
        <f>VLOOKUP(A1672,'Table corresp.'!$M$4:$P$63,4,FALSE)</f>
        <v>Production et transformation de produits bois</v>
      </c>
      <c r="D1672" t="s">
        <v>101</v>
      </c>
      <c r="E1672" t="str">
        <f>VLOOKUP(LEFT(D1672,3),'Table corresp.'!$A$4:$D$63,4,FALSE)</f>
        <v>Transformation</v>
      </c>
      <c r="F1672" t="str">
        <f t="shared" si="190"/>
        <v xml:space="preserve">19  - 49 </v>
      </c>
      <c r="G1672" s="238">
        <v>21912.886434297001</v>
      </c>
      <c r="H1672" s="238">
        <v>37010.788338975501</v>
      </c>
      <c r="I1672" s="238">
        <v>58923.674773272498</v>
      </c>
      <c r="J1672" s="238"/>
      <c r="K1672" s="238"/>
      <c r="L1672" s="238"/>
      <c r="M1672" s="238"/>
      <c r="N1672" s="238"/>
      <c r="O1672" s="238"/>
      <c r="P1672" s="238">
        <v>670.50270040331861</v>
      </c>
      <c r="Q1672" s="238">
        <v>572.92419812639105</v>
      </c>
      <c r="R1672" s="238">
        <v>1243.4268985297097</v>
      </c>
      <c r="S1672" s="238" t="s">
        <v>198</v>
      </c>
      <c r="T1672" s="218">
        <f>VLOOKUP(A1672,'Groupe de branches'!$Z$27:$AM$86,14,FALSE)</f>
        <v>0</v>
      </c>
      <c r="U1672" s="218">
        <f>VLOOKUP(D1672,'Groupe de branches'!$Z$27:$AM$86,14,FALSE)</f>
        <v>1</v>
      </c>
      <c r="V1672" s="218">
        <v>2020</v>
      </c>
      <c r="W1672" s="218" t="str">
        <f>VLOOKUP(D1672,'Table corresp.'!$M$4:$S$63,7,FALSE)</f>
        <v>Energie</v>
      </c>
      <c r="X1672" s="240">
        <f>IFERROR(G1672/SUMIFS('Comp2016-2017 (3)'!$I$5:$I$289,'Comp2016-2017 (3)'!$A$5:$A$289,A1672,'Comp2016-2017 (3)'!$R$5:$R$289,V1672),0)</f>
        <v>0.11687830309936259</v>
      </c>
      <c r="Y1672" s="219" t="e">
        <f>IF(RIGHT(F1672,3)="Exp",VLOOKUP(F1672,#REF!,2,FALSE),VLOOKUP(F1672,#REF!,9,FALSE))</f>
        <v>#REF!</v>
      </c>
      <c r="Z1672" s="226" t="str">
        <f t="shared" si="191"/>
        <v/>
      </c>
      <c r="AA1672" s="226" t="e">
        <f t="shared" si="188"/>
        <v>#VALUE!</v>
      </c>
      <c r="AB1672" s="205">
        <f>IFERROR(SUMIFS('Comp2016-2017 (3)'!$G$5:$G$289,'Comp2016-2017 (3)'!$A$5:$A$289,A1672,'Comp2016-2017 (3)'!$R$5:$R$289,V1672)*AA1672/SUMIFS($AA$4:$AA$1858,$A$4:$A$1858,A1672,$V$4:$V$1858,V1672),0)</f>
        <v>0</v>
      </c>
      <c r="AC1672" s="205" t="str">
        <f>IF($W1672=AC$3,$AB1672,IF(NOT($W1672=0),"",SUMIFS('Val-Vol (2)'!AC$4:AC$1858,'Val-Vol (2)'!$A$4:$A$1858,$D1672,'Val-Vol (2)'!$V$4:$V$1858,$V1672)/SUMIFS('Comp2016-2017 (3)'!$G$5:$G$289,'Comp2016-2017 (3)'!$A$5:$A$289,$D1672,'Comp2016-2017 (3)'!$R$5:$R$289,$V1672)*$AB1672))</f>
        <v/>
      </c>
      <c r="AD1672" s="205" t="str">
        <f>IF($W1672=AD$3,$AB1672,IF(NOT($W1672=0),"",SUMIFS('Val-Vol (2)'!AD$4:AD$1858,'Val-Vol (2)'!$A$4:$A$1858,$D1672,'Val-Vol (2)'!$V$4:$V$1858,$V1672)/SUMIFS('Comp2016-2017 (3)'!$G$5:$G$289,'Comp2016-2017 (3)'!$A$5:$A$289,$D1672,'Comp2016-2017 (3)'!$R$5:$R$289,$V1672)*$AB1672))</f>
        <v/>
      </c>
      <c r="AE1672" s="205" t="str">
        <f>IF($W1672=AE$3,$AB1672,IF(NOT($W1672=0),"",SUMIFS('Val-Vol (2)'!AE$4:AE$1858,'Val-Vol (2)'!$A$4:$A$1858,$D1672,'Val-Vol (2)'!$V$4:$V$1858,$V1672)/SUMIFS('Comp2016-2017 (3)'!$G$5:$G$289,'Comp2016-2017 (3)'!$A$5:$A$289,$D1672,'Comp2016-2017 (3)'!$R$5:$R$289,$V1672)*$AB1672))</f>
        <v/>
      </c>
      <c r="AF1672" s="205" t="str">
        <f>IF($W1672=AF$3,$AB1672,IF(NOT($W1672=0),"",SUMIFS('Val-Vol (2)'!AF$4:AF$1858,'Val-Vol (2)'!$A$4:$A$1858,$D1672,'Val-Vol (2)'!$V$4:$V$1858,$V1672)/SUMIFS('Comp2016-2017 (3)'!$G$5:$G$289,'Comp2016-2017 (3)'!$A$5:$A$289,$D1672,'Comp2016-2017 (3)'!$R$5:$R$289,$V1672)*$AB1672))</f>
        <v/>
      </c>
      <c r="AG1672" s="205" t="str">
        <f>IF($W1672=AG$3,$AB1672,IF(NOT($W1672=0),"",SUMIFS('Val-Vol (2)'!AG$4:AG$1858,'Val-Vol (2)'!$A$4:$A$1858,$D1672,'Val-Vol (2)'!$V$4:$V$1858,$V1672)/SUMIFS('Comp2016-2017 (3)'!$G$5:$G$289,'Comp2016-2017 (3)'!$A$5:$A$289,$D1672,'Comp2016-2017 (3)'!$R$5:$R$289,$V1672)*$AB1672))</f>
        <v/>
      </c>
      <c r="AH1672" s="205">
        <f>IF($W1672=AH$3,$AB1672,IF(NOT($W1672=0),"",SUMIFS('Val-Vol (2)'!AH$4:AH$1858,'Val-Vol (2)'!$A$4:$A$1858,$D1672,'Val-Vol (2)'!$V$4:$V$1858,$V1672)/SUMIFS('Comp2016-2017 (3)'!$G$5:$G$289,'Comp2016-2017 (3)'!$A$5:$A$289,$D1672,'Comp2016-2017 (3)'!$R$5:$R$289,$V1672)*$AB1672))</f>
        <v>0</v>
      </c>
      <c r="AI1672" s="205" t="str">
        <f>IF($W1672=AI$3,$AB1672,IF(NOT($W1672=0),"",SUMIFS('Val-Vol (2)'!AI$4:AI$1858,'Val-Vol (2)'!$A$4:$A$1858,$D1672,'Val-Vol (2)'!$V$4:$V$1858,$V1672)/SUMIFS('Comp2016-2017 (3)'!$G$5:$G$289,'Comp2016-2017 (3)'!$A$5:$A$289,$D1672,'Comp2016-2017 (3)'!$R$5:$R$289,$V1672)*$AB1672))</f>
        <v/>
      </c>
      <c r="AJ1672" s="205" t="str">
        <f>IF($W1672=AJ$3,$AB1672,IF(NOT($W1672=0),"",SUMIFS('Val-Vol (2)'!AJ$4:AJ$1858,'Val-Vol (2)'!$A$4:$A$1858,$D1672,'Val-Vol (2)'!$V$4:$V$1858,$V1672)/SUMIFS('Comp2016-2017 (3)'!$G$5:$G$289,'Comp2016-2017 (3)'!$A$5:$A$289,$D1672,'Comp2016-2017 (3)'!$R$5:$R$289,$V1672)*$AB1672))</f>
        <v/>
      </c>
      <c r="AK1672" s="205">
        <f t="shared" si="187"/>
        <v>0</v>
      </c>
      <c r="AL1672" s="218" t="str">
        <f t="shared" si="189"/>
        <v/>
      </c>
      <c r="AM1672" s="218" t="str">
        <f>VLOOKUP(A1672,'Table corresp.'!$M$4:$U$63,8,FALSE)</f>
        <v>Produits connexes du sciage</v>
      </c>
      <c r="AN1672" s="218" t="str">
        <f>VLOOKUP(D1672,'Table corresp.'!$M$4:$U$63,9,FALSE)</f>
        <v>Production finale</v>
      </c>
    </row>
    <row r="1673" spans="1:40" x14ac:dyDescent="0.25">
      <c r="A1673" t="s">
        <v>12</v>
      </c>
      <c r="B1673" t="str">
        <f>VLOOKUP(LEFT(A1673,3),'Table corresp.'!$A$4:$D$63,3,FALSE)</f>
        <v>Produits connexes du sciage</v>
      </c>
      <c r="C1673" t="str">
        <f>VLOOKUP(A1673,'Table corresp.'!$M$4:$P$63,4,FALSE)</f>
        <v>Production et transformation de produits bois</v>
      </c>
      <c r="D1673" t="s">
        <v>54</v>
      </c>
      <c r="E1673" t="str">
        <f>VLOOKUP(LEFT(D1673,3),'Table corresp.'!$A$4:$D$63,4,FALSE)</f>
        <v>Consommation finale</v>
      </c>
      <c r="F1673" t="str">
        <f t="shared" si="190"/>
        <v>19  - Con</v>
      </c>
      <c r="G1673" s="238">
        <v>29486.182601836001</v>
      </c>
      <c r="H1673" s="238">
        <v>8778.4364190062406</v>
      </c>
      <c r="I1673" s="238">
        <v>38264.6190208423</v>
      </c>
      <c r="J1673" s="238"/>
      <c r="K1673" s="238"/>
      <c r="L1673" s="238"/>
      <c r="M1673" s="238"/>
      <c r="N1673" s="238"/>
      <c r="O1673" s="238"/>
      <c r="P1673" s="238">
        <v>902.23463341517834</v>
      </c>
      <c r="Q1673" s="238">
        <v>135.88953037420973</v>
      </c>
      <c r="R1673" s="238">
        <v>1038.1241637893881</v>
      </c>
      <c r="S1673" s="238" t="s">
        <v>198</v>
      </c>
      <c r="T1673" s="218">
        <f>VLOOKUP(A1673,'Groupe de branches'!$Z$27:$AM$86,14,FALSE)</f>
        <v>0</v>
      </c>
      <c r="U1673" s="218">
        <f>VLOOKUP(D1673,'Groupe de branches'!$Z$27:$AM$86,14,FALSE)</f>
        <v>0</v>
      </c>
      <c r="V1673" s="218">
        <v>2020</v>
      </c>
      <c r="W1673" s="218" t="str">
        <f>VLOOKUP(D1673,'Table corresp.'!$M$4:$S$63,7,FALSE)</f>
        <v>Consommation finale</v>
      </c>
      <c r="X1673" s="240">
        <f>IFERROR(G1673/SUMIFS('Comp2016-2017 (3)'!$I$5:$I$289,'Comp2016-2017 (3)'!$A$5:$A$289,A1673,'Comp2016-2017 (3)'!$R$5:$R$289,V1673),0)</f>
        <v>0.15727252535688607</v>
      </c>
      <c r="Y1673" s="219" t="e">
        <f>IF(RIGHT(F1673,3)="Exp",VLOOKUP(F1673,#REF!,2,FALSE),VLOOKUP(F1673,#REF!,9,FALSE))</f>
        <v>#REF!</v>
      </c>
      <c r="Z1673" s="226" t="str">
        <f t="shared" si="191"/>
        <v/>
      </c>
      <c r="AA1673" s="226" t="e">
        <f t="shared" si="188"/>
        <v>#VALUE!</v>
      </c>
      <c r="AB1673" s="205">
        <f>IFERROR(SUMIFS('Comp2016-2017 (3)'!$G$5:$G$289,'Comp2016-2017 (3)'!$A$5:$A$289,A1673,'Comp2016-2017 (3)'!$R$5:$R$289,V1673)*AA1673/SUMIFS($AA$4:$AA$1858,$A$4:$A$1858,A1673,$V$4:$V$1858,V1673),0)</f>
        <v>0</v>
      </c>
      <c r="AC1673" s="205" t="str">
        <f>IF($W1673=AC$3,$AB1673,IF(NOT($W1673=0),"",SUMIFS('Val-Vol (2)'!AC$4:AC$1858,'Val-Vol (2)'!$A$4:$A$1858,$D1673,'Val-Vol (2)'!$V$4:$V$1858,$V1673)/SUMIFS('Comp2016-2017 (3)'!$G$5:$G$289,'Comp2016-2017 (3)'!$A$5:$A$289,$D1673,'Comp2016-2017 (3)'!$R$5:$R$289,$V1673)*$AB1673))</f>
        <v/>
      </c>
      <c r="AD1673" s="205" t="str">
        <f>IF($W1673=AD$3,$AB1673,IF(NOT($W1673=0),"",SUMIFS('Val-Vol (2)'!AD$4:AD$1858,'Val-Vol (2)'!$A$4:$A$1858,$D1673,'Val-Vol (2)'!$V$4:$V$1858,$V1673)/SUMIFS('Comp2016-2017 (3)'!$G$5:$G$289,'Comp2016-2017 (3)'!$A$5:$A$289,$D1673,'Comp2016-2017 (3)'!$R$5:$R$289,$V1673)*$AB1673))</f>
        <v/>
      </c>
      <c r="AE1673" s="205" t="str">
        <f>IF($W1673=AE$3,$AB1673,IF(NOT($W1673=0),"",SUMIFS('Val-Vol (2)'!AE$4:AE$1858,'Val-Vol (2)'!$A$4:$A$1858,$D1673,'Val-Vol (2)'!$V$4:$V$1858,$V1673)/SUMIFS('Comp2016-2017 (3)'!$G$5:$G$289,'Comp2016-2017 (3)'!$A$5:$A$289,$D1673,'Comp2016-2017 (3)'!$R$5:$R$289,$V1673)*$AB1673))</f>
        <v/>
      </c>
      <c r="AF1673" s="205" t="str">
        <f>IF($W1673=AF$3,$AB1673,IF(NOT($W1673=0),"",SUMIFS('Val-Vol (2)'!AF$4:AF$1858,'Val-Vol (2)'!$A$4:$A$1858,$D1673,'Val-Vol (2)'!$V$4:$V$1858,$V1673)/SUMIFS('Comp2016-2017 (3)'!$G$5:$G$289,'Comp2016-2017 (3)'!$A$5:$A$289,$D1673,'Comp2016-2017 (3)'!$R$5:$R$289,$V1673)*$AB1673))</f>
        <v/>
      </c>
      <c r="AG1673" s="205" t="str">
        <f>IF($W1673=AG$3,$AB1673,IF(NOT($W1673=0),"",SUMIFS('Val-Vol (2)'!AG$4:AG$1858,'Val-Vol (2)'!$A$4:$A$1858,$D1673,'Val-Vol (2)'!$V$4:$V$1858,$V1673)/SUMIFS('Comp2016-2017 (3)'!$G$5:$G$289,'Comp2016-2017 (3)'!$A$5:$A$289,$D1673,'Comp2016-2017 (3)'!$R$5:$R$289,$V1673)*$AB1673))</f>
        <v/>
      </c>
      <c r="AH1673" s="205" t="str">
        <f>IF($W1673=AH$3,$AB1673,IF(NOT($W1673=0),"",SUMIFS('Val-Vol (2)'!AH$4:AH$1858,'Val-Vol (2)'!$A$4:$A$1858,$D1673,'Val-Vol (2)'!$V$4:$V$1858,$V1673)/SUMIFS('Comp2016-2017 (3)'!$G$5:$G$289,'Comp2016-2017 (3)'!$A$5:$A$289,$D1673,'Comp2016-2017 (3)'!$R$5:$R$289,$V1673)*$AB1673))</f>
        <v/>
      </c>
      <c r="AI1673" s="205" t="str">
        <f>IF($W1673=AI$3,$AB1673,IF(NOT($W1673=0),"",SUMIFS('Val-Vol (2)'!AI$4:AI$1858,'Val-Vol (2)'!$A$4:$A$1858,$D1673,'Val-Vol (2)'!$V$4:$V$1858,$V1673)/SUMIFS('Comp2016-2017 (3)'!$G$5:$G$289,'Comp2016-2017 (3)'!$A$5:$A$289,$D1673,'Comp2016-2017 (3)'!$R$5:$R$289,$V1673)*$AB1673))</f>
        <v/>
      </c>
      <c r="AJ1673" s="205">
        <f>IF($W1673=AJ$3,$AB1673,IF(NOT($W1673=0),"",SUMIFS('Val-Vol (2)'!AJ$4:AJ$1858,'Val-Vol (2)'!$A$4:$A$1858,$D1673,'Val-Vol (2)'!$V$4:$V$1858,$V1673)/SUMIFS('Comp2016-2017 (3)'!$G$5:$G$289,'Comp2016-2017 (3)'!$A$5:$A$289,$D1673,'Comp2016-2017 (3)'!$R$5:$R$289,$V1673)*$AB1673))</f>
        <v>0</v>
      </c>
      <c r="AK1673" s="205">
        <f t="shared" si="187"/>
        <v>0</v>
      </c>
      <c r="AL1673" s="218" t="str">
        <f t="shared" si="189"/>
        <v/>
      </c>
      <c r="AM1673" s="218" t="str">
        <f>VLOOKUP(A1673,'Table corresp.'!$M$4:$U$63,8,FALSE)</f>
        <v>Produits connexes du sciage</v>
      </c>
      <c r="AN1673" s="218" t="str">
        <f>VLOOKUP(D1673,'Table corresp.'!$M$4:$U$63,9,FALSE)</f>
        <v>Consommation finale française</v>
      </c>
    </row>
    <row r="1674" spans="1:40" x14ac:dyDescent="0.25">
      <c r="A1674" t="s">
        <v>12</v>
      </c>
      <c r="B1674" t="str">
        <f>VLOOKUP(LEFT(A1674,3),'Table corresp.'!$A$4:$D$63,3,FALSE)</f>
        <v>Produits connexes du sciage</v>
      </c>
      <c r="C1674" t="str">
        <f>VLOOKUP(A1674,'Table corresp.'!$M$4:$P$63,4,FALSE)</f>
        <v>Production et transformation de produits bois</v>
      </c>
      <c r="D1674" t="s">
        <v>53</v>
      </c>
      <c r="E1674" t="str">
        <f>VLOOKUP(LEFT(D1674,3),'Table corresp.'!$A$4:$D$63,4,FALSE)</f>
        <v>Exportation</v>
      </c>
      <c r="F1674" t="str">
        <f t="shared" si="190"/>
        <v>19  - Exp</v>
      </c>
      <c r="G1674" s="238">
        <v>32925.017551999998</v>
      </c>
      <c r="H1674" s="238">
        <v>0</v>
      </c>
      <c r="I1674" s="238">
        <v>32925.017551999998</v>
      </c>
      <c r="J1674" s="238"/>
      <c r="K1674" s="238"/>
      <c r="L1674" s="238"/>
      <c r="M1674" s="238"/>
      <c r="N1674" s="238"/>
      <c r="O1674" s="238"/>
      <c r="P1674" s="238">
        <v>304.88385608470787</v>
      </c>
      <c r="Q1674" s="238">
        <v>0</v>
      </c>
      <c r="R1674" s="238">
        <v>304.88385608470787</v>
      </c>
      <c r="S1674" s="238" t="s">
        <v>198</v>
      </c>
      <c r="T1674" s="218">
        <f>VLOOKUP(A1674,'Groupe de branches'!$Z$27:$AM$86,14,FALSE)</f>
        <v>0</v>
      </c>
      <c r="U1674" s="218">
        <f>VLOOKUP(D1674,'Groupe de branches'!$Z$27:$AM$86,14,FALSE)</f>
        <v>0</v>
      </c>
      <c r="V1674" s="218">
        <v>2020</v>
      </c>
      <c r="W1674" s="218" t="str">
        <f>VLOOKUP(D1674,'Table corresp.'!$M$4:$S$63,7,FALSE)</f>
        <v>Exportation</v>
      </c>
      <c r="X1674" s="240">
        <f>IFERROR(G1674/SUMIFS('Comp2016-2017 (3)'!$I$5:$I$289,'Comp2016-2017 (3)'!$A$5:$A$289,A1674,'Comp2016-2017 (3)'!$R$5:$R$289,V1674),0)</f>
        <v>0.17561448111972316</v>
      </c>
      <c r="Y1674" s="219" t="e">
        <f>IF(RIGHT(F1674,3)="Exp",VLOOKUP(F1674,#REF!,2,FALSE),VLOOKUP(F1674,#REF!,9,FALSE))</f>
        <v>#REF!</v>
      </c>
      <c r="Z1674" s="226" t="str">
        <f t="shared" si="191"/>
        <v/>
      </c>
      <c r="AA1674" s="226" t="e">
        <f t="shared" si="188"/>
        <v>#VALUE!</v>
      </c>
      <c r="AB1674" s="205">
        <f>IFERROR(SUMIFS('Comp2016-2017 (3)'!$G$5:$G$289,'Comp2016-2017 (3)'!$A$5:$A$289,A1674,'Comp2016-2017 (3)'!$R$5:$R$289,V1674)*AA1674/SUMIFS($AA$4:$AA$1858,$A$4:$A$1858,A1674,$V$4:$V$1858,V1674),0)</f>
        <v>0</v>
      </c>
      <c r="AC1674" s="205">
        <f>IF($W1674=AC$3,$AB1674,IF(NOT($W1674=0),"",SUMIFS('Val-Vol (2)'!AC$4:AC$1858,'Val-Vol (2)'!$A$4:$A$1858,$D1674,'Val-Vol (2)'!$V$4:$V$1858,$V1674)/SUMIFS('Comp2016-2017 (3)'!$G$5:$G$289,'Comp2016-2017 (3)'!$A$5:$A$289,$D1674,'Comp2016-2017 (3)'!$R$5:$R$289,$V1674)*$AB1674))</f>
        <v>0</v>
      </c>
      <c r="AD1674" s="205" t="str">
        <f>IF($W1674=AD$3,$AB1674,IF(NOT($W1674=0),"",SUMIFS('Val-Vol (2)'!AD$4:AD$1858,'Val-Vol (2)'!$A$4:$A$1858,$D1674,'Val-Vol (2)'!$V$4:$V$1858,$V1674)/SUMIFS('Comp2016-2017 (3)'!$G$5:$G$289,'Comp2016-2017 (3)'!$A$5:$A$289,$D1674,'Comp2016-2017 (3)'!$R$5:$R$289,$V1674)*$AB1674))</f>
        <v/>
      </c>
      <c r="AE1674" s="205" t="str">
        <f>IF($W1674=AE$3,$AB1674,IF(NOT($W1674=0),"",SUMIFS('Val-Vol (2)'!AE$4:AE$1858,'Val-Vol (2)'!$A$4:$A$1858,$D1674,'Val-Vol (2)'!$V$4:$V$1858,$V1674)/SUMIFS('Comp2016-2017 (3)'!$G$5:$G$289,'Comp2016-2017 (3)'!$A$5:$A$289,$D1674,'Comp2016-2017 (3)'!$R$5:$R$289,$V1674)*$AB1674))</f>
        <v/>
      </c>
      <c r="AF1674" s="205" t="str">
        <f>IF($W1674=AF$3,$AB1674,IF(NOT($W1674=0),"",SUMIFS('Val-Vol (2)'!AF$4:AF$1858,'Val-Vol (2)'!$A$4:$A$1858,$D1674,'Val-Vol (2)'!$V$4:$V$1858,$V1674)/SUMIFS('Comp2016-2017 (3)'!$G$5:$G$289,'Comp2016-2017 (3)'!$A$5:$A$289,$D1674,'Comp2016-2017 (3)'!$R$5:$R$289,$V1674)*$AB1674))</f>
        <v/>
      </c>
      <c r="AG1674" s="205" t="str">
        <f>IF($W1674=AG$3,$AB1674,IF(NOT($W1674=0),"",SUMIFS('Val-Vol (2)'!AG$4:AG$1858,'Val-Vol (2)'!$A$4:$A$1858,$D1674,'Val-Vol (2)'!$V$4:$V$1858,$V1674)/SUMIFS('Comp2016-2017 (3)'!$G$5:$G$289,'Comp2016-2017 (3)'!$A$5:$A$289,$D1674,'Comp2016-2017 (3)'!$R$5:$R$289,$V1674)*$AB1674))</f>
        <v/>
      </c>
      <c r="AH1674" s="205" t="str">
        <f>IF($W1674=AH$3,$AB1674,IF(NOT($W1674=0),"",SUMIFS('Val-Vol (2)'!AH$4:AH$1858,'Val-Vol (2)'!$A$4:$A$1858,$D1674,'Val-Vol (2)'!$V$4:$V$1858,$V1674)/SUMIFS('Comp2016-2017 (3)'!$G$5:$G$289,'Comp2016-2017 (3)'!$A$5:$A$289,$D1674,'Comp2016-2017 (3)'!$R$5:$R$289,$V1674)*$AB1674))</f>
        <v/>
      </c>
      <c r="AI1674" s="205" t="str">
        <f>IF($W1674=AI$3,$AB1674,IF(NOT($W1674=0),"",SUMIFS('Val-Vol (2)'!AI$4:AI$1858,'Val-Vol (2)'!$A$4:$A$1858,$D1674,'Val-Vol (2)'!$V$4:$V$1858,$V1674)/SUMIFS('Comp2016-2017 (3)'!$G$5:$G$289,'Comp2016-2017 (3)'!$A$5:$A$289,$D1674,'Comp2016-2017 (3)'!$R$5:$R$289,$V1674)*$AB1674))</f>
        <v/>
      </c>
      <c r="AJ1674" s="205" t="str">
        <f>IF($W1674=AJ$3,$AB1674,IF(NOT($W1674=0),"",SUMIFS('Val-Vol (2)'!AJ$4:AJ$1858,'Val-Vol (2)'!$A$4:$A$1858,$D1674,'Val-Vol (2)'!$V$4:$V$1858,$V1674)/SUMIFS('Comp2016-2017 (3)'!$G$5:$G$289,'Comp2016-2017 (3)'!$A$5:$A$289,$D1674,'Comp2016-2017 (3)'!$R$5:$R$289,$V1674)*$AB1674))</f>
        <v/>
      </c>
      <c r="AK1674" s="205">
        <f t="shared" si="187"/>
        <v>0</v>
      </c>
      <c r="AL1674" s="218" t="str">
        <f t="shared" si="189"/>
        <v/>
      </c>
      <c r="AM1674" s="218" t="str">
        <f>VLOOKUP(A1674,'Table corresp.'!$M$4:$U$63,8,FALSE)</f>
        <v>Produits connexes du sciage</v>
      </c>
      <c r="AN1674" s="218" t="str">
        <f>VLOOKUP(D1674,'Table corresp.'!$M$4:$U$63,9,FALSE)</f>
        <v>Exportation</v>
      </c>
    </row>
    <row r="1675" spans="1:40" x14ac:dyDescent="0.25">
      <c r="A1675" t="s">
        <v>13</v>
      </c>
      <c r="B1675" t="str">
        <f>VLOOKUP(LEFT(A1675,3),'Table corresp.'!$A$4:$D$63,3,FALSE)</f>
        <v>Transformation</v>
      </c>
      <c r="C1675" t="str">
        <f>VLOOKUP(A1675,'Table corresp.'!$M$4:$P$63,4,FALSE)</f>
        <v>Production et transformation de produits bois</v>
      </c>
      <c r="D1675" t="s">
        <v>85</v>
      </c>
      <c r="E1675" t="str">
        <f>VLOOKUP(LEFT(D1675,3),'Table corresp.'!$A$4:$D$63,4,FALSE)</f>
        <v>Transformation</v>
      </c>
      <c r="F1675" t="str">
        <f t="shared" si="190"/>
        <v xml:space="preserve">20  - 29 </v>
      </c>
      <c r="G1675" s="238">
        <v>65223.703921321998</v>
      </c>
      <c r="H1675" s="238">
        <v>30533.1617654906</v>
      </c>
      <c r="I1675" s="238">
        <v>95756.865686812598</v>
      </c>
      <c r="J1675" s="238">
        <v>411.67108325768913</v>
      </c>
      <c r="K1675" s="238">
        <v>230.40708741694669</v>
      </c>
      <c r="L1675" s="238">
        <v>642.07817067463589</v>
      </c>
      <c r="M1675" s="238"/>
      <c r="N1675" s="238"/>
      <c r="O1675" s="238"/>
      <c r="P1675" s="238"/>
      <c r="Q1675" s="238"/>
      <c r="R1675" s="238"/>
      <c r="S1675" s="238"/>
      <c r="T1675" s="218">
        <f>VLOOKUP(A1675,'Groupe de branches'!$Z$27:$AM$86,14,FALSE)</f>
        <v>0</v>
      </c>
      <c r="U1675" s="218">
        <f>VLOOKUP(D1675,'Groupe de branches'!$Z$27:$AM$86,14,FALSE)</f>
        <v>0</v>
      </c>
      <c r="V1675" s="218">
        <v>2020</v>
      </c>
      <c r="W1675" s="218" t="str">
        <f>VLOOKUP(D1675,'Table corresp.'!$M$4:$S$63,7,FALSE)</f>
        <v>Construction</v>
      </c>
      <c r="X1675" s="240">
        <f>IFERROR(G1675/SUMIFS('Comp2016-2017 (3)'!$I$5:$I$289,'Comp2016-2017 (3)'!$A$5:$A$289,A1675,'Comp2016-2017 (3)'!$R$5:$R$289,V1675),0)</f>
        <v>9.5120235137384351E-2</v>
      </c>
      <c r="Y1675" s="219" t="e">
        <f>IF(RIGHT(F1675,3)="Exp",VLOOKUP(F1675,#REF!,2,FALSE),VLOOKUP(F1675,#REF!,9,FALSE))</f>
        <v>#REF!</v>
      </c>
      <c r="Z1675" s="226" t="str">
        <f t="shared" si="191"/>
        <v/>
      </c>
      <c r="AA1675" s="226" t="e">
        <f t="shared" si="188"/>
        <v>#VALUE!</v>
      </c>
      <c r="AB1675" s="205">
        <f>IFERROR(SUMIFS('Comp2016-2017 (3)'!$G$5:$G$289,'Comp2016-2017 (3)'!$A$5:$A$289,A1675,'Comp2016-2017 (3)'!$R$5:$R$289,V1675)*AA1675/SUMIFS($AA$4:$AA$1858,$A$4:$A$1858,A1675,$V$4:$V$1858,V1675),0)</f>
        <v>0</v>
      </c>
      <c r="AC1675" s="205" t="str">
        <f>IF($W1675=AC$3,$AB1675,IF(NOT($W1675=0),"",SUMIFS('Val-Vol (2)'!AC$4:AC$1858,'Val-Vol (2)'!$A$4:$A$1858,$D1675,'Val-Vol (2)'!$V$4:$V$1858,$V1675)/SUMIFS('Comp2016-2017 (3)'!$G$5:$G$289,'Comp2016-2017 (3)'!$A$5:$A$289,$D1675,'Comp2016-2017 (3)'!$R$5:$R$289,$V1675)*$AB1675))</f>
        <v/>
      </c>
      <c r="AD1675" s="205">
        <f>IF($W1675=AD$3,$AB1675,IF(NOT($W1675=0),"",SUMIFS('Val-Vol (2)'!AD$4:AD$1858,'Val-Vol (2)'!$A$4:$A$1858,$D1675,'Val-Vol (2)'!$V$4:$V$1858,$V1675)/SUMIFS('Comp2016-2017 (3)'!$G$5:$G$289,'Comp2016-2017 (3)'!$A$5:$A$289,$D1675,'Comp2016-2017 (3)'!$R$5:$R$289,$V1675)*$AB1675))</f>
        <v>0</v>
      </c>
      <c r="AE1675" s="205" t="str">
        <f>IF($W1675=AE$3,$AB1675,IF(NOT($W1675=0),"",SUMIFS('Val-Vol (2)'!AE$4:AE$1858,'Val-Vol (2)'!$A$4:$A$1858,$D1675,'Val-Vol (2)'!$V$4:$V$1858,$V1675)/SUMIFS('Comp2016-2017 (3)'!$G$5:$G$289,'Comp2016-2017 (3)'!$A$5:$A$289,$D1675,'Comp2016-2017 (3)'!$R$5:$R$289,$V1675)*$AB1675))</f>
        <v/>
      </c>
      <c r="AF1675" s="205" t="str">
        <f>IF($W1675=AF$3,$AB1675,IF(NOT($W1675=0),"",SUMIFS('Val-Vol (2)'!AF$4:AF$1858,'Val-Vol (2)'!$A$4:$A$1858,$D1675,'Val-Vol (2)'!$V$4:$V$1858,$V1675)/SUMIFS('Comp2016-2017 (3)'!$G$5:$G$289,'Comp2016-2017 (3)'!$A$5:$A$289,$D1675,'Comp2016-2017 (3)'!$R$5:$R$289,$V1675)*$AB1675))</f>
        <v/>
      </c>
      <c r="AG1675" s="205" t="str">
        <f>IF($W1675=AG$3,$AB1675,IF(NOT($W1675=0),"",SUMIFS('Val-Vol (2)'!AG$4:AG$1858,'Val-Vol (2)'!$A$4:$A$1858,$D1675,'Val-Vol (2)'!$V$4:$V$1858,$V1675)/SUMIFS('Comp2016-2017 (3)'!$G$5:$G$289,'Comp2016-2017 (3)'!$A$5:$A$289,$D1675,'Comp2016-2017 (3)'!$R$5:$R$289,$V1675)*$AB1675))</f>
        <v/>
      </c>
      <c r="AH1675" s="205" t="str">
        <f>IF($W1675=AH$3,$AB1675,IF(NOT($W1675=0),"",SUMIFS('Val-Vol (2)'!AH$4:AH$1858,'Val-Vol (2)'!$A$4:$A$1858,$D1675,'Val-Vol (2)'!$V$4:$V$1858,$V1675)/SUMIFS('Comp2016-2017 (3)'!$G$5:$G$289,'Comp2016-2017 (3)'!$A$5:$A$289,$D1675,'Comp2016-2017 (3)'!$R$5:$R$289,$V1675)*$AB1675))</f>
        <v/>
      </c>
      <c r="AI1675" s="205" t="str">
        <f>IF($W1675=AI$3,$AB1675,IF(NOT($W1675=0),"",SUMIFS('Val-Vol (2)'!AI$4:AI$1858,'Val-Vol (2)'!$A$4:$A$1858,$D1675,'Val-Vol (2)'!$V$4:$V$1858,$V1675)/SUMIFS('Comp2016-2017 (3)'!$G$5:$G$289,'Comp2016-2017 (3)'!$A$5:$A$289,$D1675,'Comp2016-2017 (3)'!$R$5:$R$289,$V1675)*$AB1675))</f>
        <v/>
      </c>
      <c r="AJ1675" s="205" t="str">
        <f>IF($W1675=AJ$3,$AB1675,IF(NOT($W1675=0),"",SUMIFS('Val-Vol (2)'!AJ$4:AJ$1858,'Val-Vol (2)'!$A$4:$A$1858,$D1675,'Val-Vol (2)'!$V$4:$V$1858,$V1675)/SUMIFS('Comp2016-2017 (3)'!$G$5:$G$289,'Comp2016-2017 (3)'!$A$5:$A$289,$D1675,'Comp2016-2017 (3)'!$R$5:$R$289,$V1675)*$AB1675))</f>
        <v/>
      </c>
      <c r="AK1675" s="205">
        <f t="shared" si="187"/>
        <v>0</v>
      </c>
      <c r="AL1675" s="218" t="str">
        <f t="shared" si="189"/>
        <v/>
      </c>
      <c r="AM1675" s="218" t="str">
        <f>VLOOKUP(A1675,'Table corresp.'!$M$4:$U$63,8,FALSE)</f>
        <v>Production intermédiaire</v>
      </c>
      <c r="AN1675" s="218" t="str">
        <f>VLOOKUP(D1675,'Table corresp.'!$M$4:$U$63,9,FALSE)</f>
        <v>Production intermédiaire</v>
      </c>
    </row>
    <row r="1676" spans="1:40" x14ac:dyDescent="0.25">
      <c r="A1676" t="s">
        <v>13</v>
      </c>
      <c r="B1676" t="str">
        <f>VLOOKUP(LEFT(A1676,3),'Table corresp.'!$A$4:$D$63,3,FALSE)</f>
        <v>Transformation</v>
      </c>
      <c r="C1676" t="str">
        <f>VLOOKUP(A1676,'Table corresp.'!$M$4:$P$63,4,FALSE)</f>
        <v>Production et transformation de produits bois</v>
      </c>
      <c r="D1676" t="s">
        <v>15</v>
      </c>
      <c r="E1676" t="str">
        <f>VLOOKUP(LEFT(D1676,3),'Table corresp.'!$A$4:$D$63,4,FALSE)</f>
        <v>Transformation</v>
      </c>
      <c r="F1676" t="str">
        <f t="shared" si="190"/>
        <v xml:space="preserve">20  - 35 </v>
      </c>
      <c r="G1676" s="238">
        <v>2390.0958819612601</v>
      </c>
      <c r="H1676" s="238">
        <v>855.91231150759199</v>
      </c>
      <c r="I1676" s="238">
        <v>3246.0081934688501</v>
      </c>
      <c r="J1676" s="238">
        <v>15.085518019700814</v>
      </c>
      <c r="K1676" s="238">
        <v>4.4842679784690045</v>
      </c>
      <c r="L1676" s="238">
        <v>19.56978599816982</v>
      </c>
      <c r="M1676" s="238"/>
      <c r="N1676" s="238"/>
      <c r="O1676" s="238"/>
      <c r="P1676" s="238"/>
      <c r="Q1676" s="238"/>
      <c r="R1676" s="238"/>
      <c r="S1676" s="238"/>
      <c r="T1676" s="218">
        <f>VLOOKUP(A1676,'Groupe de branches'!$Z$27:$AM$86,14,FALSE)</f>
        <v>0</v>
      </c>
      <c r="U1676" s="218">
        <f>VLOOKUP(D1676,'Groupe de branches'!$Z$27:$AM$86,14,FALSE)</f>
        <v>0</v>
      </c>
      <c r="V1676" s="218">
        <v>2020</v>
      </c>
      <c r="W1676" s="218" t="str">
        <f>VLOOKUP(D1676,'Table corresp.'!$M$4:$S$63,7,FALSE)</f>
        <v>Construction</v>
      </c>
      <c r="X1676" s="240">
        <f>IFERROR(G1676/SUMIFS('Comp2016-2017 (3)'!$I$5:$I$289,'Comp2016-2017 (3)'!$A$5:$A$289,A1676,'Comp2016-2017 (3)'!$R$5:$R$289,V1676),0)</f>
        <v>3.4856420078088856E-3</v>
      </c>
      <c r="Y1676" s="219" t="e">
        <f>IF(RIGHT(F1676,3)="Exp",VLOOKUP(F1676,#REF!,2,FALSE),VLOOKUP(F1676,#REF!,9,FALSE))</f>
        <v>#REF!</v>
      </c>
      <c r="Z1676" s="226" t="str">
        <f t="shared" si="191"/>
        <v/>
      </c>
      <c r="AA1676" s="226" t="e">
        <f t="shared" si="188"/>
        <v>#VALUE!</v>
      </c>
      <c r="AB1676" s="205">
        <f>IFERROR(SUMIFS('Comp2016-2017 (3)'!$G$5:$G$289,'Comp2016-2017 (3)'!$A$5:$A$289,A1676,'Comp2016-2017 (3)'!$R$5:$R$289,V1676)*AA1676/SUMIFS($AA$4:$AA$1858,$A$4:$A$1858,A1676,$V$4:$V$1858,V1676),0)</f>
        <v>0</v>
      </c>
      <c r="AC1676" s="205" t="str">
        <f>IF($W1676=AC$3,$AB1676,IF(NOT($W1676=0),"",SUMIFS('Val-Vol (2)'!AC$4:AC$1858,'Val-Vol (2)'!$A$4:$A$1858,$D1676,'Val-Vol (2)'!$V$4:$V$1858,$V1676)/SUMIFS('Comp2016-2017 (3)'!$G$5:$G$289,'Comp2016-2017 (3)'!$A$5:$A$289,$D1676,'Comp2016-2017 (3)'!$R$5:$R$289,$V1676)*$AB1676))</f>
        <v/>
      </c>
      <c r="AD1676" s="205">
        <f>IF($W1676=AD$3,$AB1676,IF(NOT($W1676=0),"",SUMIFS('Val-Vol (2)'!AD$4:AD$1858,'Val-Vol (2)'!$A$4:$A$1858,$D1676,'Val-Vol (2)'!$V$4:$V$1858,$V1676)/SUMIFS('Comp2016-2017 (3)'!$G$5:$G$289,'Comp2016-2017 (3)'!$A$5:$A$289,$D1676,'Comp2016-2017 (3)'!$R$5:$R$289,$V1676)*$AB1676))</f>
        <v>0</v>
      </c>
      <c r="AE1676" s="205" t="str">
        <f>IF($W1676=AE$3,$AB1676,IF(NOT($W1676=0),"",SUMIFS('Val-Vol (2)'!AE$4:AE$1858,'Val-Vol (2)'!$A$4:$A$1858,$D1676,'Val-Vol (2)'!$V$4:$V$1858,$V1676)/SUMIFS('Comp2016-2017 (3)'!$G$5:$G$289,'Comp2016-2017 (3)'!$A$5:$A$289,$D1676,'Comp2016-2017 (3)'!$R$5:$R$289,$V1676)*$AB1676))</f>
        <v/>
      </c>
      <c r="AF1676" s="205" t="str">
        <f>IF($W1676=AF$3,$AB1676,IF(NOT($W1676=0),"",SUMIFS('Val-Vol (2)'!AF$4:AF$1858,'Val-Vol (2)'!$A$4:$A$1858,$D1676,'Val-Vol (2)'!$V$4:$V$1858,$V1676)/SUMIFS('Comp2016-2017 (3)'!$G$5:$G$289,'Comp2016-2017 (3)'!$A$5:$A$289,$D1676,'Comp2016-2017 (3)'!$R$5:$R$289,$V1676)*$AB1676))</f>
        <v/>
      </c>
      <c r="AG1676" s="205" t="str">
        <f>IF($W1676=AG$3,$AB1676,IF(NOT($W1676=0),"",SUMIFS('Val-Vol (2)'!AG$4:AG$1858,'Val-Vol (2)'!$A$4:$A$1858,$D1676,'Val-Vol (2)'!$V$4:$V$1858,$V1676)/SUMIFS('Comp2016-2017 (3)'!$G$5:$G$289,'Comp2016-2017 (3)'!$A$5:$A$289,$D1676,'Comp2016-2017 (3)'!$R$5:$R$289,$V1676)*$AB1676))</f>
        <v/>
      </c>
      <c r="AH1676" s="205" t="str">
        <f>IF($W1676=AH$3,$AB1676,IF(NOT($W1676=0),"",SUMIFS('Val-Vol (2)'!AH$4:AH$1858,'Val-Vol (2)'!$A$4:$A$1858,$D1676,'Val-Vol (2)'!$V$4:$V$1858,$V1676)/SUMIFS('Comp2016-2017 (3)'!$G$5:$G$289,'Comp2016-2017 (3)'!$A$5:$A$289,$D1676,'Comp2016-2017 (3)'!$R$5:$R$289,$V1676)*$AB1676))</f>
        <v/>
      </c>
      <c r="AI1676" s="205" t="str">
        <f>IF($W1676=AI$3,$AB1676,IF(NOT($W1676=0),"",SUMIFS('Val-Vol (2)'!AI$4:AI$1858,'Val-Vol (2)'!$A$4:$A$1858,$D1676,'Val-Vol (2)'!$V$4:$V$1858,$V1676)/SUMIFS('Comp2016-2017 (3)'!$G$5:$G$289,'Comp2016-2017 (3)'!$A$5:$A$289,$D1676,'Comp2016-2017 (3)'!$R$5:$R$289,$V1676)*$AB1676))</f>
        <v/>
      </c>
      <c r="AJ1676" s="205" t="str">
        <f>IF($W1676=AJ$3,$AB1676,IF(NOT($W1676=0),"",SUMIFS('Val-Vol (2)'!AJ$4:AJ$1858,'Val-Vol (2)'!$A$4:$A$1858,$D1676,'Val-Vol (2)'!$V$4:$V$1858,$V1676)/SUMIFS('Comp2016-2017 (3)'!$G$5:$G$289,'Comp2016-2017 (3)'!$A$5:$A$289,$D1676,'Comp2016-2017 (3)'!$R$5:$R$289,$V1676)*$AB1676))</f>
        <v/>
      </c>
      <c r="AK1676" s="205">
        <f t="shared" si="187"/>
        <v>0</v>
      </c>
      <c r="AL1676" s="218" t="str">
        <f t="shared" si="189"/>
        <v/>
      </c>
      <c r="AM1676" s="218" t="str">
        <f>VLOOKUP(A1676,'Table corresp.'!$M$4:$U$63,8,FALSE)</f>
        <v>Production intermédiaire</v>
      </c>
      <c r="AN1676" s="218" t="str">
        <f>VLOOKUP(D1676,'Table corresp.'!$M$4:$U$63,9,FALSE)</f>
        <v>Production finale</v>
      </c>
    </row>
    <row r="1677" spans="1:40" x14ac:dyDescent="0.25">
      <c r="A1677" t="s">
        <v>13</v>
      </c>
      <c r="B1677" t="str">
        <f>VLOOKUP(LEFT(A1677,3),'Table corresp.'!$A$4:$D$63,3,FALSE)</f>
        <v>Transformation</v>
      </c>
      <c r="C1677" t="str">
        <f>VLOOKUP(A1677,'Table corresp.'!$M$4:$P$63,4,FALSE)</f>
        <v>Production et transformation de produits bois</v>
      </c>
      <c r="D1677" t="s">
        <v>20</v>
      </c>
      <c r="E1677" t="str">
        <f>VLOOKUP(LEFT(D1677,3),'Table corresp.'!$A$4:$D$63,4,FALSE)</f>
        <v>Transformation</v>
      </c>
      <c r="F1677" t="str">
        <f t="shared" si="190"/>
        <v xml:space="preserve">20  - 53 </v>
      </c>
      <c r="G1677" s="238">
        <v>2762.0918201510099</v>
      </c>
      <c r="H1677" s="238">
        <v>1022.75322060703</v>
      </c>
      <c r="I1677" s="238">
        <v>3784.8450407580399</v>
      </c>
      <c r="J1677" s="238">
        <v>30.508514708137302</v>
      </c>
      <c r="K1677" s="238">
        <v>10.419063374339178</v>
      </c>
      <c r="L1677" s="238">
        <v>40.927578082476479</v>
      </c>
      <c r="M1677" s="238"/>
      <c r="N1677" s="238"/>
      <c r="O1677" s="238"/>
      <c r="P1677" s="238"/>
      <c r="Q1677" s="238"/>
      <c r="R1677" s="238"/>
      <c r="S1677" s="238"/>
      <c r="T1677" s="218">
        <f>VLOOKUP(A1677,'Groupe de branches'!$Z$27:$AM$86,14,FALSE)</f>
        <v>0</v>
      </c>
      <c r="U1677" s="218">
        <f>VLOOKUP(D1677,'Groupe de branches'!$Z$27:$AM$86,14,FALSE)</f>
        <v>0</v>
      </c>
      <c r="V1677" s="218">
        <v>2020</v>
      </c>
      <c r="W1677" s="218" t="str">
        <f>VLOOKUP(D1677,'Table corresp.'!$M$4:$S$63,7,FALSE)</f>
        <v>Construction</v>
      </c>
      <c r="X1677" s="240">
        <f>IFERROR(G1677/SUMIFS('Comp2016-2017 (3)'!$I$5:$I$289,'Comp2016-2017 (3)'!$A$5:$A$289,A1677,'Comp2016-2017 (3)'!$R$5:$R$289,V1677),0)</f>
        <v>4.0281493936734523E-3</v>
      </c>
      <c r="Y1677" s="219" t="e">
        <f>IF(RIGHT(F1677,3)="Exp",VLOOKUP(F1677,#REF!,2,FALSE),VLOOKUP(F1677,#REF!,9,FALSE))</f>
        <v>#REF!</v>
      </c>
      <c r="Z1677" s="226" t="str">
        <f t="shared" si="191"/>
        <v/>
      </c>
      <c r="AA1677" s="226" t="e">
        <f t="shared" si="188"/>
        <v>#VALUE!</v>
      </c>
      <c r="AB1677" s="205">
        <f>IFERROR(SUMIFS('Comp2016-2017 (3)'!$G$5:$G$289,'Comp2016-2017 (3)'!$A$5:$A$289,A1677,'Comp2016-2017 (3)'!$R$5:$R$289,V1677)*AA1677/SUMIFS($AA$4:$AA$1858,$A$4:$A$1858,A1677,$V$4:$V$1858,V1677),0)</f>
        <v>0</v>
      </c>
      <c r="AC1677" s="205" t="str">
        <f>IF($W1677=AC$3,$AB1677,IF(NOT($W1677=0),"",SUMIFS('Val-Vol (2)'!AC$4:AC$1858,'Val-Vol (2)'!$A$4:$A$1858,$D1677,'Val-Vol (2)'!$V$4:$V$1858,$V1677)/SUMIFS('Comp2016-2017 (3)'!$G$5:$G$289,'Comp2016-2017 (3)'!$A$5:$A$289,$D1677,'Comp2016-2017 (3)'!$R$5:$R$289,$V1677)*$AB1677))</f>
        <v/>
      </c>
      <c r="AD1677" s="205">
        <f>IF($W1677=AD$3,$AB1677,IF(NOT($W1677=0),"",SUMIFS('Val-Vol (2)'!AD$4:AD$1858,'Val-Vol (2)'!$A$4:$A$1858,$D1677,'Val-Vol (2)'!$V$4:$V$1858,$V1677)/SUMIFS('Comp2016-2017 (3)'!$G$5:$G$289,'Comp2016-2017 (3)'!$A$5:$A$289,$D1677,'Comp2016-2017 (3)'!$R$5:$R$289,$V1677)*$AB1677))</f>
        <v>0</v>
      </c>
      <c r="AE1677" s="205" t="str">
        <f>IF($W1677=AE$3,$AB1677,IF(NOT($W1677=0),"",SUMIFS('Val-Vol (2)'!AE$4:AE$1858,'Val-Vol (2)'!$A$4:$A$1858,$D1677,'Val-Vol (2)'!$V$4:$V$1858,$V1677)/SUMIFS('Comp2016-2017 (3)'!$G$5:$G$289,'Comp2016-2017 (3)'!$A$5:$A$289,$D1677,'Comp2016-2017 (3)'!$R$5:$R$289,$V1677)*$AB1677))</f>
        <v/>
      </c>
      <c r="AF1677" s="205" t="str">
        <f>IF($W1677=AF$3,$AB1677,IF(NOT($W1677=0),"",SUMIFS('Val-Vol (2)'!AF$4:AF$1858,'Val-Vol (2)'!$A$4:$A$1858,$D1677,'Val-Vol (2)'!$V$4:$V$1858,$V1677)/SUMIFS('Comp2016-2017 (3)'!$G$5:$G$289,'Comp2016-2017 (3)'!$A$5:$A$289,$D1677,'Comp2016-2017 (3)'!$R$5:$R$289,$V1677)*$AB1677))</f>
        <v/>
      </c>
      <c r="AG1677" s="205" t="str">
        <f>IF($W1677=AG$3,$AB1677,IF(NOT($W1677=0),"",SUMIFS('Val-Vol (2)'!AG$4:AG$1858,'Val-Vol (2)'!$A$4:$A$1858,$D1677,'Val-Vol (2)'!$V$4:$V$1858,$V1677)/SUMIFS('Comp2016-2017 (3)'!$G$5:$G$289,'Comp2016-2017 (3)'!$A$5:$A$289,$D1677,'Comp2016-2017 (3)'!$R$5:$R$289,$V1677)*$AB1677))</f>
        <v/>
      </c>
      <c r="AH1677" s="205" t="str">
        <f>IF($W1677=AH$3,$AB1677,IF(NOT($W1677=0),"",SUMIFS('Val-Vol (2)'!AH$4:AH$1858,'Val-Vol (2)'!$A$4:$A$1858,$D1677,'Val-Vol (2)'!$V$4:$V$1858,$V1677)/SUMIFS('Comp2016-2017 (3)'!$G$5:$G$289,'Comp2016-2017 (3)'!$A$5:$A$289,$D1677,'Comp2016-2017 (3)'!$R$5:$R$289,$V1677)*$AB1677))</f>
        <v/>
      </c>
      <c r="AI1677" s="205" t="str">
        <f>IF($W1677=AI$3,$AB1677,IF(NOT($W1677=0),"",SUMIFS('Val-Vol (2)'!AI$4:AI$1858,'Val-Vol (2)'!$A$4:$A$1858,$D1677,'Val-Vol (2)'!$V$4:$V$1858,$V1677)/SUMIFS('Comp2016-2017 (3)'!$G$5:$G$289,'Comp2016-2017 (3)'!$A$5:$A$289,$D1677,'Comp2016-2017 (3)'!$R$5:$R$289,$V1677)*$AB1677))</f>
        <v/>
      </c>
      <c r="AJ1677" s="205" t="str">
        <f>IF($W1677=AJ$3,$AB1677,IF(NOT($W1677=0),"",SUMIFS('Val-Vol (2)'!AJ$4:AJ$1858,'Val-Vol (2)'!$A$4:$A$1858,$D1677,'Val-Vol (2)'!$V$4:$V$1858,$V1677)/SUMIFS('Comp2016-2017 (3)'!$G$5:$G$289,'Comp2016-2017 (3)'!$A$5:$A$289,$D1677,'Comp2016-2017 (3)'!$R$5:$R$289,$V1677)*$AB1677))</f>
        <v/>
      </c>
      <c r="AK1677" s="205">
        <f t="shared" si="187"/>
        <v>0</v>
      </c>
      <c r="AL1677" s="218" t="str">
        <f t="shared" si="189"/>
        <v/>
      </c>
      <c r="AM1677" s="218" t="str">
        <f>VLOOKUP(A1677,'Table corresp.'!$M$4:$U$63,8,FALSE)</f>
        <v>Production intermédiaire</v>
      </c>
      <c r="AN1677" s="218" t="str">
        <f>VLOOKUP(D1677,'Table corresp.'!$M$4:$U$63,9,FALSE)</f>
        <v xml:space="preserve">Mise en œuvre </v>
      </c>
    </row>
    <row r="1678" spans="1:40" x14ac:dyDescent="0.25">
      <c r="A1678" t="s">
        <v>13</v>
      </c>
      <c r="B1678" t="str">
        <f>VLOOKUP(LEFT(A1678,3),'Table corresp.'!$A$4:$D$63,3,FALSE)</f>
        <v>Transformation</v>
      </c>
      <c r="C1678" t="str">
        <f>VLOOKUP(A1678,'Table corresp.'!$M$4:$P$63,4,FALSE)</f>
        <v>Production et transformation de produits bois</v>
      </c>
      <c r="D1678" t="s">
        <v>21</v>
      </c>
      <c r="E1678" t="str">
        <f>VLOOKUP(LEFT(D1678,3),'Table corresp.'!$A$4:$D$63,4,FALSE)</f>
        <v>Transformation</v>
      </c>
      <c r="F1678" t="str">
        <f t="shared" si="190"/>
        <v xml:space="preserve">20  - 54 </v>
      </c>
      <c r="G1678" s="238">
        <v>99329.662932858802</v>
      </c>
      <c r="H1678" s="238">
        <v>29778.547854011002</v>
      </c>
      <c r="I1678" s="238">
        <v>129108.21078687</v>
      </c>
      <c r="J1678" s="238">
        <v>313.46847450213238</v>
      </c>
      <c r="K1678" s="238">
        <v>78.007400286042014</v>
      </c>
      <c r="L1678" s="238">
        <v>391.47587478817439</v>
      </c>
      <c r="M1678" s="238"/>
      <c r="N1678" s="238"/>
      <c r="O1678" s="238"/>
      <c r="P1678" s="238"/>
      <c r="Q1678" s="238"/>
      <c r="R1678" s="238"/>
      <c r="S1678" s="238"/>
      <c r="T1678" s="218">
        <f>VLOOKUP(A1678,'Groupe de branches'!$Z$27:$AM$86,14,FALSE)</f>
        <v>0</v>
      </c>
      <c r="U1678" s="218">
        <f>VLOOKUP(D1678,'Groupe de branches'!$Z$27:$AM$86,14,FALSE)</f>
        <v>0</v>
      </c>
      <c r="V1678" s="218">
        <v>2020</v>
      </c>
      <c r="W1678" s="218" t="str">
        <f>VLOOKUP(D1678,'Table corresp.'!$M$4:$S$63,7,FALSE)</f>
        <v>Construction</v>
      </c>
      <c r="X1678" s="240">
        <f>IFERROR(G1678/SUMIFS('Comp2016-2017 (3)'!$I$5:$I$289,'Comp2016-2017 (3)'!$A$5:$A$289,A1678,'Comp2016-2017 (3)'!$R$5:$R$289,V1678),0)</f>
        <v>0.14485931227836893</v>
      </c>
      <c r="Y1678" s="219" t="e">
        <f>IF(RIGHT(F1678,3)="Exp",VLOOKUP(F1678,#REF!,2,FALSE),VLOOKUP(F1678,#REF!,9,FALSE))</f>
        <v>#REF!</v>
      </c>
      <c r="Z1678" s="226" t="str">
        <f t="shared" si="191"/>
        <v/>
      </c>
      <c r="AA1678" s="226" t="e">
        <f t="shared" si="188"/>
        <v>#VALUE!</v>
      </c>
      <c r="AB1678" s="205">
        <f>IFERROR(SUMIFS('Comp2016-2017 (3)'!$G$5:$G$289,'Comp2016-2017 (3)'!$A$5:$A$289,A1678,'Comp2016-2017 (3)'!$R$5:$R$289,V1678)*AA1678/SUMIFS($AA$4:$AA$1858,$A$4:$A$1858,A1678,$V$4:$V$1858,V1678),0)</f>
        <v>0</v>
      </c>
      <c r="AC1678" s="205" t="str">
        <f>IF($W1678=AC$3,$AB1678,IF(NOT($W1678=0),"",SUMIFS('Val-Vol (2)'!AC$4:AC$1858,'Val-Vol (2)'!$A$4:$A$1858,$D1678,'Val-Vol (2)'!$V$4:$V$1858,$V1678)/SUMIFS('Comp2016-2017 (3)'!$G$5:$G$289,'Comp2016-2017 (3)'!$A$5:$A$289,$D1678,'Comp2016-2017 (3)'!$R$5:$R$289,$V1678)*$AB1678))</f>
        <v/>
      </c>
      <c r="AD1678" s="205">
        <f>IF($W1678=AD$3,$AB1678,IF(NOT($W1678=0),"",SUMIFS('Val-Vol (2)'!AD$4:AD$1858,'Val-Vol (2)'!$A$4:$A$1858,$D1678,'Val-Vol (2)'!$V$4:$V$1858,$V1678)/SUMIFS('Comp2016-2017 (3)'!$G$5:$G$289,'Comp2016-2017 (3)'!$A$5:$A$289,$D1678,'Comp2016-2017 (3)'!$R$5:$R$289,$V1678)*$AB1678))</f>
        <v>0</v>
      </c>
      <c r="AE1678" s="205" t="str">
        <f>IF($W1678=AE$3,$AB1678,IF(NOT($W1678=0),"",SUMIFS('Val-Vol (2)'!AE$4:AE$1858,'Val-Vol (2)'!$A$4:$A$1858,$D1678,'Val-Vol (2)'!$V$4:$V$1858,$V1678)/SUMIFS('Comp2016-2017 (3)'!$G$5:$G$289,'Comp2016-2017 (3)'!$A$5:$A$289,$D1678,'Comp2016-2017 (3)'!$R$5:$R$289,$V1678)*$AB1678))</f>
        <v/>
      </c>
      <c r="AF1678" s="205" t="str">
        <f>IF($W1678=AF$3,$AB1678,IF(NOT($W1678=0),"",SUMIFS('Val-Vol (2)'!AF$4:AF$1858,'Val-Vol (2)'!$A$4:$A$1858,$D1678,'Val-Vol (2)'!$V$4:$V$1858,$V1678)/SUMIFS('Comp2016-2017 (3)'!$G$5:$G$289,'Comp2016-2017 (3)'!$A$5:$A$289,$D1678,'Comp2016-2017 (3)'!$R$5:$R$289,$V1678)*$AB1678))</f>
        <v/>
      </c>
      <c r="AG1678" s="205" t="str">
        <f>IF($W1678=AG$3,$AB1678,IF(NOT($W1678=0),"",SUMIFS('Val-Vol (2)'!AG$4:AG$1858,'Val-Vol (2)'!$A$4:$A$1858,$D1678,'Val-Vol (2)'!$V$4:$V$1858,$V1678)/SUMIFS('Comp2016-2017 (3)'!$G$5:$G$289,'Comp2016-2017 (3)'!$A$5:$A$289,$D1678,'Comp2016-2017 (3)'!$R$5:$R$289,$V1678)*$AB1678))</f>
        <v/>
      </c>
      <c r="AH1678" s="205" t="str">
        <f>IF($W1678=AH$3,$AB1678,IF(NOT($W1678=0),"",SUMIFS('Val-Vol (2)'!AH$4:AH$1858,'Val-Vol (2)'!$A$4:$A$1858,$D1678,'Val-Vol (2)'!$V$4:$V$1858,$V1678)/SUMIFS('Comp2016-2017 (3)'!$G$5:$G$289,'Comp2016-2017 (3)'!$A$5:$A$289,$D1678,'Comp2016-2017 (3)'!$R$5:$R$289,$V1678)*$AB1678))</f>
        <v/>
      </c>
      <c r="AI1678" s="205" t="str">
        <f>IF($W1678=AI$3,$AB1678,IF(NOT($W1678=0),"",SUMIFS('Val-Vol (2)'!AI$4:AI$1858,'Val-Vol (2)'!$A$4:$A$1858,$D1678,'Val-Vol (2)'!$V$4:$V$1858,$V1678)/SUMIFS('Comp2016-2017 (3)'!$G$5:$G$289,'Comp2016-2017 (3)'!$A$5:$A$289,$D1678,'Comp2016-2017 (3)'!$R$5:$R$289,$V1678)*$AB1678))</f>
        <v/>
      </c>
      <c r="AJ1678" s="205" t="str">
        <f>IF($W1678=AJ$3,$AB1678,IF(NOT($W1678=0),"",SUMIFS('Val-Vol (2)'!AJ$4:AJ$1858,'Val-Vol (2)'!$A$4:$A$1858,$D1678,'Val-Vol (2)'!$V$4:$V$1858,$V1678)/SUMIFS('Comp2016-2017 (3)'!$G$5:$G$289,'Comp2016-2017 (3)'!$A$5:$A$289,$D1678,'Comp2016-2017 (3)'!$R$5:$R$289,$V1678)*$AB1678))</f>
        <v/>
      </c>
      <c r="AK1678" s="205">
        <f t="shared" si="187"/>
        <v>0</v>
      </c>
      <c r="AL1678" s="218" t="str">
        <f t="shared" si="189"/>
        <v/>
      </c>
      <c r="AM1678" s="218" t="str">
        <f>VLOOKUP(A1678,'Table corresp.'!$M$4:$U$63,8,FALSE)</f>
        <v>Production intermédiaire</v>
      </c>
      <c r="AN1678" s="218" t="str">
        <f>VLOOKUP(D1678,'Table corresp.'!$M$4:$U$63,9,FALSE)</f>
        <v xml:space="preserve">Mise en œuvre </v>
      </c>
    </row>
    <row r="1679" spans="1:40" x14ac:dyDescent="0.25">
      <c r="A1679" t="s">
        <v>13</v>
      </c>
      <c r="B1679" t="str">
        <f>VLOOKUP(LEFT(A1679,3),'Table corresp.'!$A$4:$D$63,3,FALSE)</f>
        <v>Transformation</v>
      </c>
      <c r="C1679" t="str">
        <f>VLOOKUP(A1679,'Table corresp.'!$M$4:$P$63,4,FALSE)</f>
        <v>Production et transformation de produits bois</v>
      </c>
      <c r="D1679" t="s">
        <v>22</v>
      </c>
      <c r="E1679" t="str">
        <f>VLOOKUP(LEFT(D1679,3),'Table corresp.'!$A$4:$D$63,4,FALSE)</f>
        <v>Transformation</v>
      </c>
      <c r="F1679" t="str">
        <f t="shared" si="190"/>
        <v xml:space="preserve">20  - 55 </v>
      </c>
      <c r="G1679" s="238">
        <v>7776.9758217611297</v>
      </c>
      <c r="H1679" s="238">
        <v>2675.41264515286</v>
      </c>
      <c r="I1679" s="238">
        <v>10452.388466914001</v>
      </c>
      <c r="J1679" s="238">
        <v>24.542887543424641</v>
      </c>
      <c r="K1679" s="238">
        <v>7.008467510368094</v>
      </c>
      <c r="L1679" s="238">
        <v>31.551355053792733</v>
      </c>
      <c r="M1679" s="238"/>
      <c r="N1679" s="238"/>
      <c r="O1679" s="238"/>
      <c r="P1679" s="238"/>
      <c r="Q1679" s="238"/>
      <c r="R1679" s="238"/>
      <c r="S1679" s="238"/>
      <c r="T1679" s="218">
        <f>VLOOKUP(A1679,'Groupe de branches'!$Z$27:$AM$86,14,FALSE)</f>
        <v>0</v>
      </c>
      <c r="U1679" s="218">
        <f>VLOOKUP(D1679,'Groupe de branches'!$Z$27:$AM$86,14,FALSE)</f>
        <v>0</v>
      </c>
      <c r="V1679" s="218">
        <v>2020</v>
      </c>
      <c r="W1679" s="218" t="str">
        <f>VLOOKUP(D1679,'Table corresp.'!$M$4:$S$63,7,FALSE)</f>
        <v>Construction</v>
      </c>
      <c r="X1679" s="240">
        <f>IFERROR(G1679/SUMIFS('Comp2016-2017 (3)'!$I$5:$I$289,'Comp2016-2017 (3)'!$A$5:$A$289,A1679,'Comp2016-2017 (3)'!$R$5:$R$289,V1679),0)</f>
        <v>1.1341701319446899E-2</v>
      </c>
      <c r="Y1679" s="219" t="e">
        <f>IF(RIGHT(F1679,3)="Exp",VLOOKUP(F1679,#REF!,2,FALSE),VLOOKUP(F1679,#REF!,9,FALSE))</f>
        <v>#REF!</v>
      </c>
      <c r="Z1679" s="226" t="str">
        <f t="shared" si="191"/>
        <v/>
      </c>
      <c r="AA1679" s="226" t="e">
        <f t="shared" si="188"/>
        <v>#VALUE!</v>
      </c>
      <c r="AB1679" s="205">
        <f>IFERROR(SUMIFS('Comp2016-2017 (3)'!$G$5:$G$289,'Comp2016-2017 (3)'!$A$5:$A$289,A1679,'Comp2016-2017 (3)'!$R$5:$R$289,V1679)*AA1679/SUMIFS($AA$4:$AA$1858,$A$4:$A$1858,A1679,$V$4:$V$1858,V1679),0)</f>
        <v>0</v>
      </c>
      <c r="AC1679" s="205" t="str">
        <f>IF($W1679=AC$3,$AB1679,IF(NOT($W1679=0),"",SUMIFS('Val-Vol (2)'!AC$4:AC$1858,'Val-Vol (2)'!$A$4:$A$1858,$D1679,'Val-Vol (2)'!$V$4:$V$1858,$V1679)/SUMIFS('Comp2016-2017 (3)'!$G$5:$G$289,'Comp2016-2017 (3)'!$A$5:$A$289,$D1679,'Comp2016-2017 (3)'!$R$5:$R$289,$V1679)*$AB1679))</f>
        <v/>
      </c>
      <c r="AD1679" s="205">
        <f>IF($W1679=AD$3,$AB1679,IF(NOT($W1679=0),"",SUMIFS('Val-Vol (2)'!AD$4:AD$1858,'Val-Vol (2)'!$A$4:$A$1858,$D1679,'Val-Vol (2)'!$V$4:$V$1858,$V1679)/SUMIFS('Comp2016-2017 (3)'!$G$5:$G$289,'Comp2016-2017 (3)'!$A$5:$A$289,$D1679,'Comp2016-2017 (3)'!$R$5:$R$289,$V1679)*$AB1679))</f>
        <v>0</v>
      </c>
      <c r="AE1679" s="205" t="str">
        <f>IF($W1679=AE$3,$AB1679,IF(NOT($W1679=0),"",SUMIFS('Val-Vol (2)'!AE$4:AE$1858,'Val-Vol (2)'!$A$4:$A$1858,$D1679,'Val-Vol (2)'!$V$4:$V$1858,$V1679)/SUMIFS('Comp2016-2017 (3)'!$G$5:$G$289,'Comp2016-2017 (3)'!$A$5:$A$289,$D1679,'Comp2016-2017 (3)'!$R$5:$R$289,$V1679)*$AB1679))</f>
        <v/>
      </c>
      <c r="AF1679" s="205" t="str">
        <f>IF($W1679=AF$3,$AB1679,IF(NOT($W1679=0),"",SUMIFS('Val-Vol (2)'!AF$4:AF$1858,'Val-Vol (2)'!$A$4:$A$1858,$D1679,'Val-Vol (2)'!$V$4:$V$1858,$V1679)/SUMIFS('Comp2016-2017 (3)'!$G$5:$G$289,'Comp2016-2017 (3)'!$A$5:$A$289,$D1679,'Comp2016-2017 (3)'!$R$5:$R$289,$V1679)*$AB1679))</f>
        <v/>
      </c>
      <c r="AG1679" s="205" t="str">
        <f>IF($W1679=AG$3,$AB1679,IF(NOT($W1679=0),"",SUMIFS('Val-Vol (2)'!AG$4:AG$1858,'Val-Vol (2)'!$A$4:$A$1858,$D1679,'Val-Vol (2)'!$V$4:$V$1858,$V1679)/SUMIFS('Comp2016-2017 (3)'!$G$5:$G$289,'Comp2016-2017 (3)'!$A$5:$A$289,$D1679,'Comp2016-2017 (3)'!$R$5:$R$289,$V1679)*$AB1679))</f>
        <v/>
      </c>
      <c r="AH1679" s="205" t="str">
        <f>IF($W1679=AH$3,$AB1679,IF(NOT($W1679=0),"",SUMIFS('Val-Vol (2)'!AH$4:AH$1858,'Val-Vol (2)'!$A$4:$A$1858,$D1679,'Val-Vol (2)'!$V$4:$V$1858,$V1679)/SUMIFS('Comp2016-2017 (3)'!$G$5:$G$289,'Comp2016-2017 (3)'!$A$5:$A$289,$D1679,'Comp2016-2017 (3)'!$R$5:$R$289,$V1679)*$AB1679))</f>
        <v/>
      </c>
      <c r="AI1679" s="205" t="str">
        <f>IF($W1679=AI$3,$AB1679,IF(NOT($W1679=0),"",SUMIFS('Val-Vol (2)'!AI$4:AI$1858,'Val-Vol (2)'!$A$4:$A$1858,$D1679,'Val-Vol (2)'!$V$4:$V$1858,$V1679)/SUMIFS('Comp2016-2017 (3)'!$G$5:$G$289,'Comp2016-2017 (3)'!$A$5:$A$289,$D1679,'Comp2016-2017 (3)'!$R$5:$R$289,$V1679)*$AB1679))</f>
        <v/>
      </c>
      <c r="AJ1679" s="205" t="str">
        <f>IF($W1679=AJ$3,$AB1679,IF(NOT($W1679=0),"",SUMIFS('Val-Vol (2)'!AJ$4:AJ$1858,'Val-Vol (2)'!$A$4:$A$1858,$D1679,'Val-Vol (2)'!$V$4:$V$1858,$V1679)/SUMIFS('Comp2016-2017 (3)'!$G$5:$G$289,'Comp2016-2017 (3)'!$A$5:$A$289,$D1679,'Comp2016-2017 (3)'!$R$5:$R$289,$V1679)*$AB1679))</f>
        <v/>
      </c>
      <c r="AK1679" s="205">
        <f t="shared" si="187"/>
        <v>0</v>
      </c>
      <c r="AL1679" s="218" t="str">
        <f t="shared" si="189"/>
        <v/>
      </c>
      <c r="AM1679" s="218" t="str">
        <f>VLOOKUP(A1679,'Table corresp.'!$M$4:$U$63,8,FALSE)</f>
        <v>Production intermédiaire</v>
      </c>
      <c r="AN1679" s="218" t="str">
        <f>VLOOKUP(D1679,'Table corresp.'!$M$4:$U$63,9,FALSE)</f>
        <v xml:space="preserve">Mise en œuvre </v>
      </c>
    </row>
    <row r="1680" spans="1:40" x14ac:dyDescent="0.25">
      <c r="A1680" t="s">
        <v>13</v>
      </c>
      <c r="B1680" t="str">
        <f>VLOOKUP(LEFT(A1680,3),'Table corresp.'!$A$4:$D$63,3,FALSE)</f>
        <v>Transformation</v>
      </c>
      <c r="C1680" t="str">
        <f>VLOOKUP(A1680,'Table corresp.'!$M$4:$P$63,4,FALSE)</f>
        <v>Production et transformation de produits bois</v>
      </c>
      <c r="D1680" t="s">
        <v>23</v>
      </c>
      <c r="E1680" t="str">
        <f>VLOOKUP(LEFT(D1680,3),'Table corresp.'!$A$4:$D$63,4,FALSE)</f>
        <v>Transformation</v>
      </c>
      <c r="F1680" t="str">
        <f t="shared" si="190"/>
        <v xml:space="preserve">20  - 56 </v>
      </c>
      <c r="G1680" s="238">
        <v>56155.246870394498</v>
      </c>
      <c r="H1680" s="238">
        <v>19153.924566904701</v>
      </c>
      <c r="I1680" s="238">
        <v>75309.171437299301</v>
      </c>
      <c r="J1680" s="238">
        <v>275.67080582198366</v>
      </c>
      <c r="K1680" s="238">
        <v>78.050481742387362</v>
      </c>
      <c r="L1680" s="238">
        <v>353.72128756437104</v>
      </c>
      <c r="M1680" s="238"/>
      <c r="N1680" s="238"/>
      <c r="O1680" s="238"/>
      <c r="P1680" s="238"/>
      <c r="Q1680" s="238"/>
      <c r="R1680" s="238"/>
      <c r="S1680" s="238"/>
      <c r="T1680" s="218">
        <f>VLOOKUP(A1680,'Groupe de branches'!$Z$27:$AM$86,14,FALSE)</f>
        <v>0</v>
      </c>
      <c r="U1680" s="218">
        <f>VLOOKUP(D1680,'Groupe de branches'!$Z$27:$AM$86,14,FALSE)</f>
        <v>0</v>
      </c>
      <c r="V1680" s="218">
        <v>2020</v>
      </c>
      <c r="W1680" s="218" t="str">
        <f>VLOOKUP(D1680,'Table corresp.'!$M$4:$S$63,7,FALSE)</f>
        <v>Construction</v>
      </c>
      <c r="X1680" s="240">
        <f>IFERROR(G1680/SUMIFS('Comp2016-2017 (3)'!$I$5:$I$289,'Comp2016-2017 (3)'!$A$5:$A$289,A1680,'Comp2016-2017 (3)'!$R$5:$R$289,V1680),0)</f>
        <v>8.1895077485221207E-2</v>
      </c>
      <c r="Y1680" s="219" t="e">
        <f>IF(RIGHT(F1680,3)="Exp",VLOOKUP(F1680,#REF!,2,FALSE),VLOOKUP(F1680,#REF!,9,FALSE))</f>
        <v>#REF!</v>
      </c>
      <c r="Z1680" s="226" t="str">
        <f t="shared" si="191"/>
        <v/>
      </c>
      <c r="AA1680" s="226" t="e">
        <f t="shared" si="188"/>
        <v>#VALUE!</v>
      </c>
      <c r="AB1680" s="205">
        <f>IFERROR(SUMIFS('Comp2016-2017 (3)'!$G$5:$G$289,'Comp2016-2017 (3)'!$A$5:$A$289,A1680,'Comp2016-2017 (3)'!$R$5:$R$289,V1680)*AA1680/SUMIFS($AA$4:$AA$1858,$A$4:$A$1858,A1680,$V$4:$V$1858,V1680),0)</f>
        <v>0</v>
      </c>
      <c r="AC1680" s="205" t="str">
        <f>IF($W1680=AC$3,$AB1680,IF(NOT($W1680=0),"",SUMIFS('Val-Vol (2)'!AC$4:AC$1858,'Val-Vol (2)'!$A$4:$A$1858,$D1680,'Val-Vol (2)'!$V$4:$V$1858,$V1680)/SUMIFS('Comp2016-2017 (3)'!$G$5:$G$289,'Comp2016-2017 (3)'!$A$5:$A$289,$D1680,'Comp2016-2017 (3)'!$R$5:$R$289,$V1680)*$AB1680))</f>
        <v/>
      </c>
      <c r="AD1680" s="205">
        <f>IF($W1680=AD$3,$AB1680,IF(NOT($W1680=0),"",SUMIFS('Val-Vol (2)'!AD$4:AD$1858,'Val-Vol (2)'!$A$4:$A$1858,$D1680,'Val-Vol (2)'!$V$4:$V$1858,$V1680)/SUMIFS('Comp2016-2017 (3)'!$G$5:$G$289,'Comp2016-2017 (3)'!$A$5:$A$289,$D1680,'Comp2016-2017 (3)'!$R$5:$R$289,$V1680)*$AB1680))</f>
        <v>0</v>
      </c>
      <c r="AE1680" s="205" t="str">
        <f>IF($W1680=AE$3,$AB1680,IF(NOT($W1680=0),"",SUMIFS('Val-Vol (2)'!AE$4:AE$1858,'Val-Vol (2)'!$A$4:$A$1858,$D1680,'Val-Vol (2)'!$V$4:$V$1858,$V1680)/SUMIFS('Comp2016-2017 (3)'!$G$5:$G$289,'Comp2016-2017 (3)'!$A$5:$A$289,$D1680,'Comp2016-2017 (3)'!$R$5:$R$289,$V1680)*$AB1680))</f>
        <v/>
      </c>
      <c r="AF1680" s="205" t="str">
        <f>IF($W1680=AF$3,$AB1680,IF(NOT($W1680=0),"",SUMIFS('Val-Vol (2)'!AF$4:AF$1858,'Val-Vol (2)'!$A$4:$A$1858,$D1680,'Val-Vol (2)'!$V$4:$V$1858,$V1680)/SUMIFS('Comp2016-2017 (3)'!$G$5:$G$289,'Comp2016-2017 (3)'!$A$5:$A$289,$D1680,'Comp2016-2017 (3)'!$R$5:$R$289,$V1680)*$AB1680))</f>
        <v/>
      </c>
      <c r="AG1680" s="205" t="str">
        <f>IF($W1680=AG$3,$AB1680,IF(NOT($W1680=0),"",SUMIFS('Val-Vol (2)'!AG$4:AG$1858,'Val-Vol (2)'!$A$4:$A$1858,$D1680,'Val-Vol (2)'!$V$4:$V$1858,$V1680)/SUMIFS('Comp2016-2017 (3)'!$G$5:$G$289,'Comp2016-2017 (3)'!$A$5:$A$289,$D1680,'Comp2016-2017 (3)'!$R$5:$R$289,$V1680)*$AB1680))</f>
        <v/>
      </c>
      <c r="AH1680" s="205" t="str">
        <f>IF($W1680=AH$3,$AB1680,IF(NOT($W1680=0),"",SUMIFS('Val-Vol (2)'!AH$4:AH$1858,'Val-Vol (2)'!$A$4:$A$1858,$D1680,'Val-Vol (2)'!$V$4:$V$1858,$V1680)/SUMIFS('Comp2016-2017 (3)'!$G$5:$G$289,'Comp2016-2017 (3)'!$A$5:$A$289,$D1680,'Comp2016-2017 (3)'!$R$5:$R$289,$V1680)*$AB1680))</f>
        <v/>
      </c>
      <c r="AI1680" s="205" t="str">
        <f>IF($W1680=AI$3,$AB1680,IF(NOT($W1680=0),"",SUMIFS('Val-Vol (2)'!AI$4:AI$1858,'Val-Vol (2)'!$A$4:$A$1858,$D1680,'Val-Vol (2)'!$V$4:$V$1858,$V1680)/SUMIFS('Comp2016-2017 (3)'!$G$5:$G$289,'Comp2016-2017 (3)'!$A$5:$A$289,$D1680,'Comp2016-2017 (3)'!$R$5:$R$289,$V1680)*$AB1680))</f>
        <v/>
      </c>
      <c r="AJ1680" s="205" t="str">
        <f>IF($W1680=AJ$3,$AB1680,IF(NOT($W1680=0),"",SUMIFS('Val-Vol (2)'!AJ$4:AJ$1858,'Val-Vol (2)'!$A$4:$A$1858,$D1680,'Val-Vol (2)'!$V$4:$V$1858,$V1680)/SUMIFS('Comp2016-2017 (3)'!$G$5:$G$289,'Comp2016-2017 (3)'!$A$5:$A$289,$D1680,'Comp2016-2017 (3)'!$R$5:$R$289,$V1680)*$AB1680))</f>
        <v/>
      </c>
      <c r="AK1680" s="205">
        <f t="shared" si="187"/>
        <v>0</v>
      </c>
      <c r="AL1680" s="218" t="str">
        <f t="shared" si="189"/>
        <v/>
      </c>
      <c r="AM1680" s="218" t="str">
        <f>VLOOKUP(A1680,'Table corresp.'!$M$4:$U$63,8,FALSE)</f>
        <v>Production intermédiaire</v>
      </c>
      <c r="AN1680" s="218" t="str">
        <f>VLOOKUP(D1680,'Table corresp.'!$M$4:$U$63,9,FALSE)</f>
        <v xml:space="preserve">Mise en œuvre </v>
      </c>
    </row>
    <row r="1681" spans="1:40" x14ac:dyDescent="0.25">
      <c r="A1681" t="s">
        <v>13</v>
      </c>
      <c r="B1681" t="str">
        <f>VLOOKUP(LEFT(A1681,3),'Table corresp.'!$A$4:$D$63,3,FALSE)</f>
        <v>Transformation</v>
      </c>
      <c r="C1681" t="str">
        <f>VLOOKUP(A1681,'Table corresp.'!$M$4:$P$63,4,FALSE)</f>
        <v>Production et transformation de produits bois</v>
      </c>
      <c r="D1681" t="s">
        <v>24</v>
      </c>
      <c r="E1681" t="str">
        <f>VLOOKUP(LEFT(D1681,3),'Table corresp.'!$A$4:$D$63,4,FALSE)</f>
        <v>Transformation</v>
      </c>
      <c r="F1681" t="str">
        <f t="shared" si="190"/>
        <v xml:space="preserve">20  - 57 </v>
      </c>
      <c r="G1681" s="238">
        <v>103402.214747394</v>
      </c>
      <c r="H1681" s="238">
        <v>32364.492096693</v>
      </c>
      <c r="I1681" s="238">
        <v>135766.70684408699</v>
      </c>
      <c r="J1681" s="238">
        <v>652.6415888256272</v>
      </c>
      <c r="K1681" s="238">
        <v>188.40332849437939</v>
      </c>
      <c r="L1681" s="238">
        <v>841.04491732000656</v>
      </c>
      <c r="M1681" s="238"/>
      <c r="N1681" s="238"/>
      <c r="O1681" s="238"/>
      <c r="P1681" s="238"/>
      <c r="Q1681" s="238"/>
      <c r="R1681" s="238"/>
      <c r="S1681" s="238"/>
      <c r="T1681" s="218">
        <f>VLOOKUP(A1681,'Groupe de branches'!$Z$27:$AM$86,14,FALSE)</f>
        <v>0</v>
      </c>
      <c r="U1681" s="218">
        <f>VLOOKUP(D1681,'Groupe de branches'!$Z$27:$AM$86,14,FALSE)</f>
        <v>0</v>
      </c>
      <c r="V1681" s="218">
        <v>2020</v>
      </c>
      <c r="W1681" s="218" t="str">
        <f>VLOOKUP(D1681,'Table corresp.'!$M$4:$S$63,7,FALSE)</f>
        <v>Construction</v>
      </c>
      <c r="X1681" s="240">
        <f>IFERROR(G1681/SUMIFS('Comp2016-2017 (3)'!$I$5:$I$289,'Comp2016-2017 (3)'!$A$5:$A$289,A1681,'Comp2016-2017 (3)'!$R$5:$R$289,V1681),0)</f>
        <v>0.15079859604972698</v>
      </c>
      <c r="Y1681" s="219" t="e">
        <f>IF(RIGHT(F1681,3)="Exp",VLOOKUP(F1681,#REF!,2,FALSE),VLOOKUP(F1681,#REF!,9,FALSE))</f>
        <v>#REF!</v>
      </c>
      <c r="Z1681" s="226" t="str">
        <f t="shared" si="191"/>
        <v/>
      </c>
      <c r="AA1681" s="226" t="e">
        <f t="shared" si="188"/>
        <v>#VALUE!</v>
      </c>
      <c r="AB1681" s="205">
        <f>IFERROR(SUMIFS('Comp2016-2017 (3)'!$G$5:$G$289,'Comp2016-2017 (3)'!$A$5:$A$289,A1681,'Comp2016-2017 (3)'!$R$5:$R$289,V1681)*AA1681/SUMIFS($AA$4:$AA$1858,$A$4:$A$1858,A1681,$V$4:$V$1858,V1681),0)</f>
        <v>0</v>
      </c>
      <c r="AC1681" s="205" t="str">
        <f>IF($W1681=AC$3,$AB1681,IF(NOT($W1681=0),"",SUMIFS('Val-Vol (2)'!AC$4:AC$1858,'Val-Vol (2)'!$A$4:$A$1858,$D1681,'Val-Vol (2)'!$V$4:$V$1858,$V1681)/SUMIFS('Comp2016-2017 (3)'!$G$5:$G$289,'Comp2016-2017 (3)'!$A$5:$A$289,$D1681,'Comp2016-2017 (3)'!$R$5:$R$289,$V1681)*$AB1681))</f>
        <v/>
      </c>
      <c r="AD1681" s="205">
        <f>IF($W1681=AD$3,$AB1681,IF(NOT($W1681=0),"",SUMIFS('Val-Vol (2)'!AD$4:AD$1858,'Val-Vol (2)'!$A$4:$A$1858,$D1681,'Val-Vol (2)'!$V$4:$V$1858,$V1681)/SUMIFS('Comp2016-2017 (3)'!$G$5:$G$289,'Comp2016-2017 (3)'!$A$5:$A$289,$D1681,'Comp2016-2017 (3)'!$R$5:$R$289,$V1681)*$AB1681))</f>
        <v>0</v>
      </c>
      <c r="AE1681" s="205" t="str">
        <f>IF($W1681=AE$3,$AB1681,IF(NOT($W1681=0),"",SUMIFS('Val-Vol (2)'!AE$4:AE$1858,'Val-Vol (2)'!$A$4:$A$1858,$D1681,'Val-Vol (2)'!$V$4:$V$1858,$V1681)/SUMIFS('Comp2016-2017 (3)'!$G$5:$G$289,'Comp2016-2017 (3)'!$A$5:$A$289,$D1681,'Comp2016-2017 (3)'!$R$5:$R$289,$V1681)*$AB1681))</f>
        <v/>
      </c>
      <c r="AF1681" s="205" t="str">
        <f>IF($W1681=AF$3,$AB1681,IF(NOT($W1681=0),"",SUMIFS('Val-Vol (2)'!AF$4:AF$1858,'Val-Vol (2)'!$A$4:$A$1858,$D1681,'Val-Vol (2)'!$V$4:$V$1858,$V1681)/SUMIFS('Comp2016-2017 (3)'!$G$5:$G$289,'Comp2016-2017 (3)'!$A$5:$A$289,$D1681,'Comp2016-2017 (3)'!$R$5:$R$289,$V1681)*$AB1681))</f>
        <v/>
      </c>
      <c r="AG1681" s="205" t="str">
        <f>IF($W1681=AG$3,$AB1681,IF(NOT($W1681=0),"",SUMIFS('Val-Vol (2)'!AG$4:AG$1858,'Val-Vol (2)'!$A$4:$A$1858,$D1681,'Val-Vol (2)'!$V$4:$V$1858,$V1681)/SUMIFS('Comp2016-2017 (3)'!$G$5:$G$289,'Comp2016-2017 (3)'!$A$5:$A$289,$D1681,'Comp2016-2017 (3)'!$R$5:$R$289,$V1681)*$AB1681))</f>
        <v/>
      </c>
      <c r="AH1681" s="205" t="str">
        <f>IF($W1681=AH$3,$AB1681,IF(NOT($W1681=0),"",SUMIFS('Val-Vol (2)'!AH$4:AH$1858,'Val-Vol (2)'!$A$4:$A$1858,$D1681,'Val-Vol (2)'!$V$4:$V$1858,$V1681)/SUMIFS('Comp2016-2017 (3)'!$G$5:$G$289,'Comp2016-2017 (3)'!$A$5:$A$289,$D1681,'Comp2016-2017 (3)'!$R$5:$R$289,$V1681)*$AB1681))</f>
        <v/>
      </c>
      <c r="AI1681" s="205" t="str">
        <f>IF($W1681=AI$3,$AB1681,IF(NOT($W1681=0),"",SUMIFS('Val-Vol (2)'!AI$4:AI$1858,'Val-Vol (2)'!$A$4:$A$1858,$D1681,'Val-Vol (2)'!$V$4:$V$1858,$V1681)/SUMIFS('Comp2016-2017 (3)'!$G$5:$G$289,'Comp2016-2017 (3)'!$A$5:$A$289,$D1681,'Comp2016-2017 (3)'!$R$5:$R$289,$V1681)*$AB1681))</f>
        <v/>
      </c>
      <c r="AJ1681" s="205" t="str">
        <f>IF($W1681=AJ$3,$AB1681,IF(NOT($W1681=0),"",SUMIFS('Val-Vol (2)'!AJ$4:AJ$1858,'Val-Vol (2)'!$A$4:$A$1858,$D1681,'Val-Vol (2)'!$V$4:$V$1858,$V1681)/SUMIFS('Comp2016-2017 (3)'!$G$5:$G$289,'Comp2016-2017 (3)'!$A$5:$A$289,$D1681,'Comp2016-2017 (3)'!$R$5:$R$289,$V1681)*$AB1681))</f>
        <v/>
      </c>
      <c r="AK1681" s="205">
        <f t="shared" si="187"/>
        <v>0</v>
      </c>
      <c r="AL1681" s="218" t="str">
        <f t="shared" si="189"/>
        <v/>
      </c>
      <c r="AM1681" s="218" t="str">
        <f>VLOOKUP(A1681,'Table corresp.'!$M$4:$U$63,8,FALSE)</f>
        <v>Production intermédiaire</v>
      </c>
      <c r="AN1681" s="218" t="str">
        <f>VLOOKUP(D1681,'Table corresp.'!$M$4:$U$63,9,FALSE)</f>
        <v xml:space="preserve">Mise en œuvre </v>
      </c>
    </row>
    <row r="1682" spans="1:40" x14ac:dyDescent="0.25">
      <c r="A1682" t="s">
        <v>13</v>
      </c>
      <c r="B1682" t="str">
        <f>VLOOKUP(LEFT(A1682,3),'Table corresp.'!$A$4:$D$63,3,FALSE)</f>
        <v>Transformation</v>
      </c>
      <c r="C1682" t="str">
        <f>VLOOKUP(A1682,'Table corresp.'!$M$4:$P$63,4,FALSE)</f>
        <v>Production et transformation de produits bois</v>
      </c>
      <c r="D1682" t="s">
        <v>25</v>
      </c>
      <c r="E1682" t="str">
        <f>VLOOKUP(LEFT(D1682,3),'Table corresp.'!$A$4:$D$63,4,FALSE)</f>
        <v>Transformation</v>
      </c>
      <c r="F1682" t="str">
        <f t="shared" si="190"/>
        <v xml:space="preserve">20  - 58 </v>
      </c>
      <c r="G1682" s="238">
        <v>10844.365653614999</v>
      </c>
      <c r="H1682" s="238">
        <v>2956.5831876073198</v>
      </c>
      <c r="I1682" s="238">
        <v>13800.9488412223</v>
      </c>
      <c r="J1682" s="238">
        <v>79.853847635821666</v>
      </c>
      <c r="K1682" s="238">
        <v>18.071707025221365</v>
      </c>
      <c r="L1682" s="238">
        <v>97.925554661043037</v>
      </c>
      <c r="M1682" s="238"/>
      <c r="N1682" s="238"/>
      <c r="O1682" s="238"/>
      <c r="P1682" s="238"/>
      <c r="Q1682" s="238"/>
      <c r="R1682" s="238"/>
      <c r="S1682" s="238"/>
      <c r="T1682" s="218">
        <f>VLOOKUP(A1682,'Groupe de branches'!$Z$27:$AM$86,14,FALSE)</f>
        <v>0</v>
      </c>
      <c r="U1682" s="218">
        <f>VLOOKUP(D1682,'Groupe de branches'!$Z$27:$AM$86,14,FALSE)</f>
        <v>0</v>
      </c>
      <c r="V1682" s="218">
        <v>2020</v>
      </c>
      <c r="W1682" s="218" t="str">
        <f>VLOOKUP(D1682,'Table corresp.'!$M$4:$S$63,7,FALSE)</f>
        <v>Construction</v>
      </c>
      <c r="X1682" s="240">
        <f>IFERROR(G1682/SUMIFS('Comp2016-2017 (3)'!$I$5:$I$289,'Comp2016-2017 (3)'!$A$5:$A$289,A1682,'Comp2016-2017 (3)'!$R$5:$R$289,V1682),0)</f>
        <v>1.5815087903194414E-2</v>
      </c>
      <c r="Y1682" s="219" t="e">
        <f>IF(RIGHT(F1682,3)="Exp",VLOOKUP(F1682,#REF!,2,FALSE),VLOOKUP(F1682,#REF!,9,FALSE))</f>
        <v>#REF!</v>
      </c>
      <c r="Z1682" s="226" t="str">
        <f t="shared" si="191"/>
        <v/>
      </c>
      <c r="AA1682" s="226" t="e">
        <f t="shared" si="188"/>
        <v>#VALUE!</v>
      </c>
      <c r="AB1682" s="205">
        <f>IFERROR(SUMIFS('Comp2016-2017 (3)'!$G$5:$G$289,'Comp2016-2017 (3)'!$A$5:$A$289,A1682,'Comp2016-2017 (3)'!$R$5:$R$289,V1682)*AA1682/SUMIFS($AA$4:$AA$1858,$A$4:$A$1858,A1682,$V$4:$V$1858,V1682),0)</f>
        <v>0</v>
      </c>
      <c r="AC1682" s="205" t="str">
        <f>IF($W1682=AC$3,$AB1682,IF(NOT($W1682=0),"",SUMIFS('Val-Vol (2)'!AC$4:AC$1858,'Val-Vol (2)'!$A$4:$A$1858,$D1682,'Val-Vol (2)'!$V$4:$V$1858,$V1682)/SUMIFS('Comp2016-2017 (3)'!$G$5:$G$289,'Comp2016-2017 (3)'!$A$5:$A$289,$D1682,'Comp2016-2017 (3)'!$R$5:$R$289,$V1682)*$AB1682))</f>
        <v/>
      </c>
      <c r="AD1682" s="205">
        <f>IF($W1682=AD$3,$AB1682,IF(NOT($W1682=0),"",SUMIFS('Val-Vol (2)'!AD$4:AD$1858,'Val-Vol (2)'!$A$4:$A$1858,$D1682,'Val-Vol (2)'!$V$4:$V$1858,$V1682)/SUMIFS('Comp2016-2017 (3)'!$G$5:$G$289,'Comp2016-2017 (3)'!$A$5:$A$289,$D1682,'Comp2016-2017 (3)'!$R$5:$R$289,$V1682)*$AB1682))</f>
        <v>0</v>
      </c>
      <c r="AE1682" s="205" t="str">
        <f>IF($W1682=AE$3,$AB1682,IF(NOT($W1682=0),"",SUMIFS('Val-Vol (2)'!AE$4:AE$1858,'Val-Vol (2)'!$A$4:$A$1858,$D1682,'Val-Vol (2)'!$V$4:$V$1858,$V1682)/SUMIFS('Comp2016-2017 (3)'!$G$5:$G$289,'Comp2016-2017 (3)'!$A$5:$A$289,$D1682,'Comp2016-2017 (3)'!$R$5:$R$289,$V1682)*$AB1682))</f>
        <v/>
      </c>
      <c r="AF1682" s="205" t="str">
        <f>IF($W1682=AF$3,$AB1682,IF(NOT($W1682=0),"",SUMIFS('Val-Vol (2)'!AF$4:AF$1858,'Val-Vol (2)'!$A$4:$A$1858,$D1682,'Val-Vol (2)'!$V$4:$V$1858,$V1682)/SUMIFS('Comp2016-2017 (3)'!$G$5:$G$289,'Comp2016-2017 (3)'!$A$5:$A$289,$D1682,'Comp2016-2017 (3)'!$R$5:$R$289,$V1682)*$AB1682))</f>
        <v/>
      </c>
      <c r="AG1682" s="205" t="str">
        <f>IF($W1682=AG$3,$AB1682,IF(NOT($W1682=0),"",SUMIFS('Val-Vol (2)'!AG$4:AG$1858,'Val-Vol (2)'!$A$4:$A$1858,$D1682,'Val-Vol (2)'!$V$4:$V$1858,$V1682)/SUMIFS('Comp2016-2017 (3)'!$G$5:$G$289,'Comp2016-2017 (3)'!$A$5:$A$289,$D1682,'Comp2016-2017 (3)'!$R$5:$R$289,$V1682)*$AB1682))</f>
        <v/>
      </c>
      <c r="AH1682" s="205" t="str">
        <f>IF($W1682=AH$3,$AB1682,IF(NOT($W1682=0),"",SUMIFS('Val-Vol (2)'!AH$4:AH$1858,'Val-Vol (2)'!$A$4:$A$1858,$D1682,'Val-Vol (2)'!$V$4:$V$1858,$V1682)/SUMIFS('Comp2016-2017 (3)'!$G$5:$G$289,'Comp2016-2017 (3)'!$A$5:$A$289,$D1682,'Comp2016-2017 (3)'!$R$5:$R$289,$V1682)*$AB1682))</f>
        <v/>
      </c>
      <c r="AI1682" s="205" t="str">
        <f>IF($W1682=AI$3,$AB1682,IF(NOT($W1682=0),"",SUMIFS('Val-Vol (2)'!AI$4:AI$1858,'Val-Vol (2)'!$A$4:$A$1858,$D1682,'Val-Vol (2)'!$V$4:$V$1858,$V1682)/SUMIFS('Comp2016-2017 (3)'!$G$5:$G$289,'Comp2016-2017 (3)'!$A$5:$A$289,$D1682,'Comp2016-2017 (3)'!$R$5:$R$289,$V1682)*$AB1682))</f>
        <v/>
      </c>
      <c r="AJ1682" s="205" t="str">
        <f>IF($W1682=AJ$3,$AB1682,IF(NOT($W1682=0),"",SUMIFS('Val-Vol (2)'!AJ$4:AJ$1858,'Val-Vol (2)'!$A$4:$A$1858,$D1682,'Val-Vol (2)'!$V$4:$V$1858,$V1682)/SUMIFS('Comp2016-2017 (3)'!$G$5:$G$289,'Comp2016-2017 (3)'!$A$5:$A$289,$D1682,'Comp2016-2017 (3)'!$R$5:$R$289,$V1682)*$AB1682))</f>
        <v/>
      </c>
      <c r="AK1682" s="205">
        <f t="shared" si="187"/>
        <v>0</v>
      </c>
      <c r="AL1682" s="218" t="str">
        <f t="shared" si="189"/>
        <v/>
      </c>
      <c r="AM1682" s="218" t="str">
        <f>VLOOKUP(A1682,'Table corresp.'!$M$4:$U$63,8,FALSE)</f>
        <v>Production intermédiaire</v>
      </c>
      <c r="AN1682" s="218" t="str">
        <f>VLOOKUP(D1682,'Table corresp.'!$M$4:$U$63,9,FALSE)</f>
        <v xml:space="preserve">Mise en œuvre </v>
      </c>
    </row>
    <row r="1683" spans="1:40" x14ac:dyDescent="0.25">
      <c r="A1683" t="s">
        <v>13</v>
      </c>
      <c r="B1683" t="str">
        <f>VLOOKUP(LEFT(A1683,3),'Table corresp.'!$A$4:$D$63,3,FALSE)</f>
        <v>Transformation</v>
      </c>
      <c r="C1683" t="str">
        <f>VLOOKUP(A1683,'Table corresp.'!$M$4:$P$63,4,FALSE)</f>
        <v>Production et transformation de produits bois</v>
      </c>
      <c r="D1683" t="s">
        <v>54</v>
      </c>
      <c r="E1683" t="str">
        <f>VLOOKUP(LEFT(D1683,3),'Table corresp.'!$A$4:$D$63,4,FALSE)</f>
        <v>Consommation finale</v>
      </c>
      <c r="F1683" t="str">
        <f t="shared" si="190"/>
        <v>20  - Con</v>
      </c>
      <c r="G1683" s="238">
        <v>276455.20109500998</v>
      </c>
      <c r="H1683" s="238">
        <v>170628.521352026</v>
      </c>
      <c r="I1683" s="238">
        <v>447083.72244703601</v>
      </c>
      <c r="J1683" s="238">
        <v>508.92814322920464</v>
      </c>
      <c r="K1683" s="238">
        <v>260.73582682751868</v>
      </c>
      <c r="L1683" s="238">
        <v>769.66397005672331</v>
      </c>
      <c r="M1683" s="238"/>
      <c r="N1683" s="238"/>
      <c r="O1683" s="238"/>
      <c r="P1683" s="238"/>
      <c r="Q1683" s="238"/>
      <c r="R1683" s="238"/>
      <c r="S1683" s="238"/>
      <c r="T1683" s="218">
        <f>VLOOKUP(A1683,'Groupe de branches'!$Z$27:$AM$86,14,FALSE)</f>
        <v>0</v>
      </c>
      <c r="U1683" s="218">
        <f>VLOOKUP(D1683,'Groupe de branches'!$Z$27:$AM$86,14,FALSE)</f>
        <v>0</v>
      </c>
      <c r="V1683" s="218">
        <v>2020</v>
      </c>
      <c r="W1683" s="218" t="str">
        <f>VLOOKUP(D1683,'Table corresp.'!$M$4:$S$63,7,FALSE)</f>
        <v>Consommation finale</v>
      </c>
      <c r="X1683" s="240">
        <f>IFERROR(G1683/SUMIFS('Comp2016-2017 (3)'!$I$5:$I$289,'Comp2016-2017 (3)'!$A$5:$A$289,A1683,'Comp2016-2017 (3)'!$R$5:$R$289,V1683),0)</f>
        <v>0.4031737259943276</v>
      </c>
      <c r="Y1683" s="219" t="e">
        <f>IF(RIGHT(F1683,3)="Exp",VLOOKUP(F1683,#REF!,2,FALSE),VLOOKUP(F1683,#REF!,9,FALSE))</f>
        <v>#REF!</v>
      </c>
      <c r="Z1683" s="226" t="str">
        <f t="shared" si="191"/>
        <v/>
      </c>
      <c r="AA1683" s="226" t="e">
        <f t="shared" si="188"/>
        <v>#VALUE!</v>
      </c>
      <c r="AB1683" s="205">
        <f>IFERROR(SUMIFS('Comp2016-2017 (3)'!$G$5:$G$289,'Comp2016-2017 (3)'!$A$5:$A$289,A1683,'Comp2016-2017 (3)'!$R$5:$R$289,V1683)*AA1683/SUMIFS($AA$4:$AA$1858,$A$4:$A$1858,A1683,$V$4:$V$1858,V1683),0)</f>
        <v>0</v>
      </c>
      <c r="AC1683" s="205" t="str">
        <f>IF($W1683=AC$3,$AB1683,IF(NOT($W1683=0),"",SUMIFS('Val-Vol (2)'!AC$4:AC$1858,'Val-Vol (2)'!$A$4:$A$1858,$D1683,'Val-Vol (2)'!$V$4:$V$1858,$V1683)/SUMIFS('Comp2016-2017 (3)'!$G$5:$G$289,'Comp2016-2017 (3)'!$A$5:$A$289,$D1683,'Comp2016-2017 (3)'!$R$5:$R$289,$V1683)*$AB1683))</f>
        <v/>
      </c>
      <c r="AD1683" s="205" t="str">
        <f>IF($W1683=AD$3,$AB1683,IF(NOT($W1683=0),"",SUMIFS('Val-Vol (2)'!AD$4:AD$1858,'Val-Vol (2)'!$A$4:$A$1858,$D1683,'Val-Vol (2)'!$V$4:$V$1858,$V1683)/SUMIFS('Comp2016-2017 (3)'!$G$5:$G$289,'Comp2016-2017 (3)'!$A$5:$A$289,$D1683,'Comp2016-2017 (3)'!$R$5:$R$289,$V1683)*$AB1683))</f>
        <v/>
      </c>
      <c r="AE1683" s="205" t="str">
        <f>IF($W1683=AE$3,$AB1683,IF(NOT($W1683=0),"",SUMIFS('Val-Vol (2)'!AE$4:AE$1858,'Val-Vol (2)'!$A$4:$A$1858,$D1683,'Val-Vol (2)'!$V$4:$V$1858,$V1683)/SUMIFS('Comp2016-2017 (3)'!$G$5:$G$289,'Comp2016-2017 (3)'!$A$5:$A$289,$D1683,'Comp2016-2017 (3)'!$R$5:$R$289,$V1683)*$AB1683))</f>
        <v/>
      </c>
      <c r="AF1683" s="205" t="str">
        <f>IF($W1683=AF$3,$AB1683,IF(NOT($W1683=0),"",SUMIFS('Val-Vol (2)'!AF$4:AF$1858,'Val-Vol (2)'!$A$4:$A$1858,$D1683,'Val-Vol (2)'!$V$4:$V$1858,$V1683)/SUMIFS('Comp2016-2017 (3)'!$G$5:$G$289,'Comp2016-2017 (3)'!$A$5:$A$289,$D1683,'Comp2016-2017 (3)'!$R$5:$R$289,$V1683)*$AB1683))</f>
        <v/>
      </c>
      <c r="AG1683" s="205" t="str">
        <f>IF($W1683=AG$3,$AB1683,IF(NOT($W1683=0),"",SUMIFS('Val-Vol (2)'!AG$4:AG$1858,'Val-Vol (2)'!$A$4:$A$1858,$D1683,'Val-Vol (2)'!$V$4:$V$1858,$V1683)/SUMIFS('Comp2016-2017 (3)'!$G$5:$G$289,'Comp2016-2017 (3)'!$A$5:$A$289,$D1683,'Comp2016-2017 (3)'!$R$5:$R$289,$V1683)*$AB1683))</f>
        <v/>
      </c>
      <c r="AH1683" s="205" t="str">
        <f>IF($W1683=AH$3,$AB1683,IF(NOT($W1683=0),"",SUMIFS('Val-Vol (2)'!AH$4:AH$1858,'Val-Vol (2)'!$A$4:$A$1858,$D1683,'Val-Vol (2)'!$V$4:$V$1858,$V1683)/SUMIFS('Comp2016-2017 (3)'!$G$5:$G$289,'Comp2016-2017 (3)'!$A$5:$A$289,$D1683,'Comp2016-2017 (3)'!$R$5:$R$289,$V1683)*$AB1683))</f>
        <v/>
      </c>
      <c r="AI1683" s="205" t="str">
        <f>IF($W1683=AI$3,$AB1683,IF(NOT($W1683=0),"",SUMIFS('Val-Vol (2)'!AI$4:AI$1858,'Val-Vol (2)'!$A$4:$A$1858,$D1683,'Val-Vol (2)'!$V$4:$V$1858,$V1683)/SUMIFS('Comp2016-2017 (3)'!$G$5:$G$289,'Comp2016-2017 (3)'!$A$5:$A$289,$D1683,'Comp2016-2017 (3)'!$R$5:$R$289,$V1683)*$AB1683))</f>
        <v/>
      </c>
      <c r="AJ1683" s="205">
        <f>IF($W1683=AJ$3,$AB1683,IF(NOT($W1683=0),"",SUMIFS('Val-Vol (2)'!AJ$4:AJ$1858,'Val-Vol (2)'!$A$4:$A$1858,$D1683,'Val-Vol (2)'!$V$4:$V$1858,$V1683)/SUMIFS('Comp2016-2017 (3)'!$G$5:$G$289,'Comp2016-2017 (3)'!$A$5:$A$289,$D1683,'Comp2016-2017 (3)'!$R$5:$R$289,$V1683)*$AB1683))</f>
        <v>0</v>
      </c>
      <c r="AK1683" s="205">
        <f t="shared" si="187"/>
        <v>0</v>
      </c>
      <c r="AL1683" s="218" t="str">
        <f t="shared" si="189"/>
        <v/>
      </c>
      <c r="AM1683" s="218" t="str">
        <f>VLOOKUP(A1683,'Table corresp.'!$M$4:$U$63,8,FALSE)</f>
        <v>Production intermédiaire</v>
      </c>
      <c r="AN1683" s="218" t="str">
        <f>VLOOKUP(D1683,'Table corresp.'!$M$4:$U$63,9,FALSE)</f>
        <v>Consommation finale française</v>
      </c>
    </row>
    <row r="1684" spans="1:40" x14ac:dyDescent="0.25">
      <c r="A1684" t="s">
        <v>13</v>
      </c>
      <c r="B1684" t="str">
        <f>VLOOKUP(LEFT(A1684,3),'Table corresp.'!$A$4:$D$63,3,FALSE)</f>
        <v>Transformation</v>
      </c>
      <c r="C1684" t="str">
        <f>VLOOKUP(A1684,'Table corresp.'!$M$4:$P$63,4,FALSE)</f>
        <v>Production et transformation de produits bois</v>
      </c>
      <c r="D1684" t="s">
        <v>53</v>
      </c>
      <c r="E1684" t="str">
        <f>VLOOKUP(LEFT(D1684,3),'Table corresp.'!$A$4:$D$63,4,FALSE)</f>
        <v>Exportation</v>
      </c>
      <c r="F1684" t="str">
        <f t="shared" si="190"/>
        <v>20  - Exp</v>
      </c>
      <c r="G1684" s="238">
        <v>61357.904336</v>
      </c>
      <c r="H1684" s="238">
        <v>0</v>
      </c>
      <c r="I1684" s="238">
        <v>61357.904336</v>
      </c>
      <c r="J1684" s="238">
        <v>213.26243020513738</v>
      </c>
      <c r="K1684" s="238">
        <v>0</v>
      </c>
      <c r="L1684" s="238">
        <v>213.26243020513738</v>
      </c>
      <c r="M1684" s="238"/>
      <c r="N1684" s="238"/>
      <c r="O1684" s="238"/>
      <c r="P1684" s="238"/>
      <c r="Q1684" s="238"/>
      <c r="R1684" s="238"/>
      <c r="S1684" s="238"/>
      <c r="T1684" s="218">
        <f>VLOOKUP(A1684,'Groupe de branches'!$Z$27:$AM$86,14,FALSE)</f>
        <v>0</v>
      </c>
      <c r="U1684" s="218">
        <f>VLOOKUP(D1684,'Groupe de branches'!$Z$27:$AM$86,14,FALSE)</f>
        <v>0</v>
      </c>
      <c r="V1684" s="218">
        <v>2020</v>
      </c>
      <c r="W1684" s="218" t="str">
        <f>VLOOKUP(D1684,'Table corresp.'!$M$4:$S$63,7,FALSE)</f>
        <v>Exportation</v>
      </c>
      <c r="X1684" s="240">
        <f>IFERROR(G1684/SUMIFS('Comp2016-2017 (3)'!$I$5:$I$289,'Comp2016-2017 (3)'!$A$5:$A$289,A1684,'Comp2016-2017 (3)'!$R$5:$R$289,V1684),0)</f>
        <v>8.948247243084749E-2</v>
      </c>
      <c r="Y1684" s="219" t="e">
        <f>IF(RIGHT(F1684,3)="Exp",VLOOKUP(F1684,#REF!,2,FALSE),VLOOKUP(F1684,#REF!,9,FALSE))</f>
        <v>#REF!</v>
      </c>
      <c r="Z1684" s="226" t="str">
        <f t="shared" si="191"/>
        <v/>
      </c>
      <c r="AA1684" s="226" t="e">
        <f t="shared" si="188"/>
        <v>#VALUE!</v>
      </c>
      <c r="AB1684" s="205">
        <f>IFERROR(SUMIFS('Comp2016-2017 (3)'!$G$5:$G$289,'Comp2016-2017 (3)'!$A$5:$A$289,A1684,'Comp2016-2017 (3)'!$R$5:$R$289,V1684)*AA1684/SUMIFS($AA$4:$AA$1858,$A$4:$A$1858,A1684,$V$4:$V$1858,V1684),0)</f>
        <v>0</v>
      </c>
      <c r="AC1684" s="205">
        <f>IF($W1684=AC$3,$AB1684,IF(NOT($W1684=0),"",SUMIFS('Val-Vol (2)'!AC$4:AC$1858,'Val-Vol (2)'!$A$4:$A$1858,$D1684,'Val-Vol (2)'!$V$4:$V$1858,$V1684)/SUMIFS('Comp2016-2017 (3)'!$G$5:$G$289,'Comp2016-2017 (3)'!$A$5:$A$289,$D1684,'Comp2016-2017 (3)'!$R$5:$R$289,$V1684)*$AB1684))</f>
        <v>0</v>
      </c>
      <c r="AD1684" s="205" t="str">
        <f>IF($W1684=AD$3,$AB1684,IF(NOT($W1684=0),"",SUMIFS('Val-Vol (2)'!AD$4:AD$1858,'Val-Vol (2)'!$A$4:$A$1858,$D1684,'Val-Vol (2)'!$V$4:$V$1858,$V1684)/SUMIFS('Comp2016-2017 (3)'!$G$5:$G$289,'Comp2016-2017 (3)'!$A$5:$A$289,$D1684,'Comp2016-2017 (3)'!$R$5:$R$289,$V1684)*$AB1684))</f>
        <v/>
      </c>
      <c r="AE1684" s="205" t="str">
        <f>IF($W1684=AE$3,$AB1684,IF(NOT($W1684=0),"",SUMIFS('Val-Vol (2)'!AE$4:AE$1858,'Val-Vol (2)'!$A$4:$A$1858,$D1684,'Val-Vol (2)'!$V$4:$V$1858,$V1684)/SUMIFS('Comp2016-2017 (3)'!$G$5:$G$289,'Comp2016-2017 (3)'!$A$5:$A$289,$D1684,'Comp2016-2017 (3)'!$R$5:$R$289,$V1684)*$AB1684))</f>
        <v/>
      </c>
      <c r="AF1684" s="205" t="str">
        <f>IF($W1684=AF$3,$AB1684,IF(NOT($W1684=0),"",SUMIFS('Val-Vol (2)'!AF$4:AF$1858,'Val-Vol (2)'!$A$4:$A$1858,$D1684,'Val-Vol (2)'!$V$4:$V$1858,$V1684)/SUMIFS('Comp2016-2017 (3)'!$G$5:$G$289,'Comp2016-2017 (3)'!$A$5:$A$289,$D1684,'Comp2016-2017 (3)'!$R$5:$R$289,$V1684)*$AB1684))</f>
        <v/>
      </c>
      <c r="AG1684" s="205" t="str">
        <f>IF($W1684=AG$3,$AB1684,IF(NOT($W1684=0),"",SUMIFS('Val-Vol (2)'!AG$4:AG$1858,'Val-Vol (2)'!$A$4:$A$1858,$D1684,'Val-Vol (2)'!$V$4:$V$1858,$V1684)/SUMIFS('Comp2016-2017 (3)'!$G$5:$G$289,'Comp2016-2017 (3)'!$A$5:$A$289,$D1684,'Comp2016-2017 (3)'!$R$5:$R$289,$V1684)*$AB1684))</f>
        <v/>
      </c>
      <c r="AH1684" s="205" t="str">
        <f>IF($W1684=AH$3,$AB1684,IF(NOT($W1684=0),"",SUMIFS('Val-Vol (2)'!AH$4:AH$1858,'Val-Vol (2)'!$A$4:$A$1858,$D1684,'Val-Vol (2)'!$V$4:$V$1858,$V1684)/SUMIFS('Comp2016-2017 (3)'!$G$5:$G$289,'Comp2016-2017 (3)'!$A$5:$A$289,$D1684,'Comp2016-2017 (3)'!$R$5:$R$289,$V1684)*$AB1684))</f>
        <v/>
      </c>
      <c r="AI1684" s="205" t="str">
        <f>IF($W1684=AI$3,$AB1684,IF(NOT($W1684=0),"",SUMIFS('Val-Vol (2)'!AI$4:AI$1858,'Val-Vol (2)'!$A$4:$A$1858,$D1684,'Val-Vol (2)'!$V$4:$V$1858,$V1684)/SUMIFS('Comp2016-2017 (3)'!$G$5:$G$289,'Comp2016-2017 (3)'!$A$5:$A$289,$D1684,'Comp2016-2017 (3)'!$R$5:$R$289,$V1684)*$AB1684))</f>
        <v/>
      </c>
      <c r="AJ1684" s="205" t="str">
        <f>IF($W1684=AJ$3,$AB1684,IF(NOT($W1684=0),"",SUMIFS('Val-Vol (2)'!AJ$4:AJ$1858,'Val-Vol (2)'!$A$4:$A$1858,$D1684,'Val-Vol (2)'!$V$4:$V$1858,$V1684)/SUMIFS('Comp2016-2017 (3)'!$G$5:$G$289,'Comp2016-2017 (3)'!$A$5:$A$289,$D1684,'Comp2016-2017 (3)'!$R$5:$R$289,$V1684)*$AB1684))</f>
        <v/>
      </c>
      <c r="AK1684" s="205">
        <f t="shared" si="187"/>
        <v>0</v>
      </c>
      <c r="AL1684" s="218" t="str">
        <f t="shared" si="189"/>
        <v/>
      </c>
      <c r="AM1684" s="218" t="str">
        <f>VLOOKUP(A1684,'Table corresp.'!$M$4:$U$63,8,FALSE)</f>
        <v>Production intermédiaire</v>
      </c>
      <c r="AN1684" s="218" t="str">
        <f>VLOOKUP(D1684,'Table corresp.'!$M$4:$U$63,9,FALSE)</f>
        <v>Exportation</v>
      </c>
    </row>
    <row r="1685" spans="1:40" x14ac:dyDescent="0.25">
      <c r="A1685" t="s">
        <v>14</v>
      </c>
      <c r="B1685" t="str">
        <f>VLOOKUP(LEFT(A1685,3),'Table corresp.'!$A$4:$D$63,3,FALSE)</f>
        <v>Transformation</v>
      </c>
      <c r="C1685" t="str">
        <f>VLOOKUP(A1685,'Table corresp.'!$M$4:$P$63,4,FALSE)</f>
        <v>Production et transformation de produits bois</v>
      </c>
      <c r="D1685" t="s">
        <v>85</v>
      </c>
      <c r="E1685" t="str">
        <f>VLOOKUP(LEFT(D1685,3),'Table corresp.'!$A$4:$D$63,4,FALSE)</f>
        <v>Transformation</v>
      </c>
      <c r="F1685" t="str">
        <f t="shared" si="190"/>
        <v xml:space="preserve">20b - 29 </v>
      </c>
      <c r="G1685" s="238">
        <v>1827.37880517281</v>
      </c>
      <c r="H1685" s="238">
        <v>3242.5071970577701</v>
      </c>
      <c r="I1685" s="238">
        <v>5069.8860022305798</v>
      </c>
      <c r="J1685" s="238">
        <v>6.7133632796930831</v>
      </c>
      <c r="K1685" s="238">
        <v>17.456401230651107</v>
      </c>
      <c r="L1685" s="238">
        <v>24.169764510344191</v>
      </c>
      <c r="M1685" s="238"/>
      <c r="N1685" s="238"/>
      <c r="O1685" s="238"/>
      <c r="P1685" s="238"/>
      <c r="Q1685" s="238"/>
      <c r="R1685" s="238"/>
      <c r="S1685" s="238"/>
      <c r="T1685" s="218">
        <f>VLOOKUP(A1685,'Groupe de branches'!$Z$27:$AM$86,14,FALSE)</f>
        <v>0</v>
      </c>
      <c r="U1685" s="218">
        <f>VLOOKUP(D1685,'Groupe de branches'!$Z$27:$AM$86,14,FALSE)</f>
        <v>0</v>
      </c>
      <c r="V1685" s="218">
        <v>2020</v>
      </c>
      <c r="W1685" s="218" t="str">
        <f>VLOOKUP(D1685,'Table corresp.'!$M$4:$S$63,7,FALSE)</f>
        <v>Construction</v>
      </c>
      <c r="X1685" s="240">
        <f>IFERROR(G1685/SUMIFS('Comp2016-2017 (3)'!$I$5:$I$289,'Comp2016-2017 (3)'!$A$5:$A$289,A1685,'Comp2016-2017 (3)'!$R$5:$R$289,V1685),0)</f>
        <v>1.0347026851833216E-2</v>
      </c>
      <c r="Y1685" s="219" t="e">
        <f>IF(RIGHT(F1685,3)="Exp",VLOOKUP(F1685,#REF!,2,FALSE),VLOOKUP(F1685,#REF!,9,FALSE))</f>
        <v>#REF!</v>
      </c>
      <c r="Z1685" s="226" t="str">
        <f t="shared" si="191"/>
        <v/>
      </c>
      <c r="AA1685" s="226" t="e">
        <f t="shared" si="188"/>
        <v>#VALUE!</v>
      </c>
      <c r="AB1685" s="205">
        <f>IFERROR(SUMIFS('Comp2016-2017 (3)'!$G$5:$G$289,'Comp2016-2017 (3)'!$A$5:$A$289,A1685,'Comp2016-2017 (3)'!$R$5:$R$289,V1685)*AA1685/SUMIFS($AA$4:$AA$1858,$A$4:$A$1858,A1685,$V$4:$V$1858,V1685),0)</f>
        <v>0</v>
      </c>
      <c r="AC1685" s="205" t="str">
        <f>IF($W1685=AC$3,$AB1685,IF(NOT($W1685=0),"",SUMIFS('Val-Vol (2)'!AC$4:AC$1858,'Val-Vol (2)'!$A$4:$A$1858,$D1685,'Val-Vol (2)'!$V$4:$V$1858,$V1685)/SUMIFS('Comp2016-2017 (3)'!$G$5:$G$289,'Comp2016-2017 (3)'!$A$5:$A$289,$D1685,'Comp2016-2017 (3)'!$R$5:$R$289,$V1685)*$AB1685))</f>
        <v/>
      </c>
      <c r="AD1685" s="205">
        <f>IF($W1685=AD$3,$AB1685,IF(NOT($W1685=0),"",SUMIFS('Val-Vol (2)'!AD$4:AD$1858,'Val-Vol (2)'!$A$4:$A$1858,$D1685,'Val-Vol (2)'!$V$4:$V$1858,$V1685)/SUMIFS('Comp2016-2017 (3)'!$G$5:$G$289,'Comp2016-2017 (3)'!$A$5:$A$289,$D1685,'Comp2016-2017 (3)'!$R$5:$R$289,$V1685)*$AB1685))</f>
        <v>0</v>
      </c>
      <c r="AE1685" s="205" t="str">
        <f>IF($W1685=AE$3,$AB1685,IF(NOT($W1685=0),"",SUMIFS('Val-Vol (2)'!AE$4:AE$1858,'Val-Vol (2)'!$A$4:$A$1858,$D1685,'Val-Vol (2)'!$V$4:$V$1858,$V1685)/SUMIFS('Comp2016-2017 (3)'!$G$5:$G$289,'Comp2016-2017 (3)'!$A$5:$A$289,$D1685,'Comp2016-2017 (3)'!$R$5:$R$289,$V1685)*$AB1685))</f>
        <v/>
      </c>
      <c r="AF1685" s="205" t="str">
        <f>IF($W1685=AF$3,$AB1685,IF(NOT($W1685=0),"",SUMIFS('Val-Vol (2)'!AF$4:AF$1858,'Val-Vol (2)'!$A$4:$A$1858,$D1685,'Val-Vol (2)'!$V$4:$V$1858,$V1685)/SUMIFS('Comp2016-2017 (3)'!$G$5:$G$289,'Comp2016-2017 (3)'!$A$5:$A$289,$D1685,'Comp2016-2017 (3)'!$R$5:$R$289,$V1685)*$AB1685))</f>
        <v/>
      </c>
      <c r="AG1685" s="205" t="str">
        <f>IF($W1685=AG$3,$AB1685,IF(NOT($W1685=0),"",SUMIFS('Val-Vol (2)'!AG$4:AG$1858,'Val-Vol (2)'!$A$4:$A$1858,$D1685,'Val-Vol (2)'!$V$4:$V$1858,$V1685)/SUMIFS('Comp2016-2017 (3)'!$G$5:$G$289,'Comp2016-2017 (3)'!$A$5:$A$289,$D1685,'Comp2016-2017 (3)'!$R$5:$R$289,$V1685)*$AB1685))</f>
        <v/>
      </c>
      <c r="AH1685" s="205" t="str">
        <f>IF($W1685=AH$3,$AB1685,IF(NOT($W1685=0),"",SUMIFS('Val-Vol (2)'!AH$4:AH$1858,'Val-Vol (2)'!$A$4:$A$1858,$D1685,'Val-Vol (2)'!$V$4:$V$1858,$V1685)/SUMIFS('Comp2016-2017 (3)'!$G$5:$G$289,'Comp2016-2017 (3)'!$A$5:$A$289,$D1685,'Comp2016-2017 (3)'!$R$5:$R$289,$V1685)*$AB1685))</f>
        <v/>
      </c>
      <c r="AI1685" s="205" t="str">
        <f>IF($W1685=AI$3,$AB1685,IF(NOT($W1685=0),"",SUMIFS('Val-Vol (2)'!AI$4:AI$1858,'Val-Vol (2)'!$A$4:$A$1858,$D1685,'Val-Vol (2)'!$V$4:$V$1858,$V1685)/SUMIFS('Comp2016-2017 (3)'!$G$5:$G$289,'Comp2016-2017 (3)'!$A$5:$A$289,$D1685,'Comp2016-2017 (3)'!$R$5:$R$289,$V1685)*$AB1685))</f>
        <v/>
      </c>
      <c r="AJ1685" s="205" t="str">
        <f>IF($W1685=AJ$3,$AB1685,IF(NOT($W1685=0),"",SUMIFS('Val-Vol (2)'!AJ$4:AJ$1858,'Val-Vol (2)'!$A$4:$A$1858,$D1685,'Val-Vol (2)'!$V$4:$V$1858,$V1685)/SUMIFS('Comp2016-2017 (3)'!$G$5:$G$289,'Comp2016-2017 (3)'!$A$5:$A$289,$D1685,'Comp2016-2017 (3)'!$R$5:$R$289,$V1685)*$AB1685))</f>
        <v/>
      </c>
      <c r="AK1685" s="205">
        <f t="shared" si="187"/>
        <v>0</v>
      </c>
      <c r="AL1685" s="218" t="str">
        <f t="shared" si="189"/>
        <v/>
      </c>
      <c r="AM1685" s="218" t="str">
        <f>VLOOKUP(A1685,'Table corresp.'!$M$4:$U$63,8,FALSE)</f>
        <v>Production intermédiaire</v>
      </c>
      <c r="AN1685" s="218" t="str">
        <f>VLOOKUP(D1685,'Table corresp.'!$M$4:$U$63,9,FALSE)</f>
        <v>Production intermédiaire</v>
      </c>
    </row>
    <row r="1686" spans="1:40" x14ac:dyDescent="0.25">
      <c r="A1686" t="s">
        <v>14</v>
      </c>
      <c r="B1686" t="str">
        <f>VLOOKUP(LEFT(A1686,3),'Table corresp.'!$A$4:$D$63,3,FALSE)</f>
        <v>Transformation</v>
      </c>
      <c r="C1686" t="str">
        <f>VLOOKUP(A1686,'Table corresp.'!$M$4:$P$63,4,FALSE)</f>
        <v>Production et transformation de produits bois</v>
      </c>
      <c r="D1686" t="s">
        <v>90</v>
      </c>
      <c r="E1686" t="str">
        <f>VLOOKUP(LEFT(D1686,3),'Table corresp.'!$A$4:$D$63,4,FALSE)</f>
        <v>Transformation</v>
      </c>
      <c r="F1686" t="str">
        <f t="shared" si="190"/>
        <v xml:space="preserve">20b - 34 </v>
      </c>
      <c r="G1686" s="238">
        <v>2916.6595708090899</v>
      </c>
      <c r="H1686" s="238">
        <v>5553.8199995171599</v>
      </c>
      <c r="I1686" s="238">
        <v>8470.4795703262607</v>
      </c>
      <c r="J1686" s="238">
        <v>9.0666455931593219</v>
      </c>
      <c r="K1686" s="238">
        <v>26.909651681304471</v>
      </c>
      <c r="L1686" s="238">
        <v>35.976297274463789</v>
      </c>
      <c r="M1686" s="238"/>
      <c r="N1686" s="238"/>
      <c r="O1686" s="238"/>
      <c r="P1686" s="238"/>
      <c r="Q1686" s="238"/>
      <c r="R1686" s="238"/>
      <c r="S1686" s="238"/>
      <c r="T1686" s="218">
        <f>VLOOKUP(A1686,'Groupe de branches'!$Z$27:$AM$86,14,FALSE)</f>
        <v>0</v>
      </c>
      <c r="U1686" s="218">
        <f>VLOOKUP(D1686,'Groupe de branches'!$Z$27:$AM$86,14,FALSE)</f>
        <v>0</v>
      </c>
      <c r="V1686" s="218">
        <v>2020</v>
      </c>
      <c r="W1686" s="218" t="str">
        <f>VLOOKUP(D1686,'Table corresp.'!$M$4:$S$63,7,FALSE)</f>
        <v>Construction</v>
      </c>
      <c r="X1686" s="240">
        <f>IFERROR(G1686/SUMIFS('Comp2016-2017 (3)'!$I$5:$I$289,'Comp2016-2017 (3)'!$A$5:$A$289,A1686,'Comp2016-2017 (3)'!$R$5:$R$289,V1686),0)</f>
        <v>1.6514777785202602E-2</v>
      </c>
      <c r="Y1686" s="219" t="e">
        <f>IF(RIGHT(F1686,3)="Exp",VLOOKUP(F1686,#REF!,2,FALSE),VLOOKUP(F1686,#REF!,9,FALSE))</f>
        <v>#REF!</v>
      </c>
      <c r="Z1686" s="226" t="str">
        <f t="shared" si="191"/>
        <v/>
      </c>
      <c r="AA1686" s="226" t="e">
        <f t="shared" si="188"/>
        <v>#VALUE!</v>
      </c>
      <c r="AB1686" s="205">
        <f>IFERROR(SUMIFS('Comp2016-2017 (3)'!$G$5:$G$289,'Comp2016-2017 (3)'!$A$5:$A$289,A1686,'Comp2016-2017 (3)'!$R$5:$R$289,V1686)*AA1686/SUMIFS($AA$4:$AA$1858,$A$4:$A$1858,A1686,$V$4:$V$1858,V1686),0)</f>
        <v>0</v>
      </c>
      <c r="AC1686" s="205" t="str">
        <f>IF($W1686=AC$3,$AB1686,IF(NOT($W1686=0),"",SUMIFS('Val-Vol (2)'!AC$4:AC$1858,'Val-Vol (2)'!$A$4:$A$1858,$D1686,'Val-Vol (2)'!$V$4:$V$1858,$V1686)/SUMIFS('Comp2016-2017 (3)'!$G$5:$G$289,'Comp2016-2017 (3)'!$A$5:$A$289,$D1686,'Comp2016-2017 (3)'!$R$5:$R$289,$V1686)*$AB1686))</f>
        <v/>
      </c>
      <c r="AD1686" s="205">
        <f>IF($W1686=AD$3,$AB1686,IF(NOT($W1686=0),"",SUMIFS('Val-Vol (2)'!AD$4:AD$1858,'Val-Vol (2)'!$A$4:$A$1858,$D1686,'Val-Vol (2)'!$V$4:$V$1858,$V1686)/SUMIFS('Comp2016-2017 (3)'!$G$5:$G$289,'Comp2016-2017 (3)'!$A$5:$A$289,$D1686,'Comp2016-2017 (3)'!$R$5:$R$289,$V1686)*$AB1686))</f>
        <v>0</v>
      </c>
      <c r="AE1686" s="205" t="str">
        <f>IF($W1686=AE$3,$AB1686,IF(NOT($W1686=0),"",SUMIFS('Val-Vol (2)'!AE$4:AE$1858,'Val-Vol (2)'!$A$4:$A$1858,$D1686,'Val-Vol (2)'!$V$4:$V$1858,$V1686)/SUMIFS('Comp2016-2017 (3)'!$G$5:$G$289,'Comp2016-2017 (3)'!$A$5:$A$289,$D1686,'Comp2016-2017 (3)'!$R$5:$R$289,$V1686)*$AB1686))</f>
        <v/>
      </c>
      <c r="AF1686" s="205" t="str">
        <f>IF($W1686=AF$3,$AB1686,IF(NOT($W1686=0),"",SUMIFS('Val-Vol (2)'!AF$4:AF$1858,'Val-Vol (2)'!$A$4:$A$1858,$D1686,'Val-Vol (2)'!$V$4:$V$1858,$V1686)/SUMIFS('Comp2016-2017 (3)'!$G$5:$G$289,'Comp2016-2017 (3)'!$A$5:$A$289,$D1686,'Comp2016-2017 (3)'!$R$5:$R$289,$V1686)*$AB1686))</f>
        <v/>
      </c>
      <c r="AG1686" s="205" t="str">
        <f>IF($W1686=AG$3,$AB1686,IF(NOT($W1686=0),"",SUMIFS('Val-Vol (2)'!AG$4:AG$1858,'Val-Vol (2)'!$A$4:$A$1858,$D1686,'Val-Vol (2)'!$V$4:$V$1858,$V1686)/SUMIFS('Comp2016-2017 (3)'!$G$5:$G$289,'Comp2016-2017 (3)'!$A$5:$A$289,$D1686,'Comp2016-2017 (3)'!$R$5:$R$289,$V1686)*$AB1686))</f>
        <v/>
      </c>
      <c r="AH1686" s="205" t="str">
        <f>IF($W1686=AH$3,$AB1686,IF(NOT($W1686=0),"",SUMIFS('Val-Vol (2)'!AH$4:AH$1858,'Val-Vol (2)'!$A$4:$A$1858,$D1686,'Val-Vol (2)'!$V$4:$V$1858,$V1686)/SUMIFS('Comp2016-2017 (3)'!$G$5:$G$289,'Comp2016-2017 (3)'!$A$5:$A$289,$D1686,'Comp2016-2017 (3)'!$R$5:$R$289,$V1686)*$AB1686))</f>
        <v/>
      </c>
      <c r="AI1686" s="205" t="str">
        <f>IF($W1686=AI$3,$AB1686,IF(NOT($W1686=0),"",SUMIFS('Val-Vol (2)'!AI$4:AI$1858,'Val-Vol (2)'!$A$4:$A$1858,$D1686,'Val-Vol (2)'!$V$4:$V$1858,$V1686)/SUMIFS('Comp2016-2017 (3)'!$G$5:$G$289,'Comp2016-2017 (3)'!$A$5:$A$289,$D1686,'Comp2016-2017 (3)'!$R$5:$R$289,$V1686)*$AB1686))</f>
        <v/>
      </c>
      <c r="AJ1686" s="205" t="str">
        <f>IF($W1686=AJ$3,$AB1686,IF(NOT($W1686=0),"",SUMIFS('Val-Vol (2)'!AJ$4:AJ$1858,'Val-Vol (2)'!$A$4:$A$1858,$D1686,'Val-Vol (2)'!$V$4:$V$1858,$V1686)/SUMIFS('Comp2016-2017 (3)'!$G$5:$G$289,'Comp2016-2017 (3)'!$A$5:$A$289,$D1686,'Comp2016-2017 (3)'!$R$5:$R$289,$V1686)*$AB1686))</f>
        <v/>
      </c>
      <c r="AK1686" s="205">
        <f t="shared" si="187"/>
        <v>0</v>
      </c>
      <c r="AL1686" s="218" t="str">
        <f t="shared" si="189"/>
        <v/>
      </c>
      <c r="AM1686" s="218" t="str">
        <f>VLOOKUP(A1686,'Table corresp.'!$M$4:$U$63,8,FALSE)</f>
        <v>Production intermédiaire</v>
      </c>
      <c r="AN1686" s="218" t="str">
        <f>VLOOKUP(D1686,'Table corresp.'!$M$4:$U$63,9,FALSE)</f>
        <v>Production finale</v>
      </c>
    </row>
    <row r="1687" spans="1:40" x14ac:dyDescent="0.25">
      <c r="A1687" t="s">
        <v>14</v>
      </c>
      <c r="B1687" t="str">
        <f>VLOOKUP(LEFT(A1687,3),'Table corresp.'!$A$4:$D$63,3,FALSE)</f>
        <v>Transformation</v>
      </c>
      <c r="C1687" t="str">
        <f>VLOOKUP(A1687,'Table corresp.'!$M$4:$P$63,4,FALSE)</f>
        <v>Production et transformation de produits bois</v>
      </c>
      <c r="D1687" t="s">
        <v>15</v>
      </c>
      <c r="E1687" t="str">
        <f>VLOOKUP(LEFT(D1687,3),'Table corresp.'!$A$4:$D$63,4,FALSE)</f>
        <v>Transformation</v>
      </c>
      <c r="F1687" t="str">
        <f t="shared" si="190"/>
        <v xml:space="preserve">20b - 35 </v>
      </c>
      <c r="G1687" s="238">
        <v>43226.102944682498</v>
      </c>
      <c r="H1687" s="238">
        <v>53371.764025479097</v>
      </c>
      <c r="I1687" s="238">
        <v>96597.866970161704</v>
      </c>
      <c r="J1687" s="238">
        <v>124.77348294600583</v>
      </c>
      <c r="K1687" s="238">
        <v>203.18539281251583</v>
      </c>
      <c r="L1687" s="238">
        <v>327.95887575852169</v>
      </c>
      <c r="M1687" s="238"/>
      <c r="N1687" s="238"/>
      <c r="O1687" s="238"/>
      <c r="P1687" s="238"/>
      <c r="Q1687" s="238"/>
      <c r="R1687" s="238"/>
      <c r="S1687" s="238"/>
      <c r="T1687" s="218">
        <f>VLOOKUP(A1687,'Groupe de branches'!$Z$27:$AM$86,14,FALSE)</f>
        <v>0</v>
      </c>
      <c r="U1687" s="218">
        <f>VLOOKUP(D1687,'Groupe de branches'!$Z$27:$AM$86,14,FALSE)</f>
        <v>0</v>
      </c>
      <c r="V1687" s="218">
        <v>2020</v>
      </c>
      <c r="W1687" s="218" t="str">
        <f>VLOOKUP(D1687,'Table corresp.'!$M$4:$S$63,7,FALSE)</f>
        <v>Construction</v>
      </c>
      <c r="X1687" s="240">
        <f>IFERROR(G1687/SUMIFS('Comp2016-2017 (3)'!$I$5:$I$289,'Comp2016-2017 (3)'!$A$5:$A$289,A1687,'Comp2016-2017 (3)'!$R$5:$R$289,V1687),0)</f>
        <v>0.2447558473386367</v>
      </c>
      <c r="Y1687" s="219" t="e">
        <f>IF(RIGHT(F1687,3)="Exp",VLOOKUP(F1687,#REF!,2,FALSE),VLOOKUP(F1687,#REF!,9,FALSE))</f>
        <v>#REF!</v>
      </c>
      <c r="Z1687" s="226" t="str">
        <f t="shared" si="191"/>
        <v/>
      </c>
      <c r="AA1687" s="226" t="e">
        <f t="shared" si="188"/>
        <v>#VALUE!</v>
      </c>
      <c r="AB1687" s="205">
        <f>IFERROR(SUMIFS('Comp2016-2017 (3)'!$G$5:$G$289,'Comp2016-2017 (3)'!$A$5:$A$289,A1687,'Comp2016-2017 (3)'!$R$5:$R$289,V1687)*AA1687/SUMIFS($AA$4:$AA$1858,$A$4:$A$1858,A1687,$V$4:$V$1858,V1687),0)</f>
        <v>0</v>
      </c>
      <c r="AC1687" s="205" t="str">
        <f>IF($W1687=AC$3,$AB1687,IF(NOT($W1687=0),"",SUMIFS('Val-Vol (2)'!AC$4:AC$1858,'Val-Vol (2)'!$A$4:$A$1858,$D1687,'Val-Vol (2)'!$V$4:$V$1858,$V1687)/SUMIFS('Comp2016-2017 (3)'!$G$5:$G$289,'Comp2016-2017 (3)'!$A$5:$A$289,$D1687,'Comp2016-2017 (3)'!$R$5:$R$289,$V1687)*$AB1687))</f>
        <v/>
      </c>
      <c r="AD1687" s="205">
        <f>IF($W1687=AD$3,$AB1687,IF(NOT($W1687=0),"",SUMIFS('Val-Vol (2)'!AD$4:AD$1858,'Val-Vol (2)'!$A$4:$A$1858,$D1687,'Val-Vol (2)'!$V$4:$V$1858,$V1687)/SUMIFS('Comp2016-2017 (3)'!$G$5:$G$289,'Comp2016-2017 (3)'!$A$5:$A$289,$D1687,'Comp2016-2017 (3)'!$R$5:$R$289,$V1687)*$AB1687))</f>
        <v>0</v>
      </c>
      <c r="AE1687" s="205" t="str">
        <f>IF($W1687=AE$3,$AB1687,IF(NOT($W1687=0),"",SUMIFS('Val-Vol (2)'!AE$4:AE$1858,'Val-Vol (2)'!$A$4:$A$1858,$D1687,'Val-Vol (2)'!$V$4:$V$1858,$V1687)/SUMIFS('Comp2016-2017 (3)'!$G$5:$G$289,'Comp2016-2017 (3)'!$A$5:$A$289,$D1687,'Comp2016-2017 (3)'!$R$5:$R$289,$V1687)*$AB1687))</f>
        <v/>
      </c>
      <c r="AF1687" s="205" t="str">
        <f>IF($W1687=AF$3,$AB1687,IF(NOT($W1687=0),"",SUMIFS('Val-Vol (2)'!AF$4:AF$1858,'Val-Vol (2)'!$A$4:$A$1858,$D1687,'Val-Vol (2)'!$V$4:$V$1858,$V1687)/SUMIFS('Comp2016-2017 (3)'!$G$5:$G$289,'Comp2016-2017 (3)'!$A$5:$A$289,$D1687,'Comp2016-2017 (3)'!$R$5:$R$289,$V1687)*$AB1687))</f>
        <v/>
      </c>
      <c r="AG1687" s="205" t="str">
        <f>IF($W1687=AG$3,$AB1687,IF(NOT($W1687=0),"",SUMIFS('Val-Vol (2)'!AG$4:AG$1858,'Val-Vol (2)'!$A$4:$A$1858,$D1687,'Val-Vol (2)'!$V$4:$V$1858,$V1687)/SUMIFS('Comp2016-2017 (3)'!$G$5:$G$289,'Comp2016-2017 (3)'!$A$5:$A$289,$D1687,'Comp2016-2017 (3)'!$R$5:$R$289,$V1687)*$AB1687))</f>
        <v/>
      </c>
      <c r="AH1687" s="205" t="str">
        <f>IF($W1687=AH$3,$AB1687,IF(NOT($W1687=0),"",SUMIFS('Val-Vol (2)'!AH$4:AH$1858,'Val-Vol (2)'!$A$4:$A$1858,$D1687,'Val-Vol (2)'!$V$4:$V$1858,$V1687)/SUMIFS('Comp2016-2017 (3)'!$G$5:$G$289,'Comp2016-2017 (3)'!$A$5:$A$289,$D1687,'Comp2016-2017 (3)'!$R$5:$R$289,$V1687)*$AB1687))</f>
        <v/>
      </c>
      <c r="AI1687" s="205" t="str">
        <f>IF($W1687=AI$3,$AB1687,IF(NOT($W1687=0),"",SUMIFS('Val-Vol (2)'!AI$4:AI$1858,'Val-Vol (2)'!$A$4:$A$1858,$D1687,'Val-Vol (2)'!$V$4:$V$1858,$V1687)/SUMIFS('Comp2016-2017 (3)'!$G$5:$G$289,'Comp2016-2017 (3)'!$A$5:$A$289,$D1687,'Comp2016-2017 (3)'!$R$5:$R$289,$V1687)*$AB1687))</f>
        <v/>
      </c>
      <c r="AJ1687" s="205" t="str">
        <f>IF($W1687=AJ$3,$AB1687,IF(NOT($W1687=0),"",SUMIFS('Val-Vol (2)'!AJ$4:AJ$1858,'Val-Vol (2)'!$A$4:$A$1858,$D1687,'Val-Vol (2)'!$V$4:$V$1858,$V1687)/SUMIFS('Comp2016-2017 (3)'!$G$5:$G$289,'Comp2016-2017 (3)'!$A$5:$A$289,$D1687,'Comp2016-2017 (3)'!$R$5:$R$289,$V1687)*$AB1687))</f>
        <v/>
      </c>
      <c r="AK1687" s="205">
        <f t="shared" si="187"/>
        <v>0</v>
      </c>
      <c r="AL1687" s="218" t="str">
        <f t="shared" si="189"/>
        <v/>
      </c>
      <c r="AM1687" s="218" t="str">
        <f>VLOOKUP(A1687,'Table corresp.'!$M$4:$U$63,8,FALSE)</f>
        <v>Production intermédiaire</v>
      </c>
      <c r="AN1687" s="218" t="str">
        <f>VLOOKUP(D1687,'Table corresp.'!$M$4:$U$63,9,FALSE)</f>
        <v>Production finale</v>
      </c>
    </row>
    <row r="1688" spans="1:40" x14ac:dyDescent="0.25">
      <c r="A1688" t="s">
        <v>14</v>
      </c>
      <c r="B1688" t="str">
        <f>VLOOKUP(LEFT(A1688,3),'Table corresp.'!$A$4:$D$63,3,FALSE)</f>
        <v>Transformation</v>
      </c>
      <c r="C1688" t="str">
        <f>VLOOKUP(A1688,'Table corresp.'!$M$4:$P$63,4,FALSE)</f>
        <v>Production et transformation de produits bois</v>
      </c>
      <c r="D1688" t="s">
        <v>16</v>
      </c>
      <c r="E1688" t="str">
        <f>VLOOKUP(LEFT(D1688,3),'Table corresp.'!$A$4:$D$63,4,FALSE)</f>
        <v>Transformation</v>
      </c>
      <c r="F1688" t="str">
        <f t="shared" si="190"/>
        <v xml:space="preserve">20b - 36 </v>
      </c>
      <c r="G1688" s="238">
        <v>3955.8450369705201</v>
      </c>
      <c r="H1688" s="238">
        <v>16800.056255316402</v>
      </c>
      <c r="I1688" s="238">
        <v>20755.901292286901</v>
      </c>
      <c r="J1688" s="238">
        <v>13.321780542434228</v>
      </c>
      <c r="K1688" s="238">
        <v>74.617114632482227</v>
      </c>
      <c r="L1688" s="238">
        <v>87.938895174916453</v>
      </c>
      <c r="M1688" s="238"/>
      <c r="N1688" s="238"/>
      <c r="O1688" s="238"/>
      <c r="P1688" s="238"/>
      <c r="Q1688" s="238"/>
      <c r="R1688" s="238"/>
      <c r="S1688" s="238"/>
      <c r="T1688" s="218">
        <f>VLOOKUP(A1688,'Groupe de branches'!$Z$27:$AM$86,14,FALSE)</f>
        <v>0</v>
      </c>
      <c r="U1688" s="218">
        <f>VLOOKUP(D1688,'Groupe de branches'!$Z$27:$AM$86,14,FALSE)</f>
        <v>0</v>
      </c>
      <c r="V1688" s="218">
        <v>2020</v>
      </c>
      <c r="W1688" s="218" t="str">
        <f>VLOOKUP(D1688,'Table corresp.'!$M$4:$S$63,7,FALSE)</f>
        <v>Construction</v>
      </c>
      <c r="X1688" s="240">
        <f>IFERROR(G1688/SUMIFS('Comp2016-2017 (3)'!$I$5:$I$289,'Comp2016-2017 (3)'!$A$5:$A$289,A1688,'Comp2016-2017 (3)'!$R$5:$R$289,V1688),0)</f>
        <v>2.2398877946575711E-2</v>
      </c>
      <c r="Y1688" s="219" t="e">
        <f>IF(RIGHT(F1688,3)="Exp",VLOOKUP(F1688,#REF!,2,FALSE),VLOOKUP(F1688,#REF!,9,FALSE))</f>
        <v>#REF!</v>
      </c>
      <c r="Z1688" s="226" t="str">
        <f t="shared" si="191"/>
        <v/>
      </c>
      <c r="AA1688" s="226" t="e">
        <f t="shared" si="188"/>
        <v>#VALUE!</v>
      </c>
      <c r="AB1688" s="205">
        <f>IFERROR(SUMIFS('Comp2016-2017 (3)'!$G$5:$G$289,'Comp2016-2017 (3)'!$A$5:$A$289,A1688,'Comp2016-2017 (3)'!$R$5:$R$289,V1688)*AA1688/SUMIFS($AA$4:$AA$1858,$A$4:$A$1858,A1688,$V$4:$V$1858,V1688),0)</f>
        <v>0</v>
      </c>
      <c r="AC1688" s="205" t="str">
        <f>IF($W1688=AC$3,$AB1688,IF(NOT($W1688=0),"",SUMIFS('Val-Vol (2)'!AC$4:AC$1858,'Val-Vol (2)'!$A$4:$A$1858,$D1688,'Val-Vol (2)'!$V$4:$V$1858,$V1688)/SUMIFS('Comp2016-2017 (3)'!$G$5:$G$289,'Comp2016-2017 (3)'!$A$5:$A$289,$D1688,'Comp2016-2017 (3)'!$R$5:$R$289,$V1688)*$AB1688))</f>
        <v/>
      </c>
      <c r="AD1688" s="205">
        <f>IF($W1688=AD$3,$AB1688,IF(NOT($W1688=0),"",SUMIFS('Val-Vol (2)'!AD$4:AD$1858,'Val-Vol (2)'!$A$4:$A$1858,$D1688,'Val-Vol (2)'!$V$4:$V$1858,$V1688)/SUMIFS('Comp2016-2017 (3)'!$G$5:$G$289,'Comp2016-2017 (3)'!$A$5:$A$289,$D1688,'Comp2016-2017 (3)'!$R$5:$R$289,$V1688)*$AB1688))</f>
        <v>0</v>
      </c>
      <c r="AE1688" s="205" t="str">
        <f>IF($W1688=AE$3,$AB1688,IF(NOT($W1688=0),"",SUMIFS('Val-Vol (2)'!AE$4:AE$1858,'Val-Vol (2)'!$A$4:$A$1858,$D1688,'Val-Vol (2)'!$V$4:$V$1858,$V1688)/SUMIFS('Comp2016-2017 (3)'!$G$5:$G$289,'Comp2016-2017 (3)'!$A$5:$A$289,$D1688,'Comp2016-2017 (3)'!$R$5:$R$289,$V1688)*$AB1688))</f>
        <v/>
      </c>
      <c r="AF1688" s="205" t="str">
        <f>IF($W1688=AF$3,$AB1688,IF(NOT($W1688=0),"",SUMIFS('Val-Vol (2)'!AF$4:AF$1858,'Val-Vol (2)'!$A$4:$A$1858,$D1688,'Val-Vol (2)'!$V$4:$V$1858,$V1688)/SUMIFS('Comp2016-2017 (3)'!$G$5:$G$289,'Comp2016-2017 (3)'!$A$5:$A$289,$D1688,'Comp2016-2017 (3)'!$R$5:$R$289,$V1688)*$AB1688))</f>
        <v/>
      </c>
      <c r="AG1688" s="205" t="str">
        <f>IF($W1688=AG$3,$AB1688,IF(NOT($W1688=0),"",SUMIFS('Val-Vol (2)'!AG$4:AG$1858,'Val-Vol (2)'!$A$4:$A$1858,$D1688,'Val-Vol (2)'!$V$4:$V$1858,$V1688)/SUMIFS('Comp2016-2017 (3)'!$G$5:$G$289,'Comp2016-2017 (3)'!$A$5:$A$289,$D1688,'Comp2016-2017 (3)'!$R$5:$R$289,$V1688)*$AB1688))</f>
        <v/>
      </c>
      <c r="AH1688" s="205" t="str">
        <f>IF($W1688=AH$3,$AB1688,IF(NOT($W1688=0),"",SUMIFS('Val-Vol (2)'!AH$4:AH$1858,'Val-Vol (2)'!$A$4:$A$1858,$D1688,'Val-Vol (2)'!$V$4:$V$1858,$V1688)/SUMIFS('Comp2016-2017 (3)'!$G$5:$G$289,'Comp2016-2017 (3)'!$A$5:$A$289,$D1688,'Comp2016-2017 (3)'!$R$5:$R$289,$V1688)*$AB1688))</f>
        <v/>
      </c>
      <c r="AI1688" s="205" t="str">
        <f>IF($W1688=AI$3,$AB1688,IF(NOT($W1688=0),"",SUMIFS('Val-Vol (2)'!AI$4:AI$1858,'Val-Vol (2)'!$A$4:$A$1858,$D1688,'Val-Vol (2)'!$V$4:$V$1858,$V1688)/SUMIFS('Comp2016-2017 (3)'!$G$5:$G$289,'Comp2016-2017 (3)'!$A$5:$A$289,$D1688,'Comp2016-2017 (3)'!$R$5:$R$289,$V1688)*$AB1688))</f>
        <v/>
      </c>
      <c r="AJ1688" s="205" t="str">
        <f>IF($W1688=AJ$3,$AB1688,IF(NOT($W1688=0),"",SUMIFS('Val-Vol (2)'!AJ$4:AJ$1858,'Val-Vol (2)'!$A$4:$A$1858,$D1688,'Val-Vol (2)'!$V$4:$V$1858,$V1688)/SUMIFS('Comp2016-2017 (3)'!$G$5:$G$289,'Comp2016-2017 (3)'!$A$5:$A$289,$D1688,'Comp2016-2017 (3)'!$R$5:$R$289,$V1688)*$AB1688))</f>
        <v/>
      </c>
      <c r="AK1688" s="205">
        <f t="shared" si="187"/>
        <v>0</v>
      </c>
      <c r="AL1688" s="218" t="str">
        <f t="shared" si="189"/>
        <v/>
      </c>
      <c r="AM1688" s="218" t="str">
        <f>VLOOKUP(A1688,'Table corresp.'!$M$4:$U$63,8,FALSE)</f>
        <v>Production intermédiaire</v>
      </c>
      <c r="AN1688" s="218" t="str">
        <f>VLOOKUP(D1688,'Table corresp.'!$M$4:$U$63,9,FALSE)</f>
        <v>Production finale</v>
      </c>
    </row>
    <row r="1689" spans="1:40" x14ac:dyDescent="0.25">
      <c r="A1689" t="s">
        <v>14</v>
      </c>
      <c r="B1689" t="str">
        <f>VLOOKUP(LEFT(A1689,3),'Table corresp.'!$A$4:$D$63,3,FALSE)</f>
        <v>Transformation</v>
      </c>
      <c r="C1689" t="str">
        <f>VLOOKUP(A1689,'Table corresp.'!$M$4:$P$63,4,FALSE)</f>
        <v>Production et transformation de produits bois</v>
      </c>
      <c r="D1689" t="s">
        <v>92</v>
      </c>
      <c r="E1689" t="str">
        <f>VLOOKUP(LEFT(D1689,3),'Table corresp.'!$A$4:$D$63,4,FALSE)</f>
        <v>Transformation</v>
      </c>
      <c r="F1689" t="str">
        <f t="shared" si="190"/>
        <v xml:space="preserve">20b - 40 </v>
      </c>
      <c r="G1689" s="238">
        <v>3481.5067549679702</v>
      </c>
      <c r="H1689" s="238">
        <v>3310.45403193227</v>
      </c>
      <c r="I1689" s="238">
        <v>6791.9607869002502</v>
      </c>
      <c r="J1689" s="238">
        <v>12.790243347818141</v>
      </c>
      <c r="K1689" s="238">
        <v>17.822200638281824</v>
      </c>
      <c r="L1689" s="238">
        <v>30.612443986099965</v>
      </c>
      <c r="M1689" s="238"/>
      <c r="N1689" s="238"/>
      <c r="O1689" s="238"/>
      <c r="P1689" s="238"/>
      <c r="Q1689" s="238"/>
      <c r="R1689" s="238"/>
      <c r="S1689" s="238"/>
      <c r="T1689" s="218">
        <f>VLOOKUP(A1689,'Groupe de branches'!$Z$27:$AM$86,14,FALSE)</f>
        <v>0</v>
      </c>
      <c r="U1689" s="218">
        <f>VLOOKUP(D1689,'Groupe de branches'!$Z$27:$AM$86,14,FALSE)</f>
        <v>0</v>
      </c>
      <c r="V1689" s="218">
        <v>2020</v>
      </c>
      <c r="W1689" s="218" t="str">
        <f>VLOOKUP(D1689,'Table corresp.'!$M$4:$S$63,7,FALSE)</f>
        <v>Construction</v>
      </c>
      <c r="X1689" s="240">
        <f>IFERROR(G1689/SUMIFS('Comp2016-2017 (3)'!$I$5:$I$289,'Comp2016-2017 (3)'!$A$5:$A$289,A1689,'Comp2016-2017 (3)'!$R$5:$R$289,V1689),0)</f>
        <v>1.9713068673293328E-2</v>
      </c>
      <c r="Y1689" s="219" t="e">
        <f>IF(RIGHT(F1689,3)="Exp",VLOOKUP(F1689,#REF!,2,FALSE),VLOOKUP(F1689,#REF!,9,FALSE))</f>
        <v>#REF!</v>
      </c>
      <c r="Z1689" s="226" t="str">
        <f t="shared" si="191"/>
        <v/>
      </c>
      <c r="AA1689" s="226" t="e">
        <f t="shared" si="188"/>
        <v>#VALUE!</v>
      </c>
      <c r="AB1689" s="205">
        <f>IFERROR(SUMIFS('Comp2016-2017 (3)'!$G$5:$G$289,'Comp2016-2017 (3)'!$A$5:$A$289,A1689,'Comp2016-2017 (3)'!$R$5:$R$289,V1689)*AA1689/SUMIFS($AA$4:$AA$1858,$A$4:$A$1858,A1689,$V$4:$V$1858,V1689),0)</f>
        <v>0</v>
      </c>
      <c r="AC1689" s="205" t="str">
        <f>IF($W1689=AC$3,$AB1689,IF(NOT($W1689=0),"",SUMIFS('Val-Vol (2)'!AC$4:AC$1858,'Val-Vol (2)'!$A$4:$A$1858,$D1689,'Val-Vol (2)'!$V$4:$V$1858,$V1689)/SUMIFS('Comp2016-2017 (3)'!$G$5:$G$289,'Comp2016-2017 (3)'!$A$5:$A$289,$D1689,'Comp2016-2017 (3)'!$R$5:$R$289,$V1689)*$AB1689))</f>
        <v/>
      </c>
      <c r="AD1689" s="205">
        <f>IF($W1689=AD$3,$AB1689,IF(NOT($W1689=0),"",SUMIFS('Val-Vol (2)'!AD$4:AD$1858,'Val-Vol (2)'!$A$4:$A$1858,$D1689,'Val-Vol (2)'!$V$4:$V$1858,$V1689)/SUMIFS('Comp2016-2017 (3)'!$G$5:$G$289,'Comp2016-2017 (3)'!$A$5:$A$289,$D1689,'Comp2016-2017 (3)'!$R$5:$R$289,$V1689)*$AB1689))</f>
        <v>0</v>
      </c>
      <c r="AE1689" s="205" t="str">
        <f>IF($W1689=AE$3,$AB1689,IF(NOT($W1689=0),"",SUMIFS('Val-Vol (2)'!AE$4:AE$1858,'Val-Vol (2)'!$A$4:$A$1858,$D1689,'Val-Vol (2)'!$V$4:$V$1858,$V1689)/SUMIFS('Comp2016-2017 (3)'!$G$5:$G$289,'Comp2016-2017 (3)'!$A$5:$A$289,$D1689,'Comp2016-2017 (3)'!$R$5:$R$289,$V1689)*$AB1689))</f>
        <v/>
      </c>
      <c r="AF1689" s="205" t="str">
        <f>IF($W1689=AF$3,$AB1689,IF(NOT($W1689=0),"",SUMIFS('Val-Vol (2)'!AF$4:AF$1858,'Val-Vol (2)'!$A$4:$A$1858,$D1689,'Val-Vol (2)'!$V$4:$V$1858,$V1689)/SUMIFS('Comp2016-2017 (3)'!$G$5:$G$289,'Comp2016-2017 (3)'!$A$5:$A$289,$D1689,'Comp2016-2017 (3)'!$R$5:$R$289,$V1689)*$AB1689))</f>
        <v/>
      </c>
      <c r="AG1689" s="205" t="str">
        <f>IF($W1689=AG$3,$AB1689,IF(NOT($W1689=0),"",SUMIFS('Val-Vol (2)'!AG$4:AG$1858,'Val-Vol (2)'!$A$4:$A$1858,$D1689,'Val-Vol (2)'!$V$4:$V$1858,$V1689)/SUMIFS('Comp2016-2017 (3)'!$G$5:$G$289,'Comp2016-2017 (3)'!$A$5:$A$289,$D1689,'Comp2016-2017 (3)'!$R$5:$R$289,$V1689)*$AB1689))</f>
        <v/>
      </c>
      <c r="AH1689" s="205" t="str">
        <f>IF($W1689=AH$3,$AB1689,IF(NOT($W1689=0),"",SUMIFS('Val-Vol (2)'!AH$4:AH$1858,'Val-Vol (2)'!$A$4:$A$1858,$D1689,'Val-Vol (2)'!$V$4:$V$1858,$V1689)/SUMIFS('Comp2016-2017 (3)'!$G$5:$G$289,'Comp2016-2017 (3)'!$A$5:$A$289,$D1689,'Comp2016-2017 (3)'!$R$5:$R$289,$V1689)*$AB1689))</f>
        <v/>
      </c>
      <c r="AI1689" s="205" t="str">
        <f>IF($W1689=AI$3,$AB1689,IF(NOT($W1689=0),"",SUMIFS('Val-Vol (2)'!AI$4:AI$1858,'Val-Vol (2)'!$A$4:$A$1858,$D1689,'Val-Vol (2)'!$V$4:$V$1858,$V1689)/SUMIFS('Comp2016-2017 (3)'!$G$5:$G$289,'Comp2016-2017 (3)'!$A$5:$A$289,$D1689,'Comp2016-2017 (3)'!$R$5:$R$289,$V1689)*$AB1689))</f>
        <v/>
      </c>
      <c r="AJ1689" s="205" t="str">
        <f>IF($W1689=AJ$3,$AB1689,IF(NOT($W1689=0),"",SUMIFS('Val-Vol (2)'!AJ$4:AJ$1858,'Val-Vol (2)'!$A$4:$A$1858,$D1689,'Val-Vol (2)'!$V$4:$V$1858,$V1689)/SUMIFS('Comp2016-2017 (3)'!$G$5:$G$289,'Comp2016-2017 (3)'!$A$5:$A$289,$D1689,'Comp2016-2017 (3)'!$R$5:$R$289,$V1689)*$AB1689))</f>
        <v/>
      </c>
      <c r="AK1689" s="205">
        <f t="shared" ref="AK1689:AK1752" si="192">SUM(AC1689:AJ1689)-AB1689</f>
        <v>0</v>
      </c>
      <c r="AL1689" s="218" t="str">
        <f t="shared" si="189"/>
        <v/>
      </c>
      <c r="AM1689" s="218" t="str">
        <f>VLOOKUP(A1689,'Table corresp.'!$M$4:$U$63,8,FALSE)</f>
        <v>Production intermédiaire</v>
      </c>
      <c r="AN1689" s="218" t="str">
        <f>VLOOKUP(D1689,'Table corresp.'!$M$4:$U$63,9,FALSE)</f>
        <v>Production finale</v>
      </c>
    </row>
    <row r="1690" spans="1:40" x14ac:dyDescent="0.25">
      <c r="A1690" t="s">
        <v>14</v>
      </c>
      <c r="B1690" t="str">
        <f>VLOOKUP(LEFT(A1690,3),'Table corresp.'!$A$4:$D$63,3,FALSE)</f>
        <v>Transformation</v>
      </c>
      <c r="C1690" t="str">
        <f>VLOOKUP(A1690,'Table corresp.'!$M$4:$P$63,4,FALSE)</f>
        <v>Production et transformation de produits bois</v>
      </c>
      <c r="D1690" t="s">
        <v>99</v>
      </c>
      <c r="E1690" t="str">
        <f>VLOOKUP(LEFT(D1690,3),'Table corresp.'!$A$4:$D$63,4,FALSE)</f>
        <v>Transformation</v>
      </c>
      <c r="F1690" t="str">
        <f t="shared" si="190"/>
        <v xml:space="preserve">20b - 47 </v>
      </c>
      <c r="G1690" s="238">
        <v>0.74809581083274201</v>
      </c>
      <c r="H1690" s="238">
        <v>5631.0480466529398</v>
      </c>
      <c r="I1690" s="238">
        <v>5631.7961424637597</v>
      </c>
      <c r="J1690" s="238">
        <v>2.5193019755547236E-3</v>
      </c>
      <c r="K1690" s="238">
        <v>25.010187538220496</v>
      </c>
      <c r="L1690" s="238">
        <v>25.012706840196049</v>
      </c>
      <c r="M1690" s="238"/>
      <c r="N1690" s="238"/>
      <c r="O1690" s="238"/>
      <c r="P1690" s="238"/>
      <c r="Q1690" s="238"/>
      <c r="R1690" s="238"/>
      <c r="S1690" s="238"/>
      <c r="T1690" s="218">
        <f>VLOOKUP(A1690,'Groupe de branches'!$Z$27:$AM$86,14,FALSE)</f>
        <v>0</v>
      </c>
      <c r="U1690" s="218">
        <f>VLOOKUP(D1690,'Groupe de branches'!$Z$27:$AM$86,14,FALSE)</f>
        <v>0</v>
      </c>
      <c r="V1690" s="218">
        <v>2020</v>
      </c>
      <c r="W1690" s="218" t="str">
        <f>VLOOKUP(D1690,'Table corresp.'!$M$4:$S$63,7,FALSE)</f>
        <v>Meuble</v>
      </c>
      <c r="X1690" s="240">
        <f>IFERROR(G1690/SUMIFS('Comp2016-2017 (3)'!$I$5:$I$289,'Comp2016-2017 (3)'!$A$5:$A$289,A1690,'Comp2016-2017 (3)'!$R$5:$R$289,V1690),0)</f>
        <v>4.2358855320631344E-6</v>
      </c>
      <c r="Y1690" s="219" t="e">
        <f>IF(RIGHT(F1690,3)="Exp",VLOOKUP(F1690,#REF!,2,FALSE),VLOOKUP(F1690,#REF!,9,FALSE))</f>
        <v>#REF!</v>
      </c>
      <c r="Z1690" s="226" t="str">
        <f t="shared" si="191"/>
        <v/>
      </c>
      <c r="AA1690" s="226" t="e">
        <f t="shared" si="188"/>
        <v>#VALUE!</v>
      </c>
      <c r="AB1690" s="205">
        <f>IFERROR(SUMIFS('Comp2016-2017 (3)'!$G$5:$G$289,'Comp2016-2017 (3)'!$A$5:$A$289,A1690,'Comp2016-2017 (3)'!$R$5:$R$289,V1690)*AA1690/SUMIFS($AA$4:$AA$1858,$A$4:$A$1858,A1690,$V$4:$V$1858,V1690),0)</f>
        <v>0</v>
      </c>
      <c r="AC1690" s="205" t="str">
        <f>IF($W1690=AC$3,$AB1690,IF(NOT($W1690=0),"",SUMIFS('Val-Vol (2)'!AC$4:AC$1858,'Val-Vol (2)'!$A$4:$A$1858,$D1690,'Val-Vol (2)'!$V$4:$V$1858,$V1690)/SUMIFS('Comp2016-2017 (3)'!$G$5:$G$289,'Comp2016-2017 (3)'!$A$5:$A$289,$D1690,'Comp2016-2017 (3)'!$R$5:$R$289,$V1690)*$AB1690))</f>
        <v/>
      </c>
      <c r="AD1690" s="205" t="str">
        <f>IF($W1690=AD$3,$AB1690,IF(NOT($W1690=0),"",SUMIFS('Val-Vol (2)'!AD$4:AD$1858,'Val-Vol (2)'!$A$4:$A$1858,$D1690,'Val-Vol (2)'!$V$4:$V$1858,$V1690)/SUMIFS('Comp2016-2017 (3)'!$G$5:$G$289,'Comp2016-2017 (3)'!$A$5:$A$289,$D1690,'Comp2016-2017 (3)'!$R$5:$R$289,$V1690)*$AB1690))</f>
        <v/>
      </c>
      <c r="AE1690" s="205">
        <f>IF($W1690=AE$3,$AB1690,IF(NOT($W1690=0),"",SUMIFS('Val-Vol (2)'!AE$4:AE$1858,'Val-Vol (2)'!$A$4:$A$1858,$D1690,'Val-Vol (2)'!$V$4:$V$1858,$V1690)/SUMIFS('Comp2016-2017 (3)'!$G$5:$G$289,'Comp2016-2017 (3)'!$A$5:$A$289,$D1690,'Comp2016-2017 (3)'!$R$5:$R$289,$V1690)*$AB1690))</f>
        <v>0</v>
      </c>
      <c r="AF1690" s="205" t="str">
        <f>IF($W1690=AF$3,$AB1690,IF(NOT($W1690=0),"",SUMIFS('Val-Vol (2)'!AF$4:AF$1858,'Val-Vol (2)'!$A$4:$A$1858,$D1690,'Val-Vol (2)'!$V$4:$V$1858,$V1690)/SUMIFS('Comp2016-2017 (3)'!$G$5:$G$289,'Comp2016-2017 (3)'!$A$5:$A$289,$D1690,'Comp2016-2017 (3)'!$R$5:$R$289,$V1690)*$AB1690))</f>
        <v/>
      </c>
      <c r="AG1690" s="205" t="str">
        <f>IF($W1690=AG$3,$AB1690,IF(NOT($W1690=0),"",SUMIFS('Val-Vol (2)'!AG$4:AG$1858,'Val-Vol (2)'!$A$4:$A$1858,$D1690,'Val-Vol (2)'!$V$4:$V$1858,$V1690)/SUMIFS('Comp2016-2017 (3)'!$G$5:$G$289,'Comp2016-2017 (3)'!$A$5:$A$289,$D1690,'Comp2016-2017 (3)'!$R$5:$R$289,$V1690)*$AB1690))</f>
        <v/>
      </c>
      <c r="AH1690" s="205" t="str">
        <f>IF($W1690=AH$3,$AB1690,IF(NOT($W1690=0),"",SUMIFS('Val-Vol (2)'!AH$4:AH$1858,'Val-Vol (2)'!$A$4:$A$1858,$D1690,'Val-Vol (2)'!$V$4:$V$1858,$V1690)/SUMIFS('Comp2016-2017 (3)'!$G$5:$G$289,'Comp2016-2017 (3)'!$A$5:$A$289,$D1690,'Comp2016-2017 (3)'!$R$5:$R$289,$V1690)*$AB1690))</f>
        <v/>
      </c>
      <c r="AI1690" s="205" t="str">
        <f>IF($W1690=AI$3,$AB1690,IF(NOT($W1690=0),"",SUMIFS('Val-Vol (2)'!AI$4:AI$1858,'Val-Vol (2)'!$A$4:$A$1858,$D1690,'Val-Vol (2)'!$V$4:$V$1858,$V1690)/SUMIFS('Comp2016-2017 (3)'!$G$5:$G$289,'Comp2016-2017 (3)'!$A$5:$A$289,$D1690,'Comp2016-2017 (3)'!$R$5:$R$289,$V1690)*$AB1690))</f>
        <v/>
      </c>
      <c r="AJ1690" s="205" t="str">
        <f>IF($W1690=AJ$3,$AB1690,IF(NOT($W1690=0),"",SUMIFS('Val-Vol (2)'!AJ$4:AJ$1858,'Val-Vol (2)'!$A$4:$A$1858,$D1690,'Val-Vol (2)'!$V$4:$V$1858,$V1690)/SUMIFS('Comp2016-2017 (3)'!$G$5:$G$289,'Comp2016-2017 (3)'!$A$5:$A$289,$D1690,'Comp2016-2017 (3)'!$R$5:$R$289,$V1690)*$AB1690))</f>
        <v/>
      </c>
      <c r="AK1690" s="205">
        <f t="shared" si="192"/>
        <v>0</v>
      </c>
      <c r="AL1690" s="218" t="str">
        <f t="shared" si="189"/>
        <v/>
      </c>
      <c r="AM1690" s="218" t="str">
        <f>VLOOKUP(A1690,'Table corresp.'!$M$4:$U$63,8,FALSE)</f>
        <v>Production intermédiaire</v>
      </c>
      <c r="AN1690" s="218" t="str">
        <f>VLOOKUP(D1690,'Table corresp.'!$M$4:$U$63,9,FALSE)</f>
        <v>Production finale</v>
      </c>
    </row>
    <row r="1691" spans="1:40" x14ac:dyDescent="0.25">
      <c r="A1691" t="s">
        <v>14</v>
      </c>
      <c r="B1691" t="str">
        <f>VLOOKUP(LEFT(A1691,3),'Table corresp.'!$A$4:$D$63,3,FALSE)</f>
        <v>Transformation</v>
      </c>
      <c r="C1691" t="str">
        <f>VLOOKUP(A1691,'Table corresp.'!$M$4:$P$63,4,FALSE)</f>
        <v>Production et transformation de produits bois</v>
      </c>
      <c r="D1691" t="s">
        <v>19</v>
      </c>
      <c r="E1691" t="str">
        <f>VLOOKUP(LEFT(D1691,3),'Table corresp.'!$A$4:$D$63,4,FALSE)</f>
        <v>Transformation</v>
      </c>
      <c r="F1691" t="str">
        <f t="shared" si="190"/>
        <v xml:space="preserve">20b - 52 </v>
      </c>
      <c r="G1691" s="238">
        <v>4188.2993562413003</v>
      </c>
      <c r="H1691" s="238">
        <v>0</v>
      </c>
      <c r="I1691" s="238">
        <v>4188.2993562413103</v>
      </c>
      <c r="J1691" s="238">
        <v>13.019629126810694</v>
      </c>
      <c r="K1691" s="238">
        <v>0</v>
      </c>
      <c r="L1691" s="238">
        <v>13.019629126810694</v>
      </c>
      <c r="M1691" s="238"/>
      <c r="N1691" s="238"/>
      <c r="O1691" s="238"/>
      <c r="P1691" s="238"/>
      <c r="Q1691" s="238"/>
      <c r="R1691" s="238"/>
      <c r="S1691" s="238"/>
      <c r="T1691" s="218">
        <f>VLOOKUP(A1691,'Groupe de branches'!$Z$27:$AM$86,14,FALSE)</f>
        <v>0</v>
      </c>
      <c r="U1691" s="218">
        <f>VLOOKUP(D1691,'Groupe de branches'!$Z$27:$AM$86,14,FALSE)</f>
        <v>0</v>
      </c>
      <c r="V1691" s="218">
        <v>2020</v>
      </c>
      <c r="W1691" s="218" t="str">
        <f>VLOOKUP(D1691,'Table corresp.'!$M$4:$S$63,7,FALSE)</f>
        <v>Construction</v>
      </c>
      <c r="X1691" s="240">
        <f>IFERROR(G1691/SUMIFS('Comp2016-2017 (3)'!$I$5:$I$289,'Comp2016-2017 (3)'!$A$5:$A$289,A1691,'Comp2016-2017 (3)'!$R$5:$R$289,V1691),0)</f>
        <v>2.3715086209750748E-2</v>
      </c>
      <c r="Y1691" s="219" t="e">
        <f>IF(RIGHT(F1691,3)="Exp",VLOOKUP(F1691,#REF!,2,FALSE),VLOOKUP(F1691,#REF!,9,FALSE))</f>
        <v>#REF!</v>
      </c>
      <c r="Z1691" s="226" t="str">
        <f t="shared" si="191"/>
        <v/>
      </c>
      <c r="AA1691" s="226" t="e">
        <f t="shared" si="188"/>
        <v>#VALUE!</v>
      </c>
      <c r="AB1691" s="205">
        <f>IFERROR(SUMIFS('Comp2016-2017 (3)'!$G$5:$G$289,'Comp2016-2017 (3)'!$A$5:$A$289,A1691,'Comp2016-2017 (3)'!$R$5:$R$289,V1691)*AA1691/SUMIFS($AA$4:$AA$1858,$A$4:$A$1858,A1691,$V$4:$V$1858,V1691),0)</f>
        <v>0</v>
      </c>
      <c r="AC1691" s="205" t="str">
        <f>IF($W1691=AC$3,$AB1691,IF(NOT($W1691=0),"",SUMIFS('Val-Vol (2)'!AC$4:AC$1858,'Val-Vol (2)'!$A$4:$A$1858,$D1691,'Val-Vol (2)'!$V$4:$V$1858,$V1691)/SUMIFS('Comp2016-2017 (3)'!$G$5:$G$289,'Comp2016-2017 (3)'!$A$5:$A$289,$D1691,'Comp2016-2017 (3)'!$R$5:$R$289,$V1691)*$AB1691))</f>
        <v/>
      </c>
      <c r="AD1691" s="205">
        <f>IF($W1691=AD$3,$AB1691,IF(NOT($W1691=0),"",SUMIFS('Val-Vol (2)'!AD$4:AD$1858,'Val-Vol (2)'!$A$4:$A$1858,$D1691,'Val-Vol (2)'!$V$4:$V$1858,$V1691)/SUMIFS('Comp2016-2017 (3)'!$G$5:$G$289,'Comp2016-2017 (3)'!$A$5:$A$289,$D1691,'Comp2016-2017 (3)'!$R$5:$R$289,$V1691)*$AB1691))</f>
        <v>0</v>
      </c>
      <c r="AE1691" s="205" t="str">
        <f>IF($W1691=AE$3,$AB1691,IF(NOT($W1691=0),"",SUMIFS('Val-Vol (2)'!AE$4:AE$1858,'Val-Vol (2)'!$A$4:$A$1858,$D1691,'Val-Vol (2)'!$V$4:$V$1858,$V1691)/SUMIFS('Comp2016-2017 (3)'!$G$5:$G$289,'Comp2016-2017 (3)'!$A$5:$A$289,$D1691,'Comp2016-2017 (3)'!$R$5:$R$289,$V1691)*$AB1691))</f>
        <v/>
      </c>
      <c r="AF1691" s="205" t="str">
        <f>IF($W1691=AF$3,$AB1691,IF(NOT($W1691=0),"",SUMIFS('Val-Vol (2)'!AF$4:AF$1858,'Val-Vol (2)'!$A$4:$A$1858,$D1691,'Val-Vol (2)'!$V$4:$V$1858,$V1691)/SUMIFS('Comp2016-2017 (3)'!$G$5:$G$289,'Comp2016-2017 (3)'!$A$5:$A$289,$D1691,'Comp2016-2017 (3)'!$R$5:$R$289,$V1691)*$AB1691))</f>
        <v/>
      </c>
      <c r="AG1691" s="205" t="str">
        <f>IF($W1691=AG$3,$AB1691,IF(NOT($W1691=0),"",SUMIFS('Val-Vol (2)'!AG$4:AG$1858,'Val-Vol (2)'!$A$4:$A$1858,$D1691,'Val-Vol (2)'!$V$4:$V$1858,$V1691)/SUMIFS('Comp2016-2017 (3)'!$G$5:$G$289,'Comp2016-2017 (3)'!$A$5:$A$289,$D1691,'Comp2016-2017 (3)'!$R$5:$R$289,$V1691)*$AB1691))</f>
        <v/>
      </c>
      <c r="AH1691" s="205" t="str">
        <f>IF($W1691=AH$3,$AB1691,IF(NOT($W1691=0),"",SUMIFS('Val-Vol (2)'!AH$4:AH$1858,'Val-Vol (2)'!$A$4:$A$1858,$D1691,'Val-Vol (2)'!$V$4:$V$1858,$V1691)/SUMIFS('Comp2016-2017 (3)'!$G$5:$G$289,'Comp2016-2017 (3)'!$A$5:$A$289,$D1691,'Comp2016-2017 (3)'!$R$5:$R$289,$V1691)*$AB1691))</f>
        <v/>
      </c>
      <c r="AI1691" s="205" t="str">
        <f>IF($W1691=AI$3,$AB1691,IF(NOT($W1691=0),"",SUMIFS('Val-Vol (2)'!AI$4:AI$1858,'Val-Vol (2)'!$A$4:$A$1858,$D1691,'Val-Vol (2)'!$V$4:$V$1858,$V1691)/SUMIFS('Comp2016-2017 (3)'!$G$5:$G$289,'Comp2016-2017 (3)'!$A$5:$A$289,$D1691,'Comp2016-2017 (3)'!$R$5:$R$289,$V1691)*$AB1691))</f>
        <v/>
      </c>
      <c r="AJ1691" s="205" t="str">
        <f>IF($W1691=AJ$3,$AB1691,IF(NOT($W1691=0),"",SUMIFS('Val-Vol (2)'!AJ$4:AJ$1858,'Val-Vol (2)'!$A$4:$A$1858,$D1691,'Val-Vol (2)'!$V$4:$V$1858,$V1691)/SUMIFS('Comp2016-2017 (3)'!$G$5:$G$289,'Comp2016-2017 (3)'!$A$5:$A$289,$D1691,'Comp2016-2017 (3)'!$R$5:$R$289,$V1691)*$AB1691))</f>
        <v/>
      </c>
      <c r="AK1691" s="205">
        <f t="shared" si="192"/>
        <v>0</v>
      </c>
      <c r="AL1691" s="218" t="str">
        <f t="shared" si="189"/>
        <v/>
      </c>
      <c r="AM1691" s="218" t="str">
        <f>VLOOKUP(A1691,'Table corresp.'!$M$4:$U$63,8,FALSE)</f>
        <v>Production intermédiaire</v>
      </c>
      <c r="AN1691" s="218" t="str">
        <f>VLOOKUP(D1691,'Table corresp.'!$M$4:$U$63,9,FALSE)</f>
        <v xml:space="preserve">Mise en œuvre </v>
      </c>
    </row>
    <row r="1692" spans="1:40" x14ac:dyDescent="0.25">
      <c r="A1692" t="s">
        <v>14</v>
      </c>
      <c r="B1692" t="str">
        <f>VLOOKUP(LEFT(A1692,3),'Table corresp.'!$A$4:$D$63,3,FALSE)</f>
        <v>Transformation</v>
      </c>
      <c r="C1692" t="str">
        <f>VLOOKUP(A1692,'Table corresp.'!$M$4:$P$63,4,FALSE)</f>
        <v>Production et transformation de produits bois</v>
      </c>
      <c r="D1692" t="s">
        <v>20</v>
      </c>
      <c r="E1692" t="str">
        <f>VLOOKUP(LEFT(D1692,3),'Table corresp.'!$A$4:$D$63,4,FALSE)</f>
        <v>Transformation</v>
      </c>
      <c r="F1692" t="str">
        <f t="shared" si="190"/>
        <v xml:space="preserve">20b - 53 </v>
      </c>
      <c r="G1692" s="238">
        <v>422.756357691723</v>
      </c>
      <c r="H1692" s="238">
        <v>3384.6565348177601</v>
      </c>
      <c r="I1692" s="238">
        <v>3807.4128925094801</v>
      </c>
      <c r="J1692" s="238">
        <v>2.8473650345014412</v>
      </c>
      <c r="K1692" s="238">
        <v>33.406409916720243</v>
      </c>
      <c r="L1692" s="238">
        <v>36.253774951221686</v>
      </c>
      <c r="M1692" s="238"/>
      <c r="N1692" s="238"/>
      <c r="O1692" s="238"/>
      <c r="P1692" s="238"/>
      <c r="Q1692" s="238"/>
      <c r="R1692" s="238"/>
      <c r="S1692" s="238"/>
      <c r="T1692" s="218">
        <f>VLOOKUP(A1692,'Groupe de branches'!$Z$27:$AM$86,14,FALSE)</f>
        <v>0</v>
      </c>
      <c r="U1692" s="218">
        <f>VLOOKUP(D1692,'Groupe de branches'!$Z$27:$AM$86,14,FALSE)</f>
        <v>0</v>
      </c>
      <c r="V1692" s="218">
        <v>2020</v>
      </c>
      <c r="W1692" s="218" t="str">
        <f>VLOOKUP(D1692,'Table corresp.'!$M$4:$S$63,7,FALSE)</f>
        <v>Construction</v>
      </c>
      <c r="X1692" s="240">
        <f>IFERROR(G1692/SUMIFS('Comp2016-2017 (3)'!$I$5:$I$289,'Comp2016-2017 (3)'!$A$5:$A$289,A1692,'Comp2016-2017 (3)'!$R$5:$R$289,V1692),0)</f>
        <v>2.3937408994988332E-3</v>
      </c>
      <c r="Y1692" s="219" t="e">
        <f>IF(RIGHT(F1692,3)="Exp",VLOOKUP(F1692,#REF!,2,FALSE),VLOOKUP(F1692,#REF!,9,FALSE))</f>
        <v>#REF!</v>
      </c>
      <c r="Z1692" s="226" t="str">
        <f t="shared" si="191"/>
        <v/>
      </c>
      <c r="AA1692" s="226" t="e">
        <f t="shared" si="188"/>
        <v>#VALUE!</v>
      </c>
      <c r="AB1692" s="205">
        <f>IFERROR(SUMIFS('Comp2016-2017 (3)'!$G$5:$G$289,'Comp2016-2017 (3)'!$A$5:$A$289,A1692,'Comp2016-2017 (3)'!$R$5:$R$289,V1692)*AA1692/SUMIFS($AA$4:$AA$1858,$A$4:$A$1858,A1692,$V$4:$V$1858,V1692),0)</f>
        <v>0</v>
      </c>
      <c r="AC1692" s="205" t="str">
        <f>IF($W1692=AC$3,$AB1692,IF(NOT($W1692=0),"",SUMIFS('Val-Vol (2)'!AC$4:AC$1858,'Val-Vol (2)'!$A$4:$A$1858,$D1692,'Val-Vol (2)'!$V$4:$V$1858,$V1692)/SUMIFS('Comp2016-2017 (3)'!$G$5:$G$289,'Comp2016-2017 (3)'!$A$5:$A$289,$D1692,'Comp2016-2017 (3)'!$R$5:$R$289,$V1692)*$AB1692))</f>
        <v/>
      </c>
      <c r="AD1692" s="205">
        <f>IF($W1692=AD$3,$AB1692,IF(NOT($W1692=0),"",SUMIFS('Val-Vol (2)'!AD$4:AD$1858,'Val-Vol (2)'!$A$4:$A$1858,$D1692,'Val-Vol (2)'!$V$4:$V$1858,$V1692)/SUMIFS('Comp2016-2017 (3)'!$G$5:$G$289,'Comp2016-2017 (3)'!$A$5:$A$289,$D1692,'Comp2016-2017 (3)'!$R$5:$R$289,$V1692)*$AB1692))</f>
        <v>0</v>
      </c>
      <c r="AE1692" s="205" t="str">
        <f>IF($W1692=AE$3,$AB1692,IF(NOT($W1692=0),"",SUMIFS('Val-Vol (2)'!AE$4:AE$1858,'Val-Vol (2)'!$A$4:$A$1858,$D1692,'Val-Vol (2)'!$V$4:$V$1858,$V1692)/SUMIFS('Comp2016-2017 (3)'!$G$5:$G$289,'Comp2016-2017 (3)'!$A$5:$A$289,$D1692,'Comp2016-2017 (3)'!$R$5:$R$289,$V1692)*$AB1692))</f>
        <v/>
      </c>
      <c r="AF1692" s="205" t="str">
        <f>IF($W1692=AF$3,$AB1692,IF(NOT($W1692=0),"",SUMIFS('Val-Vol (2)'!AF$4:AF$1858,'Val-Vol (2)'!$A$4:$A$1858,$D1692,'Val-Vol (2)'!$V$4:$V$1858,$V1692)/SUMIFS('Comp2016-2017 (3)'!$G$5:$G$289,'Comp2016-2017 (3)'!$A$5:$A$289,$D1692,'Comp2016-2017 (3)'!$R$5:$R$289,$V1692)*$AB1692))</f>
        <v/>
      </c>
      <c r="AG1692" s="205" t="str">
        <f>IF($W1692=AG$3,$AB1692,IF(NOT($W1692=0),"",SUMIFS('Val-Vol (2)'!AG$4:AG$1858,'Val-Vol (2)'!$A$4:$A$1858,$D1692,'Val-Vol (2)'!$V$4:$V$1858,$V1692)/SUMIFS('Comp2016-2017 (3)'!$G$5:$G$289,'Comp2016-2017 (3)'!$A$5:$A$289,$D1692,'Comp2016-2017 (3)'!$R$5:$R$289,$V1692)*$AB1692))</f>
        <v/>
      </c>
      <c r="AH1692" s="205" t="str">
        <f>IF($W1692=AH$3,$AB1692,IF(NOT($W1692=0),"",SUMIFS('Val-Vol (2)'!AH$4:AH$1858,'Val-Vol (2)'!$A$4:$A$1858,$D1692,'Val-Vol (2)'!$V$4:$V$1858,$V1692)/SUMIFS('Comp2016-2017 (3)'!$G$5:$G$289,'Comp2016-2017 (3)'!$A$5:$A$289,$D1692,'Comp2016-2017 (3)'!$R$5:$R$289,$V1692)*$AB1692))</f>
        <v/>
      </c>
      <c r="AI1692" s="205" t="str">
        <f>IF($W1692=AI$3,$AB1692,IF(NOT($W1692=0),"",SUMIFS('Val-Vol (2)'!AI$4:AI$1858,'Val-Vol (2)'!$A$4:$A$1858,$D1692,'Val-Vol (2)'!$V$4:$V$1858,$V1692)/SUMIFS('Comp2016-2017 (3)'!$G$5:$G$289,'Comp2016-2017 (3)'!$A$5:$A$289,$D1692,'Comp2016-2017 (3)'!$R$5:$R$289,$V1692)*$AB1692))</f>
        <v/>
      </c>
      <c r="AJ1692" s="205" t="str">
        <f>IF($W1692=AJ$3,$AB1692,IF(NOT($W1692=0),"",SUMIFS('Val-Vol (2)'!AJ$4:AJ$1858,'Val-Vol (2)'!$A$4:$A$1858,$D1692,'Val-Vol (2)'!$V$4:$V$1858,$V1692)/SUMIFS('Comp2016-2017 (3)'!$G$5:$G$289,'Comp2016-2017 (3)'!$A$5:$A$289,$D1692,'Comp2016-2017 (3)'!$R$5:$R$289,$V1692)*$AB1692))</f>
        <v/>
      </c>
      <c r="AK1692" s="205">
        <f t="shared" si="192"/>
        <v>0</v>
      </c>
      <c r="AL1692" s="218" t="str">
        <f t="shared" si="189"/>
        <v/>
      </c>
      <c r="AM1692" s="218" t="str">
        <f>VLOOKUP(A1692,'Table corresp.'!$M$4:$U$63,8,FALSE)</f>
        <v>Production intermédiaire</v>
      </c>
      <c r="AN1692" s="218" t="str">
        <f>VLOOKUP(D1692,'Table corresp.'!$M$4:$U$63,9,FALSE)</f>
        <v xml:space="preserve">Mise en œuvre </v>
      </c>
    </row>
    <row r="1693" spans="1:40" x14ac:dyDescent="0.25">
      <c r="A1693" t="s">
        <v>14</v>
      </c>
      <c r="B1693" t="str">
        <f>VLOOKUP(LEFT(A1693,3),'Table corresp.'!$A$4:$D$63,3,FALSE)</f>
        <v>Transformation</v>
      </c>
      <c r="C1693" t="str">
        <f>VLOOKUP(A1693,'Table corresp.'!$M$4:$P$63,4,FALSE)</f>
        <v>Production et transformation de produits bois</v>
      </c>
      <c r="D1693" t="s">
        <v>21</v>
      </c>
      <c r="E1693" t="str">
        <f>VLOOKUP(LEFT(D1693,3),'Table corresp.'!$A$4:$D$63,4,FALSE)</f>
        <v>Transformation</v>
      </c>
      <c r="F1693" t="str">
        <f t="shared" si="190"/>
        <v xml:space="preserve">20b - 54 </v>
      </c>
      <c r="G1693" s="238">
        <v>23309.902106265301</v>
      </c>
      <c r="H1693" s="238">
        <v>7221.9119926503699</v>
      </c>
      <c r="I1693" s="238">
        <v>30531.814098915798</v>
      </c>
      <c r="J1693" s="238">
        <v>67.284753304066854</v>
      </c>
      <c r="K1693" s="238">
        <v>27.493695437601986</v>
      </c>
      <c r="L1693" s="238">
        <v>94.778448741668839</v>
      </c>
      <c r="M1693" s="238"/>
      <c r="N1693" s="238"/>
      <c r="O1693" s="238"/>
      <c r="P1693" s="238"/>
      <c r="Q1693" s="238"/>
      <c r="R1693" s="238"/>
      <c r="S1693" s="238"/>
      <c r="T1693" s="218">
        <f>VLOOKUP(A1693,'Groupe de branches'!$Z$27:$AM$86,14,FALSE)</f>
        <v>0</v>
      </c>
      <c r="U1693" s="218">
        <f>VLOOKUP(D1693,'Groupe de branches'!$Z$27:$AM$86,14,FALSE)</f>
        <v>0</v>
      </c>
      <c r="V1693" s="218">
        <v>2020</v>
      </c>
      <c r="W1693" s="218" t="str">
        <f>VLOOKUP(D1693,'Table corresp.'!$M$4:$S$63,7,FALSE)</f>
        <v>Construction</v>
      </c>
      <c r="X1693" s="240">
        <f>IFERROR(G1693/SUMIFS('Comp2016-2017 (3)'!$I$5:$I$289,'Comp2016-2017 (3)'!$A$5:$A$289,A1693,'Comp2016-2017 (3)'!$R$5:$R$289,V1693),0)</f>
        <v>0.13198587086836777</v>
      </c>
      <c r="Y1693" s="219" t="e">
        <f>IF(RIGHT(F1693,3)="Exp",VLOOKUP(F1693,#REF!,2,FALSE),VLOOKUP(F1693,#REF!,9,FALSE))</f>
        <v>#REF!</v>
      </c>
      <c r="Z1693" s="226" t="str">
        <f t="shared" si="191"/>
        <v/>
      </c>
      <c r="AA1693" s="226" t="e">
        <f t="shared" ref="AA1693:AA1756" si="193">X1693*Z1693</f>
        <v>#VALUE!</v>
      </c>
      <c r="AB1693" s="205">
        <f>IFERROR(SUMIFS('Comp2016-2017 (3)'!$G$5:$G$289,'Comp2016-2017 (3)'!$A$5:$A$289,A1693,'Comp2016-2017 (3)'!$R$5:$R$289,V1693)*AA1693/SUMIFS($AA$4:$AA$1858,$A$4:$A$1858,A1693,$V$4:$V$1858,V1693),0)</f>
        <v>0</v>
      </c>
      <c r="AC1693" s="205" t="str">
        <f>IF($W1693=AC$3,$AB1693,IF(NOT($W1693=0),"",SUMIFS('Val-Vol (2)'!AC$4:AC$1858,'Val-Vol (2)'!$A$4:$A$1858,$D1693,'Val-Vol (2)'!$V$4:$V$1858,$V1693)/SUMIFS('Comp2016-2017 (3)'!$G$5:$G$289,'Comp2016-2017 (3)'!$A$5:$A$289,$D1693,'Comp2016-2017 (3)'!$R$5:$R$289,$V1693)*$AB1693))</f>
        <v/>
      </c>
      <c r="AD1693" s="205">
        <f>IF($W1693=AD$3,$AB1693,IF(NOT($W1693=0),"",SUMIFS('Val-Vol (2)'!AD$4:AD$1858,'Val-Vol (2)'!$A$4:$A$1858,$D1693,'Val-Vol (2)'!$V$4:$V$1858,$V1693)/SUMIFS('Comp2016-2017 (3)'!$G$5:$G$289,'Comp2016-2017 (3)'!$A$5:$A$289,$D1693,'Comp2016-2017 (3)'!$R$5:$R$289,$V1693)*$AB1693))</f>
        <v>0</v>
      </c>
      <c r="AE1693" s="205" t="str">
        <f>IF($W1693=AE$3,$AB1693,IF(NOT($W1693=0),"",SUMIFS('Val-Vol (2)'!AE$4:AE$1858,'Val-Vol (2)'!$A$4:$A$1858,$D1693,'Val-Vol (2)'!$V$4:$V$1858,$V1693)/SUMIFS('Comp2016-2017 (3)'!$G$5:$G$289,'Comp2016-2017 (3)'!$A$5:$A$289,$D1693,'Comp2016-2017 (3)'!$R$5:$R$289,$V1693)*$AB1693))</f>
        <v/>
      </c>
      <c r="AF1693" s="205" t="str">
        <f>IF($W1693=AF$3,$AB1693,IF(NOT($W1693=0),"",SUMIFS('Val-Vol (2)'!AF$4:AF$1858,'Val-Vol (2)'!$A$4:$A$1858,$D1693,'Val-Vol (2)'!$V$4:$V$1858,$V1693)/SUMIFS('Comp2016-2017 (3)'!$G$5:$G$289,'Comp2016-2017 (3)'!$A$5:$A$289,$D1693,'Comp2016-2017 (3)'!$R$5:$R$289,$V1693)*$AB1693))</f>
        <v/>
      </c>
      <c r="AG1693" s="205" t="str">
        <f>IF($W1693=AG$3,$AB1693,IF(NOT($W1693=0),"",SUMIFS('Val-Vol (2)'!AG$4:AG$1858,'Val-Vol (2)'!$A$4:$A$1858,$D1693,'Val-Vol (2)'!$V$4:$V$1858,$V1693)/SUMIFS('Comp2016-2017 (3)'!$G$5:$G$289,'Comp2016-2017 (3)'!$A$5:$A$289,$D1693,'Comp2016-2017 (3)'!$R$5:$R$289,$V1693)*$AB1693))</f>
        <v/>
      </c>
      <c r="AH1693" s="205" t="str">
        <f>IF($W1693=AH$3,$AB1693,IF(NOT($W1693=0),"",SUMIFS('Val-Vol (2)'!AH$4:AH$1858,'Val-Vol (2)'!$A$4:$A$1858,$D1693,'Val-Vol (2)'!$V$4:$V$1858,$V1693)/SUMIFS('Comp2016-2017 (3)'!$G$5:$G$289,'Comp2016-2017 (3)'!$A$5:$A$289,$D1693,'Comp2016-2017 (3)'!$R$5:$R$289,$V1693)*$AB1693))</f>
        <v/>
      </c>
      <c r="AI1693" s="205" t="str">
        <f>IF($W1693=AI$3,$AB1693,IF(NOT($W1693=0),"",SUMIFS('Val-Vol (2)'!AI$4:AI$1858,'Val-Vol (2)'!$A$4:$A$1858,$D1693,'Val-Vol (2)'!$V$4:$V$1858,$V1693)/SUMIFS('Comp2016-2017 (3)'!$G$5:$G$289,'Comp2016-2017 (3)'!$A$5:$A$289,$D1693,'Comp2016-2017 (3)'!$R$5:$R$289,$V1693)*$AB1693))</f>
        <v/>
      </c>
      <c r="AJ1693" s="205" t="str">
        <f>IF($W1693=AJ$3,$AB1693,IF(NOT($W1693=0),"",SUMIFS('Val-Vol (2)'!AJ$4:AJ$1858,'Val-Vol (2)'!$A$4:$A$1858,$D1693,'Val-Vol (2)'!$V$4:$V$1858,$V1693)/SUMIFS('Comp2016-2017 (3)'!$G$5:$G$289,'Comp2016-2017 (3)'!$A$5:$A$289,$D1693,'Comp2016-2017 (3)'!$R$5:$R$289,$V1693)*$AB1693))</f>
        <v/>
      </c>
      <c r="AK1693" s="205">
        <f t="shared" si="192"/>
        <v>0</v>
      </c>
      <c r="AL1693" s="218" t="str">
        <f t="shared" si="189"/>
        <v/>
      </c>
      <c r="AM1693" s="218" t="str">
        <f>VLOOKUP(A1693,'Table corresp.'!$M$4:$U$63,8,FALSE)</f>
        <v>Production intermédiaire</v>
      </c>
      <c r="AN1693" s="218" t="str">
        <f>VLOOKUP(D1693,'Table corresp.'!$M$4:$U$63,9,FALSE)</f>
        <v xml:space="preserve">Mise en œuvre </v>
      </c>
    </row>
    <row r="1694" spans="1:40" x14ac:dyDescent="0.25">
      <c r="A1694" t="s">
        <v>14</v>
      </c>
      <c r="B1694" t="str">
        <f>VLOOKUP(LEFT(A1694,3),'Table corresp.'!$A$4:$D$63,3,FALSE)</f>
        <v>Transformation</v>
      </c>
      <c r="C1694" t="str">
        <f>VLOOKUP(A1694,'Table corresp.'!$M$4:$P$63,4,FALSE)</f>
        <v>Production et transformation de produits bois</v>
      </c>
      <c r="D1694" t="s">
        <v>22</v>
      </c>
      <c r="E1694" t="str">
        <f>VLOOKUP(LEFT(D1694,3),'Table corresp.'!$A$4:$D$63,4,FALSE)</f>
        <v>Transformation</v>
      </c>
      <c r="F1694" t="str">
        <f t="shared" si="190"/>
        <v xml:space="preserve">20b - 55 </v>
      </c>
      <c r="G1694" s="238">
        <v>0.77720416143876503</v>
      </c>
      <c r="H1694" s="238">
        <v>5850.1516941374603</v>
      </c>
      <c r="I1694" s="238">
        <v>5850.9288982988901</v>
      </c>
      <c r="J1694" s="238">
        <v>3.489770429525552E-3</v>
      </c>
      <c r="K1694" s="238">
        <v>34.644442688754062</v>
      </c>
      <c r="L1694" s="238">
        <v>34.647932459183586</v>
      </c>
      <c r="M1694" s="238"/>
      <c r="N1694" s="238"/>
      <c r="O1694" s="238"/>
      <c r="P1694" s="238"/>
      <c r="Q1694" s="238"/>
      <c r="R1694" s="238"/>
      <c r="S1694" s="238"/>
      <c r="T1694" s="218">
        <f>VLOOKUP(A1694,'Groupe de branches'!$Z$27:$AM$86,14,FALSE)</f>
        <v>0</v>
      </c>
      <c r="U1694" s="218">
        <f>VLOOKUP(D1694,'Groupe de branches'!$Z$27:$AM$86,14,FALSE)</f>
        <v>0</v>
      </c>
      <c r="V1694" s="218">
        <v>2020</v>
      </c>
      <c r="W1694" s="218" t="str">
        <f>VLOOKUP(D1694,'Table corresp.'!$M$4:$S$63,7,FALSE)</f>
        <v>Construction</v>
      </c>
      <c r="X1694" s="240">
        <f>IFERROR(G1694/SUMIFS('Comp2016-2017 (3)'!$I$5:$I$289,'Comp2016-2017 (3)'!$A$5:$A$289,A1694,'Comp2016-2017 (3)'!$R$5:$R$289,V1694),0)</f>
        <v>4.400703513141017E-6</v>
      </c>
      <c r="Y1694" s="219" t="e">
        <f>IF(RIGHT(F1694,3)="Exp",VLOOKUP(F1694,#REF!,2,FALSE),VLOOKUP(F1694,#REF!,9,FALSE))</f>
        <v>#REF!</v>
      </c>
      <c r="Z1694" s="226" t="str">
        <f t="shared" si="191"/>
        <v/>
      </c>
      <c r="AA1694" s="226" t="e">
        <f t="shared" si="193"/>
        <v>#VALUE!</v>
      </c>
      <c r="AB1694" s="205">
        <f>IFERROR(SUMIFS('Comp2016-2017 (3)'!$G$5:$G$289,'Comp2016-2017 (3)'!$A$5:$A$289,A1694,'Comp2016-2017 (3)'!$R$5:$R$289,V1694)*AA1694/SUMIFS($AA$4:$AA$1858,$A$4:$A$1858,A1694,$V$4:$V$1858,V1694),0)</f>
        <v>0</v>
      </c>
      <c r="AC1694" s="205" t="str">
        <f>IF($W1694=AC$3,$AB1694,IF(NOT($W1694=0),"",SUMIFS('Val-Vol (2)'!AC$4:AC$1858,'Val-Vol (2)'!$A$4:$A$1858,$D1694,'Val-Vol (2)'!$V$4:$V$1858,$V1694)/SUMIFS('Comp2016-2017 (3)'!$G$5:$G$289,'Comp2016-2017 (3)'!$A$5:$A$289,$D1694,'Comp2016-2017 (3)'!$R$5:$R$289,$V1694)*$AB1694))</f>
        <v/>
      </c>
      <c r="AD1694" s="205">
        <f>IF($W1694=AD$3,$AB1694,IF(NOT($W1694=0),"",SUMIFS('Val-Vol (2)'!AD$4:AD$1858,'Val-Vol (2)'!$A$4:$A$1858,$D1694,'Val-Vol (2)'!$V$4:$V$1858,$V1694)/SUMIFS('Comp2016-2017 (3)'!$G$5:$G$289,'Comp2016-2017 (3)'!$A$5:$A$289,$D1694,'Comp2016-2017 (3)'!$R$5:$R$289,$V1694)*$AB1694))</f>
        <v>0</v>
      </c>
      <c r="AE1694" s="205" t="str">
        <f>IF($W1694=AE$3,$AB1694,IF(NOT($W1694=0),"",SUMIFS('Val-Vol (2)'!AE$4:AE$1858,'Val-Vol (2)'!$A$4:$A$1858,$D1694,'Val-Vol (2)'!$V$4:$V$1858,$V1694)/SUMIFS('Comp2016-2017 (3)'!$G$5:$G$289,'Comp2016-2017 (3)'!$A$5:$A$289,$D1694,'Comp2016-2017 (3)'!$R$5:$R$289,$V1694)*$AB1694))</f>
        <v/>
      </c>
      <c r="AF1694" s="205" t="str">
        <f>IF($W1694=AF$3,$AB1694,IF(NOT($W1694=0),"",SUMIFS('Val-Vol (2)'!AF$4:AF$1858,'Val-Vol (2)'!$A$4:$A$1858,$D1694,'Val-Vol (2)'!$V$4:$V$1858,$V1694)/SUMIFS('Comp2016-2017 (3)'!$G$5:$G$289,'Comp2016-2017 (3)'!$A$5:$A$289,$D1694,'Comp2016-2017 (3)'!$R$5:$R$289,$V1694)*$AB1694))</f>
        <v/>
      </c>
      <c r="AG1694" s="205" t="str">
        <f>IF($W1694=AG$3,$AB1694,IF(NOT($W1694=0),"",SUMIFS('Val-Vol (2)'!AG$4:AG$1858,'Val-Vol (2)'!$A$4:$A$1858,$D1694,'Val-Vol (2)'!$V$4:$V$1858,$V1694)/SUMIFS('Comp2016-2017 (3)'!$G$5:$G$289,'Comp2016-2017 (3)'!$A$5:$A$289,$D1694,'Comp2016-2017 (3)'!$R$5:$R$289,$V1694)*$AB1694))</f>
        <v/>
      </c>
      <c r="AH1694" s="205" t="str">
        <f>IF($W1694=AH$3,$AB1694,IF(NOT($W1694=0),"",SUMIFS('Val-Vol (2)'!AH$4:AH$1858,'Val-Vol (2)'!$A$4:$A$1858,$D1694,'Val-Vol (2)'!$V$4:$V$1858,$V1694)/SUMIFS('Comp2016-2017 (3)'!$G$5:$G$289,'Comp2016-2017 (3)'!$A$5:$A$289,$D1694,'Comp2016-2017 (3)'!$R$5:$R$289,$V1694)*$AB1694))</f>
        <v/>
      </c>
      <c r="AI1694" s="205" t="str">
        <f>IF($W1694=AI$3,$AB1694,IF(NOT($W1694=0),"",SUMIFS('Val-Vol (2)'!AI$4:AI$1858,'Val-Vol (2)'!$A$4:$A$1858,$D1694,'Val-Vol (2)'!$V$4:$V$1858,$V1694)/SUMIFS('Comp2016-2017 (3)'!$G$5:$G$289,'Comp2016-2017 (3)'!$A$5:$A$289,$D1694,'Comp2016-2017 (3)'!$R$5:$R$289,$V1694)*$AB1694))</f>
        <v/>
      </c>
      <c r="AJ1694" s="205" t="str">
        <f>IF($W1694=AJ$3,$AB1694,IF(NOT($W1694=0),"",SUMIFS('Val-Vol (2)'!AJ$4:AJ$1858,'Val-Vol (2)'!$A$4:$A$1858,$D1694,'Val-Vol (2)'!$V$4:$V$1858,$V1694)/SUMIFS('Comp2016-2017 (3)'!$G$5:$G$289,'Comp2016-2017 (3)'!$A$5:$A$289,$D1694,'Comp2016-2017 (3)'!$R$5:$R$289,$V1694)*$AB1694))</f>
        <v/>
      </c>
      <c r="AK1694" s="205">
        <f t="shared" si="192"/>
        <v>0</v>
      </c>
      <c r="AL1694" s="218" t="str">
        <f t="shared" ref="AL1694:AL1757" si="194">IF(A1694=D1694,"remplir à la main","")</f>
        <v/>
      </c>
      <c r="AM1694" s="218" t="str">
        <f>VLOOKUP(A1694,'Table corresp.'!$M$4:$U$63,8,FALSE)</f>
        <v>Production intermédiaire</v>
      </c>
      <c r="AN1694" s="218" t="str">
        <f>VLOOKUP(D1694,'Table corresp.'!$M$4:$U$63,9,FALSE)</f>
        <v xml:space="preserve">Mise en œuvre </v>
      </c>
    </row>
    <row r="1695" spans="1:40" x14ac:dyDescent="0.25">
      <c r="A1695" t="s">
        <v>14</v>
      </c>
      <c r="B1695" t="str">
        <f>VLOOKUP(LEFT(A1695,3),'Table corresp.'!$A$4:$D$63,3,FALSE)</f>
        <v>Transformation</v>
      </c>
      <c r="C1695" t="str">
        <f>VLOOKUP(A1695,'Table corresp.'!$M$4:$P$63,4,FALSE)</f>
        <v>Production et transformation de produits bois</v>
      </c>
      <c r="D1695" t="s">
        <v>24</v>
      </c>
      <c r="E1695" t="str">
        <f>VLOOKUP(LEFT(D1695,3),'Table corresp.'!$A$4:$D$63,4,FALSE)</f>
        <v>Transformation</v>
      </c>
      <c r="F1695" t="str">
        <f t="shared" si="190"/>
        <v xml:space="preserve">20b - 57 </v>
      </c>
      <c r="G1695" s="238">
        <v>5071.8571815270398</v>
      </c>
      <c r="H1695" s="238">
        <v>191070.59610475501</v>
      </c>
      <c r="I1695" s="238">
        <v>196142.45328628199</v>
      </c>
      <c r="J1695" s="238">
        <v>17.080084705900408</v>
      </c>
      <c r="K1695" s="238">
        <v>942.9291555651472</v>
      </c>
      <c r="L1695" s="238">
        <v>960.00924027104759</v>
      </c>
      <c r="M1695" s="238"/>
      <c r="N1695" s="238"/>
      <c r="O1695" s="238"/>
      <c r="P1695" s="238"/>
      <c r="Q1695" s="238"/>
      <c r="R1695" s="238"/>
      <c r="S1695" s="238"/>
      <c r="T1695" s="218">
        <f>VLOOKUP(A1695,'Groupe de branches'!$Z$27:$AM$86,14,FALSE)</f>
        <v>0</v>
      </c>
      <c r="U1695" s="218">
        <f>VLOOKUP(D1695,'Groupe de branches'!$Z$27:$AM$86,14,FALSE)</f>
        <v>0</v>
      </c>
      <c r="V1695" s="218">
        <v>2020</v>
      </c>
      <c r="W1695" s="218" t="str">
        <f>VLOOKUP(D1695,'Table corresp.'!$M$4:$S$63,7,FALSE)</f>
        <v>Construction</v>
      </c>
      <c r="X1695" s="240">
        <f>IFERROR(G1695/SUMIFS('Comp2016-2017 (3)'!$I$5:$I$289,'Comp2016-2017 (3)'!$A$5:$A$289,A1695,'Comp2016-2017 (3)'!$R$5:$R$289,V1695),0)</f>
        <v>2.8717987916556061E-2</v>
      </c>
      <c r="Y1695" s="219" t="e">
        <f>IF(RIGHT(F1695,3)="Exp",VLOOKUP(F1695,#REF!,2,FALSE),VLOOKUP(F1695,#REF!,9,FALSE))</f>
        <v>#REF!</v>
      </c>
      <c r="Z1695" s="226" t="str">
        <f t="shared" si="191"/>
        <v/>
      </c>
      <c r="AA1695" s="226" t="e">
        <f t="shared" si="193"/>
        <v>#VALUE!</v>
      </c>
      <c r="AB1695" s="205">
        <f>IFERROR(SUMIFS('Comp2016-2017 (3)'!$G$5:$G$289,'Comp2016-2017 (3)'!$A$5:$A$289,A1695,'Comp2016-2017 (3)'!$R$5:$R$289,V1695)*AA1695/SUMIFS($AA$4:$AA$1858,$A$4:$A$1858,A1695,$V$4:$V$1858,V1695),0)</f>
        <v>0</v>
      </c>
      <c r="AC1695" s="205" t="str">
        <f>IF($W1695=AC$3,$AB1695,IF(NOT($W1695=0),"",SUMIFS('Val-Vol (2)'!AC$4:AC$1858,'Val-Vol (2)'!$A$4:$A$1858,$D1695,'Val-Vol (2)'!$V$4:$V$1858,$V1695)/SUMIFS('Comp2016-2017 (3)'!$G$5:$G$289,'Comp2016-2017 (3)'!$A$5:$A$289,$D1695,'Comp2016-2017 (3)'!$R$5:$R$289,$V1695)*$AB1695))</f>
        <v/>
      </c>
      <c r="AD1695" s="205">
        <f>IF($W1695=AD$3,$AB1695,IF(NOT($W1695=0),"",SUMIFS('Val-Vol (2)'!AD$4:AD$1858,'Val-Vol (2)'!$A$4:$A$1858,$D1695,'Val-Vol (2)'!$V$4:$V$1858,$V1695)/SUMIFS('Comp2016-2017 (3)'!$G$5:$G$289,'Comp2016-2017 (3)'!$A$5:$A$289,$D1695,'Comp2016-2017 (3)'!$R$5:$R$289,$V1695)*$AB1695))</f>
        <v>0</v>
      </c>
      <c r="AE1695" s="205" t="str">
        <f>IF($W1695=AE$3,$AB1695,IF(NOT($W1695=0),"",SUMIFS('Val-Vol (2)'!AE$4:AE$1858,'Val-Vol (2)'!$A$4:$A$1858,$D1695,'Val-Vol (2)'!$V$4:$V$1858,$V1695)/SUMIFS('Comp2016-2017 (3)'!$G$5:$G$289,'Comp2016-2017 (3)'!$A$5:$A$289,$D1695,'Comp2016-2017 (3)'!$R$5:$R$289,$V1695)*$AB1695))</f>
        <v/>
      </c>
      <c r="AF1695" s="205" t="str">
        <f>IF($W1695=AF$3,$AB1695,IF(NOT($W1695=0),"",SUMIFS('Val-Vol (2)'!AF$4:AF$1858,'Val-Vol (2)'!$A$4:$A$1858,$D1695,'Val-Vol (2)'!$V$4:$V$1858,$V1695)/SUMIFS('Comp2016-2017 (3)'!$G$5:$G$289,'Comp2016-2017 (3)'!$A$5:$A$289,$D1695,'Comp2016-2017 (3)'!$R$5:$R$289,$V1695)*$AB1695))</f>
        <v/>
      </c>
      <c r="AG1695" s="205" t="str">
        <f>IF($W1695=AG$3,$AB1695,IF(NOT($W1695=0),"",SUMIFS('Val-Vol (2)'!AG$4:AG$1858,'Val-Vol (2)'!$A$4:$A$1858,$D1695,'Val-Vol (2)'!$V$4:$V$1858,$V1695)/SUMIFS('Comp2016-2017 (3)'!$G$5:$G$289,'Comp2016-2017 (3)'!$A$5:$A$289,$D1695,'Comp2016-2017 (3)'!$R$5:$R$289,$V1695)*$AB1695))</f>
        <v/>
      </c>
      <c r="AH1695" s="205" t="str">
        <f>IF($W1695=AH$3,$AB1695,IF(NOT($W1695=0),"",SUMIFS('Val-Vol (2)'!AH$4:AH$1858,'Val-Vol (2)'!$A$4:$A$1858,$D1695,'Val-Vol (2)'!$V$4:$V$1858,$V1695)/SUMIFS('Comp2016-2017 (3)'!$G$5:$G$289,'Comp2016-2017 (3)'!$A$5:$A$289,$D1695,'Comp2016-2017 (3)'!$R$5:$R$289,$V1695)*$AB1695))</f>
        <v/>
      </c>
      <c r="AI1695" s="205" t="str">
        <f>IF($W1695=AI$3,$AB1695,IF(NOT($W1695=0),"",SUMIFS('Val-Vol (2)'!AI$4:AI$1858,'Val-Vol (2)'!$A$4:$A$1858,$D1695,'Val-Vol (2)'!$V$4:$V$1858,$V1695)/SUMIFS('Comp2016-2017 (3)'!$G$5:$G$289,'Comp2016-2017 (3)'!$A$5:$A$289,$D1695,'Comp2016-2017 (3)'!$R$5:$R$289,$V1695)*$AB1695))</f>
        <v/>
      </c>
      <c r="AJ1695" s="205" t="str">
        <f>IF($W1695=AJ$3,$AB1695,IF(NOT($W1695=0),"",SUMIFS('Val-Vol (2)'!AJ$4:AJ$1858,'Val-Vol (2)'!$A$4:$A$1858,$D1695,'Val-Vol (2)'!$V$4:$V$1858,$V1695)/SUMIFS('Comp2016-2017 (3)'!$G$5:$G$289,'Comp2016-2017 (3)'!$A$5:$A$289,$D1695,'Comp2016-2017 (3)'!$R$5:$R$289,$V1695)*$AB1695))</f>
        <v/>
      </c>
      <c r="AK1695" s="205">
        <f t="shared" si="192"/>
        <v>0</v>
      </c>
      <c r="AL1695" s="218" t="str">
        <f t="shared" si="194"/>
        <v/>
      </c>
      <c r="AM1695" s="218" t="str">
        <f>VLOOKUP(A1695,'Table corresp.'!$M$4:$U$63,8,FALSE)</f>
        <v>Production intermédiaire</v>
      </c>
      <c r="AN1695" s="218" t="str">
        <f>VLOOKUP(D1695,'Table corresp.'!$M$4:$U$63,9,FALSE)</f>
        <v xml:space="preserve">Mise en œuvre </v>
      </c>
    </row>
    <row r="1696" spans="1:40" x14ac:dyDescent="0.25">
      <c r="A1696" t="s">
        <v>14</v>
      </c>
      <c r="B1696" t="str">
        <f>VLOOKUP(LEFT(A1696,3),'Table corresp.'!$A$4:$D$63,3,FALSE)</f>
        <v>Transformation</v>
      </c>
      <c r="C1696" t="str">
        <f>VLOOKUP(A1696,'Table corresp.'!$M$4:$P$63,4,FALSE)</f>
        <v>Production et transformation de produits bois</v>
      </c>
      <c r="D1696" t="s">
        <v>26</v>
      </c>
      <c r="E1696" t="str">
        <f>VLOOKUP(LEFT(D1696,3),'Table corresp.'!$A$4:$D$63,4,FALSE)</f>
        <v>Transformation</v>
      </c>
      <c r="F1696" t="str">
        <f t="shared" si="190"/>
        <v xml:space="preserve">20b - 59 </v>
      </c>
      <c r="G1696" s="238">
        <v>4184.0759430667604</v>
      </c>
      <c r="H1696" s="238">
        <v>0</v>
      </c>
      <c r="I1696" s="238">
        <v>4184.0759430667804</v>
      </c>
      <c r="J1696" s="238">
        <v>16.908450447017636</v>
      </c>
      <c r="K1696" s="238">
        <v>0</v>
      </c>
      <c r="L1696" s="238">
        <v>16.908450447017636</v>
      </c>
      <c r="M1696" s="238"/>
      <c r="N1696" s="238"/>
      <c r="O1696" s="238"/>
      <c r="P1696" s="238"/>
      <c r="Q1696" s="238"/>
      <c r="R1696" s="238"/>
      <c r="S1696" s="238"/>
      <c r="T1696" s="218">
        <f>VLOOKUP(A1696,'Groupe de branches'!$Z$27:$AM$86,14,FALSE)</f>
        <v>0</v>
      </c>
      <c r="U1696" s="218">
        <f>VLOOKUP(D1696,'Groupe de branches'!$Z$27:$AM$86,14,FALSE)</f>
        <v>0</v>
      </c>
      <c r="V1696" s="218">
        <v>2020</v>
      </c>
      <c r="W1696" s="218" t="str">
        <f>VLOOKUP(D1696,'Table corresp.'!$M$4:$S$63,7,FALSE)</f>
        <v>Construction</v>
      </c>
      <c r="X1696" s="240">
        <f>IFERROR(G1696/SUMIFS('Comp2016-2017 (3)'!$I$5:$I$289,'Comp2016-2017 (3)'!$A$5:$A$289,A1696,'Comp2016-2017 (3)'!$R$5:$R$289,V1696),0)</f>
        <v>2.3691172301260811E-2</v>
      </c>
      <c r="Y1696" s="219" t="e">
        <f>IF(RIGHT(F1696,3)="Exp",VLOOKUP(F1696,#REF!,2,FALSE),VLOOKUP(F1696,#REF!,9,FALSE))</f>
        <v>#REF!</v>
      </c>
      <c r="Z1696" s="226" t="str">
        <f t="shared" si="191"/>
        <v/>
      </c>
      <c r="AA1696" s="226" t="e">
        <f t="shared" si="193"/>
        <v>#VALUE!</v>
      </c>
      <c r="AB1696" s="205">
        <f>IFERROR(SUMIFS('Comp2016-2017 (3)'!$G$5:$G$289,'Comp2016-2017 (3)'!$A$5:$A$289,A1696,'Comp2016-2017 (3)'!$R$5:$R$289,V1696)*AA1696/SUMIFS($AA$4:$AA$1858,$A$4:$A$1858,A1696,$V$4:$V$1858,V1696),0)</f>
        <v>0</v>
      </c>
      <c r="AC1696" s="205" t="str">
        <f>IF($W1696=AC$3,$AB1696,IF(NOT($W1696=0),"",SUMIFS('Val-Vol (2)'!AC$4:AC$1858,'Val-Vol (2)'!$A$4:$A$1858,$D1696,'Val-Vol (2)'!$V$4:$V$1858,$V1696)/SUMIFS('Comp2016-2017 (3)'!$G$5:$G$289,'Comp2016-2017 (3)'!$A$5:$A$289,$D1696,'Comp2016-2017 (3)'!$R$5:$R$289,$V1696)*$AB1696))</f>
        <v/>
      </c>
      <c r="AD1696" s="205">
        <f>IF($W1696=AD$3,$AB1696,IF(NOT($W1696=0),"",SUMIFS('Val-Vol (2)'!AD$4:AD$1858,'Val-Vol (2)'!$A$4:$A$1858,$D1696,'Val-Vol (2)'!$V$4:$V$1858,$V1696)/SUMIFS('Comp2016-2017 (3)'!$G$5:$G$289,'Comp2016-2017 (3)'!$A$5:$A$289,$D1696,'Comp2016-2017 (3)'!$R$5:$R$289,$V1696)*$AB1696))</f>
        <v>0</v>
      </c>
      <c r="AE1696" s="205" t="str">
        <f>IF($W1696=AE$3,$AB1696,IF(NOT($W1696=0),"",SUMIFS('Val-Vol (2)'!AE$4:AE$1858,'Val-Vol (2)'!$A$4:$A$1858,$D1696,'Val-Vol (2)'!$V$4:$V$1858,$V1696)/SUMIFS('Comp2016-2017 (3)'!$G$5:$G$289,'Comp2016-2017 (3)'!$A$5:$A$289,$D1696,'Comp2016-2017 (3)'!$R$5:$R$289,$V1696)*$AB1696))</f>
        <v/>
      </c>
      <c r="AF1696" s="205" t="str">
        <f>IF($W1696=AF$3,$AB1696,IF(NOT($W1696=0),"",SUMIFS('Val-Vol (2)'!AF$4:AF$1858,'Val-Vol (2)'!$A$4:$A$1858,$D1696,'Val-Vol (2)'!$V$4:$V$1858,$V1696)/SUMIFS('Comp2016-2017 (3)'!$G$5:$G$289,'Comp2016-2017 (3)'!$A$5:$A$289,$D1696,'Comp2016-2017 (3)'!$R$5:$R$289,$V1696)*$AB1696))</f>
        <v/>
      </c>
      <c r="AG1696" s="205" t="str">
        <f>IF($W1696=AG$3,$AB1696,IF(NOT($W1696=0),"",SUMIFS('Val-Vol (2)'!AG$4:AG$1858,'Val-Vol (2)'!$A$4:$A$1858,$D1696,'Val-Vol (2)'!$V$4:$V$1858,$V1696)/SUMIFS('Comp2016-2017 (3)'!$G$5:$G$289,'Comp2016-2017 (3)'!$A$5:$A$289,$D1696,'Comp2016-2017 (3)'!$R$5:$R$289,$V1696)*$AB1696))</f>
        <v/>
      </c>
      <c r="AH1696" s="205" t="str">
        <f>IF($W1696=AH$3,$AB1696,IF(NOT($W1696=0),"",SUMIFS('Val-Vol (2)'!AH$4:AH$1858,'Val-Vol (2)'!$A$4:$A$1858,$D1696,'Val-Vol (2)'!$V$4:$V$1858,$V1696)/SUMIFS('Comp2016-2017 (3)'!$G$5:$G$289,'Comp2016-2017 (3)'!$A$5:$A$289,$D1696,'Comp2016-2017 (3)'!$R$5:$R$289,$V1696)*$AB1696))</f>
        <v/>
      </c>
      <c r="AI1696" s="205" t="str">
        <f>IF($W1696=AI$3,$AB1696,IF(NOT($W1696=0),"",SUMIFS('Val-Vol (2)'!AI$4:AI$1858,'Val-Vol (2)'!$A$4:$A$1858,$D1696,'Val-Vol (2)'!$V$4:$V$1858,$V1696)/SUMIFS('Comp2016-2017 (3)'!$G$5:$G$289,'Comp2016-2017 (3)'!$A$5:$A$289,$D1696,'Comp2016-2017 (3)'!$R$5:$R$289,$V1696)*$AB1696))</f>
        <v/>
      </c>
      <c r="AJ1696" s="205" t="str">
        <f>IF($W1696=AJ$3,$AB1696,IF(NOT($W1696=0),"",SUMIFS('Val-Vol (2)'!AJ$4:AJ$1858,'Val-Vol (2)'!$A$4:$A$1858,$D1696,'Val-Vol (2)'!$V$4:$V$1858,$V1696)/SUMIFS('Comp2016-2017 (3)'!$G$5:$G$289,'Comp2016-2017 (3)'!$A$5:$A$289,$D1696,'Comp2016-2017 (3)'!$R$5:$R$289,$V1696)*$AB1696))</f>
        <v/>
      </c>
      <c r="AK1696" s="205">
        <f t="shared" si="192"/>
        <v>0</v>
      </c>
      <c r="AL1696" s="218" t="str">
        <f t="shared" si="194"/>
        <v/>
      </c>
      <c r="AM1696" s="218" t="str">
        <f>VLOOKUP(A1696,'Table corresp.'!$M$4:$U$63,8,FALSE)</f>
        <v>Production intermédiaire</v>
      </c>
      <c r="AN1696" s="218" t="str">
        <f>VLOOKUP(D1696,'Table corresp.'!$M$4:$U$63,9,FALSE)</f>
        <v xml:space="preserve">Mise en œuvre </v>
      </c>
    </row>
    <row r="1697" spans="1:40" x14ac:dyDescent="0.25">
      <c r="A1697" t="s">
        <v>14</v>
      </c>
      <c r="B1697" t="str">
        <f>VLOOKUP(LEFT(A1697,3),'Table corresp.'!$A$4:$D$63,3,FALSE)</f>
        <v>Transformation</v>
      </c>
      <c r="C1697" t="str">
        <f>VLOOKUP(A1697,'Table corresp.'!$M$4:$P$63,4,FALSE)</f>
        <v>Production et transformation de produits bois</v>
      </c>
      <c r="D1697" t="s">
        <v>54</v>
      </c>
      <c r="E1697" t="str">
        <f>VLOOKUP(LEFT(D1697,3),'Table corresp.'!$A$4:$D$63,4,FALSE)</f>
        <v>Consommation finale</v>
      </c>
      <c r="F1697" t="str">
        <f t="shared" si="190"/>
        <v>20b - Con</v>
      </c>
      <c r="G1697" s="238">
        <v>13480.051357845799</v>
      </c>
      <c r="H1697" s="238">
        <v>44127.240117683497</v>
      </c>
      <c r="I1697" s="238">
        <v>57607.291475529302</v>
      </c>
      <c r="J1697" s="238">
        <v>77.82117024807404</v>
      </c>
      <c r="K1697" s="238">
        <v>335.98329681452736</v>
      </c>
      <c r="L1697" s="238">
        <v>413.80446706260142</v>
      </c>
      <c r="M1697" s="238"/>
      <c r="N1697" s="238"/>
      <c r="O1697" s="238"/>
      <c r="P1697" s="238"/>
      <c r="Q1697" s="238"/>
      <c r="R1697" s="238"/>
      <c r="S1697" s="238"/>
      <c r="T1697" s="218">
        <f>VLOOKUP(A1697,'Groupe de branches'!$Z$27:$AM$86,14,FALSE)</f>
        <v>0</v>
      </c>
      <c r="U1697" s="218">
        <f>VLOOKUP(D1697,'Groupe de branches'!$Z$27:$AM$86,14,FALSE)</f>
        <v>0</v>
      </c>
      <c r="V1697" s="218">
        <v>2020</v>
      </c>
      <c r="W1697" s="218" t="str">
        <f>VLOOKUP(D1697,'Table corresp.'!$M$4:$S$63,7,FALSE)</f>
        <v>Consommation finale</v>
      </c>
      <c r="X1697" s="240">
        <f>IFERROR(G1697/SUMIFS('Comp2016-2017 (3)'!$I$5:$I$289,'Comp2016-2017 (3)'!$A$5:$A$289,A1697,'Comp2016-2017 (3)'!$R$5:$R$289,V1697),0)</f>
        <v>7.6327060907621286E-2</v>
      </c>
      <c r="Y1697" s="219" t="e">
        <f>IF(RIGHT(F1697,3)="Exp",VLOOKUP(F1697,#REF!,2,FALSE),VLOOKUP(F1697,#REF!,9,FALSE))</f>
        <v>#REF!</v>
      </c>
      <c r="Z1697" s="226" t="str">
        <f t="shared" si="191"/>
        <v/>
      </c>
      <c r="AA1697" s="226" t="e">
        <f t="shared" si="193"/>
        <v>#VALUE!</v>
      </c>
      <c r="AB1697" s="205">
        <f>IFERROR(SUMIFS('Comp2016-2017 (3)'!$G$5:$G$289,'Comp2016-2017 (3)'!$A$5:$A$289,A1697,'Comp2016-2017 (3)'!$R$5:$R$289,V1697)*AA1697/SUMIFS($AA$4:$AA$1858,$A$4:$A$1858,A1697,$V$4:$V$1858,V1697),0)</f>
        <v>0</v>
      </c>
      <c r="AC1697" s="205" t="str">
        <f>IF($W1697=AC$3,$AB1697,IF(NOT($W1697=0),"",SUMIFS('Val-Vol (2)'!AC$4:AC$1858,'Val-Vol (2)'!$A$4:$A$1858,$D1697,'Val-Vol (2)'!$V$4:$V$1858,$V1697)/SUMIFS('Comp2016-2017 (3)'!$G$5:$G$289,'Comp2016-2017 (3)'!$A$5:$A$289,$D1697,'Comp2016-2017 (3)'!$R$5:$R$289,$V1697)*$AB1697))</f>
        <v/>
      </c>
      <c r="AD1697" s="205" t="str">
        <f>IF($W1697=AD$3,$AB1697,IF(NOT($W1697=0),"",SUMIFS('Val-Vol (2)'!AD$4:AD$1858,'Val-Vol (2)'!$A$4:$A$1858,$D1697,'Val-Vol (2)'!$V$4:$V$1858,$V1697)/SUMIFS('Comp2016-2017 (3)'!$G$5:$G$289,'Comp2016-2017 (3)'!$A$5:$A$289,$D1697,'Comp2016-2017 (3)'!$R$5:$R$289,$V1697)*$AB1697))</f>
        <v/>
      </c>
      <c r="AE1697" s="205" t="str">
        <f>IF($W1697=AE$3,$AB1697,IF(NOT($W1697=0),"",SUMIFS('Val-Vol (2)'!AE$4:AE$1858,'Val-Vol (2)'!$A$4:$A$1858,$D1697,'Val-Vol (2)'!$V$4:$V$1858,$V1697)/SUMIFS('Comp2016-2017 (3)'!$G$5:$G$289,'Comp2016-2017 (3)'!$A$5:$A$289,$D1697,'Comp2016-2017 (3)'!$R$5:$R$289,$V1697)*$AB1697))</f>
        <v/>
      </c>
      <c r="AF1697" s="205" t="str">
        <f>IF($W1697=AF$3,$AB1697,IF(NOT($W1697=0),"",SUMIFS('Val-Vol (2)'!AF$4:AF$1858,'Val-Vol (2)'!$A$4:$A$1858,$D1697,'Val-Vol (2)'!$V$4:$V$1858,$V1697)/SUMIFS('Comp2016-2017 (3)'!$G$5:$G$289,'Comp2016-2017 (3)'!$A$5:$A$289,$D1697,'Comp2016-2017 (3)'!$R$5:$R$289,$V1697)*$AB1697))</f>
        <v/>
      </c>
      <c r="AG1697" s="205" t="str">
        <f>IF($W1697=AG$3,$AB1697,IF(NOT($W1697=0),"",SUMIFS('Val-Vol (2)'!AG$4:AG$1858,'Val-Vol (2)'!$A$4:$A$1858,$D1697,'Val-Vol (2)'!$V$4:$V$1858,$V1697)/SUMIFS('Comp2016-2017 (3)'!$G$5:$G$289,'Comp2016-2017 (3)'!$A$5:$A$289,$D1697,'Comp2016-2017 (3)'!$R$5:$R$289,$V1697)*$AB1697))</f>
        <v/>
      </c>
      <c r="AH1697" s="205" t="str">
        <f>IF($W1697=AH$3,$AB1697,IF(NOT($W1697=0),"",SUMIFS('Val-Vol (2)'!AH$4:AH$1858,'Val-Vol (2)'!$A$4:$A$1858,$D1697,'Val-Vol (2)'!$V$4:$V$1858,$V1697)/SUMIFS('Comp2016-2017 (3)'!$G$5:$G$289,'Comp2016-2017 (3)'!$A$5:$A$289,$D1697,'Comp2016-2017 (3)'!$R$5:$R$289,$V1697)*$AB1697))</f>
        <v/>
      </c>
      <c r="AI1697" s="205" t="str">
        <f>IF($W1697=AI$3,$AB1697,IF(NOT($W1697=0),"",SUMIFS('Val-Vol (2)'!AI$4:AI$1858,'Val-Vol (2)'!$A$4:$A$1858,$D1697,'Val-Vol (2)'!$V$4:$V$1858,$V1697)/SUMIFS('Comp2016-2017 (3)'!$G$5:$G$289,'Comp2016-2017 (3)'!$A$5:$A$289,$D1697,'Comp2016-2017 (3)'!$R$5:$R$289,$V1697)*$AB1697))</f>
        <v/>
      </c>
      <c r="AJ1697" s="205">
        <f>IF($W1697=AJ$3,$AB1697,IF(NOT($W1697=0),"",SUMIFS('Val-Vol (2)'!AJ$4:AJ$1858,'Val-Vol (2)'!$A$4:$A$1858,$D1697,'Val-Vol (2)'!$V$4:$V$1858,$V1697)/SUMIFS('Comp2016-2017 (3)'!$G$5:$G$289,'Comp2016-2017 (3)'!$A$5:$A$289,$D1697,'Comp2016-2017 (3)'!$R$5:$R$289,$V1697)*$AB1697))</f>
        <v>0</v>
      </c>
      <c r="AK1697" s="205">
        <f t="shared" si="192"/>
        <v>0</v>
      </c>
      <c r="AL1697" s="218" t="str">
        <f t="shared" si="194"/>
        <v/>
      </c>
      <c r="AM1697" s="218" t="str">
        <f>VLOOKUP(A1697,'Table corresp.'!$M$4:$U$63,8,FALSE)</f>
        <v>Production intermédiaire</v>
      </c>
      <c r="AN1697" s="218" t="str">
        <f>VLOOKUP(D1697,'Table corresp.'!$M$4:$U$63,9,FALSE)</f>
        <v>Consommation finale française</v>
      </c>
    </row>
    <row r="1698" spans="1:40" x14ac:dyDescent="0.25">
      <c r="A1698" t="s">
        <v>14</v>
      </c>
      <c r="B1698" t="str">
        <f>VLOOKUP(LEFT(A1698,3),'Table corresp.'!$A$4:$D$63,3,FALSE)</f>
        <v>Transformation</v>
      </c>
      <c r="C1698" t="str">
        <f>VLOOKUP(A1698,'Table corresp.'!$M$4:$P$63,4,FALSE)</f>
        <v>Production et transformation de produits bois</v>
      </c>
      <c r="D1698" t="s">
        <v>53</v>
      </c>
      <c r="E1698" t="str">
        <f>VLOOKUP(LEFT(D1698,3),'Table corresp.'!$A$4:$D$63,4,FALSE)</f>
        <v>Exportation</v>
      </c>
      <c r="F1698" t="str">
        <f t="shared" si="190"/>
        <v>20b - Exp</v>
      </c>
      <c r="G1698" s="238">
        <v>70543.110792999694</v>
      </c>
      <c r="H1698" s="238">
        <v>0</v>
      </c>
      <c r="I1698" s="238">
        <v>70543.110792999898</v>
      </c>
      <c r="J1698" s="238">
        <v>218.69035548309216</v>
      </c>
      <c r="K1698" s="238">
        <v>0</v>
      </c>
      <c r="L1698" s="238">
        <v>218.69035548309216</v>
      </c>
      <c r="M1698" s="238"/>
      <c r="N1698" s="238"/>
      <c r="O1698" s="238"/>
      <c r="P1698" s="238"/>
      <c r="Q1698" s="238"/>
      <c r="R1698" s="238"/>
      <c r="S1698" s="238"/>
      <c r="T1698" s="218">
        <f>VLOOKUP(A1698,'Groupe de branches'!$Z$27:$AM$86,14,FALSE)</f>
        <v>0</v>
      </c>
      <c r="U1698" s="218">
        <f>VLOOKUP(D1698,'Groupe de branches'!$Z$27:$AM$86,14,FALSE)</f>
        <v>0</v>
      </c>
      <c r="V1698" s="218">
        <v>2020</v>
      </c>
      <c r="W1698" s="218" t="str">
        <f>VLOOKUP(D1698,'Table corresp.'!$M$4:$S$63,7,FALSE)</f>
        <v>Exportation</v>
      </c>
      <c r="X1698" s="240">
        <f>IFERROR(G1698/SUMIFS('Comp2016-2017 (3)'!$I$5:$I$289,'Comp2016-2017 (3)'!$A$5:$A$289,A1698,'Comp2016-2017 (3)'!$R$5:$R$289,V1698),0)</f>
        <v>0.39943084571235776</v>
      </c>
      <c r="Y1698" s="219" t="e">
        <f>IF(RIGHT(F1698,3)="Exp",VLOOKUP(F1698,#REF!,2,FALSE),VLOOKUP(F1698,#REF!,9,FALSE))</f>
        <v>#REF!</v>
      </c>
      <c r="Z1698" s="226" t="str">
        <f t="shared" si="191"/>
        <v/>
      </c>
      <c r="AA1698" s="226" t="e">
        <f t="shared" si="193"/>
        <v>#VALUE!</v>
      </c>
      <c r="AB1698" s="205">
        <f>IFERROR(SUMIFS('Comp2016-2017 (3)'!$G$5:$G$289,'Comp2016-2017 (3)'!$A$5:$A$289,A1698,'Comp2016-2017 (3)'!$R$5:$R$289,V1698)*AA1698/SUMIFS($AA$4:$AA$1858,$A$4:$A$1858,A1698,$V$4:$V$1858,V1698),0)</f>
        <v>0</v>
      </c>
      <c r="AC1698" s="205">
        <f>IF($W1698=AC$3,$AB1698,IF(NOT($W1698=0),"",SUMIFS('Val-Vol (2)'!AC$4:AC$1858,'Val-Vol (2)'!$A$4:$A$1858,$D1698,'Val-Vol (2)'!$V$4:$V$1858,$V1698)/SUMIFS('Comp2016-2017 (3)'!$G$5:$G$289,'Comp2016-2017 (3)'!$A$5:$A$289,$D1698,'Comp2016-2017 (3)'!$R$5:$R$289,$V1698)*$AB1698))</f>
        <v>0</v>
      </c>
      <c r="AD1698" s="205" t="str">
        <f>IF($W1698=AD$3,$AB1698,IF(NOT($W1698=0),"",SUMIFS('Val-Vol (2)'!AD$4:AD$1858,'Val-Vol (2)'!$A$4:$A$1858,$D1698,'Val-Vol (2)'!$V$4:$V$1858,$V1698)/SUMIFS('Comp2016-2017 (3)'!$G$5:$G$289,'Comp2016-2017 (3)'!$A$5:$A$289,$D1698,'Comp2016-2017 (3)'!$R$5:$R$289,$V1698)*$AB1698))</f>
        <v/>
      </c>
      <c r="AE1698" s="205" t="str">
        <f>IF($W1698=AE$3,$AB1698,IF(NOT($W1698=0),"",SUMIFS('Val-Vol (2)'!AE$4:AE$1858,'Val-Vol (2)'!$A$4:$A$1858,$D1698,'Val-Vol (2)'!$V$4:$V$1858,$V1698)/SUMIFS('Comp2016-2017 (3)'!$G$5:$G$289,'Comp2016-2017 (3)'!$A$5:$A$289,$D1698,'Comp2016-2017 (3)'!$R$5:$R$289,$V1698)*$AB1698))</f>
        <v/>
      </c>
      <c r="AF1698" s="205" t="str">
        <f>IF($W1698=AF$3,$AB1698,IF(NOT($W1698=0),"",SUMIFS('Val-Vol (2)'!AF$4:AF$1858,'Val-Vol (2)'!$A$4:$A$1858,$D1698,'Val-Vol (2)'!$V$4:$V$1858,$V1698)/SUMIFS('Comp2016-2017 (3)'!$G$5:$G$289,'Comp2016-2017 (3)'!$A$5:$A$289,$D1698,'Comp2016-2017 (3)'!$R$5:$R$289,$V1698)*$AB1698))</f>
        <v/>
      </c>
      <c r="AG1698" s="205" t="str">
        <f>IF($W1698=AG$3,$AB1698,IF(NOT($W1698=0),"",SUMIFS('Val-Vol (2)'!AG$4:AG$1858,'Val-Vol (2)'!$A$4:$A$1858,$D1698,'Val-Vol (2)'!$V$4:$V$1858,$V1698)/SUMIFS('Comp2016-2017 (3)'!$G$5:$G$289,'Comp2016-2017 (3)'!$A$5:$A$289,$D1698,'Comp2016-2017 (3)'!$R$5:$R$289,$V1698)*$AB1698))</f>
        <v/>
      </c>
      <c r="AH1698" s="205" t="str">
        <f>IF($W1698=AH$3,$AB1698,IF(NOT($W1698=0),"",SUMIFS('Val-Vol (2)'!AH$4:AH$1858,'Val-Vol (2)'!$A$4:$A$1858,$D1698,'Val-Vol (2)'!$V$4:$V$1858,$V1698)/SUMIFS('Comp2016-2017 (3)'!$G$5:$G$289,'Comp2016-2017 (3)'!$A$5:$A$289,$D1698,'Comp2016-2017 (3)'!$R$5:$R$289,$V1698)*$AB1698))</f>
        <v/>
      </c>
      <c r="AI1698" s="205" t="str">
        <f>IF($W1698=AI$3,$AB1698,IF(NOT($W1698=0),"",SUMIFS('Val-Vol (2)'!AI$4:AI$1858,'Val-Vol (2)'!$A$4:$A$1858,$D1698,'Val-Vol (2)'!$V$4:$V$1858,$V1698)/SUMIFS('Comp2016-2017 (3)'!$G$5:$G$289,'Comp2016-2017 (3)'!$A$5:$A$289,$D1698,'Comp2016-2017 (3)'!$R$5:$R$289,$V1698)*$AB1698))</f>
        <v/>
      </c>
      <c r="AJ1698" s="205" t="str">
        <f>IF($W1698=AJ$3,$AB1698,IF(NOT($W1698=0),"",SUMIFS('Val-Vol (2)'!AJ$4:AJ$1858,'Val-Vol (2)'!$A$4:$A$1858,$D1698,'Val-Vol (2)'!$V$4:$V$1858,$V1698)/SUMIFS('Comp2016-2017 (3)'!$G$5:$G$289,'Comp2016-2017 (3)'!$A$5:$A$289,$D1698,'Comp2016-2017 (3)'!$R$5:$R$289,$V1698)*$AB1698))</f>
        <v/>
      </c>
      <c r="AK1698" s="205">
        <f t="shared" si="192"/>
        <v>0</v>
      </c>
      <c r="AL1698" s="218" t="str">
        <f t="shared" si="194"/>
        <v/>
      </c>
      <c r="AM1698" s="218" t="str">
        <f>VLOOKUP(A1698,'Table corresp.'!$M$4:$U$63,8,FALSE)</f>
        <v>Production intermédiaire</v>
      </c>
      <c r="AN1698" s="218" t="str">
        <f>VLOOKUP(D1698,'Table corresp.'!$M$4:$U$63,9,FALSE)</f>
        <v>Exportation</v>
      </c>
    </row>
    <row r="1699" spans="1:40" x14ac:dyDescent="0.25">
      <c r="A1699" t="s">
        <v>85</v>
      </c>
      <c r="B1699" t="str">
        <f>VLOOKUP(LEFT(A1699,3),'Table corresp.'!$A$4:$D$63,3,FALSE)</f>
        <v>Transformation</v>
      </c>
      <c r="C1699" t="str">
        <f>VLOOKUP(A1699,'Table corresp.'!$M$4:$P$63,4,FALSE)</f>
        <v>Production et transformation de produits bois</v>
      </c>
      <c r="D1699" t="s">
        <v>19</v>
      </c>
      <c r="E1699" t="str">
        <f>VLOOKUP(LEFT(D1699,3),'Table corresp.'!$A$4:$D$63,4,FALSE)</f>
        <v>Transformation</v>
      </c>
      <c r="F1699" t="str">
        <f t="shared" si="190"/>
        <v xml:space="preserve">29  - 52 </v>
      </c>
      <c r="G1699" s="238">
        <v>43284.117655623602</v>
      </c>
      <c r="H1699" s="238">
        <v>2111.4174806270998</v>
      </c>
      <c r="I1699" s="238">
        <v>45395.535136250699</v>
      </c>
      <c r="J1699" s="238">
        <v>258.08898640173379</v>
      </c>
      <c r="K1699" s="238">
        <v>87.687697701140834</v>
      </c>
      <c r="L1699" s="238">
        <v>345.77668410287464</v>
      </c>
      <c r="M1699" s="238"/>
      <c r="N1699" s="238"/>
      <c r="O1699" s="238"/>
      <c r="P1699" s="238"/>
      <c r="Q1699" s="238"/>
      <c r="R1699" s="238"/>
      <c r="S1699" s="238"/>
      <c r="T1699" s="218">
        <f>VLOOKUP(A1699,'Groupe de branches'!$Z$27:$AM$86,14,FALSE)</f>
        <v>0</v>
      </c>
      <c r="U1699" s="218">
        <f>VLOOKUP(D1699,'Groupe de branches'!$Z$27:$AM$86,14,FALSE)</f>
        <v>0</v>
      </c>
      <c r="V1699" s="218">
        <v>2020</v>
      </c>
      <c r="W1699" s="218" t="str">
        <f>VLOOKUP(D1699,'Table corresp.'!$M$4:$S$63,7,FALSE)</f>
        <v>Construction</v>
      </c>
      <c r="X1699" s="240">
        <f>IFERROR(G1699/SUMIFS('Comp2016-2017 (3)'!$I$5:$I$289,'Comp2016-2017 (3)'!$A$5:$A$289,A1699,'Comp2016-2017 (3)'!$R$5:$R$289,V1699),0)</f>
        <v>0.20650743697117627</v>
      </c>
      <c r="Y1699" s="219" t="e">
        <f>IF(RIGHT(F1699,3)="Exp",VLOOKUP(F1699,#REF!,2,FALSE),VLOOKUP(F1699,#REF!,9,FALSE))</f>
        <v>#REF!</v>
      </c>
      <c r="Z1699" s="226" t="str">
        <f t="shared" si="191"/>
        <v/>
      </c>
      <c r="AA1699" s="226" t="e">
        <f t="shared" si="193"/>
        <v>#VALUE!</v>
      </c>
      <c r="AB1699" s="205">
        <f>IFERROR(SUMIFS('Comp2016-2017 (3)'!$G$5:$G$289,'Comp2016-2017 (3)'!$A$5:$A$289,A1699,'Comp2016-2017 (3)'!$R$5:$R$289,V1699)*AA1699/SUMIFS($AA$4:$AA$1858,$A$4:$A$1858,A1699,$V$4:$V$1858,V1699),0)</f>
        <v>0</v>
      </c>
      <c r="AC1699" s="205" t="str">
        <f>IF($W1699=AC$3,$AB1699,IF(NOT($W1699=0),"",SUMIFS('Val-Vol (2)'!AC$4:AC$1858,'Val-Vol (2)'!$A$4:$A$1858,$D1699,'Val-Vol (2)'!$V$4:$V$1858,$V1699)/SUMIFS('Comp2016-2017 (3)'!$G$5:$G$289,'Comp2016-2017 (3)'!$A$5:$A$289,$D1699,'Comp2016-2017 (3)'!$R$5:$R$289,$V1699)*$AB1699))</f>
        <v/>
      </c>
      <c r="AD1699" s="205">
        <f>IF($W1699=AD$3,$AB1699,IF(NOT($W1699=0),"",SUMIFS('Val-Vol (2)'!AD$4:AD$1858,'Val-Vol (2)'!$A$4:$A$1858,$D1699,'Val-Vol (2)'!$V$4:$V$1858,$V1699)/SUMIFS('Comp2016-2017 (3)'!$G$5:$G$289,'Comp2016-2017 (3)'!$A$5:$A$289,$D1699,'Comp2016-2017 (3)'!$R$5:$R$289,$V1699)*$AB1699))</f>
        <v>0</v>
      </c>
      <c r="AE1699" s="205" t="str">
        <f>IF($W1699=AE$3,$AB1699,IF(NOT($W1699=0),"",SUMIFS('Val-Vol (2)'!AE$4:AE$1858,'Val-Vol (2)'!$A$4:$A$1858,$D1699,'Val-Vol (2)'!$V$4:$V$1858,$V1699)/SUMIFS('Comp2016-2017 (3)'!$G$5:$G$289,'Comp2016-2017 (3)'!$A$5:$A$289,$D1699,'Comp2016-2017 (3)'!$R$5:$R$289,$V1699)*$AB1699))</f>
        <v/>
      </c>
      <c r="AF1699" s="205" t="str">
        <f>IF($W1699=AF$3,$AB1699,IF(NOT($W1699=0),"",SUMIFS('Val-Vol (2)'!AF$4:AF$1858,'Val-Vol (2)'!$A$4:$A$1858,$D1699,'Val-Vol (2)'!$V$4:$V$1858,$V1699)/SUMIFS('Comp2016-2017 (3)'!$G$5:$G$289,'Comp2016-2017 (3)'!$A$5:$A$289,$D1699,'Comp2016-2017 (3)'!$R$5:$R$289,$V1699)*$AB1699))</f>
        <v/>
      </c>
      <c r="AG1699" s="205" t="str">
        <f>IF($W1699=AG$3,$AB1699,IF(NOT($W1699=0),"",SUMIFS('Val-Vol (2)'!AG$4:AG$1858,'Val-Vol (2)'!$A$4:$A$1858,$D1699,'Val-Vol (2)'!$V$4:$V$1858,$V1699)/SUMIFS('Comp2016-2017 (3)'!$G$5:$G$289,'Comp2016-2017 (3)'!$A$5:$A$289,$D1699,'Comp2016-2017 (3)'!$R$5:$R$289,$V1699)*$AB1699))</f>
        <v/>
      </c>
      <c r="AH1699" s="205" t="str">
        <f>IF($W1699=AH$3,$AB1699,IF(NOT($W1699=0),"",SUMIFS('Val-Vol (2)'!AH$4:AH$1858,'Val-Vol (2)'!$A$4:$A$1858,$D1699,'Val-Vol (2)'!$V$4:$V$1858,$V1699)/SUMIFS('Comp2016-2017 (3)'!$G$5:$G$289,'Comp2016-2017 (3)'!$A$5:$A$289,$D1699,'Comp2016-2017 (3)'!$R$5:$R$289,$V1699)*$AB1699))</f>
        <v/>
      </c>
      <c r="AI1699" s="205" t="str">
        <f>IF($W1699=AI$3,$AB1699,IF(NOT($W1699=0),"",SUMIFS('Val-Vol (2)'!AI$4:AI$1858,'Val-Vol (2)'!$A$4:$A$1858,$D1699,'Val-Vol (2)'!$V$4:$V$1858,$V1699)/SUMIFS('Comp2016-2017 (3)'!$G$5:$G$289,'Comp2016-2017 (3)'!$A$5:$A$289,$D1699,'Comp2016-2017 (3)'!$R$5:$R$289,$V1699)*$AB1699))</f>
        <v/>
      </c>
      <c r="AJ1699" s="205" t="str">
        <f>IF($W1699=AJ$3,$AB1699,IF(NOT($W1699=0),"",SUMIFS('Val-Vol (2)'!AJ$4:AJ$1858,'Val-Vol (2)'!$A$4:$A$1858,$D1699,'Val-Vol (2)'!$V$4:$V$1858,$V1699)/SUMIFS('Comp2016-2017 (3)'!$G$5:$G$289,'Comp2016-2017 (3)'!$A$5:$A$289,$D1699,'Comp2016-2017 (3)'!$R$5:$R$289,$V1699)*$AB1699))</f>
        <v/>
      </c>
      <c r="AK1699" s="205">
        <f t="shared" si="192"/>
        <v>0</v>
      </c>
      <c r="AL1699" s="218" t="str">
        <f t="shared" si="194"/>
        <v/>
      </c>
      <c r="AM1699" s="218" t="str">
        <f>VLOOKUP(A1699,'Table corresp.'!$M$4:$U$63,8,FALSE)</f>
        <v>Production intermédiaire</v>
      </c>
      <c r="AN1699" s="218" t="str">
        <f>VLOOKUP(D1699,'Table corresp.'!$M$4:$U$63,9,FALSE)</f>
        <v xml:space="preserve">Mise en œuvre </v>
      </c>
    </row>
    <row r="1700" spans="1:40" x14ac:dyDescent="0.25">
      <c r="A1700" t="s">
        <v>85</v>
      </c>
      <c r="B1700" t="str">
        <f>VLOOKUP(LEFT(A1700,3),'Table corresp.'!$A$4:$D$63,3,FALSE)</f>
        <v>Transformation</v>
      </c>
      <c r="C1700" t="str">
        <f>VLOOKUP(A1700,'Table corresp.'!$M$4:$P$63,4,FALSE)</f>
        <v>Production et transformation de produits bois</v>
      </c>
      <c r="D1700" t="s">
        <v>24</v>
      </c>
      <c r="E1700" t="str">
        <f>VLOOKUP(LEFT(D1700,3),'Table corresp.'!$A$4:$D$63,4,FALSE)</f>
        <v>Transformation</v>
      </c>
      <c r="F1700" t="str">
        <f t="shared" si="190"/>
        <v xml:space="preserve">29  - 57 </v>
      </c>
      <c r="G1700" s="238">
        <v>117739.303131225</v>
      </c>
      <c r="H1700" s="238">
        <v>13764.7913790528</v>
      </c>
      <c r="I1700" s="238">
        <v>131504.09451027701</v>
      </c>
      <c r="J1700" s="238">
        <v>585.03401575897942</v>
      </c>
      <c r="K1700" s="238">
        <v>494.40453137478414</v>
      </c>
      <c r="L1700" s="238">
        <v>1079.4385471337637</v>
      </c>
      <c r="M1700" s="238"/>
      <c r="N1700" s="238"/>
      <c r="O1700" s="238"/>
      <c r="P1700" s="238"/>
      <c r="Q1700" s="238"/>
      <c r="R1700" s="238"/>
      <c r="S1700" s="238"/>
      <c r="T1700" s="218">
        <f>VLOOKUP(A1700,'Groupe de branches'!$Z$27:$AM$86,14,FALSE)</f>
        <v>0</v>
      </c>
      <c r="U1700" s="218">
        <f>VLOOKUP(D1700,'Groupe de branches'!$Z$27:$AM$86,14,FALSE)</f>
        <v>0</v>
      </c>
      <c r="V1700" s="218">
        <v>2020</v>
      </c>
      <c r="W1700" s="218" t="str">
        <f>VLOOKUP(D1700,'Table corresp.'!$M$4:$S$63,7,FALSE)</f>
        <v>Construction</v>
      </c>
      <c r="X1700" s="240">
        <f>IFERROR(G1700/SUMIFS('Comp2016-2017 (3)'!$I$5:$I$289,'Comp2016-2017 (3)'!$A$5:$A$289,A1700,'Comp2016-2017 (3)'!$R$5:$R$289,V1700),0)</f>
        <v>0.56173125472600938</v>
      </c>
      <c r="Y1700" s="219" t="e">
        <f>IF(RIGHT(F1700,3)="Exp",VLOOKUP(F1700,#REF!,2,FALSE),VLOOKUP(F1700,#REF!,9,FALSE))</f>
        <v>#REF!</v>
      </c>
      <c r="Z1700" s="226" t="str">
        <f t="shared" si="191"/>
        <v/>
      </c>
      <c r="AA1700" s="226" t="e">
        <f t="shared" si="193"/>
        <v>#VALUE!</v>
      </c>
      <c r="AB1700" s="205">
        <f>IFERROR(SUMIFS('Comp2016-2017 (3)'!$G$5:$G$289,'Comp2016-2017 (3)'!$A$5:$A$289,A1700,'Comp2016-2017 (3)'!$R$5:$R$289,V1700)*AA1700/SUMIFS($AA$4:$AA$1858,$A$4:$A$1858,A1700,$V$4:$V$1858,V1700),0)</f>
        <v>0</v>
      </c>
      <c r="AC1700" s="205" t="str">
        <f>IF($W1700=AC$3,$AB1700,IF(NOT($W1700=0),"",SUMIFS('Val-Vol (2)'!AC$4:AC$1858,'Val-Vol (2)'!$A$4:$A$1858,$D1700,'Val-Vol (2)'!$V$4:$V$1858,$V1700)/SUMIFS('Comp2016-2017 (3)'!$G$5:$G$289,'Comp2016-2017 (3)'!$A$5:$A$289,$D1700,'Comp2016-2017 (3)'!$R$5:$R$289,$V1700)*$AB1700))</f>
        <v/>
      </c>
      <c r="AD1700" s="205">
        <f>IF($W1700=AD$3,$AB1700,IF(NOT($W1700=0),"",SUMIFS('Val-Vol (2)'!AD$4:AD$1858,'Val-Vol (2)'!$A$4:$A$1858,$D1700,'Val-Vol (2)'!$V$4:$V$1858,$V1700)/SUMIFS('Comp2016-2017 (3)'!$G$5:$G$289,'Comp2016-2017 (3)'!$A$5:$A$289,$D1700,'Comp2016-2017 (3)'!$R$5:$R$289,$V1700)*$AB1700))</f>
        <v>0</v>
      </c>
      <c r="AE1700" s="205" t="str">
        <f>IF($W1700=AE$3,$AB1700,IF(NOT($W1700=0),"",SUMIFS('Val-Vol (2)'!AE$4:AE$1858,'Val-Vol (2)'!$A$4:$A$1858,$D1700,'Val-Vol (2)'!$V$4:$V$1858,$V1700)/SUMIFS('Comp2016-2017 (3)'!$G$5:$G$289,'Comp2016-2017 (3)'!$A$5:$A$289,$D1700,'Comp2016-2017 (3)'!$R$5:$R$289,$V1700)*$AB1700))</f>
        <v/>
      </c>
      <c r="AF1700" s="205" t="str">
        <f>IF($W1700=AF$3,$AB1700,IF(NOT($W1700=0),"",SUMIFS('Val-Vol (2)'!AF$4:AF$1858,'Val-Vol (2)'!$A$4:$A$1858,$D1700,'Val-Vol (2)'!$V$4:$V$1858,$V1700)/SUMIFS('Comp2016-2017 (3)'!$G$5:$G$289,'Comp2016-2017 (3)'!$A$5:$A$289,$D1700,'Comp2016-2017 (3)'!$R$5:$R$289,$V1700)*$AB1700))</f>
        <v/>
      </c>
      <c r="AG1700" s="205" t="str">
        <f>IF($W1700=AG$3,$AB1700,IF(NOT($W1700=0),"",SUMIFS('Val-Vol (2)'!AG$4:AG$1858,'Val-Vol (2)'!$A$4:$A$1858,$D1700,'Val-Vol (2)'!$V$4:$V$1858,$V1700)/SUMIFS('Comp2016-2017 (3)'!$G$5:$G$289,'Comp2016-2017 (3)'!$A$5:$A$289,$D1700,'Comp2016-2017 (3)'!$R$5:$R$289,$V1700)*$AB1700))</f>
        <v/>
      </c>
      <c r="AH1700" s="205" t="str">
        <f>IF($W1700=AH$3,$AB1700,IF(NOT($W1700=0),"",SUMIFS('Val-Vol (2)'!AH$4:AH$1858,'Val-Vol (2)'!$A$4:$A$1858,$D1700,'Val-Vol (2)'!$V$4:$V$1858,$V1700)/SUMIFS('Comp2016-2017 (3)'!$G$5:$G$289,'Comp2016-2017 (3)'!$A$5:$A$289,$D1700,'Comp2016-2017 (3)'!$R$5:$R$289,$V1700)*$AB1700))</f>
        <v/>
      </c>
      <c r="AI1700" s="205" t="str">
        <f>IF($W1700=AI$3,$AB1700,IF(NOT($W1700=0),"",SUMIFS('Val-Vol (2)'!AI$4:AI$1858,'Val-Vol (2)'!$A$4:$A$1858,$D1700,'Val-Vol (2)'!$V$4:$V$1858,$V1700)/SUMIFS('Comp2016-2017 (3)'!$G$5:$G$289,'Comp2016-2017 (3)'!$A$5:$A$289,$D1700,'Comp2016-2017 (3)'!$R$5:$R$289,$V1700)*$AB1700))</f>
        <v/>
      </c>
      <c r="AJ1700" s="205" t="str">
        <f>IF($W1700=AJ$3,$AB1700,IF(NOT($W1700=0),"",SUMIFS('Val-Vol (2)'!AJ$4:AJ$1858,'Val-Vol (2)'!$A$4:$A$1858,$D1700,'Val-Vol (2)'!$V$4:$V$1858,$V1700)/SUMIFS('Comp2016-2017 (3)'!$G$5:$G$289,'Comp2016-2017 (3)'!$A$5:$A$289,$D1700,'Comp2016-2017 (3)'!$R$5:$R$289,$V1700)*$AB1700))</f>
        <v/>
      </c>
      <c r="AK1700" s="205">
        <f t="shared" si="192"/>
        <v>0</v>
      </c>
      <c r="AL1700" s="218" t="str">
        <f t="shared" si="194"/>
        <v/>
      </c>
      <c r="AM1700" s="218" t="str">
        <f>VLOOKUP(A1700,'Table corresp.'!$M$4:$U$63,8,FALSE)</f>
        <v>Production intermédiaire</v>
      </c>
      <c r="AN1700" s="218" t="str">
        <f>VLOOKUP(D1700,'Table corresp.'!$M$4:$U$63,9,FALSE)</f>
        <v xml:space="preserve">Mise en œuvre </v>
      </c>
    </row>
    <row r="1701" spans="1:40" x14ac:dyDescent="0.25">
      <c r="A1701" t="s">
        <v>85</v>
      </c>
      <c r="B1701" t="str">
        <f>VLOOKUP(LEFT(A1701,3),'Table corresp.'!$A$4:$D$63,3,FALSE)</f>
        <v>Transformation</v>
      </c>
      <c r="C1701" t="str">
        <f>VLOOKUP(A1701,'Table corresp.'!$M$4:$P$63,4,FALSE)</f>
        <v>Production et transformation de produits bois</v>
      </c>
      <c r="D1701" t="s">
        <v>54</v>
      </c>
      <c r="E1701" t="str">
        <f>VLOOKUP(LEFT(D1701,3),'Table corresp.'!$A$4:$D$63,4,FALSE)</f>
        <v>Consommation finale</v>
      </c>
      <c r="F1701" t="str">
        <f t="shared" si="190"/>
        <v>29  - Con</v>
      </c>
      <c r="G1701" s="238">
        <v>24866.773764574598</v>
      </c>
      <c r="H1701" s="238">
        <v>3773.9911403200399</v>
      </c>
      <c r="I1701" s="238">
        <v>28640.7649048946</v>
      </c>
      <c r="J1701" s="238">
        <v>101.75557543402812</v>
      </c>
      <c r="K1701" s="238">
        <v>104.48986593937487</v>
      </c>
      <c r="L1701" s="238">
        <v>206.24544137340297</v>
      </c>
      <c r="M1701" s="238"/>
      <c r="N1701" s="238"/>
      <c r="O1701" s="238"/>
      <c r="P1701" s="238"/>
      <c r="Q1701" s="238"/>
      <c r="R1701" s="238"/>
      <c r="S1701" s="238"/>
      <c r="T1701" s="218">
        <f>VLOOKUP(A1701,'Groupe de branches'!$Z$27:$AM$86,14,FALSE)</f>
        <v>0</v>
      </c>
      <c r="U1701" s="218">
        <f>VLOOKUP(D1701,'Groupe de branches'!$Z$27:$AM$86,14,FALSE)</f>
        <v>0</v>
      </c>
      <c r="V1701" s="218">
        <v>2020</v>
      </c>
      <c r="W1701" s="218" t="str">
        <f>VLOOKUP(D1701,'Table corresp.'!$M$4:$S$63,7,FALSE)</f>
        <v>Consommation finale</v>
      </c>
      <c r="X1701" s="240">
        <f>IFERROR(G1701/SUMIFS('Comp2016-2017 (3)'!$I$5:$I$289,'Comp2016-2017 (3)'!$A$5:$A$289,A1701,'Comp2016-2017 (3)'!$R$5:$R$289,V1701),0)</f>
        <v>0.11863875236456878</v>
      </c>
      <c r="Y1701" s="219" t="e">
        <f>IF(RIGHT(F1701,3)="Exp",VLOOKUP(F1701,#REF!,2,FALSE),VLOOKUP(F1701,#REF!,9,FALSE))</f>
        <v>#REF!</v>
      </c>
      <c r="Z1701" s="226" t="str">
        <f t="shared" si="191"/>
        <v/>
      </c>
      <c r="AA1701" s="226" t="e">
        <f t="shared" si="193"/>
        <v>#VALUE!</v>
      </c>
      <c r="AB1701" s="205">
        <f>IFERROR(SUMIFS('Comp2016-2017 (3)'!$G$5:$G$289,'Comp2016-2017 (3)'!$A$5:$A$289,A1701,'Comp2016-2017 (3)'!$R$5:$R$289,V1701)*AA1701/SUMIFS($AA$4:$AA$1858,$A$4:$A$1858,A1701,$V$4:$V$1858,V1701),0)</f>
        <v>0</v>
      </c>
      <c r="AC1701" s="205" t="str">
        <f>IF($W1701=AC$3,$AB1701,IF(NOT($W1701=0),"",SUMIFS('Val-Vol (2)'!AC$4:AC$1858,'Val-Vol (2)'!$A$4:$A$1858,$D1701,'Val-Vol (2)'!$V$4:$V$1858,$V1701)/SUMIFS('Comp2016-2017 (3)'!$G$5:$G$289,'Comp2016-2017 (3)'!$A$5:$A$289,$D1701,'Comp2016-2017 (3)'!$R$5:$R$289,$V1701)*$AB1701))</f>
        <v/>
      </c>
      <c r="AD1701" s="205" t="str">
        <f>IF($W1701=AD$3,$AB1701,IF(NOT($W1701=0),"",SUMIFS('Val-Vol (2)'!AD$4:AD$1858,'Val-Vol (2)'!$A$4:$A$1858,$D1701,'Val-Vol (2)'!$V$4:$V$1858,$V1701)/SUMIFS('Comp2016-2017 (3)'!$G$5:$G$289,'Comp2016-2017 (3)'!$A$5:$A$289,$D1701,'Comp2016-2017 (3)'!$R$5:$R$289,$V1701)*$AB1701))</f>
        <v/>
      </c>
      <c r="AE1701" s="205" t="str">
        <f>IF($W1701=AE$3,$AB1701,IF(NOT($W1701=0),"",SUMIFS('Val-Vol (2)'!AE$4:AE$1858,'Val-Vol (2)'!$A$4:$A$1858,$D1701,'Val-Vol (2)'!$V$4:$V$1858,$V1701)/SUMIFS('Comp2016-2017 (3)'!$G$5:$G$289,'Comp2016-2017 (3)'!$A$5:$A$289,$D1701,'Comp2016-2017 (3)'!$R$5:$R$289,$V1701)*$AB1701))</f>
        <v/>
      </c>
      <c r="AF1701" s="205" t="str">
        <f>IF($W1701=AF$3,$AB1701,IF(NOT($W1701=0),"",SUMIFS('Val-Vol (2)'!AF$4:AF$1858,'Val-Vol (2)'!$A$4:$A$1858,$D1701,'Val-Vol (2)'!$V$4:$V$1858,$V1701)/SUMIFS('Comp2016-2017 (3)'!$G$5:$G$289,'Comp2016-2017 (3)'!$A$5:$A$289,$D1701,'Comp2016-2017 (3)'!$R$5:$R$289,$V1701)*$AB1701))</f>
        <v/>
      </c>
      <c r="AG1701" s="205" t="str">
        <f>IF($W1701=AG$3,$AB1701,IF(NOT($W1701=0),"",SUMIFS('Val-Vol (2)'!AG$4:AG$1858,'Val-Vol (2)'!$A$4:$A$1858,$D1701,'Val-Vol (2)'!$V$4:$V$1858,$V1701)/SUMIFS('Comp2016-2017 (3)'!$G$5:$G$289,'Comp2016-2017 (3)'!$A$5:$A$289,$D1701,'Comp2016-2017 (3)'!$R$5:$R$289,$V1701)*$AB1701))</f>
        <v/>
      </c>
      <c r="AH1701" s="205" t="str">
        <f>IF($W1701=AH$3,$AB1701,IF(NOT($W1701=0),"",SUMIFS('Val-Vol (2)'!AH$4:AH$1858,'Val-Vol (2)'!$A$4:$A$1858,$D1701,'Val-Vol (2)'!$V$4:$V$1858,$V1701)/SUMIFS('Comp2016-2017 (3)'!$G$5:$G$289,'Comp2016-2017 (3)'!$A$5:$A$289,$D1701,'Comp2016-2017 (3)'!$R$5:$R$289,$V1701)*$AB1701))</f>
        <v/>
      </c>
      <c r="AI1701" s="205" t="str">
        <f>IF($W1701=AI$3,$AB1701,IF(NOT($W1701=0),"",SUMIFS('Val-Vol (2)'!AI$4:AI$1858,'Val-Vol (2)'!$A$4:$A$1858,$D1701,'Val-Vol (2)'!$V$4:$V$1858,$V1701)/SUMIFS('Comp2016-2017 (3)'!$G$5:$G$289,'Comp2016-2017 (3)'!$A$5:$A$289,$D1701,'Comp2016-2017 (3)'!$R$5:$R$289,$V1701)*$AB1701))</f>
        <v/>
      </c>
      <c r="AJ1701" s="205">
        <f>IF($W1701=AJ$3,$AB1701,IF(NOT($W1701=0),"",SUMIFS('Val-Vol (2)'!AJ$4:AJ$1858,'Val-Vol (2)'!$A$4:$A$1858,$D1701,'Val-Vol (2)'!$V$4:$V$1858,$V1701)/SUMIFS('Comp2016-2017 (3)'!$G$5:$G$289,'Comp2016-2017 (3)'!$A$5:$A$289,$D1701,'Comp2016-2017 (3)'!$R$5:$R$289,$V1701)*$AB1701))</f>
        <v>0</v>
      </c>
      <c r="AK1701" s="205">
        <f t="shared" si="192"/>
        <v>0</v>
      </c>
      <c r="AL1701" s="218" t="str">
        <f t="shared" si="194"/>
        <v/>
      </c>
      <c r="AM1701" s="218" t="str">
        <f>VLOOKUP(A1701,'Table corresp.'!$M$4:$U$63,8,FALSE)</f>
        <v>Production intermédiaire</v>
      </c>
      <c r="AN1701" s="218" t="str">
        <f>VLOOKUP(D1701,'Table corresp.'!$M$4:$U$63,9,FALSE)</f>
        <v>Consommation finale française</v>
      </c>
    </row>
    <row r="1702" spans="1:40" x14ac:dyDescent="0.25">
      <c r="A1702" t="s">
        <v>85</v>
      </c>
      <c r="B1702" t="str">
        <f>VLOOKUP(LEFT(A1702,3),'Table corresp.'!$A$4:$D$63,3,FALSE)</f>
        <v>Transformation</v>
      </c>
      <c r="C1702" t="str">
        <f>VLOOKUP(A1702,'Table corresp.'!$M$4:$P$63,4,FALSE)</f>
        <v>Production et transformation de produits bois</v>
      </c>
      <c r="D1702" t="s">
        <v>53</v>
      </c>
      <c r="E1702" t="str">
        <f>VLOOKUP(LEFT(D1702,3),'Table corresp.'!$A$4:$D$63,4,FALSE)</f>
        <v>Exportation</v>
      </c>
      <c r="F1702" t="str">
        <f t="shared" si="190"/>
        <v>29  - Exp</v>
      </c>
      <c r="G1702" s="238">
        <v>23710.57475</v>
      </c>
      <c r="H1702" s="238">
        <v>0</v>
      </c>
      <c r="I1702" s="238">
        <v>23710.57475</v>
      </c>
      <c r="J1702" s="238">
        <v>119.23477383858813</v>
      </c>
      <c r="K1702" s="238">
        <v>0</v>
      </c>
      <c r="L1702" s="238">
        <v>119.23477383858813</v>
      </c>
      <c r="M1702" s="238"/>
      <c r="N1702" s="238"/>
      <c r="O1702" s="238"/>
      <c r="P1702" s="238"/>
      <c r="Q1702" s="238"/>
      <c r="R1702" s="238"/>
      <c r="S1702" s="238"/>
      <c r="T1702" s="218">
        <f>VLOOKUP(A1702,'Groupe de branches'!$Z$27:$AM$86,14,FALSE)</f>
        <v>0</v>
      </c>
      <c r="U1702" s="218">
        <f>VLOOKUP(D1702,'Groupe de branches'!$Z$27:$AM$86,14,FALSE)</f>
        <v>0</v>
      </c>
      <c r="V1702" s="218">
        <v>2020</v>
      </c>
      <c r="W1702" s="218" t="str">
        <f>VLOOKUP(D1702,'Table corresp.'!$M$4:$S$63,7,FALSE)</f>
        <v>Exportation</v>
      </c>
      <c r="X1702" s="240">
        <f>IFERROR(G1702/SUMIFS('Comp2016-2017 (3)'!$I$5:$I$289,'Comp2016-2017 (3)'!$A$5:$A$289,A1702,'Comp2016-2017 (3)'!$R$5:$R$289,V1702),0)</f>
        <v>0.11312255593824798</v>
      </c>
      <c r="Y1702" s="219" t="e">
        <f>IF(RIGHT(F1702,3)="Exp",VLOOKUP(F1702,#REF!,2,FALSE),VLOOKUP(F1702,#REF!,9,FALSE))</f>
        <v>#REF!</v>
      </c>
      <c r="Z1702" s="226" t="str">
        <f t="shared" si="191"/>
        <v/>
      </c>
      <c r="AA1702" s="226" t="e">
        <f t="shared" si="193"/>
        <v>#VALUE!</v>
      </c>
      <c r="AB1702" s="205">
        <f>IFERROR(SUMIFS('Comp2016-2017 (3)'!$G$5:$G$289,'Comp2016-2017 (3)'!$A$5:$A$289,A1702,'Comp2016-2017 (3)'!$R$5:$R$289,V1702)*AA1702/SUMIFS($AA$4:$AA$1858,$A$4:$A$1858,A1702,$V$4:$V$1858,V1702),0)</f>
        <v>0</v>
      </c>
      <c r="AC1702" s="205">
        <f>IF($W1702=AC$3,$AB1702,IF(NOT($W1702=0),"",SUMIFS('Val-Vol (2)'!AC$4:AC$1858,'Val-Vol (2)'!$A$4:$A$1858,$D1702,'Val-Vol (2)'!$V$4:$V$1858,$V1702)/SUMIFS('Comp2016-2017 (3)'!$G$5:$G$289,'Comp2016-2017 (3)'!$A$5:$A$289,$D1702,'Comp2016-2017 (3)'!$R$5:$R$289,$V1702)*$AB1702))</f>
        <v>0</v>
      </c>
      <c r="AD1702" s="205" t="str">
        <f>IF($W1702=AD$3,$AB1702,IF(NOT($W1702=0),"",SUMIFS('Val-Vol (2)'!AD$4:AD$1858,'Val-Vol (2)'!$A$4:$A$1858,$D1702,'Val-Vol (2)'!$V$4:$V$1858,$V1702)/SUMIFS('Comp2016-2017 (3)'!$G$5:$G$289,'Comp2016-2017 (3)'!$A$5:$A$289,$D1702,'Comp2016-2017 (3)'!$R$5:$R$289,$V1702)*$AB1702))</f>
        <v/>
      </c>
      <c r="AE1702" s="205" t="str">
        <f>IF($W1702=AE$3,$AB1702,IF(NOT($W1702=0),"",SUMIFS('Val-Vol (2)'!AE$4:AE$1858,'Val-Vol (2)'!$A$4:$A$1858,$D1702,'Val-Vol (2)'!$V$4:$V$1858,$V1702)/SUMIFS('Comp2016-2017 (3)'!$G$5:$G$289,'Comp2016-2017 (3)'!$A$5:$A$289,$D1702,'Comp2016-2017 (3)'!$R$5:$R$289,$V1702)*$AB1702))</f>
        <v/>
      </c>
      <c r="AF1702" s="205" t="str">
        <f>IF($W1702=AF$3,$AB1702,IF(NOT($W1702=0),"",SUMIFS('Val-Vol (2)'!AF$4:AF$1858,'Val-Vol (2)'!$A$4:$A$1858,$D1702,'Val-Vol (2)'!$V$4:$V$1858,$V1702)/SUMIFS('Comp2016-2017 (3)'!$G$5:$G$289,'Comp2016-2017 (3)'!$A$5:$A$289,$D1702,'Comp2016-2017 (3)'!$R$5:$R$289,$V1702)*$AB1702))</f>
        <v/>
      </c>
      <c r="AG1702" s="205" t="str">
        <f>IF($W1702=AG$3,$AB1702,IF(NOT($W1702=0),"",SUMIFS('Val-Vol (2)'!AG$4:AG$1858,'Val-Vol (2)'!$A$4:$A$1858,$D1702,'Val-Vol (2)'!$V$4:$V$1858,$V1702)/SUMIFS('Comp2016-2017 (3)'!$G$5:$G$289,'Comp2016-2017 (3)'!$A$5:$A$289,$D1702,'Comp2016-2017 (3)'!$R$5:$R$289,$V1702)*$AB1702))</f>
        <v/>
      </c>
      <c r="AH1702" s="205" t="str">
        <f>IF($W1702=AH$3,$AB1702,IF(NOT($W1702=0),"",SUMIFS('Val-Vol (2)'!AH$4:AH$1858,'Val-Vol (2)'!$A$4:$A$1858,$D1702,'Val-Vol (2)'!$V$4:$V$1858,$V1702)/SUMIFS('Comp2016-2017 (3)'!$G$5:$G$289,'Comp2016-2017 (3)'!$A$5:$A$289,$D1702,'Comp2016-2017 (3)'!$R$5:$R$289,$V1702)*$AB1702))</f>
        <v/>
      </c>
      <c r="AI1702" s="205" t="str">
        <f>IF($W1702=AI$3,$AB1702,IF(NOT($W1702=0),"",SUMIFS('Val-Vol (2)'!AI$4:AI$1858,'Val-Vol (2)'!$A$4:$A$1858,$D1702,'Val-Vol (2)'!$V$4:$V$1858,$V1702)/SUMIFS('Comp2016-2017 (3)'!$G$5:$G$289,'Comp2016-2017 (3)'!$A$5:$A$289,$D1702,'Comp2016-2017 (3)'!$R$5:$R$289,$V1702)*$AB1702))</f>
        <v/>
      </c>
      <c r="AJ1702" s="205" t="str">
        <f>IF($W1702=AJ$3,$AB1702,IF(NOT($W1702=0),"",SUMIFS('Val-Vol (2)'!AJ$4:AJ$1858,'Val-Vol (2)'!$A$4:$A$1858,$D1702,'Val-Vol (2)'!$V$4:$V$1858,$V1702)/SUMIFS('Comp2016-2017 (3)'!$G$5:$G$289,'Comp2016-2017 (3)'!$A$5:$A$289,$D1702,'Comp2016-2017 (3)'!$R$5:$R$289,$V1702)*$AB1702))</f>
        <v/>
      </c>
      <c r="AK1702" s="205">
        <f t="shared" si="192"/>
        <v>0</v>
      </c>
      <c r="AL1702" s="218" t="str">
        <f t="shared" si="194"/>
        <v/>
      </c>
      <c r="AM1702" s="218" t="str">
        <f>VLOOKUP(A1702,'Table corresp.'!$M$4:$U$63,8,FALSE)</f>
        <v>Production intermédiaire</v>
      </c>
      <c r="AN1702" s="218" t="str">
        <f>VLOOKUP(D1702,'Table corresp.'!$M$4:$U$63,9,FALSE)</f>
        <v>Exportation</v>
      </c>
    </row>
    <row r="1703" spans="1:40" x14ac:dyDescent="0.25">
      <c r="A1703" t="s">
        <v>86</v>
      </c>
      <c r="B1703" t="str">
        <f>VLOOKUP(LEFT(A1703,3),'Table corresp.'!$A$4:$D$63,3,FALSE)</f>
        <v>Transformation</v>
      </c>
      <c r="C1703" t="str">
        <f>VLOOKUP(A1703,'Table corresp.'!$M$4:$P$63,4,FALSE)</f>
        <v>Production et transformation de produits bois</v>
      </c>
      <c r="D1703" t="s">
        <v>101</v>
      </c>
      <c r="E1703" t="str">
        <f>VLOOKUP(LEFT(D1703,3),'Table corresp.'!$A$4:$D$63,4,FALSE)</f>
        <v>Transformation</v>
      </c>
      <c r="F1703" t="str">
        <f t="shared" si="190"/>
        <v xml:space="preserve">30  - 49 </v>
      </c>
      <c r="G1703" s="238">
        <v>177658.76845752</v>
      </c>
      <c r="H1703" s="238">
        <v>37179.1650284157</v>
      </c>
      <c r="I1703" s="238">
        <v>214837.93348593501</v>
      </c>
      <c r="J1703" s="238"/>
      <c r="K1703" s="238"/>
      <c r="L1703" s="238"/>
      <c r="M1703" s="238"/>
      <c r="N1703" s="238"/>
      <c r="O1703" s="238"/>
      <c r="P1703" s="238">
        <v>2096.8229645339975</v>
      </c>
      <c r="Q1703" s="238">
        <v>415.42970932248102</v>
      </c>
      <c r="R1703" s="238">
        <v>2512.2526738564784</v>
      </c>
      <c r="S1703" s="238" t="s">
        <v>198</v>
      </c>
      <c r="T1703" s="218">
        <f>VLOOKUP(A1703,'Groupe de branches'!$Z$27:$AM$86,14,FALSE)</f>
        <v>1</v>
      </c>
      <c r="U1703" s="218">
        <f>VLOOKUP(D1703,'Groupe de branches'!$Z$27:$AM$86,14,FALSE)</f>
        <v>1</v>
      </c>
      <c r="V1703" s="218">
        <v>2020</v>
      </c>
      <c r="W1703" s="218" t="str">
        <f>VLOOKUP(D1703,'Table corresp.'!$M$4:$S$63,7,FALSE)</f>
        <v>Energie</v>
      </c>
      <c r="X1703" s="240">
        <f>IFERROR(G1703/SUMIFS('Comp2016-2017 (3)'!$I$5:$I$289,'Comp2016-2017 (3)'!$A$5:$A$289,A1703,'Comp2016-2017 (3)'!$R$5:$R$289,V1703),0)</f>
        <v>0.32373840350375233</v>
      </c>
      <c r="Y1703" s="219" t="e">
        <f>IF(RIGHT(F1703,3)="Exp",VLOOKUP(F1703,#REF!,2,FALSE),VLOOKUP(F1703,#REF!,9,FALSE))</f>
        <v>#REF!</v>
      </c>
      <c r="Z1703" s="226" t="str">
        <f t="shared" si="191"/>
        <v/>
      </c>
      <c r="AA1703" s="226" t="e">
        <f t="shared" si="193"/>
        <v>#VALUE!</v>
      </c>
      <c r="AB1703" s="205">
        <f>IFERROR(SUMIFS('Comp2016-2017 (3)'!$G$5:$G$289,'Comp2016-2017 (3)'!$A$5:$A$289,A1703,'Comp2016-2017 (3)'!$R$5:$R$289,V1703)*AA1703/SUMIFS($AA$4:$AA$1858,$A$4:$A$1858,A1703,$V$4:$V$1858,V1703),0)</f>
        <v>0</v>
      </c>
      <c r="AC1703" s="205" t="str">
        <f>IF($W1703=AC$3,$AB1703,IF(NOT($W1703=0),"",SUMIFS('Val-Vol (2)'!AC$4:AC$1858,'Val-Vol (2)'!$A$4:$A$1858,$D1703,'Val-Vol (2)'!$V$4:$V$1858,$V1703)/SUMIFS('Comp2016-2017 (3)'!$G$5:$G$289,'Comp2016-2017 (3)'!$A$5:$A$289,$D1703,'Comp2016-2017 (3)'!$R$5:$R$289,$V1703)*$AB1703))</f>
        <v/>
      </c>
      <c r="AD1703" s="205" t="str">
        <f>IF($W1703=AD$3,$AB1703,IF(NOT($W1703=0),"",SUMIFS('Val-Vol (2)'!AD$4:AD$1858,'Val-Vol (2)'!$A$4:$A$1858,$D1703,'Val-Vol (2)'!$V$4:$V$1858,$V1703)/SUMIFS('Comp2016-2017 (3)'!$G$5:$G$289,'Comp2016-2017 (3)'!$A$5:$A$289,$D1703,'Comp2016-2017 (3)'!$R$5:$R$289,$V1703)*$AB1703))</f>
        <v/>
      </c>
      <c r="AE1703" s="205" t="str">
        <f>IF($W1703=AE$3,$AB1703,IF(NOT($W1703=0),"",SUMIFS('Val-Vol (2)'!AE$4:AE$1858,'Val-Vol (2)'!$A$4:$A$1858,$D1703,'Val-Vol (2)'!$V$4:$V$1858,$V1703)/SUMIFS('Comp2016-2017 (3)'!$G$5:$G$289,'Comp2016-2017 (3)'!$A$5:$A$289,$D1703,'Comp2016-2017 (3)'!$R$5:$R$289,$V1703)*$AB1703))</f>
        <v/>
      </c>
      <c r="AF1703" s="205" t="str">
        <f>IF($W1703=AF$3,$AB1703,IF(NOT($W1703=0),"",SUMIFS('Val-Vol (2)'!AF$4:AF$1858,'Val-Vol (2)'!$A$4:$A$1858,$D1703,'Val-Vol (2)'!$V$4:$V$1858,$V1703)/SUMIFS('Comp2016-2017 (3)'!$G$5:$G$289,'Comp2016-2017 (3)'!$A$5:$A$289,$D1703,'Comp2016-2017 (3)'!$R$5:$R$289,$V1703)*$AB1703))</f>
        <v/>
      </c>
      <c r="AG1703" s="205" t="str">
        <f>IF($W1703=AG$3,$AB1703,IF(NOT($W1703=0),"",SUMIFS('Val-Vol (2)'!AG$4:AG$1858,'Val-Vol (2)'!$A$4:$A$1858,$D1703,'Val-Vol (2)'!$V$4:$V$1858,$V1703)/SUMIFS('Comp2016-2017 (3)'!$G$5:$G$289,'Comp2016-2017 (3)'!$A$5:$A$289,$D1703,'Comp2016-2017 (3)'!$R$5:$R$289,$V1703)*$AB1703))</f>
        <v/>
      </c>
      <c r="AH1703" s="205">
        <f>IF($W1703=AH$3,$AB1703,IF(NOT($W1703=0),"",SUMIFS('Val-Vol (2)'!AH$4:AH$1858,'Val-Vol (2)'!$A$4:$A$1858,$D1703,'Val-Vol (2)'!$V$4:$V$1858,$V1703)/SUMIFS('Comp2016-2017 (3)'!$G$5:$G$289,'Comp2016-2017 (3)'!$A$5:$A$289,$D1703,'Comp2016-2017 (3)'!$R$5:$R$289,$V1703)*$AB1703))</f>
        <v>0</v>
      </c>
      <c r="AI1703" s="205" t="str">
        <f>IF($W1703=AI$3,$AB1703,IF(NOT($W1703=0),"",SUMIFS('Val-Vol (2)'!AI$4:AI$1858,'Val-Vol (2)'!$A$4:$A$1858,$D1703,'Val-Vol (2)'!$V$4:$V$1858,$V1703)/SUMIFS('Comp2016-2017 (3)'!$G$5:$G$289,'Comp2016-2017 (3)'!$A$5:$A$289,$D1703,'Comp2016-2017 (3)'!$R$5:$R$289,$V1703)*$AB1703))</f>
        <v/>
      </c>
      <c r="AJ1703" s="205" t="str">
        <f>IF($W1703=AJ$3,$AB1703,IF(NOT($W1703=0),"",SUMIFS('Val-Vol (2)'!AJ$4:AJ$1858,'Val-Vol (2)'!$A$4:$A$1858,$D1703,'Val-Vol (2)'!$V$4:$V$1858,$V1703)/SUMIFS('Comp2016-2017 (3)'!$G$5:$G$289,'Comp2016-2017 (3)'!$A$5:$A$289,$D1703,'Comp2016-2017 (3)'!$R$5:$R$289,$V1703)*$AB1703))</f>
        <v/>
      </c>
      <c r="AK1703" s="205">
        <f t="shared" si="192"/>
        <v>0</v>
      </c>
      <c r="AL1703" s="218" t="str">
        <f t="shared" si="194"/>
        <v/>
      </c>
      <c r="AM1703" s="218" t="str">
        <f>VLOOKUP(A1703,'Table corresp.'!$M$4:$U$63,8,FALSE)</f>
        <v>Production intermédiaire</v>
      </c>
      <c r="AN1703" s="218" t="str">
        <f>VLOOKUP(D1703,'Table corresp.'!$M$4:$U$63,9,FALSE)</f>
        <v>Production finale</v>
      </c>
    </row>
    <row r="1704" spans="1:40" x14ac:dyDescent="0.25">
      <c r="A1704" t="s">
        <v>86</v>
      </c>
      <c r="B1704" t="str">
        <f>VLOOKUP(LEFT(A1704,3),'Table corresp.'!$A$4:$D$63,3,FALSE)</f>
        <v>Transformation</v>
      </c>
      <c r="C1704" t="str">
        <f>VLOOKUP(A1704,'Table corresp.'!$M$4:$P$63,4,FALSE)</f>
        <v>Production et transformation de produits bois</v>
      </c>
      <c r="D1704" t="s">
        <v>54</v>
      </c>
      <c r="E1704" t="str">
        <f>VLOOKUP(LEFT(D1704,3),'Table corresp.'!$A$4:$D$63,4,FALSE)</f>
        <v>Consommation finale</v>
      </c>
      <c r="F1704" t="str">
        <f t="shared" si="190"/>
        <v>30  - Con</v>
      </c>
      <c r="G1704" s="238">
        <v>344650.26705014298</v>
      </c>
      <c r="H1704" s="238">
        <v>110579.425971584</v>
      </c>
      <c r="I1704" s="238">
        <v>455229.69302172802</v>
      </c>
      <c r="J1704" s="238"/>
      <c r="K1704" s="238"/>
      <c r="L1704" s="238"/>
      <c r="M1704" s="238"/>
      <c r="N1704" s="238"/>
      <c r="O1704" s="238"/>
      <c r="P1704" s="238">
        <v>4067.7451552655143</v>
      </c>
      <c r="Q1704" s="238">
        <v>1235.5839286146411</v>
      </c>
      <c r="R1704" s="238">
        <v>5303.3290838801549</v>
      </c>
      <c r="S1704" s="238" t="s">
        <v>198</v>
      </c>
      <c r="T1704" s="218">
        <f>VLOOKUP(A1704,'Groupe de branches'!$Z$27:$AM$86,14,FALSE)</f>
        <v>1</v>
      </c>
      <c r="U1704" s="218">
        <f>VLOOKUP(D1704,'Groupe de branches'!$Z$27:$AM$86,14,FALSE)</f>
        <v>0</v>
      </c>
      <c r="V1704" s="218">
        <v>2020</v>
      </c>
      <c r="W1704" s="218" t="str">
        <f>VLOOKUP(D1704,'Table corresp.'!$M$4:$S$63,7,FALSE)</f>
        <v>Consommation finale</v>
      </c>
      <c r="X1704" s="240">
        <f>IFERROR(G1704/SUMIFS('Comp2016-2017 (3)'!$I$5:$I$289,'Comp2016-2017 (3)'!$A$5:$A$289,A1704,'Comp2016-2017 (3)'!$R$5:$R$289,V1704),0)</f>
        <v>0.62803839174779741</v>
      </c>
      <c r="Y1704" s="219" t="e">
        <f>IF(RIGHT(F1704,3)="Exp",VLOOKUP(F1704,#REF!,2,FALSE),VLOOKUP(F1704,#REF!,9,FALSE))</f>
        <v>#REF!</v>
      </c>
      <c r="Z1704" s="226" t="str">
        <f t="shared" si="191"/>
        <v/>
      </c>
      <c r="AA1704" s="226" t="e">
        <f t="shared" si="193"/>
        <v>#VALUE!</v>
      </c>
      <c r="AB1704" s="205">
        <f>IFERROR(SUMIFS('Comp2016-2017 (3)'!$G$5:$G$289,'Comp2016-2017 (3)'!$A$5:$A$289,A1704,'Comp2016-2017 (3)'!$R$5:$R$289,V1704)*AA1704/SUMIFS($AA$4:$AA$1858,$A$4:$A$1858,A1704,$V$4:$V$1858,V1704),0)</f>
        <v>0</v>
      </c>
      <c r="AC1704" s="205" t="str">
        <f>IF($W1704=AC$3,$AB1704,IF(NOT($W1704=0),"",SUMIFS('Val-Vol (2)'!AC$4:AC$1858,'Val-Vol (2)'!$A$4:$A$1858,$D1704,'Val-Vol (2)'!$V$4:$V$1858,$V1704)/SUMIFS('Comp2016-2017 (3)'!$G$5:$G$289,'Comp2016-2017 (3)'!$A$5:$A$289,$D1704,'Comp2016-2017 (3)'!$R$5:$R$289,$V1704)*$AB1704))</f>
        <v/>
      </c>
      <c r="AD1704" s="205" t="str">
        <f>IF($W1704=AD$3,$AB1704,IF(NOT($W1704=0),"",SUMIFS('Val-Vol (2)'!AD$4:AD$1858,'Val-Vol (2)'!$A$4:$A$1858,$D1704,'Val-Vol (2)'!$V$4:$V$1858,$V1704)/SUMIFS('Comp2016-2017 (3)'!$G$5:$G$289,'Comp2016-2017 (3)'!$A$5:$A$289,$D1704,'Comp2016-2017 (3)'!$R$5:$R$289,$V1704)*$AB1704))</f>
        <v/>
      </c>
      <c r="AE1704" s="205" t="str">
        <f>IF($W1704=AE$3,$AB1704,IF(NOT($W1704=0),"",SUMIFS('Val-Vol (2)'!AE$4:AE$1858,'Val-Vol (2)'!$A$4:$A$1858,$D1704,'Val-Vol (2)'!$V$4:$V$1858,$V1704)/SUMIFS('Comp2016-2017 (3)'!$G$5:$G$289,'Comp2016-2017 (3)'!$A$5:$A$289,$D1704,'Comp2016-2017 (3)'!$R$5:$R$289,$V1704)*$AB1704))</f>
        <v/>
      </c>
      <c r="AF1704" s="205" t="str">
        <f>IF($W1704=AF$3,$AB1704,IF(NOT($W1704=0),"",SUMIFS('Val-Vol (2)'!AF$4:AF$1858,'Val-Vol (2)'!$A$4:$A$1858,$D1704,'Val-Vol (2)'!$V$4:$V$1858,$V1704)/SUMIFS('Comp2016-2017 (3)'!$G$5:$G$289,'Comp2016-2017 (3)'!$A$5:$A$289,$D1704,'Comp2016-2017 (3)'!$R$5:$R$289,$V1704)*$AB1704))</f>
        <v/>
      </c>
      <c r="AG1704" s="205" t="str">
        <f>IF($W1704=AG$3,$AB1704,IF(NOT($W1704=0),"",SUMIFS('Val-Vol (2)'!AG$4:AG$1858,'Val-Vol (2)'!$A$4:$A$1858,$D1704,'Val-Vol (2)'!$V$4:$V$1858,$V1704)/SUMIFS('Comp2016-2017 (3)'!$G$5:$G$289,'Comp2016-2017 (3)'!$A$5:$A$289,$D1704,'Comp2016-2017 (3)'!$R$5:$R$289,$V1704)*$AB1704))</f>
        <v/>
      </c>
      <c r="AH1704" s="205" t="str">
        <f>IF($W1704=AH$3,$AB1704,IF(NOT($W1704=0),"",SUMIFS('Val-Vol (2)'!AH$4:AH$1858,'Val-Vol (2)'!$A$4:$A$1858,$D1704,'Val-Vol (2)'!$V$4:$V$1858,$V1704)/SUMIFS('Comp2016-2017 (3)'!$G$5:$G$289,'Comp2016-2017 (3)'!$A$5:$A$289,$D1704,'Comp2016-2017 (3)'!$R$5:$R$289,$V1704)*$AB1704))</f>
        <v/>
      </c>
      <c r="AI1704" s="205" t="str">
        <f>IF($W1704=AI$3,$AB1704,IF(NOT($W1704=0),"",SUMIFS('Val-Vol (2)'!AI$4:AI$1858,'Val-Vol (2)'!$A$4:$A$1858,$D1704,'Val-Vol (2)'!$V$4:$V$1858,$V1704)/SUMIFS('Comp2016-2017 (3)'!$G$5:$G$289,'Comp2016-2017 (3)'!$A$5:$A$289,$D1704,'Comp2016-2017 (3)'!$R$5:$R$289,$V1704)*$AB1704))</f>
        <v/>
      </c>
      <c r="AJ1704" s="205">
        <f>IF($W1704=AJ$3,$AB1704,IF(NOT($W1704=0),"",SUMIFS('Val-Vol (2)'!AJ$4:AJ$1858,'Val-Vol (2)'!$A$4:$A$1858,$D1704,'Val-Vol (2)'!$V$4:$V$1858,$V1704)/SUMIFS('Comp2016-2017 (3)'!$G$5:$G$289,'Comp2016-2017 (3)'!$A$5:$A$289,$D1704,'Comp2016-2017 (3)'!$R$5:$R$289,$V1704)*$AB1704))</f>
        <v>0</v>
      </c>
      <c r="AK1704" s="205">
        <f t="shared" si="192"/>
        <v>0</v>
      </c>
      <c r="AL1704" s="218" t="str">
        <f t="shared" si="194"/>
        <v/>
      </c>
      <c r="AM1704" s="218" t="str">
        <f>VLOOKUP(A1704,'Table corresp.'!$M$4:$U$63,8,FALSE)</f>
        <v>Production intermédiaire</v>
      </c>
      <c r="AN1704" s="218" t="str">
        <f>VLOOKUP(D1704,'Table corresp.'!$M$4:$U$63,9,FALSE)</f>
        <v>Consommation finale française</v>
      </c>
    </row>
    <row r="1705" spans="1:40" x14ac:dyDescent="0.25">
      <c r="A1705" t="s">
        <v>86</v>
      </c>
      <c r="B1705" t="str">
        <f>VLOOKUP(LEFT(A1705,3),'Table corresp.'!$A$4:$D$63,3,FALSE)</f>
        <v>Transformation</v>
      </c>
      <c r="C1705" t="str">
        <f>VLOOKUP(A1705,'Table corresp.'!$M$4:$P$63,4,FALSE)</f>
        <v>Production et transformation de produits bois</v>
      </c>
      <c r="D1705" t="s">
        <v>53</v>
      </c>
      <c r="E1705" t="str">
        <f>VLOOKUP(LEFT(D1705,3),'Table corresp.'!$A$4:$D$63,4,FALSE)</f>
        <v>Exportation</v>
      </c>
      <c r="F1705" t="str">
        <f t="shared" si="190"/>
        <v>30  - Exp</v>
      </c>
      <c r="G1705" s="238">
        <v>26463.573904000001</v>
      </c>
      <c r="H1705" s="238">
        <v>0</v>
      </c>
      <c r="I1705" s="238">
        <v>26463.573904000001</v>
      </c>
      <c r="J1705" s="238"/>
      <c r="K1705" s="238"/>
      <c r="L1705" s="238"/>
      <c r="M1705" s="238"/>
      <c r="N1705" s="238"/>
      <c r="O1705" s="238"/>
      <c r="P1705" s="238">
        <v>264.15053672754669</v>
      </c>
      <c r="Q1705" s="238">
        <v>0</v>
      </c>
      <c r="R1705" s="238">
        <v>264.15053672754669</v>
      </c>
      <c r="S1705" s="238" t="s">
        <v>198</v>
      </c>
      <c r="T1705" s="218">
        <f>VLOOKUP(A1705,'Groupe de branches'!$Z$27:$AM$86,14,FALSE)</f>
        <v>1</v>
      </c>
      <c r="U1705" s="218">
        <f>VLOOKUP(D1705,'Groupe de branches'!$Z$27:$AM$86,14,FALSE)</f>
        <v>0</v>
      </c>
      <c r="V1705" s="218">
        <v>2020</v>
      </c>
      <c r="W1705" s="218" t="str">
        <f>VLOOKUP(D1705,'Table corresp.'!$M$4:$S$63,7,FALSE)</f>
        <v>Exportation</v>
      </c>
      <c r="X1705" s="240">
        <f>IFERROR(G1705/SUMIFS('Comp2016-2017 (3)'!$I$5:$I$289,'Comp2016-2017 (3)'!$A$5:$A$289,A1705,'Comp2016-2017 (3)'!$R$5:$R$289,V1705),0)</f>
        <v>4.8223204748450363E-2</v>
      </c>
      <c r="Y1705" s="219" t="e">
        <f>IF(RIGHT(F1705,3)="Exp",VLOOKUP(F1705,#REF!,2,FALSE),VLOOKUP(F1705,#REF!,9,FALSE))</f>
        <v>#REF!</v>
      </c>
      <c r="Z1705" s="226" t="str">
        <f t="shared" si="191"/>
        <v/>
      </c>
      <c r="AA1705" s="226" t="e">
        <f t="shared" si="193"/>
        <v>#VALUE!</v>
      </c>
      <c r="AB1705" s="205">
        <f>IFERROR(SUMIFS('Comp2016-2017 (3)'!$G$5:$G$289,'Comp2016-2017 (3)'!$A$5:$A$289,A1705,'Comp2016-2017 (3)'!$R$5:$R$289,V1705)*AA1705/SUMIFS($AA$4:$AA$1858,$A$4:$A$1858,A1705,$V$4:$V$1858,V1705),0)</f>
        <v>0</v>
      </c>
      <c r="AC1705" s="205">
        <f>IF($W1705=AC$3,$AB1705,IF(NOT($W1705=0),"",SUMIFS('Val-Vol (2)'!AC$4:AC$1858,'Val-Vol (2)'!$A$4:$A$1858,$D1705,'Val-Vol (2)'!$V$4:$V$1858,$V1705)/SUMIFS('Comp2016-2017 (3)'!$G$5:$G$289,'Comp2016-2017 (3)'!$A$5:$A$289,$D1705,'Comp2016-2017 (3)'!$R$5:$R$289,$V1705)*$AB1705))</f>
        <v>0</v>
      </c>
      <c r="AD1705" s="205" t="str">
        <f>IF($W1705=AD$3,$AB1705,IF(NOT($W1705=0),"",SUMIFS('Val-Vol (2)'!AD$4:AD$1858,'Val-Vol (2)'!$A$4:$A$1858,$D1705,'Val-Vol (2)'!$V$4:$V$1858,$V1705)/SUMIFS('Comp2016-2017 (3)'!$G$5:$G$289,'Comp2016-2017 (3)'!$A$5:$A$289,$D1705,'Comp2016-2017 (3)'!$R$5:$R$289,$V1705)*$AB1705))</f>
        <v/>
      </c>
      <c r="AE1705" s="205" t="str">
        <f>IF($W1705=AE$3,$AB1705,IF(NOT($W1705=0),"",SUMIFS('Val-Vol (2)'!AE$4:AE$1858,'Val-Vol (2)'!$A$4:$A$1858,$D1705,'Val-Vol (2)'!$V$4:$V$1858,$V1705)/SUMIFS('Comp2016-2017 (3)'!$G$5:$G$289,'Comp2016-2017 (3)'!$A$5:$A$289,$D1705,'Comp2016-2017 (3)'!$R$5:$R$289,$V1705)*$AB1705))</f>
        <v/>
      </c>
      <c r="AF1705" s="205" t="str">
        <f>IF($W1705=AF$3,$AB1705,IF(NOT($W1705=0),"",SUMIFS('Val-Vol (2)'!AF$4:AF$1858,'Val-Vol (2)'!$A$4:$A$1858,$D1705,'Val-Vol (2)'!$V$4:$V$1858,$V1705)/SUMIFS('Comp2016-2017 (3)'!$G$5:$G$289,'Comp2016-2017 (3)'!$A$5:$A$289,$D1705,'Comp2016-2017 (3)'!$R$5:$R$289,$V1705)*$AB1705))</f>
        <v/>
      </c>
      <c r="AG1705" s="205" t="str">
        <f>IF($W1705=AG$3,$AB1705,IF(NOT($W1705=0),"",SUMIFS('Val-Vol (2)'!AG$4:AG$1858,'Val-Vol (2)'!$A$4:$A$1858,$D1705,'Val-Vol (2)'!$V$4:$V$1858,$V1705)/SUMIFS('Comp2016-2017 (3)'!$G$5:$G$289,'Comp2016-2017 (3)'!$A$5:$A$289,$D1705,'Comp2016-2017 (3)'!$R$5:$R$289,$V1705)*$AB1705))</f>
        <v/>
      </c>
      <c r="AH1705" s="205" t="str">
        <f>IF($W1705=AH$3,$AB1705,IF(NOT($W1705=0),"",SUMIFS('Val-Vol (2)'!AH$4:AH$1858,'Val-Vol (2)'!$A$4:$A$1858,$D1705,'Val-Vol (2)'!$V$4:$V$1858,$V1705)/SUMIFS('Comp2016-2017 (3)'!$G$5:$G$289,'Comp2016-2017 (3)'!$A$5:$A$289,$D1705,'Comp2016-2017 (3)'!$R$5:$R$289,$V1705)*$AB1705))</f>
        <v/>
      </c>
      <c r="AI1705" s="205" t="str">
        <f>IF($W1705=AI$3,$AB1705,IF(NOT($W1705=0),"",SUMIFS('Val-Vol (2)'!AI$4:AI$1858,'Val-Vol (2)'!$A$4:$A$1858,$D1705,'Val-Vol (2)'!$V$4:$V$1858,$V1705)/SUMIFS('Comp2016-2017 (3)'!$G$5:$G$289,'Comp2016-2017 (3)'!$A$5:$A$289,$D1705,'Comp2016-2017 (3)'!$R$5:$R$289,$V1705)*$AB1705))</f>
        <v/>
      </c>
      <c r="AJ1705" s="205" t="str">
        <f>IF($W1705=AJ$3,$AB1705,IF(NOT($W1705=0),"",SUMIFS('Val-Vol (2)'!AJ$4:AJ$1858,'Val-Vol (2)'!$A$4:$A$1858,$D1705,'Val-Vol (2)'!$V$4:$V$1858,$V1705)/SUMIFS('Comp2016-2017 (3)'!$G$5:$G$289,'Comp2016-2017 (3)'!$A$5:$A$289,$D1705,'Comp2016-2017 (3)'!$R$5:$R$289,$V1705)*$AB1705))</f>
        <v/>
      </c>
      <c r="AK1705" s="205">
        <f t="shared" si="192"/>
        <v>0</v>
      </c>
      <c r="AL1705" s="218" t="str">
        <f t="shared" si="194"/>
        <v/>
      </c>
      <c r="AM1705" s="218" t="str">
        <f>VLOOKUP(A1705,'Table corresp.'!$M$4:$U$63,8,FALSE)</f>
        <v>Production intermédiaire</v>
      </c>
      <c r="AN1705" s="218" t="str">
        <f>VLOOKUP(D1705,'Table corresp.'!$M$4:$U$63,9,FALSE)</f>
        <v>Exportation</v>
      </c>
    </row>
    <row r="1706" spans="1:40" x14ac:dyDescent="0.25">
      <c r="A1706" t="s">
        <v>87</v>
      </c>
      <c r="B1706" t="str">
        <f>VLOOKUP(LEFT(A1706,3),'Table corresp.'!$A$4:$D$63,3,FALSE)</f>
        <v>Transformation</v>
      </c>
      <c r="C1706" t="str">
        <f>VLOOKUP(A1706,'Table corresp.'!$M$4:$P$63,4,FALSE)</f>
        <v>Production et transformation de produits bois</v>
      </c>
      <c r="D1706" t="s">
        <v>87</v>
      </c>
      <c r="E1706" t="str">
        <f>VLOOKUP(LEFT(D1706,3),'Table corresp.'!$A$4:$D$63,4,FALSE)</f>
        <v>Transformation</v>
      </c>
      <c r="F1706" t="str">
        <f t="shared" ref="F1706:F1769" si="195">LEFT(A1706,3)&amp;" - "&amp;LEFT(D1706,3)</f>
        <v xml:space="preserve">31  - 31 </v>
      </c>
      <c r="G1706" s="238">
        <v>0.87078683067580598</v>
      </c>
      <c r="H1706" s="238">
        <v>51081.893932500301</v>
      </c>
      <c r="I1706" s="238">
        <v>51082.764719330997</v>
      </c>
      <c r="J1706" s="238"/>
      <c r="K1706" s="238"/>
      <c r="L1706" s="238"/>
      <c r="M1706" s="238"/>
      <c r="N1706" s="238"/>
      <c r="O1706" s="238"/>
      <c r="P1706" s="238"/>
      <c r="Q1706" s="238"/>
      <c r="R1706" s="238"/>
      <c r="S1706" s="238"/>
      <c r="T1706" s="218">
        <f>VLOOKUP(A1706,'Groupe de branches'!$Z$27:$AM$86,14,FALSE)</f>
        <v>0</v>
      </c>
      <c r="U1706" s="218">
        <f>VLOOKUP(D1706,'Groupe de branches'!$Z$27:$AM$86,14,FALSE)</f>
        <v>0</v>
      </c>
      <c r="V1706" s="218">
        <v>2020</v>
      </c>
      <c r="W1706" s="218">
        <f>VLOOKUP(D1706,'Table corresp.'!$M$4:$S$63,7,FALSE)</f>
        <v>0</v>
      </c>
      <c r="X1706" s="240">
        <f>IFERROR(G1706/SUMIFS('Comp2016-2017 (3)'!$I$5:$I$289,'Comp2016-2017 (3)'!$A$5:$A$289,A1706,'Comp2016-2017 (3)'!$R$5:$R$289,V1706),0)</f>
        <v>6.1897001964399873E-7</v>
      </c>
      <c r="Y1706" s="219" t="e">
        <f>IF(RIGHT(F1706,3)="Exp",VLOOKUP(F1706,#REF!,2,FALSE),VLOOKUP(F1706,#REF!,9,FALSE))</f>
        <v>#REF!</v>
      </c>
      <c r="Z1706" s="226" t="str">
        <f t="shared" si="191"/>
        <v/>
      </c>
      <c r="AA1706" s="226" t="e">
        <f t="shared" si="193"/>
        <v>#VALUE!</v>
      </c>
      <c r="AB1706" s="205">
        <f>IFERROR(SUMIFS('Comp2016-2017 (3)'!$G$5:$G$289,'Comp2016-2017 (3)'!$A$5:$A$289,A1706,'Comp2016-2017 (3)'!$R$5:$R$289,V1706)*AA1706/SUMIFS($AA$4:$AA$1858,$A$4:$A$1858,A1706,$V$4:$V$1858,V1706),0)</f>
        <v>0</v>
      </c>
      <c r="AC1706" s="205"/>
      <c r="AD1706" s="205"/>
      <c r="AE1706" s="205"/>
      <c r="AF1706" s="205"/>
      <c r="AG1706" s="205"/>
      <c r="AH1706" s="205"/>
      <c r="AI1706" s="205"/>
      <c r="AJ1706" s="205">
        <f>AB1706</f>
        <v>0</v>
      </c>
      <c r="AK1706" s="205">
        <f t="shared" si="192"/>
        <v>0</v>
      </c>
      <c r="AL1706" s="218" t="str">
        <f t="shared" si="194"/>
        <v>remplir à la main</v>
      </c>
      <c r="AM1706" s="218" t="str">
        <f>VLOOKUP(A1706,'Table corresp.'!$M$4:$U$63,8,FALSE)</f>
        <v>Production intermédiaire</v>
      </c>
      <c r="AN1706" s="218" t="str">
        <f>VLOOKUP(D1706,'Table corresp.'!$M$4:$U$63,9,FALSE)</f>
        <v>Production intermédiaire</v>
      </c>
    </row>
    <row r="1707" spans="1:40" x14ac:dyDescent="0.25">
      <c r="A1707" t="s">
        <v>87</v>
      </c>
      <c r="B1707" t="str">
        <f>VLOOKUP(LEFT(A1707,3),'Table corresp.'!$A$4:$D$63,3,FALSE)</f>
        <v>Transformation</v>
      </c>
      <c r="C1707" t="str">
        <f>VLOOKUP(A1707,'Table corresp.'!$M$4:$P$63,4,FALSE)</f>
        <v>Production et transformation de produits bois</v>
      </c>
      <c r="D1707" t="s">
        <v>89</v>
      </c>
      <c r="E1707" t="str">
        <f>VLOOKUP(LEFT(D1707,3),'Table corresp.'!$A$4:$D$63,4,FALSE)</f>
        <v>Transformation</v>
      </c>
      <c r="F1707" t="str">
        <f t="shared" si="195"/>
        <v xml:space="preserve">31  - 33 </v>
      </c>
      <c r="G1707" s="238">
        <v>3824.6720234200102</v>
      </c>
      <c r="H1707" s="238">
        <v>4814.3111021178802</v>
      </c>
      <c r="I1707" s="238">
        <v>8638.9831255378995</v>
      </c>
      <c r="J1707" s="238">
        <v>0.78817415902430266</v>
      </c>
      <c r="K1707" s="238">
        <v>0.63940386964744356</v>
      </c>
      <c r="L1707" s="238">
        <v>1.4275780286717463</v>
      </c>
      <c r="M1707" s="238">
        <v>10.334081900080607</v>
      </c>
      <c r="N1707" s="238">
        <v>9.0802592579404475</v>
      </c>
      <c r="O1707" s="238">
        <v>19.414341158021053</v>
      </c>
      <c r="P1707" s="238">
        <v>2.3754744399144245</v>
      </c>
      <c r="Q1707" s="238">
        <v>2.9691933100642163</v>
      </c>
      <c r="R1707" s="238">
        <v>5.3446677499786404</v>
      </c>
      <c r="S1707" s="238" t="s">
        <v>192</v>
      </c>
      <c r="T1707" s="218">
        <f>VLOOKUP(A1707,'Groupe de branches'!$Z$27:$AM$86,14,FALSE)</f>
        <v>0</v>
      </c>
      <c r="U1707" s="218">
        <f>VLOOKUP(D1707,'Groupe de branches'!$Z$27:$AM$86,14,FALSE)</f>
        <v>0</v>
      </c>
      <c r="V1707" s="218">
        <v>2020</v>
      </c>
      <c r="W1707" s="218" t="str">
        <f>VLOOKUP(D1707,'Table corresp.'!$M$4:$S$63,7,FALSE)</f>
        <v>Construction</v>
      </c>
      <c r="X1707" s="240">
        <f>IFERROR(G1707/SUMIFS('Comp2016-2017 (3)'!$I$5:$I$289,'Comp2016-2017 (3)'!$A$5:$A$289,A1707,'Comp2016-2017 (3)'!$R$5:$R$289,V1707),0)</f>
        <v>2.7186416170658688E-3</v>
      </c>
      <c r="Y1707" s="219" t="e">
        <f>IF(RIGHT(F1707,3)="Exp",VLOOKUP(F1707,#REF!,2,FALSE),VLOOKUP(F1707,#REF!,9,FALSE))</f>
        <v>#REF!</v>
      </c>
      <c r="Z1707" s="226" t="str">
        <f t="shared" si="191"/>
        <v/>
      </c>
      <c r="AA1707" s="226" t="e">
        <f t="shared" si="193"/>
        <v>#VALUE!</v>
      </c>
      <c r="AB1707" s="205">
        <f>IFERROR(SUMIFS('Comp2016-2017 (3)'!$G$5:$G$289,'Comp2016-2017 (3)'!$A$5:$A$289,A1707,'Comp2016-2017 (3)'!$R$5:$R$289,V1707)*AA1707/SUMIFS($AA$4:$AA$1858,$A$4:$A$1858,A1707,$V$4:$V$1858,V1707),0)</f>
        <v>0</v>
      </c>
      <c r="AC1707" s="205" t="str">
        <f>IF($W1707=AC$3,$AB1707,IF(NOT($W1707=0),"",SUMIFS('Val-Vol (2)'!AC$4:AC$1858,'Val-Vol (2)'!$A$4:$A$1858,$D1707,'Val-Vol (2)'!$V$4:$V$1858,$V1707)/SUMIFS('Comp2016-2017 (3)'!$G$5:$G$289,'Comp2016-2017 (3)'!$A$5:$A$289,$D1707,'Comp2016-2017 (3)'!$R$5:$R$289,$V1707)*$AB1707))</f>
        <v/>
      </c>
      <c r="AD1707" s="205">
        <f>IF($W1707=AD$3,$AB1707,IF(NOT($W1707=0),"",SUMIFS('Val-Vol (2)'!AD$4:AD$1858,'Val-Vol (2)'!$A$4:$A$1858,$D1707,'Val-Vol (2)'!$V$4:$V$1858,$V1707)/SUMIFS('Comp2016-2017 (3)'!$G$5:$G$289,'Comp2016-2017 (3)'!$A$5:$A$289,$D1707,'Comp2016-2017 (3)'!$R$5:$R$289,$V1707)*$AB1707))</f>
        <v>0</v>
      </c>
      <c r="AE1707" s="205" t="str">
        <f>IF($W1707=AE$3,$AB1707,IF(NOT($W1707=0),"",SUMIFS('Val-Vol (2)'!AE$4:AE$1858,'Val-Vol (2)'!$A$4:$A$1858,$D1707,'Val-Vol (2)'!$V$4:$V$1858,$V1707)/SUMIFS('Comp2016-2017 (3)'!$G$5:$G$289,'Comp2016-2017 (3)'!$A$5:$A$289,$D1707,'Comp2016-2017 (3)'!$R$5:$R$289,$V1707)*$AB1707))</f>
        <v/>
      </c>
      <c r="AF1707" s="205" t="str">
        <f>IF($W1707=AF$3,$AB1707,IF(NOT($W1707=0),"",SUMIFS('Val-Vol (2)'!AF$4:AF$1858,'Val-Vol (2)'!$A$4:$A$1858,$D1707,'Val-Vol (2)'!$V$4:$V$1858,$V1707)/SUMIFS('Comp2016-2017 (3)'!$G$5:$G$289,'Comp2016-2017 (3)'!$A$5:$A$289,$D1707,'Comp2016-2017 (3)'!$R$5:$R$289,$V1707)*$AB1707))</f>
        <v/>
      </c>
      <c r="AG1707" s="205" t="str">
        <f>IF($W1707=AG$3,$AB1707,IF(NOT($W1707=0),"",SUMIFS('Val-Vol (2)'!AG$4:AG$1858,'Val-Vol (2)'!$A$4:$A$1858,$D1707,'Val-Vol (2)'!$V$4:$V$1858,$V1707)/SUMIFS('Comp2016-2017 (3)'!$G$5:$G$289,'Comp2016-2017 (3)'!$A$5:$A$289,$D1707,'Comp2016-2017 (3)'!$R$5:$R$289,$V1707)*$AB1707))</f>
        <v/>
      </c>
      <c r="AH1707" s="205" t="str">
        <f>IF($W1707=AH$3,$AB1707,IF(NOT($W1707=0),"",SUMIFS('Val-Vol (2)'!AH$4:AH$1858,'Val-Vol (2)'!$A$4:$A$1858,$D1707,'Val-Vol (2)'!$V$4:$V$1858,$V1707)/SUMIFS('Comp2016-2017 (3)'!$G$5:$G$289,'Comp2016-2017 (3)'!$A$5:$A$289,$D1707,'Comp2016-2017 (3)'!$R$5:$R$289,$V1707)*$AB1707))</f>
        <v/>
      </c>
      <c r="AI1707" s="205" t="str">
        <f>IF($W1707=AI$3,$AB1707,IF(NOT($W1707=0),"",SUMIFS('Val-Vol (2)'!AI$4:AI$1858,'Val-Vol (2)'!$A$4:$A$1858,$D1707,'Val-Vol (2)'!$V$4:$V$1858,$V1707)/SUMIFS('Comp2016-2017 (3)'!$G$5:$G$289,'Comp2016-2017 (3)'!$A$5:$A$289,$D1707,'Comp2016-2017 (3)'!$R$5:$R$289,$V1707)*$AB1707))</f>
        <v/>
      </c>
      <c r="AJ1707" s="205" t="str">
        <f>IF($W1707=AJ$3,$AB1707,IF(NOT($W1707=0),"",SUMIFS('Val-Vol (2)'!AJ$4:AJ$1858,'Val-Vol (2)'!$A$4:$A$1858,$D1707,'Val-Vol (2)'!$V$4:$V$1858,$V1707)/SUMIFS('Comp2016-2017 (3)'!$G$5:$G$289,'Comp2016-2017 (3)'!$A$5:$A$289,$D1707,'Comp2016-2017 (3)'!$R$5:$R$289,$V1707)*$AB1707))</f>
        <v/>
      </c>
      <c r="AK1707" s="205">
        <f t="shared" si="192"/>
        <v>0</v>
      </c>
      <c r="AL1707" s="218" t="str">
        <f t="shared" si="194"/>
        <v/>
      </c>
      <c r="AM1707" s="218" t="str">
        <f>VLOOKUP(A1707,'Table corresp.'!$M$4:$U$63,8,FALSE)</f>
        <v>Production intermédiaire</v>
      </c>
      <c r="AN1707" s="218" t="str">
        <f>VLOOKUP(D1707,'Table corresp.'!$M$4:$U$63,9,FALSE)</f>
        <v>Production finale</v>
      </c>
    </row>
    <row r="1708" spans="1:40" x14ac:dyDescent="0.25">
      <c r="A1708" t="s">
        <v>87</v>
      </c>
      <c r="B1708" t="str">
        <f>VLOOKUP(LEFT(A1708,3),'Table corresp.'!$A$4:$D$63,3,FALSE)</f>
        <v>Transformation</v>
      </c>
      <c r="C1708" t="str">
        <f>VLOOKUP(A1708,'Table corresp.'!$M$4:$P$63,4,FALSE)</f>
        <v>Production et transformation de produits bois</v>
      </c>
      <c r="D1708" t="s">
        <v>90</v>
      </c>
      <c r="E1708" t="str">
        <f>VLOOKUP(LEFT(D1708,3),'Table corresp.'!$A$4:$D$63,4,FALSE)</f>
        <v>Transformation</v>
      </c>
      <c r="F1708" t="str">
        <f t="shared" si="195"/>
        <v xml:space="preserve">31  - 34 </v>
      </c>
      <c r="G1708" s="238">
        <v>14199.5717545274</v>
      </c>
      <c r="H1708" s="238">
        <v>10345.364046417</v>
      </c>
      <c r="I1708" s="238">
        <v>24544.935800944299</v>
      </c>
      <c r="J1708" s="238">
        <v>4.2332285300959054</v>
      </c>
      <c r="K1708" s="238">
        <v>1.9877207061226125</v>
      </c>
      <c r="L1708" s="238">
        <v>6.2209492362185177</v>
      </c>
      <c r="M1708" s="238">
        <v>55.503634356553469</v>
      </c>
      <c r="N1708" s="238">
        <v>28.227885692843387</v>
      </c>
      <c r="O1708" s="238">
        <v>83.731520049396863</v>
      </c>
      <c r="P1708" s="238">
        <v>8.8192450369767279</v>
      </c>
      <c r="Q1708" s="238">
        <v>6.3804322290861588</v>
      </c>
      <c r="R1708" s="238">
        <v>15.199677266062887</v>
      </c>
      <c r="S1708" s="238" t="s">
        <v>192</v>
      </c>
      <c r="T1708" s="218">
        <f>VLOOKUP(A1708,'Groupe de branches'!$Z$27:$AM$86,14,FALSE)</f>
        <v>0</v>
      </c>
      <c r="U1708" s="218">
        <f>VLOOKUP(D1708,'Groupe de branches'!$Z$27:$AM$86,14,FALSE)</f>
        <v>0</v>
      </c>
      <c r="V1708" s="218">
        <v>2020</v>
      </c>
      <c r="W1708" s="218" t="str">
        <f>VLOOKUP(D1708,'Table corresp.'!$M$4:$S$63,7,FALSE)</f>
        <v>Construction</v>
      </c>
      <c r="X1708" s="240">
        <f>IFERROR(G1708/SUMIFS('Comp2016-2017 (3)'!$I$5:$I$289,'Comp2016-2017 (3)'!$A$5:$A$289,A1708,'Comp2016-2017 (3)'!$R$5:$R$289,V1708),0)</f>
        <v>1.0093295968905599E-2</v>
      </c>
      <c r="Y1708" s="219" t="e">
        <f>IF(RIGHT(F1708,3)="Exp",VLOOKUP(F1708,#REF!,2,FALSE),VLOOKUP(F1708,#REF!,9,FALSE))</f>
        <v>#REF!</v>
      </c>
      <c r="Z1708" s="226" t="str">
        <f t="shared" si="191"/>
        <v/>
      </c>
      <c r="AA1708" s="226" t="e">
        <f t="shared" si="193"/>
        <v>#VALUE!</v>
      </c>
      <c r="AB1708" s="205">
        <f>IFERROR(SUMIFS('Comp2016-2017 (3)'!$G$5:$G$289,'Comp2016-2017 (3)'!$A$5:$A$289,A1708,'Comp2016-2017 (3)'!$R$5:$R$289,V1708)*AA1708/SUMIFS($AA$4:$AA$1858,$A$4:$A$1858,A1708,$V$4:$V$1858,V1708),0)</f>
        <v>0</v>
      </c>
      <c r="AC1708" s="205" t="str">
        <f>IF($W1708=AC$3,$AB1708,IF(NOT($W1708=0),"",SUMIFS('Val-Vol (2)'!AC$4:AC$1858,'Val-Vol (2)'!$A$4:$A$1858,$D1708,'Val-Vol (2)'!$V$4:$V$1858,$V1708)/SUMIFS('Comp2016-2017 (3)'!$G$5:$G$289,'Comp2016-2017 (3)'!$A$5:$A$289,$D1708,'Comp2016-2017 (3)'!$R$5:$R$289,$V1708)*$AB1708))</f>
        <v/>
      </c>
      <c r="AD1708" s="205">
        <f>IF($W1708=AD$3,$AB1708,IF(NOT($W1708=0),"",SUMIFS('Val-Vol (2)'!AD$4:AD$1858,'Val-Vol (2)'!$A$4:$A$1858,$D1708,'Val-Vol (2)'!$V$4:$V$1858,$V1708)/SUMIFS('Comp2016-2017 (3)'!$G$5:$G$289,'Comp2016-2017 (3)'!$A$5:$A$289,$D1708,'Comp2016-2017 (3)'!$R$5:$R$289,$V1708)*$AB1708))</f>
        <v>0</v>
      </c>
      <c r="AE1708" s="205" t="str">
        <f>IF($W1708=AE$3,$AB1708,IF(NOT($W1708=0),"",SUMIFS('Val-Vol (2)'!AE$4:AE$1858,'Val-Vol (2)'!$A$4:$A$1858,$D1708,'Val-Vol (2)'!$V$4:$V$1858,$V1708)/SUMIFS('Comp2016-2017 (3)'!$G$5:$G$289,'Comp2016-2017 (3)'!$A$5:$A$289,$D1708,'Comp2016-2017 (3)'!$R$5:$R$289,$V1708)*$AB1708))</f>
        <v/>
      </c>
      <c r="AF1708" s="205" t="str">
        <f>IF($W1708=AF$3,$AB1708,IF(NOT($W1708=0),"",SUMIFS('Val-Vol (2)'!AF$4:AF$1858,'Val-Vol (2)'!$A$4:$A$1858,$D1708,'Val-Vol (2)'!$V$4:$V$1858,$V1708)/SUMIFS('Comp2016-2017 (3)'!$G$5:$G$289,'Comp2016-2017 (3)'!$A$5:$A$289,$D1708,'Comp2016-2017 (3)'!$R$5:$R$289,$V1708)*$AB1708))</f>
        <v/>
      </c>
      <c r="AG1708" s="205" t="str">
        <f>IF($W1708=AG$3,$AB1708,IF(NOT($W1708=0),"",SUMIFS('Val-Vol (2)'!AG$4:AG$1858,'Val-Vol (2)'!$A$4:$A$1858,$D1708,'Val-Vol (2)'!$V$4:$V$1858,$V1708)/SUMIFS('Comp2016-2017 (3)'!$G$5:$G$289,'Comp2016-2017 (3)'!$A$5:$A$289,$D1708,'Comp2016-2017 (3)'!$R$5:$R$289,$V1708)*$AB1708))</f>
        <v/>
      </c>
      <c r="AH1708" s="205" t="str">
        <f>IF($W1708=AH$3,$AB1708,IF(NOT($W1708=0),"",SUMIFS('Val-Vol (2)'!AH$4:AH$1858,'Val-Vol (2)'!$A$4:$A$1858,$D1708,'Val-Vol (2)'!$V$4:$V$1858,$V1708)/SUMIFS('Comp2016-2017 (3)'!$G$5:$G$289,'Comp2016-2017 (3)'!$A$5:$A$289,$D1708,'Comp2016-2017 (3)'!$R$5:$R$289,$V1708)*$AB1708))</f>
        <v/>
      </c>
      <c r="AI1708" s="205" t="str">
        <f>IF($W1708=AI$3,$AB1708,IF(NOT($W1708=0),"",SUMIFS('Val-Vol (2)'!AI$4:AI$1858,'Val-Vol (2)'!$A$4:$A$1858,$D1708,'Val-Vol (2)'!$V$4:$V$1858,$V1708)/SUMIFS('Comp2016-2017 (3)'!$G$5:$G$289,'Comp2016-2017 (3)'!$A$5:$A$289,$D1708,'Comp2016-2017 (3)'!$R$5:$R$289,$V1708)*$AB1708))</f>
        <v/>
      </c>
      <c r="AJ1708" s="205" t="str">
        <f>IF($W1708=AJ$3,$AB1708,IF(NOT($W1708=0),"",SUMIFS('Val-Vol (2)'!AJ$4:AJ$1858,'Val-Vol (2)'!$A$4:$A$1858,$D1708,'Val-Vol (2)'!$V$4:$V$1858,$V1708)/SUMIFS('Comp2016-2017 (3)'!$G$5:$G$289,'Comp2016-2017 (3)'!$A$5:$A$289,$D1708,'Comp2016-2017 (3)'!$R$5:$R$289,$V1708)*$AB1708))</f>
        <v/>
      </c>
      <c r="AK1708" s="205">
        <f t="shared" si="192"/>
        <v>0</v>
      </c>
      <c r="AL1708" s="218" t="str">
        <f t="shared" si="194"/>
        <v/>
      </c>
      <c r="AM1708" s="218" t="str">
        <f>VLOOKUP(A1708,'Table corresp.'!$M$4:$U$63,8,FALSE)</f>
        <v>Production intermédiaire</v>
      </c>
      <c r="AN1708" s="218" t="str">
        <f>VLOOKUP(D1708,'Table corresp.'!$M$4:$U$63,9,FALSE)</f>
        <v>Production finale</v>
      </c>
    </row>
    <row r="1709" spans="1:40" x14ac:dyDescent="0.25">
      <c r="A1709" t="s">
        <v>87</v>
      </c>
      <c r="B1709" t="str">
        <f>VLOOKUP(LEFT(A1709,3),'Table corresp.'!$A$4:$D$63,3,FALSE)</f>
        <v>Transformation</v>
      </c>
      <c r="C1709" t="str">
        <f>VLOOKUP(A1709,'Table corresp.'!$M$4:$P$63,4,FALSE)</f>
        <v>Production et transformation de produits bois</v>
      </c>
      <c r="D1709" t="s">
        <v>15</v>
      </c>
      <c r="E1709" t="str">
        <f>VLOOKUP(LEFT(D1709,3),'Table corresp.'!$A$4:$D$63,4,FALSE)</f>
        <v>Transformation</v>
      </c>
      <c r="F1709" t="str">
        <f t="shared" si="195"/>
        <v xml:space="preserve">31  - 35 </v>
      </c>
      <c r="G1709" s="238">
        <v>11966.496685287901</v>
      </c>
      <c r="H1709" s="238">
        <v>3444.39668736147</v>
      </c>
      <c r="I1709" s="238">
        <v>15410.8933726494</v>
      </c>
      <c r="J1709" s="238">
        <v>1.5289268492191577</v>
      </c>
      <c r="K1709" s="238">
        <v>0.28362594870721292</v>
      </c>
      <c r="L1709" s="238">
        <v>1.8125527979263705</v>
      </c>
      <c r="M1709" s="238">
        <v>20.046401037331883</v>
      </c>
      <c r="N1709" s="238">
        <v>4.0278097596763711</v>
      </c>
      <c r="O1709" s="238">
        <v>24.074210797008256</v>
      </c>
      <c r="P1709" s="238">
        <v>7.432299250016098</v>
      </c>
      <c r="Q1709" s="238">
        <v>2.1243080026178602</v>
      </c>
      <c r="R1709" s="238">
        <v>9.5566072526339578</v>
      </c>
      <c r="S1709" s="238" t="s">
        <v>192</v>
      </c>
      <c r="T1709" s="218">
        <f>VLOOKUP(A1709,'Groupe de branches'!$Z$27:$AM$86,14,FALSE)</f>
        <v>0</v>
      </c>
      <c r="U1709" s="218">
        <f>VLOOKUP(D1709,'Groupe de branches'!$Z$27:$AM$86,14,FALSE)</f>
        <v>0</v>
      </c>
      <c r="V1709" s="218">
        <v>2020</v>
      </c>
      <c r="W1709" s="218" t="str">
        <f>VLOOKUP(D1709,'Table corresp.'!$M$4:$S$63,7,FALSE)</f>
        <v>Construction</v>
      </c>
      <c r="X1709" s="240">
        <f>IFERROR(G1709/SUMIFS('Comp2016-2017 (3)'!$I$5:$I$289,'Comp2016-2017 (3)'!$A$5:$A$289,A1709,'Comp2016-2017 (3)'!$R$5:$R$289,V1709),0)</f>
        <v>8.5059884089130049E-3</v>
      </c>
      <c r="Y1709" s="219" t="e">
        <f>IF(RIGHT(F1709,3)="Exp",VLOOKUP(F1709,#REF!,2,FALSE),VLOOKUP(F1709,#REF!,9,FALSE))</f>
        <v>#REF!</v>
      </c>
      <c r="Z1709" s="226" t="str">
        <f t="shared" si="191"/>
        <v/>
      </c>
      <c r="AA1709" s="226" t="e">
        <f t="shared" si="193"/>
        <v>#VALUE!</v>
      </c>
      <c r="AB1709" s="205">
        <f>IFERROR(SUMIFS('Comp2016-2017 (3)'!$G$5:$G$289,'Comp2016-2017 (3)'!$A$5:$A$289,A1709,'Comp2016-2017 (3)'!$R$5:$R$289,V1709)*AA1709/SUMIFS($AA$4:$AA$1858,$A$4:$A$1858,A1709,$V$4:$V$1858,V1709),0)</f>
        <v>0</v>
      </c>
      <c r="AC1709" s="205" t="str">
        <f>IF($W1709=AC$3,$AB1709,IF(NOT($W1709=0),"",SUMIFS('Val-Vol (2)'!AC$4:AC$1858,'Val-Vol (2)'!$A$4:$A$1858,$D1709,'Val-Vol (2)'!$V$4:$V$1858,$V1709)/SUMIFS('Comp2016-2017 (3)'!$G$5:$G$289,'Comp2016-2017 (3)'!$A$5:$A$289,$D1709,'Comp2016-2017 (3)'!$R$5:$R$289,$V1709)*$AB1709))</f>
        <v/>
      </c>
      <c r="AD1709" s="205">
        <f>IF($W1709=AD$3,$AB1709,IF(NOT($W1709=0),"",SUMIFS('Val-Vol (2)'!AD$4:AD$1858,'Val-Vol (2)'!$A$4:$A$1858,$D1709,'Val-Vol (2)'!$V$4:$V$1858,$V1709)/SUMIFS('Comp2016-2017 (3)'!$G$5:$G$289,'Comp2016-2017 (3)'!$A$5:$A$289,$D1709,'Comp2016-2017 (3)'!$R$5:$R$289,$V1709)*$AB1709))</f>
        <v>0</v>
      </c>
      <c r="AE1709" s="205" t="str">
        <f>IF($W1709=AE$3,$AB1709,IF(NOT($W1709=0),"",SUMIFS('Val-Vol (2)'!AE$4:AE$1858,'Val-Vol (2)'!$A$4:$A$1858,$D1709,'Val-Vol (2)'!$V$4:$V$1858,$V1709)/SUMIFS('Comp2016-2017 (3)'!$G$5:$G$289,'Comp2016-2017 (3)'!$A$5:$A$289,$D1709,'Comp2016-2017 (3)'!$R$5:$R$289,$V1709)*$AB1709))</f>
        <v/>
      </c>
      <c r="AF1709" s="205" t="str">
        <f>IF($W1709=AF$3,$AB1709,IF(NOT($W1709=0),"",SUMIFS('Val-Vol (2)'!AF$4:AF$1858,'Val-Vol (2)'!$A$4:$A$1858,$D1709,'Val-Vol (2)'!$V$4:$V$1858,$V1709)/SUMIFS('Comp2016-2017 (3)'!$G$5:$G$289,'Comp2016-2017 (3)'!$A$5:$A$289,$D1709,'Comp2016-2017 (3)'!$R$5:$R$289,$V1709)*$AB1709))</f>
        <v/>
      </c>
      <c r="AG1709" s="205" t="str">
        <f>IF($W1709=AG$3,$AB1709,IF(NOT($W1709=0),"",SUMIFS('Val-Vol (2)'!AG$4:AG$1858,'Val-Vol (2)'!$A$4:$A$1858,$D1709,'Val-Vol (2)'!$V$4:$V$1858,$V1709)/SUMIFS('Comp2016-2017 (3)'!$G$5:$G$289,'Comp2016-2017 (3)'!$A$5:$A$289,$D1709,'Comp2016-2017 (3)'!$R$5:$R$289,$V1709)*$AB1709))</f>
        <v/>
      </c>
      <c r="AH1709" s="205" t="str">
        <f>IF($W1709=AH$3,$AB1709,IF(NOT($W1709=0),"",SUMIFS('Val-Vol (2)'!AH$4:AH$1858,'Val-Vol (2)'!$A$4:$A$1858,$D1709,'Val-Vol (2)'!$V$4:$V$1858,$V1709)/SUMIFS('Comp2016-2017 (3)'!$G$5:$G$289,'Comp2016-2017 (3)'!$A$5:$A$289,$D1709,'Comp2016-2017 (3)'!$R$5:$R$289,$V1709)*$AB1709))</f>
        <v/>
      </c>
      <c r="AI1709" s="205" t="str">
        <f>IF($W1709=AI$3,$AB1709,IF(NOT($W1709=0),"",SUMIFS('Val-Vol (2)'!AI$4:AI$1858,'Val-Vol (2)'!$A$4:$A$1858,$D1709,'Val-Vol (2)'!$V$4:$V$1858,$V1709)/SUMIFS('Comp2016-2017 (3)'!$G$5:$G$289,'Comp2016-2017 (3)'!$A$5:$A$289,$D1709,'Comp2016-2017 (3)'!$R$5:$R$289,$V1709)*$AB1709))</f>
        <v/>
      </c>
      <c r="AJ1709" s="205" t="str">
        <f>IF($W1709=AJ$3,$AB1709,IF(NOT($W1709=0),"",SUMIFS('Val-Vol (2)'!AJ$4:AJ$1858,'Val-Vol (2)'!$A$4:$A$1858,$D1709,'Val-Vol (2)'!$V$4:$V$1858,$V1709)/SUMIFS('Comp2016-2017 (3)'!$G$5:$G$289,'Comp2016-2017 (3)'!$A$5:$A$289,$D1709,'Comp2016-2017 (3)'!$R$5:$R$289,$V1709)*$AB1709))</f>
        <v/>
      </c>
      <c r="AK1709" s="205">
        <f t="shared" si="192"/>
        <v>0</v>
      </c>
      <c r="AL1709" s="218" t="str">
        <f t="shared" si="194"/>
        <v/>
      </c>
      <c r="AM1709" s="218" t="str">
        <f>VLOOKUP(A1709,'Table corresp.'!$M$4:$U$63,8,FALSE)</f>
        <v>Production intermédiaire</v>
      </c>
      <c r="AN1709" s="218" t="str">
        <f>VLOOKUP(D1709,'Table corresp.'!$M$4:$U$63,9,FALSE)</f>
        <v>Production finale</v>
      </c>
    </row>
    <row r="1710" spans="1:40" x14ac:dyDescent="0.25">
      <c r="A1710" t="s">
        <v>87</v>
      </c>
      <c r="B1710" t="str">
        <f>VLOOKUP(LEFT(A1710,3),'Table corresp.'!$A$4:$D$63,3,FALSE)</f>
        <v>Transformation</v>
      </c>
      <c r="C1710" t="str">
        <f>VLOOKUP(A1710,'Table corresp.'!$M$4:$P$63,4,FALSE)</f>
        <v>Production et transformation de produits bois</v>
      </c>
      <c r="D1710" t="s">
        <v>16</v>
      </c>
      <c r="E1710" t="str">
        <f>VLOOKUP(LEFT(D1710,3),'Table corresp.'!$A$4:$D$63,4,FALSE)</f>
        <v>Transformation</v>
      </c>
      <c r="F1710" t="str">
        <f t="shared" si="195"/>
        <v xml:space="preserve">31  - 36 </v>
      </c>
      <c r="G1710" s="238">
        <v>43554.479987613297</v>
      </c>
      <c r="H1710" s="238">
        <v>74141.759044840801</v>
      </c>
      <c r="I1710" s="238">
        <v>117696.239032454</v>
      </c>
      <c r="J1710" s="238">
        <v>7.5960036847158774</v>
      </c>
      <c r="K1710" s="238">
        <v>8.3335171922057576</v>
      </c>
      <c r="L1710" s="238">
        <v>15.929520876921636</v>
      </c>
      <c r="M1710" s="238">
        <v>87.149638938130565</v>
      </c>
      <c r="N1710" s="238">
        <v>103.55761562000339</v>
      </c>
      <c r="O1710" s="238">
        <v>190.70725455813397</v>
      </c>
      <c r="P1710" s="238">
        <v>27.051353245663091</v>
      </c>
      <c r="Q1710" s="238">
        <v>45.726420724138769</v>
      </c>
      <c r="R1710" s="238">
        <v>72.777773969801856</v>
      </c>
      <c r="S1710" s="238" t="s">
        <v>192</v>
      </c>
      <c r="T1710" s="218">
        <f>VLOOKUP(A1710,'Groupe de branches'!$Z$27:$AM$86,14,FALSE)</f>
        <v>0</v>
      </c>
      <c r="U1710" s="218">
        <f>VLOOKUP(D1710,'Groupe de branches'!$Z$27:$AM$86,14,FALSE)</f>
        <v>0</v>
      </c>
      <c r="V1710" s="218">
        <v>2020</v>
      </c>
      <c r="W1710" s="218" t="str">
        <f>VLOOKUP(D1710,'Table corresp.'!$M$4:$S$63,7,FALSE)</f>
        <v>Construction</v>
      </c>
      <c r="X1710" s="240">
        <f>IFERROR(G1710/SUMIFS('Comp2016-2017 (3)'!$I$5:$I$289,'Comp2016-2017 (3)'!$A$5:$A$289,A1710,'Comp2016-2017 (3)'!$R$5:$R$289,V1710),0)</f>
        <v>3.0959261651436202E-2</v>
      </c>
      <c r="Y1710" s="219" t="e">
        <f>IF(RIGHT(F1710,3)="Exp",VLOOKUP(F1710,#REF!,2,FALSE),VLOOKUP(F1710,#REF!,9,FALSE))</f>
        <v>#REF!</v>
      </c>
      <c r="Z1710" s="226" t="str">
        <f t="shared" si="191"/>
        <v/>
      </c>
      <c r="AA1710" s="226" t="e">
        <f t="shared" si="193"/>
        <v>#VALUE!</v>
      </c>
      <c r="AB1710" s="205">
        <f>IFERROR(SUMIFS('Comp2016-2017 (3)'!$G$5:$G$289,'Comp2016-2017 (3)'!$A$5:$A$289,A1710,'Comp2016-2017 (3)'!$R$5:$R$289,V1710)*AA1710/SUMIFS($AA$4:$AA$1858,$A$4:$A$1858,A1710,$V$4:$V$1858,V1710),0)</f>
        <v>0</v>
      </c>
      <c r="AC1710" s="205" t="str">
        <f>IF($W1710=AC$3,$AB1710,IF(NOT($W1710=0),"",SUMIFS('Val-Vol (2)'!AC$4:AC$1858,'Val-Vol (2)'!$A$4:$A$1858,$D1710,'Val-Vol (2)'!$V$4:$V$1858,$V1710)/SUMIFS('Comp2016-2017 (3)'!$G$5:$G$289,'Comp2016-2017 (3)'!$A$5:$A$289,$D1710,'Comp2016-2017 (3)'!$R$5:$R$289,$V1710)*$AB1710))</f>
        <v/>
      </c>
      <c r="AD1710" s="205">
        <f>IF($W1710=AD$3,$AB1710,IF(NOT($W1710=0),"",SUMIFS('Val-Vol (2)'!AD$4:AD$1858,'Val-Vol (2)'!$A$4:$A$1858,$D1710,'Val-Vol (2)'!$V$4:$V$1858,$V1710)/SUMIFS('Comp2016-2017 (3)'!$G$5:$G$289,'Comp2016-2017 (3)'!$A$5:$A$289,$D1710,'Comp2016-2017 (3)'!$R$5:$R$289,$V1710)*$AB1710))</f>
        <v>0</v>
      </c>
      <c r="AE1710" s="205" t="str">
        <f>IF($W1710=AE$3,$AB1710,IF(NOT($W1710=0),"",SUMIFS('Val-Vol (2)'!AE$4:AE$1858,'Val-Vol (2)'!$A$4:$A$1858,$D1710,'Val-Vol (2)'!$V$4:$V$1858,$V1710)/SUMIFS('Comp2016-2017 (3)'!$G$5:$G$289,'Comp2016-2017 (3)'!$A$5:$A$289,$D1710,'Comp2016-2017 (3)'!$R$5:$R$289,$V1710)*$AB1710))</f>
        <v/>
      </c>
      <c r="AF1710" s="205" t="str">
        <f>IF($W1710=AF$3,$AB1710,IF(NOT($W1710=0),"",SUMIFS('Val-Vol (2)'!AF$4:AF$1858,'Val-Vol (2)'!$A$4:$A$1858,$D1710,'Val-Vol (2)'!$V$4:$V$1858,$V1710)/SUMIFS('Comp2016-2017 (3)'!$G$5:$G$289,'Comp2016-2017 (3)'!$A$5:$A$289,$D1710,'Comp2016-2017 (3)'!$R$5:$R$289,$V1710)*$AB1710))</f>
        <v/>
      </c>
      <c r="AG1710" s="205" t="str">
        <f>IF($W1710=AG$3,$AB1710,IF(NOT($W1710=0),"",SUMIFS('Val-Vol (2)'!AG$4:AG$1858,'Val-Vol (2)'!$A$4:$A$1858,$D1710,'Val-Vol (2)'!$V$4:$V$1858,$V1710)/SUMIFS('Comp2016-2017 (3)'!$G$5:$G$289,'Comp2016-2017 (3)'!$A$5:$A$289,$D1710,'Comp2016-2017 (3)'!$R$5:$R$289,$V1710)*$AB1710))</f>
        <v/>
      </c>
      <c r="AH1710" s="205" t="str">
        <f>IF($W1710=AH$3,$AB1710,IF(NOT($W1710=0),"",SUMIFS('Val-Vol (2)'!AH$4:AH$1858,'Val-Vol (2)'!$A$4:$A$1858,$D1710,'Val-Vol (2)'!$V$4:$V$1858,$V1710)/SUMIFS('Comp2016-2017 (3)'!$G$5:$G$289,'Comp2016-2017 (3)'!$A$5:$A$289,$D1710,'Comp2016-2017 (3)'!$R$5:$R$289,$V1710)*$AB1710))</f>
        <v/>
      </c>
      <c r="AI1710" s="205" t="str">
        <f>IF($W1710=AI$3,$AB1710,IF(NOT($W1710=0),"",SUMIFS('Val-Vol (2)'!AI$4:AI$1858,'Val-Vol (2)'!$A$4:$A$1858,$D1710,'Val-Vol (2)'!$V$4:$V$1858,$V1710)/SUMIFS('Comp2016-2017 (3)'!$G$5:$G$289,'Comp2016-2017 (3)'!$A$5:$A$289,$D1710,'Comp2016-2017 (3)'!$R$5:$R$289,$V1710)*$AB1710))</f>
        <v/>
      </c>
      <c r="AJ1710" s="205" t="str">
        <f>IF($W1710=AJ$3,$AB1710,IF(NOT($W1710=0),"",SUMIFS('Val-Vol (2)'!AJ$4:AJ$1858,'Val-Vol (2)'!$A$4:$A$1858,$D1710,'Val-Vol (2)'!$V$4:$V$1858,$V1710)/SUMIFS('Comp2016-2017 (3)'!$G$5:$G$289,'Comp2016-2017 (3)'!$A$5:$A$289,$D1710,'Comp2016-2017 (3)'!$R$5:$R$289,$V1710)*$AB1710))</f>
        <v/>
      </c>
      <c r="AK1710" s="205">
        <f t="shared" si="192"/>
        <v>0</v>
      </c>
      <c r="AL1710" s="218" t="str">
        <f t="shared" si="194"/>
        <v/>
      </c>
      <c r="AM1710" s="218" t="str">
        <f>VLOOKUP(A1710,'Table corresp.'!$M$4:$U$63,8,FALSE)</f>
        <v>Production intermédiaire</v>
      </c>
      <c r="AN1710" s="218" t="str">
        <f>VLOOKUP(D1710,'Table corresp.'!$M$4:$U$63,9,FALSE)</f>
        <v>Production finale</v>
      </c>
    </row>
    <row r="1711" spans="1:40" x14ac:dyDescent="0.25">
      <c r="A1711" t="s">
        <v>87</v>
      </c>
      <c r="B1711" t="str">
        <f>VLOOKUP(LEFT(A1711,3),'Table corresp.'!$A$4:$D$63,3,FALSE)</f>
        <v>Transformation</v>
      </c>
      <c r="C1711" t="str">
        <f>VLOOKUP(A1711,'Table corresp.'!$M$4:$P$63,4,FALSE)</f>
        <v>Production et transformation de produits bois</v>
      </c>
      <c r="D1711" t="s">
        <v>91</v>
      </c>
      <c r="E1711" t="str">
        <f>VLOOKUP(LEFT(D1711,3),'Table corresp.'!$A$4:$D$63,4,FALSE)</f>
        <v>Transformation</v>
      </c>
      <c r="F1711" t="str">
        <f t="shared" si="195"/>
        <v xml:space="preserve">31  - 37 </v>
      </c>
      <c r="G1711" s="238">
        <v>103303.294288651</v>
      </c>
      <c r="H1711" s="238">
        <v>34854.142720653603</v>
      </c>
      <c r="I1711" s="238">
        <v>138157.43700930499</v>
      </c>
      <c r="J1711" s="238">
        <v>15.220407316671603</v>
      </c>
      <c r="K1711" s="238">
        <v>3.3096313762027982</v>
      </c>
      <c r="L1711" s="238">
        <v>18.530038692874399</v>
      </c>
      <c r="M1711" s="238">
        <v>375.25025151373819</v>
      </c>
      <c r="N1711" s="238">
        <v>88.378702950383399</v>
      </c>
      <c r="O1711" s="238">
        <v>463.62895446412159</v>
      </c>
      <c r="P1711" s="238">
        <v>1.83316809268873E-3</v>
      </c>
      <c r="Q1711" s="238">
        <v>6.1417294751334205E-4</v>
      </c>
      <c r="R1711" s="238">
        <v>2.4473410402020722E-3</v>
      </c>
      <c r="S1711" s="238"/>
      <c r="T1711" s="218">
        <f>VLOOKUP(A1711,'Groupe de branches'!$Z$27:$AM$86,14,FALSE)</f>
        <v>0</v>
      </c>
      <c r="U1711" s="218">
        <f>VLOOKUP(D1711,'Groupe de branches'!$Z$27:$AM$86,14,FALSE)</f>
        <v>0</v>
      </c>
      <c r="V1711" s="218">
        <v>2020</v>
      </c>
      <c r="W1711" s="218" t="str">
        <f>VLOOKUP(D1711,'Table corresp.'!$M$4:$S$63,7,FALSE)</f>
        <v>Emballage bois et carton</v>
      </c>
      <c r="X1711" s="240">
        <f>IFERROR(G1711/SUMIFS('Comp2016-2017 (3)'!$I$5:$I$289,'Comp2016-2017 (3)'!$A$5:$A$289,A1711,'Comp2016-2017 (3)'!$R$5:$R$289,V1711),0)</f>
        <v>7.3429730265341567E-2</v>
      </c>
      <c r="Y1711" s="219" t="e">
        <f>IF(RIGHT(F1711,3)="Exp",VLOOKUP(F1711,#REF!,2,FALSE),VLOOKUP(F1711,#REF!,9,FALSE))</f>
        <v>#REF!</v>
      </c>
      <c r="Z1711" s="226" t="str">
        <f t="shared" si="191"/>
        <v/>
      </c>
      <c r="AA1711" s="226" t="e">
        <f t="shared" si="193"/>
        <v>#VALUE!</v>
      </c>
      <c r="AB1711" s="205">
        <f>IFERROR(SUMIFS('Comp2016-2017 (3)'!$G$5:$G$289,'Comp2016-2017 (3)'!$A$5:$A$289,A1711,'Comp2016-2017 (3)'!$R$5:$R$289,V1711)*AA1711/SUMIFS($AA$4:$AA$1858,$A$4:$A$1858,A1711,$V$4:$V$1858,V1711),0)</f>
        <v>0</v>
      </c>
      <c r="AC1711" s="205" t="str">
        <f>IF($W1711=AC$3,$AB1711,IF(NOT($W1711=0),"",SUMIFS('Val-Vol (2)'!AC$4:AC$1858,'Val-Vol (2)'!$A$4:$A$1858,$D1711,'Val-Vol (2)'!$V$4:$V$1858,$V1711)/SUMIFS('Comp2016-2017 (3)'!$G$5:$G$289,'Comp2016-2017 (3)'!$A$5:$A$289,$D1711,'Comp2016-2017 (3)'!$R$5:$R$289,$V1711)*$AB1711))</f>
        <v/>
      </c>
      <c r="AD1711" s="205" t="str">
        <f>IF($W1711=AD$3,$AB1711,IF(NOT($W1711=0),"",SUMIFS('Val-Vol (2)'!AD$4:AD$1858,'Val-Vol (2)'!$A$4:$A$1858,$D1711,'Val-Vol (2)'!$V$4:$V$1858,$V1711)/SUMIFS('Comp2016-2017 (3)'!$G$5:$G$289,'Comp2016-2017 (3)'!$A$5:$A$289,$D1711,'Comp2016-2017 (3)'!$R$5:$R$289,$V1711)*$AB1711))</f>
        <v/>
      </c>
      <c r="AE1711" s="205" t="str">
        <f>IF($W1711=AE$3,$AB1711,IF(NOT($W1711=0),"",SUMIFS('Val-Vol (2)'!AE$4:AE$1858,'Val-Vol (2)'!$A$4:$A$1858,$D1711,'Val-Vol (2)'!$V$4:$V$1858,$V1711)/SUMIFS('Comp2016-2017 (3)'!$G$5:$G$289,'Comp2016-2017 (3)'!$A$5:$A$289,$D1711,'Comp2016-2017 (3)'!$R$5:$R$289,$V1711)*$AB1711))</f>
        <v/>
      </c>
      <c r="AF1711" s="205" t="str">
        <f>IF($W1711=AF$3,$AB1711,IF(NOT($W1711=0),"",SUMIFS('Val-Vol (2)'!AF$4:AF$1858,'Val-Vol (2)'!$A$4:$A$1858,$D1711,'Val-Vol (2)'!$V$4:$V$1858,$V1711)/SUMIFS('Comp2016-2017 (3)'!$G$5:$G$289,'Comp2016-2017 (3)'!$A$5:$A$289,$D1711,'Comp2016-2017 (3)'!$R$5:$R$289,$V1711)*$AB1711))</f>
        <v/>
      </c>
      <c r="AG1711" s="205">
        <f>IF($W1711=AG$3,$AB1711,IF(NOT($W1711=0),"",SUMIFS('Val-Vol (2)'!AG$4:AG$1858,'Val-Vol (2)'!$A$4:$A$1858,$D1711,'Val-Vol (2)'!$V$4:$V$1858,$V1711)/SUMIFS('Comp2016-2017 (3)'!$G$5:$G$289,'Comp2016-2017 (3)'!$A$5:$A$289,$D1711,'Comp2016-2017 (3)'!$R$5:$R$289,$V1711)*$AB1711))</f>
        <v>0</v>
      </c>
      <c r="AH1711" s="205" t="str">
        <f>IF($W1711=AH$3,$AB1711,IF(NOT($W1711=0),"",SUMIFS('Val-Vol (2)'!AH$4:AH$1858,'Val-Vol (2)'!$A$4:$A$1858,$D1711,'Val-Vol (2)'!$V$4:$V$1858,$V1711)/SUMIFS('Comp2016-2017 (3)'!$G$5:$G$289,'Comp2016-2017 (3)'!$A$5:$A$289,$D1711,'Comp2016-2017 (3)'!$R$5:$R$289,$V1711)*$AB1711))</f>
        <v/>
      </c>
      <c r="AI1711" s="205" t="str">
        <f>IF($W1711=AI$3,$AB1711,IF(NOT($W1711=0),"",SUMIFS('Val-Vol (2)'!AI$4:AI$1858,'Val-Vol (2)'!$A$4:$A$1858,$D1711,'Val-Vol (2)'!$V$4:$V$1858,$V1711)/SUMIFS('Comp2016-2017 (3)'!$G$5:$G$289,'Comp2016-2017 (3)'!$A$5:$A$289,$D1711,'Comp2016-2017 (3)'!$R$5:$R$289,$V1711)*$AB1711))</f>
        <v/>
      </c>
      <c r="AJ1711" s="205" t="str">
        <f>IF($W1711=AJ$3,$AB1711,IF(NOT($W1711=0),"",SUMIFS('Val-Vol (2)'!AJ$4:AJ$1858,'Val-Vol (2)'!$A$4:$A$1858,$D1711,'Val-Vol (2)'!$V$4:$V$1858,$V1711)/SUMIFS('Comp2016-2017 (3)'!$G$5:$G$289,'Comp2016-2017 (3)'!$A$5:$A$289,$D1711,'Comp2016-2017 (3)'!$R$5:$R$289,$V1711)*$AB1711))</f>
        <v/>
      </c>
      <c r="AK1711" s="205">
        <f t="shared" si="192"/>
        <v>0</v>
      </c>
      <c r="AL1711" s="218" t="str">
        <f t="shared" si="194"/>
        <v/>
      </c>
      <c r="AM1711" s="218" t="str">
        <f>VLOOKUP(A1711,'Table corresp.'!$M$4:$U$63,8,FALSE)</f>
        <v>Production intermédiaire</v>
      </c>
      <c r="AN1711" s="218" t="str">
        <f>VLOOKUP(D1711,'Table corresp.'!$M$4:$U$63,9,FALSE)</f>
        <v>Production finale</v>
      </c>
    </row>
    <row r="1712" spans="1:40" x14ac:dyDescent="0.25">
      <c r="A1712" t="s">
        <v>87</v>
      </c>
      <c r="B1712" t="str">
        <f>VLOOKUP(LEFT(A1712,3),'Table corresp.'!$A$4:$D$63,3,FALSE)</f>
        <v>Transformation</v>
      </c>
      <c r="C1712" t="str">
        <f>VLOOKUP(A1712,'Table corresp.'!$M$4:$P$63,4,FALSE)</f>
        <v>Production et transformation de produits bois</v>
      </c>
      <c r="D1712" t="s">
        <v>18</v>
      </c>
      <c r="E1712" t="str">
        <f>VLOOKUP(LEFT(D1712,3),'Table corresp.'!$A$4:$D$63,4,FALSE)</f>
        <v>Transformation</v>
      </c>
      <c r="F1712" t="str">
        <f t="shared" si="195"/>
        <v xml:space="preserve">31  - 39 </v>
      </c>
      <c r="G1712" s="238">
        <v>3555.4161143087499</v>
      </c>
      <c r="H1712" s="238">
        <v>0</v>
      </c>
      <c r="I1712" s="238">
        <v>3555.4161143087499</v>
      </c>
      <c r="J1712" s="238">
        <v>0.45426588084015457</v>
      </c>
      <c r="K1712" s="238">
        <v>0</v>
      </c>
      <c r="L1712" s="238">
        <v>0.45426588084015457</v>
      </c>
      <c r="M1712" s="238">
        <v>5.9560704487263783</v>
      </c>
      <c r="N1712" s="238">
        <v>0</v>
      </c>
      <c r="O1712" s="238">
        <v>5.9560704487263783</v>
      </c>
      <c r="P1712" s="238">
        <v>2.2082416612674907</v>
      </c>
      <c r="Q1712" s="238">
        <v>0</v>
      </c>
      <c r="R1712" s="238">
        <v>2.2082416612674907</v>
      </c>
      <c r="S1712" s="238" t="s">
        <v>192</v>
      </c>
      <c r="T1712" s="218">
        <f>VLOOKUP(A1712,'Groupe de branches'!$Z$27:$AM$86,14,FALSE)</f>
        <v>0</v>
      </c>
      <c r="U1712" s="218">
        <f>VLOOKUP(D1712,'Groupe de branches'!$Z$27:$AM$86,14,FALSE)</f>
        <v>0</v>
      </c>
      <c r="V1712" s="218">
        <v>2020</v>
      </c>
      <c r="W1712" s="218" t="str">
        <f>VLOOKUP(D1712,'Table corresp.'!$M$4:$S$63,7,FALSE)</f>
        <v>Construction</v>
      </c>
      <c r="X1712" s="240">
        <f>IFERROR(G1712/SUMIFS('Comp2016-2017 (3)'!$I$5:$I$289,'Comp2016-2017 (3)'!$A$5:$A$289,A1712,'Comp2016-2017 (3)'!$R$5:$R$289,V1712),0)</f>
        <v>2.5272499589920829E-3</v>
      </c>
      <c r="Y1712" s="219" t="e">
        <f>IF(RIGHT(F1712,3)="Exp",VLOOKUP(F1712,#REF!,2,FALSE),VLOOKUP(F1712,#REF!,9,FALSE))</f>
        <v>#REF!</v>
      </c>
      <c r="Z1712" s="226" t="str">
        <f t="shared" si="191"/>
        <v/>
      </c>
      <c r="AA1712" s="226" t="e">
        <f t="shared" si="193"/>
        <v>#VALUE!</v>
      </c>
      <c r="AB1712" s="205">
        <f>IFERROR(SUMIFS('Comp2016-2017 (3)'!$G$5:$G$289,'Comp2016-2017 (3)'!$A$5:$A$289,A1712,'Comp2016-2017 (3)'!$R$5:$R$289,V1712)*AA1712/SUMIFS($AA$4:$AA$1858,$A$4:$A$1858,A1712,$V$4:$V$1858,V1712),0)</f>
        <v>0</v>
      </c>
      <c r="AC1712" s="205" t="str">
        <f>IF($W1712=AC$3,$AB1712,IF(NOT($W1712=0),"",SUMIFS('Val-Vol (2)'!AC$4:AC$1858,'Val-Vol (2)'!$A$4:$A$1858,$D1712,'Val-Vol (2)'!$V$4:$V$1858,$V1712)/SUMIFS('Comp2016-2017 (3)'!$G$5:$G$289,'Comp2016-2017 (3)'!$A$5:$A$289,$D1712,'Comp2016-2017 (3)'!$R$5:$R$289,$V1712)*$AB1712))</f>
        <v/>
      </c>
      <c r="AD1712" s="205">
        <f>IF($W1712=AD$3,$AB1712,IF(NOT($W1712=0),"",SUMIFS('Val-Vol (2)'!AD$4:AD$1858,'Val-Vol (2)'!$A$4:$A$1858,$D1712,'Val-Vol (2)'!$V$4:$V$1858,$V1712)/SUMIFS('Comp2016-2017 (3)'!$G$5:$G$289,'Comp2016-2017 (3)'!$A$5:$A$289,$D1712,'Comp2016-2017 (3)'!$R$5:$R$289,$V1712)*$AB1712))</f>
        <v>0</v>
      </c>
      <c r="AE1712" s="205" t="str">
        <f>IF($W1712=AE$3,$AB1712,IF(NOT($W1712=0),"",SUMIFS('Val-Vol (2)'!AE$4:AE$1858,'Val-Vol (2)'!$A$4:$A$1858,$D1712,'Val-Vol (2)'!$V$4:$V$1858,$V1712)/SUMIFS('Comp2016-2017 (3)'!$G$5:$G$289,'Comp2016-2017 (3)'!$A$5:$A$289,$D1712,'Comp2016-2017 (3)'!$R$5:$R$289,$V1712)*$AB1712))</f>
        <v/>
      </c>
      <c r="AF1712" s="205" t="str">
        <f>IF($W1712=AF$3,$AB1712,IF(NOT($W1712=0),"",SUMIFS('Val-Vol (2)'!AF$4:AF$1858,'Val-Vol (2)'!$A$4:$A$1858,$D1712,'Val-Vol (2)'!$V$4:$V$1858,$V1712)/SUMIFS('Comp2016-2017 (3)'!$G$5:$G$289,'Comp2016-2017 (3)'!$A$5:$A$289,$D1712,'Comp2016-2017 (3)'!$R$5:$R$289,$V1712)*$AB1712))</f>
        <v/>
      </c>
      <c r="AG1712" s="205" t="str">
        <f>IF($W1712=AG$3,$AB1712,IF(NOT($W1712=0),"",SUMIFS('Val-Vol (2)'!AG$4:AG$1858,'Val-Vol (2)'!$A$4:$A$1858,$D1712,'Val-Vol (2)'!$V$4:$V$1858,$V1712)/SUMIFS('Comp2016-2017 (3)'!$G$5:$G$289,'Comp2016-2017 (3)'!$A$5:$A$289,$D1712,'Comp2016-2017 (3)'!$R$5:$R$289,$V1712)*$AB1712))</f>
        <v/>
      </c>
      <c r="AH1712" s="205" t="str">
        <f>IF($W1712=AH$3,$AB1712,IF(NOT($W1712=0),"",SUMIFS('Val-Vol (2)'!AH$4:AH$1858,'Val-Vol (2)'!$A$4:$A$1858,$D1712,'Val-Vol (2)'!$V$4:$V$1858,$V1712)/SUMIFS('Comp2016-2017 (3)'!$G$5:$G$289,'Comp2016-2017 (3)'!$A$5:$A$289,$D1712,'Comp2016-2017 (3)'!$R$5:$R$289,$V1712)*$AB1712))</f>
        <v/>
      </c>
      <c r="AI1712" s="205" t="str">
        <f>IF($W1712=AI$3,$AB1712,IF(NOT($W1712=0),"",SUMIFS('Val-Vol (2)'!AI$4:AI$1858,'Val-Vol (2)'!$A$4:$A$1858,$D1712,'Val-Vol (2)'!$V$4:$V$1858,$V1712)/SUMIFS('Comp2016-2017 (3)'!$G$5:$G$289,'Comp2016-2017 (3)'!$A$5:$A$289,$D1712,'Comp2016-2017 (3)'!$R$5:$R$289,$V1712)*$AB1712))</f>
        <v/>
      </c>
      <c r="AJ1712" s="205" t="str">
        <f>IF($W1712=AJ$3,$AB1712,IF(NOT($W1712=0),"",SUMIFS('Val-Vol (2)'!AJ$4:AJ$1858,'Val-Vol (2)'!$A$4:$A$1858,$D1712,'Val-Vol (2)'!$V$4:$V$1858,$V1712)/SUMIFS('Comp2016-2017 (3)'!$G$5:$G$289,'Comp2016-2017 (3)'!$A$5:$A$289,$D1712,'Comp2016-2017 (3)'!$R$5:$R$289,$V1712)*$AB1712))</f>
        <v/>
      </c>
      <c r="AK1712" s="205">
        <f t="shared" si="192"/>
        <v>0</v>
      </c>
      <c r="AL1712" s="218" t="str">
        <f t="shared" si="194"/>
        <v/>
      </c>
      <c r="AM1712" s="218" t="str">
        <f>VLOOKUP(A1712,'Table corresp.'!$M$4:$U$63,8,FALSE)</f>
        <v>Production intermédiaire</v>
      </c>
      <c r="AN1712" s="218" t="str">
        <f>VLOOKUP(D1712,'Table corresp.'!$M$4:$U$63,9,FALSE)</f>
        <v>Production finale</v>
      </c>
    </row>
    <row r="1713" spans="1:40" x14ac:dyDescent="0.25">
      <c r="A1713" t="s">
        <v>87</v>
      </c>
      <c r="B1713" t="str">
        <f>VLOOKUP(LEFT(A1713,3),'Table corresp.'!$A$4:$D$63,3,FALSE)</f>
        <v>Transformation</v>
      </c>
      <c r="C1713" t="str">
        <f>VLOOKUP(A1713,'Table corresp.'!$M$4:$P$63,4,FALSE)</f>
        <v>Production et transformation de produits bois</v>
      </c>
      <c r="D1713" t="s">
        <v>99</v>
      </c>
      <c r="E1713" t="str">
        <f>VLOOKUP(LEFT(D1713,3),'Table corresp.'!$A$4:$D$63,4,FALSE)</f>
        <v>Transformation</v>
      </c>
      <c r="F1713" t="str">
        <f t="shared" si="195"/>
        <v xml:space="preserve">31  - 47 </v>
      </c>
      <c r="G1713" s="238">
        <v>245722.48788317799</v>
      </c>
      <c r="H1713" s="238">
        <v>222369.05875714001</v>
      </c>
      <c r="I1713" s="238">
        <v>468091.54664031701</v>
      </c>
      <c r="J1713" s="238">
        <v>54.009889688786025</v>
      </c>
      <c r="K1713" s="238">
        <v>31.500384906541008</v>
      </c>
      <c r="L1713" s="238">
        <v>85.510274595327033</v>
      </c>
      <c r="M1713" s="238">
        <v>714.18592862691912</v>
      </c>
      <c r="N1713" s="238">
        <v>451.15641882702147</v>
      </c>
      <c r="O1713" s="238">
        <v>1165.3423474539406</v>
      </c>
      <c r="P1713" s="238">
        <v>152.61635133794343</v>
      </c>
      <c r="Q1713" s="238">
        <v>137.14458987424408</v>
      </c>
      <c r="R1713" s="238">
        <v>289.7609412121875</v>
      </c>
      <c r="S1713" s="238" t="s">
        <v>192</v>
      </c>
      <c r="T1713" s="218">
        <f>VLOOKUP(A1713,'Groupe de branches'!$Z$27:$AM$86,14,FALSE)</f>
        <v>0</v>
      </c>
      <c r="U1713" s="218">
        <f>VLOOKUP(D1713,'Groupe de branches'!$Z$27:$AM$86,14,FALSE)</f>
        <v>0</v>
      </c>
      <c r="V1713" s="218">
        <v>2020</v>
      </c>
      <c r="W1713" s="218" t="str">
        <f>VLOOKUP(D1713,'Table corresp.'!$M$4:$S$63,7,FALSE)</f>
        <v>Meuble</v>
      </c>
      <c r="X1713" s="240">
        <f>IFERROR(G1713/SUMIFS('Comp2016-2017 (3)'!$I$5:$I$289,'Comp2016-2017 (3)'!$A$5:$A$289,A1713,'Comp2016-2017 (3)'!$R$5:$R$289,V1713),0)</f>
        <v>0.17466370389867303</v>
      </c>
      <c r="Y1713" s="219" t="e">
        <f>IF(RIGHT(F1713,3)="Exp",VLOOKUP(F1713,#REF!,2,FALSE),VLOOKUP(F1713,#REF!,9,FALSE))</f>
        <v>#REF!</v>
      </c>
      <c r="Z1713" s="226" t="str">
        <f t="shared" si="191"/>
        <v/>
      </c>
      <c r="AA1713" s="226" t="e">
        <f t="shared" si="193"/>
        <v>#VALUE!</v>
      </c>
      <c r="AB1713" s="205">
        <f>IFERROR(SUMIFS('Comp2016-2017 (3)'!$G$5:$G$289,'Comp2016-2017 (3)'!$A$5:$A$289,A1713,'Comp2016-2017 (3)'!$R$5:$R$289,V1713)*AA1713/SUMIFS($AA$4:$AA$1858,$A$4:$A$1858,A1713,$V$4:$V$1858,V1713),0)</f>
        <v>0</v>
      </c>
      <c r="AC1713" s="205" t="str">
        <f>IF($W1713=AC$3,$AB1713,IF(NOT($W1713=0),"",SUMIFS('Val-Vol (2)'!AC$4:AC$1858,'Val-Vol (2)'!$A$4:$A$1858,$D1713,'Val-Vol (2)'!$V$4:$V$1858,$V1713)/SUMIFS('Comp2016-2017 (3)'!$G$5:$G$289,'Comp2016-2017 (3)'!$A$5:$A$289,$D1713,'Comp2016-2017 (3)'!$R$5:$R$289,$V1713)*$AB1713))</f>
        <v/>
      </c>
      <c r="AD1713" s="205" t="str">
        <f>IF($W1713=AD$3,$AB1713,IF(NOT($W1713=0),"",SUMIFS('Val-Vol (2)'!AD$4:AD$1858,'Val-Vol (2)'!$A$4:$A$1858,$D1713,'Val-Vol (2)'!$V$4:$V$1858,$V1713)/SUMIFS('Comp2016-2017 (3)'!$G$5:$G$289,'Comp2016-2017 (3)'!$A$5:$A$289,$D1713,'Comp2016-2017 (3)'!$R$5:$R$289,$V1713)*$AB1713))</f>
        <v/>
      </c>
      <c r="AE1713" s="205">
        <f>IF($W1713=AE$3,$AB1713,IF(NOT($W1713=0),"",SUMIFS('Val-Vol (2)'!AE$4:AE$1858,'Val-Vol (2)'!$A$4:$A$1858,$D1713,'Val-Vol (2)'!$V$4:$V$1858,$V1713)/SUMIFS('Comp2016-2017 (3)'!$G$5:$G$289,'Comp2016-2017 (3)'!$A$5:$A$289,$D1713,'Comp2016-2017 (3)'!$R$5:$R$289,$V1713)*$AB1713))</f>
        <v>0</v>
      </c>
      <c r="AF1713" s="205" t="str">
        <f>IF($W1713=AF$3,$AB1713,IF(NOT($W1713=0),"",SUMIFS('Val-Vol (2)'!AF$4:AF$1858,'Val-Vol (2)'!$A$4:$A$1858,$D1713,'Val-Vol (2)'!$V$4:$V$1858,$V1713)/SUMIFS('Comp2016-2017 (3)'!$G$5:$G$289,'Comp2016-2017 (3)'!$A$5:$A$289,$D1713,'Comp2016-2017 (3)'!$R$5:$R$289,$V1713)*$AB1713))</f>
        <v/>
      </c>
      <c r="AG1713" s="205" t="str">
        <f>IF($W1713=AG$3,$AB1713,IF(NOT($W1713=0),"",SUMIFS('Val-Vol (2)'!AG$4:AG$1858,'Val-Vol (2)'!$A$4:$A$1858,$D1713,'Val-Vol (2)'!$V$4:$V$1858,$V1713)/SUMIFS('Comp2016-2017 (3)'!$G$5:$G$289,'Comp2016-2017 (3)'!$A$5:$A$289,$D1713,'Comp2016-2017 (3)'!$R$5:$R$289,$V1713)*$AB1713))</f>
        <v/>
      </c>
      <c r="AH1713" s="205" t="str">
        <f>IF($W1713=AH$3,$AB1713,IF(NOT($W1713=0),"",SUMIFS('Val-Vol (2)'!AH$4:AH$1858,'Val-Vol (2)'!$A$4:$A$1858,$D1713,'Val-Vol (2)'!$V$4:$V$1858,$V1713)/SUMIFS('Comp2016-2017 (3)'!$G$5:$G$289,'Comp2016-2017 (3)'!$A$5:$A$289,$D1713,'Comp2016-2017 (3)'!$R$5:$R$289,$V1713)*$AB1713))</f>
        <v/>
      </c>
      <c r="AI1713" s="205" t="str">
        <f>IF($W1713=AI$3,$AB1713,IF(NOT($W1713=0),"",SUMIFS('Val-Vol (2)'!AI$4:AI$1858,'Val-Vol (2)'!$A$4:$A$1858,$D1713,'Val-Vol (2)'!$V$4:$V$1858,$V1713)/SUMIFS('Comp2016-2017 (3)'!$G$5:$G$289,'Comp2016-2017 (3)'!$A$5:$A$289,$D1713,'Comp2016-2017 (3)'!$R$5:$R$289,$V1713)*$AB1713))</f>
        <v/>
      </c>
      <c r="AJ1713" s="205" t="str">
        <f>IF($W1713=AJ$3,$AB1713,IF(NOT($W1713=0),"",SUMIFS('Val-Vol (2)'!AJ$4:AJ$1858,'Val-Vol (2)'!$A$4:$A$1858,$D1713,'Val-Vol (2)'!$V$4:$V$1858,$V1713)/SUMIFS('Comp2016-2017 (3)'!$G$5:$G$289,'Comp2016-2017 (3)'!$A$5:$A$289,$D1713,'Comp2016-2017 (3)'!$R$5:$R$289,$V1713)*$AB1713))</f>
        <v/>
      </c>
      <c r="AK1713" s="205">
        <f t="shared" si="192"/>
        <v>0</v>
      </c>
      <c r="AL1713" s="218" t="str">
        <f t="shared" si="194"/>
        <v/>
      </c>
      <c r="AM1713" s="218" t="str">
        <f>VLOOKUP(A1713,'Table corresp.'!$M$4:$U$63,8,FALSE)</f>
        <v>Production intermédiaire</v>
      </c>
      <c r="AN1713" s="218" t="str">
        <f>VLOOKUP(D1713,'Table corresp.'!$M$4:$U$63,9,FALSE)</f>
        <v>Production finale</v>
      </c>
    </row>
    <row r="1714" spans="1:40" x14ac:dyDescent="0.25">
      <c r="A1714" t="s">
        <v>87</v>
      </c>
      <c r="B1714" t="str">
        <f>VLOOKUP(LEFT(A1714,3),'Table corresp.'!$A$4:$D$63,3,FALSE)</f>
        <v>Transformation</v>
      </c>
      <c r="C1714" t="str">
        <f>VLOOKUP(A1714,'Table corresp.'!$M$4:$P$63,4,FALSE)</f>
        <v>Production et transformation de produits bois</v>
      </c>
      <c r="D1714" t="s">
        <v>19</v>
      </c>
      <c r="E1714" t="str">
        <f>VLOOKUP(LEFT(D1714,3),'Table corresp.'!$A$4:$D$63,4,FALSE)</f>
        <v>Transformation</v>
      </c>
      <c r="F1714" t="str">
        <f t="shared" si="195"/>
        <v xml:space="preserve">31  - 52 </v>
      </c>
      <c r="G1714" s="238">
        <v>3539.4418000052701</v>
      </c>
      <c r="H1714" s="238">
        <v>1516.04001824644</v>
      </c>
      <c r="I1714" s="238">
        <v>5055.4818182517101</v>
      </c>
      <c r="J1714" s="238">
        <v>0.45222488599606758</v>
      </c>
      <c r="K1714" s="238">
        <v>0.12483704041146119</v>
      </c>
      <c r="L1714" s="238">
        <v>0.57706192640752874</v>
      </c>
      <c r="M1714" s="238">
        <v>5.9293101094854332</v>
      </c>
      <c r="N1714" s="238">
        <v>1.7728273877276932</v>
      </c>
      <c r="O1714" s="238">
        <v>7.7021374972131262</v>
      </c>
      <c r="P1714" s="238">
        <v>2.1983201372542647</v>
      </c>
      <c r="Q1714" s="238">
        <v>0.93500726988472527</v>
      </c>
      <c r="R1714" s="238">
        <v>3.1333274071389901</v>
      </c>
      <c r="S1714" s="238" t="s">
        <v>192</v>
      </c>
      <c r="T1714" s="218">
        <f>VLOOKUP(A1714,'Groupe de branches'!$Z$27:$AM$86,14,FALSE)</f>
        <v>0</v>
      </c>
      <c r="U1714" s="218">
        <f>VLOOKUP(D1714,'Groupe de branches'!$Z$27:$AM$86,14,FALSE)</f>
        <v>0</v>
      </c>
      <c r="V1714" s="218">
        <v>2020</v>
      </c>
      <c r="W1714" s="218" t="str">
        <f>VLOOKUP(D1714,'Table corresp.'!$M$4:$S$63,7,FALSE)</f>
        <v>Construction</v>
      </c>
      <c r="X1714" s="240">
        <f>IFERROR(G1714/SUMIFS('Comp2016-2017 (3)'!$I$5:$I$289,'Comp2016-2017 (3)'!$A$5:$A$289,A1714,'Comp2016-2017 (3)'!$R$5:$R$289,V1714),0)</f>
        <v>2.5158951459771104E-3</v>
      </c>
      <c r="Y1714" s="219" t="e">
        <f>IF(RIGHT(F1714,3)="Exp",VLOOKUP(F1714,#REF!,2,FALSE),VLOOKUP(F1714,#REF!,9,FALSE))</f>
        <v>#REF!</v>
      </c>
      <c r="Z1714" s="226" t="str">
        <f t="shared" si="191"/>
        <v/>
      </c>
      <c r="AA1714" s="226" t="e">
        <f t="shared" si="193"/>
        <v>#VALUE!</v>
      </c>
      <c r="AB1714" s="205">
        <f>IFERROR(SUMIFS('Comp2016-2017 (3)'!$G$5:$G$289,'Comp2016-2017 (3)'!$A$5:$A$289,A1714,'Comp2016-2017 (3)'!$R$5:$R$289,V1714)*AA1714/SUMIFS($AA$4:$AA$1858,$A$4:$A$1858,A1714,$V$4:$V$1858,V1714),0)</f>
        <v>0</v>
      </c>
      <c r="AC1714" s="205" t="str">
        <f>IF($W1714=AC$3,$AB1714,IF(NOT($W1714=0),"",SUMIFS('Val-Vol (2)'!AC$4:AC$1858,'Val-Vol (2)'!$A$4:$A$1858,$D1714,'Val-Vol (2)'!$V$4:$V$1858,$V1714)/SUMIFS('Comp2016-2017 (3)'!$G$5:$G$289,'Comp2016-2017 (3)'!$A$5:$A$289,$D1714,'Comp2016-2017 (3)'!$R$5:$R$289,$V1714)*$AB1714))</f>
        <v/>
      </c>
      <c r="AD1714" s="205">
        <f>IF($W1714=AD$3,$AB1714,IF(NOT($W1714=0),"",SUMIFS('Val-Vol (2)'!AD$4:AD$1858,'Val-Vol (2)'!$A$4:$A$1858,$D1714,'Val-Vol (2)'!$V$4:$V$1858,$V1714)/SUMIFS('Comp2016-2017 (3)'!$G$5:$G$289,'Comp2016-2017 (3)'!$A$5:$A$289,$D1714,'Comp2016-2017 (3)'!$R$5:$R$289,$V1714)*$AB1714))</f>
        <v>0</v>
      </c>
      <c r="AE1714" s="205" t="str">
        <f>IF($W1714=AE$3,$AB1714,IF(NOT($W1714=0),"",SUMIFS('Val-Vol (2)'!AE$4:AE$1858,'Val-Vol (2)'!$A$4:$A$1858,$D1714,'Val-Vol (2)'!$V$4:$V$1858,$V1714)/SUMIFS('Comp2016-2017 (3)'!$G$5:$G$289,'Comp2016-2017 (3)'!$A$5:$A$289,$D1714,'Comp2016-2017 (3)'!$R$5:$R$289,$V1714)*$AB1714))</f>
        <v/>
      </c>
      <c r="AF1714" s="205" t="str">
        <f>IF($W1714=AF$3,$AB1714,IF(NOT($W1714=0),"",SUMIFS('Val-Vol (2)'!AF$4:AF$1858,'Val-Vol (2)'!$A$4:$A$1858,$D1714,'Val-Vol (2)'!$V$4:$V$1858,$V1714)/SUMIFS('Comp2016-2017 (3)'!$G$5:$G$289,'Comp2016-2017 (3)'!$A$5:$A$289,$D1714,'Comp2016-2017 (3)'!$R$5:$R$289,$V1714)*$AB1714))</f>
        <v/>
      </c>
      <c r="AG1714" s="205" t="str">
        <f>IF($W1714=AG$3,$AB1714,IF(NOT($W1714=0),"",SUMIFS('Val-Vol (2)'!AG$4:AG$1858,'Val-Vol (2)'!$A$4:$A$1858,$D1714,'Val-Vol (2)'!$V$4:$V$1858,$V1714)/SUMIFS('Comp2016-2017 (3)'!$G$5:$G$289,'Comp2016-2017 (3)'!$A$5:$A$289,$D1714,'Comp2016-2017 (3)'!$R$5:$R$289,$V1714)*$AB1714))</f>
        <v/>
      </c>
      <c r="AH1714" s="205" t="str">
        <f>IF($W1714=AH$3,$AB1714,IF(NOT($W1714=0),"",SUMIFS('Val-Vol (2)'!AH$4:AH$1858,'Val-Vol (2)'!$A$4:$A$1858,$D1714,'Val-Vol (2)'!$V$4:$V$1858,$V1714)/SUMIFS('Comp2016-2017 (3)'!$G$5:$G$289,'Comp2016-2017 (3)'!$A$5:$A$289,$D1714,'Comp2016-2017 (3)'!$R$5:$R$289,$V1714)*$AB1714))</f>
        <v/>
      </c>
      <c r="AI1714" s="205" t="str">
        <f>IF($W1714=AI$3,$AB1714,IF(NOT($W1714=0),"",SUMIFS('Val-Vol (2)'!AI$4:AI$1858,'Val-Vol (2)'!$A$4:$A$1858,$D1714,'Val-Vol (2)'!$V$4:$V$1858,$V1714)/SUMIFS('Comp2016-2017 (3)'!$G$5:$G$289,'Comp2016-2017 (3)'!$A$5:$A$289,$D1714,'Comp2016-2017 (3)'!$R$5:$R$289,$V1714)*$AB1714))</f>
        <v/>
      </c>
      <c r="AJ1714" s="205" t="str">
        <f>IF($W1714=AJ$3,$AB1714,IF(NOT($W1714=0),"",SUMIFS('Val-Vol (2)'!AJ$4:AJ$1858,'Val-Vol (2)'!$A$4:$A$1858,$D1714,'Val-Vol (2)'!$V$4:$V$1858,$V1714)/SUMIFS('Comp2016-2017 (3)'!$G$5:$G$289,'Comp2016-2017 (3)'!$A$5:$A$289,$D1714,'Comp2016-2017 (3)'!$R$5:$R$289,$V1714)*$AB1714))</f>
        <v/>
      </c>
      <c r="AK1714" s="205">
        <f t="shared" si="192"/>
        <v>0</v>
      </c>
      <c r="AL1714" s="218" t="str">
        <f t="shared" si="194"/>
        <v/>
      </c>
      <c r="AM1714" s="218" t="str">
        <f>VLOOKUP(A1714,'Table corresp.'!$M$4:$U$63,8,FALSE)</f>
        <v>Production intermédiaire</v>
      </c>
      <c r="AN1714" s="218" t="str">
        <f>VLOOKUP(D1714,'Table corresp.'!$M$4:$U$63,9,FALSE)</f>
        <v xml:space="preserve">Mise en œuvre </v>
      </c>
    </row>
    <row r="1715" spans="1:40" x14ac:dyDescent="0.25">
      <c r="A1715" t="s">
        <v>87</v>
      </c>
      <c r="B1715" t="str">
        <f>VLOOKUP(LEFT(A1715,3),'Table corresp.'!$A$4:$D$63,3,FALSE)</f>
        <v>Transformation</v>
      </c>
      <c r="C1715" t="str">
        <f>VLOOKUP(A1715,'Table corresp.'!$M$4:$P$63,4,FALSE)</f>
        <v>Production et transformation de produits bois</v>
      </c>
      <c r="D1715" t="s">
        <v>20</v>
      </c>
      <c r="E1715" t="str">
        <f>VLOOKUP(LEFT(D1715,3),'Table corresp.'!$A$4:$D$63,4,FALSE)</f>
        <v>Transformation</v>
      </c>
      <c r="F1715" t="str">
        <f t="shared" si="195"/>
        <v xml:space="preserve">31  - 53 </v>
      </c>
      <c r="G1715" s="238">
        <v>3268.9466203832399</v>
      </c>
      <c r="H1715" s="238">
        <v>9728.6783668683092</v>
      </c>
      <c r="I1715" s="238">
        <v>12997.6249872515</v>
      </c>
      <c r="J1715" s="238">
        <v>1.8621981847433939</v>
      </c>
      <c r="K1715" s="238">
        <v>3.5717827213621534</v>
      </c>
      <c r="L1715" s="238">
        <v>5.4339809061055471</v>
      </c>
      <c r="M1715" s="238">
        <v>24.416061266386041</v>
      </c>
      <c r="N1715" s="238">
        <v>50.723360715479018</v>
      </c>
      <c r="O1715" s="238">
        <v>75.139421981865055</v>
      </c>
      <c r="P1715" s="238">
        <v>2.0303176572043218</v>
      </c>
      <c r="Q1715" s="238">
        <v>6.0000955712987398</v>
      </c>
      <c r="R1715" s="238">
        <v>8.0304132285030612</v>
      </c>
      <c r="S1715" s="238" t="s">
        <v>192</v>
      </c>
      <c r="T1715" s="218">
        <f>VLOOKUP(A1715,'Groupe de branches'!$Z$27:$AM$86,14,FALSE)</f>
        <v>0</v>
      </c>
      <c r="U1715" s="218">
        <f>VLOOKUP(D1715,'Groupe de branches'!$Z$27:$AM$86,14,FALSE)</f>
        <v>0</v>
      </c>
      <c r="V1715" s="218">
        <v>2020</v>
      </c>
      <c r="W1715" s="218" t="str">
        <f>VLOOKUP(D1715,'Table corresp.'!$M$4:$S$63,7,FALSE)</f>
        <v>Construction</v>
      </c>
      <c r="X1715" s="240">
        <f>IFERROR(G1715/SUMIFS('Comp2016-2017 (3)'!$I$5:$I$289,'Comp2016-2017 (3)'!$A$5:$A$289,A1715,'Comp2016-2017 (3)'!$R$5:$R$289,V1715),0)</f>
        <v>2.3236225934462965E-3</v>
      </c>
      <c r="Y1715" s="219" t="e">
        <f>IF(RIGHT(F1715,3)="Exp",VLOOKUP(F1715,#REF!,2,FALSE),VLOOKUP(F1715,#REF!,9,FALSE))</f>
        <v>#REF!</v>
      </c>
      <c r="Z1715" s="226" t="str">
        <f t="shared" si="191"/>
        <v/>
      </c>
      <c r="AA1715" s="226" t="e">
        <f t="shared" si="193"/>
        <v>#VALUE!</v>
      </c>
      <c r="AB1715" s="205">
        <f>IFERROR(SUMIFS('Comp2016-2017 (3)'!$G$5:$G$289,'Comp2016-2017 (3)'!$A$5:$A$289,A1715,'Comp2016-2017 (3)'!$R$5:$R$289,V1715)*AA1715/SUMIFS($AA$4:$AA$1858,$A$4:$A$1858,A1715,$V$4:$V$1858,V1715),0)</f>
        <v>0</v>
      </c>
      <c r="AC1715" s="205" t="str">
        <f>IF($W1715=AC$3,$AB1715,IF(NOT($W1715=0),"",SUMIFS('Val-Vol (2)'!AC$4:AC$1858,'Val-Vol (2)'!$A$4:$A$1858,$D1715,'Val-Vol (2)'!$V$4:$V$1858,$V1715)/SUMIFS('Comp2016-2017 (3)'!$G$5:$G$289,'Comp2016-2017 (3)'!$A$5:$A$289,$D1715,'Comp2016-2017 (3)'!$R$5:$R$289,$V1715)*$AB1715))</f>
        <v/>
      </c>
      <c r="AD1715" s="205">
        <f>IF($W1715=AD$3,$AB1715,IF(NOT($W1715=0),"",SUMIFS('Val-Vol (2)'!AD$4:AD$1858,'Val-Vol (2)'!$A$4:$A$1858,$D1715,'Val-Vol (2)'!$V$4:$V$1858,$V1715)/SUMIFS('Comp2016-2017 (3)'!$G$5:$G$289,'Comp2016-2017 (3)'!$A$5:$A$289,$D1715,'Comp2016-2017 (3)'!$R$5:$R$289,$V1715)*$AB1715))</f>
        <v>0</v>
      </c>
      <c r="AE1715" s="205" t="str">
        <f>IF($W1715=AE$3,$AB1715,IF(NOT($W1715=0),"",SUMIFS('Val-Vol (2)'!AE$4:AE$1858,'Val-Vol (2)'!$A$4:$A$1858,$D1715,'Val-Vol (2)'!$V$4:$V$1858,$V1715)/SUMIFS('Comp2016-2017 (3)'!$G$5:$G$289,'Comp2016-2017 (3)'!$A$5:$A$289,$D1715,'Comp2016-2017 (3)'!$R$5:$R$289,$V1715)*$AB1715))</f>
        <v/>
      </c>
      <c r="AF1715" s="205" t="str">
        <f>IF($W1715=AF$3,$AB1715,IF(NOT($W1715=0),"",SUMIFS('Val-Vol (2)'!AF$4:AF$1858,'Val-Vol (2)'!$A$4:$A$1858,$D1715,'Val-Vol (2)'!$V$4:$V$1858,$V1715)/SUMIFS('Comp2016-2017 (3)'!$G$5:$G$289,'Comp2016-2017 (3)'!$A$5:$A$289,$D1715,'Comp2016-2017 (3)'!$R$5:$R$289,$V1715)*$AB1715))</f>
        <v/>
      </c>
      <c r="AG1715" s="205" t="str">
        <f>IF($W1715=AG$3,$AB1715,IF(NOT($W1715=0),"",SUMIFS('Val-Vol (2)'!AG$4:AG$1858,'Val-Vol (2)'!$A$4:$A$1858,$D1715,'Val-Vol (2)'!$V$4:$V$1858,$V1715)/SUMIFS('Comp2016-2017 (3)'!$G$5:$G$289,'Comp2016-2017 (3)'!$A$5:$A$289,$D1715,'Comp2016-2017 (3)'!$R$5:$R$289,$V1715)*$AB1715))</f>
        <v/>
      </c>
      <c r="AH1715" s="205" t="str">
        <f>IF($W1715=AH$3,$AB1715,IF(NOT($W1715=0),"",SUMIFS('Val-Vol (2)'!AH$4:AH$1858,'Val-Vol (2)'!$A$4:$A$1858,$D1715,'Val-Vol (2)'!$V$4:$V$1858,$V1715)/SUMIFS('Comp2016-2017 (3)'!$G$5:$G$289,'Comp2016-2017 (3)'!$A$5:$A$289,$D1715,'Comp2016-2017 (3)'!$R$5:$R$289,$V1715)*$AB1715))</f>
        <v/>
      </c>
      <c r="AI1715" s="205" t="str">
        <f>IF($W1715=AI$3,$AB1715,IF(NOT($W1715=0),"",SUMIFS('Val-Vol (2)'!AI$4:AI$1858,'Val-Vol (2)'!$A$4:$A$1858,$D1715,'Val-Vol (2)'!$V$4:$V$1858,$V1715)/SUMIFS('Comp2016-2017 (3)'!$G$5:$G$289,'Comp2016-2017 (3)'!$A$5:$A$289,$D1715,'Comp2016-2017 (3)'!$R$5:$R$289,$V1715)*$AB1715))</f>
        <v/>
      </c>
      <c r="AJ1715" s="205" t="str">
        <f>IF($W1715=AJ$3,$AB1715,IF(NOT($W1715=0),"",SUMIFS('Val-Vol (2)'!AJ$4:AJ$1858,'Val-Vol (2)'!$A$4:$A$1858,$D1715,'Val-Vol (2)'!$V$4:$V$1858,$V1715)/SUMIFS('Comp2016-2017 (3)'!$G$5:$G$289,'Comp2016-2017 (3)'!$A$5:$A$289,$D1715,'Comp2016-2017 (3)'!$R$5:$R$289,$V1715)*$AB1715))</f>
        <v/>
      </c>
      <c r="AK1715" s="205">
        <f t="shared" si="192"/>
        <v>0</v>
      </c>
      <c r="AL1715" s="218" t="str">
        <f t="shared" si="194"/>
        <v/>
      </c>
      <c r="AM1715" s="218" t="str">
        <f>VLOOKUP(A1715,'Table corresp.'!$M$4:$U$63,8,FALSE)</f>
        <v>Production intermédiaire</v>
      </c>
      <c r="AN1715" s="218" t="str">
        <f>VLOOKUP(D1715,'Table corresp.'!$M$4:$U$63,9,FALSE)</f>
        <v xml:space="preserve">Mise en œuvre </v>
      </c>
    </row>
    <row r="1716" spans="1:40" x14ac:dyDescent="0.25">
      <c r="A1716" t="s">
        <v>87</v>
      </c>
      <c r="B1716" t="str">
        <f>VLOOKUP(LEFT(A1716,3),'Table corresp.'!$A$4:$D$63,3,FALSE)</f>
        <v>Transformation</v>
      </c>
      <c r="C1716" t="str">
        <f>VLOOKUP(A1716,'Table corresp.'!$M$4:$P$63,4,FALSE)</f>
        <v>Production et transformation de produits bois</v>
      </c>
      <c r="D1716" t="s">
        <v>21</v>
      </c>
      <c r="E1716" t="str">
        <f>VLOOKUP(LEFT(D1716,3),'Table corresp.'!$A$4:$D$63,4,FALSE)</f>
        <v>Transformation</v>
      </c>
      <c r="F1716" t="str">
        <f t="shared" si="195"/>
        <v xml:space="preserve">31  - 54 </v>
      </c>
      <c r="G1716" s="238">
        <v>132940.89326436701</v>
      </c>
      <c r="H1716" s="238">
        <v>380274.39292851102</v>
      </c>
      <c r="I1716" s="238">
        <v>513215.28619287797</v>
      </c>
      <c r="J1716" s="238">
        <v>29.683340192438344</v>
      </c>
      <c r="K1716" s="238">
        <v>54.722304048940302</v>
      </c>
      <c r="L1716" s="238">
        <v>84.405644241378639</v>
      </c>
      <c r="M1716" s="238">
        <v>338.89736368862208</v>
      </c>
      <c r="N1716" s="238">
        <v>676.69517060591886</v>
      </c>
      <c r="O1716" s="238">
        <v>1015.5925342945409</v>
      </c>
      <c r="P1716" s="238">
        <v>82.568568503426917</v>
      </c>
      <c r="Q1716" s="238">
        <v>234.53162031331047</v>
      </c>
      <c r="R1716" s="238">
        <v>317.10018881673739</v>
      </c>
      <c r="S1716" s="238" t="s">
        <v>192</v>
      </c>
      <c r="T1716" s="218">
        <f>VLOOKUP(A1716,'Groupe de branches'!$Z$27:$AM$86,14,FALSE)</f>
        <v>0</v>
      </c>
      <c r="U1716" s="218">
        <f>VLOOKUP(D1716,'Groupe de branches'!$Z$27:$AM$86,14,FALSE)</f>
        <v>0</v>
      </c>
      <c r="V1716" s="218">
        <v>2020</v>
      </c>
      <c r="W1716" s="218" t="str">
        <f>VLOOKUP(D1716,'Table corresp.'!$M$4:$S$63,7,FALSE)</f>
        <v>Construction</v>
      </c>
      <c r="X1716" s="240">
        <f>IFERROR(G1716/SUMIFS('Comp2016-2017 (3)'!$I$5:$I$289,'Comp2016-2017 (3)'!$A$5:$A$289,A1716,'Comp2016-2017 (3)'!$R$5:$R$289,V1716),0)</f>
        <v>9.4496637313031706E-2</v>
      </c>
      <c r="Y1716" s="219" t="e">
        <f>IF(RIGHT(F1716,3)="Exp",VLOOKUP(F1716,#REF!,2,FALSE),VLOOKUP(F1716,#REF!,9,FALSE))</f>
        <v>#REF!</v>
      </c>
      <c r="Z1716" s="226" t="str">
        <f t="shared" si="191"/>
        <v/>
      </c>
      <c r="AA1716" s="226" t="e">
        <f t="shared" si="193"/>
        <v>#VALUE!</v>
      </c>
      <c r="AB1716" s="205">
        <f>IFERROR(SUMIFS('Comp2016-2017 (3)'!$G$5:$G$289,'Comp2016-2017 (3)'!$A$5:$A$289,A1716,'Comp2016-2017 (3)'!$R$5:$R$289,V1716)*AA1716/SUMIFS($AA$4:$AA$1858,$A$4:$A$1858,A1716,$V$4:$V$1858,V1716),0)</f>
        <v>0</v>
      </c>
      <c r="AC1716" s="205" t="str">
        <f>IF($W1716=AC$3,$AB1716,IF(NOT($W1716=0),"",SUMIFS('Val-Vol (2)'!AC$4:AC$1858,'Val-Vol (2)'!$A$4:$A$1858,$D1716,'Val-Vol (2)'!$V$4:$V$1858,$V1716)/SUMIFS('Comp2016-2017 (3)'!$G$5:$G$289,'Comp2016-2017 (3)'!$A$5:$A$289,$D1716,'Comp2016-2017 (3)'!$R$5:$R$289,$V1716)*$AB1716))</f>
        <v/>
      </c>
      <c r="AD1716" s="205">
        <f>IF($W1716=AD$3,$AB1716,IF(NOT($W1716=0),"",SUMIFS('Val-Vol (2)'!AD$4:AD$1858,'Val-Vol (2)'!$A$4:$A$1858,$D1716,'Val-Vol (2)'!$V$4:$V$1858,$V1716)/SUMIFS('Comp2016-2017 (3)'!$G$5:$G$289,'Comp2016-2017 (3)'!$A$5:$A$289,$D1716,'Comp2016-2017 (3)'!$R$5:$R$289,$V1716)*$AB1716))</f>
        <v>0</v>
      </c>
      <c r="AE1716" s="205" t="str">
        <f>IF($W1716=AE$3,$AB1716,IF(NOT($W1716=0),"",SUMIFS('Val-Vol (2)'!AE$4:AE$1858,'Val-Vol (2)'!$A$4:$A$1858,$D1716,'Val-Vol (2)'!$V$4:$V$1858,$V1716)/SUMIFS('Comp2016-2017 (3)'!$G$5:$G$289,'Comp2016-2017 (3)'!$A$5:$A$289,$D1716,'Comp2016-2017 (3)'!$R$5:$R$289,$V1716)*$AB1716))</f>
        <v/>
      </c>
      <c r="AF1716" s="205" t="str">
        <f>IF($W1716=AF$3,$AB1716,IF(NOT($W1716=0),"",SUMIFS('Val-Vol (2)'!AF$4:AF$1858,'Val-Vol (2)'!$A$4:$A$1858,$D1716,'Val-Vol (2)'!$V$4:$V$1858,$V1716)/SUMIFS('Comp2016-2017 (3)'!$G$5:$G$289,'Comp2016-2017 (3)'!$A$5:$A$289,$D1716,'Comp2016-2017 (3)'!$R$5:$R$289,$V1716)*$AB1716))</f>
        <v/>
      </c>
      <c r="AG1716" s="205" t="str">
        <f>IF($W1716=AG$3,$AB1716,IF(NOT($W1716=0),"",SUMIFS('Val-Vol (2)'!AG$4:AG$1858,'Val-Vol (2)'!$A$4:$A$1858,$D1716,'Val-Vol (2)'!$V$4:$V$1858,$V1716)/SUMIFS('Comp2016-2017 (3)'!$G$5:$G$289,'Comp2016-2017 (3)'!$A$5:$A$289,$D1716,'Comp2016-2017 (3)'!$R$5:$R$289,$V1716)*$AB1716))</f>
        <v/>
      </c>
      <c r="AH1716" s="205" t="str">
        <f>IF($W1716=AH$3,$AB1716,IF(NOT($W1716=0),"",SUMIFS('Val-Vol (2)'!AH$4:AH$1858,'Val-Vol (2)'!$A$4:$A$1858,$D1716,'Val-Vol (2)'!$V$4:$V$1858,$V1716)/SUMIFS('Comp2016-2017 (3)'!$G$5:$G$289,'Comp2016-2017 (3)'!$A$5:$A$289,$D1716,'Comp2016-2017 (3)'!$R$5:$R$289,$V1716)*$AB1716))</f>
        <v/>
      </c>
      <c r="AI1716" s="205" t="str">
        <f>IF($W1716=AI$3,$AB1716,IF(NOT($W1716=0),"",SUMIFS('Val-Vol (2)'!AI$4:AI$1858,'Val-Vol (2)'!$A$4:$A$1858,$D1716,'Val-Vol (2)'!$V$4:$V$1858,$V1716)/SUMIFS('Comp2016-2017 (3)'!$G$5:$G$289,'Comp2016-2017 (3)'!$A$5:$A$289,$D1716,'Comp2016-2017 (3)'!$R$5:$R$289,$V1716)*$AB1716))</f>
        <v/>
      </c>
      <c r="AJ1716" s="205" t="str">
        <f>IF($W1716=AJ$3,$AB1716,IF(NOT($W1716=0),"",SUMIFS('Val-Vol (2)'!AJ$4:AJ$1858,'Val-Vol (2)'!$A$4:$A$1858,$D1716,'Val-Vol (2)'!$V$4:$V$1858,$V1716)/SUMIFS('Comp2016-2017 (3)'!$G$5:$G$289,'Comp2016-2017 (3)'!$A$5:$A$289,$D1716,'Comp2016-2017 (3)'!$R$5:$R$289,$V1716)*$AB1716))</f>
        <v/>
      </c>
      <c r="AK1716" s="205">
        <f t="shared" si="192"/>
        <v>0</v>
      </c>
      <c r="AL1716" s="218" t="str">
        <f t="shared" si="194"/>
        <v/>
      </c>
      <c r="AM1716" s="218" t="str">
        <f>VLOOKUP(A1716,'Table corresp.'!$M$4:$U$63,8,FALSE)</f>
        <v>Production intermédiaire</v>
      </c>
      <c r="AN1716" s="218" t="str">
        <f>VLOOKUP(D1716,'Table corresp.'!$M$4:$U$63,9,FALSE)</f>
        <v xml:space="preserve">Mise en œuvre </v>
      </c>
    </row>
    <row r="1717" spans="1:40" x14ac:dyDescent="0.25">
      <c r="A1717" t="s">
        <v>87</v>
      </c>
      <c r="B1717" t="str">
        <f>VLOOKUP(LEFT(A1717,3),'Table corresp.'!$A$4:$D$63,3,FALSE)</f>
        <v>Transformation</v>
      </c>
      <c r="C1717" t="str">
        <f>VLOOKUP(A1717,'Table corresp.'!$M$4:$P$63,4,FALSE)</f>
        <v>Production et transformation de produits bois</v>
      </c>
      <c r="D1717" t="s">
        <v>22</v>
      </c>
      <c r="E1717" t="str">
        <f>VLOOKUP(LEFT(D1717,3),'Table corresp.'!$A$4:$D$63,4,FALSE)</f>
        <v>Transformation</v>
      </c>
      <c r="F1717" t="str">
        <f t="shared" si="195"/>
        <v xml:space="preserve">31  - 55 </v>
      </c>
      <c r="G1717" s="238">
        <v>32304.604912151899</v>
      </c>
      <c r="H1717" s="238">
        <v>28840.390386196399</v>
      </c>
      <c r="I1717" s="238">
        <v>61144.995298348404</v>
      </c>
      <c r="J1717" s="238">
        <v>5.7770809934209515</v>
      </c>
      <c r="K1717" s="238">
        <v>3.3239790150679998</v>
      </c>
      <c r="L1717" s="238">
        <v>9.1010600084889504</v>
      </c>
      <c r="M1717" s="238">
        <v>84.182021358276131</v>
      </c>
      <c r="N1717" s="238">
        <v>52.461710675806636</v>
      </c>
      <c r="O1717" s="238">
        <v>136.64373203408277</v>
      </c>
      <c r="P1717" s="238">
        <v>20.064142177537942</v>
      </c>
      <c r="Q1717" s="238">
        <v>17.787112709991611</v>
      </c>
      <c r="R1717" s="238">
        <v>37.851254887529549</v>
      </c>
      <c r="S1717" s="238" t="s">
        <v>192</v>
      </c>
      <c r="T1717" s="218">
        <f>VLOOKUP(A1717,'Groupe de branches'!$Z$27:$AM$86,14,FALSE)</f>
        <v>0</v>
      </c>
      <c r="U1717" s="218">
        <f>VLOOKUP(D1717,'Groupe de branches'!$Z$27:$AM$86,14,FALSE)</f>
        <v>0</v>
      </c>
      <c r="V1717" s="218">
        <v>2020</v>
      </c>
      <c r="W1717" s="218" t="str">
        <f>VLOOKUP(D1717,'Table corresp.'!$M$4:$S$63,7,FALSE)</f>
        <v>Construction</v>
      </c>
      <c r="X1717" s="240">
        <f>IFERROR(G1717/SUMIFS('Comp2016-2017 (3)'!$I$5:$I$289,'Comp2016-2017 (3)'!$A$5:$A$289,A1717,'Comp2016-2017 (3)'!$R$5:$R$289,V1717),0)</f>
        <v>2.2962660013528195E-2</v>
      </c>
      <c r="Y1717" s="219" t="e">
        <f>IF(RIGHT(F1717,3)="Exp",VLOOKUP(F1717,#REF!,2,FALSE),VLOOKUP(F1717,#REF!,9,FALSE))</f>
        <v>#REF!</v>
      </c>
      <c r="Z1717" s="226" t="str">
        <f t="shared" si="191"/>
        <v/>
      </c>
      <c r="AA1717" s="226" t="e">
        <f t="shared" si="193"/>
        <v>#VALUE!</v>
      </c>
      <c r="AB1717" s="205">
        <f>IFERROR(SUMIFS('Comp2016-2017 (3)'!$G$5:$G$289,'Comp2016-2017 (3)'!$A$5:$A$289,A1717,'Comp2016-2017 (3)'!$R$5:$R$289,V1717)*AA1717/SUMIFS($AA$4:$AA$1858,$A$4:$A$1858,A1717,$V$4:$V$1858,V1717),0)</f>
        <v>0</v>
      </c>
      <c r="AC1717" s="205" t="str">
        <f>IF($W1717=AC$3,$AB1717,IF(NOT($W1717=0),"",SUMIFS('Val-Vol (2)'!AC$4:AC$1858,'Val-Vol (2)'!$A$4:$A$1858,$D1717,'Val-Vol (2)'!$V$4:$V$1858,$V1717)/SUMIFS('Comp2016-2017 (3)'!$G$5:$G$289,'Comp2016-2017 (3)'!$A$5:$A$289,$D1717,'Comp2016-2017 (3)'!$R$5:$R$289,$V1717)*$AB1717))</f>
        <v/>
      </c>
      <c r="AD1717" s="205">
        <f>IF($W1717=AD$3,$AB1717,IF(NOT($W1717=0),"",SUMIFS('Val-Vol (2)'!AD$4:AD$1858,'Val-Vol (2)'!$A$4:$A$1858,$D1717,'Val-Vol (2)'!$V$4:$V$1858,$V1717)/SUMIFS('Comp2016-2017 (3)'!$G$5:$G$289,'Comp2016-2017 (3)'!$A$5:$A$289,$D1717,'Comp2016-2017 (3)'!$R$5:$R$289,$V1717)*$AB1717))</f>
        <v>0</v>
      </c>
      <c r="AE1717" s="205" t="str">
        <f>IF($W1717=AE$3,$AB1717,IF(NOT($W1717=0),"",SUMIFS('Val-Vol (2)'!AE$4:AE$1858,'Val-Vol (2)'!$A$4:$A$1858,$D1717,'Val-Vol (2)'!$V$4:$V$1858,$V1717)/SUMIFS('Comp2016-2017 (3)'!$G$5:$G$289,'Comp2016-2017 (3)'!$A$5:$A$289,$D1717,'Comp2016-2017 (3)'!$R$5:$R$289,$V1717)*$AB1717))</f>
        <v/>
      </c>
      <c r="AF1717" s="205" t="str">
        <f>IF($W1717=AF$3,$AB1717,IF(NOT($W1717=0),"",SUMIFS('Val-Vol (2)'!AF$4:AF$1858,'Val-Vol (2)'!$A$4:$A$1858,$D1717,'Val-Vol (2)'!$V$4:$V$1858,$V1717)/SUMIFS('Comp2016-2017 (3)'!$G$5:$G$289,'Comp2016-2017 (3)'!$A$5:$A$289,$D1717,'Comp2016-2017 (3)'!$R$5:$R$289,$V1717)*$AB1717))</f>
        <v/>
      </c>
      <c r="AG1717" s="205" t="str">
        <f>IF($W1717=AG$3,$AB1717,IF(NOT($W1717=0),"",SUMIFS('Val-Vol (2)'!AG$4:AG$1858,'Val-Vol (2)'!$A$4:$A$1858,$D1717,'Val-Vol (2)'!$V$4:$V$1858,$V1717)/SUMIFS('Comp2016-2017 (3)'!$G$5:$G$289,'Comp2016-2017 (3)'!$A$5:$A$289,$D1717,'Comp2016-2017 (3)'!$R$5:$R$289,$V1717)*$AB1717))</f>
        <v/>
      </c>
      <c r="AH1717" s="205" t="str">
        <f>IF($W1717=AH$3,$AB1717,IF(NOT($W1717=0),"",SUMIFS('Val-Vol (2)'!AH$4:AH$1858,'Val-Vol (2)'!$A$4:$A$1858,$D1717,'Val-Vol (2)'!$V$4:$V$1858,$V1717)/SUMIFS('Comp2016-2017 (3)'!$G$5:$G$289,'Comp2016-2017 (3)'!$A$5:$A$289,$D1717,'Comp2016-2017 (3)'!$R$5:$R$289,$V1717)*$AB1717))</f>
        <v/>
      </c>
      <c r="AI1717" s="205" t="str">
        <f>IF($W1717=AI$3,$AB1717,IF(NOT($W1717=0),"",SUMIFS('Val-Vol (2)'!AI$4:AI$1858,'Val-Vol (2)'!$A$4:$A$1858,$D1717,'Val-Vol (2)'!$V$4:$V$1858,$V1717)/SUMIFS('Comp2016-2017 (3)'!$G$5:$G$289,'Comp2016-2017 (3)'!$A$5:$A$289,$D1717,'Comp2016-2017 (3)'!$R$5:$R$289,$V1717)*$AB1717))</f>
        <v/>
      </c>
      <c r="AJ1717" s="205" t="str">
        <f>IF($W1717=AJ$3,$AB1717,IF(NOT($W1717=0),"",SUMIFS('Val-Vol (2)'!AJ$4:AJ$1858,'Val-Vol (2)'!$A$4:$A$1858,$D1717,'Val-Vol (2)'!$V$4:$V$1858,$V1717)/SUMIFS('Comp2016-2017 (3)'!$G$5:$G$289,'Comp2016-2017 (3)'!$A$5:$A$289,$D1717,'Comp2016-2017 (3)'!$R$5:$R$289,$V1717)*$AB1717))</f>
        <v/>
      </c>
      <c r="AK1717" s="205">
        <f t="shared" si="192"/>
        <v>0</v>
      </c>
      <c r="AL1717" s="218" t="str">
        <f t="shared" si="194"/>
        <v/>
      </c>
      <c r="AM1717" s="218" t="str">
        <f>VLOOKUP(A1717,'Table corresp.'!$M$4:$U$63,8,FALSE)</f>
        <v>Production intermédiaire</v>
      </c>
      <c r="AN1717" s="218" t="str">
        <f>VLOOKUP(D1717,'Table corresp.'!$M$4:$U$63,9,FALSE)</f>
        <v xml:space="preserve">Mise en œuvre </v>
      </c>
    </row>
    <row r="1718" spans="1:40" x14ac:dyDescent="0.25">
      <c r="A1718" t="s">
        <v>87</v>
      </c>
      <c r="B1718" t="str">
        <f>VLOOKUP(LEFT(A1718,3),'Table corresp.'!$A$4:$D$63,3,FALSE)</f>
        <v>Transformation</v>
      </c>
      <c r="C1718" t="str">
        <f>VLOOKUP(A1718,'Table corresp.'!$M$4:$P$63,4,FALSE)</f>
        <v>Production et transformation de produits bois</v>
      </c>
      <c r="D1718" t="s">
        <v>24</v>
      </c>
      <c r="E1718" t="str">
        <f>VLOOKUP(LEFT(D1718,3),'Table corresp.'!$A$4:$D$63,4,FALSE)</f>
        <v>Transformation</v>
      </c>
      <c r="F1718" t="str">
        <f t="shared" si="195"/>
        <v xml:space="preserve">31  - 57 </v>
      </c>
      <c r="G1718" s="238">
        <v>9905.7470419875899</v>
      </c>
      <c r="H1718" s="238">
        <v>37100.034053295298</v>
      </c>
      <c r="I1718" s="238">
        <v>47005.781095282902</v>
      </c>
      <c r="J1718" s="238">
        <v>3.0044966392994512</v>
      </c>
      <c r="K1718" s="238">
        <v>7.2522357545658513</v>
      </c>
      <c r="L1718" s="238">
        <v>10.256732393865303</v>
      </c>
      <c r="M1718" s="238">
        <v>38.719827002648174</v>
      </c>
      <c r="N1718" s="238">
        <v>101.22945077217676</v>
      </c>
      <c r="O1718" s="238">
        <v>139.94927777482494</v>
      </c>
      <c r="P1718" s="238">
        <v>6.1523834625323577</v>
      </c>
      <c r="Q1718" s="238">
        <v>22.881191218768429</v>
      </c>
      <c r="R1718" s="238">
        <v>29.033574681300784</v>
      </c>
      <c r="S1718" s="238" t="s">
        <v>192</v>
      </c>
      <c r="T1718" s="218">
        <f>VLOOKUP(A1718,'Groupe de branches'!$Z$27:$AM$86,14,FALSE)</f>
        <v>0</v>
      </c>
      <c r="U1718" s="218">
        <f>VLOOKUP(D1718,'Groupe de branches'!$Z$27:$AM$86,14,FALSE)</f>
        <v>0</v>
      </c>
      <c r="V1718" s="218">
        <v>2020</v>
      </c>
      <c r="W1718" s="218" t="str">
        <f>VLOOKUP(D1718,'Table corresp.'!$M$4:$S$63,7,FALSE)</f>
        <v>Construction</v>
      </c>
      <c r="X1718" s="240">
        <f>IFERROR(G1718/SUMIFS('Comp2016-2017 (3)'!$I$5:$I$289,'Comp2016-2017 (3)'!$A$5:$A$289,A1718,'Comp2016-2017 (3)'!$R$5:$R$289,V1718),0)</f>
        <v>7.0411726787474194E-3</v>
      </c>
      <c r="Y1718" s="219" t="e">
        <f>IF(RIGHT(F1718,3)="Exp",VLOOKUP(F1718,#REF!,2,FALSE),VLOOKUP(F1718,#REF!,9,FALSE))</f>
        <v>#REF!</v>
      </c>
      <c r="Z1718" s="226" t="str">
        <f t="shared" si="191"/>
        <v/>
      </c>
      <c r="AA1718" s="226" t="e">
        <f t="shared" si="193"/>
        <v>#VALUE!</v>
      </c>
      <c r="AB1718" s="205">
        <f>IFERROR(SUMIFS('Comp2016-2017 (3)'!$G$5:$G$289,'Comp2016-2017 (3)'!$A$5:$A$289,A1718,'Comp2016-2017 (3)'!$R$5:$R$289,V1718)*AA1718/SUMIFS($AA$4:$AA$1858,$A$4:$A$1858,A1718,$V$4:$V$1858,V1718),0)</f>
        <v>0</v>
      </c>
      <c r="AC1718" s="205" t="str">
        <f>IF($W1718=AC$3,$AB1718,IF(NOT($W1718=0),"",SUMIFS('Val-Vol (2)'!AC$4:AC$1858,'Val-Vol (2)'!$A$4:$A$1858,$D1718,'Val-Vol (2)'!$V$4:$V$1858,$V1718)/SUMIFS('Comp2016-2017 (3)'!$G$5:$G$289,'Comp2016-2017 (3)'!$A$5:$A$289,$D1718,'Comp2016-2017 (3)'!$R$5:$R$289,$V1718)*$AB1718))</f>
        <v/>
      </c>
      <c r="AD1718" s="205">
        <f>IF($W1718=AD$3,$AB1718,IF(NOT($W1718=0),"",SUMIFS('Val-Vol (2)'!AD$4:AD$1858,'Val-Vol (2)'!$A$4:$A$1858,$D1718,'Val-Vol (2)'!$V$4:$V$1858,$V1718)/SUMIFS('Comp2016-2017 (3)'!$G$5:$G$289,'Comp2016-2017 (3)'!$A$5:$A$289,$D1718,'Comp2016-2017 (3)'!$R$5:$R$289,$V1718)*$AB1718))</f>
        <v>0</v>
      </c>
      <c r="AE1718" s="205" t="str">
        <f>IF($W1718=AE$3,$AB1718,IF(NOT($W1718=0),"",SUMIFS('Val-Vol (2)'!AE$4:AE$1858,'Val-Vol (2)'!$A$4:$A$1858,$D1718,'Val-Vol (2)'!$V$4:$V$1858,$V1718)/SUMIFS('Comp2016-2017 (3)'!$G$5:$G$289,'Comp2016-2017 (3)'!$A$5:$A$289,$D1718,'Comp2016-2017 (3)'!$R$5:$R$289,$V1718)*$AB1718))</f>
        <v/>
      </c>
      <c r="AF1718" s="205" t="str">
        <f>IF($W1718=AF$3,$AB1718,IF(NOT($W1718=0),"",SUMIFS('Val-Vol (2)'!AF$4:AF$1858,'Val-Vol (2)'!$A$4:$A$1858,$D1718,'Val-Vol (2)'!$V$4:$V$1858,$V1718)/SUMIFS('Comp2016-2017 (3)'!$G$5:$G$289,'Comp2016-2017 (3)'!$A$5:$A$289,$D1718,'Comp2016-2017 (3)'!$R$5:$R$289,$V1718)*$AB1718))</f>
        <v/>
      </c>
      <c r="AG1718" s="205" t="str">
        <f>IF($W1718=AG$3,$AB1718,IF(NOT($W1718=0),"",SUMIFS('Val-Vol (2)'!AG$4:AG$1858,'Val-Vol (2)'!$A$4:$A$1858,$D1718,'Val-Vol (2)'!$V$4:$V$1858,$V1718)/SUMIFS('Comp2016-2017 (3)'!$G$5:$G$289,'Comp2016-2017 (3)'!$A$5:$A$289,$D1718,'Comp2016-2017 (3)'!$R$5:$R$289,$V1718)*$AB1718))</f>
        <v/>
      </c>
      <c r="AH1718" s="205" t="str">
        <f>IF($W1718=AH$3,$AB1718,IF(NOT($W1718=0),"",SUMIFS('Val-Vol (2)'!AH$4:AH$1858,'Val-Vol (2)'!$A$4:$A$1858,$D1718,'Val-Vol (2)'!$V$4:$V$1858,$V1718)/SUMIFS('Comp2016-2017 (3)'!$G$5:$G$289,'Comp2016-2017 (3)'!$A$5:$A$289,$D1718,'Comp2016-2017 (3)'!$R$5:$R$289,$V1718)*$AB1718))</f>
        <v/>
      </c>
      <c r="AI1718" s="205" t="str">
        <f>IF($W1718=AI$3,$AB1718,IF(NOT($W1718=0),"",SUMIFS('Val-Vol (2)'!AI$4:AI$1858,'Val-Vol (2)'!$A$4:$A$1858,$D1718,'Val-Vol (2)'!$V$4:$V$1858,$V1718)/SUMIFS('Comp2016-2017 (3)'!$G$5:$G$289,'Comp2016-2017 (3)'!$A$5:$A$289,$D1718,'Comp2016-2017 (3)'!$R$5:$R$289,$V1718)*$AB1718))</f>
        <v/>
      </c>
      <c r="AJ1718" s="205" t="str">
        <f>IF($W1718=AJ$3,$AB1718,IF(NOT($W1718=0),"",SUMIFS('Val-Vol (2)'!AJ$4:AJ$1858,'Val-Vol (2)'!$A$4:$A$1858,$D1718,'Val-Vol (2)'!$V$4:$V$1858,$V1718)/SUMIFS('Comp2016-2017 (3)'!$G$5:$G$289,'Comp2016-2017 (3)'!$A$5:$A$289,$D1718,'Comp2016-2017 (3)'!$R$5:$R$289,$V1718)*$AB1718))</f>
        <v/>
      </c>
      <c r="AK1718" s="205">
        <f t="shared" si="192"/>
        <v>0</v>
      </c>
      <c r="AL1718" s="218" t="str">
        <f t="shared" si="194"/>
        <v/>
      </c>
      <c r="AM1718" s="218" t="str">
        <f>VLOOKUP(A1718,'Table corresp.'!$M$4:$U$63,8,FALSE)</f>
        <v>Production intermédiaire</v>
      </c>
      <c r="AN1718" s="218" t="str">
        <f>VLOOKUP(D1718,'Table corresp.'!$M$4:$U$63,9,FALSE)</f>
        <v xml:space="preserve">Mise en œuvre </v>
      </c>
    </row>
    <row r="1719" spans="1:40" x14ac:dyDescent="0.25">
      <c r="A1719" t="s">
        <v>87</v>
      </c>
      <c r="B1719" t="str">
        <f>VLOOKUP(LEFT(A1719,3),'Table corresp.'!$A$4:$D$63,3,FALSE)</f>
        <v>Transformation</v>
      </c>
      <c r="C1719" t="str">
        <f>VLOOKUP(A1719,'Table corresp.'!$M$4:$P$63,4,FALSE)</f>
        <v>Production et transformation de produits bois</v>
      </c>
      <c r="D1719" t="s">
        <v>25</v>
      </c>
      <c r="E1719" t="str">
        <f>VLOOKUP(LEFT(D1719,3),'Table corresp.'!$A$4:$D$63,4,FALSE)</f>
        <v>Transformation</v>
      </c>
      <c r="F1719" t="str">
        <f t="shared" si="195"/>
        <v xml:space="preserve">31  - 58 </v>
      </c>
      <c r="G1719" s="238">
        <v>2190.2645513636198</v>
      </c>
      <c r="H1719" s="238">
        <v>2663.2169798883901</v>
      </c>
      <c r="I1719" s="238">
        <v>4853.4815312520104</v>
      </c>
      <c r="J1719" s="238">
        <v>0.66432571474471136</v>
      </c>
      <c r="K1719" s="238">
        <v>0.52059999125520839</v>
      </c>
      <c r="L1719" s="238">
        <v>1.1849257059999196</v>
      </c>
      <c r="M1719" s="238">
        <v>8.561359800463439</v>
      </c>
      <c r="N1719" s="238">
        <v>7.2667316632096446</v>
      </c>
      <c r="O1719" s="238">
        <v>15.828091463673083</v>
      </c>
      <c r="P1719" s="238">
        <v>1.3603565028727562</v>
      </c>
      <c r="Q1719" s="238">
        <v>1.6425207827668993</v>
      </c>
      <c r="R1719" s="238">
        <v>3.0028772856396557</v>
      </c>
      <c r="S1719" s="238" t="s">
        <v>192</v>
      </c>
      <c r="T1719" s="218">
        <f>VLOOKUP(A1719,'Groupe de branches'!$Z$27:$AM$86,14,FALSE)</f>
        <v>0</v>
      </c>
      <c r="U1719" s="218">
        <f>VLOOKUP(D1719,'Groupe de branches'!$Z$27:$AM$86,14,FALSE)</f>
        <v>0</v>
      </c>
      <c r="V1719" s="218">
        <v>2020</v>
      </c>
      <c r="W1719" s="218" t="str">
        <f>VLOOKUP(D1719,'Table corresp.'!$M$4:$S$63,7,FALSE)</f>
        <v>Construction</v>
      </c>
      <c r="X1719" s="240">
        <f>IFERROR(G1719/SUMIFS('Comp2016-2017 (3)'!$I$5:$I$289,'Comp2016-2017 (3)'!$A$5:$A$289,A1719,'Comp2016-2017 (3)'!$R$5:$R$289,V1719),0)</f>
        <v>1.5568771192037286E-3</v>
      </c>
      <c r="Y1719" s="219" t="e">
        <f>IF(RIGHT(F1719,3)="Exp",VLOOKUP(F1719,#REF!,2,FALSE),VLOOKUP(F1719,#REF!,9,FALSE))</f>
        <v>#REF!</v>
      </c>
      <c r="Z1719" s="226" t="str">
        <f t="shared" si="191"/>
        <v/>
      </c>
      <c r="AA1719" s="226" t="e">
        <f t="shared" si="193"/>
        <v>#VALUE!</v>
      </c>
      <c r="AB1719" s="205">
        <f>IFERROR(SUMIFS('Comp2016-2017 (3)'!$G$5:$G$289,'Comp2016-2017 (3)'!$A$5:$A$289,A1719,'Comp2016-2017 (3)'!$R$5:$R$289,V1719)*AA1719/SUMIFS($AA$4:$AA$1858,$A$4:$A$1858,A1719,$V$4:$V$1858,V1719),0)</f>
        <v>0</v>
      </c>
      <c r="AC1719" s="205" t="str">
        <f>IF($W1719=AC$3,$AB1719,IF(NOT($W1719=0),"",SUMIFS('Val-Vol (2)'!AC$4:AC$1858,'Val-Vol (2)'!$A$4:$A$1858,$D1719,'Val-Vol (2)'!$V$4:$V$1858,$V1719)/SUMIFS('Comp2016-2017 (3)'!$G$5:$G$289,'Comp2016-2017 (3)'!$A$5:$A$289,$D1719,'Comp2016-2017 (3)'!$R$5:$R$289,$V1719)*$AB1719))</f>
        <v/>
      </c>
      <c r="AD1719" s="205">
        <f>IF($W1719=AD$3,$AB1719,IF(NOT($W1719=0),"",SUMIFS('Val-Vol (2)'!AD$4:AD$1858,'Val-Vol (2)'!$A$4:$A$1858,$D1719,'Val-Vol (2)'!$V$4:$V$1858,$V1719)/SUMIFS('Comp2016-2017 (3)'!$G$5:$G$289,'Comp2016-2017 (3)'!$A$5:$A$289,$D1719,'Comp2016-2017 (3)'!$R$5:$R$289,$V1719)*$AB1719))</f>
        <v>0</v>
      </c>
      <c r="AE1719" s="205" t="str">
        <f>IF($W1719=AE$3,$AB1719,IF(NOT($W1719=0),"",SUMIFS('Val-Vol (2)'!AE$4:AE$1858,'Val-Vol (2)'!$A$4:$A$1858,$D1719,'Val-Vol (2)'!$V$4:$V$1858,$V1719)/SUMIFS('Comp2016-2017 (3)'!$G$5:$G$289,'Comp2016-2017 (3)'!$A$5:$A$289,$D1719,'Comp2016-2017 (3)'!$R$5:$R$289,$V1719)*$AB1719))</f>
        <v/>
      </c>
      <c r="AF1719" s="205" t="str">
        <f>IF($W1719=AF$3,$AB1719,IF(NOT($W1719=0),"",SUMIFS('Val-Vol (2)'!AF$4:AF$1858,'Val-Vol (2)'!$A$4:$A$1858,$D1719,'Val-Vol (2)'!$V$4:$V$1858,$V1719)/SUMIFS('Comp2016-2017 (3)'!$G$5:$G$289,'Comp2016-2017 (3)'!$A$5:$A$289,$D1719,'Comp2016-2017 (3)'!$R$5:$R$289,$V1719)*$AB1719))</f>
        <v/>
      </c>
      <c r="AG1719" s="205" t="str">
        <f>IF($W1719=AG$3,$AB1719,IF(NOT($W1719=0),"",SUMIFS('Val-Vol (2)'!AG$4:AG$1858,'Val-Vol (2)'!$A$4:$A$1858,$D1719,'Val-Vol (2)'!$V$4:$V$1858,$V1719)/SUMIFS('Comp2016-2017 (3)'!$G$5:$G$289,'Comp2016-2017 (3)'!$A$5:$A$289,$D1719,'Comp2016-2017 (3)'!$R$5:$R$289,$V1719)*$AB1719))</f>
        <v/>
      </c>
      <c r="AH1719" s="205" t="str">
        <f>IF($W1719=AH$3,$AB1719,IF(NOT($W1719=0),"",SUMIFS('Val-Vol (2)'!AH$4:AH$1858,'Val-Vol (2)'!$A$4:$A$1858,$D1719,'Val-Vol (2)'!$V$4:$V$1858,$V1719)/SUMIFS('Comp2016-2017 (3)'!$G$5:$G$289,'Comp2016-2017 (3)'!$A$5:$A$289,$D1719,'Comp2016-2017 (3)'!$R$5:$R$289,$V1719)*$AB1719))</f>
        <v/>
      </c>
      <c r="AI1719" s="205" t="str">
        <f>IF($W1719=AI$3,$AB1719,IF(NOT($W1719=0),"",SUMIFS('Val-Vol (2)'!AI$4:AI$1858,'Val-Vol (2)'!$A$4:$A$1858,$D1719,'Val-Vol (2)'!$V$4:$V$1858,$V1719)/SUMIFS('Comp2016-2017 (3)'!$G$5:$G$289,'Comp2016-2017 (3)'!$A$5:$A$289,$D1719,'Comp2016-2017 (3)'!$R$5:$R$289,$V1719)*$AB1719))</f>
        <v/>
      </c>
      <c r="AJ1719" s="205" t="str">
        <f>IF($W1719=AJ$3,$AB1719,IF(NOT($W1719=0),"",SUMIFS('Val-Vol (2)'!AJ$4:AJ$1858,'Val-Vol (2)'!$A$4:$A$1858,$D1719,'Val-Vol (2)'!$V$4:$V$1858,$V1719)/SUMIFS('Comp2016-2017 (3)'!$G$5:$G$289,'Comp2016-2017 (3)'!$A$5:$A$289,$D1719,'Comp2016-2017 (3)'!$R$5:$R$289,$V1719)*$AB1719))</f>
        <v/>
      </c>
      <c r="AK1719" s="205">
        <f t="shared" si="192"/>
        <v>0</v>
      </c>
      <c r="AL1719" s="218" t="str">
        <f t="shared" si="194"/>
        <v/>
      </c>
      <c r="AM1719" s="218" t="str">
        <f>VLOOKUP(A1719,'Table corresp.'!$M$4:$U$63,8,FALSE)</f>
        <v>Production intermédiaire</v>
      </c>
      <c r="AN1719" s="218" t="str">
        <f>VLOOKUP(D1719,'Table corresp.'!$M$4:$U$63,9,FALSE)</f>
        <v xml:space="preserve">Mise en œuvre </v>
      </c>
    </row>
    <row r="1720" spans="1:40" x14ac:dyDescent="0.25">
      <c r="A1720" t="s">
        <v>87</v>
      </c>
      <c r="B1720" t="str">
        <f>VLOOKUP(LEFT(A1720,3),'Table corresp.'!$A$4:$D$63,3,FALSE)</f>
        <v>Transformation</v>
      </c>
      <c r="C1720" t="str">
        <f>VLOOKUP(A1720,'Table corresp.'!$M$4:$P$63,4,FALSE)</f>
        <v>Production et transformation de produits bois</v>
      </c>
      <c r="D1720" t="s">
        <v>26</v>
      </c>
      <c r="E1720" t="str">
        <f>VLOOKUP(LEFT(D1720,3),'Table corresp.'!$A$4:$D$63,4,FALSE)</f>
        <v>Transformation</v>
      </c>
      <c r="F1720" t="str">
        <f t="shared" si="195"/>
        <v xml:space="preserve">31  - 59 </v>
      </c>
      <c r="G1720" s="238">
        <v>1728.4976721094899</v>
      </c>
      <c r="H1720" s="238">
        <v>3321.8862802308399</v>
      </c>
      <c r="I1720" s="238">
        <v>5050.3839523403303</v>
      </c>
      <c r="J1720" s="238">
        <v>0.22329930137221288</v>
      </c>
      <c r="K1720" s="238">
        <v>0.27657724261371713</v>
      </c>
      <c r="L1720" s="238">
        <v>0.49987654398593001</v>
      </c>
      <c r="M1720" s="238">
        <v>2.8955974700433202</v>
      </c>
      <c r="N1720" s="238">
        <v>3.8845484984769021</v>
      </c>
      <c r="O1720" s="238">
        <v>6.7801459685202223</v>
      </c>
      <c r="P1720" s="238">
        <v>1.0735566381653041</v>
      </c>
      <c r="Q1720" s="238">
        <v>2.0487505503573513</v>
      </c>
      <c r="R1720" s="238">
        <v>3.1223071885226554</v>
      </c>
      <c r="S1720" s="238" t="s">
        <v>192</v>
      </c>
      <c r="T1720" s="218">
        <f>VLOOKUP(A1720,'Groupe de branches'!$Z$27:$AM$86,14,FALSE)</f>
        <v>0</v>
      </c>
      <c r="U1720" s="218">
        <f>VLOOKUP(D1720,'Groupe de branches'!$Z$27:$AM$86,14,FALSE)</f>
        <v>0</v>
      </c>
      <c r="V1720" s="218">
        <v>2020</v>
      </c>
      <c r="W1720" s="218" t="str">
        <f>VLOOKUP(D1720,'Table corresp.'!$M$4:$S$63,7,FALSE)</f>
        <v>Construction</v>
      </c>
      <c r="X1720" s="240">
        <f>IFERROR(G1720/SUMIFS('Comp2016-2017 (3)'!$I$5:$I$289,'Comp2016-2017 (3)'!$A$5:$A$289,A1720,'Comp2016-2017 (3)'!$R$5:$R$289,V1720),0)</f>
        <v>1.2286454047885532E-3</v>
      </c>
      <c r="Y1720" s="219" t="e">
        <f>IF(RIGHT(F1720,3)="Exp",VLOOKUP(F1720,#REF!,2,FALSE),VLOOKUP(F1720,#REF!,9,FALSE))</f>
        <v>#REF!</v>
      </c>
      <c r="Z1720" s="226" t="str">
        <f t="shared" si="191"/>
        <v/>
      </c>
      <c r="AA1720" s="226" t="e">
        <f t="shared" si="193"/>
        <v>#VALUE!</v>
      </c>
      <c r="AB1720" s="205">
        <f>IFERROR(SUMIFS('Comp2016-2017 (3)'!$G$5:$G$289,'Comp2016-2017 (3)'!$A$5:$A$289,A1720,'Comp2016-2017 (3)'!$R$5:$R$289,V1720)*AA1720/SUMIFS($AA$4:$AA$1858,$A$4:$A$1858,A1720,$V$4:$V$1858,V1720),0)</f>
        <v>0</v>
      </c>
      <c r="AC1720" s="205" t="str">
        <f>IF($W1720=AC$3,$AB1720,IF(NOT($W1720=0),"",SUMIFS('Val-Vol (2)'!AC$4:AC$1858,'Val-Vol (2)'!$A$4:$A$1858,$D1720,'Val-Vol (2)'!$V$4:$V$1858,$V1720)/SUMIFS('Comp2016-2017 (3)'!$G$5:$G$289,'Comp2016-2017 (3)'!$A$5:$A$289,$D1720,'Comp2016-2017 (3)'!$R$5:$R$289,$V1720)*$AB1720))</f>
        <v/>
      </c>
      <c r="AD1720" s="205">
        <f>IF($W1720=AD$3,$AB1720,IF(NOT($W1720=0),"",SUMIFS('Val-Vol (2)'!AD$4:AD$1858,'Val-Vol (2)'!$A$4:$A$1858,$D1720,'Val-Vol (2)'!$V$4:$V$1858,$V1720)/SUMIFS('Comp2016-2017 (3)'!$G$5:$G$289,'Comp2016-2017 (3)'!$A$5:$A$289,$D1720,'Comp2016-2017 (3)'!$R$5:$R$289,$V1720)*$AB1720))</f>
        <v>0</v>
      </c>
      <c r="AE1720" s="205" t="str">
        <f>IF($W1720=AE$3,$AB1720,IF(NOT($W1720=0),"",SUMIFS('Val-Vol (2)'!AE$4:AE$1858,'Val-Vol (2)'!$A$4:$A$1858,$D1720,'Val-Vol (2)'!$V$4:$V$1858,$V1720)/SUMIFS('Comp2016-2017 (3)'!$G$5:$G$289,'Comp2016-2017 (3)'!$A$5:$A$289,$D1720,'Comp2016-2017 (3)'!$R$5:$R$289,$V1720)*$AB1720))</f>
        <v/>
      </c>
      <c r="AF1720" s="205" t="str">
        <f>IF($W1720=AF$3,$AB1720,IF(NOT($W1720=0),"",SUMIFS('Val-Vol (2)'!AF$4:AF$1858,'Val-Vol (2)'!$A$4:$A$1858,$D1720,'Val-Vol (2)'!$V$4:$V$1858,$V1720)/SUMIFS('Comp2016-2017 (3)'!$G$5:$G$289,'Comp2016-2017 (3)'!$A$5:$A$289,$D1720,'Comp2016-2017 (3)'!$R$5:$R$289,$V1720)*$AB1720))</f>
        <v/>
      </c>
      <c r="AG1720" s="205" t="str">
        <f>IF($W1720=AG$3,$AB1720,IF(NOT($W1720=0),"",SUMIFS('Val-Vol (2)'!AG$4:AG$1858,'Val-Vol (2)'!$A$4:$A$1858,$D1720,'Val-Vol (2)'!$V$4:$V$1858,$V1720)/SUMIFS('Comp2016-2017 (3)'!$G$5:$G$289,'Comp2016-2017 (3)'!$A$5:$A$289,$D1720,'Comp2016-2017 (3)'!$R$5:$R$289,$V1720)*$AB1720))</f>
        <v/>
      </c>
      <c r="AH1720" s="205" t="str">
        <f>IF($W1720=AH$3,$AB1720,IF(NOT($W1720=0),"",SUMIFS('Val-Vol (2)'!AH$4:AH$1858,'Val-Vol (2)'!$A$4:$A$1858,$D1720,'Val-Vol (2)'!$V$4:$V$1858,$V1720)/SUMIFS('Comp2016-2017 (3)'!$G$5:$G$289,'Comp2016-2017 (3)'!$A$5:$A$289,$D1720,'Comp2016-2017 (3)'!$R$5:$R$289,$V1720)*$AB1720))</f>
        <v/>
      </c>
      <c r="AI1720" s="205" t="str">
        <f>IF($W1720=AI$3,$AB1720,IF(NOT($W1720=0),"",SUMIFS('Val-Vol (2)'!AI$4:AI$1858,'Val-Vol (2)'!$A$4:$A$1858,$D1720,'Val-Vol (2)'!$V$4:$V$1858,$V1720)/SUMIFS('Comp2016-2017 (3)'!$G$5:$G$289,'Comp2016-2017 (3)'!$A$5:$A$289,$D1720,'Comp2016-2017 (3)'!$R$5:$R$289,$V1720)*$AB1720))</f>
        <v/>
      </c>
      <c r="AJ1720" s="205" t="str">
        <f>IF($W1720=AJ$3,$AB1720,IF(NOT($W1720=0),"",SUMIFS('Val-Vol (2)'!AJ$4:AJ$1858,'Val-Vol (2)'!$A$4:$A$1858,$D1720,'Val-Vol (2)'!$V$4:$V$1858,$V1720)/SUMIFS('Comp2016-2017 (3)'!$G$5:$G$289,'Comp2016-2017 (3)'!$A$5:$A$289,$D1720,'Comp2016-2017 (3)'!$R$5:$R$289,$V1720)*$AB1720))</f>
        <v/>
      </c>
      <c r="AK1720" s="205">
        <f t="shared" si="192"/>
        <v>0</v>
      </c>
      <c r="AL1720" s="218" t="str">
        <f t="shared" si="194"/>
        <v/>
      </c>
      <c r="AM1720" s="218" t="str">
        <f>VLOOKUP(A1720,'Table corresp.'!$M$4:$U$63,8,FALSE)</f>
        <v>Production intermédiaire</v>
      </c>
      <c r="AN1720" s="218" t="str">
        <f>VLOOKUP(D1720,'Table corresp.'!$M$4:$U$63,9,FALSE)</f>
        <v xml:space="preserve">Mise en œuvre </v>
      </c>
    </row>
    <row r="1721" spans="1:40" x14ac:dyDescent="0.25">
      <c r="A1721" t="s">
        <v>87</v>
      </c>
      <c r="B1721" t="str">
        <f>VLOOKUP(LEFT(A1721,3),'Table corresp.'!$A$4:$D$63,3,FALSE)</f>
        <v>Transformation</v>
      </c>
      <c r="C1721" t="str">
        <f>VLOOKUP(A1721,'Table corresp.'!$M$4:$P$63,4,FALSE)</f>
        <v>Production et transformation de produits bois</v>
      </c>
      <c r="D1721" t="s">
        <v>54</v>
      </c>
      <c r="E1721" t="str">
        <f>VLOOKUP(LEFT(D1721,3),'Table corresp.'!$A$4:$D$63,4,FALSE)</f>
        <v>Consommation finale</v>
      </c>
      <c r="F1721" t="str">
        <f t="shared" si="195"/>
        <v>31  - Con</v>
      </c>
      <c r="G1721" s="238">
        <v>111987.879087814</v>
      </c>
      <c r="H1721" s="238">
        <v>161737.17469573399</v>
      </c>
      <c r="I1721" s="238">
        <v>273725.05378354801</v>
      </c>
      <c r="J1721" s="238">
        <v>26.041265787475837</v>
      </c>
      <c r="K1721" s="238">
        <v>23.93554966147034</v>
      </c>
      <c r="L1721" s="238">
        <v>49.976815448946176</v>
      </c>
      <c r="M1721" s="238">
        <v>321.86835925040987</v>
      </c>
      <c r="N1721" s="238">
        <v>355.26024246288137</v>
      </c>
      <c r="O1721" s="238">
        <v>677.12860171329123</v>
      </c>
      <c r="P1721" s="238">
        <v>69.554812209871812</v>
      </c>
      <c r="Q1721" s="238">
        <v>99.750291767393591</v>
      </c>
      <c r="R1721" s="238">
        <v>169.30510397726539</v>
      </c>
      <c r="S1721" s="238" t="s">
        <v>192</v>
      </c>
      <c r="T1721" s="218">
        <f>VLOOKUP(A1721,'Groupe de branches'!$Z$27:$AM$86,14,FALSE)</f>
        <v>0</v>
      </c>
      <c r="U1721" s="218">
        <f>VLOOKUP(D1721,'Groupe de branches'!$Z$27:$AM$86,14,FALSE)</f>
        <v>0</v>
      </c>
      <c r="V1721" s="218">
        <v>2020</v>
      </c>
      <c r="W1721" s="218" t="str">
        <f>VLOOKUP(D1721,'Table corresp.'!$M$4:$S$63,7,FALSE)</f>
        <v>Consommation finale</v>
      </c>
      <c r="X1721" s="240">
        <f>IFERROR(G1721/SUMIFS('Comp2016-2017 (3)'!$I$5:$I$289,'Comp2016-2017 (3)'!$A$5:$A$289,A1721,'Comp2016-2017 (3)'!$R$5:$R$289,V1721),0)</f>
        <v>7.9602880150447239E-2</v>
      </c>
      <c r="Y1721" s="219" t="e">
        <f>IF(RIGHT(F1721,3)="Exp",VLOOKUP(F1721,#REF!,2,FALSE),VLOOKUP(F1721,#REF!,9,FALSE))</f>
        <v>#REF!</v>
      </c>
      <c r="Z1721" s="226" t="str">
        <f t="shared" si="191"/>
        <v/>
      </c>
      <c r="AA1721" s="226" t="e">
        <f t="shared" si="193"/>
        <v>#VALUE!</v>
      </c>
      <c r="AB1721" s="205">
        <f>IFERROR(SUMIFS('Comp2016-2017 (3)'!$G$5:$G$289,'Comp2016-2017 (3)'!$A$5:$A$289,A1721,'Comp2016-2017 (3)'!$R$5:$R$289,V1721)*AA1721/SUMIFS($AA$4:$AA$1858,$A$4:$A$1858,A1721,$V$4:$V$1858,V1721),0)</f>
        <v>0</v>
      </c>
      <c r="AC1721" s="205" t="str">
        <f>IF($W1721=AC$3,$AB1721,IF(NOT($W1721=0),"",SUMIFS('Val-Vol (2)'!AC$4:AC$1858,'Val-Vol (2)'!$A$4:$A$1858,$D1721,'Val-Vol (2)'!$V$4:$V$1858,$V1721)/SUMIFS('Comp2016-2017 (3)'!$G$5:$G$289,'Comp2016-2017 (3)'!$A$5:$A$289,$D1721,'Comp2016-2017 (3)'!$R$5:$R$289,$V1721)*$AB1721))</f>
        <v/>
      </c>
      <c r="AD1721" s="205" t="str">
        <f>IF($W1721=AD$3,$AB1721,IF(NOT($W1721=0),"",SUMIFS('Val-Vol (2)'!AD$4:AD$1858,'Val-Vol (2)'!$A$4:$A$1858,$D1721,'Val-Vol (2)'!$V$4:$V$1858,$V1721)/SUMIFS('Comp2016-2017 (3)'!$G$5:$G$289,'Comp2016-2017 (3)'!$A$5:$A$289,$D1721,'Comp2016-2017 (3)'!$R$5:$R$289,$V1721)*$AB1721))</f>
        <v/>
      </c>
      <c r="AE1721" s="205" t="str">
        <f>IF($W1721=AE$3,$AB1721,IF(NOT($W1721=0),"",SUMIFS('Val-Vol (2)'!AE$4:AE$1858,'Val-Vol (2)'!$A$4:$A$1858,$D1721,'Val-Vol (2)'!$V$4:$V$1858,$V1721)/SUMIFS('Comp2016-2017 (3)'!$G$5:$G$289,'Comp2016-2017 (3)'!$A$5:$A$289,$D1721,'Comp2016-2017 (3)'!$R$5:$R$289,$V1721)*$AB1721))</f>
        <v/>
      </c>
      <c r="AF1721" s="205" t="str">
        <f>IF($W1721=AF$3,$AB1721,IF(NOT($W1721=0),"",SUMIFS('Val-Vol (2)'!AF$4:AF$1858,'Val-Vol (2)'!$A$4:$A$1858,$D1721,'Val-Vol (2)'!$V$4:$V$1858,$V1721)/SUMIFS('Comp2016-2017 (3)'!$G$5:$G$289,'Comp2016-2017 (3)'!$A$5:$A$289,$D1721,'Comp2016-2017 (3)'!$R$5:$R$289,$V1721)*$AB1721))</f>
        <v/>
      </c>
      <c r="AG1721" s="205" t="str">
        <f>IF($W1721=AG$3,$AB1721,IF(NOT($W1721=0),"",SUMIFS('Val-Vol (2)'!AG$4:AG$1858,'Val-Vol (2)'!$A$4:$A$1858,$D1721,'Val-Vol (2)'!$V$4:$V$1858,$V1721)/SUMIFS('Comp2016-2017 (3)'!$G$5:$G$289,'Comp2016-2017 (3)'!$A$5:$A$289,$D1721,'Comp2016-2017 (3)'!$R$5:$R$289,$V1721)*$AB1721))</f>
        <v/>
      </c>
      <c r="AH1721" s="205" t="str">
        <f>IF($W1721=AH$3,$AB1721,IF(NOT($W1721=0),"",SUMIFS('Val-Vol (2)'!AH$4:AH$1858,'Val-Vol (2)'!$A$4:$A$1858,$D1721,'Val-Vol (2)'!$V$4:$V$1858,$V1721)/SUMIFS('Comp2016-2017 (3)'!$G$5:$G$289,'Comp2016-2017 (3)'!$A$5:$A$289,$D1721,'Comp2016-2017 (3)'!$R$5:$R$289,$V1721)*$AB1721))</f>
        <v/>
      </c>
      <c r="AI1721" s="205" t="str">
        <f>IF($W1721=AI$3,$AB1721,IF(NOT($W1721=0),"",SUMIFS('Val-Vol (2)'!AI$4:AI$1858,'Val-Vol (2)'!$A$4:$A$1858,$D1721,'Val-Vol (2)'!$V$4:$V$1858,$V1721)/SUMIFS('Comp2016-2017 (3)'!$G$5:$G$289,'Comp2016-2017 (3)'!$A$5:$A$289,$D1721,'Comp2016-2017 (3)'!$R$5:$R$289,$V1721)*$AB1721))</f>
        <v/>
      </c>
      <c r="AJ1721" s="205">
        <f>IF($W1721=AJ$3,$AB1721,IF(NOT($W1721=0),"",SUMIFS('Val-Vol (2)'!AJ$4:AJ$1858,'Val-Vol (2)'!$A$4:$A$1858,$D1721,'Val-Vol (2)'!$V$4:$V$1858,$V1721)/SUMIFS('Comp2016-2017 (3)'!$G$5:$G$289,'Comp2016-2017 (3)'!$A$5:$A$289,$D1721,'Comp2016-2017 (3)'!$R$5:$R$289,$V1721)*$AB1721))</f>
        <v>0</v>
      </c>
      <c r="AK1721" s="205">
        <f t="shared" si="192"/>
        <v>0</v>
      </c>
      <c r="AL1721" s="218" t="str">
        <f t="shared" si="194"/>
        <v/>
      </c>
      <c r="AM1721" s="218" t="str">
        <f>VLOOKUP(A1721,'Table corresp.'!$M$4:$U$63,8,FALSE)</f>
        <v>Production intermédiaire</v>
      </c>
      <c r="AN1721" s="218" t="str">
        <f>VLOOKUP(D1721,'Table corresp.'!$M$4:$U$63,9,FALSE)</f>
        <v>Consommation finale française</v>
      </c>
    </row>
    <row r="1722" spans="1:40" x14ac:dyDescent="0.25">
      <c r="A1722" t="s">
        <v>87</v>
      </c>
      <c r="B1722" t="str">
        <f>VLOOKUP(LEFT(A1722,3),'Table corresp.'!$A$4:$D$63,3,FALSE)</f>
        <v>Transformation</v>
      </c>
      <c r="C1722" t="str">
        <f>VLOOKUP(A1722,'Table corresp.'!$M$4:$P$63,4,FALSE)</f>
        <v>Production et transformation de produits bois</v>
      </c>
      <c r="D1722" t="s">
        <v>53</v>
      </c>
      <c r="E1722" t="str">
        <f>VLOOKUP(LEFT(D1722,3),'Table corresp.'!$A$4:$D$63,4,FALSE)</f>
        <v>Exportation</v>
      </c>
      <c r="F1722" t="str">
        <f t="shared" si="195"/>
        <v>31  - Exp</v>
      </c>
      <c r="G1722" s="238">
        <v>682838.43552599999</v>
      </c>
      <c r="H1722" s="238">
        <v>0</v>
      </c>
      <c r="I1722" s="238">
        <v>682838.43552599999</v>
      </c>
      <c r="J1722" s="238">
        <v>151.43105634010681</v>
      </c>
      <c r="K1722" s="238">
        <v>0</v>
      </c>
      <c r="L1722" s="238">
        <v>151.43105634010681</v>
      </c>
      <c r="M1722" s="238">
        <v>1985.4760784997163</v>
      </c>
      <c r="N1722" s="238">
        <v>0</v>
      </c>
      <c r="O1722" s="238">
        <v>1985.4760784997163</v>
      </c>
      <c r="P1722" s="238">
        <v>424.10571161412184</v>
      </c>
      <c r="Q1722" s="238">
        <v>0</v>
      </c>
      <c r="R1722" s="238">
        <v>424.10571161412184</v>
      </c>
      <c r="S1722" s="238" t="s">
        <v>192</v>
      </c>
      <c r="T1722" s="218">
        <f>VLOOKUP(A1722,'Groupe de branches'!$Z$27:$AM$86,14,FALSE)</f>
        <v>0</v>
      </c>
      <c r="U1722" s="218">
        <f>VLOOKUP(D1722,'Groupe de branches'!$Z$27:$AM$86,14,FALSE)</f>
        <v>0</v>
      </c>
      <c r="V1722" s="218">
        <v>2020</v>
      </c>
      <c r="W1722" s="218" t="str">
        <f>VLOOKUP(D1722,'Table corresp.'!$M$4:$S$63,7,FALSE)</f>
        <v>Exportation</v>
      </c>
      <c r="X1722" s="240">
        <f>IFERROR(G1722/SUMIFS('Comp2016-2017 (3)'!$I$5:$I$289,'Comp2016-2017 (3)'!$A$5:$A$289,A1722,'Comp2016-2017 (3)'!$R$5:$R$289,V1722),0)</f>
        <v>0.48537311884148215</v>
      </c>
      <c r="Y1722" s="219" t="e">
        <f>IF(RIGHT(F1722,3)="Exp",VLOOKUP(F1722,#REF!,2,FALSE),VLOOKUP(F1722,#REF!,9,FALSE))</f>
        <v>#REF!</v>
      </c>
      <c r="Z1722" s="226" t="str">
        <f>IFERROR(Y1722/SUMIFS($Y$4:$Y$1858,$V$4:$V$1858,V1722,$A$4:$A$1858,A1722),"")</f>
        <v/>
      </c>
      <c r="AA1722" s="226" t="e">
        <f t="shared" si="193"/>
        <v>#VALUE!</v>
      </c>
      <c r="AB1722" s="205">
        <f>IFERROR(SUMIFS('Comp2016-2017 (3)'!$G$5:$G$289,'Comp2016-2017 (3)'!$A$5:$A$289,A1722,'Comp2016-2017 (3)'!$R$5:$R$289,V1722)*AA1722/SUMIFS($AA$4:$AA$1858,$A$4:$A$1858,A1722,$V$4:$V$1858,V1722),0)</f>
        <v>0</v>
      </c>
      <c r="AC1722" s="205">
        <f>IF($W1722=AC$3,$AB1722,IF(NOT($W1722=0),"",SUMIFS('Val-Vol (2)'!AC$4:AC$1858,'Val-Vol (2)'!$A$4:$A$1858,$D1722,'Val-Vol (2)'!$V$4:$V$1858,$V1722)/SUMIFS('Comp2016-2017 (3)'!$G$5:$G$289,'Comp2016-2017 (3)'!$A$5:$A$289,$D1722,'Comp2016-2017 (3)'!$R$5:$R$289,$V1722)*$AB1722))</f>
        <v>0</v>
      </c>
      <c r="AD1722" s="205" t="str">
        <f>IF($W1722=AD$3,$AB1722,IF(NOT($W1722=0),"",SUMIFS('Val-Vol (2)'!AD$4:AD$1858,'Val-Vol (2)'!$A$4:$A$1858,$D1722,'Val-Vol (2)'!$V$4:$V$1858,$V1722)/SUMIFS('Comp2016-2017 (3)'!$G$5:$G$289,'Comp2016-2017 (3)'!$A$5:$A$289,$D1722,'Comp2016-2017 (3)'!$R$5:$R$289,$V1722)*$AB1722))</f>
        <v/>
      </c>
      <c r="AE1722" s="205" t="str">
        <f>IF($W1722=AE$3,$AB1722,IF(NOT($W1722=0),"",SUMIFS('Val-Vol (2)'!AE$4:AE$1858,'Val-Vol (2)'!$A$4:$A$1858,$D1722,'Val-Vol (2)'!$V$4:$V$1858,$V1722)/SUMIFS('Comp2016-2017 (3)'!$G$5:$G$289,'Comp2016-2017 (3)'!$A$5:$A$289,$D1722,'Comp2016-2017 (3)'!$R$5:$R$289,$V1722)*$AB1722))</f>
        <v/>
      </c>
      <c r="AF1722" s="205" t="str">
        <f>IF($W1722=AF$3,$AB1722,IF(NOT($W1722=0),"",SUMIFS('Val-Vol (2)'!AF$4:AF$1858,'Val-Vol (2)'!$A$4:$A$1858,$D1722,'Val-Vol (2)'!$V$4:$V$1858,$V1722)/SUMIFS('Comp2016-2017 (3)'!$G$5:$G$289,'Comp2016-2017 (3)'!$A$5:$A$289,$D1722,'Comp2016-2017 (3)'!$R$5:$R$289,$V1722)*$AB1722))</f>
        <v/>
      </c>
      <c r="AG1722" s="205" t="str">
        <f>IF($W1722=AG$3,$AB1722,IF(NOT($W1722=0),"",SUMIFS('Val-Vol (2)'!AG$4:AG$1858,'Val-Vol (2)'!$A$4:$A$1858,$D1722,'Val-Vol (2)'!$V$4:$V$1858,$V1722)/SUMIFS('Comp2016-2017 (3)'!$G$5:$G$289,'Comp2016-2017 (3)'!$A$5:$A$289,$D1722,'Comp2016-2017 (3)'!$R$5:$R$289,$V1722)*$AB1722))</f>
        <v/>
      </c>
      <c r="AH1722" s="205" t="str">
        <f>IF($W1722=AH$3,$AB1722,IF(NOT($W1722=0),"",SUMIFS('Val-Vol (2)'!AH$4:AH$1858,'Val-Vol (2)'!$A$4:$A$1858,$D1722,'Val-Vol (2)'!$V$4:$V$1858,$V1722)/SUMIFS('Comp2016-2017 (3)'!$G$5:$G$289,'Comp2016-2017 (3)'!$A$5:$A$289,$D1722,'Comp2016-2017 (3)'!$R$5:$R$289,$V1722)*$AB1722))</f>
        <v/>
      </c>
      <c r="AI1722" s="205" t="str">
        <f>IF($W1722=AI$3,$AB1722,IF(NOT($W1722=0),"",SUMIFS('Val-Vol (2)'!AI$4:AI$1858,'Val-Vol (2)'!$A$4:$A$1858,$D1722,'Val-Vol (2)'!$V$4:$V$1858,$V1722)/SUMIFS('Comp2016-2017 (3)'!$G$5:$G$289,'Comp2016-2017 (3)'!$A$5:$A$289,$D1722,'Comp2016-2017 (3)'!$R$5:$R$289,$V1722)*$AB1722))</f>
        <v/>
      </c>
      <c r="AJ1722" s="205" t="str">
        <f>IF($W1722=AJ$3,$AB1722,IF(NOT($W1722=0),"",SUMIFS('Val-Vol (2)'!AJ$4:AJ$1858,'Val-Vol (2)'!$A$4:$A$1858,$D1722,'Val-Vol (2)'!$V$4:$V$1858,$V1722)/SUMIFS('Comp2016-2017 (3)'!$G$5:$G$289,'Comp2016-2017 (3)'!$A$5:$A$289,$D1722,'Comp2016-2017 (3)'!$R$5:$R$289,$V1722)*$AB1722))</f>
        <v/>
      </c>
      <c r="AK1722" s="205">
        <f t="shared" si="192"/>
        <v>0</v>
      </c>
      <c r="AL1722" s="218" t="str">
        <f t="shared" si="194"/>
        <v/>
      </c>
      <c r="AM1722" s="218" t="str">
        <f>VLOOKUP(A1722,'Table corresp.'!$M$4:$U$63,8,FALSE)</f>
        <v>Production intermédiaire</v>
      </c>
      <c r="AN1722" s="218" t="str">
        <f>VLOOKUP(D1722,'Table corresp.'!$M$4:$U$63,9,FALSE)</f>
        <v>Exportation</v>
      </c>
    </row>
    <row r="1723" spans="1:40" x14ac:dyDescent="0.25">
      <c r="A1723" t="s">
        <v>88</v>
      </c>
      <c r="B1723" t="str">
        <f>VLOOKUP(LEFT(A1723,3),'Table corresp.'!$A$4:$D$63,3,FALSE)</f>
        <v>Transformation</v>
      </c>
      <c r="C1723" t="str">
        <f>VLOOKUP(A1723,'Table corresp.'!$M$4:$P$63,4,FALSE)</f>
        <v>Production et transformation de produits bois</v>
      </c>
      <c r="D1723" t="s">
        <v>54</v>
      </c>
      <c r="E1723" t="str">
        <f>VLOOKUP(LEFT(D1723,3),'Table corresp.'!$A$4:$D$63,4,FALSE)</f>
        <v>Consommation finale</v>
      </c>
      <c r="F1723" t="str">
        <f t="shared" si="195"/>
        <v>32  - Con</v>
      </c>
      <c r="G1723" s="238">
        <v>1</v>
      </c>
      <c r="H1723" s="238">
        <v>0</v>
      </c>
      <c r="I1723" s="238">
        <v>1</v>
      </c>
      <c r="J1723" s="238"/>
      <c r="K1723" s="238"/>
      <c r="L1723" s="238"/>
      <c r="M1723" s="238"/>
      <c r="N1723" s="238"/>
      <c r="O1723" s="238"/>
      <c r="P1723" s="238"/>
      <c r="Q1723" s="238"/>
      <c r="R1723" s="238"/>
      <c r="S1723" s="238"/>
      <c r="T1723" s="218">
        <f>VLOOKUP(A1723,'Groupe de branches'!$Z$27:$AM$86,14,FALSE)</f>
        <v>0</v>
      </c>
      <c r="U1723" s="218">
        <f>VLOOKUP(D1723,'Groupe de branches'!$Z$27:$AM$86,14,FALSE)</f>
        <v>0</v>
      </c>
      <c r="V1723" s="218">
        <v>2020</v>
      </c>
      <c r="W1723" s="218" t="str">
        <f>VLOOKUP(D1723,'Table corresp.'!$M$4:$S$63,7,FALSE)</f>
        <v>Consommation finale</v>
      </c>
      <c r="X1723" s="240">
        <f>IFERROR(G1723/SUMIFS('Comp2016-2017 (3)'!$I$5:$I$289,'Comp2016-2017 (3)'!$A$5:$A$289,A1723,'Comp2016-2017 (3)'!$R$5:$R$289,V1723),0)</f>
        <v>1</v>
      </c>
      <c r="Y1723" s="219"/>
      <c r="Z1723" s="226"/>
      <c r="AA1723" s="226">
        <f t="shared" si="193"/>
        <v>0</v>
      </c>
      <c r="AB1723" s="205">
        <f>IFERROR(SUMIFS('Comp2016-2017 (3)'!$G$5:$G$289,'Comp2016-2017 (3)'!$A$5:$A$289,A1723,'Comp2016-2017 (3)'!$R$5:$R$289,V1723)*AA1723/SUMIFS($AA$4:$AA$1858,$A$4:$A$1858,A1723,$V$4:$V$1858,V1723),0)</f>
        <v>0</v>
      </c>
      <c r="AC1723" s="205" t="str">
        <f>IF($W1723=AC$3,$AB1723,IF(NOT($W1723=0),"",SUMIFS('Val-Vol (2)'!AC$4:AC$1858,'Val-Vol (2)'!$A$4:$A$1858,$D1723,'Val-Vol (2)'!$V$4:$V$1858,$V1723)/SUMIFS('Comp2016-2017 (3)'!$G$5:$G$289,'Comp2016-2017 (3)'!$A$5:$A$289,$D1723,'Comp2016-2017 (3)'!$R$5:$R$289,$V1723)*$AB1723))</f>
        <v/>
      </c>
      <c r="AD1723" s="205" t="str">
        <f>IF($W1723=AD$3,$AB1723,IF(NOT($W1723=0),"",SUMIFS('Val-Vol (2)'!AD$4:AD$1858,'Val-Vol (2)'!$A$4:$A$1858,$D1723,'Val-Vol (2)'!$V$4:$V$1858,$V1723)/SUMIFS('Comp2016-2017 (3)'!$G$5:$G$289,'Comp2016-2017 (3)'!$A$5:$A$289,$D1723,'Comp2016-2017 (3)'!$R$5:$R$289,$V1723)*$AB1723))</f>
        <v/>
      </c>
      <c r="AE1723" s="205" t="str">
        <f>IF($W1723=AE$3,$AB1723,IF(NOT($W1723=0),"",SUMIFS('Val-Vol (2)'!AE$4:AE$1858,'Val-Vol (2)'!$A$4:$A$1858,$D1723,'Val-Vol (2)'!$V$4:$V$1858,$V1723)/SUMIFS('Comp2016-2017 (3)'!$G$5:$G$289,'Comp2016-2017 (3)'!$A$5:$A$289,$D1723,'Comp2016-2017 (3)'!$R$5:$R$289,$V1723)*$AB1723))</f>
        <v/>
      </c>
      <c r="AF1723" s="205" t="str">
        <f>IF($W1723=AF$3,$AB1723,IF(NOT($W1723=0),"",SUMIFS('Val-Vol (2)'!AF$4:AF$1858,'Val-Vol (2)'!$A$4:$A$1858,$D1723,'Val-Vol (2)'!$V$4:$V$1858,$V1723)/SUMIFS('Comp2016-2017 (3)'!$G$5:$G$289,'Comp2016-2017 (3)'!$A$5:$A$289,$D1723,'Comp2016-2017 (3)'!$R$5:$R$289,$V1723)*$AB1723))</f>
        <v/>
      </c>
      <c r="AG1723" s="205" t="str">
        <f>IF($W1723=AG$3,$AB1723,IF(NOT($W1723=0),"",SUMIFS('Val-Vol (2)'!AG$4:AG$1858,'Val-Vol (2)'!$A$4:$A$1858,$D1723,'Val-Vol (2)'!$V$4:$V$1858,$V1723)/SUMIFS('Comp2016-2017 (3)'!$G$5:$G$289,'Comp2016-2017 (3)'!$A$5:$A$289,$D1723,'Comp2016-2017 (3)'!$R$5:$R$289,$V1723)*$AB1723))</f>
        <v/>
      </c>
      <c r="AH1723" s="205" t="str">
        <f>IF($W1723=AH$3,$AB1723,IF(NOT($W1723=0),"",SUMIFS('Val-Vol (2)'!AH$4:AH$1858,'Val-Vol (2)'!$A$4:$A$1858,$D1723,'Val-Vol (2)'!$V$4:$V$1858,$V1723)/SUMIFS('Comp2016-2017 (3)'!$G$5:$G$289,'Comp2016-2017 (3)'!$A$5:$A$289,$D1723,'Comp2016-2017 (3)'!$R$5:$R$289,$V1723)*$AB1723))</f>
        <v/>
      </c>
      <c r="AI1723" s="205" t="str">
        <f>IF($W1723=AI$3,$AB1723,IF(NOT($W1723=0),"",SUMIFS('Val-Vol (2)'!AI$4:AI$1858,'Val-Vol (2)'!$A$4:$A$1858,$D1723,'Val-Vol (2)'!$V$4:$V$1858,$V1723)/SUMIFS('Comp2016-2017 (3)'!$G$5:$G$289,'Comp2016-2017 (3)'!$A$5:$A$289,$D1723,'Comp2016-2017 (3)'!$R$5:$R$289,$V1723)*$AB1723))</f>
        <v/>
      </c>
      <c r="AJ1723" s="205">
        <f>IF($W1723=AJ$3,$AB1723,IF(NOT($W1723=0),"",SUMIFS('Val-Vol (2)'!AJ$4:AJ$1858,'Val-Vol (2)'!$A$4:$A$1858,$D1723,'Val-Vol (2)'!$V$4:$V$1858,$V1723)/SUMIFS('Comp2016-2017 (3)'!$G$5:$G$289,'Comp2016-2017 (3)'!$A$5:$A$289,$D1723,'Comp2016-2017 (3)'!$R$5:$R$289,$V1723)*$AB1723))</f>
        <v>0</v>
      </c>
      <c r="AK1723" s="205">
        <f t="shared" si="192"/>
        <v>0</v>
      </c>
      <c r="AL1723" s="218" t="str">
        <f t="shared" si="194"/>
        <v/>
      </c>
      <c r="AM1723" s="218" t="str">
        <f>VLOOKUP(A1723,'Table corresp.'!$M$4:$U$63,8,FALSE)</f>
        <v>Production finale</v>
      </c>
      <c r="AN1723" s="218" t="str">
        <f>VLOOKUP(D1723,'Table corresp.'!$M$4:$U$63,9,FALSE)</f>
        <v>Consommation finale française</v>
      </c>
    </row>
    <row r="1724" spans="1:40" x14ac:dyDescent="0.25">
      <c r="A1724" t="s">
        <v>89</v>
      </c>
      <c r="B1724" t="str">
        <f>VLOOKUP(LEFT(A1724,3),'Table corresp.'!$A$4:$D$63,3,FALSE)</f>
        <v>Transformation</v>
      </c>
      <c r="C1724" t="str">
        <f>VLOOKUP(A1724,'Table corresp.'!$M$4:$P$63,4,FALSE)</f>
        <v>Production et transformation de produits bois</v>
      </c>
      <c r="D1724" t="s">
        <v>22</v>
      </c>
      <c r="E1724" t="str">
        <f>VLOOKUP(LEFT(D1724,3),'Table corresp.'!$A$4:$D$63,4,FALSE)</f>
        <v>Transformation</v>
      </c>
      <c r="F1724" t="str">
        <f t="shared" si="195"/>
        <v xml:space="preserve">33  - 55 </v>
      </c>
      <c r="G1724" s="238">
        <v>4901.7119510024604</v>
      </c>
      <c r="H1724" s="238">
        <v>0</v>
      </c>
      <c r="I1724" s="238">
        <v>4901.7119510024604</v>
      </c>
      <c r="J1724" s="238">
        <v>0.74296841760147148</v>
      </c>
      <c r="K1724" s="238">
        <v>0</v>
      </c>
      <c r="L1724" s="238">
        <v>0.74296841760147148</v>
      </c>
      <c r="M1724" s="238">
        <v>0.76004222858285764</v>
      </c>
      <c r="N1724" s="238">
        <v>0</v>
      </c>
      <c r="O1724" s="238">
        <v>0.76004222858285764</v>
      </c>
      <c r="P1724" s="238">
        <v>0.20923569616218488</v>
      </c>
      <c r="Q1724" s="238">
        <v>0</v>
      </c>
      <c r="R1724" s="238">
        <v>0.20923569616218488</v>
      </c>
      <c r="S1724" s="238"/>
      <c r="T1724" s="218">
        <f>VLOOKUP(A1724,'Groupe de branches'!$Z$27:$AM$86,14,FALSE)</f>
        <v>0</v>
      </c>
      <c r="U1724" s="218">
        <f>VLOOKUP(D1724,'Groupe de branches'!$Z$27:$AM$86,14,FALSE)</f>
        <v>0</v>
      </c>
      <c r="V1724" s="218">
        <v>2020</v>
      </c>
      <c r="W1724" s="218" t="str">
        <f>VLOOKUP(D1724,'Table corresp.'!$M$4:$S$63,7,FALSE)</f>
        <v>Construction</v>
      </c>
      <c r="X1724" s="240">
        <f>IFERROR(G1724/SUMIFS('Comp2016-2017 (3)'!$I$5:$I$289,'Comp2016-2017 (3)'!$A$5:$A$289,A1724,'Comp2016-2017 (3)'!$R$5:$R$289,V1724),0)</f>
        <v>6.3390983906737877E-2</v>
      </c>
      <c r="Y1724" s="219" t="e">
        <f>IF(RIGHT(F1724,3)="Exp",VLOOKUP(F1724,#REF!,2,FALSE),VLOOKUP(F1724,#REF!,9,FALSE))</f>
        <v>#REF!</v>
      </c>
      <c r="Z1724" s="226" t="str">
        <f>IFERROR(Y1724/SUMIFS($Y$4:$Y$1858,$V$4:$V$1858,V1724,$A$4:$A$1858,A1724),"")</f>
        <v/>
      </c>
      <c r="AA1724" s="226" t="e">
        <f t="shared" si="193"/>
        <v>#VALUE!</v>
      </c>
      <c r="AB1724" s="205">
        <f>IFERROR(SUMIFS('Comp2016-2017 (3)'!$G$5:$G$289,'Comp2016-2017 (3)'!$A$5:$A$289,A1724,'Comp2016-2017 (3)'!$R$5:$R$289,V1724)*AA1724/SUMIFS($AA$4:$AA$1858,$A$4:$A$1858,A1724,$V$4:$V$1858,V1724),0)</f>
        <v>0</v>
      </c>
      <c r="AC1724" s="205" t="str">
        <f>IF($W1724=AC$3,$AB1724,IF(NOT($W1724=0),"",SUMIFS('Val-Vol (2)'!AC$4:AC$1858,'Val-Vol (2)'!$A$4:$A$1858,$D1724,'Val-Vol (2)'!$V$4:$V$1858,$V1724)/SUMIFS('Comp2016-2017 (3)'!$G$5:$G$289,'Comp2016-2017 (3)'!$A$5:$A$289,$D1724,'Comp2016-2017 (3)'!$R$5:$R$289,$V1724)*$AB1724))</f>
        <v/>
      </c>
      <c r="AD1724" s="205">
        <f>IF($W1724=AD$3,$AB1724,IF(NOT($W1724=0),"",SUMIFS('Val-Vol (2)'!AD$4:AD$1858,'Val-Vol (2)'!$A$4:$A$1858,$D1724,'Val-Vol (2)'!$V$4:$V$1858,$V1724)/SUMIFS('Comp2016-2017 (3)'!$G$5:$G$289,'Comp2016-2017 (3)'!$A$5:$A$289,$D1724,'Comp2016-2017 (3)'!$R$5:$R$289,$V1724)*$AB1724))</f>
        <v>0</v>
      </c>
      <c r="AE1724" s="205" t="str">
        <f>IF($W1724=AE$3,$AB1724,IF(NOT($W1724=0),"",SUMIFS('Val-Vol (2)'!AE$4:AE$1858,'Val-Vol (2)'!$A$4:$A$1858,$D1724,'Val-Vol (2)'!$V$4:$V$1858,$V1724)/SUMIFS('Comp2016-2017 (3)'!$G$5:$G$289,'Comp2016-2017 (3)'!$A$5:$A$289,$D1724,'Comp2016-2017 (3)'!$R$5:$R$289,$V1724)*$AB1724))</f>
        <v/>
      </c>
      <c r="AF1724" s="205" t="str">
        <f>IF($W1724=AF$3,$AB1724,IF(NOT($W1724=0),"",SUMIFS('Val-Vol (2)'!AF$4:AF$1858,'Val-Vol (2)'!$A$4:$A$1858,$D1724,'Val-Vol (2)'!$V$4:$V$1858,$V1724)/SUMIFS('Comp2016-2017 (3)'!$G$5:$G$289,'Comp2016-2017 (3)'!$A$5:$A$289,$D1724,'Comp2016-2017 (3)'!$R$5:$R$289,$V1724)*$AB1724))</f>
        <v/>
      </c>
      <c r="AG1724" s="205" t="str">
        <f>IF($W1724=AG$3,$AB1724,IF(NOT($W1724=0),"",SUMIFS('Val-Vol (2)'!AG$4:AG$1858,'Val-Vol (2)'!$A$4:$A$1858,$D1724,'Val-Vol (2)'!$V$4:$V$1858,$V1724)/SUMIFS('Comp2016-2017 (3)'!$G$5:$G$289,'Comp2016-2017 (3)'!$A$5:$A$289,$D1724,'Comp2016-2017 (3)'!$R$5:$R$289,$V1724)*$AB1724))</f>
        <v/>
      </c>
      <c r="AH1724" s="205" t="str">
        <f>IF($W1724=AH$3,$AB1724,IF(NOT($W1724=0),"",SUMIFS('Val-Vol (2)'!AH$4:AH$1858,'Val-Vol (2)'!$A$4:$A$1858,$D1724,'Val-Vol (2)'!$V$4:$V$1858,$V1724)/SUMIFS('Comp2016-2017 (3)'!$G$5:$G$289,'Comp2016-2017 (3)'!$A$5:$A$289,$D1724,'Comp2016-2017 (3)'!$R$5:$R$289,$V1724)*$AB1724))</f>
        <v/>
      </c>
      <c r="AI1724" s="205" t="str">
        <f>IF($W1724=AI$3,$AB1724,IF(NOT($W1724=0),"",SUMIFS('Val-Vol (2)'!AI$4:AI$1858,'Val-Vol (2)'!$A$4:$A$1858,$D1724,'Val-Vol (2)'!$V$4:$V$1858,$V1724)/SUMIFS('Comp2016-2017 (3)'!$G$5:$G$289,'Comp2016-2017 (3)'!$A$5:$A$289,$D1724,'Comp2016-2017 (3)'!$R$5:$R$289,$V1724)*$AB1724))</f>
        <v/>
      </c>
      <c r="AJ1724" s="205" t="str">
        <f>IF($W1724=AJ$3,$AB1724,IF(NOT($W1724=0),"",SUMIFS('Val-Vol (2)'!AJ$4:AJ$1858,'Val-Vol (2)'!$A$4:$A$1858,$D1724,'Val-Vol (2)'!$V$4:$V$1858,$V1724)/SUMIFS('Comp2016-2017 (3)'!$G$5:$G$289,'Comp2016-2017 (3)'!$A$5:$A$289,$D1724,'Comp2016-2017 (3)'!$R$5:$R$289,$V1724)*$AB1724))</f>
        <v/>
      </c>
      <c r="AK1724" s="205">
        <f t="shared" si="192"/>
        <v>0</v>
      </c>
      <c r="AL1724" s="218" t="str">
        <f t="shared" si="194"/>
        <v/>
      </c>
      <c r="AM1724" s="218" t="str">
        <f>VLOOKUP(A1724,'Table corresp.'!$M$4:$U$63,8,FALSE)</f>
        <v>Production finale</v>
      </c>
      <c r="AN1724" s="218" t="str">
        <f>VLOOKUP(D1724,'Table corresp.'!$M$4:$U$63,9,FALSE)</f>
        <v xml:space="preserve">Mise en œuvre </v>
      </c>
    </row>
    <row r="1725" spans="1:40" x14ac:dyDescent="0.25">
      <c r="A1725" t="s">
        <v>89</v>
      </c>
      <c r="B1725" t="str">
        <f>VLOOKUP(LEFT(A1725,3),'Table corresp.'!$A$4:$D$63,3,FALSE)</f>
        <v>Transformation</v>
      </c>
      <c r="C1725" t="str">
        <f>VLOOKUP(A1725,'Table corresp.'!$M$4:$P$63,4,FALSE)</f>
        <v>Production et transformation de produits bois</v>
      </c>
      <c r="D1725" t="s">
        <v>23</v>
      </c>
      <c r="E1725" t="str">
        <f>VLOOKUP(LEFT(D1725,3),'Table corresp.'!$A$4:$D$63,4,FALSE)</f>
        <v>Transformation</v>
      </c>
      <c r="F1725" t="str">
        <f t="shared" si="195"/>
        <v xml:space="preserve">33  - 56 </v>
      </c>
      <c r="G1725" s="238">
        <v>11658.069829616101</v>
      </c>
      <c r="H1725" s="238">
        <v>35422.857365308402</v>
      </c>
      <c r="I1725" s="238">
        <v>47080.927194924501</v>
      </c>
      <c r="J1725" s="238">
        <v>2.1204618582679293</v>
      </c>
      <c r="K1725" s="238">
        <v>7.7218966055556324</v>
      </c>
      <c r="L1725" s="238">
        <v>9.8423584638235617</v>
      </c>
      <c r="M1725" s="238">
        <v>2.1691912040969008</v>
      </c>
      <c r="N1725" s="238">
        <v>7.8993499130416929</v>
      </c>
      <c r="O1725" s="238">
        <v>10.068541117138594</v>
      </c>
      <c r="P1725" s="238">
        <v>0.5971671239167512</v>
      </c>
      <c r="Q1725" s="238">
        <v>2.1746501919580994</v>
      </c>
      <c r="R1725" s="238">
        <v>2.7718173158748507</v>
      </c>
      <c r="S1725" s="238" t="s">
        <v>192</v>
      </c>
      <c r="T1725" s="218">
        <f>VLOOKUP(A1725,'Groupe de branches'!$Z$27:$AM$86,14,FALSE)</f>
        <v>0</v>
      </c>
      <c r="U1725" s="218">
        <f>VLOOKUP(D1725,'Groupe de branches'!$Z$27:$AM$86,14,FALSE)</f>
        <v>0</v>
      </c>
      <c r="V1725" s="218">
        <v>2020</v>
      </c>
      <c r="W1725" s="218" t="str">
        <f>VLOOKUP(D1725,'Table corresp.'!$M$4:$S$63,7,FALSE)</f>
        <v>Construction</v>
      </c>
      <c r="X1725" s="240">
        <f>IFERROR(G1725/SUMIFS('Comp2016-2017 (3)'!$I$5:$I$289,'Comp2016-2017 (3)'!$A$5:$A$289,A1725,'Comp2016-2017 (3)'!$R$5:$R$289,V1725),0)</f>
        <v>0.15076702269330264</v>
      </c>
      <c r="Y1725" s="219" t="e">
        <f>IF(RIGHT(F1725,3)="Exp",VLOOKUP(F1725,#REF!,2,FALSE),VLOOKUP(F1725,#REF!,9,FALSE))</f>
        <v>#REF!</v>
      </c>
      <c r="Z1725" s="226" t="str">
        <f t="shared" ref="Z1725:Z1775" si="196">IFERROR(Y1725/SUMIFS($Y$4:$Y$1858,$V$4:$V$1858,V1725,$A$4:$A$1858,A1725),"")</f>
        <v/>
      </c>
      <c r="AA1725" s="226" t="e">
        <f t="shared" si="193"/>
        <v>#VALUE!</v>
      </c>
      <c r="AB1725" s="205">
        <f>IFERROR(SUMIFS('Comp2016-2017 (3)'!$G$5:$G$289,'Comp2016-2017 (3)'!$A$5:$A$289,A1725,'Comp2016-2017 (3)'!$R$5:$R$289,V1725)*AA1725/SUMIFS($AA$4:$AA$1858,$A$4:$A$1858,A1725,$V$4:$V$1858,V1725),0)</f>
        <v>0</v>
      </c>
      <c r="AC1725" s="205" t="str">
        <f>IF($W1725=AC$3,$AB1725,IF(NOT($W1725=0),"",SUMIFS('Val-Vol (2)'!AC$4:AC$1858,'Val-Vol (2)'!$A$4:$A$1858,$D1725,'Val-Vol (2)'!$V$4:$V$1858,$V1725)/SUMIFS('Comp2016-2017 (3)'!$G$5:$G$289,'Comp2016-2017 (3)'!$A$5:$A$289,$D1725,'Comp2016-2017 (3)'!$R$5:$R$289,$V1725)*$AB1725))</f>
        <v/>
      </c>
      <c r="AD1725" s="205">
        <f>IF($W1725=AD$3,$AB1725,IF(NOT($W1725=0),"",SUMIFS('Val-Vol (2)'!AD$4:AD$1858,'Val-Vol (2)'!$A$4:$A$1858,$D1725,'Val-Vol (2)'!$V$4:$V$1858,$V1725)/SUMIFS('Comp2016-2017 (3)'!$G$5:$G$289,'Comp2016-2017 (3)'!$A$5:$A$289,$D1725,'Comp2016-2017 (3)'!$R$5:$R$289,$V1725)*$AB1725))</f>
        <v>0</v>
      </c>
      <c r="AE1725" s="205" t="str">
        <f>IF($W1725=AE$3,$AB1725,IF(NOT($W1725=0),"",SUMIFS('Val-Vol (2)'!AE$4:AE$1858,'Val-Vol (2)'!$A$4:$A$1858,$D1725,'Val-Vol (2)'!$V$4:$V$1858,$V1725)/SUMIFS('Comp2016-2017 (3)'!$G$5:$G$289,'Comp2016-2017 (3)'!$A$5:$A$289,$D1725,'Comp2016-2017 (3)'!$R$5:$R$289,$V1725)*$AB1725))</f>
        <v/>
      </c>
      <c r="AF1725" s="205" t="str">
        <f>IF($W1725=AF$3,$AB1725,IF(NOT($W1725=0),"",SUMIFS('Val-Vol (2)'!AF$4:AF$1858,'Val-Vol (2)'!$A$4:$A$1858,$D1725,'Val-Vol (2)'!$V$4:$V$1858,$V1725)/SUMIFS('Comp2016-2017 (3)'!$G$5:$G$289,'Comp2016-2017 (3)'!$A$5:$A$289,$D1725,'Comp2016-2017 (3)'!$R$5:$R$289,$V1725)*$AB1725))</f>
        <v/>
      </c>
      <c r="AG1725" s="205" t="str">
        <f>IF($W1725=AG$3,$AB1725,IF(NOT($W1725=0),"",SUMIFS('Val-Vol (2)'!AG$4:AG$1858,'Val-Vol (2)'!$A$4:$A$1858,$D1725,'Val-Vol (2)'!$V$4:$V$1858,$V1725)/SUMIFS('Comp2016-2017 (3)'!$G$5:$G$289,'Comp2016-2017 (3)'!$A$5:$A$289,$D1725,'Comp2016-2017 (3)'!$R$5:$R$289,$V1725)*$AB1725))</f>
        <v/>
      </c>
      <c r="AH1725" s="205" t="str">
        <f>IF($W1725=AH$3,$AB1725,IF(NOT($W1725=0),"",SUMIFS('Val-Vol (2)'!AH$4:AH$1858,'Val-Vol (2)'!$A$4:$A$1858,$D1725,'Val-Vol (2)'!$V$4:$V$1858,$V1725)/SUMIFS('Comp2016-2017 (3)'!$G$5:$G$289,'Comp2016-2017 (3)'!$A$5:$A$289,$D1725,'Comp2016-2017 (3)'!$R$5:$R$289,$V1725)*$AB1725))</f>
        <v/>
      </c>
      <c r="AI1725" s="205" t="str">
        <f>IF($W1725=AI$3,$AB1725,IF(NOT($W1725=0),"",SUMIFS('Val-Vol (2)'!AI$4:AI$1858,'Val-Vol (2)'!$A$4:$A$1858,$D1725,'Val-Vol (2)'!$V$4:$V$1858,$V1725)/SUMIFS('Comp2016-2017 (3)'!$G$5:$G$289,'Comp2016-2017 (3)'!$A$5:$A$289,$D1725,'Comp2016-2017 (3)'!$R$5:$R$289,$V1725)*$AB1725))</f>
        <v/>
      </c>
      <c r="AJ1725" s="205" t="str">
        <f>IF($W1725=AJ$3,$AB1725,IF(NOT($W1725=0),"",SUMIFS('Val-Vol (2)'!AJ$4:AJ$1858,'Val-Vol (2)'!$A$4:$A$1858,$D1725,'Val-Vol (2)'!$V$4:$V$1858,$V1725)/SUMIFS('Comp2016-2017 (3)'!$G$5:$G$289,'Comp2016-2017 (3)'!$A$5:$A$289,$D1725,'Comp2016-2017 (3)'!$R$5:$R$289,$V1725)*$AB1725))</f>
        <v/>
      </c>
      <c r="AK1725" s="205">
        <f t="shared" si="192"/>
        <v>0</v>
      </c>
      <c r="AL1725" s="218" t="str">
        <f t="shared" si="194"/>
        <v/>
      </c>
      <c r="AM1725" s="218" t="str">
        <f>VLOOKUP(A1725,'Table corresp.'!$M$4:$U$63,8,FALSE)</f>
        <v>Production finale</v>
      </c>
      <c r="AN1725" s="218" t="str">
        <f>VLOOKUP(D1725,'Table corresp.'!$M$4:$U$63,9,FALSE)</f>
        <v xml:space="preserve">Mise en œuvre </v>
      </c>
    </row>
    <row r="1726" spans="1:40" x14ac:dyDescent="0.25">
      <c r="A1726" t="s">
        <v>89</v>
      </c>
      <c r="B1726" t="str">
        <f>VLOOKUP(LEFT(A1726,3),'Table corresp.'!$A$4:$D$63,3,FALSE)</f>
        <v>Transformation</v>
      </c>
      <c r="C1726" t="str">
        <f>VLOOKUP(A1726,'Table corresp.'!$M$4:$P$63,4,FALSE)</f>
        <v>Production et transformation de produits bois</v>
      </c>
      <c r="D1726" t="s">
        <v>54</v>
      </c>
      <c r="E1726" t="str">
        <f>VLOOKUP(LEFT(D1726,3),'Table corresp.'!$A$4:$D$63,4,FALSE)</f>
        <v>Consommation finale</v>
      </c>
      <c r="F1726" t="str">
        <f t="shared" si="195"/>
        <v>33  - Con</v>
      </c>
      <c r="G1726" s="238">
        <v>44978.309351381402</v>
      </c>
      <c r="H1726" s="238">
        <v>81843.978634691695</v>
      </c>
      <c r="I1726" s="238">
        <v>126822.287986073</v>
      </c>
      <c r="J1726" s="238">
        <v>12.271515459620559</v>
      </c>
      <c r="K1726" s="238">
        <v>26.761988775501958</v>
      </c>
      <c r="L1726" s="238">
        <v>39.033504235122521</v>
      </c>
      <c r="M1726" s="238">
        <v>12.553521437868088</v>
      </c>
      <c r="N1726" s="238">
        <v>27.376993568456694</v>
      </c>
      <c r="O1726" s="238">
        <v>39.930515006324782</v>
      </c>
      <c r="P1726" s="238">
        <v>3.45591955099228</v>
      </c>
      <c r="Q1726" s="238">
        <v>7.5367447921996842</v>
      </c>
      <c r="R1726" s="238">
        <v>10.992664343191965</v>
      </c>
      <c r="S1726" s="238" t="s">
        <v>192</v>
      </c>
      <c r="T1726" s="218">
        <f>VLOOKUP(A1726,'Groupe de branches'!$Z$27:$AM$86,14,FALSE)</f>
        <v>0</v>
      </c>
      <c r="U1726" s="218">
        <f>VLOOKUP(D1726,'Groupe de branches'!$Z$27:$AM$86,14,FALSE)</f>
        <v>0</v>
      </c>
      <c r="V1726" s="218">
        <v>2020</v>
      </c>
      <c r="W1726" s="218" t="str">
        <f>VLOOKUP(D1726,'Table corresp.'!$M$4:$S$63,7,FALSE)</f>
        <v>Consommation finale</v>
      </c>
      <c r="X1726" s="240">
        <f>IFERROR(G1726/SUMIFS('Comp2016-2017 (3)'!$I$5:$I$289,'Comp2016-2017 (3)'!$A$5:$A$289,A1726,'Comp2016-2017 (3)'!$R$5:$R$289,V1726),0)</f>
        <v>0.58167826113539511</v>
      </c>
      <c r="Y1726" s="219" t="e">
        <f>IF(RIGHT(F1726,3)="Exp",VLOOKUP(F1726,#REF!,2,FALSE),VLOOKUP(F1726,#REF!,9,FALSE))</f>
        <v>#REF!</v>
      </c>
      <c r="Z1726" s="226" t="str">
        <f t="shared" si="196"/>
        <v/>
      </c>
      <c r="AA1726" s="226" t="e">
        <f t="shared" si="193"/>
        <v>#VALUE!</v>
      </c>
      <c r="AB1726" s="205">
        <f>IFERROR(SUMIFS('Comp2016-2017 (3)'!$G$5:$G$289,'Comp2016-2017 (3)'!$A$5:$A$289,A1726,'Comp2016-2017 (3)'!$R$5:$R$289,V1726)*AA1726/SUMIFS($AA$4:$AA$1858,$A$4:$A$1858,A1726,$V$4:$V$1858,V1726),0)</f>
        <v>0</v>
      </c>
      <c r="AC1726" s="205" t="str">
        <f>IF($W1726=AC$3,$AB1726,IF(NOT($W1726=0),"",SUMIFS('Val-Vol (2)'!AC$4:AC$1858,'Val-Vol (2)'!$A$4:$A$1858,$D1726,'Val-Vol (2)'!$V$4:$V$1858,$V1726)/SUMIFS('Comp2016-2017 (3)'!$G$5:$G$289,'Comp2016-2017 (3)'!$A$5:$A$289,$D1726,'Comp2016-2017 (3)'!$R$5:$R$289,$V1726)*$AB1726))</f>
        <v/>
      </c>
      <c r="AD1726" s="205" t="str">
        <f>IF($W1726=AD$3,$AB1726,IF(NOT($W1726=0),"",SUMIFS('Val-Vol (2)'!AD$4:AD$1858,'Val-Vol (2)'!$A$4:$A$1858,$D1726,'Val-Vol (2)'!$V$4:$V$1858,$V1726)/SUMIFS('Comp2016-2017 (3)'!$G$5:$G$289,'Comp2016-2017 (3)'!$A$5:$A$289,$D1726,'Comp2016-2017 (3)'!$R$5:$R$289,$V1726)*$AB1726))</f>
        <v/>
      </c>
      <c r="AE1726" s="205" t="str">
        <f>IF($W1726=AE$3,$AB1726,IF(NOT($W1726=0),"",SUMIFS('Val-Vol (2)'!AE$4:AE$1858,'Val-Vol (2)'!$A$4:$A$1858,$D1726,'Val-Vol (2)'!$V$4:$V$1858,$V1726)/SUMIFS('Comp2016-2017 (3)'!$G$5:$G$289,'Comp2016-2017 (3)'!$A$5:$A$289,$D1726,'Comp2016-2017 (3)'!$R$5:$R$289,$V1726)*$AB1726))</f>
        <v/>
      </c>
      <c r="AF1726" s="205" t="str">
        <f>IF($W1726=AF$3,$AB1726,IF(NOT($W1726=0),"",SUMIFS('Val-Vol (2)'!AF$4:AF$1858,'Val-Vol (2)'!$A$4:$A$1858,$D1726,'Val-Vol (2)'!$V$4:$V$1858,$V1726)/SUMIFS('Comp2016-2017 (3)'!$G$5:$G$289,'Comp2016-2017 (3)'!$A$5:$A$289,$D1726,'Comp2016-2017 (3)'!$R$5:$R$289,$V1726)*$AB1726))</f>
        <v/>
      </c>
      <c r="AG1726" s="205" t="str">
        <f>IF($W1726=AG$3,$AB1726,IF(NOT($W1726=0),"",SUMIFS('Val-Vol (2)'!AG$4:AG$1858,'Val-Vol (2)'!$A$4:$A$1858,$D1726,'Val-Vol (2)'!$V$4:$V$1858,$V1726)/SUMIFS('Comp2016-2017 (3)'!$G$5:$G$289,'Comp2016-2017 (3)'!$A$5:$A$289,$D1726,'Comp2016-2017 (3)'!$R$5:$R$289,$V1726)*$AB1726))</f>
        <v/>
      </c>
      <c r="AH1726" s="205" t="str">
        <f>IF($W1726=AH$3,$AB1726,IF(NOT($W1726=0),"",SUMIFS('Val-Vol (2)'!AH$4:AH$1858,'Val-Vol (2)'!$A$4:$A$1858,$D1726,'Val-Vol (2)'!$V$4:$V$1858,$V1726)/SUMIFS('Comp2016-2017 (3)'!$G$5:$G$289,'Comp2016-2017 (3)'!$A$5:$A$289,$D1726,'Comp2016-2017 (3)'!$R$5:$R$289,$V1726)*$AB1726))</f>
        <v/>
      </c>
      <c r="AI1726" s="205" t="str">
        <f>IF($W1726=AI$3,$AB1726,IF(NOT($W1726=0),"",SUMIFS('Val-Vol (2)'!AI$4:AI$1858,'Val-Vol (2)'!$A$4:$A$1858,$D1726,'Val-Vol (2)'!$V$4:$V$1858,$V1726)/SUMIFS('Comp2016-2017 (3)'!$G$5:$G$289,'Comp2016-2017 (3)'!$A$5:$A$289,$D1726,'Comp2016-2017 (3)'!$R$5:$R$289,$V1726)*$AB1726))</f>
        <v/>
      </c>
      <c r="AJ1726" s="205">
        <f>IF($W1726=AJ$3,$AB1726,IF(NOT($W1726=0),"",SUMIFS('Val-Vol (2)'!AJ$4:AJ$1858,'Val-Vol (2)'!$A$4:$A$1858,$D1726,'Val-Vol (2)'!$V$4:$V$1858,$V1726)/SUMIFS('Comp2016-2017 (3)'!$G$5:$G$289,'Comp2016-2017 (3)'!$A$5:$A$289,$D1726,'Comp2016-2017 (3)'!$R$5:$R$289,$V1726)*$AB1726))</f>
        <v>0</v>
      </c>
      <c r="AK1726" s="205">
        <f t="shared" si="192"/>
        <v>0</v>
      </c>
      <c r="AL1726" s="218" t="str">
        <f t="shared" si="194"/>
        <v/>
      </c>
      <c r="AM1726" s="218" t="str">
        <f>VLOOKUP(A1726,'Table corresp.'!$M$4:$U$63,8,FALSE)</f>
        <v>Production finale</v>
      </c>
      <c r="AN1726" s="218" t="str">
        <f>VLOOKUP(D1726,'Table corresp.'!$M$4:$U$63,9,FALSE)</f>
        <v>Consommation finale française</v>
      </c>
    </row>
    <row r="1727" spans="1:40" x14ac:dyDescent="0.25">
      <c r="A1727" t="s">
        <v>89</v>
      </c>
      <c r="B1727" t="str">
        <f>VLOOKUP(LEFT(A1727,3),'Table corresp.'!$A$4:$D$63,3,FALSE)</f>
        <v>Transformation</v>
      </c>
      <c r="C1727" t="str">
        <f>VLOOKUP(A1727,'Table corresp.'!$M$4:$P$63,4,FALSE)</f>
        <v>Production et transformation de produits bois</v>
      </c>
      <c r="D1727" t="s">
        <v>53</v>
      </c>
      <c r="E1727" t="str">
        <f>VLOOKUP(LEFT(D1727,3),'Table corresp.'!$A$4:$D$63,4,FALSE)</f>
        <v>Exportation</v>
      </c>
      <c r="F1727" t="str">
        <f t="shared" si="195"/>
        <v>33  - Exp</v>
      </c>
      <c r="G1727" s="238">
        <v>15786.973867999999</v>
      </c>
      <c r="H1727" s="238">
        <v>0</v>
      </c>
      <c r="I1727" s="238">
        <v>15786.973867999999</v>
      </c>
      <c r="J1727" s="238">
        <v>3.8432659828836973</v>
      </c>
      <c r="K1727" s="238">
        <v>0</v>
      </c>
      <c r="L1727" s="238">
        <v>3.8432659828836973</v>
      </c>
      <c r="M1727" s="238">
        <v>3.9315862874732068</v>
      </c>
      <c r="N1727" s="238">
        <v>0</v>
      </c>
      <c r="O1727" s="238">
        <v>3.9315862874732068</v>
      </c>
      <c r="P1727" s="238">
        <v>1.0823453789074244</v>
      </c>
      <c r="Q1727" s="238">
        <v>0</v>
      </c>
      <c r="R1727" s="238">
        <v>1.0823453789074244</v>
      </c>
      <c r="S1727" s="238" t="s">
        <v>192</v>
      </c>
      <c r="T1727" s="218">
        <f>VLOOKUP(A1727,'Groupe de branches'!$Z$27:$AM$86,14,FALSE)</f>
        <v>0</v>
      </c>
      <c r="U1727" s="218">
        <f>VLOOKUP(D1727,'Groupe de branches'!$Z$27:$AM$86,14,FALSE)</f>
        <v>0</v>
      </c>
      <c r="V1727" s="218">
        <v>2020</v>
      </c>
      <c r="W1727" s="218" t="str">
        <f>VLOOKUP(D1727,'Table corresp.'!$M$4:$S$63,7,FALSE)</f>
        <v>Exportation</v>
      </c>
      <c r="X1727" s="240">
        <f>IFERROR(G1727/SUMIFS('Comp2016-2017 (3)'!$I$5:$I$289,'Comp2016-2017 (3)'!$A$5:$A$289,A1727,'Comp2016-2017 (3)'!$R$5:$R$289,V1727),0)</f>
        <v>0.20416373226456389</v>
      </c>
      <c r="Y1727" s="219" t="e">
        <f>IF(RIGHT(F1727,3)="Exp",VLOOKUP(F1727,#REF!,2,FALSE),VLOOKUP(F1727,#REF!,9,FALSE))</f>
        <v>#REF!</v>
      </c>
      <c r="Z1727" s="226" t="str">
        <f t="shared" si="196"/>
        <v/>
      </c>
      <c r="AA1727" s="226" t="e">
        <f t="shared" si="193"/>
        <v>#VALUE!</v>
      </c>
      <c r="AB1727" s="205">
        <f>IFERROR(SUMIFS('Comp2016-2017 (3)'!$G$5:$G$289,'Comp2016-2017 (3)'!$A$5:$A$289,A1727,'Comp2016-2017 (3)'!$R$5:$R$289,V1727)*AA1727/SUMIFS($AA$4:$AA$1858,$A$4:$A$1858,A1727,$V$4:$V$1858,V1727),0)</f>
        <v>0</v>
      </c>
      <c r="AC1727" s="205">
        <f>IF($W1727=AC$3,$AB1727,IF(NOT($W1727=0),"",SUMIFS('Val-Vol (2)'!AC$4:AC$1858,'Val-Vol (2)'!$A$4:$A$1858,$D1727,'Val-Vol (2)'!$V$4:$V$1858,$V1727)/SUMIFS('Comp2016-2017 (3)'!$G$5:$G$289,'Comp2016-2017 (3)'!$A$5:$A$289,$D1727,'Comp2016-2017 (3)'!$R$5:$R$289,$V1727)*$AB1727))</f>
        <v>0</v>
      </c>
      <c r="AD1727" s="205" t="str">
        <f>IF($W1727=AD$3,$AB1727,IF(NOT($W1727=0),"",SUMIFS('Val-Vol (2)'!AD$4:AD$1858,'Val-Vol (2)'!$A$4:$A$1858,$D1727,'Val-Vol (2)'!$V$4:$V$1858,$V1727)/SUMIFS('Comp2016-2017 (3)'!$G$5:$G$289,'Comp2016-2017 (3)'!$A$5:$A$289,$D1727,'Comp2016-2017 (3)'!$R$5:$R$289,$V1727)*$AB1727))</f>
        <v/>
      </c>
      <c r="AE1727" s="205" t="str">
        <f>IF($W1727=AE$3,$AB1727,IF(NOT($W1727=0),"",SUMIFS('Val-Vol (2)'!AE$4:AE$1858,'Val-Vol (2)'!$A$4:$A$1858,$D1727,'Val-Vol (2)'!$V$4:$V$1858,$V1727)/SUMIFS('Comp2016-2017 (3)'!$G$5:$G$289,'Comp2016-2017 (3)'!$A$5:$A$289,$D1727,'Comp2016-2017 (3)'!$R$5:$R$289,$V1727)*$AB1727))</f>
        <v/>
      </c>
      <c r="AF1727" s="205" t="str">
        <f>IF($W1727=AF$3,$AB1727,IF(NOT($W1727=0),"",SUMIFS('Val-Vol (2)'!AF$4:AF$1858,'Val-Vol (2)'!$A$4:$A$1858,$D1727,'Val-Vol (2)'!$V$4:$V$1858,$V1727)/SUMIFS('Comp2016-2017 (3)'!$G$5:$G$289,'Comp2016-2017 (3)'!$A$5:$A$289,$D1727,'Comp2016-2017 (3)'!$R$5:$R$289,$V1727)*$AB1727))</f>
        <v/>
      </c>
      <c r="AG1727" s="205" t="str">
        <f>IF($W1727=AG$3,$AB1727,IF(NOT($W1727=0),"",SUMIFS('Val-Vol (2)'!AG$4:AG$1858,'Val-Vol (2)'!$A$4:$A$1858,$D1727,'Val-Vol (2)'!$V$4:$V$1858,$V1727)/SUMIFS('Comp2016-2017 (3)'!$G$5:$G$289,'Comp2016-2017 (3)'!$A$5:$A$289,$D1727,'Comp2016-2017 (3)'!$R$5:$R$289,$V1727)*$AB1727))</f>
        <v/>
      </c>
      <c r="AH1727" s="205" t="str">
        <f>IF($W1727=AH$3,$AB1727,IF(NOT($W1727=0),"",SUMIFS('Val-Vol (2)'!AH$4:AH$1858,'Val-Vol (2)'!$A$4:$A$1858,$D1727,'Val-Vol (2)'!$V$4:$V$1858,$V1727)/SUMIFS('Comp2016-2017 (3)'!$G$5:$G$289,'Comp2016-2017 (3)'!$A$5:$A$289,$D1727,'Comp2016-2017 (3)'!$R$5:$R$289,$V1727)*$AB1727))</f>
        <v/>
      </c>
      <c r="AI1727" s="205" t="str">
        <f>IF($W1727=AI$3,$AB1727,IF(NOT($W1727=0),"",SUMIFS('Val-Vol (2)'!AI$4:AI$1858,'Val-Vol (2)'!$A$4:$A$1858,$D1727,'Val-Vol (2)'!$V$4:$V$1858,$V1727)/SUMIFS('Comp2016-2017 (3)'!$G$5:$G$289,'Comp2016-2017 (3)'!$A$5:$A$289,$D1727,'Comp2016-2017 (3)'!$R$5:$R$289,$V1727)*$AB1727))</f>
        <v/>
      </c>
      <c r="AJ1727" s="205" t="str">
        <f>IF($W1727=AJ$3,$AB1727,IF(NOT($W1727=0),"",SUMIFS('Val-Vol (2)'!AJ$4:AJ$1858,'Val-Vol (2)'!$A$4:$A$1858,$D1727,'Val-Vol (2)'!$V$4:$V$1858,$V1727)/SUMIFS('Comp2016-2017 (3)'!$G$5:$G$289,'Comp2016-2017 (3)'!$A$5:$A$289,$D1727,'Comp2016-2017 (3)'!$R$5:$R$289,$V1727)*$AB1727))</f>
        <v/>
      </c>
      <c r="AK1727" s="205">
        <f t="shared" si="192"/>
        <v>0</v>
      </c>
      <c r="AL1727" s="218" t="str">
        <f t="shared" si="194"/>
        <v/>
      </c>
      <c r="AM1727" s="218" t="str">
        <f>VLOOKUP(A1727,'Table corresp.'!$M$4:$U$63,8,FALSE)</f>
        <v>Production finale</v>
      </c>
      <c r="AN1727" s="218" t="str">
        <f>VLOOKUP(D1727,'Table corresp.'!$M$4:$U$63,9,FALSE)</f>
        <v>Exportation</v>
      </c>
    </row>
    <row r="1728" spans="1:40" x14ac:dyDescent="0.25">
      <c r="A1728" t="s">
        <v>90</v>
      </c>
      <c r="B1728" t="str">
        <f>VLOOKUP(LEFT(A1728,3),'Table corresp.'!$A$4:$D$63,3,FALSE)</f>
        <v>Transformation</v>
      </c>
      <c r="C1728" t="str">
        <f>VLOOKUP(A1728,'Table corresp.'!$M$4:$P$63,4,FALSE)</f>
        <v>Production et transformation de produits bois</v>
      </c>
      <c r="D1728" t="s">
        <v>24</v>
      </c>
      <c r="E1728" t="str">
        <f>VLOOKUP(LEFT(D1728,3),'Table corresp.'!$A$4:$D$63,4,FALSE)</f>
        <v>Transformation</v>
      </c>
      <c r="F1728" t="str">
        <f t="shared" si="195"/>
        <v xml:space="preserve">34  - 57 </v>
      </c>
      <c r="G1728" s="238">
        <v>510725.038790108</v>
      </c>
      <c r="H1728" s="238">
        <v>56360.2052248365</v>
      </c>
      <c r="I1728" s="238">
        <v>567085.244014945</v>
      </c>
      <c r="J1728" s="238">
        <v>463.853610425905</v>
      </c>
      <c r="K1728" s="238">
        <v>67.186369253096188</v>
      </c>
      <c r="L1728" s="238">
        <v>531.03997967900114</v>
      </c>
      <c r="M1728" s="238">
        <v>52.199277220294725</v>
      </c>
      <c r="N1728" s="238">
        <v>7.5607472599971661</v>
      </c>
      <c r="O1728" s="238">
        <v>59.760024480291889</v>
      </c>
      <c r="P1728" s="238">
        <v>9.5402594200202628</v>
      </c>
      <c r="Q1728" s="238">
        <v>1.3818484490727032</v>
      </c>
      <c r="R1728" s="238">
        <v>10.922107869092965</v>
      </c>
      <c r="S1728" s="238" t="s">
        <v>192</v>
      </c>
      <c r="T1728" s="218">
        <f>VLOOKUP(A1728,'Groupe de branches'!$Z$27:$AM$86,14,FALSE)</f>
        <v>0</v>
      </c>
      <c r="U1728" s="218">
        <f>VLOOKUP(D1728,'Groupe de branches'!$Z$27:$AM$86,14,FALSE)</f>
        <v>0</v>
      </c>
      <c r="V1728" s="218">
        <v>2020</v>
      </c>
      <c r="W1728" s="218" t="str">
        <f>VLOOKUP(D1728,'Table corresp.'!$M$4:$S$63,7,FALSE)</f>
        <v>Construction</v>
      </c>
      <c r="X1728" s="240">
        <f>IFERROR(G1728/SUMIFS('Comp2016-2017 (3)'!$I$5:$I$289,'Comp2016-2017 (3)'!$A$5:$A$289,A1728,'Comp2016-2017 (3)'!$R$5:$R$289,V1728),0)</f>
        <v>0.64332532475202009</v>
      </c>
      <c r="Y1728" s="219" t="e">
        <f>IF(RIGHT(F1728,3)="Exp",VLOOKUP(F1728,#REF!,2,FALSE),VLOOKUP(F1728,#REF!,9,FALSE))</f>
        <v>#REF!</v>
      </c>
      <c r="Z1728" s="226" t="str">
        <f t="shared" si="196"/>
        <v/>
      </c>
      <c r="AA1728" s="226" t="e">
        <f t="shared" si="193"/>
        <v>#VALUE!</v>
      </c>
      <c r="AB1728" s="205">
        <f>IFERROR(SUMIFS('Comp2016-2017 (3)'!$G$5:$G$289,'Comp2016-2017 (3)'!$A$5:$A$289,A1728,'Comp2016-2017 (3)'!$R$5:$R$289,V1728)*AA1728/SUMIFS($AA$4:$AA$1858,$A$4:$A$1858,A1728,$V$4:$V$1858,V1728),0)</f>
        <v>0</v>
      </c>
      <c r="AC1728" s="205" t="str">
        <f>IF($W1728=AC$3,$AB1728,IF(NOT($W1728=0),"",SUMIFS('Val-Vol (2)'!AC$4:AC$1858,'Val-Vol (2)'!$A$4:$A$1858,$D1728,'Val-Vol (2)'!$V$4:$V$1858,$V1728)/SUMIFS('Comp2016-2017 (3)'!$G$5:$G$289,'Comp2016-2017 (3)'!$A$5:$A$289,$D1728,'Comp2016-2017 (3)'!$R$5:$R$289,$V1728)*$AB1728))</f>
        <v/>
      </c>
      <c r="AD1728" s="205">
        <f>IF($W1728=AD$3,$AB1728,IF(NOT($W1728=0),"",SUMIFS('Val-Vol (2)'!AD$4:AD$1858,'Val-Vol (2)'!$A$4:$A$1858,$D1728,'Val-Vol (2)'!$V$4:$V$1858,$V1728)/SUMIFS('Comp2016-2017 (3)'!$G$5:$G$289,'Comp2016-2017 (3)'!$A$5:$A$289,$D1728,'Comp2016-2017 (3)'!$R$5:$R$289,$V1728)*$AB1728))</f>
        <v>0</v>
      </c>
      <c r="AE1728" s="205" t="str">
        <f>IF($W1728=AE$3,$AB1728,IF(NOT($W1728=0),"",SUMIFS('Val-Vol (2)'!AE$4:AE$1858,'Val-Vol (2)'!$A$4:$A$1858,$D1728,'Val-Vol (2)'!$V$4:$V$1858,$V1728)/SUMIFS('Comp2016-2017 (3)'!$G$5:$G$289,'Comp2016-2017 (3)'!$A$5:$A$289,$D1728,'Comp2016-2017 (3)'!$R$5:$R$289,$V1728)*$AB1728))</f>
        <v/>
      </c>
      <c r="AF1728" s="205" t="str">
        <f>IF($W1728=AF$3,$AB1728,IF(NOT($W1728=0),"",SUMIFS('Val-Vol (2)'!AF$4:AF$1858,'Val-Vol (2)'!$A$4:$A$1858,$D1728,'Val-Vol (2)'!$V$4:$V$1858,$V1728)/SUMIFS('Comp2016-2017 (3)'!$G$5:$G$289,'Comp2016-2017 (3)'!$A$5:$A$289,$D1728,'Comp2016-2017 (3)'!$R$5:$R$289,$V1728)*$AB1728))</f>
        <v/>
      </c>
      <c r="AG1728" s="205" t="str">
        <f>IF($W1728=AG$3,$AB1728,IF(NOT($W1728=0),"",SUMIFS('Val-Vol (2)'!AG$4:AG$1858,'Val-Vol (2)'!$A$4:$A$1858,$D1728,'Val-Vol (2)'!$V$4:$V$1858,$V1728)/SUMIFS('Comp2016-2017 (3)'!$G$5:$G$289,'Comp2016-2017 (3)'!$A$5:$A$289,$D1728,'Comp2016-2017 (3)'!$R$5:$R$289,$V1728)*$AB1728))</f>
        <v/>
      </c>
      <c r="AH1728" s="205" t="str">
        <f>IF($W1728=AH$3,$AB1728,IF(NOT($W1728=0),"",SUMIFS('Val-Vol (2)'!AH$4:AH$1858,'Val-Vol (2)'!$A$4:$A$1858,$D1728,'Val-Vol (2)'!$V$4:$V$1858,$V1728)/SUMIFS('Comp2016-2017 (3)'!$G$5:$G$289,'Comp2016-2017 (3)'!$A$5:$A$289,$D1728,'Comp2016-2017 (3)'!$R$5:$R$289,$V1728)*$AB1728))</f>
        <v/>
      </c>
      <c r="AI1728" s="205" t="str">
        <f>IF($W1728=AI$3,$AB1728,IF(NOT($W1728=0),"",SUMIFS('Val-Vol (2)'!AI$4:AI$1858,'Val-Vol (2)'!$A$4:$A$1858,$D1728,'Val-Vol (2)'!$V$4:$V$1858,$V1728)/SUMIFS('Comp2016-2017 (3)'!$G$5:$G$289,'Comp2016-2017 (3)'!$A$5:$A$289,$D1728,'Comp2016-2017 (3)'!$R$5:$R$289,$V1728)*$AB1728))</f>
        <v/>
      </c>
      <c r="AJ1728" s="205" t="str">
        <f>IF($W1728=AJ$3,$AB1728,IF(NOT($W1728=0),"",SUMIFS('Val-Vol (2)'!AJ$4:AJ$1858,'Val-Vol (2)'!$A$4:$A$1858,$D1728,'Val-Vol (2)'!$V$4:$V$1858,$V1728)/SUMIFS('Comp2016-2017 (3)'!$G$5:$G$289,'Comp2016-2017 (3)'!$A$5:$A$289,$D1728,'Comp2016-2017 (3)'!$R$5:$R$289,$V1728)*$AB1728))</f>
        <v/>
      </c>
      <c r="AK1728" s="205">
        <f t="shared" si="192"/>
        <v>0</v>
      </c>
      <c r="AL1728" s="218" t="str">
        <f t="shared" si="194"/>
        <v/>
      </c>
      <c r="AM1728" s="218" t="str">
        <f>VLOOKUP(A1728,'Table corresp.'!$M$4:$U$63,8,FALSE)</f>
        <v>Production finale</v>
      </c>
      <c r="AN1728" s="218" t="str">
        <f>VLOOKUP(D1728,'Table corresp.'!$M$4:$U$63,9,FALSE)</f>
        <v xml:space="preserve">Mise en œuvre </v>
      </c>
    </row>
    <row r="1729" spans="1:40" x14ac:dyDescent="0.25">
      <c r="A1729" t="s">
        <v>90</v>
      </c>
      <c r="B1729" t="str">
        <f>VLOOKUP(LEFT(A1729,3),'Table corresp.'!$A$4:$D$63,3,FALSE)</f>
        <v>Transformation</v>
      </c>
      <c r="C1729" t="str">
        <f>VLOOKUP(A1729,'Table corresp.'!$M$4:$P$63,4,FALSE)</f>
        <v>Production et transformation de produits bois</v>
      </c>
      <c r="D1729" t="s">
        <v>54</v>
      </c>
      <c r="E1729" t="str">
        <f>VLOOKUP(LEFT(D1729,3),'Table corresp.'!$A$4:$D$63,4,FALSE)</f>
        <v>Consommation finale</v>
      </c>
      <c r="F1729" t="str">
        <f t="shared" si="195"/>
        <v>34  - Con</v>
      </c>
      <c r="G1729" s="238">
        <v>268679.675701892</v>
      </c>
      <c r="H1729" s="238">
        <v>127856.722775163</v>
      </c>
      <c r="I1729" s="238">
        <v>396536.39847705502</v>
      </c>
      <c r="J1729" s="238">
        <v>282.55154508926188</v>
      </c>
      <c r="K1729" s="238">
        <v>228.62485028915472</v>
      </c>
      <c r="L1729" s="238">
        <v>511.1763953784166</v>
      </c>
      <c r="M1729" s="238">
        <v>31.796640361588729</v>
      </c>
      <c r="N1729" s="238">
        <v>25.728056592540607</v>
      </c>
      <c r="O1729" s="238">
        <v>57.52469695412934</v>
      </c>
      <c r="P1729" s="238">
        <v>5.8113486218292625</v>
      </c>
      <c r="Q1729" s="238">
        <v>4.7022171059941371</v>
      </c>
      <c r="R1729" s="238">
        <v>10.5135657278234</v>
      </c>
      <c r="S1729" s="238" t="s">
        <v>192</v>
      </c>
      <c r="T1729" s="218">
        <f>VLOOKUP(A1729,'Groupe de branches'!$Z$27:$AM$86,14,FALSE)</f>
        <v>0</v>
      </c>
      <c r="U1729" s="218">
        <f>VLOOKUP(D1729,'Groupe de branches'!$Z$27:$AM$86,14,FALSE)</f>
        <v>0</v>
      </c>
      <c r="V1729" s="218">
        <v>2020</v>
      </c>
      <c r="W1729" s="218" t="str">
        <f>VLOOKUP(D1729,'Table corresp.'!$M$4:$S$63,7,FALSE)</f>
        <v>Consommation finale</v>
      </c>
      <c r="X1729" s="240">
        <f>IFERROR(G1729/SUMIFS('Comp2016-2017 (3)'!$I$5:$I$289,'Comp2016-2017 (3)'!$A$5:$A$289,A1729,'Comp2016-2017 (3)'!$R$5:$R$289,V1729),0)</f>
        <v>0.33843737137826607</v>
      </c>
      <c r="Y1729" s="219" t="e">
        <f>IF(RIGHT(F1729,3)="Exp",VLOOKUP(F1729,#REF!,2,FALSE),VLOOKUP(F1729,#REF!,9,FALSE))</f>
        <v>#REF!</v>
      </c>
      <c r="Z1729" s="226" t="str">
        <f t="shared" si="196"/>
        <v/>
      </c>
      <c r="AA1729" s="226" t="e">
        <f t="shared" si="193"/>
        <v>#VALUE!</v>
      </c>
      <c r="AB1729" s="205">
        <f>IFERROR(SUMIFS('Comp2016-2017 (3)'!$G$5:$G$289,'Comp2016-2017 (3)'!$A$5:$A$289,A1729,'Comp2016-2017 (3)'!$R$5:$R$289,V1729)*AA1729/SUMIFS($AA$4:$AA$1858,$A$4:$A$1858,A1729,$V$4:$V$1858,V1729),0)</f>
        <v>0</v>
      </c>
      <c r="AC1729" s="205" t="str">
        <f>IF($W1729=AC$3,$AB1729,IF(NOT($W1729=0),"",SUMIFS('Val-Vol (2)'!AC$4:AC$1858,'Val-Vol (2)'!$A$4:$A$1858,$D1729,'Val-Vol (2)'!$V$4:$V$1858,$V1729)/SUMIFS('Comp2016-2017 (3)'!$G$5:$G$289,'Comp2016-2017 (3)'!$A$5:$A$289,$D1729,'Comp2016-2017 (3)'!$R$5:$R$289,$V1729)*$AB1729))</f>
        <v/>
      </c>
      <c r="AD1729" s="205" t="str">
        <f>IF($W1729=AD$3,$AB1729,IF(NOT($W1729=0),"",SUMIFS('Val-Vol (2)'!AD$4:AD$1858,'Val-Vol (2)'!$A$4:$A$1858,$D1729,'Val-Vol (2)'!$V$4:$V$1858,$V1729)/SUMIFS('Comp2016-2017 (3)'!$G$5:$G$289,'Comp2016-2017 (3)'!$A$5:$A$289,$D1729,'Comp2016-2017 (3)'!$R$5:$R$289,$V1729)*$AB1729))</f>
        <v/>
      </c>
      <c r="AE1729" s="205" t="str">
        <f>IF($W1729=AE$3,$AB1729,IF(NOT($W1729=0),"",SUMIFS('Val-Vol (2)'!AE$4:AE$1858,'Val-Vol (2)'!$A$4:$A$1858,$D1729,'Val-Vol (2)'!$V$4:$V$1858,$V1729)/SUMIFS('Comp2016-2017 (3)'!$G$5:$G$289,'Comp2016-2017 (3)'!$A$5:$A$289,$D1729,'Comp2016-2017 (3)'!$R$5:$R$289,$V1729)*$AB1729))</f>
        <v/>
      </c>
      <c r="AF1729" s="205" t="str">
        <f>IF($W1729=AF$3,$AB1729,IF(NOT($W1729=0),"",SUMIFS('Val-Vol (2)'!AF$4:AF$1858,'Val-Vol (2)'!$A$4:$A$1858,$D1729,'Val-Vol (2)'!$V$4:$V$1858,$V1729)/SUMIFS('Comp2016-2017 (3)'!$G$5:$G$289,'Comp2016-2017 (3)'!$A$5:$A$289,$D1729,'Comp2016-2017 (3)'!$R$5:$R$289,$V1729)*$AB1729))</f>
        <v/>
      </c>
      <c r="AG1729" s="205" t="str">
        <f>IF($W1729=AG$3,$AB1729,IF(NOT($W1729=0),"",SUMIFS('Val-Vol (2)'!AG$4:AG$1858,'Val-Vol (2)'!$A$4:$A$1858,$D1729,'Val-Vol (2)'!$V$4:$V$1858,$V1729)/SUMIFS('Comp2016-2017 (3)'!$G$5:$G$289,'Comp2016-2017 (3)'!$A$5:$A$289,$D1729,'Comp2016-2017 (3)'!$R$5:$R$289,$V1729)*$AB1729))</f>
        <v/>
      </c>
      <c r="AH1729" s="205" t="str">
        <f>IF($W1729=AH$3,$AB1729,IF(NOT($W1729=0),"",SUMIFS('Val-Vol (2)'!AH$4:AH$1858,'Val-Vol (2)'!$A$4:$A$1858,$D1729,'Val-Vol (2)'!$V$4:$V$1858,$V1729)/SUMIFS('Comp2016-2017 (3)'!$G$5:$G$289,'Comp2016-2017 (3)'!$A$5:$A$289,$D1729,'Comp2016-2017 (3)'!$R$5:$R$289,$V1729)*$AB1729))</f>
        <v/>
      </c>
      <c r="AI1729" s="205" t="str">
        <f>IF($W1729=AI$3,$AB1729,IF(NOT($W1729=0),"",SUMIFS('Val-Vol (2)'!AI$4:AI$1858,'Val-Vol (2)'!$A$4:$A$1858,$D1729,'Val-Vol (2)'!$V$4:$V$1858,$V1729)/SUMIFS('Comp2016-2017 (3)'!$G$5:$G$289,'Comp2016-2017 (3)'!$A$5:$A$289,$D1729,'Comp2016-2017 (3)'!$R$5:$R$289,$V1729)*$AB1729))</f>
        <v/>
      </c>
      <c r="AJ1729" s="205">
        <f>IF($W1729=AJ$3,$AB1729,IF(NOT($W1729=0),"",SUMIFS('Val-Vol (2)'!AJ$4:AJ$1858,'Val-Vol (2)'!$A$4:$A$1858,$D1729,'Val-Vol (2)'!$V$4:$V$1858,$V1729)/SUMIFS('Comp2016-2017 (3)'!$G$5:$G$289,'Comp2016-2017 (3)'!$A$5:$A$289,$D1729,'Comp2016-2017 (3)'!$R$5:$R$289,$V1729)*$AB1729))</f>
        <v>0</v>
      </c>
      <c r="AK1729" s="205">
        <f t="shared" si="192"/>
        <v>0</v>
      </c>
      <c r="AL1729" s="218" t="str">
        <f t="shared" si="194"/>
        <v/>
      </c>
      <c r="AM1729" s="218" t="str">
        <f>VLOOKUP(A1729,'Table corresp.'!$M$4:$U$63,8,FALSE)</f>
        <v>Production finale</v>
      </c>
      <c r="AN1729" s="218" t="str">
        <f>VLOOKUP(D1729,'Table corresp.'!$M$4:$U$63,9,FALSE)</f>
        <v>Consommation finale française</v>
      </c>
    </row>
    <row r="1730" spans="1:40" x14ac:dyDescent="0.25">
      <c r="A1730" t="s">
        <v>90</v>
      </c>
      <c r="B1730" t="str">
        <f>VLOOKUP(LEFT(A1730,3),'Table corresp.'!$A$4:$D$63,3,FALSE)</f>
        <v>Transformation</v>
      </c>
      <c r="C1730" t="str">
        <f>VLOOKUP(A1730,'Table corresp.'!$M$4:$P$63,4,FALSE)</f>
        <v>Production et transformation de produits bois</v>
      </c>
      <c r="D1730" t="s">
        <v>53</v>
      </c>
      <c r="E1730" t="str">
        <f>VLOOKUP(LEFT(D1730,3),'Table corresp.'!$A$4:$D$63,4,FALSE)</f>
        <v>Exportation</v>
      </c>
      <c r="F1730" t="str">
        <f t="shared" si="195"/>
        <v>34  - Exp</v>
      </c>
      <c r="G1730" s="238">
        <v>14478.285508000001</v>
      </c>
      <c r="H1730" s="238">
        <v>0</v>
      </c>
      <c r="I1730" s="238">
        <v>14478.285508000001</v>
      </c>
      <c r="J1730" s="238">
        <v>11.625067979861347</v>
      </c>
      <c r="K1730" s="238">
        <v>0</v>
      </c>
      <c r="L1730" s="238">
        <v>11.625067979861347</v>
      </c>
      <c r="M1730" s="238">
        <v>1.3082147741145722</v>
      </c>
      <c r="N1730" s="238">
        <v>0</v>
      </c>
      <c r="O1730" s="238">
        <v>1.3082147741145722</v>
      </c>
      <c r="P1730" s="238">
        <v>0.23909733978660941</v>
      </c>
      <c r="Q1730" s="238">
        <v>0</v>
      </c>
      <c r="R1730" s="238">
        <v>0.23909733978660941</v>
      </c>
      <c r="S1730" s="238" t="s">
        <v>192</v>
      </c>
      <c r="T1730" s="218">
        <f>VLOOKUP(A1730,'Groupe de branches'!$Z$27:$AM$86,14,FALSE)</f>
        <v>0</v>
      </c>
      <c r="U1730" s="218">
        <f>VLOOKUP(D1730,'Groupe de branches'!$Z$27:$AM$86,14,FALSE)</f>
        <v>0</v>
      </c>
      <c r="V1730" s="218">
        <v>2020</v>
      </c>
      <c r="W1730" s="218" t="str">
        <f>VLOOKUP(D1730,'Table corresp.'!$M$4:$S$63,7,FALSE)</f>
        <v>Exportation</v>
      </c>
      <c r="X1730" s="240">
        <f>IFERROR(G1730/SUMIFS('Comp2016-2017 (3)'!$I$5:$I$289,'Comp2016-2017 (3)'!$A$5:$A$289,A1730,'Comp2016-2017 (3)'!$R$5:$R$289,V1730),0)</f>
        <v>1.8237303869713801E-2</v>
      </c>
      <c r="Y1730" s="219" t="e">
        <f>IF(RIGHT(F1730,3)="Exp",VLOOKUP(F1730,#REF!,2,FALSE),VLOOKUP(F1730,#REF!,9,FALSE))</f>
        <v>#REF!</v>
      </c>
      <c r="Z1730" s="226" t="str">
        <f t="shared" si="196"/>
        <v/>
      </c>
      <c r="AA1730" s="226" t="e">
        <f t="shared" si="193"/>
        <v>#VALUE!</v>
      </c>
      <c r="AB1730" s="205">
        <f>IFERROR(SUMIFS('Comp2016-2017 (3)'!$G$5:$G$289,'Comp2016-2017 (3)'!$A$5:$A$289,A1730,'Comp2016-2017 (3)'!$R$5:$R$289,V1730)*AA1730/SUMIFS($AA$4:$AA$1858,$A$4:$A$1858,A1730,$V$4:$V$1858,V1730),0)</f>
        <v>0</v>
      </c>
      <c r="AC1730" s="205">
        <f>IF($W1730=AC$3,$AB1730,IF(NOT($W1730=0),"",SUMIFS('Val-Vol (2)'!AC$4:AC$1858,'Val-Vol (2)'!$A$4:$A$1858,$D1730,'Val-Vol (2)'!$V$4:$V$1858,$V1730)/SUMIFS('Comp2016-2017 (3)'!$G$5:$G$289,'Comp2016-2017 (3)'!$A$5:$A$289,$D1730,'Comp2016-2017 (3)'!$R$5:$R$289,$V1730)*$AB1730))</f>
        <v>0</v>
      </c>
      <c r="AD1730" s="205" t="str">
        <f>IF($W1730=AD$3,$AB1730,IF(NOT($W1730=0),"",SUMIFS('Val-Vol (2)'!AD$4:AD$1858,'Val-Vol (2)'!$A$4:$A$1858,$D1730,'Val-Vol (2)'!$V$4:$V$1858,$V1730)/SUMIFS('Comp2016-2017 (3)'!$G$5:$G$289,'Comp2016-2017 (3)'!$A$5:$A$289,$D1730,'Comp2016-2017 (3)'!$R$5:$R$289,$V1730)*$AB1730))</f>
        <v/>
      </c>
      <c r="AE1730" s="205" t="str">
        <f>IF($W1730=AE$3,$AB1730,IF(NOT($W1730=0),"",SUMIFS('Val-Vol (2)'!AE$4:AE$1858,'Val-Vol (2)'!$A$4:$A$1858,$D1730,'Val-Vol (2)'!$V$4:$V$1858,$V1730)/SUMIFS('Comp2016-2017 (3)'!$G$5:$G$289,'Comp2016-2017 (3)'!$A$5:$A$289,$D1730,'Comp2016-2017 (3)'!$R$5:$R$289,$V1730)*$AB1730))</f>
        <v/>
      </c>
      <c r="AF1730" s="205" t="str">
        <f>IF($W1730=AF$3,$AB1730,IF(NOT($W1730=0),"",SUMIFS('Val-Vol (2)'!AF$4:AF$1858,'Val-Vol (2)'!$A$4:$A$1858,$D1730,'Val-Vol (2)'!$V$4:$V$1858,$V1730)/SUMIFS('Comp2016-2017 (3)'!$G$5:$G$289,'Comp2016-2017 (3)'!$A$5:$A$289,$D1730,'Comp2016-2017 (3)'!$R$5:$R$289,$V1730)*$AB1730))</f>
        <v/>
      </c>
      <c r="AG1730" s="205" t="str">
        <f>IF($W1730=AG$3,$AB1730,IF(NOT($W1730=0),"",SUMIFS('Val-Vol (2)'!AG$4:AG$1858,'Val-Vol (2)'!$A$4:$A$1858,$D1730,'Val-Vol (2)'!$V$4:$V$1858,$V1730)/SUMIFS('Comp2016-2017 (3)'!$G$5:$G$289,'Comp2016-2017 (3)'!$A$5:$A$289,$D1730,'Comp2016-2017 (3)'!$R$5:$R$289,$V1730)*$AB1730))</f>
        <v/>
      </c>
      <c r="AH1730" s="205" t="str">
        <f>IF($W1730=AH$3,$AB1730,IF(NOT($W1730=0),"",SUMIFS('Val-Vol (2)'!AH$4:AH$1858,'Val-Vol (2)'!$A$4:$A$1858,$D1730,'Val-Vol (2)'!$V$4:$V$1858,$V1730)/SUMIFS('Comp2016-2017 (3)'!$G$5:$G$289,'Comp2016-2017 (3)'!$A$5:$A$289,$D1730,'Comp2016-2017 (3)'!$R$5:$R$289,$V1730)*$AB1730))</f>
        <v/>
      </c>
      <c r="AI1730" s="205" t="str">
        <f>IF($W1730=AI$3,$AB1730,IF(NOT($W1730=0),"",SUMIFS('Val-Vol (2)'!AI$4:AI$1858,'Val-Vol (2)'!$A$4:$A$1858,$D1730,'Val-Vol (2)'!$V$4:$V$1858,$V1730)/SUMIFS('Comp2016-2017 (3)'!$G$5:$G$289,'Comp2016-2017 (3)'!$A$5:$A$289,$D1730,'Comp2016-2017 (3)'!$R$5:$R$289,$V1730)*$AB1730))</f>
        <v/>
      </c>
      <c r="AJ1730" s="205" t="str">
        <f>IF($W1730=AJ$3,$AB1730,IF(NOT($W1730=0),"",SUMIFS('Val-Vol (2)'!AJ$4:AJ$1858,'Val-Vol (2)'!$A$4:$A$1858,$D1730,'Val-Vol (2)'!$V$4:$V$1858,$V1730)/SUMIFS('Comp2016-2017 (3)'!$G$5:$G$289,'Comp2016-2017 (3)'!$A$5:$A$289,$D1730,'Comp2016-2017 (3)'!$R$5:$R$289,$V1730)*$AB1730))</f>
        <v/>
      </c>
      <c r="AK1730" s="205">
        <f t="shared" si="192"/>
        <v>0</v>
      </c>
      <c r="AL1730" s="218" t="str">
        <f t="shared" si="194"/>
        <v/>
      </c>
      <c r="AM1730" s="218" t="str">
        <f>VLOOKUP(A1730,'Table corresp.'!$M$4:$U$63,8,FALSE)</f>
        <v>Production finale</v>
      </c>
      <c r="AN1730" s="218" t="str">
        <f>VLOOKUP(D1730,'Table corresp.'!$M$4:$U$63,9,FALSE)</f>
        <v>Exportation</v>
      </c>
    </row>
    <row r="1731" spans="1:40" x14ac:dyDescent="0.25">
      <c r="A1731" t="s">
        <v>15</v>
      </c>
      <c r="B1731" t="str">
        <f>VLOOKUP(LEFT(A1731,3),'Table corresp.'!$A$4:$D$63,3,FALSE)</f>
        <v>Transformation</v>
      </c>
      <c r="C1731" t="str">
        <f>VLOOKUP(A1731,'Table corresp.'!$M$4:$P$63,4,FALSE)</f>
        <v>Production et transformation de produits bois</v>
      </c>
      <c r="D1731" t="s">
        <v>21</v>
      </c>
      <c r="E1731" t="str">
        <f>VLOOKUP(LEFT(D1731,3),'Table corresp.'!$A$4:$D$63,4,FALSE)</f>
        <v>Transformation</v>
      </c>
      <c r="F1731" t="str">
        <f t="shared" si="195"/>
        <v xml:space="preserve">35  - 54 </v>
      </c>
      <c r="G1731" s="238">
        <v>518221.02052134502</v>
      </c>
      <c r="H1731" s="238">
        <v>55774.265603448403</v>
      </c>
      <c r="I1731" s="238">
        <v>573995.28612479405</v>
      </c>
      <c r="J1731" s="238">
        <v>415.436884637795</v>
      </c>
      <c r="K1731" s="238">
        <v>48.464432027125603</v>
      </c>
      <c r="L1731" s="238">
        <v>463.90131666492061</v>
      </c>
      <c r="M1731" s="238">
        <v>21.676487494014069</v>
      </c>
      <c r="N1731" s="238">
        <v>2.5287563372145234</v>
      </c>
      <c r="O1731" s="238">
        <v>24.205243831228593</v>
      </c>
      <c r="P1731" s="238">
        <v>8.6047962005328742</v>
      </c>
      <c r="Q1731" s="238">
        <v>1.0038265161062554</v>
      </c>
      <c r="R1731" s="238">
        <v>9.6086227166391289</v>
      </c>
      <c r="S1731" s="238" t="s">
        <v>192</v>
      </c>
      <c r="T1731" s="218">
        <f>VLOOKUP(A1731,'Groupe de branches'!$Z$27:$AM$86,14,FALSE)</f>
        <v>0</v>
      </c>
      <c r="U1731" s="218">
        <f>VLOOKUP(D1731,'Groupe de branches'!$Z$27:$AM$86,14,FALSE)</f>
        <v>0</v>
      </c>
      <c r="V1731" s="218">
        <v>2020</v>
      </c>
      <c r="W1731" s="218" t="str">
        <f>VLOOKUP(D1731,'Table corresp.'!$M$4:$S$63,7,FALSE)</f>
        <v>Construction</v>
      </c>
      <c r="X1731" s="240">
        <f>IFERROR(G1731/SUMIFS('Comp2016-2017 (3)'!$I$5:$I$289,'Comp2016-2017 (3)'!$A$5:$A$289,A1731,'Comp2016-2017 (3)'!$R$5:$R$289,V1731),0)</f>
        <v>0.89892708975991753</v>
      </c>
      <c r="Y1731" s="219" t="e">
        <f>IF(RIGHT(F1731,3)="Exp",VLOOKUP(F1731,#REF!,2,FALSE),VLOOKUP(F1731,#REF!,9,FALSE))</f>
        <v>#REF!</v>
      </c>
      <c r="Z1731" s="226" t="str">
        <f t="shared" si="196"/>
        <v/>
      </c>
      <c r="AA1731" s="226" t="e">
        <f t="shared" si="193"/>
        <v>#VALUE!</v>
      </c>
      <c r="AB1731" s="205">
        <f>IFERROR(SUMIFS('Comp2016-2017 (3)'!$G$5:$G$289,'Comp2016-2017 (3)'!$A$5:$A$289,A1731,'Comp2016-2017 (3)'!$R$5:$R$289,V1731)*AA1731/SUMIFS($AA$4:$AA$1858,$A$4:$A$1858,A1731,$V$4:$V$1858,V1731),0)</f>
        <v>0</v>
      </c>
      <c r="AC1731" s="205" t="str">
        <f>IF($W1731=AC$3,$AB1731,IF(NOT($W1731=0),"",SUMIFS('Val-Vol (2)'!AC$4:AC$1858,'Val-Vol (2)'!$A$4:$A$1858,$D1731,'Val-Vol (2)'!$V$4:$V$1858,$V1731)/SUMIFS('Comp2016-2017 (3)'!$G$5:$G$289,'Comp2016-2017 (3)'!$A$5:$A$289,$D1731,'Comp2016-2017 (3)'!$R$5:$R$289,$V1731)*$AB1731))</f>
        <v/>
      </c>
      <c r="AD1731" s="205">
        <f>IF($W1731=AD$3,$AB1731,IF(NOT($W1731=0),"",SUMIFS('Val-Vol (2)'!AD$4:AD$1858,'Val-Vol (2)'!$A$4:$A$1858,$D1731,'Val-Vol (2)'!$V$4:$V$1858,$V1731)/SUMIFS('Comp2016-2017 (3)'!$G$5:$G$289,'Comp2016-2017 (3)'!$A$5:$A$289,$D1731,'Comp2016-2017 (3)'!$R$5:$R$289,$V1731)*$AB1731))</f>
        <v>0</v>
      </c>
      <c r="AE1731" s="205" t="str">
        <f>IF($W1731=AE$3,$AB1731,IF(NOT($W1731=0),"",SUMIFS('Val-Vol (2)'!AE$4:AE$1858,'Val-Vol (2)'!$A$4:$A$1858,$D1731,'Val-Vol (2)'!$V$4:$V$1858,$V1731)/SUMIFS('Comp2016-2017 (3)'!$G$5:$G$289,'Comp2016-2017 (3)'!$A$5:$A$289,$D1731,'Comp2016-2017 (3)'!$R$5:$R$289,$V1731)*$AB1731))</f>
        <v/>
      </c>
      <c r="AF1731" s="205" t="str">
        <f>IF($W1731=AF$3,$AB1731,IF(NOT($W1731=0),"",SUMIFS('Val-Vol (2)'!AF$4:AF$1858,'Val-Vol (2)'!$A$4:$A$1858,$D1731,'Val-Vol (2)'!$V$4:$V$1858,$V1731)/SUMIFS('Comp2016-2017 (3)'!$G$5:$G$289,'Comp2016-2017 (3)'!$A$5:$A$289,$D1731,'Comp2016-2017 (3)'!$R$5:$R$289,$V1731)*$AB1731))</f>
        <v/>
      </c>
      <c r="AG1731" s="205" t="str">
        <f>IF($W1731=AG$3,$AB1731,IF(NOT($W1731=0),"",SUMIFS('Val-Vol (2)'!AG$4:AG$1858,'Val-Vol (2)'!$A$4:$A$1858,$D1731,'Val-Vol (2)'!$V$4:$V$1858,$V1731)/SUMIFS('Comp2016-2017 (3)'!$G$5:$G$289,'Comp2016-2017 (3)'!$A$5:$A$289,$D1731,'Comp2016-2017 (3)'!$R$5:$R$289,$V1731)*$AB1731))</f>
        <v/>
      </c>
      <c r="AH1731" s="205" t="str">
        <f>IF($W1731=AH$3,$AB1731,IF(NOT($W1731=0),"",SUMIFS('Val-Vol (2)'!AH$4:AH$1858,'Val-Vol (2)'!$A$4:$A$1858,$D1731,'Val-Vol (2)'!$V$4:$V$1858,$V1731)/SUMIFS('Comp2016-2017 (3)'!$G$5:$G$289,'Comp2016-2017 (3)'!$A$5:$A$289,$D1731,'Comp2016-2017 (3)'!$R$5:$R$289,$V1731)*$AB1731))</f>
        <v/>
      </c>
      <c r="AI1731" s="205" t="str">
        <f>IF($W1731=AI$3,$AB1731,IF(NOT($W1731=0),"",SUMIFS('Val-Vol (2)'!AI$4:AI$1858,'Val-Vol (2)'!$A$4:$A$1858,$D1731,'Val-Vol (2)'!$V$4:$V$1858,$V1731)/SUMIFS('Comp2016-2017 (3)'!$G$5:$G$289,'Comp2016-2017 (3)'!$A$5:$A$289,$D1731,'Comp2016-2017 (3)'!$R$5:$R$289,$V1731)*$AB1731))</f>
        <v/>
      </c>
      <c r="AJ1731" s="205" t="str">
        <f>IF($W1731=AJ$3,$AB1731,IF(NOT($W1731=0),"",SUMIFS('Val-Vol (2)'!AJ$4:AJ$1858,'Val-Vol (2)'!$A$4:$A$1858,$D1731,'Val-Vol (2)'!$V$4:$V$1858,$V1731)/SUMIFS('Comp2016-2017 (3)'!$G$5:$G$289,'Comp2016-2017 (3)'!$A$5:$A$289,$D1731,'Comp2016-2017 (3)'!$R$5:$R$289,$V1731)*$AB1731))</f>
        <v/>
      </c>
      <c r="AK1731" s="205">
        <f t="shared" si="192"/>
        <v>0</v>
      </c>
      <c r="AL1731" s="218" t="str">
        <f t="shared" si="194"/>
        <v/>
      </c>
      <c r="AM1731" s="218" t="str">
        <f>VLOOKUP(A1731,'Table corresp.'!$M$4:$U$63,8,FALSE)</f>
        <v>Production finale</v>
      </c>
      <c r="AN1731" s="218" t="str">
        <f>VLOOKUP(D1731,'Table corresp.'!$M$4:$U$63,9,FALSE)</f>
        <v xml:space="preserve">Mise en œuvre </v>
      </c>
    </row>
    <row r="1732" spans="1:40" x14ac:dyDescent="0.25">
      <c r="A1732" t="s">
        <v>15</v>
      </c>
      <c r="B1732" t="str">
        <f>VLOOKUP(LEFT(A1732,3),'Table corresp.'!$A$4:$D$63,3,FALSE)</f>
        <v>Transformation</v>
      </c>
      <c r="C1732" t="str">
        <f>VLOOKUP(A1732,'Table corresp.'!$M$4:$P$63,4,FALSE)</f>
        <v>Production et transformation de produits bois</v>
      </c>
      <c r="D1732" t="s">
        <v>54</v>
      </c>
      <c r="E1732" t="str">
        <f>VLOOKUP(LEFT(D1732,3),'Table corresp.'!$A$4:$D$63,4,FALSE)</f>
        <v>Consommation finale</v>
      </c>
      <c r="F1732" t="str">
        <f t="shared" si="195"/>
        <v>35  - Con</v>
      </c>
      <c r="G1732" s="238">
        <v>54495.8811341127</v>
      </c>
      <c r="H1732" s="238">
        <v>18103.794396551599</v>
      </c>
      <c r="I1732" s="238">
        <v>72599.675530664405</v>
      </c>
      <c r="J1732" s="238">
        <v>43.687149280766896</v>
      </c>
      <c r="K1732" s="238">
        <v>23.629766016688784</v>
      </c>
      <c r="L1732" s="238">
        <v>67.316915297455679</v>
      </c>
      <c r="M1732" s="238">
        <v>2.2794893281065107</v>
      </c>
      <c r="N1732" s="238">
        <v>1.2329437911942063</v>
      </c>
      <c r="O1732" s="238">
        <v>3.512433119300717</v>
      </c>
      <c r="P1732" s="238">
        <v>0.90487636039107655</v>
      </c>
      <c r="Q1732" s="238">
        <v>0.4894349258784767</v>
      </c>
      <c r="R1732" s="238">
        <v>1.3943112862695533</v>
      </c>
      <c r="S1732" s="238" t="s">
        <v>192</v>
      </c>
      <c r="T1732" s="218">
        <f>VLOOKUP(A1732,'Groupe de branches'!$Z$27:$AM$86,14,FALSE)</f>
        <v>0</v>
      </c>
      <c r="U1732" s="218">
        <f>VLOOKUP(D1732,'Groupe de branches'!$Z$27:$AM$86,14,FALSE)</f>
        <v>0</v>
      </c>
      <c r="V1732" s="218">
        <v>2020</v>
      </c>
      <c r="W1732" s="218" t="str">
        <f>VLOOKUP(D1732,'Table corresp.'!$M$4:$S$63,7,FALSE)</f>
        <v>Consommation finale</v>
      </c>
      <c r="X1732" s="240">
        <f>IFERROR(G1732/SUMIFS('Comp2016-2017 (3)'!$I$5:$I$289,'Comp2016-2017 (3)'!$A$5:$A$289,A1732,'Comp2016-2017 (3)'!$R$5:$R$289,V1732),0)</f>
        <v>9.4530754044880663E-2</v>
      </c>
      <c r="Y1732" s="219" t="e">
        <f>IF(RIGHT(F1732,3)="Exp",VLOOKUP(F1732,#REF!,2,FALSE),VLOOKUP(F1732,#REF!,9,FALSE))</f>
        <v>#REF!</v>
      </c>
      <c r="Z1732" s="226" t="str">
        <f t="shared" si="196"/>
        <v/>
      </c>
      <c r="AA1732" s="226" t="e">
        <f t="shared" si="193"/>
        <v>#VALUE!</v>
      </c>
      <c r="AB1732" s="205">
        <f>IFERROR(SUMIFS('Comp2016-2017 (3)'!$G$5:$G$289,'Comp2016-2017 (3)'!$A$5:$A$289,A1732,'Comp2016-2017 (3)'!$R$5:$R$289,V1732)*AA1732/SUMIFS($AA$4:$AA$1858,$A$4:$A$1858,A1732,$V$4:$V$1858,V1732),0)</f>
        <v>0</v>
      </c>
      <c r="AC1732" s="205" t="str">
        <f>IF($W1732=AC$3,$AB1732,IF(NOT($W1732=0),"",SUMIFS('Val-Vol (2)'!AC$4:AC$1858,'Val-Vol (2)'!$A$4:$A$1858,$D1732,'Val-Vol (2)'!$V$4:$V$1858,$V1732)/SUMIFS('Comp2016-2017 (3)'!$G$5:$G$289,'Comp2016-2017 (3)'!$A$5:$A$289,$D1732,'Comp2016-2017 (3)'!$R$5:$R$289,$V1732)*$AB1732))</f>
        <v/>
      </c>
      <c r="AD1732" s="205" t="str">
        <f>IF($W1732=AD$3,$AB1732,IF(NOT($W1732=0),"",SUMIFS('Val-Vol (2)'!AD$4:AD$1858,'Val-Vol (2)'!$A$4:$A$1858,$D1732,'Val-Vol (2)'!$V$4:$V$1858,$V1732)/SUMIFS('Comp2016-2017 (3)'!$G$5:$G$289,'Comp2016-2017 (3)'!$A$5:$A$289,$D1732,'Comp2016-2017 (3)'!$R$5:$R$289,$V1732)*$AB1732))</f>
        <v/>
      </c>
      <c r="AE1732" s="205" t="str">
        <f>IF($W1732=AE$3,$AB1732,IF(NOT($W1732=0),"",SUMIFS('Val-Vol (2)'!AE$4:AE$1858,'Val-Vol (2)'!$A$4:$A$1858,$D1732,'Val-Vol (2)'!$V$4:$V$1858,$V1732)/SUMIFS('Comp2016-2017 (3)'!$G$5:$G$289,'Comp2016-2017 (3)'!$A$5:$A$289,$D1732,'Comp2016-2017 (3)'!$R$5:$R$289,$V1732)*$AB1732))</f>
        <v/>
      </c>
      <c r="AF1732" s="205" t="str">
        <f>IF($W1732=AF$3,$AB1732,IF(NOT($W1732=0),"",SUMIFS('Val-Vol (2)'!AF$4:AF$1858,'Val-Vol (2)'!$A$4:$A$1858,$D1732,'Val-Vol (2)'!$V$4:$V$1858,$V1732)/SUMIFS('Comp2016-2017 (3)'!$G$5:$G$289,'Comp2016-2017 (3)'!$A$5:$A$289,$D1732,'Comp2016-2017 (3)'!$R$5:$R$289,$V1732)*$AB1732))</f>
        <v/>
      </c>
      <c r="AG1732" s="205" t="str">
        <f>IF($W1732=AG$3,$AB1732,IF(NOT($W1732=0),"",SUMIFS('Val-Vol (2)'!AG$4:AG$1858,'Val-Vol (2)'!$A$4:$A$1858,$D1732,'Val-Vol (2)'!$V$4:$V$1858,$V1732)/SUMIFS('Comp2016-2017 (3)'!$G$5:$G$289,'Comp2016-2017 (3)'!$A$5:$A$289,$D1732,'Comp2016-2017 (3)'!$R$5:$R$289,$V1732)*$AB1732))</f>
        <v/>
      </c>
      <c r="AH1732" s="205" t="str">
        <f>IF($W1732=AH$3,$AB1732,IF(NOT($W1732=0),"",SUMIFS('Val-Vol (2)'!AH$4:AH$1858,'Val-Vol (2)'!$A$4:$A$1858,$D1732,'Val-Vol (2)'!$V$4:$V$1858,$V1732)/SUMIFS('Comp2016-2017 (3)'!$G$5:$G$289,'Comp2016-2017 (3)'!$A$5:$A$289,$D1732,'Comp2016-2017 (3)'!$R$5:$R$289,$V1732)*$AB1732))</f>
        <v/>
      </c>
      <c r="AI1732" s="205" t="str">
        <f>IF($W1732=AI$3,$AB1732,IF(NOT($W1732=0),"",SUMIFS('Val-Vol (2)'!AI$4:AI$1858,'Val-Vol (2)'!$A$4:$A$1858,$D1732,'Val-Vol (2)'!$V$4:$V$1858,$V1732)/SUMIFS('Comp2016-2017 (3)'!$G$5:$G$289,'Comp2016-2017 (3)'!$A$5:$A$289,$D1732,'Comp2016-2017 (3)'!$R$5:$R$289,$V1732)*$AB1732))</f>
        <v/>
      </c>
      <c r="AJ1732" s="205">
        <f>IF($W1732=AJ$3,$AB1732,IF(NOT($W1732=0),"",SUMIFS('Val-Vol (2)'!AJ$4:AJ$1858,'Val-Vol (2)'!$A$4:$A$1858,$D1732,'Val-Vol (2)'!$V$4:$V$1858,$V1732)/SUMIFS('Comp2016-2017 (3)'!$G$5:$G$289,'Comp2016-2017 (3)'!$A$5:$A$289,$D1732,'Comp2016-2017 (3)'!$R$5:$R$289,$V1732)*$AB1732))</f>
        <v>0</v>
      </c>
      <c r="AK1732" s="205">
        <f t="shared" si="192"/>
        <v>0</v>
      </c>
      <c r="AL1732" s="218" t="str">
        <f t="shared" si="194"/>
        <v/>
      </c>
      <c r="AM1732" s="218" t="str">
        <f>VLOOKUP(A1732,'Table corresp.'!$M$4:$U$63,8,FALSE)</f>
        <v>Production finale</v>
      </c>
      <c r="AN1732" s="218" t="str">
        <f>VLOOKUP(D1732,'Table corresp.'!$M$4:$U$63,9,FALSE)</f>
        <v>Consommation finale française</v>
      </c>
    </row>
    <row r="1733" spans="1:40" x14ac:dyDescent="0.25">
      <c r="A1733" t="s">
        <v>15</v>
      </c>
      <c r="B1733" t="str">
        <f>VLOOKUP(LEFT(A1733,3),'Table corresp.'!$A$4:$D$63,3,FALSE)</f>
        <v>Transformation</v>
      </c>
      <c r="C1733" t="str">
        <f>VLOOKUP(A1733,'Table corresp.'!$M$4:$P$63,4,FALSE)</f>
        <v>Production et transformation de produits bois</v>
      </c>
      <c r="D1733" t="s">
        <v>53</v>
      </c>
      <c r="E1733" t="str">
        <f>VLOOKUP(LEFT(D1733,3),'Table corresp.'!$A$4:$D$63,4,FALSE)</f>
        <v>Exportation</v>
      </c>
      <c r="F1733" t="str">
        <f t="shared" si="195"/>
        <v>35  - Exp</v>
      </c>
      <c r="G1733" s="238">
        <v>3771.477018</v>
      </c>
      <c r="H1733" s="238">
        <v>0</v>
      </c>
      <c r="I1733" s="238">
        <v>3771.477018</v>
      </c>
      <c r="J1733" s="238">
        <v>2.2659923199846714</v>
      </c>
      <c r="K1733" s="238">
        <v>0</v>
      </c>
      <c r="L1733" s="238">
        <v>2.2659923199846714</v>
      </c>
      <c r="M1733" s="238">
        <v>0.1182339748876766</v>
      </c>
      <c r="N1733" s="238">
        <v>0</v>
      </c>
      <c r="O1733" s="238">
        <v>0.1182339748876766</v>
      </c>
      <c r="P1733" s="238">
        <v>4.6934691710007297E-2</v>
      </c>
      <c r="Q1733" s="238">
        <v>0</v>
      </c>
      <c r="R1733" s="238">
        <v>4.6934691710007297E-2</v>
      </c>
      <c r="S1733" s="238"/>
      <c r="T1733" s="218">
        <f>VLOOKUP(A1733,'Groupe de branches'!$Z$27:$AM$86,14,FALSE)</f>
        <v>0</v>
      </c>
      <c r="U1733" s="218">
        <f>VLOOKUP(D1733,'Groupe de branches'!$Z$27:$AM$86,14,FALSE)</f>
        <v>0</v>
      </c>
      <c r="V1733" s="218">
        <v>2020</v>
      </c>
      <c r="W1733" s="218" t="str">
        <f>VLOOKUP(D1733,'Table corresp.'!$M$4:$S$63,7,FALSE)</f>
        <v>Exportation</v>
      </c>
      <c r="X1733" s="240">
        <f>IFERROR(G1733/SUMIFS('Comp2016-2017 (3)'!$I$5:$I$289,'Comp2016-2017 (3)'!$A$5:$A$289,A1733,'Comp2016-2017 (3)'!$R$5:$R$289,V1733),0)</f>
        <v>6.542156195201097E-3</v>
      </c>
      <c r="Y1733" s="219" t="e">
        <f>IF(RIGHT(F1733,3)="Exp",VLOOKUP(F1733,#REF!,2,FALSE),VLOOKUP(F1733,#REF!,9,FALSE))</f>
        <v>#REF!</v>
      </c>
      <c r="Z1733" s="226" t="str">
        <f t="shared" si="196"/>
        <v/>
      </c>
      <c r="AA1733" s="226" t="e">
        <f t="shared" si="193"/>
        <v>#VALUE!</v>
      </c>
      <c r="AB1733" s="205">
        <f>IFERROR(SUMIFS('Comp2016-2017 (3)'!$G$5:$G$289,'Comp2016-2017 (3)'!$A$5:$A$289,A1733,'Comp2016-2017 (3)'!$R$5:$R$289,V1733)*AA1733/SUMIFS($AA$4:$AA$1858,$A$4:$A$1858,A1733,$V$4:$V$1858,V1733),0)</f>
        <v>0</v>
      </c>
      <c r="AC1733" s="205">
        <f>IF($W1733=AC$3,$AB1733,IF(NOT($W1733=0),"",SUMIFS('Val-Vol (2)'!AC$4:AC$1858,'Val-Vol (2)'!$A$4:$A$1858,$D1733,'Val-Vol (2)'!$V$4:$V$1858,$V1733)/SUMIFS('Comp2016-2017 (3)'!$G$5:$G$289,'Comp2016-2017 (3)'!$A$5:$A$289,$D1733,'Comp2016-2017 (3)'!$R$5:$R$289,$V1733)*$AB1733))</f>
        <v>0</v>
      </c>
      <c r="AD1733" s="205" t="str">
        <f>IF($W1733=AD$3,$AB1733,IF(NOT($W1733=0),"",SUMIFS('Val-Vol (2)'!AD$4:AD$1858,'Val-Vol (2)'!$A$4:$A$1858,$D1733,'Val-Vol (2)'!$V$4:$V$1858,$V1733)/SUMIFS('Comp2016-2017 (3)'!$G$5:$G$289,'Comp2016-2017 (3)'!$A$5:$A$289,$D1733,'Comp2016-2017 (3)'!$R$5:$R$289,$V1733)*$AB1733))</f>
        <v/>
      </c>
      <c r="AE1733" s="205" t="str">
        <f>IF($W1733=AE$3,$AB1733,IF(NOT($W1733=0),"",SUMIFS('Val-Vol (2)'!AE$4:AE$1858,'Val-Vol (2)'!$A$4:$A$1858,$D1733,'Val-Vol (2)'!$V$4:$V$1858,$V1733)/SUMIFS('Comp2016-2017 (3)'!$G$5:$G$289,'Comp2016-2017 (3)'!$A$5:$A$289,$D1733,'Comp2016-2017 (3)'!$R$5:$R$289,$V1733)*$AB1733))</f>
        <v/>
      </c>
      <c r="AF1733" s="205" t="str">
        <f>IF($W1733=AF$3,$AB1733,IF(NOT($W1733=0),"",SUMIFS('Val-Vol (2)'!AF$4:AF$1858,'Val-Vol (2)'!$A$4:$A$1858,$D1733,'Val-Vol (2)'!$V$4:$V$1858,$V1733)/SUMIFS('Comp2016-2017 (3)'!$G$5:$G$289,'Comp2016-2017 (3)'!$A$5:$A$289,$D1733,'Comp2016-2017 (3)'!$R$5:$R$289,$V1733)*$AB1733))</f>
        <v/>
      </c>
      <c r="AG1733" s="205" t="str">
        <f>IF($W1733=AG$3,$AB1733,IF(NOT($W1733=0),"",SUMIFS('Val-Vol (2)'!AG$4:AG$1858,'Val-Vol (2)'!$A$4:$A$1858,$D1733,'Val-Vol (2)'!$V$4:$V$1858,$V1733)/SUMIFS('Comp2016-2017 (3)'!$G$5:$G$289,'Comp2016-2017 (3)'!$A$5:$A$289,$D1733,'Comp2016-2017 (3)'!$R$5:$R$289,$V1733)*$AB1733))</f>
        <v/>
      </c>
      <c r="AH1733" s="205" t="str">
        <f>IF($W1733=AH$3,$AB1733,IF(NOT($W1733=0),"",SUMIFS('Val-Vol (2)'!AH$4:AH$1858,'Val-Vol (2)'!$A$4:$A$1858,$D1733,'Val-Vol (2)'!$V$4:$V$1858,$V1733)/SUMIFS('Comp2016-2017 (3)'!$G$5:$G$289,'Comp2016-2017 (3)'!$A$5:$A$289,$D1733,'Comp2016-2017 (3)'!$R$5:$R$289,$V1733)*$AB1733))</f>
        <v/>
      </c>
      <c r="AI1733" s="205" t="str">
        <f>IF($W1733=AI$3,$AB1733,IF(NOT($W1733=0),"",SUMIFS('Val-Vol (2)'!AI$4:AI$1858,'Val-Vol (2)'!$A$4:$A$1858,$D1733,'Val-Vol (2)'!$V$4:$V$1858,$V1733)/SUMIFS('Comp2016-2017 (3)'!$G$5:$G$289,'Comp2016-2017 (3)'!$A$5:$A$289,$D1733,'Comp2016-2017 (3)'!$R$5:$R$289,$V1733)*$AB1733))</f>
        <v/>
      </c>
      <c r="AJ1733" s="205" t="str">
        <f>IF($W1733=AJ$3,$AB1733,IF(NOT($W1733=0),"",SUMIFS('Val-Vol (2)'!AJ$4:AJ$1858,'Val-Vol (2)'!$A$4:$A$1858,$D1733,'Val-Vol (2)'!$V$4:$V$1858,$V1733)/SUMIFS('Comp2016-2017 (3)'!$G$5:$G$289,'Comp2016-2017 (3)'!$A$5:$A$289,$D1733,'Comp2016-2017 (3)'!$R$5:$R$289,$V1733)*$AB1733))</f>
        <v/>
      </c>
      <c r="AK1733" s="205">
        <f t="shared" si="192"/>
        <v>0</v>
      </c>
      <c r="AL1733" s="218" t="str">
        <f t="shared" si="194"/>
        <v/>
      </c>
      <c r="AM1733" s="218" t="str">
        <f>VLOOKUP(A1733,'Table corresp.'!$M$4:$U$63,8,FALSE)</f>
        <v>Production finale</v>
      </c>
      <c r="AN1733" s="218" t="str">
        <f>VLOOKUP(D1733,'Table corresp.'!$M$4:$U$63,9,FALSE)</f>
        <v>Exportation</v>
      </c>
    </row>
    <row r="1734" spans="1:40" x14ac:dyDescent="0.25">
      <c r="A1734" t="s">
        <v>16</v>
      </c>
      <c r="B1734" t="str">
        <f>VLOOKUP(LEFT(A1734,3),'Table corresp.'!$A$4:$D$63,3,FALSE)</f>
        <v>Transformation</v>
      </c>
      <c r="C1734" t="str">
        <f>VLOOKUP(A1734,'Table corresp.'!$M$4:$P$63,4,FALSE)</f>
        <v>Production et transformation de produits bois</v>
      </c>
      <c r="D1734" t="s">
        <v>21</v>
      </c>
      <c r="E1734" t="str">
        <f>VLOOKUP(LEFT(D1734,3),'Table corresp.'!$A$4:$D$63,4,FALSE)</f>
        <v>Transformation</v>
      </c>
      <c r="F1734" t="str">
        <f t="shared" si="195"/>
        <v xml:space="preserve">36  - 54 </v>
      </c>
      <c r="G1734" s="238">
        <v>115658.794911351</v>
      </c>
      <c r="H1734" s="238">
        <v>40784.341767078498</v>
      </c>
      <c r="I1734" s="238">
        <v>156443.136678429</v>
      </c>
      <c r="J1734" s="238">
        <v>55.527864799416704</v>
      </c>
      <c r="K1734" s="238">
        <v>21.296017438480913</v>
      </c>
      <c r="L1734" s="238">
        <v>76.823882237897621</v>
      </c>
      <c r="M1734" s="238">
        <v>37.862783638131091</v>
      </c>
      <c r="N1734" s="238">
        <v>14.521114822976942</v>
      </c>
      <c r="O1734" s="238">
        <v>52.383898461108032</v>
      </c>
      <c r="P1734" s="238">
        <v>14.449209684592397</v>
      </c>
      <c r="Q1734" s="238">
        <v>5.5415532818863102</v>
      </c>
      <c r="R1734" s="238">
        <v>19.990762966478705</v>
      </c>
      <c r="S1734" s="238" t="s">
        <v>192</v>
      </c>
      <c r="T1734" s="218">
        <f>VLOOKUP(A1734,'Groupe de branches'!$Z$27:$AM$86,14,FALSE)</f>
        <v>0</v>
      </c>
      <c r="U1734" s="218">
        <f>VLOOKUP(D1734,'Groupe de branches'!$Z$27:$AM$86,14,FALSE)</f>
        <v>0</v>
      </c>
      <c r="V1734" s="218">
        <v>2020</v>
      </c>
      <c r="W1734" s="218" t="str">
        <f>VLOOKUP(D1734,'Table corresp.'!$M$4:$S$63,7,FALSE)</f>
        <v>Construction</v>
      </c>
      <c r="X1734" s="240">
        <f>IFERROR(G1734/SUMIFS('Comp2016-2017 (3)'!$I$5:$I$289,'Comp2016-2017 (3)'!$A$5:$A$289,A1734,'Comp2016-2017 (3)'!$R$5:$R$289,V1734),0)</f>
        <v>0.21022717879193725</v>
      </c>
      <c r="Y1734" s="219" t="e">
        <f>IF(RIGHT(F1734,3)="Exp",VLOOKUP(F1734,#REF!,2,FALSE),VLOOKUP(F1734,#REF!,9,FALSE))</f>
        <v>#REF!</v>
      </c>
      <c r="Z1734" s="226" t="str">
        <f t="shared" si="196"/>
        <v/>
      </c>
      <c r="AA1734" s="226" t="e">
        <f t="shared" si="193"/>
        <v>#VALUE!</v>
      </c>
      <c r="AB1734" s="205">
        <f>IFERROR(SUMIFS('Comp2016-2017 (3)'!$G$5:$G$289,'Comp2016-2017 (3)'!$A$5:$A$289,A1734,'Comp2016-2017 (3)'!$R$5:$R$289,V1734)*AA1734/SUMIFS($AA$4:$AA$1858,$A$4:$A$1858,A1734,$V$4:$V$1858,V1734),0)</f>
        <v>0</v>
      </c>
      <c r="AC1734" s="205" t="str">
        <f>IF($W1734=AC$3,$AB1734,IF(NOT($W1734=0),"",SUMIFS('Val-Vol (2)'!AC$4:AC$1858,'Val-Vol (2)'!$A$4:$A$1858,$D1734,'Val-Vol (2)'!$V$4:$V$1858,$V1734)/SUMIFS('Comp2016-2017 (3)'!$G$5:$G$289,'Comp2016-2017 (3)'!$A$5:$A$289,$D1734,'Comp2016-2017 (3)'!$R$5:$R$289,$V1734)*$AB1734))</f>
        <v/>
      </c>
      <c r="AD1734" s="205">
        <f>IF($W1734=AD$3,$AB1734,IF(NOT($W1734=0),"",SUMIFS('Val-Vol (2)'!AD$4:AD$1858,'Val-Vol (2)'!$A$4:$A$1858,$D1734,'Val-Vol (2)'!$V$4:$V$1858,$V1734)/SUMIFS('Comp2016-2017 (3)'!$G$5:$G$289,'Comp2016-2017 (3)'!$A$5:$A$289,$D1734,'Comp2016-2017 (3)'!$R$5:$R$289,$V1734)*$AB1734))</f>
        <v>0</v>
      </c>
      <c r="AE1734" s="205" t="str">
        <f>IF($W1734=AE$3,$AB1734,IF(NOT($W1734=0),"",SUMIFS('Val-Vol (2)'!AE$4:AE$1858,'Val-Vol (2)'!$A$4:$A$1858,$D1734,'Val-Vol (2)'!$V$4:$V$1858,$V1734)/SUMIFS('Comp2016-2017 (3)'!$G$5:$G$289,'Comp2016-2017 (3)'!$A$5:$A$289,$D1734,'Comp2016-2017 (3)'!$R$5:$R$289,$V1734)*$AB1734))</f>
        <v/>
      </c>
      <c r="AF1734" s="205" t="str">
        <f>IF($W1734=AF$3,$AB1734,IF(NOT($W1734=0),"",SUMIFS('Val-Vol (2)'!AF$4:AF$1858,'Val-Vol (2)'!$A$4:$A$1858,$D1734,'Val-Vol (2)'!$V$4:$V$1858,$V1734)/SUMIFS('Comp2016-2017 (3)'!$G$5:$G$289,'Comp2016-2017 (3)'!$A$5:$A$289,$D1734,'Comp2016-2017 (3)'!$R$5:$R$289,$V1734)*$AB1734))</f>
        <v/>
      </c>
      <c r="AG1734" s="205" t="str">
        <f>IF($W1734=AG$3,$AB1734,IF(NOT($W1734=0),"",SUMIFS('Val-Vol (2)'!AG$4:AG$1858,'Val-Vol (2)'!$A$4:$A$1858,$D1734,'Val-Vol (2)'!$V$4:$V$1858,$V1734)/SUMIFS('Comp2016-2017 (3)'!$G$5:$G$289,'Comp2016-2017 (3)'!$A$5:$A$289,$D1734,'Comp2016-2017 (3)'!$R$5:$R$289,$V1734)*$AB1734))</f>
        <v/>
      </c>
      <c r="AH1734" s="205" t="str">
        <f>IF($W1734=AH$3,$AB1734,IF(NOT($W1734=0),"",SUMIFS('Val-Vol (2)'!AH$4:AH$1858,'Val-Vol (2)'!$A$4:$A$1858,$D1734,'Val-Vol (2)'!$V$4:$V$1858,$V1734)/SUMIFS('Comp2016-2017 (3)'!$G$5:$G$289,'Comp2016-2017 (3)'!$A$5:$A$289,$D1734,'Comp2016-2017 (3)'!$R$5:$R$289,$V1734)*$AB1734))</f>
        <v/>
      </c>
      <c r="AI1734" s="205" t="str">
        <f>IF($W1734=AI$3,$AB1734,IF(NOT($W1734=0),"",SUMIFS('Val-Vol (2)'!AI$4:AI$1858,'Val-Vol (2)'!$A$4:$A$1858,$D1734,'Val-Vol (2)'!$V$4:$V$1858,$V1734)/SUMIFS('Comp2016-2017 (3)'!$G$5:$G$289,'Comp2016-2017 (3)'!$A$5:$A$289,$D1734,'Comp2016-2017 (3)'!$R$5:$R$289,$V1734)*$AB1734))</f>
        <v/>
      </c>
      <c r="AJ1734" s="205" t="str">
        <f>IF($W1734=AJ$3,$AB1734,IF(NOT($W1734=0),"",SUMIFS('Val-Vol (2)'!AJ$4:AJ$1858,'Val-Vol (2)'!$A$4:$A$1858,$D1734,'Val-Vol (2)'!$V$4:$V$1858,$V1734)/SUMIFS('Comp2016-2017 (3)'!$G$5:$G$289,'Comp2016-2017 (3)'!$A$5:$A$289,$D1734,'Comp2016-2017 (3)'!$R$5:$R$289,$V1734)*$AB1734))</f>
        <v/>
      </c>
      <c r="AK1734" s="205">
        <f t="shared" si="192"/>
        <v>0</v>
      </c>
      <c r="AL1734" s="218" t="str">
        <f t="shared" si="194"/>
        <v/>
      </c>
      <c r="AM1734" s="218" t="str">
        <f>VLOOKUP(A1734,'Table corresp.'!$M$4:$U$63,8,FALSE)</f>
        <v>Production finale</v>
      </c>
      <c r="AN1734" s="218" t="str">
        <f>VLOOKUP(D1734,'Table corresp.'!$M$4:$U$63,9,FALSE)</f>
        <v xml:space="preserve">Mise en œuvre </v>
      </c>
    </row>
    <row r="1735" spans="1:40" x14ac:dyDescent="0.25">
      <c r="A1735" t="s">
        <v>16</v>
      </c>
      <c r="B1735" t="str">
        <f>VLOOKUP(LEFT(A1735,3),'Table corresp.'!$A$4:$D$63,3,FALSE)</f>
        <v>Transformation</v>
      </c>
      <c r="C1735" t="str">
        <f>VLOOKUP(A1735,'Table corresp.'!$M$4:$P$63,4,FALSE)</f>
        <v>Production et transformation de produits bois</v>
      </c>
      <c r="D1735" t="s">
        <v>22</v>
      </c>
      <c r="E1735" t="str">
        <f>VLOOKUP(LEFT(D1735,3),'Table corresp.'!$A$4:$D$63,4,FALSE)</f>
        <v>Transformation</v>
      </c>
      <c r="F1735" t="str">
        <f t="shared" si="195"/>
        <v xml:space="preserve">36  - 55 </v>
      </c>
      <c r="G1735" s="238">
        <v>278167.02752578701</v>
      </c>
      <c r="H1735" s="238">
        <v>18103.9383890922</v>
      </c>
      <c r="I1735" s="238">
        <v>296270.96591487899</v>
      </c>
      <c r="J1735" s="238">
        <v>109.98085080457878</v>
      </c>
      <c r="K1735" s="238">
        <v>7.8776513022477417</v>
      </c>
      <c r="L1735" s="238">
        <v>117.85850210682652</v>
      </c>
      <c r="M1735" s="238">
        <v>74.992639702491942</v>
      </c>
      <c r="N1735" s="238">
        <v>5.3715338760294111</v>
      </c>
      <c r="O1735" s="238">
        <v>80.36417357852136</v>
      </c>
      <c r="P1735" s="238">
        <v>28.61871927374964</v>
      </c>
      <c r="Q1735" s="238">
        <v>2.0498867712535502</v>
      </c>
      <c r="R1735" s="238">
        <v>30.668606045003191</v>
      </c>
      <c r="S1735" s="238" t="s">
        <v>192</v>
      </c>
      <c r="T1735" s="218">
        <f>VLOOKUP(A1735,'Groupe de branches'!$Z$27:$AM$86,14,FALSE)</f>
        <v>0</v>
      </c>
      <c r="U1735" s="218">
        <f>VLOOKUP(D1735,'Groupe de branches'!$Z$27:$AM$86,14,FALSE)</f>
        <v>0</v>
      </c>
      <c r="V1735" s="218">
        <v>2020</v>
      </c>
      <c r="W1735" s="218" t="str">
        <f>VLOOKUP(D1735,'Table corresp.'!$M$4:$S$63,7,FALSE)</f>
        <v>Construction</v>
      </c>
      <c r="X1735" s="240">
        <f>IFERROR(G1735/SUMIFS('Comp2016-2017 (3)'!$I$5:$I$289,'Comp2016-2017 (3)'!$A$5:$A$289,A1735,'Comp2016-2017 (3)'!$R$5:$R$289,V1735),0)</f>
        <v>0.50561022596255822</v>
      </c>
      <c r="Y1735" s="219" t="e">
        <f>IF(RIGHT(F1735,3)="Exp",VLOOKUP(F1735,#REF!,2,FALSE),VLOOKUP(F1735,#REF!,9,FALSE))</f>
        <v>#REF!</v>
      </c>
      <c r="Z1735" s="226" t="str">
        <f t="shared" si="196"/>
        <v/>
      </c>
      <c r="AA1735" s="226" t="e">
        <f t="shared" si="193"/>
        <v>#VALUE!</v>
      </c>
      <c r="AB1735" s="205">
        <f>IFERROR(SUMIFS('Comp2016-2017 (3)'!$G$5:$G$289,'Comp2016-2017 (3)'!$A$5:$A$289,A1735,'Comp2016-2017 (3)'!$R$5:$R$289,V1735)*AA1735/SUMIFS($AA$4:$AA$1858,$A$4:$A$1858,A1735,$V$4:$V$1858,V1735),0)</f>
        <v>0</v>
      </c>
      <c r="AC1735" s="205" t="str">
        <f>IF($W1735=AC$3,$AB1735,IF(NOT($W1735=0),"",SUMIFS('Val-Vol (2)'!AC$4:AC$1858,'Val-Vol (2)'!$A$4:$A$1858,$D1735,'Val-Vol (2)'!$V$4:$V$1858,$V1735)/SUMIFS('Comp2016-2017 (3)'!$G$5:$G$289,'Comp2016-2017 (3)'!$A$5:$A$289,$D1735,'Comp2016-2017 (3)'!$R$5:$R$289,$V1735)*$AB1735))</f>
        <v/>
      </c>
      <c r="AD1735" s="205">
        <f>IF($W1735=AD$3,$AB1735,IF(NOT($W1735=0),"",SUMIFS('Val-Vol (2)'!AD$4:AD$1858,'Val-Vol (2)'!$A$4:$A$1858,$D1735,'Val-Vol (2)'!$V$4:$V$1858,$V1735)/SUMIFS('Comp2016-2017 (3)'!$G$5:$G$289,'Comp2016-2017 (3)'!$A$5:$A$289,$D1735,'Comp2016-2017 (3)'!$R$5:$R$289,$V1735)*$AB1735))</f>
        <v>0</v>
      </c>
      <c r="AE1735" s="205" t="str">
        <f>IF($W1735=AE$3,$AB1735,IF(NOT($W1735=0),"",SUMIFS('Val-Vol (2)'!AE$4:AE$1858,'Val-Vol (2)'!$A$4:$A$1858,$D1735,'Val-Vol (2)'!$V$4:$V$1858,$V1735)/SUMIFS('Comp2016-2017 (3)'!$G$5:$G$289,'Comp2016-2017 (3)'!$A$5:$A$289,$D1735,'Comp2016-2017 (3)'!$R$5:$R$289,$V1735)*$AB1735))</f>
        <v/>
      </c>
      <c r="AF1735" s="205" t="str">
        <f>IF($W1735=AF$3,$AB1735,IF(NOT($W1735=0),"",SUMIFS('Val-Vol (2)'!AF$4:AF$1858,'Val-Vol (2)'!$A$4:$A$1858,$D1735,'Val-Vol (2)'!$V$4:$V$1858,$V1735)/SUMIFS('Comp2016-2017 (3)'!$G$5:$G$289,'Comp2016-2017 (3)'!$A$5:$A$289,$D1735,'Comp2016-2017 (3)'!$R$5:$R$289,$V1735)*$AB1735))</f>
        <v/>
      </c>
      <c r="AG1735" s="205" t="str">
        <f>IF($W1735=AG$3,$AB1735,IF(NOT($W1735=0),"",SUMIFS('Val-Vol (2)'!AG$4:AG$1858,'Val-Vol (2)'!$A$4:$A$1858,$D1735,'Val-Vol (2)'!$V$4:$V$1858,$V1735)/SUMIFS('Comp2016-2017 (3)'!$G$5:$G$289,'Comp2016-2017 (3)'!$A$5:$A$289,$D1735,'Comp2016-2017 (3)'!$R$5:$R$289,$V1735)*$AB1735))</f>
        <v/>
      </c>
      <c r="AH1735" s="205" t="str">
        <f>IF($W1735=AH$3,$AB1735,IF(NOT($W1735=0),"",SUMIFS('Val-Vol (2)'!AH$4:AH$1858,'Val-Vol (2)'!$A$4:$A$1858,$D1735,'Val-Vol (2)'!$V$4:$V$1858,$V1735)/SUMIFS('Comp2016-2017 (3)'!$G$5:$G$289,'Comp2016-2017 (3)'!$A$5:$A$289,$D1735,'Comp2016-2017 (3)'!$R$5:$R$289,$V1735)*$AB1735))</f>
        <v/>
      </c>
      <c r="AI1735" s="205" t="str">
        <f>IF($W1735=AI$3,$AB1735,IF(NOT($W1735=0),"",SUMIFS('Val-Vol (2)'!AI$4:AI$1858,'Val-Vol (2)'!$A$4:$A$1858,$D1735,'Val-Vol (2)'!$V$4:$V$1858,$V1735)/SUMIFS('Comp2016-2017 (3)'!$G$5:$G$289,'Comp2016-2017 (3)'!$A$5:$A$289,$D1735,'Comp2016-2017 (3)'!$R$5:$R$289,$V1735)*$AB1735))</f>
        <v/>
      </c>
      <c r="AJ1735" s="205" t="str">
        <f>IF($W1735=AJ$3,$AB1735,IF(NOT($W1735=0),"",SUMIFS('Val-Vol (2)'!AJ$4:AJ$1858,'Val-Vol (2)'!$A$4:$A$1858,$D1735,'Val-Vol (2)'!$V$4:$V$1858,$V1735)/SUMIFS('Comp2016-2017 (3)'!$G$5:$G$289,'Comp2016-2017 (3)'!$A$5:$A$289,$D1735,'Comp2016-2017 (3)'!$R$5:$R$289,$V1735)*$AB1735))</f>
        <v/>
      </c>
      <c r="AK1735" s="205">
        <f t="shared" si="192"/>
        <v>0</v>
      </c>
      <c r="AL1735" s="218" t="str">
        <f t="shared" si="194"/>
        <v/>
      </c>
      <c r="AM1735" s="218" t="str">
        <f>VLOOKUP(A1735,'Table corresp.'!$M$4:$U$63,8,FALSE)</f>
        <v>Production finale</v>
      </c>
      <c r="AN1735" s="218" t="str">
        <f>VLOOKUP(D1735,'Table corresp.'!$M$4:$U$63,9,FALSE)</f>
        <v xml:space="preserve">Mise en œuvre </v>
      </c>
    </row>
    <row r="1736" spans="1:40" x14ac:dyDescent="0.25">
      <c r="A1736" t="s">
        <v>16</v>
      </c>
      <c r="B1736" t="str">
        <f>VLOOKUP(LEFT(A1736,3),'Table corresp.'!$A$4:$D$63,3,FALSE)</f>
        <v>Transformation</v>
      </c>
      <c r="C1736" t="str">
        <f>VLOOKUP(A1736,'Table corresp.'!$M$4:$P$63,4,FALSE)</f>
        <v>Production et transformation de produits bois</v>
      </c>
      <c r="D1736" t="s">
        <v>54</v>
      </c>
      <c r="E1736" t="str">
        <f>VLOOKUP(LEFT(D1736,3),'Table corresp.'!$A$4:$D$63,4,FALSE)</f>
        <v>Consommation finale</v>
      </c>
      <c r="F1736" t="str">
        <f t="shared" si="195"/>
        <v>36  - Con</v>
      </c>
      <c r="G1736" s="238">
        <v>130042.387480862</v>
      </c>
      <c r="H1736" s="238">
        <v>29856.465843829301</v>
      </c>
      <c r="I1736" s="238">
        <v>159898.853324692</v>
      </c>
      <c r="J1736" s="238">
        <v>96.501552635356845</v>
      </c>
      <c r="K1736" s="238">
        <v>19.877122735934964</v>
      </c>
      <c r="L1736" s="238">
        <v>116.37867537129181</v>
      </c>
      <c r="M1736" s="238">
        <v>65.801511031892176</v>
      </c>
      <c r="N1736" s="238">
        <v>13.553613131315426</v>
      </c>
      <c r="O1736" s="238">
        <v>79.355124163207606</v>
      </c>
      <c r="P1736" s="238">
        <v>25.111197305242829</v>
      </c>
      <c r="Q1736" s="238">
        <v>5.172334923652965</v>
      </c>
      <c r="R1736" s="238">
        <v>30.283532228895794</v>
      </c>
      <c r="S1736" s="238" t="s">
        <v>192</v>
      </c>
      <c r="T1736" s="218">
        <f>VLOOKUP(A1736,'Groupe de branches'!$Z$27:$AM$86,14,FALSE)</f>
        <v>0</v>
      </c>
      <c r="U1736" s="218">
        <f>VLOOKUP(D1736,'Groupe de branches'!$Z$27:$AM$86,14,FALSE)</f>
        <v>0</v>
      </c>
      <c r="V1736" s="218">
        <v>2020</v>
      </c>
      <c r="W1736" s="218" t="str">
        <f>VLOOKUP(D1736,'Table corresp.'!$M$4:$S$63,7,FALSE)</f>
        <v>Consommation finale</v>
      </c>
      <c r="X1736" s="240">
        <f>IFERROR(G1736/SUMIFS('Comp2016-2017 (3)'!$I$5:$I$289,'Comp2016-2017 (3)'!$A$5:$A$289,A1736,'Comp2016-2017 (3)'!$R$5:$R$289,V1736),0)</f>
        <v>0.23637151212256413</v>
      </c>
      <c r="Y1736" s="219" t="e">
        <f>IF(RIGHT(F1736,3)="Exp",VLOOKUP(F1736,#REF!,2,FALSE),VLOOKUP(F1736,#REF!,9,FALSE))</f>
        <v>#REF!</v>
      </c>
      <c r="Z1736" s="226" t="str">
        <f t="shared" si="196"/>
        <v/>
      </c>
      <c r="AA1736" s="226" t="e">
        <f t="shared" si="193"/>
        <v>#VALUE!</v>
      </c>
      <c r="AB1736" s="205">
        <f>IFERROR(SUMIFS('Comp2016-2017 (3)'!$G$5:$G$289,'Comp2016-2017 (3)'!$A$5:$A$289,A1736,'Comp2016-2017 (3)'!$R$5:$R$289,V1736)*AA1736/SUMIFS($AA$4:$AA$1858,$A$4:$A$1858,A1736,$V$4:$V$1858,V1736),0)</f>
        <v>0</v>
      </c>
      <c r="AC1736" s="205" t="str">
        <f>IF($W1736=AC$3,$AB1736,IF(NOT($W1736=0),"",SUMIFS('Val-Vol (2)'!AC$4:AC$1858,'Val-Vol (2)'!$A$4:$A$1858,$D1736,'Val-Vol (2)'!$V$4:$V$1858,$V1736)/SUMIFS('Comp2016-2017 (3)'!$G$5:$G$289,'Comp2016-2017 (3)'!$A$5:$A$289,$D1736,'Comp2016-2017 (3)'!$R$5:$R$289,$V1736)*$AB1736))</f>
        <v/>
      </c>
      <c r="AD1736" s="205" t="str">
        <f>IF($W1736=AD$3,$AB1736,IF(NOT($W1736=0),"",SUMIFS('Val-Vol (2)'!AD$4:AD$1858,'Val-Vol (2)'!$A$4:$A$1858,$D1736,'Val-Vol (2)'!$V$4:$V$1858,$V1736)/SUMIFS('Comp2016-2017 (3)'!$G$5:$G$289,'Comp2016-2017 (3)'!$A$5:$A$289,$D1736,'Comp2016-2017 (3)'!$R$5:$R$289,$V1736)*$AB1736))</f>
        <v/>
      </c>
      <c r="AE1736" s="205" t="str">
        <f>IF($W1736=AE$3,$AB1736,IF(NOT($W1736=0),"",SUMIFS('Val-Vol (2)'!AE$4:AE$1858,'Val-Vol (2)'!$A$4:$A$1858,$D1736,'Val-Vol (2)'!$V$4:$V$1858,$V1736)/SUMIFS('Comp2016-2017 (3)'!$G$5:$G$289,'Comp2016-2017 (3)'!$A$5:$A$289,$D1736,'Comp2016-2017 (3)'!$R$5:$R$289,$V1736)*$AB1736))</f>
        <v/>
      </c>
      <c r="AF1736" s="205" t="str">
        <f>IF($W1736=AF$3,$AB1736,IF(NOT($W1736=0),"",SUMIFS('Val-Vol (2)'!AF$4:AF$1858,'Val-Vol (2)'!$A$4:$A$1858,$D1736,'Val-Vol (2)'!$V$4:$V$1858,$V1736)/SUMIFS('Comp2016-2017 (3)'!$G$5:$G$289,'Comp2016-2017 (3)'!$A$5:$A$289,$D1736,'Comp2016-2017 (3)'!$R$5:$R$289,$V1736)*$AB1736))</f>
        <v/>
      </c>
      <c r="AG1736" s="205" t="str">
        <f>IF($W1736=AG$3,$AB1736,IF(NOT($W1736=0),"",SUMIFS('Val-Vol (2)'!AG$4:AG$1858,'Val-Vol (2)'!$A$4:$A$1858,$D1736,'Val-Vol (2)'!$V$4:$V$1858,$V1736)/SUMIFS('Comp2016-2017 (3)'!$G$5:$G$289,'Comp2016-2017 (3)'!$A$5:$A$289,$D1736,'Comp2016-2017 (3)'!$R$5:$R$289,$V1736)*$AB1736))</f>
        <v/>
      </c>
      <c r="AH1736" s="205" t="str">
        <f>IF($W1736=AH$3,$AB1736,IF(NOT($W1736=0),"",SUMIFS('Val-Vol (2)'!AH$4:AH$1858,'Val-Vol (2)'!$A$4:$A$1858,$D1736,'Val-Vol (2)'!$V$4:$V$1858,$V1736)/SUMIFS('Comp2016-2017 (3)'!$G$5:$G$289,'Comp2016-2017 (3)'!$A$5:$A$289,$D1736,'Comp2016-2017 (3)'!$R$5:$R$289,$V1736)*$AB1736))</f>
        <v/>
      </c>
      <c r="AI1736" s="205" t="str">
        <f>IF($W1736=AI$3,$AB1736,IF(NOT($W1736=0),"",SUMIFS('Val-Vol (2)'!AI$4:AI$1858,'Val-Vol (2)'!$A$4:$A$1858,$D1736,'Val-Vol (2)'!$V$4:$V$1858,$V1736)/SUMIFS('Comp2016-2017 (3)'!$G$5:$G$289,'Comp2016-2017 (3)'!$A$5:$A$289,$D1736,'Comp2016-2017 (3)'!$R$5:$R$289,$V1736)*$AB1736))</f>
        <v/>
      </c>
      <c r="AJ1736" s="205">
        <f>IF($W1736=AJ$3,$AB1736,IF(NOT($W1736=0),"",SUMIFS('Val-Vol (2)'!AJ$4:AJ$1858,'Val-Vol (2)'!$A$4:$A$1858,$D1736,'Val-Vol (2)'!$V$4:$V$1858,$V1736)/SUMIFS('Comp2016-2017 (3)'!$G$5:$G$289,'Comp2016-2017 (3)'!$A$5:$A$289,$D1736,'Comp2016-2017 (3)'!$R$5:$R$289,$V1736)*$AB1736))</f>
        <v>0</v>
      </c>
      <c r="AK1736" s="205">
        <f t="shared" si="192"/>
        <v>0</v>
      </c>
      <c r="AL1736" s="218" t="str">
        <f t="shared" si="194"/>
        <v/>
      </c>
      <c r="AM1736" s="218" t="str">
        <f>VLOOKUP(A1736,'Table corresp.'!$M$4:$U$63,8,FALSE)</f>
        <v>Production finale</v>
      </c>
      <c r="AN1736" s="218" t="str">
        <f>VLOOKUP(D1736,'Table corresp.'!$M$4:$U$63,9,FALSE)</f>
        <v>Consommation finale française</v>
      </c>
    </row>
    <row r="1737" spans="1:40" x14ac:dyDescent="0.25">
      <c r="A1737" t="s">
        <v>16</v>
      </c>
      <c r="B1737" t="str">
        <f>VLOOKUP(LEFT(A1737,3),'Table corresp.'!$A$4:$D$63,3,FALSE)</f>
        <v>Transformation</v>
      </c>
      <c r="C1737" t="str">
        <f>VLOOKUP(A1737,'Table corresp.'!$M$4:$P$63,4,FALSE)</f>
        <v>Production et transformation de produits bois</v>
      </c>
      <c r="D1737" t="s">
        <v>53</v>
      </c>
      <c r="E1737" t="str">
        <f>VLOOKUP(LEFT(D1737,3),'Table corresp.'!$A$4:$D$63,4,FALSE)</f>
        <v>Exportation</v>
      </c>
      <c r="F1737" t="str">
        <f t="shared" si="195"/>
        <v>36  - Exp</v>
      </c>
      <c r="G1737" s="238">
        <v>26292.790082</v>
      </c>
      <c r="H1737" s="238">
        <v>0</v>
      </c>
      <c r="I1737" s="238">
        <v>26292.790082</v>
      </c>
      <c r="J1737" s="238">
        <v>17.672460547323556</v>
      </c>
      <c r="K1737" s="238">
        <v>0</v>
      </c>
      <c r="L1737" s="238">
        <v>17.672460547323556</v>
      </c>
      <c r="M1737" s="238">
        <v>12.050320185618743</v>
      </c>
      <c r="N1737" s="238">
        <v>0</v>
      </c>
      <c r="O1737" s="238">
        <v>12.050320185618743</v>
      </c>
      <c r="P1737" s="238">
        <v>4.5986477062169859</v>
      </c>
      <c r="Q1737" s="238">
        <v>0</v>
      </c>
      <c r="R1737" s="238">
        <v>4.5986477062169859</v>
      </c>
      <c r="S1737" s="238" t="s">
        <v>192</v>
      </c>
      <c r="T1737" s="218">
        <f>VLOOKUP(A1737,'Groupe de branches'!$Z$27:$AM$86,14,FALSE)</f>
        <v>0</v>
      </c>
      <c r="U1737" s="218">
        <f>VLOOKUP(D1737,'Groupe de branches'!$Z$27:$AM$86,14,FALSE)</f>
        <v>0</v>
      </c>
      <c r="V1737" s="218">
        <v>2020</v>
      </c>
      <c r="W1737" s="218" t="str">
        <f>VLOOKUP(D1737,'Table corresp.'!$M$4:$S$63,7,FALSE)</f>
        <v>Exportation</v>
      </c>
      <c r="X1737" s="240">
        <f>IFERROR(G1737/SUMIFS('Comp2016-2017 (3)'!$I$5:$I$289,'Comp2016-2017 (3)'!$A$5:$A$289,A1737,'Comp2016-2017 (3)'!$R$5:$R$289,V1737),0)</f>
        <v>4.7791083122940378E-2</v>
      </c>
      <c r="Y1737" s="219" t="e">
        <f>IF(RIGHT(F1737,3)="Exp",VLOOKUP(F1737,#REF!,2,FALSE),VLOOKUP(F1737,#REF!,9,FALSE))</f>
        <v>#REF!</v>
      </c>
      <c r="Z1737" s="226" t="str">
        <f t="shared" si="196"/>
        <v/>
      </c>
      <c r="AA1737" s="226" t="e">
        <f t="shared" si="193"/>
        <v>#VALUE!</v>
      </c>
      <c r="AB1737" s="205">
        <f>IFERROR(SUMIFS('Comp2016-2017 (3)'!$G$5:$G$289,'Comp2016-2017 (3)'!$A$5:$A$289,A1737,'Comp2016-2017 (3)'!$R$5:$R$289,V1737)*AA1737/SUMIFS($AA$4:$AA$1858,$A$4:$A$1858,A1737,$V$4:$V$1858,V1737),0)</f>
        <v>0</v>
      </c>
      <c r="AC1737" s="205">
        <f>IF($W1737=AC$3,$AB1737,IF(NOT($W1737=0),"",SUMIFS('Val-Vol (2)'!AC$4:AC$1858,'Val-Vol (2)'!$A$4:$A$1858,$D1737,'Val-Vol (2)'!$V$4:$V$1858,$V1737)/SUMIFS('Comp2016-2017 (3)'!$G$5:$G$289,'Comp2016-2017 (3)'!$A$5:$A$289,$D1737,'Comp2016-2017 (3)'!$R$5:$R$289,$V1737)*$AB1737))</f>
        <v>0</v>
      </c>
      <c r="AD1737" s="205" t="str">
        <f>IF($W1737=AD$3,$AB1737,IF(NOT($W1737=0),"",SUMIFS('Val-Vol (2)'!AD$4:AD$1858,'Val-Vol (2)'!$A$4:$A$1858,$D1737,'Val-Vol (2)'!$V$4:$V$1858,$V1737)/SUMIFS('Comp2016-2017 (3)'!$G$5:$G$289,'Comp2016-2017 (3)'!$A$5:$A$289,$D1737,'Comp2016-2017 (3)'!$R$5:$R$289,$V1737)*$AB1737))</f>
        <v/>
      </c>
      <c r="AE1737" s="205" t="str">
        <f>IF($W1737=AE$3,$AB1737,IF(NOT($W1737=0),"",SUMIFS('Val-Vol (2)'!AE$4:AE$1858,'Val-Vol (2)'!$A$4:$A$1858,$D1737,'Val-Vol (2)'!$V$4:$V$1858,$V1737)/SUMIFS('Comp2016-2017 (3)'!$G$5:$G$289,'Comp2016-2017 (3)'!$A$5:$A$289,$D1737,'Comp2016-2017 (3)'!$R$5:$R$289,$V1737)*$AB1737))</f>
        <v/>
      </c>
      <c r="AF1737" s="205" t="str">
        <f>IF($W1737=AF$3,$AB1737,IF(NOT($W1737=0),"",SUMIFS('Val-Vol (2)'!AF$4:AF$1858,'Val-Vol (2)'!$A$4:$A$1858,$D1737,'Val-Vol (2)'!$V$4:$V$1858,$V1737)/SUMIFS('Comp2016-2017 (3)'!$G$5:$G$289,'Comp2016-2017 (3)'!$A$5:$A$289,$D1737,'Comp2016-2017 (3)'!$R$5:$R$289,$V1737)*$AB1737))</f>
        <v/>
      </c>
      <c r="AG1737" s="205" t="str">
        <f>IF($W1737=AG$3,$AB1737,IF(NOT($W1737=0),"",SUMIFS('Val-Vol (2)'!AG$4:AG$1858,'Val-Vol (2)'!$A$4:$A$1858,$D1737,'Val-Vol (2)'!$V$4:$V$1858,$V1737)/SUMIFS('Comp2016-2017 (3)'!$G$5:$G$289,'Comp2016-2017 (3)'!$A$5:$A$289,$D1737,'Comp2016-2017 (3)'!$R$5:$R$289,$V1737)*$AB1737))</f>
        <v/>
      </c>
      <c r="AH1737" s="205" t="str">
        <f>IF($W1737=AH$3,$AB1737,IF(NOT($W1737=0),"",SUMIFS('Val-Vol (2)'!AH$4:AH$1858,'Val-Vol (2)'!$A$4:$A$1858,$D1737,'Val-Vol (2)'!$V$4:$V$1858,$V1737)/SUMIFS('Comp2016-2017 (3)'!$G$5:$G$289,'Comp2016-2017 (3)'!$A$5:$A$289,$D1737,'Comp2016-2017 (3)'!$R$5:$R$289,$V1737)*$AB1737))</f>
        <v/>
      </c>
      <c r="AI1737" s="205" t="str">
        <f>IF($W1737=AI$3,$AB1737,IF(NOT($W1737=0),"",SUMIFS('Val-Vol (2)'!AI$4:AI$1858,'Val-Vol (2)'!$A$4:$A$1858,$D1737,'Val-Vol (2)'!$V$4:$V$1858,$V1737)/SUMIFS('Comp2016-2017 (3)'!$G$5:$G$289,'Comp2016-2017 (3)'!$A$5:$A$289,$D1737,'Comp2016-2017 (3)'!$R$5:$R$289,$V1737)*$AB1737))</f>
        <v/>
      </c>
      <c r="AJ1737" s="205" t="str">
        <f>IF($W1737=AJ$3,$AB1737,IF(NOT($W1737=0),"",SUMIFS('Val-Vol (2)'!AJ$4:AJ$1858,'Val-Vol (2)'!$A$4:$A$1858,$D1737,'Val-Vol (2)'!$V$4:$V$1858,$V1737)/SUMIFS('Comp2016-2017 (3)'!$G$5:$G$289,'Comp2016-2017 (3)'!$A$5:$A$289,$D1737,'Comp2016-2017 (3)'!$R$5:$R$289,$V1737)*$AB1737))</f>
        <v/>
      </c>
      <c r="AK1737" s="205">
        <f t="shared" si="192"/>
        <v>0</v>
      </c>
      <c r="AL1737" s="218" t="str">
        <f t="shared" si="194"/>
        <v/>
      </c>
      <c r="AM1737" s="218" t="str">
        <f>VLOOKUP(A1737,'Table corresp.'!$M$4:$U$63,8,FALSE)</f>
        <v>Production finale</v>
      </c>
      <c r="AN1737" s="218" t="str">
        <f>VLOOKUP(D1737,'Table corresp.'!$M$4:$U$63,9,FALSE)</f>
        <v>Exportation</v>
      </c>
    </row>
    <row r="1738" spans="1:40" x14ac:dyDescent="0.25">
      <c r="A1738" t="s">
        <v>91</v>
      </c>
      <c r="B1738" t="str">
        <f>VLOOKUP(LEFT(A1738,3),'Table corresp.'!$A$4:$D$63,3,FALSE)</f>
        <v>Transformation</v>
      </c>
      <c r="C1738" t="str">
        <f>VLOOKUP(A1738,'Table corresp.'!$M$4:$P$63,4,FALSE)</f>
        <v>Production et transformation de produits bois</v>
      </c>
      <c r="D1738" t="s">
        <v>91</v>
      </c>
      <c r="E1738" t="str">
        <f>VLOOKUP(LEFT(D1738,3),'Table corresp.'!$A$4:$D$63,4,FALSE)</f>
        <v>Transformation</v>
      </c>
      <c r="F1738" t="str">
        <f t="shared" si="195"/>
        <v xml:space="preserve">37  - 37 </v>
      </c>
      <c r="G1738" s="238">
        <v>5232.7064841670799</v>
      </c>
      <c r="H1738" s="238">
        <v>10955.4822481421</v>
      </c>
      <c r="I1738" s="238">
        <v>16188.1887323092</v>
      </c>
      <c r="J1738" s="238"/>
      <c r="K1738" s="238"/>
      <c r="L1738" s="238"/>
      <c r="M1738" s="238"/>
      <c r="N1738" s="238"/>
      <c r="O1738" s="238"/>
      <c r="P1738" s="238"/>
      <c r="Q1738" s="238"/>
      <c r="R1738" s="238"/>
      <c r="S1738" s="238"/>
      <c r="T1738" s="218">
        <f>VLOOKUP(A1738,'Groupe de branches'!$Z$27:$AM$86,14,FALSE)</f>
        <v>0</v>
      </c>
      <c r="U1738" s="218">
        <f>VLOOKUP(D1738,'Groupe de branches'!$Z$27:$AM$86,14,FALSE)</f>
        <v>0</v>
      </c>
      <c r="V1738" s="218">
        <v>2020</v>
      </c>
      <c r="W1738" s="218" t="str">
        <f>VLOOKUP(D1738,'Table corresp.'!$M$4:$S$63,7,FALSE)</f>
        <v>Emballage bois et carton</v>
      </c>
      <c r="X1738" s="240">
        <f>IFERROR(G1738/SUMIFS('Comp2016-2017 (3)'!$I$5:$I$289,'Comp2016-2017 (3)'!$A$5:$A$289,A1738,'Comp2016-2017 (3)'!$R$5:$R$289,V1738),0)</f>
        <v>4.6392491000407654E-3</v>
      </c>
      <c r="Y1738" s="219" t="e">
        <f>IF(RIGHT(F1738,3)="Exp",VLOOKUP(F1738,#REF!,2,FALSE),VLOOKUP(F1738,#REF!,9,FALSE))</f>
        <v>#REF!</v>
      </c>
      <c r="Z1738" s="226" t="str">
        <f t="shared" si="196"/>
        <v/>
      </c>
      <c r="AA1738" s="226" t="e">
        <f t="shared" si="193"/>
        <v>#VALUE!</v>
      </c>
      <c r="AB1738" s="205">
        <f>IFERROR(SUMIFS('Comp2016-2017 (3)'!$G$5:$G$289,'Comp2016-2017 (3)'!$A$5:$A$289,A1738,'Comp2016-2017 (3)'!$R$5:$R$289,V1738)*AA1738/SUMIFS($AA$4:$AA$1858,$A$4:$A$1858,A1738,$V$4:$V$1858,V1738),0)</f>
        <v>0</v>
      </c>
      <c r="AC1738" s="205" t="str">
        <f>IF($W1738=AC$3,$AB1738,IF(NOT($W1738=0),"",SUMIFS('Val-Vol (2)'!AC$4:AC$1858,'Val-Vol (2)'!$A$4:$A$1858,$D1738,'Val-Vol (2)'!$V$4:$V$1858,$V1738)/SUMIFS('Comp2016-2017 (3)'!$G$5:$G$289,'Comp2016-2017 (3)'!$A$5:$A$289,$D1738,'Comp2016-2017 (3)'!$R$5:$R$289,$V1738)*$AB1738))</f>
        <v/>
      </c>
      <c r="AD1738" s="205" t="str">
        <f>IF($W1738=AD$3,$AB1738,IF(NOT($W1738=0),"",SUMIFS('Val-Vol (2)'!AD$4:AD$1858,'Val-Vol (2)'!$A$4:$A$1858,$D1738,'Val-Vol (2)'!$V$4:$V$1858,$V1738)/SUMIFS('Comp2016-2017 (3)'!$G$5:$G$289,'Comp2016-2017 (3)'!$A$5:$A$289,$D1738,'Comp2016-2017 (3)'!$R$5:$R$289,$V1738)*$AB1738))</f>
        <v/>
      </c>
      <c r="AE1738" s="205" t="str">
        <f>IF($W1738=AE$3,$AB1738,IF(NOT($W1738=0),"",SUMIFS('Val-Vol (2)'!AE$4:AE$1858,'Val-Vol (2)'!$A$4:$A$1858,$D1738,'Val-Vol (2)'!$V$4:$V$1858,$V1738)/SUMIFS('Comp2016-2017 (3)'!$G$5:$G$289,'Comp2016-2017 (3)'!$A$5:$A$289,$D1738,'Comp2016-2017 (3)'!$R$5:$R$289,$V1738)*$AB1738))</f>
        <v/>
      </c>
      <c r="AF1738" s="205" t="str">
        <f>IF($W1738=AF$3,$AB1738,IF(NOT($W1738=0),"",SUMIFS('Val-Vol (2)'!AF$4:AF$1858,'Val-Vol (2)'!$A$4:$A$1858,$D1738,'Val-Vol (2)'!$V$4:$V$1858,$V1738)/SUMIFS('Comp2016-2017 (3)'!$G$5:$G$289,'Comp2016-2017 (3)'!$A$5:$A$289,$D1738,'Comp2016-2017 (3)'!$R$5:$R$289,$V1738)*$AB1738))</f>
        <v/>
      </c>
      <c r="AG1738" s="205">
        <f>AB1738</f>
        <v>0</v>
      </c>
      <c r="AH1738" s="205" t="str">
        <f>IF($W1738=AH$3,$AB1738,IF(NOT($W1738=0),"",SUMIFS('Val-Vol (2)'!AH$4:AH$1858,'Val-Vol (2)'!$A$4:$A$1858,$D1738,'Val-Vol (2)'!$V$4:$V$1858,$V1738)/SUMIFS('Comp2016-2017 (3)'!$G$5:$G$289,'Comp2016-2017 (3)'!$A$5:$A$289,$D1738,'Comp2016-2017 (3)'!$R$5:$R$289,$V1738)*$AB1738))</f>
        <v/>
      </c>
      <c r="AI1738" s="205" t="str">
        <f>IF($W1738=AI$3,$AB1738,IF(NOT($W1738=0),"",SUMIFS('Val-Vol (2)'!AI$4:AI$1858,'Val-Vol (2)'!$A$4:$A$1858,$D1738,'Val-Vol (2)'!$V$4:$V$1858,$V1738)/SUMIFS('Comp2016-2017 (3)'!$G$5:$G$289,'Comp2016-2017 (3)'!$A$5:$A$289,$D1738,'Comp2016-2017 (3)'!$R$5:$R$289,$V1738)*$AB1738))</f>
        <v/>
      </c>
      <c r="AJ1738" s="205" t="str">
        <f>IF($W1738=AJ$3,$AB1738,IF(NOT($W1738=0),"",SUMIFS('Val-Vol (2)'!AJ$4:AJ$1858,'Val-Vol (2)'!$A$4:$A$1858,$D1738,'Val-Vol (2)'!$V$4:$V$1858,$V1738)/SUMIFS('Comp2016-2017 (3)'!$G$5:$G$289,'Comp2016-2017 (3)'!$A$5:$A$289,$D1738,'Comp2016-2017 (3)'!$R$5:$R$289,$V1738)*$AB1738))</f>
        <v/>
      </c>
      <c r="AK1738" s="205">
        <f t="shared" si="192"/>
        <v>0</v>
      </c>
      <c r="AL1738" s="218" t="str">
        <f t="shared" si="194"/>
        <v>remplir à la main</v>
      </c>
      <c r="AM1738" s="218" t="str">
        <f>VLOOKUP(A1738,'Table corresp.'!$M$4:$U$63,8,FALSE)</f>
        <v>Production finale</v>
      </c>
      <c r="AN1738" s="218" t="str">
        <f>VLOOKUP(D1738,'Table corresp.'!$M$4:$U$63,9,FALSE)</f>
        <v>Production finale</v>
      </c>
    </row>
    <row r="1739" spans="1:40" x14ac:dyDescent="0.25">
      <c r="A1739" t="s">
        <v>91</v>
      </c>
      <c r="B1739" t="str">
        <f>VLOOKUP(LEFT(A1739,3),'Table corresp.'!$A$4:$D$63,3,FALSE)</f>
        <v>Transformation</v>
      </c>
      <c r="C1739" t="str">
        <f>VLOOKUP(A1739,'Table corresp.'!$M$4:$P$63,4,FALSE)</f>
        <v>Production et transformation de produits bois</v>
      </c>
      <c r="D1739" t="s">
        <v>54</v>
      </c>
      <c r="E1739" t="str">
        <f>VLOOKUP(LEFT(D1739,3),'Table corresp.'!$A$4:$D$63,4,FALSE)</f>
        <v>Consommation finale</v>
      </c>
      <c r="F1739" t="str">
        <f t="shared" si="195"/>
        <v>37  - Con</v>
      </c>
      <c r="G1739" s="238">
        <v>1028570.86348683</v>
      </c>
      <c r="H1739" s="238">
        <v>218083.24675185801</v>
      </c>
      <c r="I1739" s="238">
        <v>1246654.1102386899</v>
      </c>
      <c r="J1739" s="238">
        <v>4368.4166272969842</v>
      </c>
      <c r="K1739" s="238">
        <v>902.52777540642239</v>
      </c>
      <c r="L1739" s="238">
        <v>5270.9444027034069</v>
      </c>
      <c r="M1739" s="238">
        <v>425.46770326203097</v>
      </c>
      <c r="N1739" s="238">
        <v>84.0912107009256</v>
      </c>
      <c r="O1739" s="238">
        <v>509.55891396295658</v>
      </c>
      <c r="P1739" s="238">
        <v>2.2459006527692279E-3</v>
      </c>
      <c r="Q1739" s="238">
        <v>4.4388916845481644E-4</v>
      </c>
      <c r="R1739" s="238">
        <v>2.6897898212240442E-3</v>
      </c>
      <c r="S1739" s="238"/>
      <c r="T1739" s="218">
        <f>VLOOKUP(A1739,'Groupe de branches'!$Z$27:$AM$86,14,FALSE)</f>
        <v>0</v>
      </c>
      <c r="U1739" s="218">
        <f>VLOOKUP(D1739,'Groupe de branches'!$Z$27:$AM$86,14,FALSE)</f>
        <v>0</v>
      </c>
      <c r="V1739" s="218">
        <v>2020</v>
      </c>
      <c r="W1739" s="218" t="str">
        <f>VLOOKUP(D1739,'Table corresp.'!$M$4:$S$63,7,FALSE)</f>
        <v>Consommation finale</v>
      </c>
      <c r="X1739" s="240">
        <f>IFERROR(G1739/SUMIFS('Comp2016-2017 (3)'!$I$5:$I$289,'Comp2016-2017 (3)'!$A$5:$A$289,A1739,'Comp2016-2017 (3)'!$R$5:$R$289,V1739),0)</f>
        <v>0.91191746894226633</v>
      </c>
      <c r="Y1739" s="219" t="e">
        <f>IF(RIGHT(F1739,3)="Exp",VLOOKUP(F1739,#REF!,2,FALSE),VLOOKUP(F1739,#REF!,9,FALSE))</f>
        <v>#REF!</v>
      </c>
      <c r="Z1739" s="226" t="str">
        <f t="shared" si="196"/>
        <v/>
      </c>
      <c r="AA1739" s="226" t="e">
        <f t="shared" si="193"/>
        <v>#VALUE!</v>
      </c>
      <c r="AB1739" s="205">
        <f>IFERROR(SUMIFS('Comp2016-2017 (3)'!$G$5:$G$289,'Comp2016-2017 (3)'!$A$5:$A$289,A1739,'Comp2016-2017 (3)'!$R$5:$R$289,V1739)*AA1739/SUMIFS($AA$4:$AA$1858,$A$4:$A$1858,A1739,$V$4:$V$1858,V1739),0)</f>
        <v>0</v>
      </c>
      <c r="AC1739" s="205" t="str">
        <f>IF($W1739=AC$3,$AB1739,IF(NOT($W1739=0),"",SUMIFS('Val-Vol (2)'!AC$4:AC$1858,'Val-Vol (2)'!$A$4:$A$1858,$D1739,'Val-Vol (2)'!$V$4:$V$1858,$V1739)/SUMIFS('Comp2016-2017 (3)'!$G$5:$G$289,'Comp2016-2017 (3)'!$A$5:$A$289,$D1739,'Comp2016-2017 (3)'!$R$5:$R$289,$V1739)*$AB1739))</f>
        <v/>
      </c>
      <c r="AD1739" s="205" t="str">
        <f>IF($W1739=AD$3,$AB1739,IF(NOT($W1739=0),"",SUMIFS('Val-Vol (2)'!AD$4:AD$1858,'Val-Vol (2)'!$A$4:$A$1858,$D1739,'Val-Vol (2)'!$V$4:$V$1858,$V1739)/SUMIFS('Comp2016-2017 (3)'!$G$5:$G$289,'Comp2016-2017 (3)'!$A$5:$A$289,$D1739,'Comp2016-2017 (3)'!$R$5:$R$289,$V1739)*$AB1739))</f>
        <v/>
      </c>
      <c r="AE1739" s="205" t="str">
        <f>IF($W1739=AE$3,$AB1739,IF(NOT($W1739=0),"",SUMIFS('Val-Vol (2)'!AE$4:AE$1858,'Val-Vol (2)'!$A$4:$A$1858,$D1739,'Val-Vol (2)'!$V$4:$V$1858,$V1739)/SUMIFS('Comp2016-2017 (3)'!$G$5:$G$289,'Comp2016-2017 (3)'!$A$5:$A$289,$D1739,'Comp2016-2017 (3)'!$R$5:$R$289,$V1739)*$AB1739))</f>
        <v/>
      </c>
      <c r="AF1739" s="205" t="str">
        <f>IF($W1739=AF$3,$AB1739,IF(NOT($W1739=0),"",SUMIFS('Val-Vol (2)'!AF$4:AF$1858,'Val-Vol (2)'!$A$4:$A$1858,$D1739,'Val-Vol (2)'!$V$4:$V$1858,$V1739)/SUMIFS('Comp2016-2017 (3)'!$G$5:$G$289,'Comp2016-2017 (3)'!$A$5:$A$289,$D1739,'Comp2016-2017 (3)'!$R$5:$R$289,$V1739)*$AB1739))</f>
        <v/>
      </c>
      <c r="AG1739" s="205" t="str">
        <f>IF($W1739=AG$3,$AB1739,IF(NOT($W1739=0),"",SUMIFS('Val-Vol (2)'!AG$4:AG$1858,'Val-Vol (2)'!$A$4:$A$1858,$D1739,'Val-Vol (2)'!$V$4:$V$1858,$V1739)/SUMIFS('Comp2016-2017 (3)'!$G$5:$G$289,'Comp2016-2017 (3)'!$A$5:$A$289,$D1739,'Comp2016-2017 (3)'!$R$5:$R$289,$V1739)*$AB1739))</f>
        <v/>
      </c>
      <c r="AH1739" s="205" t="str">
        <f>IF($W1739=AH$3,$AB1739,IF(NOT($W1739=0),"",SUMIFS('Val-Vol (2)'!AH$4:AH$1858,'Val-Vol (2)'!$A$4:$A$1858,$D1739,'Val-Vol (2)'!$V$4:$V$1858,$V1739)/SUMIFS('Comp2016-2017 (3)'!$G$5:$G$289,'Comp2016-2017 (3)'!$A$5:$A$289,$D1739,'Comp2016-2017 (3)'!$R$5:$R$289,$V1739)*$AB1739))</f>
        <v/>
      </c>
      <c r="AI1739" s="205" t="str">
        <f>IF($W1739=AI$3,$AB1739,IF(NOT($W1739=0),"",SUMIFS('Val-Vol (2)'!AI$4:AI$1858,'Val-Vol (2)'!$A$4:$A$1858,$D1739,'Val-Vol (2)'!$V$4:$V$1858,$V1739)/SUMIFS('Comp2016-2017 (3)'!$G$5:$G$289,'Comp2016-2017 (3)'!$A$5:$A$289,$D1739,'Comp2016-2017 (3)'!$R$5:$R$289,$V1739)*$AB1739))</f>
        <v/>
      </c>
      <c r="AJ1739" s="205">
        <f>IF($W1739=AJ$3,$AB1739,IF(NOT($W1739=0),"",SUMIFS('Val-Vol (2)'!AJ$4:AJ$1858,'Val-Vol (2)'!$A$4:$A$1858,$D1739,'Val-Vol (2)'!$V$4:$V$1858,$V1739)/SUMIFS('Comp2016-2017 (3)'!$G$5:$G$289,'Comp2016-2017 (3)'!$A$5:$A$289,$D1739,'Comp2016-2017 (3)'!$R$5:$R$289,$V1739)*$AB1739))</f>
        <v>0</v>
      </c>
      <c r="AK1739" s="205">
        <f t="shared" si="192"/>
        <v>0</v>
      </c>
      <c r="AL1739" s="218" t="str">
        <f t="shared" si="194"/>
        <v/>
      </c>
      <c r="AM1739" s="218" t="str">
        <f>VLOOKUP(A1739,'Table corresp.'!$M$4:$U$63,8,FALSE)</f>
        <v>Production finale</v>
      </c>
      <c r="AN1739" s="218" t="str">
        <f>VLOOKUP(D1739,'Table corresp.'!$M$4:$U$63,9,FALSE)</f>
        <v>Consommation finale française</v>
      </c>
    </row>
    <row r="1740" spans="1:40" x14ac:dyDescent="0.25">
      <c r="A1740" t="s">
        <v>91</v>
      </c>
      <c r="B1740" t="str">
        <f>VLOOKUP(LEFT(A1740,3),'Table corresp.'!$A$4:$D$63,3,FALSE)</f>
        <v>Transformation</v>
      </c>
      <c r="C1740" t="str">
        <f>VLOOKUP(A1740,'Table corresp.'!$M$4:$P$63,4,FALSE)</f>
        <v>Production et transformation de produits bois</v>
      </c>
      <c r="D1740" t="s">
        <v>53</v>
      </c>
      <c r="E1740" t="str">
        <f>VLOOKUP(LEFT(D1740,3),'Table corresp.'!$A$4:$D$63,4,FALSE)</f>
        <v>Exportation</v>
      </c>
      <c r="F1740" t="str">
        <f t="shared" si="195"/>
        <v>37  - Exp</v>
      </c>
      <c r="G1740" s="238">
        <v>94117.430028999996</v>
      </c>
      <c r="H1740" s="238">
        <v>0</v>
      </c>
      <c r="I1740" s="238">
        <v>94117.430028999996</v>
      </c>
      <c r="J1740" s="238">
        <v>369.59040579404825</v>
      </c>
      <c r="K1740" s="238">
        <v>0</v>
      </c>
      <c r="L1740" s="238">
        <v>369.59040579404825</v>
      </c>
      <c r="M1740" s="238">
        <v>35.996745392431926</v>
      </c>
      <c r="N1740" s="238">
        <v>0</v>
      </c>
      <c r="O1740" s="238">
        <v>35.996745392431926</v>
      </c>
      <c r="P1740" s="238">
        <v>1.9001469055017988E-4</v>
      </c>
      <c r="Q1740" s="238">
        <v>0</v>
      </c>
      <c r="R1740" s="238">
        <v>1.9001469055017988E-4</v>
      </c>
      <c r="S1740" s="238"/>
      <c r="T1740" s="218">
        <f>VLOOKUP(A1740,'Groupe de branches'!$Z$27:$AM$86,14,FALSE)</f>
        <v>0</v>
      </c>
      <c r="U1740" s="218">
        <f>VLOOKUP(D1740,'Groupe de branches'!$Z$27:$AM$86,14,FALSE)</f>
        <v>0</v>
      </c>
      <c r="V1740" s="218">
        <v>2020</v>
      </c>
      <c r="W1740" s="218" t="str">
        <f>VLOOKUP(D1740,'Table corresp.'!$M$4:$S$63,7,FALSE)</f>
        <v>Exportation</v>
      </c>
      <c r="X1740" s="240">
        <f>IFERROR(G1740/SUMIFS('Comp2016-2017 (3)'!$I$5:$I$289,'Comp2016-2017 (3)'!$A$5:$A$289,A1740,'Comp2016-2017 (3)'!$R$5:$R$289,V1740),0)</f>
        <v>8.3443281957690296E-2</v>
      </c>
      <c r="Y1740" s="219" t="e">
        <f>IF(RIGHT(F1740,3)="Exp",VLOOKUP(F1740,#REF!,2,FALSE),VLOOKUP(F1740,#REF!,9,FALSE))</f>
        <v>#REF!</v>
      </c>
      <c r="Z1740" s="226" t="str">
        <f t="shared" si="196"/>
        <v/>
      </c>
      <c r="AA1740" s="226" t="e">
        <f t="shared" si="193"/>
        <v>#VALUE!</v>
      </c>
      <c r="AB1740" s="205">
        <f>IFERROR(SUMIFS('Comp2016-2017 (3)'!$G$5:$G$289,'Comp2016-2017 (3)'!$A$5:$A$289,A1740,'Comp2016-2017 (3)'!$R$5:$R$289,V1740)*AA1740/SUMIFS($AA$4:$AA$1858,$A$4:$A$1858,A1740,$V$4:$V$1858,V1740),0)</f>
        <v>0</v>
      </c>
      <c r="AC1740" s="205">
        <f>IF($W1740=AC$3,$AB1740,IF(NOT($W1740=0),"",SUMIFS('Val-Vol (2)'!AC$4:AC$1858,'Val-Vol (2)'!$A$4:$A$1858,$D1740,'Val-Vol (2)'!$V$4:$V$1858,$V1740)/SUMIFS('Comp2016-2017 (3)'!$G$5:$G$289,'Comp2016-2017 (3)'!$A$5:$A$289,$D1740,'Comp2016-2017 (3)'!$R$5:$R$289,$V1740)*$AB1740))</f>
        <v>0</v>
      </c>
      <c r="AD1740" s="205" t="str">
        <f>IF($W1740=AD$3,$AB1740,IF(NOT($W1740=0),"",SUMIFS('Val-Vol (2)'!AD$4:AD$1858,'Val-Vol (2)'!$A$4:$A$1858,$D1740,'Val-Vol (2)'!$V$4:$V$1858,$V1740)/SUMIFS('Comp2016-2017 (3)'!$G$5:$G$289,'Comp2016-2017 (3)'!$A$5:$A$289,$D1740,'Comp2016-2017 (3)'!$R$5:$R$289,$V1740)*$AB1740))</f>
        <v/>
      </c>
      <c r="AE1740" s="205" t="str">
        <f>IF($W1740=AE$3,$AB1740,IF(NOT($W1740=0),"",SUMIFS('Val-Vol (2)'!AE$4:AE$1858,'Val-Vol (2)'!$A$4:$A$1858,$D1740,'Val-Vol (2)'!$V$4:$V$1858,$V1740)/SUMIFS('Comp2016-2017 (3)'!$G$5:$G$289,'Comp2016-2017 (3)'!$A$5:$A$289,$D1740,'Comp2016-2017 (3)'!$R$5:$R$289,$V1740)*$AB1740))</f>
        <v/>
      </c>
      <c r="AF1740" s="205" t="str">
        <f>IF($W1740=AF$3,$AB1740,IF(NOT($W1740=0),"",SUMIFS('Val-Vol (2)'!AF$4:AF$1858,'Val-Vol (2)'!$A$4:$A$1858,$D1740,'Val-Vol (2)'!$V$4:$V$1858,$V1740)/SUMIFS('Comp2016-2017 (3)'!$G$5:$G$289,'Comp2016-2017 (3)'!$A$5:$A$289,$D1740,'Comp2016-2017 (3)'!$R$5:$R$289,$V1740)*$AB1740))</f>
        <v/>
      </c>
      <c r="AG1740" s="205" t="str">
        <f>IF($W1740=AG$3,$AB1740,IF(NOT($W1740=0),"",SUMIFS('Val-Vol (2)'!AG$4:AG$1858,'Val-Vol (2)'!$A$4:$A$1858,$D1740,'Val-Vol (2)'!$V$4:$V$1858,$V1740)/SUMIFS('Comp2016-2017 (3)'!$G$5:$G$289,'Comp2016-2017 (3)'!$A$5:$A$289,$D1740,'Comp2016-2017 (3)'!$R$5:$R$289,$V1740)*$AB1740))</f>
        <v/>
      </c>
      <c r="AH1740" s="205" t="str">
        <f>IF($W1740=AH$3,$AB1740,IF(NOT($W1740=0),"",SUMIFS('Val-Vol (2)'!AH$4:AH$1858,'Val-Vol (2)'!$A$4:$A$1858,$D1740,'Val-Vol (2)'!$V$4:$V$1858,$V1740)/SUMIFS('Comp2016-2017 (3)'!$G$5:$G$289,'Comp2016-2017 (3)'!$A$5:$A$289,$D1740,'Comp2016-2017 (3)'!$R$5:$R$289,$V1740)*$AB1740))</f>
        <v/>
      </c>
      <c r="AI1740" s="205" t="str">
        <f>IF($W1740=AI$3,$AB1740,IF(NOT($W1740=0),"",SUMIFS('Val-Vol (2)'!AI$4:AI$1858,'Val-Vol (2)'!$A$4:$A$1858,$D1740,'Val-Vol (2)'!$V$4:$V$1858,$V1740)/SUMIFS('Comp2016-2017 (3)'!$G$5:$G$289,'Comp2016-2017 (3)'!$A$5:$A$289,$D1740,'Comp2016-2017 (3)'!$R$5:$R$289,$V1740)*$AB1740))</f>
        <v/>
      </c>
      <c r="AJ1740" s="205" t="str">
        <f>IF($W1740=AJ$3,$AB1740,IF(NOT($W1740=0),"",SUMIFS('Val-Vol (2)'!AJ$4:AJ$1858,'Val-Vol (2)'!$A$4:$A$1858,$D1740,'Val-Vol (2)'!$V$4:$V$1858,$V1740)/SUMIFS('Comp2016-2017 (3)'!$G$5:$G$289,'Comp2016-2017 (3)'!$A$5:$A$289,$D1740,'Comp2016-2017 (3)'!$R$5:$R$289,$V1740)*$AB1740))</f>
        <v/>
      </c>
      <c r="AK1740" s="205">
        <f t="shared" si="192"/>
        <v>0</v>
      </c>
      <c r="AL1740" s="218" t="str">
        <f t="shared" si="194"/>
        <v/>
      </c>
      <c r="AM1740" s="218" t="str">
        <f>VLOOKUP(A1740,'Table corresp.'!$M$4:$U$63,8,FALSE)</f>
        <v>Production finale</v>
      </c>
      <c r="AN1740" s="218" t="str">
        <f>VLOOKUP(D1740,'Table corresp.'!$M$4:$U$63,9,FALSE)</f>
        <v>Exportation</v>
      </c>
    </row>
    <row r="1741" spans="1:40" x14ac:dyDescent="0.25">
      <c r="A1741" t="s">
        <v>17</v>
      </c>
      <c r="B1741" t="str">
        <f>VLOOKUP(LEFT(A1741,3),'Table corresp.'!$A$4:$D$63,3,FALSE)</f>
        <v>Transformation</v>
      </c>
      <c r="C1741" t="str">
        <f>VLOOKUP(A1741,'Table corresp.'!$M$4:$P$63,4,FALSE)</f>
        <v>Production et transformation de produits bois</v>
      </c>
      <c r="D1741" t="s">
        <v>17</v>
      </c>
      <c r="E1741" t="str">
        <f>VLOOKUP(LEFT(D1741,3),'Table corresp.'!$A$4:$D$63,4,FALSE)</f>
        <v>Transformation</v>
      </c>
      <c r="F1741" t="str">
        <f t="shared" si="195"/>
        <v xml:space="preserve">38  - 38 </v>
      </c>
      <c r="G1741" s="238">
        <v>1482.2870966053299</v>
      </c>
      <c r="H1741" s="238">
        <v>1441.9565084968899</v>
      </c>
      <c r="I1741" s="238">
        <v>2924.24360510223</v>
      </c>
      <c r="J1741" s="238"/>
      <c r="K1741" s="238"/>
      <c r="L1741" s="238"/>
      <c r="M1741" s="238"/>
      <c r="N1741" s="238"/>
      <c r="O1741" s="238"/>
      <c r="P1741" s="238"/>
      <c r="Q1741" s="238"/>
      <c r="R1741" s="238"/>
      <c r="S1741" s="238"/>
      <c r="T1741" s="218">
        <f>VLOOKUP(A1741,'Groupe de branches'!$Z$27:$AM$86,14,FALSE)</f>
        <v>0</v>
      </c>
      <c r="U1741" s="218">
        <f>VLOOKUP(D1741,'Groupe de branches'!$Z$27:$AM$86,14,FALSE)</f>
        <v>0</v>
      </c>
      <c r="V1741" s="218">
        <v>2020</v>
      </c>
      <c r="W1741" s="218" t="str">
        <f>VLOOKUP(D1741,'Table corresp.'!$M$4:$S$63,7,FALSE)</f>
        <v>Emballage bois et carton</v>
      </c>
      <c r="X1741" s="240">
        <f>IFERROR(G1741/SUMIFS('Comp2016-2017 (3)'!$I$5:$I$289,'Comp2016-2017 (3)'!$A$5:$A$289,A1741,'Comp2016-2017 (3)'!$R$5:$R$289,V1741),0)</f>
        <v>2.0226861262764946E-3</v>
      </c>
      <c r="Y1741" s="219" t="e">
        <f>IF(RIGHT(F1741,3)="Exp",VLOOKUP(F1741,#REF!,2,FALSE),VLOOKUP(F1741,#REF!,9,FALSE))</f>
        <v>#REF!</v>
      </c>
      <c r="Z1741" s="226" t="str">
        <f t="shared" si="196"/>
        <v/>
      </c>
      <c r="AA1741" s="226" t="e">
        <f t="shared" si="193"/>
        <v>#VALUE!</v>
      </c>
      <c r="AB1741" s="205">
        <f>IFERROR(SUMIFS('Comp2016-2017 (3)'!$G$5:$G$289,'Comp2016-2017 (3)'!$A$5:$A$289,A1741,'Comp2016-2017 (3)'!$R$5:$R$289,V1741)*AA1741/SUMIFS($AA$4:$AA$1858,$A$4:$A$1858,A1741,$V$4:$V$1858,V1741),0)</f>
        <v>0</v>
      </c>
      <c r="AC1741" s="205"/>
      <c r="AD1741" s="205"/>
      <c r="AE1741" s="205"/>
      <c r="AF1741" s="205"/>
      <c r="AG1741" s="205">
        <f>AB1741</f>
        <v>0</v>
      </c>
      <c r="AH1741" s="205"/>
      <c r="AI1741" s="205"/>
      <c r="AJ1741" s="205"/>
      <c r="AK1741" s="205">
        <f t="shared" si="192"/>
        <v>0</v>
      </c>
      <c r="AL1741" s="218" t="str">
        <f t="shared" si="194"/>
        <v>remplir à la main</v>
      </c>
      <c r="AM1741" s="218" t="str">
        <f>VLOOKUP(A1741,'Table corresp.'!$M$4:$U$63,8,FALSE)</f>
        <v>Production finale</v>
      </c>
      <c r="AN1741" s="218" t="str">
        <f>VLOOKUP(D1741,'Table corresp.'!$M$4:$U$63,9,FALSE)</f>
        <v>Production finale</v>
      </c>
    </row>
    <row r="1742" spans="1:40" x14ac:dyDescent="0.25">
      <c r="A1742" t="s">
        <v>17</v>
      </c>
      <c r="B1742" t="str">
        <f>VLOOKUP(LEFT(A1742,3),'Table corresp.'!$A$4:$D$63,3,FALSE)</f>
        <v>Transformation</v>
      </c>
      <c r="C1742" t="str">
        <f>VLOOKUP(A1742,'Table corresp.'!$M$4:$P$63,4,FALSE)</f>
        <v>Production et transformation de produits bois</v>
      </c>
      <c r="D1742" t="s">
        <v>54</v>
      </c>
      <c r="E1742" t="str">
        <f>VLOOKUP(LEFT(D1742,3),'Table corresp.'!$A$4:$D$63,4,FALSE)</f>
        <v>Consommation finale</v>
      </c>
      <c r="F1742" t="str">
        <f t="shared" si="195"/>
        <v>38  - Con</v>
      </c>
      <c r="G1742" s="238">
        <v>371525.56633439497</v>
      </c>
      <c r="H1742" s="238">
        <v>29704.139491503101</v>
      </c>
      <c r="I1742" s="238">
        <v>401229.70582589798</v>
      </c>
      <c r="J1742" s="238">
        <v>159.79708913072869</v>
      </c>
      <c r="K1742" s="238">
        <v>41.532069158453197</v>
      </c>
      <c r="L1742" s="238">
        <v>201.32915828918189</v>
      </c>
      <c r="M1742" s="238"/>
      <c r="N1742" s="238"/>
      <c r="O1742" s="238"/>
      <c r="P1742" s="238"/>
      <c r="Q1742" s="238"/>
      <c r="R1742" s="238"/>
      <c r="S1742" s="238"/>
      <c r="T1742" s="218">
        <f>VLOOKUP(A1742,'Groupe de branches'!$Z$27:$AM$86,14,FALSE)</f>
        <v>0</v>
      </c>
      <c r="U1742" s="218">
        <f>VLOOKUP(D1742,'Groupe de branches'!$Z$27:$AM$86,14,FALSE)</f>
        <v>0</v>
      </c>
      <c r="V1742" s="218">
        <v>2020</v>
      </c>
      <c r="W1742" s="218" t="str">
        <f>VLOOKUP(D1742,'Table corresp.'!$M$4:$S$63,7,FALSE)</f>
        <v>Consommation finale</v>
      </c>
      <c r="X1742" s="240">
        <f>IFERROR(G1742/SUMIFS('Comp2016-2017 (3)'!$I$5:$I$289,'Comp2016-2017 (3)'!$A$5:$A$289,A1742,'Comp2016-2017 (3)'!$R$5:$R$289,V1742),0)</f>
        <v>0.50697304881261163</v>
      </c>
      <c r="Y1742" s="219" t="e">
        <f>IF(RIGHT(F1742,3)="Exp",VLOOKUP(F1742,#REF!,2,FALSE),VLOOKUP(F1742,#REF!,9,FALSE))</f>
        <v>#REF!</v>
      </c>
      <c r="Z1742" s="226" t="str">
        <f t="shared" si="196"/>
        <v/>
      </c>
      <c r="AA1742" s="226" t="e">
        <f t="shared" si="193"/>
        <v>#VALUE!</v>
      </c>
      <c r="AB1742" s="205">
        <f>IFERROR(SUMIFS('Comp2016-2017 (3)'!$G$5:$G$289,'Comp2016-2017 (3)'!$A$5:$A$289,A1742,'Comp2016-2017 (3)'!$R$5:$R$289,V1742)*AA1742/SUMIFS($AA$4:$AA$1858,$A$4:$A$1858,A1742,$V$4:$V$1858,V1742),0)</f>
        <v>0</v>
      </c>
      <c r="AC1742" s="205" t="str">
        <f>IF($W1742=AC$3,$AB1742,IF(NOT($W1742=0),"",SUMIFS('Val-Vol (2)'!AC$4:AC$1858,'Val-Vol (2)'!$A$4:$A$1858,$D1742,'Val-Vol (2)'!$V$4:$V$1858,$V1742)/SUMIFS('Comp2016-2017 (3)'!$G$5:$G$289,'Comp2016-2017 (3)'!$A$5:$A$289,$D1742,'Comp2016-2017 (3)'!$R$5:$R$289,$V1742)*$AB1742))</f>
        <v/>
      </c>
      <c r="AD1742" s="205" t="str">
        <f>IF($W1742=AD$3,$AB1742,IF(NOT($W1742=0),"",SUMIFS('Val-Vol (2)'!AD$4:AD$1858,'Val-Vol (2)'!$A$4:$A$1858,$D1742,'Val-Vol (2)'!$V$4:$V$1858,$V1742)/SUMIFS('Comp2016-2017 (3)'!$G$5:$G$289,'Comp2016-2017 (3)'!$A$5:$A$289,$D1742,'Comp2016-2017 (3)'!$R$5:$R$289,$V1742)*$AB1742))</f>
        <v/>
      </c>
      <c r="AE1742" s="205" t="str">
        <f>IF($W1742=AE$3,$AB1742,IF(NOT($W1742=0),"",SUMIFS('Val-Vol (2)'!AE$4:AE$1858,'Val-Vol (2)'!$A$4:$A$1858,$D1742,'Val-Vol (2)'!$V$4:$V$1858,$V1742)/SUMIFS('Comp2016-2017 (3)'!$G$5:$G$289,'Comp2016-2017 (3)'!$A$5:$A$289,$D1742,'Comp2016-2017 (3)'!$R$5:$R$289,$V1742)*$AB1742))</f>
        <v/>
      </c>
      <c r="AF1742" s="205" t="str">
        <f>IF($W1742=AF$3,$AB1742,IF(NOT($W1742=0),"",SUMIFS('Val-Vol (2)'!AF$4:AF$1858,'Val-Vol (2)'!$A$4:$A$1858,$D1742,'Val-Vol (2)'!$V$4:$V$1858,$V1742)/SUMIFS('Comp2016-2017 (3)'!$G$5:$G$289,'Comp2016-2017 (3)'!$A$5:$A$289,$D1742,'Comp2016-2017 (3)'!$R$5:$R$289,$V1742)*$AB1742))</f>
        <v/>
      </c>
      <c r="AG1742" s="205" t="str">
        <f>IF($W1742=AG$3,$AB1742,IF(NOT($W1742=0),"",SUMIFS('Val-Vol (2)'!AG$4:AG$1858,'Val-Vol (2)'!$A$4:$A$1858,$D1742,'Val-Vol (2)'!$V$4:$V$1858,$V1742)/SUMIFS('Comp2016-2017 (3)'!$G$5:$G$289,'Comp2016-2017 (3)'!$A$5:$A$289,$D1742,'Comp2016-2017 (3)'!$R$5:$R$289,$V1742)*$AB1742))</f>
        <v/>
      </c>
      <c r="AH1742" s="205" t="str">
        <f>IF($W1742=AH$3,$AB1742,IF(NOT($W1742=0),"",SUMIFS('Val-Vol (2)'!AH$4:AH$1858,'Val-Vol (2)'!$A$4:$A$1858,$D1742,'Val-Vol (2)'!$V$4:$V$1858,$V1742)/SUMIFS('Comp2016-2017 (3)'!$G$5:$G$289,'Comp2016-2017 (3)'!$A$5:$A$289,$D1742,'Comp2016-2017 (3)'!$R$5:$R$289,$V1742)*$AB1742))</f>
        <v/>
      </c>
      <c r="AI1742" s="205" t="str">
        <f>IF($W1742=AI$3,$AB1742,IF(NOT($W1742=0),"",SUMIFS('Val-Vol (2)'!AI$4:AI$1858,'Val-Vol (2)'!$A$4:$A$1858,$D1742,'Val-Vol (2)'!$V$4:$V$1858,$V1742)/SUMIFS('Comp2016-2017 (3)'!$G$5:$G$289,'Comp2016-2017 (3)'!$A$5:$A$289,$D1742,'Comp2016-2017 (3)'!$R$5:$R$289,$V1742)*$AB1742))</f>
        <v/>
      </c>
      <c r="AJ1742" s="205">
        <f>IF($W1742=AJ$3,$AB1742,IF(NOT($W1742=0),"",SUMIFS('Val-Vol (2)'!AJ$4:AJ$1858,'Val-Vol (2)'!$A$4:$A$1858,$D1742,'Val-Vol (2)'!$V$4:$V$1858,$V1742)/SUMIFS('Comp2016-2017 (3)'!$G$5:$G$289,'Comp2016-2017 (3)'!$A$5:$A$289,$D1742,'Comp2016-2017 (3)'!$R$5:$R$289,$V1742)*$AB1742))</f>
        <v>0</v>
      </c>
      <c r="AK1742" s="205">
        <f t="shared" si="192"/>
        <v>0</v>
      </c>
      <c r="AL1742" s="218" t="str">
        <f t="shared" si="194"/>
        <v/>
      </c>
      <c r="AM1742" s="218" t="str">
        <f>VLOOKUP(A1742,'Table corresp.'!$M$4:$U$63,8,FALSE)</f>
        <v>Production finale</v>
      </c>
      <c r="AN1742" s="218" t="str">
        <f>VLOOKUP(D1742,'Table corresp.'!$M$4:$U$63,9,FALSE)</f>
        <v>Consommation finale française</v>
      </c>
    </row>
    <row r="1743" spans="1:40" x14ac:dyDescent="0.25">
      <c r="A1743" t="s">
        <v>17</v>
      </c>
      <c r="B1743" t="str">
        <f>VLOOKUP(LEFT(A1743,3),'Table corresp.'!$A$4:$D$63,3,FALSE)</f>
        <v>Transformation</v>
      </c>
      <c r="C1743" t="str">
        <f>VLOOKUP(A1743,'Table corresp.'!$M$4:$P$63,4,FALSE)</f>
        <v>Production et transformation de produits bois</v>
      </c>
      <c r="D1743" t="s">
        <v>53</v>
      </c>
      <c r="E1743" t="str">
        <f>VLOOKUP(LEFT(D1743,3),'Table corresp.'!$A$4:$D$63,4,FALSE)</f>
        <v>Exportation</v>
      </c>
      <c r="F1743" t="str">
        <f t="shared" si="195"/>
        <v>38  - Exp</v>
      </c>
      <c r="G1743" s="238">
        <v>359823.14656899997</v>
      </c>
      <c r="H1743" s="238">
        <v>0</v>
      </c>
      <c r="I1743" s="238">
        <v>359823.14656899997</v>
      </c>
      <c r="J1743" s="238">
        <v>128.07339346038393</v>
      </c>
      <c r="K1743" s="238">
        <v>0</v>
      </c>
      <c r="L1743" s="238">
        <v>128.07339346038393</v>
      </c>
      <c r="M1743" s="238"/>
      <c r="N1743" s="238"/>
      <c r="O1743" s="238"/>
      <c r="P1743" s="238"/>
      <c r="Q1743" s="238"/>
      <c r="R1743" s="238"/>
      <c r="S1743" s="238"/>
      <c r="T1743" s="218">
        <f>VLOOKUP(A1743,'Groupe de branches'!$Z$27:$AM$86,14,FALSE)</f>
        <v>0</v>
      </c>
      <c r="U1743" s="218">
        <f>VLOOKUP(D1743,'Groupe de branches'!$Z$27:$AM$86,14,FALSE)</f>
        <v>0</v>
      </c>
      <c r="V1743" s="218">
        <v>2020</v>
      </c>
      <c r="W1743" s="218" t="str">
        <f>VLOOKUP(D1743,'Table corresp.'!$M$4:$S$63,7,FALSE)</f>
        <v>Exportation</v>
      </c>
      <c r="X1743" s="240">
        <f>IFERROR(G1743/SUMIFS('Comp2016-2017 (3)'!$I$5:$I$289,'Comp2016-2017 (3)'!$A$5:$A$289,A1743,'Comp2016-2017 (3)'!$R$5:$R$289,V1743),0)</f>
        <v>0.49100426506111228</v>
      </c>
      <c r="Y1743" s="219" t="e">
        <f>IF(RIGHT(F1743,3)="Exp",VLOOKUP(F1743,#REF!,2,FALSE),VLOOKUP(F1743,#REF!,9,FALSE))</f>
        <v>#REF!</v>
      </c>
      <c r="Z1743" s="226" t="str">
        <f t="shared" si="196"/>
        <v/>
      </c>
      <c r="AA1743" s="226" t="e">
        <f t="shared" si="193"/>
        <v>#VALUE!</v>
      </c>
      <c r="AB1743" s="205">
        <f>IFERROR(SUMIFS('Comp2016-2017 (3)'!$G$5:$G$289,'Comp2016-2017 (3)'!$A$5:$A$289,A1743,'Comp2016-2017 (3)'!$R$5:$R$289,V1743)*AA1743/SUMIFS($AA$4:$AA$1858,$A$4:$A$1858,A1743,$V$4:$V$1858,V1743),0)</f>
        <v>0</v>
      </c>
      <c r="AC1743" s="205">
        <f>IF($W1743=AC$3,$AB1743,IF(NOT($W1743=0),"",SUMIFS('Val-Vol (2)'!AC$4:AC$1858,'Val-Vol (2)'!$A$4:$A$1858,$D1743,'Val-Vol (2)'!$V$4:$V$1858,$V1743)/SUMIFS('Comp2016-2017 (3)'!$G$5:$G$289,'Comp2016-2017 (3)'!$A$5:$A$289,$D1743,'Comp2016-2017 (3)'!$R$5:$R$289,$V1743)*$AB1743))</f>
        <v>0</v>
      </c>
      <c r="AD1743" s="205" t="str">
        <f>IF($W1743=AD$3,$AB1743,IF(NOT($W1743=0),"",SUMIFS('Val-Vol (2)'!AD$4:AD$1858,'Val-Vol (2)'!$A$4:$A$1858,$D1743,'Val-Vol (2)'!$V$4:$V$1858,$V1743)/SUMIFS('Comp2016-2017 (3)'!$G$5:$G$289,'Comp2016-2017 (3)'!$A$5:$A$289,$D1743,'Comp2016-2017 (3)'!$R$5:$R$289,$V1743)*$AB1743))</f>
        <v/>
      </c>
      <c r="AE1743" s="205" t="str">
        <f>IF($W1743=AE$3,$AB1743,IF(NOT($W1743=0),"",SUMIFS('Val-Vol (2)'!AE$4:AE$1858,'Val-Vol (2)'!$A$4:$A$1858,$D1743,'Val-Vol (2)'!$V$4:$V$1858,$V1743)/SUMIFS('Comp2016-2017 (3)'!$G$5:$G$289,'Comp2016-2017 (3)'!$A$5:$A$289,$D1743,'Comp2016-2017 (3)'!$R$5:$R$289,$V1743)*$AB1743))</f>
        <v/>
      </c>
      <c r="AF1743" s="205" t="str">
        <f>IF($W1743=AF$3,$AB1743,IF(NOT($W1743=0),"",SUMIFS('Val-Vol (2)'!AF$4:AF$1858,'Val-Vol (2)'!$A$4:$A$1858,$D1743,'Val-Vol (2)'!$V$4:$V$1858,$V1743)/SUMIFS('Comp2016-2017 (3)'!$G$5:$G$289,'Comp2016-2017 (3)'!$A$5:$A$289,$D1743,'Comp2016-2017 (3)'!$R$5:$R$289,$V1743)*$AB1743))</f>
        <v/>
      </c>
      <c r="AG1743" s="205" t="str">
        <f>IF($W1743=AG$3,$AB1743,IF(NOT($W1743=0),"",SUMIFS('Val-Vol (2)'!AG$4:AG$1858,'Val-Vol (2)'!$A$4:$A$1858,$D1743,'Val-Vol (2)'!$V$4:$V$1858,$V1743)/SUMIFS('Comp2016-2017 (3)'!$G$5:$G$289,'Comp2016-2017 (3)'!$A$5:$A$289,$D1743,'Comp2016-2017 (3)'!$R$5:$R$289,$V1743)*$AB1743))</f>
        <v/>
      </c>
      <c r="AH1743" s="205" t="str">
        <f>IF($W1743=AH$3,$AB1743,IF(NOT($W1743=0),"",SUMIFS('Val-Vol (2)'!AH$4:AH$1858,'Val-Vol (2)'!$A$4:$A$1858,$D1743,'Val-Vol (2)'!$V$4:$V$1858,$V1743)/SUMIFS('Comp2016-2017 (3)'!$G$5:$G$289,'Comp2016-2017 (3)'!$A$5:$A$289,$D1743,'Comp2016-2017 (3)'!$R$5:$R$289,$V1743)*$AB1743))</f>
        <v/>
      </c>
      <c r="AI1743" s="205" t="str">
        <f>IF($W1743=AI$3,$AB1743,IF(NOT($W1743=0),"",SUMIFS('Val-Vol (2)'!AI$4:AI$1858,'Val-Vol (2)'!$A$4:$A$1858,$D1743,'Val-Vol (2)'!$V$4:$V$1858,$V1743)/SUMIFS('Comp2016-2017 (3)'!$G$5:$G$289,'Comp2016-2017 (3)'!$A$5:$A$289,$D1743,'Comp2016-2017 (3)'!$R$5:$R$289,$V1743)*$AB1743))</f>
        <v/>
      </c>
      <c r="AJ1743" s="205" t="str">
        <f>IF($W1743=AJ$3,$AB1743,IF(NOT($W1743=0),"",SUMIFS('Val-Vol (2)'!AJ$4:AJ$1858,'Val-Vol (2)'!$A$4:$A$1858,$D1743,'Val-Vol (2)'!$V$4:$V$1858,$V1743)/SUMIFS('Comp2016-2017 (3)'!$G$5:$G$289,'Comp2016-2017 (3)'!$A$5:$A$289,$D1743,'Comp2016-2017 (3)'!$R$5:$R$289,$V1743)*$AB1743))</f>
        <v/>
      </c>
      <c r="AK1743" s="205">
        <f t="shared" si="192"/>
        <v>0</v>
      </c>
      <c r="AL1743" s="218" t="str">
        <f t="shared" si="194"/>
        <v/>
      </c>
      <c r="AM1743" s="218" t="str">
        <f>VLOOKUP(A1743,'Table corresp.'!$M$4:$U$63,8,FALSE)</f>
        <v>Production finale</v>
      </c>
      <c r="AN1743" s="218" t="str">
        <f>VLOOKUP(D1743,'Table corresp.'!$M$4:$U$63,9,FALSE)</f>
        <v>Exportation</v>
      </c>
    </row>
    <row r="1744" spans="1:40" x14ac:dyDescent="0.25">
      <c r="A1744" t="s">
        <v>18</v>
      </c>
      <c r="B1744" t="str">
        <f>VLOOKUP(LEFT(A1744,3),'Table corresp.'!$A$4:$D$63,3,FALSE)</f>
        <v>Transformation</v>
      </c>
      <c r="C1744" t="str">
        <f>VLOOKUP(A1744,'Table corresp.'!$M$4:$P$63,4,FALSE)</f>
        <v>Production et transformation de produits bois</v>
      </c>
      <c r="D1744" t="s">
        <v>19</v>
      </c>
      <c r="E1744" t="str">
        <f>VLOOKUP(LEFT(D1744,3),'Table corresp.'!$A$4:$D$63,4,FALSE)</f>
        <v>Transformation</v>
      </c>
      <c r="F1744" t="str">
        <f t="shared" si="195"/>
        <v xml:space="preserve">39  - 52 </v>
      </c>
      <c r="G1744" s="238">
        <v>8405.2911805031599</v>
      </c>
      <c r="H1744" s="238">
        <v>5305.4426744806096</v>
      </c>
      <c r="I1744" s="238">
        <v>13710.7338549838</v>
      </c>
      <c r="J1744" s="238">
        <v>12.706515617960616</v>
      </c>
      <c r="K1744" s="238">
        <v>16.505320736773754</v>
      </c>
      <c r="L1744" s="238">
        <v>29.21183635473437</v>
      </c>
      <c r="M1744" s="238">
        <v>3.6994720950496678</v>
      </c>
      <c r="N1744" s="238">
        <v>4.805485258226863</v>
      </c>
      <c r="O1744" s="238">
        <v>8.5049573532765308</v>
      </c>
      <c r="P1744" s="238">
        <v>1.3715970076767809</v>
      </c>
      <c r="Q1744" s="238">
        <v>1.7816566881092684</v>
      </c>
      <c r="R1744" s="238">
        <v>3.1532536957860495</v>
      </c>
      <c r="S1744" s="238" t="s">
        <v>192</v>
      </c>
      <c r="T1744" s="218">
        <f>VLOOKUP(A1744,'Groupe de branches'!$Z$27:$AM$86,14,FALSE)</f>
        <v>0</v>
      </c>
      <c r="U1744" s="218">
        <f>VLOOKUP(D1744,'Groupe de branches'!$Z$27:$AM$86,14,FALSE)</f>
        <v>0</v>
      </c>
      <c r="V1744" s="218">
        <v>2020</v>
      </c>
      <c r="W1744" s="218" t="str">
        <f>VLOOKUP(D1744,'Table corresp.'!$M$4:$S$63,7,FALSE)</f>
        <v>Construction</v>
      </c>
      <c r="X1744" s="240">
        <f>IFERROR(G1744/SUMIFS('Comp2016-2017 (3)'!$I$5:$I$289,'Comp2016-2017 (3)'!$A$5:$A$289,A1744,'Comp2016-2017 (3)'!$R$5:$R$289,V1744),0)</f>
        <v>0.30734159104828118</v>
      </c>
      <c r="Y1744" s="219" t="e">
        <f>IF(RIGHT(F1744,3)="Exp",VLOOKUP(F1744,#REF!,2,FALSE),VLOOKUP(F1744,#REF!,9,FALSE))</f>
        <v>#REF!</v>
      </c>
      <c r="Z1744" s="226" t="str">
        <f t="shared" si="196"/>
        <v/>
      </c>
      <c r="AA1744" s="226" t="e">
        <f t="shared" si="193"/>
        <v>#VALUE!</v>
      </c>
      <c r="AB1744" s="205">
        <f>IFERROR(SUMIFS('Comp2016-2017 (3)'!$G$5:$G$289,'Comp2016-2017 (3)'!$A$5:$A$289,A1744,'Comp2016-2017 (3)'!$R$5:$R$289,V1744)*AA1744/SUMIFS($AA$4:$AA$1858,$A$4:$A$1858,A1744,$V$4:$V$1858,V1744),0)</f>
        <v>0</v>
      </c>
      <c r="AC1744" s="205" t="str">
        <f>IF($W1744=AC$3,$AB1744,IF(NOT($W1744=0),"",SUMIFS('Val-Vol (2)'!AC$4:AC$1858,'Val-Vol (2)'!$A$4:$A$1858,$D1744,'Val-Vol (2)'!$V$4:$V$1858,$V1744)/SUMIFS('Comp2016-2017 (3)'!$G$5:$G$289,'Comp2016-2017 (3)'!$A$5:$A$289,$D1744,'Comp2016-2017 (3)'!$R$5:$R$289,$V1744)*$AB1744))</f>
        <v/>
      </c>
      <c r="AD1744" s="205">
        <f>IF($W1744=AD$3,$AB1744,IF(NOT($W1744=0),"",SUMIFS('Val-Vol (2)'!AD$4:AD$1858,'Val-Vol (2)'!$A$4:$A$1858,$D1744,'Val-Vol (2)'!$V$4:$V$1858,$V1744)/SUMIFS('Comp2016-2017 (3)'!$G$5:$G$289,'Comp2016-2017 (3)'!$A$5:$A$289,$D1744,'Comp2016-2017 (3)'!$R$5:$R$289,$V1744)*$AB1744))</f>
        <v>0</v>
      </c>
      <c r="AE1744" s="205" t="str">
        <f>IF($W1744=AE$3,$AB1744,IF(NOT($W1744=0),"",SUMIFS('Val-Vol (2)'!AE$4:AE$1858,'Val-Vol (2)'!$A$4:$A$1858,$D1744,'Val-Vol (2)'!$V$4:$V$1858,$V1744)/SUMIFS('Comp2016-2017 (3)'!$G$5:$G$289,'Comp2016-2017 (3)'!$A$5:$A$289,$D1744,'Comp2016-2017 (3)'!$R$5:$R$289,$V1744)*$AB1744))</f>
        <v/>
      </c>
      <c r="AF1744" s="205" t="str">
        <f>IF($W1744=AF$3,$AB1744,IF(NOT($W1744=0),"",SUMIFS('Val-Vol (2)'!AF$4:AF$1858,'Val-Vol (2)'!$A$4:$A$1858,$D1744,'Val-Vol (2)'!$V$4:$V$1858,$V1744)/SUMIFS('Comp2016-2017 (3)'!$G$5:$G$289,'Comp2016-2017 (3)'!$A$5:$A$289,$D1744,'Comp2016-2017 (3)'!$R$5:$R$289,$V1744)*$AB1744))</f>
        <v/>
      </c>
      <c r="AG1744" s="205" t="str">
        <f>IF($W1744=AG$3,$AB1744,IF(NOT($W1744=0),"",SUMIFS('Val-Vol (2)'!AG$4:AG$1858,'Val-Vol (2)'!$A$4:$A$1858,$D1744,'Val-Vol (2)'!$V$4:$V$1858,$V1744)/SUMIFS('Comp2016-2017 (3)'!$G$5:$G$289,'Comp2016-2017 (3)'!$A$5:$A$289,$D1744,'Comp2016-2017 (3)'!$R$5:$R$289,$V1744)*$AB1744))</f>
        <v/>
      </c>
      <c r="AH1744" s="205" t="str">
        <f>IF($W1744=AH$3,$AB1744,IF(NOT($W1744=0),"",SUMIFS('Val-Vol (2)'!AH$4:AH$1858,'Val-Vol (2)'!$A$4:$A$1858,$D1744,'Val-Vol (2)'!$V$4:$V$1858,$V1744)/SUMIFS('Comp2016-2017 (3)'!$G$5:$G$289,'Comp2016-2017 (3)'!$A$5:$A$289,$D1744,'Comp2016-2017 (3)'!$R$5:$R$289,$V1744)*$AB1744))</f>
        <v/>
      </c>
      <c r="AI1744" s="205" t="str">
        <f>IF($W1744=AI$3,$AB1744,IF(NOT($W1744=0),"",SUMIFS('Val-Vol (2)'!AI$4:AI$1858,'Val-Vol (2)'!$A$4:$A$1858,$D1744,'Val-Vol (2)'!$V$4:$V$1858,$V1744)/SUMIFS('Comp2016-2017 (3)'!$G$5:$G$289,'Comp2016-2017 (3)'!$A$5:$A$289,$D1744,'Comp2016-2017 (3)'!$R$5:$R$289,$V1744)*$AB1744))</f>
        <v/>
      </c>
      <c r="AJ1744" s="205" t="str">
        <f>IF($W1744=AJ$3,$AB1744,IF(NOT($W1744=0),"",SUMIFS('Val-Vol (2)'!AJ$4:AJ$1858,'Val-Vol (2)'!$A$4:$A$1858,$D1744,'Val-Vol (2)'!$V$4:$V$1858,$V1744)/SUMIFS('Comp2016-2017 (3)'!$G$5:$G$289,'Comp2016-2017 (3)'!$A$5:$A$289,$D1744,'Comp2016-2017 (3)'!$R$5:$R$289,$V1744)*$AB1744))</f>
        <v/>
      </c>
      <c r="AK1744" s="205">
        <f t="shared" si="192"/>
        <v>0</v>
      </c>
      <c r="AL1744" s="218" t="str">
        <f t="shared" si="194"/>
        <v/>
      </c>
      <c r="AM1744" s="218" t="str">
        <f>VLOOKUP(A1744,'Table corresp.'!$M$4:$U$63,8,FALSE)</f>
        <v>Production finale</v>
      </c>
      <c r="AN1744" s="218" t="str">
        <f>VLOOKUP(D1744,'Table corresp.'!$M$4:$U$63,9,FALSE)</f>
        <v xml:space="preserve">Mise en œuvre </v>
      </c>
    </row>
    <row r="1745" spans="1:40" x14ac:dyDescent="0.25">
      <c r="A1745" t="s">
        <v>18</v>
      </c>
      <c r="B1745" t="str">
        <f>VLOOKUP(LEFT(A1745,3),'Table corresp.'!$A$4:$D$63,3,FALSE)</f>
        <v>Transformation</v>
      </c>
      <c r="C1745" t="str">
        <f>VLOOKUP(A1745,'Table corresp.'!$M$4:$P$63,4,FALSE)</f>
        <v>Production et transformation de produits bois</v>
      </c>
      <c r="D1745" t="s">
        <v>25</v>
      </c>
      <c r="E1745" t="str">
        <f>VLOOKUP(LEFT(D1745,3),'Table corresp.'!$A$4:$D$63,4,FALSE)</f>
        <v>Transformation</v>
      </c>
      <c r="F1745" t="str">
        <f t="shared" si="195"/>
        <v xml:space="preserve">39  - 58 </v>
      </c>
      <c r="G1745" s="238">
        <v>1036.1725907103501</v>
      </c>
      <c r="H1745" s="238">
        <v>4809.1875245524998</v>
      </c>
      <c r="I1745" s="238">
        <v>5845.3601152628398</v>
      </c>
      <c r="J1745" s="238">
        <v>0.2523363928459198</v>
      </c>
      <c r="K1745" s="238">
        <v>3.6152587983867002</v>
      </c>
      <c r="L1745" s="238">
        <v>3.8675951912326201</v>
      </c>
      <c r="M1745" s="238">
        <v>7.3467146459841107E-2</v>
      </c>
      <c r="N1745" s="238">
        <v>1.0525740842839333</v>
      </c>
      <c r="O1745" s="238">
        <v>1.1260412307437744</v>
      </c>
      <c r="P1745" s="238">
        <v>2.7238296615808639E-2</v>
      </c>
      <c r="Q1745" s="238">
        <v>0.39024688584455669</v>
      </c>
      <c r="R1745" s="238">
        <v>0.41748518246036531</v>
      </c>
      <c r="S1745" s="238"/>
      <c r="T1745" s="218">
        <f>VLOOKUP(A1745,'Groupe de branches'!$Z$27:$AM$86,14,FALSE)</f>
        <v>0</v>
      </c>
      <c r="U1745" s="218">
        <f>VLOOKUP(D1745,'Groupe de branches'!$Z$27:$AM$86,14,FALSE)</f>
        <v>0</v>
      </c>
      <c r="V1745" s="218">
        <v>2020</v>
      </c>
      <c r="W1745" s="218" t="str">
        <f>VLOOKUP(D1745,'Table corresp.'!$M$4:$S$63,7,FALSE)</f>
        <v>Construction</v>
      </c>
      <c r="X1745" s="240">
        <f>IFERROR(G1745/SUMIFS('Comp2016-2017 (3)'!$I$5:$I$289,'Comp2016-2017 (3)'!$A$5:$A$289,A1745,'Comp2016-2017 (3)'!$R$5:$R$289,V1745),0)</f>
        <v>3.7887912005741452E-2</v>
      </c>
      <c r="Y1745" s="219" t="e">
        <f>IF(RIGHT(F1745,3)="Exp",VLOOKUP(F1745,#REF!,2,FALSE),VLOOKUP(F1745,#REF!,9,FALSE))</f>
        <v>#REF!</v>
      </c>
      <c r="Z1745" s="226" t="str">
        <f t="shared" si="196"/>
        <v/>
      </c>
      <c r="AA1745" s="226" t="e">
        <f t="shared" si="193"/>
        <v>#VALUE!</v>
      </c>
      <c r="AB1745" s="205">
        <f>IFERROR(SUMIFS('Comp2016-2017 (3)'!$G$5:$G$289,'Comp2016-2017 (3)'!$A$5:$A$289,A1745,'Comp2016-2017 (3)'!$R$5:$R$289,V1745)*AA1745/SUMIFS($AA$4:$AA$1858,$A$4:$A$1858,A1745,$V$4:$V$1858,V1745),0)</f>
        <v>0</v>
      </c>
      <c r="AC1745" s="205" t="str">
        <f>IF($W1745=AC$3,$AB1745,IF(NOT($W1745=0),"",SUMIFS('Val-Vol (2)'!AC$4:AC$1858,'Val-Vol (2)'!$A$4:$A$1858,$D1745,'Val-Vol (2)'!$V$4:$V$1858,$V1745)/SUMIFS('Comp2016-2017 (3)'!$G$5:$G$289,'Comp2016-2017 (3)'!$A$5:$A$289,$D1745,'Comp2016-2017 (3)'!$R$5:$R$289,$V1745)*$AB1745))</f>
        <v/>
      </c>
      <c r="AD1745" s="205">
        <f>IF($W1745=AD$3,$AB1745,IF(NOT($W1745=0),"",SUMIFS('Val-Vol (2)'!AD$4:AD$1858,'Val-Vol (2)'!$A$4:$A$1858,$D1745,'Val-Vol (2)'!$V$4:$V$1858,$V1745)/SUMIFS('Comp2016-2017 (3)'!$G$5:$G$289,'Comp2016-2017 (3)'!$A$5:$A$289,$D1745,'Comp2016-2017 (3)'!$R$5:$R$289,$V1745)*$AB1745))</f>
        <v>0</v>
      </c>
      <c r="AE1745" s="205" t="str">
        <f>IF($W1745=AE$3,$AB1745,IF(NOT($W1745=0),"",SUMIFS('Val-Vol (2)'!AE$4:AE$1858,'Val-Vol (2)'!$A$4:$A$1858,$D1745,'Val-Vol (2)'!$V$4:$V$1858,$V1745)/SUMIFS('Comp2016-2017 (3)'!$G$5:$G$289,'Comp2016-2017 (3)'!$A$5:$A$289,$D1745,'Comp2016-2017 (3)'!$R$5:$R$289,$V1745)*$AB1745))</f>
        <v/>
      </c>
      <c r="AF1745" s="205" t="str">
        <f>IF($W1745=AF$3,$AB1745,IF(NOT($W1745=0),"",SUMIFS('Val-Vol (2)'!AF$4:AF$1858,'Val-Vol (2)'!$A$4:$A$1858,$D1745,'Val-Vol (2)'!$V$4:$V$1858,$V1745)/SUMIFS('Comp2016-2017 (3)'!$G$5:$G$289,'Comp2016-2017 (3)'!$A$5:$A$289,$D1745,'Comp2016-2017 (3)'!$R$5:$R$289,$V1745)*$AB1745))</f>
        <v/>
      </c>
      <c r="AG1745" s="205" t="str">
        <f>IF($W1745=AG$3,$AB1745,IF(NOT($W1745=0),"",SUMIFS('Val-Vol (2)'!AG$4:AG$1858,'Val-Vol (2)'!$A$4:$A$1858,$D1745,'Val-Vol (2)'!$V$4:$V$1858,$V1745)/SUMIFS('Comp2016-2017 (3)'!$G$5:$G$289,'Comp2016-2017 (3)'!$A$5:$A$289,$D1745,'Comp2016-2017 (3)'!$R$5:$R$289,$V1745)*$AB1745))</f>
        <v/>
      </c>
      <c r="AH1745" s="205" t="str">
        <f>IF($W1745=AH$3,$AB1745,IF(NOT($W1745=0),"",SUMIFS('Val-Vol (2)'!AH$4:AH$1858,'Val-Vol (2)'!$A$4:$A$1858,$D1745,'Val-Vol (2)'!$V$4:$V$1858,$V1745)/SUMIFS('Comp2016-2017 (3)'!$G$5:$G$289,'Comp2016-2017 (3)'!$A$5:$A$289,$D1745,'Comp2016-2017 (3)'!$R$5:$R$289,$V1745)*$AB1745))</f>
        <v/>
      </c>
      <c r="AI1745" s="205" t="str">
        <f>IF($W1745=AI$3,$AB1745,IF(NOT($W1745=0),"",SUMIFS('Val-Vol (2)'!AI$4:AI$1858,'Val-Vol (2)'!$A$4:$A$1858,$D1745,'Val-Vol (2)'!$V$4:$V$1858,$V1745)/SUMIFS('Comp2016-2017 (3)'!$G$5:$G$289,'Comp2016-2017 (3)'!$A$5:$A$289,$D1745,'Comp2016-2017 (3)'!$R$5:$R$289,$V1745)*$AB1745))</f>
        <v/>
      </c>
      <c r="AJ1745" s="205" t="str">
        <f>IF($W1745=AJ$3,$AB1745,IF(NOT($W1745=0),"",SUMIFS('Val-Vol (2)'!AJ$4:AJ$1858,'Val-Vol (2)'!$A$4:$A$1858,$D1745,'Val-Vol (2)'!$V$4:$V$1858,$V1745)/SUMIFS('Comp2016-2017 (3)'!$G$5:$G$289,'Comp2016-2017 (3)'!$A$5:$A$289,$D1745,'Comp2016-2017 (3)'!$R$5:$R$289,$V1745)*$AB1745))</f>
        <v/>
      </c>
      <c r="AK1745" s="205">
        <f t="shared" si="192"/>
        <v>0</v>
      </c>
      <c r="AL1745" s="218" t="str">
        <f t="shared" si="194"/>
        <v/>
      </c>
      <c r="AM1745" s="218" t="str">
        <f>VLOOKUP(A1745,'Table corresp.'!$M$4:$U$63,8,FALSE)</f>
        <v>Production finale</v>
      </c>
      <c r="AN1745" s="218" t="str">
        <f>VLOOKUP(D1745,'Table corresp.'!$M$4:$U$63,9,FALSE)</f>
        <v xml:space="preserve">Mise en œuvre </v>
      </c>
    </row>
    <row r="1746" spans="1:40" x14ac:dyDescent="0.25">
      <c r="A1746" t="s">
        <v>18</v>
      </c>
      <c r="B1746" t="str">
        <f>VLOOKUP(LEFT(A1746,3),'Table corresp.'!$A$4:$D$63,3,FALSE)</f>
        <v>Transformation</v>
      </c>
      <c r="C1746" t="str">
        <f>VLOOKUP(A1746,'Table corresp.'!$M$4:$P$63,4,FALSE)</f>
        <v>Production et transformation de produits bois</v>
      </c>
      <c r="D1746" t="s">
        <v>26</v>
      </c>
      <c r="E1746" t="str">
        <f>VLOOKUP(LEFT(D1746,3),'Table corresp.'!$A$4:$D$63,4,FALSE)</f>
        <v>Transformation</v>
      </c>
      <c r="F1746" t="str">
        <f t="shared" si="195"/>
        <v xml:space="preserve">39  - 59 </v>
      </c>
      <c r="G1746" s="238">
        <v>15677.3314588757</v>
      </c>
      <c r="H1746" s="238">
        <v>4868.0308009668797</v>
      </c>
      <c r="I1746" s="238">
        <v>20545.362259842601</v>
      </c>
      <c r="J1746" s="238">
        <v>4.5814312849991969</v>
      </c>
      <c r="K1746" s="238">
        <v>3.6594936450623421</v>
      </c>
      <c r="L1746" s="238">
        <v>8.2409249300615386</v>
      </c>
      <c r="M1746" s="238">
        <v>1.333872928175911</v>
      </c>
      <c r="N1746" s="238">
        <v>1.0654529557090804</v>
      </c>
      <c r="O1746" s="238">
        <v>2.3993258838849911</v>
      </c>
      <c r="P1746" s="238">
        <v>0.49453978024466827</v>
      </c>
      <c r="Q1746" s="238">
        <v>0.39502178914295516</v>
      </c>
      <c r="R1746" s="238">
        <v>0.88956156938762343</v>
      </c>
      <c r="S1746" s="238" t="s">
        <v>192</v>
      </c>
      <c r="T1746" s="218">
        <f>VLOOKUP(A1746,'Groupe de branches'!$Z$27:$AM$86,14,FALSE)</f>
        <v>0</v>
      </c>
      <c r="U1746" s="218">
        <f>VLOOKUP(D1746,'Groupe de branches'!$Z$27:$AM$86,14,FALSE)</f>
        <v>0</v>
      </c>
      <c r="V1746" s="218">
        <v>2020</v>
      </c>
      <c r="W1746" s="218" t="str">
        <f>VLOOKUP(D1746,'Table corresp.'!$M$4:$S$63,7,FALSE)</f>
        <v>Construction</v>
      </c>
      <c r="X1746" s="240">
        <f>IFERROR(G1746/SUMIFS('Comp2016-2017 (3)'!$I$5:$I$289,'Comp2016-2017 (3)'!$A$5:$A$289,A1746,'Comp2016-2017 (3)'!$R$5:$R$289,V1746),0)</f>
        <v>0.57324557715961177</v>
      </c>
      <c r="Y1746" s="219" t="e">
        <f>IF(RIGHT(F1746,3)="Exp",VLOOKUP(F1746,#REF!,2,FALSE),VLOOKUP(F1746,#REF!,9,FALSE))</f>
        <v>#REF!</v>
      </c>
      <c r="Z1746" s="226" t="str">
        <f t="shared" si="196"/>
        <v/>
      </c>
      <c r="AA1746" s="226" t="e">
        <f t="shared" si="193"/>
        <v>#VALUE!</v>
      </c>
      <c r="AB1746" s="205">
        <f>IFERROR(SUMIFS('Comp2016-2017 (3)'!$G$5:$G$289,'Comp2016-2017 (3)'!$A$5:$A$289,A1746,'Comp2016-2017 (3)'!$R$5:$R$289,V1746)*AA1746/SUMIFS($AA$4:$AA$1858,$A$4:$A$1858,A1746,$V$4:$V$1858,V1746),0)</f>
        <v>0</v>
      </c>
      <c r="AC1746" s="205" t="str">
        <f>IF($W1746=AC$3,$AB1746,IF(NOT($W1746=0),"",SUMIFS('Val-Vol (2)'!AC$4:AC$1858,'Val-Vol (2)'!$A$4:$A$1858,$D1746,'Val-Vol (2)'!$V$4:$V$1858,$V1746)/SUMIFS('Comp2016-2017 (3)'!$G$5:$G$289,'Comp2016-2017 (3)'!$A$5:$A$289,$D1746,'Comp2016-2017 (3)'!$R$5:$R$289,$V1746)*$AB1746))</f>
        <v/>
      </c>
      <c r="AD1746" s="205">
        <f>IF($W1746=AD$3,$AB1746,IF(NOT($W1746=0),"",SUMIFS('Val-Vol (2)'!AD$4:AD$1858,'Val-Vol (2)'!$A$4:$A$1858,$D1746,'Val-Vol (2)'!$V$4:$V$1858,$V1746)/SUMIFS('Comp2016-2017 (3)'!$G$5:$G$289,'Comp2016-2017 (3)'!$A$5:$A$289,$D1746,'Comp2016-2017 (3)'!$R$5:$R$289,$V1746)*$AB1746))</f>
        <v>0</v>
      </c>
      <c r="AE1746" s="205" t="str">
        <f>IF($W1746=AE$3,$AB1746,IF(NOT($W1746=0),"",SUMIFS('Val-Vol (2)'!AE$4:AE$1858,'Val-Vol (2)'!$A$4:$A$1858,$D1746,'Val-Vol (2)'!$V$4:$V$1858,$V1746)/SUMIFS('Comp2016-2017 (3)'!$G$5:$G$289,'Comp2016-2017 (3)'!$A$5:$A$289,$D1746,'Comp2016-2017 (3)'!$R$5:$R$289,$V1746)*$AB1746))</f>
        <v/>
      </c>
      <c r="AF1746" s="205" t="str">
        <f>IF($W1746=AF$3,$AB1746,IF(NOT($W1746=0),"",SUMIFS('Val-Vol (2)'!AF$4:AF$1858,'Val-Vol (2)'!$A$4:$A$1858,$D1746,'Val-Vol (2)'!$V$4:$V$1858,$V1746)/SUMIFS('Comp2016-2017 (3)'!$G$5:$G$289,'Comp2016-2017 (3)'!$A$5:$A$289,$D1746,'Comp2016-2017 (3)'!$R$5:$R$289,$V1746)*$AB1746))</f>
        <v/>
      </c>
      <c r="AG1746" s="205" t="str">
        <f>IF($W1746=AG$3,$AB1746,IF(NOT($W1746=0),"",SUMIFS('Val-Vol (2)'!AG$4:AG$1858,'Val-Vol (2)'!$A$4:$A$1858,$D1746,'Val-Vol (2)'!$V$4:$V$1858,$V1746)/SUMIFS('Comp2016-2017 (3)'!$G$5:$G$289,'Comp2016-2017 (3)'!$A$5:$A$289,$D1746,'Comp2016-2017 (3)'!$R$5:$R$289,$V1746)*$AB1746))</f>
        <v/>
      </c>
      <c r="AH1746" s="205" t="str">
        <f>IF($W1746=AH$3,$AB1746,IF(NOT($W1746=0),"",SUMIFS('Val-Vol (2)'!AH$4:AH$1858,'Val-Vol (2)'!$A$4:$A$1858,$D1746,'Val-Vol (2)'!$V$4:$V$1858,$V1746)/SUMIFS('Comp2016-2017 (3)'!$G$5:$G$289,'Comp2016-2017 (3)'!$A$5:$A$289,$D1746,'Comp2016-2017 (3)'!$R$5:$R$289,$V1746)*$AB1746))</f>
        <v/>
      </c>
      <c r="AI1746" s="205" t="str">
        <f>IF($W1746=AI$3,$AB1746,IF(NOT($W1746=0),"",SUMIFS('Val-Vol (2)'!AI$4:AI$1858,'Val-Vol (2)'!$A$4:$A$1858,$D1746,'Val-Vol (2)'!$V$4:$V$1858,$V1746)/SUMIFS('Comp2016-2017 (3)'!$G$5:$G$289,'Comp2016-2017 (3)'!$A$5:$A$289,$D1746,'Comp2016-2017 (3)'!$R$5:$R$289,$V1746)*$AB1746))</f>
        <v/>
      </c>
      <c r="AJ1746" s="205" t="str">
        <f>IF($W1746=AJ$3,$AB1746,IF(NOT($W1746=0),"",SUMIFS('Val-Vol (2)'!AJ$4:AJ$1858,'Val-Vol (2)'!$A$4:$A$1858,$D1746,'Val-Vol (2)'!$V$4:$V$1858,$V1746)/SUMIFS('Comp2016-2017 (3)'!$G$5:$G$289,'Comp2016-2017 (3)'!$A$5:$A$289,$D1746,'Comp2016-2017 (3)'!$R$5:$R$289,$V1746)*$AB1746))</f>
        <v/>
      </c>
      <c r="AK1746" s="205">
        <f t="shared" si="192"/>
        <v>0</v>
      </c>
      <c r="AL1746" s="218" t="str">
        <f t="shared" si="194"/>
        <v/>
      </c>
      <c r="AM1746" s="218" t="str">
        <f>VLOOKUP(A1746,'Table corresp.'!$M$4:$U$63,8,FALSE)</f>
        <v>Production finale</v>
      </c>
      <c r="AN1746" s="218" t="str">
        <f>VLOOKUP(D1746,'Table corresp.'!$M$4:$U$63,9,FALSE)</f>
        <v xml:space="preserve">Mise en œuvre </v>
      </c>
    </row>
    <row r="1747" spans="1:40" x14ac:dyDescent="0.25">
      <c r="A1747" t="s">
        <v>18</v>
      </c>
      <c r="B1747" t="str">
        <f>VLOOKUP(LEFT(A1747,3),'Table corresp.'!$A$4:$D$63,3,FALSE)</f>
        <v>Transformation</v>
      </c>
      <c r="C1747" t="str">
        <f>VLOOKUP(A1747,'Table corresp.'!$M$4:$P$63,4,FALSE)</f>
        <v>Production et transformation de produits bois</v>
      </c>
      <c r="D1747" t="s">
        <v>54</v>
      </c>
      <c r="E1747" t="str">
        <f>VLOOKUP(LEFT(D1747,3),'Table corresp.'!$A$4:$D$63,4,FALSE)</f>
        <v>Consommation finale</v>
      </c>
      <c r="F1747" t="str">
        <f t="shared" si="195"/>
        <v>39  - Con</v>
      </c>
      <c r="G1747" s="238">
        <v>454.53279895617902</v>
      </c>
      <c r="H1747" s="238">
        <v>0</v>
      </c>
      <c r="I1747" s="238">
        <v>454.53279895617902</v>
      </c>
      <c r="J1747" s="238">
        <v>0.54970403616321184</v>
      </c>
      <c r="K1747" s="238">
        <v>0</v>
      </c>
      <c r="L1747" s="238">
        <v>0.54970403616321184</v>
      </c>
      <c r="M1747" s="238">
        <v>0.16004503543421991</v>
      </c>
      <c r="N1747" s="238">
        <v>0</v>
      </c>
      <c r="O1747" s="238">
        <v>0.16004503543421991</v>
      </c>
      <c r="P1747" s="238">
        <v>5.9337463847569105E-2</v>
      </c>
      <c r="Q1747" s="238">
        <v>0</v>
      </c>
      <c r="R1747" s="238">
        <v>5.9337463847569105E-2</v>
      </c>
      <c r="S1747" s="238"/>
      <c r="T1747" s="218">
        <f>VLOOKUP(A1747,'Groupe de branches'!$Z$27:$AM$86,14,FALSE)</f>
        <v>0</v>
      </c>
      <c r="U1747" s="218">
        <f>VLOOKUP(D1747,'Groupe de branches'!$Z$27:$AM$86,14,FALSE)</f>
        <v>0</v>
      </c>
      <c r="V1747" s="218">
        <v>2020</v>
      </c>
      <c r="W1747" s="218" t="str">
        <f>VLOOKUP(D1747,'Table corresp.'!$M$4:$S$63,7,FALSE)</f>
        <v>Consommation finale</v>
      </c>
      <c r="X1747" s="240">
        <f>IFERROR(G1747/SUMIFS('Comp2016-2017 (3)'!$I$5:$I$289,'Comp2016-2017 (3)'!$A$5:$A$289,A1747,'Comp2016-2017 (3)'!$R$5:$R$289,V1747),0)</f>
        <v>1.6620106384756798E-2</v>
      </c>
      <c r="Y1747" s="219" t="e">
        <f>IF(RIGHT(F1747,3)="Exp",VLOOKUP(F1747,#REF!,2,FALSE),VLOOKUP(F1747,#REF!,9,FALSE))</f>
        <v>#REF!</v>
      </c>
      <c r="Z1747" s="226" t="str">
        <f t="shared" si="196"/>
        <v/>
      </c>
      <c r="AA1747" s="226" t="e">
        <f t="shared" si="193"/>
        <v>#VALUE!</v>
      </c>
      <c r="AB1747" s="205">
        <f>IFERROR(SUMIFS('Comp2016-2017 (3)'!$G$5:$G$289,'Comp2016-2017 (3)'!$A$5:$A$289,A1747,'Comp2016-2017 (3)'!$R$5:$R$289,V1747)*AA1747/SUMIFS($AA$4:$AA$1858,$A$4:$A$1858,A1747,$V$4:$V$1858,V1747),0)</f>
        <v>0</v>
      </c>
      <c r="AC1747" s="205" t="str">
        <f>IF($W1747=AC$3,$AB1747,IF(NOT($W1747=0),"",SUMIFS('Val-Vol (2)'!AC$4:AC$1858,'Val-Vol (2)'!$A$4:$A$1858,$D1747,'Val-Vol (2)'!$V$4:$V$1858,$V1747)/SUMIFS('Comp2016-2017 (3)'!$G$5:$G$289,'Comp2016-2017 (3)'!$A$5:$A$289,$D1747,'Comp2016-2017 (3)'!$R$5:$R$289,$V1747)*$AB1747))</f>
        <v/>
      </c>
      <c r="AD1747" s="205" t="str">
        <f>IF($W1747=AD$3,$AB1747,IF(NOT($W1747=0),"",SUMIFS('Val-Vol (2)'!AD$4:AD$1858,'Val-Vol (2)'!$A$4:$A$1858,$D1747,'Val-Vol (2)'!$V$4:$V$1858,$V1747)/SUMIFS('Comp2016-2017 (3)'!$G$5:$G$289,'Comp2016-2017 (3)'!$A$5:$A$289,$D1747,'Comp2016-2017 (3)'!$R$5:$R$289,$V1747)*$AB1747))</f>
        <v/>
      </c>
      <c r="AE1747" s="205" t="str">
        <f>IF($W1747=AE$3,$AB1747,IF(NOT($W1747=0),"",SUMIFS('Val-Vol (2)'!AE$4:AE$1858,'Val-Vol (2)'!$A$4:$A$1858,$D1747,'Val-Vol (2)'!$V$4:$V$1858,$V1747)/SUMIFS('Comp2016-2017 (3)'!$G$5:$G$289,'Comp2016-2017 (3)'!$A$5:$A$289,$D1747,'Comp2016-2017 (3)'!$R$5:$R$289,$V1747)*$AB1747))</f>
        <v/>
      </c>
      <c r="AF1747" s="205" t="str">
        <f>IF($W1747=AF$3,$AB1747,IF(NOT($W1747=0),"",SUMIFS('Val-Vol (2)'!AF$4:AF$1858,'Val-Vol (2)'!$A$4:$A$1858,$D1747,'Val-Vol (2)'!$V$4:$V$1858,$V1747)/SUMIFS('Comp2016-2017 (3)'!$G$5:$G$289,'Comp2016-2017 (3)'!$A$5:$A$289,$D1747,'Comp2016-2017 (3)'!$R$5:$R$289,$V1747)*$AB1747))</f>
        <v/>
      </c>
      <c r="AG1747" s="205" t="str">
        <f>IF($W1747=AG$3,$AB1747,IF(NOT($W1747=0),"",SUMIFS('Val-Vol (2)'!AG$4:AG$1858,'Val-Vol (2)'!$A$4:$A$1858,$D1747,'Val-Vol (2)'!$V$4:$V$1858,$V1747)/SUMIFS('Comp2016-2017 (3)'!$G$5:$G$289,'Comp2016-2017 (3)'!$A$5:$A$289,$D1747,'Comp2016-2017 (3)'!$R$5:$R$289,$V1747)*$AB1747))</f>
        <v/>
      </c>
      <c r="AH1747" s="205" t="str">
        <f>IF($W1747=AH$3,$AB1747,IF(NOT($W1747=0),"",SUMIFS('Val-Vol (2)'!AH$4:AH$1858,'Val-Vol (2)'!$A$4:$A$1858,$D1747,'Val-Vol (2)'!$V$4:$V$1858,$V1747)/SUMIFS('Comp2016-2017 (3)'!$G$5:$G$289,'Comp2016-2017 (3)'!$A$5:$A$289,$D1747,'Comp2016-2017 (3)'!$R$5:$R$289,$V1747)*$AB1747))</f>
        <v/>
      </c>
      <c r="AI1747" s="205" t="str">
        <f>IF($W1747=AI$3,$AB1747,IF(NOT($W1747=0),"",SUMIFS('Val-Vol (2)'!AI$4:AI$1858,'Val-Vol (2)'!$A$4:$A$1858,$D1747,'Val-Vol (2)'!$V$4:$V$1858,$V1747)/SUMIFS('Comp2016-2017 (3)'!$G$5:$G$289,'Comp2016-2017 (3)'!$A$5:$A$289,$D1747,'Comp2016-2017 (3)'!$R$5:$R$289,$V1747)*$AB1747))</f>
        <v/>
      </c>
      <c r="AJ1747" s="205">
        <f>IF($W1747=AJ$3,$AB1747,IF(NOT($W1747=0),"",SUMIFS('Val-Vol (2)'!AJ$4:AJ$1858,'Val-Vol (2)'!$A$4:$A$1858,$D1747,'Val-Vol (2)'!$V$4:$V$1858,$V1747)/SUMIFS('Comp2016-2017 (3)'!$G$5:$G$289,'Comp2016-2017 (3)'!$A$5:$A$289,$D1747,'Comp2016-2017 (3)'!$R$5:$R$289,$V1747)*$AB1747))</f>
        <v>0</v>
      </c>
      <c r="AK1747" s="205">
        <f t="shared" si="192"/>
        <v>0</v>
      </c>
      <c r="AL1747" s="218" t="str">
        <f t="shared" si="194"/>
        <v/>
      </c>
      <c r="AM1747" s="218" t="str">
        <f>VLOOKUP(A1747,'Table corresp.'!$M$4:$U$63,8,FALSE)</f>
        <v>Production finale</v>
      </c>
      <c r="AN1747" s="218" t="str">
        <f>VLOOKUP(D1747,'Table corresp.'!$M$4:$U$63,9,FALSE)</f>
        <v>Consommation finale française</v>
      </c>
    </row>
    <row r="1748" spans="1:40" x14ac:dyDescent="0.25">
      <c r="A1748" t="s">
        <v>18</v>
      </c>
      <c r="B1748" t="str">
        <f>VLOOKUP(LEFT(A1748,3),'Table corresp.'!$A$4:$D$63,3,FALSE)</f>
        <v>Transformation</v>
      </c>
      <c r="C1748" t="str">
        <f>VLOOKUP(A1748,'Table corresp.'!$M$4:$P$63,4,FALSE)</f>
        <v>Production et transformation de produits bois</v>
      </c>
      <c r="D1748" t="s">
        <v>53</v>
      </c>
      <c r="E1748" t="str">
        <f>VLOOKUP(LEFT(D1748,3),'Table corresp.'!$A$4:$D$63,4,FALSE)</f>
        <v>Exportation</v>
      </c>
      <c r="F1748" t="str">
        <f t="shared" si="195"/>
        <v>39  - Exp</v>
      </c>
      <c r="G1748" s="238">
        <v>1775.0407740000001</v>
      </c>
      <c r="H1748" s="238">
        <v>0</v>
      </c>
      <c r="I1748" s="238">
        <v>1775.0407740000001</v>
      </c>
      <c r="J1748" s="238">
        <v>2.367229328669052</v>
      </c>
      <c r="K1748" s="238">
        <v>0</v>
      </c>
      <c r="L1748" s="238">
        <v>2.367229328669052</v>
      </c>
      <c r="M1748" s="238">
        <v>0.68921324360673841</v>
      </c>
      <c r="N1748" s="238">
        <v>0</v>
      </c>
      <c r="O1748" s="238">
        <v>0.68921324360673841</v>
      </c>
      <c r="P1748" s="238">
        <v>0.25552911288266367</v>
      </c>
      <c r="Q1748" s="238">
        <v>0</v>
      </c>
      <c r="R1748" s="238">
        <v>0.25552911288266367</v>
      </c>
      <c r="S1748" s="238"/>
      <c r="T1748" s="218">
        <f>VLOOKUP(A1748,'Groupe de branches'!$Z$27:$AM$86,14,FALSE)</f>
        <v>0</v>
      </c>
      <c r="U1748" s="218">
        <f>VLOOKUP(D1748,'Groupe de branches'!$Z$27:$AM$86,14,FALSE)</f>
        <v>0</v>
      </c>
      <c r="V1748" s="218">
        <v>2020</v>
      </c>
      <c r="W1748" s="218" t="str">
        <f>VLOOKUP(D1748,'Table corresp.'!$M$4:$S$63,7,FALSE)</f>
        <v>Exportation</v>
      </c>
      <c r="X1748" s="240">
        <f>IFERROR(G1748/SUMIFS('Comp2016-2017 (3)'!$I$5:$I$289,'Comp2016-2017 (3)'!$A$5:$A$289,A1748,'Comp2016-2017 (3)'!$R$5:$R$289,V1748),0)</f>
        <v>6.4904813401607225E-2</v>
      </c>
      <c r="Y1748" s="219" t="e">
        <f>IF(RIGHT(F1748,3)="Exp",VLOOKUP(F1748,#REF!,2,FALSE),VLOOKUP(F1748,#REF!,9,FALSE))</f>
        <v>#REF!</v>
      </c>
      <c r="Z1748" s="226" t="str">
        <f t="shared" si="196"/>
        <v/>
      </c>
      <c r="AA1748" s="226" t="e">
        <f t="shared" si="193"/>
        <v>#VALUE!</v>
      </c>
      <c r="AB1748" s="205">
        <f>IFERROR(SUMIFS('Comp2016-2017 (3)'!$G$5:$G$289,'Comp2016-2017 (3)'!$A$5:$A$289,A1748,'Comp2016-2017 (3)'!$R$5:$R$289,V1748)*AA1748/SUMIFS($AA$4:$AA$1858,$A$4:$A$1858,A1748,$V$4:$V$1858,V1748),0)</f>
        <v>0</v>
      </c>
      <c r="AC1748" s="205">
        <f>IF($W1748=AC$3,$AB1748,IF(NOT($W1748=0),"",SUMIFS('Val-Vol (2)'!AC$4:AC$1858,'Val-Vol (2)'!$A$4:$A$1858,$D1748,'Val-Vol (2)'!$V$4:$V$1858,$V1748)/SUMIFS('Comp2016-2017 (3)'!$G$5:$G$289,'Comp2016-2017 (3)'!$A$5:$A$289,$D1748,'Comp2016-2017 (3)'!$R$5:$R$289,$V1748)*$AB1748))</f>
        <v>0</v>
      </c>
      <c r="AD1748" s="205" t="str">
        <f>IF($W1748=AD$3,$AB1748,IF(NOT($W1748=0),"",SUMIFS('Val-Vol (2)'!AD$4:AD$1858,'Val-Vol (2)'!$A$4:$A$1858,$D1748,'Val-Vol (2)'!$V$4:$V$1858,$V1748)/SUMIFS('Comp2016-2017 (3)'!$G$5:$G$289,'Comp2016-2017 (3)'!$A$5:$A$289,$D1748,'Comp2016-2017 (3)'!$R$5:$R$289,$V1748)*$AB1748))</f>
        <v/>
      </c>
      <c r="AE1748" s="205" t="str">
        <f>IF($W1748=AE$3,$AB1748,IF(NOT($W1748=0),"",SUMIFS('Val-Vol (2)'!AE$4:AE$1858,'Val-Vol (2)'!$A$4:$A$1858,$D1748,'Val-Vol (2)'!$V$4:$V$1858,$V1748)/SUMIFS('Comp2016-2017 (3)'!$G$5:$G$289,'Comp2016-2017 (3)'!$A$5:$A$289,$D1748,'Comp2016-2017 (3)'!$R$5:$R$289,$V1748)*$AB1748))</f>
        <v/>
      </c>
      <c r="AF1748" s="205" t="str">
        <f>IF($W1748=AF$3,$AB1748,IF(NOT($W1748=0),"",SUMIFS('Val-Vol (2)'!AF$4:AF$1858,'Val-Vol (2)'!$A$4:$A$1858,$D1748,'Val-Vol (2)'!$V$4:$V$1858,$V1748)/SUMIFS('Comp2016-2017 (3)'!$G$5:$G$289,'Comp2016-2017 (3)'!$A$5:$A$289,$D1748,'Comp2016-2017 (3)'!$R$5:$R$289,$V1748)*$AB1748))</f>
        <v/>
      </c>
      <c r="AG1748" s="205" t="str">
        <f>IF($W1748=AG$3,$AB1748,IF(NOT($W1748=0),"",SUMIFS('Val-Vol (2)'!AG$4:AG$1858,'Val-Vol (2)'!$A$4:$A$1858,$D1748,'Val-Vol (2)'!$V$4:$V$1858,$V1748)/SUMIFS('Comp2016-2017 (3)'!$G$5:$G$289,'Comp2016-2017 (3)'!$A$5:$A$289,$D1748,'Comp2016-2017 (3)'!$R$5:$R$289,$V1748)*$AB1748))</f>
        <v/>
      </c>
      <c r="AH1748" s="205" t="str">
        <f>IF($W1748=AH$3,$AB1748,IF(NOT($W1748=0),"",SUMIFS('Val-Vol (2)'!AH$4:AH$1858,'Val-Vol (2)'!$A$4:$A$1858,$D1748,'Val-Vol (2)'!$V$4:$V$1858,$V1748)/SUMIFS('Comp2016-2017 (3)'!$G$5:$G$289,'Comp2016-2017 (3)'!$A$5:$A$289,$D1748,'Comp2016-2017 (3)'!$R$5:$R$289,$V1748)*$AB1748))</f>
        <v/>
      </c>
      <c r="AI1748" s="205" t="str">
        <f>IF($W1748=AI$3,$AB1748,IF(NOT($W1748=0),"",SUMIFS('Val-Vol (2)'!AI$4:AI$1858,'Val-Vol (2)'!$A$4:$A$1858,$D1748,'Val-Vol (2)'!$V$4:$V$1858,$V1748)/SUMIFS('Comp2016-2017 (3)'!$G$5:$G$289,'Comp2016-2017 (3)'!$A$5:$A$289,$D1748,'Comp2016-2017 (3)'!$R$5:$R$289,$V1748)*$AB1748))</f>
        <v/>
      </c>
      <c r="AJ1748" s="205" t="str">
        <f>IF($W1748=AJ$3,$AB1748,IF(NOT($W1748=0),"",SUMIFS('Val-Vol (2)'!AJ$4:AJ$1858,'Val-Vol (2)'!$A$4:$A$1858,$D1748,'Val-Vol (2)'!$V$4:$V$1858,$V1748)/SUMIFS('Comp2016-2017 (3)'!$G$5:$G$289,'Comp2016-2017 (3)'!$A$5:$A$289,$D1748,'Comp2016-2017 (3)'!$R$5:$R$289,$V1748)*$AB1748))</f>
        <v/>
      </c>
      <c r="AK1748" s="205">
        <f t="shared" si="192"/>
        <v>0</v>
      </c>
      <c r="AL1748" s="218" t="str">
        <f t="shared" si="194"/>
        <v/>
      </c>
      <c r="AM1748" s="218" t="str">
        <f>VLOOKUP(A1748,'Table corresp.'!$M$4:$U$63,8,FALSE)</f>
        <v>Production finale</v>
      </c>
      <c r="AN1748" s="218" t="str">
        <f>VLOOKUP(D1748,'Table corresp.'!$M$4:$U$63,9,FALSE)</f>
        <v>Exportation</v>
      </c>
    </row>
    <row r="1749" spans="1:40" x14ac:dyDescent="0.25">
      <c r="A1749" t="s">
        <v>92</v>
      </c>
      <c r="B1749" t="str">
        <f>VLOOKUP(LEFT(A1749,3),'Table corresp.'!$A$4:$D$63,3,FALSE)</f>
        <v>Transformation</v>
      </c>
      <c r="C1749" t="str">
        <f>VLOOKUP(A1749,'Table corresp.'!$M$4:$P$63,4,FALSE)</f>
        <v>Production et transformation de produits bois</v>
      </c>
      <c r="D1749" t="s">
        <v>54</v>
      </c>
      <c r="E1749" t="str">
        <f>VLOOKUP(LEFT(D1749,3),'Table corresp.'!$A$4:$D$63,4,FALSE)</f>
        <v>Consommation finale</v>
      </c>
      <c r="F1749" t="str">
        <f t="shared" si="195"/>
        <v>40  - Con</v>
      </c>
      <c r="G1749" s="238">
        <v>236542.80463699999</v>
      </c>
      <c r="H1749" s="238">
        <v>28676.149000000001</v>
      </c>
      <c r="I1749" s="238">
        <v>265218.953637</v>
      </c>
      <c r="J1749" s="238">
        <v>494.65090010636777</v>
      </c>
      <c r="K1749" s="238">
        <v>67.078923549804315</v>
      </c>
      <c r="L1749" s="238">
        <v>561.72982365617213</v>
      </c>
      <c r="M1749" s="238"/>
      <c r="N1749" s="238"/>
      <c r="O1749" s="238"/>
      <c r="P1749" s="238"/>
      <c r="Q1749" s="238"/>
      <c r="R1749" s="238"/>
      <c r="S1749" s="238"/>
      <c r="T1749" s="218">
        <f>VLOOKUP(A1749,'Groupe de branches'!$Z$27:$AM$86,14,FALSE)</f>
        <v>0</v>
      </c>
      <c r="U1749" s="218">
        <f>VLOOKUP(D1749,'Groupe de branches'!$Z$27:$AM$86,14,FALSE)</f>
        <v>0</v>
      </c>
      <c r="V1749" s="218">
        <v>2020</v>
      </c>
      <c r="W1749" s="218" t="str">
        <f>VLOOKUP(D1749,'Table corresp.'!$M$4:$S$63,7,FALSE)</f>
        <v>Consommation finale</v>
      </c>
      <c r="X1749" s="240">
        <f>IFERROR(G1749/SUMIFS('Comp2016-2017 (3)'!$I$5:$I$289,'Comp2016-2017 (3)'!$A$5:$A$289,A1749,'Comp2016-2017 (3)'!$R$5:$R$289,V1749),0)</f>
        <v>0.95807045358148202</v>
      </c>
      <c r="Y1749" s="219">
        <f>IFERROR(IF(RIGHT(F1749,3)="Exp",VLOOKUP(F1749,#REF!,2,FALSE),VLOOKUP(F1749,#REF!,9,FALSE)),1)</f>
        <v>1</v>
      </c>
      <c r="Z1749" s="226">
        <f t="shared" si="196"/>
        <v>0.5</v>
      </c>
      <c r="AA1749" s="226">
        <f t="shared" si="193"/>
        <v>0.47903522679074101</v>
      </c>
      <c r="AB1749" s="205">
        <f>IFERROR(SUMIFS('Comp2016-2017 (3)'!$G$5:$G$289,'Comp2016-2017 (3)'!$A$5:$A$289,A1749,'Comp2016-2017 (3)'!$R$5:$R$289,V1749)*AA1749/SUMIFS($AA$4:$AA$1858,$A$4:$A$1858,A1749,$V$4:$V$1858,V1749),0)</f>
        <v>75316.904113744415</v>
      </c>
      <c r="AC1749" s="205" t="str">
        <f>IF($W1749=AC$3,$AB1749,IF(NOT($W1749=0),"",SUMIFS('Val-Vol (2)'!AC$4:AC$1858,'Val-Vol (2)'!$A$4:$A$1858,$D1749,'Val-Vol (2)'!$V$4:$V$1858,$V1749)/SUMIFS('Comp2016-2017 (3)'!$G$5:$G$289,'Comp2016-2017 (3)'!$A$5:$A$289,$D1749,'Comp2016-2017 (3)'!$R$5:$R$289,$V1749)*$AB1749))</f>
        <v/>
      </c>
      <c r="AD1749" s="205" t="str">
        <f>IF($W1749=AD$3,$AB1749,IF(NOT($W1749=0),"",SUMIFS('Val-Vol (2)'!AD$4:AD$1858,'Val-Vol (2)'!$A$4:$A$1858,$D1749,'Val-Vol (2)'!$V$4:$V$1858,$V1749)/SUMIFS('Comp2016-2017 (3)'!$G$5:$G$289,'Comp2016-2017 (3)'!$A$5:$A$289,$D1749,'Comp2016-2017 (3)'!$R$5:$R$289,$V1749)*$AB1749))</f>
        <v/>
      </c>
      <c r="AE1749" s="205" t="str">
        <f>IF($W1749=AE$3,$AB1749,IF(NOT($W1749=0),"",SUMIFS('Val-Vol (2)'!AE$4:AE$1858,'Val-Vol (2)'!$A$4:$A$1858,$D1749,'Val-Vol (2)'!$V$4:$V$1858,$V1749)/SUMIFS('Comp2016-2017 (3)'!$G$5:$G$289,'Comp2016-2017 (3)'!$A$5:$A$289,$D1749,'Comp2016-2017 (3)'!$R$5:$R$289,$V1749)*$AB1749))</f>
        <v/>
      </c>
      <c r="AF1749" s="205" t="str">
        <f>IF($W1749=AF$3,$AB1749,IF(NOT($W1749=0),"",SUMIFS('Val-Vol (2)'!AF$4:AF$1858,'Val-Vol (2)'!$A$4:$A$1858,$D1749,'Val-Vol (2)'!$V$4:$V$1858,$V1749)/SUMIFS('Comp2016-2017 (3)'!$G$5:$G$289,'Comp2016-2017 (3)'!$A$5:$A$289,$D1749,'Comp2016-2017 (3)'!$R$5:$R$289,$V1749)*$AB1749))</f>
        <v/>
      </c>
      <c r="AG1749" s="205" t="str">
        <f>IF($W1749=AG$3,$AB1749,IF(NOT($W1749=0),"",SUMIFS('Val-Vol (2)'!AG$4:AG$1858,'Val-Vol (2)'!$A$4:$A$1858,$D1749,'Val-Vol (2)'!$V$4:$V$1858,$V1749)/SUMIFS('Comp2016-2017 (3)'!$G$5:$G$289,'Comp2016-2017 (3)'!$A$5:$A$289,$D1749,'Comp2016-2017 (3)'!$R$5:$R$289,$V1749)*$AB1749))</f>
        <v/>
      </c>
      <c r="AH1749" s="205" t="str">
        <f>IF($W1749=AH$3,$AB1749,IF(NOT($W1749=0),"",SUMIFS('Val-Vol (2)'!AH$4:AH$1858,'Val-Vol (2)'!$A$4:$A$1858,$D1749,'Val-Vol (2)'!$V$4:$V$1858,$V1749)/SUMIFS('Comp2016-2017 (3)'!$G$5:$G$289,'Comp2016-2017 (3)'!$A$5:$A$289,$D1749,'Comp2016-2017 (3)'!$R$5:$R$289,$V1749)*$AB1749))</f>
        <v/>
      </c>
      <c r="AI1749" s="205" t="str">
        <f>IF($W1749=AI$3,$AB1749,IF(NOT($W1749=0),"",SUMIFS('Val-Vol (2)'!AI$4:AI$1858,'Val-Vol (2)'!$A$4:$A$1858,$D1749,'Val-Vol (2)'!$V$4:$V$1858,$V1749)/SUMIFS('Comp2016-2017 (3)'!$G$5:$G$289,'Comp2016-2017 (3)'!$A$5:$A$289,$D1749,'Comp2016-2017 (3)'!$R$5:$R$289,$V1749)*$AB1749))</f>
        <v/>
      </c>
      <c r="AJ1749" s="205">
        <f>IF($W1749=AJ$3,$AB1749,IF(NOT($W1749=0),"",SUMIFS('Val-Vol (2)'!AJ$4:AJ$1858,'Val-Vol (2)'!$A$4:$A$1858,$D1749,'Val-Vol (2)'!$V$4:$V$1858,$V1749)/SUMIFS('Comp2016-2017 (3)'!$G$5:$G$289,'Comp2016-2017 (3)'!$A$5:$A$289,$D1749,'Comp2016-2017 (3)'!$R$5:$R$289,$V1749)*$AB1749))</f>
        <v>75316.904113744415</v>
      </c>
      <c r="AK1749" s="205">
        <f t="shared" si="192"/>
        <v>0</v>
      </c>
      <c r="AL1749" s="218" t="str">
        <f t="shared" si="194"/>
        <v/>
      </c>
      <c r="AM1749" s="218" t="str">
        <f>VLOOKUP(A1749,'Table corresp.'!$M$4:$U$63,8,FALSE)</f>
        <v>Production finale</v>
      </c>
      <c r="AN1749" s="218" t="str">
        <f>VLOOKUP(D1749,'Table corresp.'!$M$4:$U$63,9,FALSE)</f>
        <v>Consommation finale française</v>
      </c>
    </row>
    <row r="1750" spans="1:40" x14ac:dyDescent="0.25">
      <c r="A1750" t="s">
        <v>92</v>
      </c>
      <c r="B1750" t="str">
        <f>VLOOKUP(LEFT(A1750,3),'Table corresp.'!$A$4:$D$63,3,FALSE)</f>
        <v>Transformation</v>
      </c>
      <c r="C1750" t="str">
        <f>VLOOKUP(A1750,'Table corresp.'!$M$4:$P$63,4,FALSE)</f>
        <v>Production et transformation de produits bois</v>
      </c>
      <c r="D1750" t="s">
        <v>53</v>
      </c>
      <c r="E1750" t="str">
        <f>VLOOKUP(LEFT(D1750,3),'Table corresp.'!$A$4:$D$63,4,FALSE)</f>
        <v>Exportation</v>
      </c>
      <c r="F1750" t="str">
        <f t="shared" si="195"/>
        <v>40  - Exp</v>
      </c>
      <c r="G1750" s="238">
        <v>10352.195363000001</v>
      </c>
      <c r="H1750" s="238">
        <v>0</v>
      </c>
      <c r="I1750" s="238">
        <v>10352.195363000001</v>
      </c>
      <c r="J1750" s="238">
        <v>21.648186518474777</v>
      </c>
      <c r="K1750" s="238">
        <v>0</v>
      </c>
      <c r="L1750" s="238">
        <v>21.648186518474777</v>
      </c>
      <c r="M1750" s="238"/>
      <c r="N1750" s="238"/>
      <c r="O1750" s="238"/>
      <c r="P1750" s="238"/>
      <c r="Q1750" s="238"/>
      <c r="R1750" s="238"/>
      <c r="S1750" s="238"/>
      <c r="T1750" s="218">
        <f>VLOOKUP(A1750,'Groupe de branches'!$Z$27:$AM$86,14,FALSE)</f>
        <v>0</v>
      </c>
      <c r="U1750" s="218">
        <f>VLOOKUP(D1750,'Groupe de branches'!$Z$27:$AM$86,14,FALSE)</f>
        <v>0</v>
      </c>
      <c r="V1750" s="218">
        <v>2020</v>
      </c>
      <c r="W1750" s="218" t="str">
        <f>VLOOKUP(D1750,'Table corresp.'!$M$4:$S$63,7,FALSE)</f>
        <v>Exportation</v>
      </c>
      <c r="X1750" s="240">
        <f>IFERROR(G1750/SUMIFS('Comp2016-2017 (3)'!$I$5:$I$289,'Comp2016-2017 (3)'!$A$5:$A$289,A1750,'Comp2016-2017 (3)'!$R$5:$R$289,V1750),0)</f>
        <v>4.1929546418517996E-2</v>
      </c>
      <c r="Y1750" s="219">
        <f>IFERROR(IF(RIGHT(F1750,3)="Exp",VLOOKUP(F1750,#REF!,2,FALSE),VLOOKUP(F1750,#REF!,9,FALSE)),1)</f>
        <v>1</v>
      </c>
      <c r="Z1750" s="226">
        <f t="shared" si="196"/>
        <v>0.5</v>
      </c>
      <c r="AA1750" s="226">
        <f t="shared" si="193"/>
        <v>2.0964773209258998E-2</v>
      </c>
      <c r="AB1750" s="205">
        <f>IFERROR(SUMIFS('Comp2016-2017 (3)'!$G$5:$G$289,'Comp2016-2017 (3)'!$A$5:$A$289,A1750,'Comp2016-2017 (3)'!$R$5:$R$289,V1750)*AA1750/SUMIFS($AA$4:$AA$1858,$A$4:$A$1858,A1750,$V$4:$V$1858,V1750),0)</f>
        <v>3296.2123143772887</v>
      </c>
      <c r="AC1750" s="205">
        <f>IF($W1750=AC$3,$AB1750,IF(NOT($W1750=0),"",SUMIFS('Val-Vol (2)'!AC$4:AC$1858,'Val-Vol (2)'!$A$4:$A$1858,$D1750,'Val-Vol (2)'!$V$4:$V$1858,$V1750)/SUMIFS('Comp2016-2017 (3)'!$G$5:$G$289,'Comp2016-2017 (3)'!$A$5:$A$289,$D1750,'Comp2016-2017 (3)'!$R$5:$R$289,$V1750)*$AB1750))</f>
        <v>3296.2123143772887</v>
      </c>
      <c r="AD1750" s="205" t="str">
        <f>IF($W1750=AD$3,$AB1750,IF(NOT($W1750=0),"",SUMIFS('Val-Vol (2)'!AD$4:AD$1858,'Val-Vol (2)'!$A$4:$A$1858,$D1750,'Val-Vol (2)'!$V$4:$V$1858,$V1750)/SUMIFS('Comp2016-2017 (3)'!$G$5:$G$289,'Comp2016-2017 (3)'!$A$5:$A$289,$D1750,'Comp2016-2017 (3)'!$R$5:$R$289,$V1750)*$AB1750))</f>
        <v/>
      </c>
      <c r="AE1750" s="205" t="str">
        <f>IF($W1750=AE$3,$AB1750,IF(NOT($W1750=0),"",SUMIFS('Val-Vol (2)'!AE$4:AE$1858,'Val-Vol (2)'!$A$4:$A$1858,$D1750,'Val-Vol (2)'!$V$4:$V$1858,$V1750)/SUMIFS('Comp2016-2017 (3)'!$G$5:$G$289,'Comp2016-2017 (3)'!$A$5:$A$289,$D1750,'Comp2016-2017 (3)'!$R$5:$R$289,$V1750)*$AB1750))</f>
        <v/>
      </c>
      <c r="AF1750" s="205" t="str">
        <f>IF($W1750=AF$3,$AB1750,IF(NOT($W1750=0),"",SUMIFS('Val-Vol (2)'!AF$4:AF$1858,'Val-Vol (2)'!$A$4:$A$1858,$D1750,'Val-Vol (2)'!$V$4:$V$1858,$V1750)/SUMIFS('Comp2016-2017 (3)'!$G$5:$G$289,'Comp2016-2017 (3)'!$A$5:$A$289,$D1750,'Comp2016-2017 (3)'!$R$5:$R$289,$V1750)*$AB1750))</f>
        <v/>
      </c>
      <c r="AG1750" s="205" t="str">
        <f>IF($W1750=AG$3,$AB1750,IF(NOT($W1750=0),"",SUMIFS('Val-Vol (2)'!AG$4:AG$1858,'Val-Vol (2)'!$A$4:$A$1858,$D1750,'Val-Vol (2)'!$V$4:$V$1858,$V1750)/SUMIFS('Comp2016-2017 (3)'!$G$5:$G$289,'Comp2016-2017 (3)'!$A$5:$A$289,$D1750,'Comp2016-2017 (3)'!$R$5:$R$289,$V1750)*$AB1750))</f>
        <v/>
      </c>
      <c r="AH1750" s="205" t="str">
        <f>IF($W1750=AH$3,$AB1750,IF(NOT($W1750=0),"",SUMIFS('Val-Vol (2)'!AH$4:AH$1858,'Val-Vol (2)'!$A$4:$A$1858,$D1750,'Val-Vol (2)'!$V$4:$V$1858,$V1750)/SUMIFS('Comp2016-2017 (3)'!$G$5:$G$289,'Comp2016-2017 (3)'!$A$5:$A$289,$D1750,'Comp2016-2017 (3)'!$R$5:$R$289,$V1750)*$AB1750))</f>
        <v/>
      </c>
      <c r="AI1750" s="205" t="str">
        <f>IF($W1750=AI$3,$AB1750,IF(NOT($W1750=0),"",SUMIFS('Val-Vol (2)'!AI$4:AI$1858,'Val-Vol (2)'!$A$4:$A$1858,$D1750,'Val-Vol (2)'!$V$4:$V$1858,$V1750)/SUMIFS('Comp2016-2017 (3)'!$G$5:$G$289,'Comp2016-2017 (3)'!$A$5:$A$289,$D1750,'Comp2016-2017 (3)'!$R$5:$R$289,$V1750)*$AB1750))</f>
        <v/>
      </c>
      <c r="AJ1750" s="205" t="str">
        <f>IF($W1750=AJ$3,$AB1750,IF(NOT($W1750=0),"",SUMIFS('Val-Vol (2)'!AJ$4:AJ$1858,'Val-Vol (2)'!$A$4:$A$1858,$D1750,'Val-Vol (2)'!$V$4:$V$1858,$V1750)/SUMIFS('Comp2016-2017 (3)'!$G$5:$G$289,'Comp2016-2017 (3)'!$A$5:$A$289,$D1750,'Comp2016-2017 (3)'!$R$5:$R$289,$V1750)*$AB1750))</f>
        <v/>
      </c>
      <c r="AK1750" s="205">
        <f t="shared" si="192"/>
        <v>0</v>
      </c>
      <c r="AL1750" s="218" t="str">
        <f t="shared" si="194"/>
        <v/>
      </c>
      <c r="AM1750" s="218" t="str">
        <f>VLOOKUP(A1750,'Table corresp.'!$M$4:$U$63,8,FALSE)</f>
        <v>Production finale</v>
      </c>
      <c r="AN1750" s="218" t="str">
        <f>VLOOKUP(D1750,'Table corresp.'!$M$4:$U$63,9,FALSE)</f>
        <v>Exportation</v>
      </c>
    </row>
    <row r="1751" spans="1:40" x14ac:dyDescent="0.25">
      <c r="A1751" t="s">
        <v>93</v>
      </c>
      <c r="B1751" t="str">
        <f>VLOOKUP(LEFT(A1751,3),'Table corresp.'!$A$4:$D$63,3,FALSE)</f>
        <v>Transformation</v>
      </c>
      <c r="C1751" t="str">
        <f>VLOOKUP(A1751,'Table corresp.'!$M$4:$P$63,4,FALSE)</f>
        <v>Production et transformation de produits bois</v>
      </c>
      <c r="D1751" t="s">
        <v>54</v>
      </c>
      <c r="E1751" t="str">
        <f>VLOOKUP(LEFT(D1751,3),'Table corresp.'!$A$4:$D$63,4,FALSE)</f>
        <v>Consommation finale</v>
      </c>
      <c r="F1751" t="str">
        <f t="shared" si="195"/>
        <v>41  - Con</v>
      </c>
      <c r="G1751" s="238">
        <v>184683.68678413099</v>
      </c>
      <c r="H1751" s="238">
        <v>198336.408</v>
      </c>
      <c r="I1751" s="238">
        <v>383020.09478413098</v>
      </c>
      <c r="J1751" s="238">
        <v>189.99700200037407</v>
      </c>
      <c r="K1751" s="238">
        <v>554.10759438939306</v>
      </c>
      <c r="L1751" s="238">
        <v>744.10459638976715</v>
      </c>
      <c r="M1751" s="238"/>
      <c r="N1751" s="238"/>
      <c r="O1751" s="238"/>
      <c r="P1751" s="238"/>
      <c r="Q1751" s="238"/>
      <c r="R1751" s="238"/>
      <c r="S1751" s="238"/>
      <c r="T1751" s="218">
        <f>VLOOKUP(A1751,'Groupe de branches'!$Z$27:$AM$86,14,FALSE)</f>
        <v>0</v>
      </c>
      <c r="U1751" s="218">
        <f>VLOOKUP(D1751,'Groupe de branches'!$Z$27:$AM$86,14,FALSE)</f>
        <v>0</v>
      </c>
      <c r="V1751" s="218">
        <v>2020</v>
      </c>
      <c r="W1751" s="218" t="str">
        <f>VLOOKUP(D1751,'Table corresp.'!$M$4:$S$63,7,FALSE)</f>
        <v>Consommation finale</v>
      </c>
      <c r="X1751" s="240">
        <f>IFERROR(G1751/SUMIFS('Comp2016-2017 (3)'!$I$5:$I$289,'Comp2016-2017 (3)'!$A$5:$A$289,A1751,'Comp2016-2017 (3)'!$R$5:$R$289,V1751),0)</f>
        <v>0.77741044498224288</v>
      </c>
      <c r="Y1751" s="219" t="e">
        <f>IF(RIGHT(F1751,3)="Exp",VLOOKUP(F1751,#REF!,2,FALSE),VLOOKUP(F1751,#REF!,9,FALSE))</f>
        <v>#REF!</v>
      </c>
      <c r="Z1751" s="226" t="str">
        <f t="shared" si="196"/>
        <v/>
      </c>
      <c r="AA1751" s="226" t="e">
        <f t="shared" si="193"/>
        <v>#VALUE!</v>
      </c>
      <c r="AB1751" s="205">
        <f>IFERROR(SUMIFS('Comp2016-2017 (3)'!$G$5:$G$289,'Comp2016-2017 (3)'!$A$5:$A$289,A1751,'Comp2016-2017 (3)'!$R$5:$R$289,V1751)*AA1751/SUMIFS($AA$4:$AA$1858,$A$4:$A$1858,A1751,$V$4:$V$1858,V1751),0)</f>
        <v>0</v>
      </c>
      <c r="AC1751" s="205" t="str">
        <f>IF($W1751=AC$3,$AB1751,IF(NOT($W1751=0),"",SUMIFS('Val-Vol (2)'!AC$4:AC$1858,'Val-Vol (2)'!$A$4:$A$1858,$D1751,'Val-Vol (2)'!$V$4:$V$1858,$V1751)/SUMIFS('Comp2016-2017 (3)'!$G$5:$G$289,'Comp2016-2017 (3)'!$A$5:$A$289,$D1751,'Comp2016-2017 (3)'!$R$5:$R$289,$V1751)*$AB1751))</f>
        <v/>
      </c>
      <c r="AD1751" s="205" t="str">
        <f>IF($W1751=AD$3,$AB1751,IF(NOT($W1751=0),"",SUMIFS('Val-Vol (2)'!AD$4:AD$1858,'Val-Vol (2)'!$A$4:$A$1858,$D1751,'Val-Vol (2)'!$V$4:$V$1858,$V1751)/SUMIFS('Comp2016-2017 (3)'!$G$5:$G$289,'Comp2016-2017 (3)'!$A$5:$A$289,$D1751,'Comp2016-2017 (3)'!$R$5:$R$289,$V1751)*$AB1751))</f>
        <v/>
      </c>
      <c r="AE1751" s="205" t="str">
        <f>IF($W1751=AE$3,$AB1751,IF(NOT($W1751=0),"",SUMIFS('Val-Vol (2)'!AE$4:AE$1858,'Val-Vol (2)'!$A$4:$A$1858,$D1751,'Val-Vol (2)'!$V$4:$V$1858,$V1751)/SUMIFS('Comp2016-2017 (3)'!$G$5:$G$289,'Comp2016-2017 (3)'!$A$5:$A$289,$D1751,'Comp2016-2017 (3)'!$R$5:$R$289,$V1751)*$AB1751))</f>
        <v/>
      </c>
      <c r="AF1751" s="205" t="str">
        <f>IF($W1751=AF$3,$AB1751,IF(NOT($W1751=0),"",SUMIFS('Val-Vol (2)'!AF$4:AF$1858,'Val-Vol (2)'!$A$4:$A$1858,$D1751,'Val-Vol (2)'!$V$4:$V$1858,$V1751)/SUMIFS('Comp2016-2017 (3)'!$G$5:$G$289,'Comp2016-2017 (3)'!$A$5:$A$289,$D1751,'Comp2016-2017 (3)'!$R$5:$R$289,$V1751)*$AB1751))</f>
        <v/>
      </c>
      <c r="AG1751" s="205" t="str">
        <f>IF($W1751=AG$3,$AB1751,IF(NOT($W1751=0),"",SUMIFS('Val-Vol (2)'!AG$4:AG$1858,'Val-Vol (2)'!$A$4:$A$1858,$D1751,'Val-Vol (2)'!$V$4:$V$1858,$V1751)/SUMIFS('Comp2016-2017 (3)'!$G$5:$G$289,'Comp2016-2017 (3)'!$A$5:$A$289,$D1751,'Comp2016-2017 (3)'!$R$5:$R$289,$V1751)*$AB1751))</f>
        <v/>
      </c>
      <c r="AH1751" s="205" t="str">
        <f>IF($W1751=AH$3,$AB1751,IF(NOT($W1751=0),"",SUMIFS('Val-Vol (2)'!AH$4:AH$1858,'Val-Vol (2)'!$A$4:$A$1858,$D1751,'Val-Vol (2)'!$V$4:$V$1858,$V1751)/SUMIFS('Comp2016-2017 (3)'!$G$5:$G$289,'Comp2016-2017 (3)'!$A$5:$A$289,$D1751,'Comp2016-2017 (3)'!$R$5:$R$289,$V1751)*$AB1751))</f>
        <v/>
      </c>
      <c r="AI1751" s="205" t="str">
        <f>IF($W1751=AI$3,$AB1751,IF(NOT($W1751=0),"",SUMIFS('Val-Vol (2)'!AI$4:AI$1858,'Val-Vol (2)'!$A$4:$A$1858,$D1751,'Val-Vol (2)'!$V$4:$V$1858,$V1751)/SUMIFS('Comp2016-2017 (3)'!$G$5:$G$289,'Comp2016-2017 (3)'!$A$5:$A$289,$D1751,'Comp2016-2017 (3)'!$R$5:$R$289,$V1751)*$AB1751))</f>
        <v/>
      </c>
      <c r="AJ1751" s="205">
        <f>IF($W1751=AJ$3,$AB1751,IF(NOT($W1751=0),"",SUMIFS('Val-Vol (2)'!AJ$4:AJ$1858,'Val-Vol (2)'!$A$4:$A$1858,$D1751,'Val-Vol (2)'!$V$4:$V$1858,$V1751)/SUMIFS('Comp2016-2017 (3)'!$G$5:$G$289,'Comp2016-2017 (3)'!$A$5:$A$289,$D1751,'Comp2016-2017 (3)'!$R$5:$R$289,$V1751)*$AB1751))</f>
        <v>0</v>
      </c>
      <c r="AK1751" s="205">
        <f t="shared" si="192"/>
        <v>0</v>
      </c>
      <c r="AL1751" s="218" t="str">
        <f t="shared" si="194"/>
        <v/>
      </c>
      <c r="AM1751" s="218" t="str">
        <f>VLOOKUP(A1751,'Table corresp.'!$M$4:$U$63,8,FALSE)</f>
        <v>Production finale</v>
      </c>
      <c r="AN1751" s="218" t="str">
        <f>VLOOKUP(D1751,'Table corresp.'!$M$4:$U$63,9,FALSE)</f>
        <v>Consommation finale française</v>
      </c>
    </row>
    <row r="1752" spans="1:40" x14ac:dyDescent="0.25">
      <c r="A1752" t="s">
        <v>93</v>
      </c>
      <c r="B1752" t="str">
        <f>VLOOKUP(LEFT(A1752,3),'Table corresp.'!$A$4:$D$63,3,FALSE)</f>
        <v>Transformation</v>
      </c>
      <c r="C1752" t="str">
        <f>VLOOKUP(A1752,'Table corresp.'!$M$4:$P$63,4,FALSE)</f>
        <v>Production et transformation de produits bois</v>
      </c>
      <c r="D1752" t="s">
        <v>53</v>
      </c>
      <c r="E1752" t="str">
        <f>VLOOKUP(LEFT(D1752,3),'Table corresp.'!$A$4:$D$63,4,FALSE)</f>
        <v>Exportation</v>
      </c>
      <c r="F1752" t="str">
        <f t="shared" si="195"/>
        <v>41  - Exp</v>
      </c>
      <c r="G1752" s="238">
        <v>52878.9649350002</v>
      </c>
      <c r="H1752" s="238">
        <v>0</v>
      </c>
      <c r="I1752" s="238">
        <v>52878.9649350002</v>
      </c>
      <c r="J1752" s="238">
        <v>46.938708880098083</v>
      </c>
      <c r="K1752" s="238">
        <v>0</v>
      </c>
      <c r="L1752" s="238">
        <v>46.938708880098083</v>
      </c>
      <c r="M1752" s="238"/>
      <c r="N1752" s="238"/>
      <c r="O1752" s="238"/>
      <c r="P1752" s="238"/>
      <c r="Q1752" s="238"/>
      <c r="R1752" s="238"/>
      <c r="S1752" s="238"/>
      <c r="T1752" s="218">
        <f>VLOOKUP(A1752,'Groupe de branches'!$Z$27:$AM$86,14,FALSE)</f>
        <v>0</v>
      </c>
      <c r="U1752" s="218">
        <f>VLOOKUP(D1752,'Groupe de branches'!$Z$27:$AM$86,14,FALSE)</f>
        <v>0</v>
      </c>
      <c r="V1752" s="218">
        <v>2020</v>
      </c>
      <c r="W1752" s="218" t="str">
        <f>VLOOKUP(D1752,'Table corresp.'!$M$4:$S$63,7,FALSE)</f>
        <v>Exportation</v>
      </c>
      <c r="X1752" s="240">
        <f>IFERROR(G1752/SUMIFS('Comp2016-2017 (3)'!$I$5:$I$289,'Comp2016-2017 (3)'!$A$5:$A$289,A1752,'Comp2016-2017 (3)'!$R$5:$R$289,V1752),0)</f>
        <v>0.22258955501775915</v>
      </c>
      <c r="Y1752" s="219" t="e">
        <f>IF(RIGHT(F1752,3)="Exp",VLOOKUP(F1752,#REF!,2,FALSE),VLOOKUP(F1752,#REF!,9,FALSE))</f>
        <v>#REF!</v>
      </c>
      <c r="Z1752" s="226" t="str">
        <f t="shared" si="196"/>
        <v/>
      </c>
      <c r="AA1752" s="226" t="e">
        <f t="shared" si="193"/>
        <v>#VALUE!</v>
      </c>
      <c r="AB1752" s="205">
        <f>IFERROR(SUMIFS('Comp2016-2017 (3)'!$G$5:$G$289,'Comp2016-2017 (3)'!$A$5:$A$289,A1752,'Comp2016-2017 (3)'!$R$5:$R$289,V1752)*AA1752/SUMIFS($AA$4:$AA$1858,$A$4:$A$1858,A1752,$V$4:$V$1858,V1752),0)</f>
        <v>0</v>
      </c>
      <c r="AC1752" s="205">
        <f>IF($W1752=AC$3,$AB1752,IF(NOT($W1752=0),"",SUMIFS('Val-Vol (2)'!AC$4:AC$1858,'Val-Vol (2)'!$A$4:$A$1858,$D1752,'Val-Vol (2)'!$V$4:$V$1858,$V1752)/SUMIFS('Comp2016-2017 (3)'!$G$5:$G$289,'Comp2016-2017 (3)'!$A$5:$A$289,$D1752,'Comp2016-2017 (3)'!$R$5:$R$289,$V1752)*$AB1752))</f>
        <v>0</v>
      </c>
      <c r="AD1752" s="205" t="str">
        <f>IF($W1752=AD$3,$AB1752,IF(NOT($W1752=0),"",SUMIFS('Val-Vol (2)'!AD$4:AD$1858,'Val-Vol (2)'!$A$4:$A$1858,$D1752,'Val-Vol (2)'!$V$4:$V$1858,$V1752)/SUMIFS('Comp2016-2017 (3)'!$G$5:$G$289,'Comp2016-2017 (3)'!$A$5:$A$289,$D1752,'Comp2016-2017 (3)'!$R$5:$R$289,$V1752)*$AB1752))</f>
        <v/>
      </c>
      <c r="AE1752" s="205" t="str">
        <f>IF($W1752=AE$3,$AB1752,IF(NOT($W1752=0),"",SUMIFS('Val-Vol (2)'!AE$4:AE$1858,'Val-Vol (2)'!$A$4:$A$1858,$D1752,'Val-Vol (2)'!$V$4:$V$1858,$V1752)/SUMIFS('Comp2016-2017 (3)'!$G$5:$G$289,'Comp2016-2017 (3)'!$A$5:$A$289,$D1752,'Comp2016-2017 (3)'!$R$5:$R$289,$V1752)*$AB1752))</f>
        <v/>
      </c>
      <c r="AF1752" s="205" t="str">
        <f>IF($W1752=AF$3,$AB1752,IF(NOT($W1752=0),"",SUMIFS('Val-Vol (2)'!AF$4:AF$1858,'Val-Vol (2)'!$A$4:$A$1858,$D1752,'Val-Vol (2)'!$V$4:$V$1858,$V1752)/SUMIFS('Comp2016-2017 (3)'!$G$5:$G$289,'Comp2016-2017 (3)'!$A$5:$A$289,$D1752,'Comp2016-2017 (3)'!$R$5:$R$289,$V1752)*$AB1752))</f>
        <v/>
      </c>
      <c r="AG1752" s="205" t="str">
        <f>IF($W1752=AG$3,$AB1752,IF(NOT($W1752=0),"",SUMIFS('Val-Vol (2)'!AG$4:AG$1858,'Val-Vol (2)'!$A$4:$A$1858,$D1752,'Val-Vol (2)'!$V$4:$V$1858,$V1752)/SUMIFS('Comp2016-2017 (3)'!$G$5:$G$289,'Comp2016-2017 (3)'!$A$5:$A$289,$D1752,'Comp2016-2017 (3)'!$R$5:$R$289,$V1752)*$AB1752))</f>
        <v/>
      </c>
      <c r="AH1752" s="205" t="str">
        <f>IF($W1752=AH$3,$AB1752,IF(NOT($W1752=0),"",SUMIFS('Val-Vol (2)'!AH$4:AH$1858,'Val-Vol (2)'!$A$4:$A$1858,$D1752,'Val-Vol (2)'!$V$4:$V$1858,$V1752)/SUMIFS('Comp2016-2017 (3)'!$G$5:$G$289,'Comp2016-2017 (3)'!$A$5:$A$289,$D1752,'Comp2016-2017 (3)'!$R$5:$R$289,$V1752)*$AB1752))</f>
        <v/>
      </c>
      <c r="AI1752" s="205" t="str">
        <f>IF($W1752=AI$3,$AB1752,IF(NOT($W1752=0),"",SUMIFS('Val-Vol (2)'!AI$4:AI$1858,'Val-Vol (2)'!$A$4:$A$1858,$D1752,'Val-Vol (2)'!$V$4:$V$1858,$V1752)/SUMIFS('Comp2016-2017 (3)'!$G$5:$G$289,'Comp2016-2017 (3)'!$A$5:$A$289,$D1752,'Comp2016-2017 (3)'!$R$5:$R$289,$V1752)*$AB1752))</f>
        <v/>
      </c>
      <c r="AJ1752" s="205" t="str">
        <f>IF($W1752=AJ$3,$AB1752,IF(NOT($W1752=0),"",SUMIFS('Val-Vol (2)'!AJ$4:AJ$1858,'Val-Vol (2)'!$A$4:$A$1858,$D1752,'Val-Vol (2)'!$V$4:$V$1858,$V1752)/SUMIFS('Comp2016-2017 (3)'!$G$5:$G$289,'Comp2016-2017 (3)'!$A$5:$A$289,$D1752,'Comp2016-2017 (3)'!$R$5:$R$289,$V1752)*$AB1752))</f>
        <v/>
      </c>
      <c r="AK1752" s="205">
        <f t="shared" si="192"/>
        <v>0</v>
      </c>
      <c r="AL1752" s="218" t="str">
        <f t="shared" si="194"/>
        <v/>
      </c>
      <c r="AM1752" s="218" t="str">
        <f>VLOOKUP(A1752,'Table corresp.'!$M$4:$U$63,8,FALSE)</f>
        <v>Production finale</v>
      </c>
      <c r="AN1752" s="218" t="str">
        <f>VLOOKUP(D1752,'Table corresp.'!$M$4:$U$63,9,FALSE)</f>
        <v>Exportation</v>
      </c>
    </row>
    <row r="1753" spans="1:40" x14ac:dyDescent="0.25">
      <c r="A1753" t="s">
        <v>94</v>
      </c>
      <c r="B1753" t="str">
        <f>VLOOKUP(LEFT(A1753,3),'Table corresp.'!$A$4:$D$63,3,FALSE)</f>
        <v>Transformation</v>
      </c>
      <c r="C1753" t="str">
        <f>VLOOKUP(A1753,'Table corresp.'!$M$4:$P$63,4,FALSE)</f>
        <v>Production et transformation de produits bois</v>
      </c>
      <c r="D1753" t="s">
        <v>20</v>
      </c>
      <c r="E1753" t="str">
        <f>VLOOKUP(LEFT(D1753,3),'Table corresp.'!$A$4:$D$63,4,FALSE)</f>
        <v>Transformation</v>
      </c>
      <c r="F1753" t="str">
        <f t="shared" si="195"/>
        <v xml:space="preserve">42  - 53 </v>
      </c>
      <c r="G1753" s="238">
        <v>324.18600061712999</v>
      </c>
      <c r="H1753" s="238">
        <v>532.80787779617697</v>
      </c>
      <c r="I1753" s="238">
        <v>856.99387841330702</v>
      </c>
      <c r="J1753" s="238">
        <v>1.7868598002035236E-2</v>
      </c>
      <c r="K1753" s="238">
        <v>5.9574141613584486E-2</v>
      </c>
      <c r="L1753" s="238">
        <v>7.7442739615619718E-2</v>
      </c>
      <c r="M1753" s="238"/>
      <c r="N1753" s="238"/>
      <c r="O1753" s="238"/>
      <c r="P1753" s="238"/>
      <c r="Q1753" s="238"/>
      <c r="R1753" s="238"/>
      <c r="S1753" s="238"/>
      <c r="T1753" s="218">
        <f>VLOOKUP(A1753,'Groupe de branches'!$Z$27:$AM$86,14,FALSE)</f>
        <v>0</v>
      </c>
      <c r="U1753" s="218">
        <f>VLOOKUP(D1753,'Groupe de branches'!$Z$27:$AM$86,14,FALSE)</f>
        <v>0</v>
      </c>
      <c r="V1753" s="218">
        <v>2020</v>
      </c>
      <c r="W1753" s="218" t="str">
        <f>VLOOKUP(D1753,'Table corresp.'!$M$4:$S$63,7,FALSE)</f>
        <v>Construction</v>
      </c>
      <c r="X1753" s="240">
        <f>IFERROR(G1753/SUMIFS('Comp2016-2017 (3)'!$I$5:$I$289,'Comp2016-2017 (3)'!$A$5:$A$289,A1753,'Comp2016-2017 (3)'!$R$5:$R$289,V1753),0)</f>
        <v>8.955592846817365E-4</v>
      </c>
      <c r="Y1753" s="219" t="e">
        <f>IF(RIGHT(F1753,3)="Exp",VLOOKUP(F1753,#REF!,2,FALSE),VLOOKUP(F1753,#REF!,9,FALSE))</f>
        <v>#REF!</v>
      </c>
      <c r="Z1753" s="226" t="str">
        <f t="shared" si="196"/>
        <v/>
      </c>
      <c r="AA1753" s="226" t="e">
        <f t="shared" si="193"/>
        <v>#VALUE!</v>
      </c>
      <c r="AB1753" s="205">
        <f>IFERROR(SUMIFS('Comp2016-2017 (3)'!$G$5:$G$289,'Comp2016-2017 (3)'!$A$5:$A$289,A1753,'Comp2016-2017 (3)'!$R$5:$R$289,V1753)*AA1753/SUMIFS($AA$4:$AA$1858,$A$4:$A$1858,A1753,$V$4:$V$1858,V1753),0)</f>
        <v>0</v>
      </c>
      <c r="AC1753" s="205" t="str">
        <f>IF($W1753=AC$3,$AB1753,IF(NOT($W1753=0),"",SUMIFS('Val-Vol (2)'!AC$4:AC$1858,'Val-Vol (2)'!$A$4:$A$1858,$D1753,'Val-Vol (2)'!$V$4:$V$1858,$V1753)/SUMIFS('Comp2016-2017 (3)'!$G$5:$G$289,'Comp2016-2017 (3)'!$A$5:$A$289,$D1753,'Comp2016-2017 (3)'!$R$5:$R$289,$V1753)*$AB1753))</f>
        <v/>
      </c>
      <c r="AD1753" s="205">
        <f>IF($W1753=AD$3,$AB1753,IF(NOT($W1753=0),"",SUMIFS('Val-Vol (2)'!AD$4:AD$1858,'Val-Vol (2)'!$A$4:$A$1858,$D1753,'Val-Vol (2)'!$V$4:$V$1858,$V1753)/SUMIFS('Comp2016-2017 (3)'!$G$5:$G$289,'Comp2016-2017 (3)'!$A$5:$A$289,$D1753,'Comp2016-2017 (3)'!$R$5:$R$289,$V1753)*$AB1753))</f>
        <v>0</v>
      </c>
      <c r="AE1753" s="205" t="str">
        <f>IF($W1753=AE$3,$AB1753,IF(NOT($W1753=0),"",SUMIFS('Val-Vol (2)'!AE$4:AE$1858,'Val-Vol (2)'!$A$4:$A$1858,$D1753,'Val-Vol (2)'!$V$4:$V$1858,$V1753)/SUMIFS('Comp2016-2017 (3)'!$G$5:$G$289,'Comp2016-2017 (3)'!$A$5:$A$289,$D1753,'Comp2016-2017 (3)'!$R$5:$R$289,$V1753)*$AB1753))</f>
        <v/>
      </c>
      <c r="AF1753" s="205" t="str">
        <f>IF($W1753=AF$3,$AB1753,IF(NOT($W1753=0),"",SUMIFS('Val-Vol (2)'!AF$4:AF$1858,'Val-Vol (2)'!$A$4:$A$1858,$D1753,'Val-Vol (2)'!$V$4:$V$1858,$V1753)/SUMIFS('Comp2016-2017 (3)'!$G$5:$G$289,'Comp2016-2017 (3)'!$A$5:$A$289,$D1753,'Comp2016-2017 (3)'!$R$5:$R$289,$V1753)*$AB1753))</f>
        <v/>
      </c>
      <c r="AG1753" s="205" t="str">
        <f>IF($W1753=AG$3,$AB1753,IF(NOT($W1753=0),"",SUMIFS('Val-Vol (2)'!AG$4:AG$1858,'Val-Vol (2)'!$A$4:$A$1858,$D1753,'Val-Vol (2)'!$V$4:$V$1858,$V1753)/SUMIFS('Comp2016-2017 (3)'!$G$5:$G$289,'Comp2016-2017 (3)'!$A$5:$A$289,$D1753,'Comp2016-2017 (3)'!$R$5:$R$289,$V1753)*$AB1753))</f>
        <v/>
      </c>
      <c r="AH1753" s="205" t="str">
        <f>IF($W1753=AH$3,$AB1753,IF(NOT($W1753=0),"",SUMIFS('Val-Vol (2)'!AH$4:AH$1858,'Val-Vol (2)'!$A$4:$A$1858,$D1753,'Val-Vol (2)'!$V$4:$V$1858,$V1753)/SUMIFS('Comp2016-2017 (3)'!$G$5:$G$289,'Comp2016-2017 (3)'!$A$5:$A$289,$D1753,'Comp2016-2017 (3)'!$R$5:$R$289,$V1753)*$AB1753))</f>
        <v/>
      </c>
      <c r="AI1753" s="205" t="str">
        <f>IF($W1753=AI$3,$AB1753,IF(NOT($W1753=0),"",SUMIFS('Val-Vol (2)'!AI$4:AI$1858,'Val-Vol (2)'!$A$4:$A$1858,$D1753,'Val-Vol (2)'!$V$4:$V$1858,$V1753)/SUMIFS('Comp2016-2017 (3)'!$G$5:$G$289,'Comp2016-2017 (3)'!$A$5:$A$289,$D1753,'Comp2016-2017 (3)'!$R$5:$R$289,$V1753)*$AB1753))</f>
        <v/>
      </c>
      <c r="AJ1753" s="205" t="str">
        <f>IF($W1753=AJ$3,$AB1753,IF(NOT($W1753=0),"",SUMIFS('Val-Vol (2)'!AJ$4:AJ$1858,'Val-Vol (2)'!$A$4:$A$1858,$D1753,'Val-Vol (2)'!$V$4:$V$1858,$V1753)/SUMIFS('Comp2016-2017 (3)'!$G$5:$G$289,'Comp2016-2017 (3)'!$A$5:$A$289,$D1753,'Comp2016-2017 (3)'!$R$5:$R$289,$V1753)*$AB1753))</f>
        <v/>
      </c>
      <c r="AK1753" s="205">
        <f t="shared" ref="AK1753:AK1816" si="197">SUM(AC1753:AJ1753)-AB1753</f>
        <v>0</v>
      </c>
      <c r="AL1753" s="218" t="str">
        <f t="shared" si="194"/>
        <v/>
      </c>
      <c r="AM1753" s="218" t="str">
        <f>VLOOKUP(A1753,'Table corresp.'!$M$4:$U$63,8,FALSE)</f>
        <v>Production finale</v>
      </c>
      <c r="AN1753" s="218" t="str">
        <f>VLOOKUP(D1753,'Table corresp.'!$M$4:$U$63,9,FALSE)</f>
        <v xml:space="preserve">Mise en œuvre </v>
      </c>
    </row>
    <row r="1754" spans="1:40" x14ac:dyDescent="0.25">
      <c r="A1754" t="s">
        <v>94</v>
      </c>
      <c r="B1754" t="str">
        <f>VLOOKUP(LEFT(A1754,3),'Table corresp.'!$A$4:$D$63,3,FALSE)</f>
        <v>Transformation</v>
      </c>
      <c r="C1754" t="str">
        <f>VLOOKUP(A1754,'Table corresp.'!$M$4:$P$63,4,FALSE)</f>
        <v>Production et transformation de produits bois</v>
      </c>
      <c r="D1754" t="s">
        <v>54</v>
      </c>
      <c r="E1754" t="str">
        <f>VLOOKUP(LEFT(D1754,3),'Table corresp.'!$A$4:$D$63,4,FALSE)</f>
        <v>Consommation finale</v>
      </c>
      <c r="F1754" t="str">
        <f t="shared" si="195"/>
        <v>42  - Con</v>
      </c>
      <c r="G1754" s="238">
        <v>280027.05405921798</v>
      </c>
      <c r="H1754" s="238">
        <v>255915.36412220399</v>
      </c>
      <c r="I1754" s="238">
        <v>535942.418181421</v>
      </c>
      <c r="J1754" s="238">
        <v>15.434629654436597</v>
      </c>
      <c r="K1754" s="238">
        <v>28.614325685966076</v>
      </c>
      <c r="L1754" s="238">
        <v>44.048955340402671</v>
      </c>
      <c r="M1754" s="238"/>
      <c r="N1754" s="238"/>
      <c r="O1754" s="238"/>
      <c r="P1754" s="238"/>
      <c r="Q1754" s="238"/>
      <c r="R1754" s="238"/>
      <c r="S1754" s="238"/>
      <c r="T1754" s="218">
        <f>VLOOKUP(A1754,'Groupe de branches'!$Z$27:$AM$86,14,FALSE)</f>
        <v>0</v>
      </c>
      <c r="U1754" s="218">
        <f>VLOOKUP(D1754,'Groupe de branches'!$Z$27:$AM$86,14,FALSE)</f>
        <v>0</v>
      </c>
      <c r="V1754" s="218">
        <v>2020</v>
      </c>
      <c r="W1754" s="218" t="str">
        <f>VLOOKUP(D1754,'Table corresp.'!$M$4:$S$63,7,FALSE)</f>
        <v>Consommation finale</v>
      </c>
      <c r="X1754" s="240">
        <f>IFERROR(G1754/SUMIFS('Comp2016-2017 (3)'!$I$5:$I$289,'Comp2016-2017 (3)'!$A$5:$A$289,A1754,'Comp2016-2017 (3)'!$R$5:$R$289,V1754),0)</f>
        <v>0.77357081350648538</v>
      </c>
      <c r="Y1754" s="219" t="e">
        <f>IF(RIGHT(F1754,3)="Exp",VLOOKUP(F1754,#REF!,2,FALSE),VLOOKUP(F1754,#REF!,9,FALSE))</f>
        <v>#REF!</v>
      </c>
      <c r="Z1754" s="226" t="str">
        <f t="shared" si="196"/>
        <v/>
      </c>
      <c r="AA1754" s="226" t="e">
        <f t="shared" si="193"/>
        <v>#VALUE!</v>
      </c>
      <c r="AB1754" s="205">
        <f>IFERROR(SUMIFS('Comp2016-2017 (3)'!$G$5:$G$289,'Comp2016-2017 (3)'!$A$5:$A$289,A1754,'Comp2016-2017 (3)'!$R$5:$R$289,V1754)*AA1754/SUMIFS($AA$4:$AA$1858,$A$4:$A$1858,A1754,$V$4:$V$1858,V1754),0)</f>
        <v>0</v>
      </c>
      <c r="AC1754" s="205" t="str">
        <f>IF($W1754=AC$3,$AB1754,IF(NOT($W1754=0),"",SUMIFS('Val-Vol (2)'!AC$4:AC$1858,'Val-Vol (2)'!$A$4:$A$1858,$D1754,'Val-Vol (2)'!$V$4:$V$1858,$V1754)/SUMIFS('Comp2016-2017 (3)'!$G$5:$G$289,'Comp2016-2017 (3)'!$A$5:$A$289,$D1754,'Comp2016-2017 (3)'!$R$5:$R$289,$V1754)*$AB1754))</f>
        <v/>
      </c>
      <c r="AD1754" s="205" t="str">
        <f>IF($W1754=AD$3,$AB1754,IF(NOT($W1754=0),"",SUMIFS('Val-Vol (2)'!AD$4:AD$1858,'Val-Vol (2)'!$A$4:$A$1858,$D1754,'Val-Vol (2)'!$V$4:$V$1858,$V1754)/SUMIFS('Comp2016-2017 (3)'!$G$5:$G$289,'Comp2016-2017 (3)'!$A$5:$A$289,$D1754,'Comp2016-2017 (3)'!$R$5:$R$289,$V1754)*$AB1754))</f>
        <v/>
      </c>
      <c r="AE1754" s="205" t="str">
        <f>IF($W1754=AE$3,$AB1754,IF(NOT($W1754=0),"",SUMIFS('Val-Vol (2)'!AE$4:AE$1858,'Val-Vol (2)'!$A$4:$A$1858,$D1754,'Val-Vol (2)'!$V$4:$V$1858,$V1754)/SUMIFS('Comp2016-2017 (3)'!$G$5:$G$289,'Comp2016-2017 (3)'!$A$5:$A$289,$D1754,'Comp2016-2017 (3)'!$R$5:$R$289,$V1754)*$AB1754))</f>
        <v/>
      </c>
      <c r="AF1754" s="205" t="str">
        <f>IF($W1754=AF$3,$AB1754,IF(NOT($W1754=0),"",SUMIFS('Val-Vol (2)'!AF$4:AF$1858,'Val-Vol (2)'!$A$4:$A$1858,$D1754,'Val-Vol (2)'!$V$4:$V$1858,$V1754)/SUMIFS('Comp2016-2017 (3)'!$G$5:$G$289,'Comp2016-2017 (3)'!$A$5:$A$289,$D1754,'Comp2016-2017 (3)'!$R$5:$R$289,$V1754)*$AB1754))</f>
        <v/>
      </c>
      <c r="AG1754" s="205" t="str">
        <f>IF($W1754=AG$3,$AB1754,IF(NOT($W1754=0),"",SUMIFS('Val-Vol (2)'!AG$4:AG$1858,'Val-Vol (2)'!$A$4:$A$1858,$D1754,'Val-Vol (2)'!$V$4:$V$1858,$V1754)/SUMIFS('Comp2016-2017 (3)'!$G$5:$G$289,'Comp2016-2017 (3)'!$A$5:$A$289,$D1754,'Comp2016-2017 (3)'!$R$5:$R$289,$V1754)*$AB1754))</f>
        <v/>
      </c>
      <c r="AH1754" s="205" t="str">
        <f>IF($W1754=AH$3,$AB1754,IF(NOT($W1754=0),"",SUMIFS('Val-Vol (2)'!AH$4:AH$1858,'Val-Vol (2)'!$A$4:$A$1858,$D1754,'Val-Vol (2)'!$V$4:$V$1858,$V1754)/SUMIFS('Comp2016-2017 (3)'!$G$5:$G$289,'Comp2016-2017 (3)'!$A$5:$A$289,$D1754,'Comp2016-2017 (3)'!$R$5:$R$289,$V1754)*$AB1754))</f>
        <v/>
      </c>
      <c r="AI1754" s="205" t="str">
        <f>IF($W1754=AI$3,$AB1754,IF(NOT($W1754=0),"",SUMIFS('Val-Vol (2)'!AI$4:AI$1858,'Val-Vol (2)'!$A$4:$A$1858,$D1754,'Val-Vol (2)'!$V$4:$V$1858,$V1754)/SUMIFS('Comp2016-2017 (3)'!$G$5:$G$289,'Comp2016-2017 (3)'!$A$5:$A$289,$D1754,'Comp2016-2017 (3)'!$R$5:$R$289,$V1754)*$AB1754))</f>
        <v/>
      </c>
      <c r="AJ1754" s="205">
        <f>IF($W1754=AJ$3,$AB1754,IF(NOT($W1754=0),"",SUMIFS('Val-Vol (2)'!AJ$4:AJ$1858,'Val-Vol (2)'!$A$4:$A$1858,$D1754,'Val-Vol (2)'!$V$4:$V$1858,$V1754)/SUMIFS('Comp2016-2017 (3)'!$G$5:$G$289,'Comp2016-2017 (3)'!$A$5:$A$289,$D1754,'Comp2016-2017 (3)'!$R$5:$R$289,$V1754)*$AB1754))</f>
        <v>0</v>
      </c>
      <c r="AK1754" s="205">
        <f t="shared" si="197"/>
        <v>0</v>
      </c>
      <c r="AL1754" s="218" t="str">
        <f t="shared" si="194"/>
        <v/>
      </c>
      <c r="AM1754" s="218" t="str">
        <f>VLOOKUP(A1754,'Table corresp.'!$M$4:$U$63,8,FALSE)</f>
        <v>Production finale</v>
      </c>
      <c r="AN1754" s="218" t="str">
        <f>VLOOKUP(D1754,'Table corresp.'!$M$4:$U$63,9,FALSE)</f>
        <v>Consommation finale française</v>
      </c>
    </row>
    <row r="1755" spans="1:40" x14ac:dyDescent="0.25">
      <c r="A1755" t="s">
        <v>94</v>
      </c>
      <c r="B1755" t="str">
        <f>VLOOKUP(LEFT(A1755,3),'Table corresp.'!$A$4:$D$63,3,FALSE)</f>
        <v>Transformation</v>
      </c>
      <c r="C1755" t="str">
        <f>VLOOKUP(A1755,'Table corresp.'!$M$4:$P$63,4,FALSE)</f>
        <v>Production et transformation de produits bois</v>
      </c>
      <c r="D1755" t="s">
        <v>53</v>
      </c>
      <c r="E1755" t="str">
        <f>VLOOKUP(LEFT(D1755,3),'Table corresp.'!$A$4:$D$63,4,FALSE)</f>
        <v>Exportation</v>
      </c>
      <c r="F1755" t="str">
        <f t="shared" si="195"/>
        <v>42  - Exp</v>
      </c>
      <c r="G1755" s="238">
        <v>81641.546081999899</v>
      </c>
      <c r="H1755" s="238">
        <v>0</v>
      </c>
      <c r="I1755" s="238">
        <v>81641.546081999899</v>
      </c>
      <c r="J1755" s="238">
        <v>4.4999474512373716</v>
      </c>
      <c r="K1755" s="238">
        <v>0</v>
      </c>
      <c r="L1755" s="238">
        <v>4.4999474512373716</v>
      </c>
      <c r="M1755" s="238"/>
      <c r="N1755" s="238"/>
      <c r="O1755" s="238"/>
      <c r="P1755" s="238"/>
      <c r="Q1755" s="238"/>
      <c r="R1755" s="238"/>
      <c r="S1755" s="238"/>
      <c r="T1755" s="218">
        <f>VLOOKUP(A1755,'Groupe de branches'!$Z$27:$AM$86,14,FALSE)</f>
        <v>0</v>
      </c>
      <c r="U1755" s="218">
        <f>VLOOKUP(D1755,'Groupe de branches'!$Z$27:$AM$86,14,FALSE)</f>
        <v>0</v>
      </c>
      <c r="V1755" s="218">
        <v>2020</v>
      </c>
      <c r="W1755" s="218" t="str">
        <f>VLOOKUP(D1755,'Table corresp.'!$M$4:$S$63,7,FALSE)</f>
        <v>Exportation</v>
      </c>
      <c r="X1755" s="240">
        <f>IFERROR(G1755/SUMIFS('Comp2016-2017 (3)'!$I$5:$I$289,'Comp2016-2017 (3)'!$A$5:$A$289,A1755,'Comp2016-2017 (3)'!$R$5:$R$289,V1755),0)</f>
        <v>0.22553362720883471</v>
      </c>
      <c r="Y1755" s="219" t="e">
        <f>IF(RIGHT(F1755,3)="Exp",VLOOKUP(F1755,#REF!,2,FALSE),VLOOKUP(F1755,#REF!,9,FALSE))</f>
        <v>#REF!</v>
      </c>
      <c r="Z1755" s="226" t="str">
        <f t="shared" si="196"/>
        <v/>
      </c>
      <c r="AA1755" s="226" t="e">
        <f t="shared" si="193"/>
        <v>#VALUE!</v>
      </c>
      <c r="AB1755" s="205">
        <f>IFERROR(SUMIFS('Comp2016-2017 (3)'!$G$5:$G$289,'Comp2016-2017 (3)'!$A$5:$A$289,A1755,'Comp2016-2017 (3)'!$R$5:$R$289,V1755)*AA1755/SUMIFS($AA$4:$AA$1858,$A$4:$A$1858,A1755,$V$4:$V$1858,V1755),0)</f>
        <v>0</v>
      </c>
      <c r="AC1755" s="205">
        <f>IF($W1755=AC$3,$AB1755,IF(NOT($W1755=0),"",SUMIFS('Val-Vol (2)'!AC$4:AC$1858,'Val-Vol (2)'!$A$4:$A$1858,$D1755,'Val-Vol (2)'!$V$4:$V$1858,$V1755)/SUMIFS('Comp2016-2017 (3)'!$G$5:$G$289,'Comp2016-2017 (3)'!$A$5:$A$289,$D1755,'Comp2016-2017 (3)'!$R$5:$R$289,$V1755)*$AB1755))</f>
        <v>0</v>
      </c>
      <c r="AD1755" s="205" t="str">
        <f>IF($W1755=AD$3,$AB1755,IF(NOT($W1755=0),"",SUMIFS('Val-Vol (2)'!AD$4:AD$1858,'Val-Vol (2)'!$A$4:$A$1858,$D1755,'Val-Vol (2)'!$V$4:$V$1858,$V1755)/SUMIFS('Comp2016-2017 (3)'!$G$5:$G$289,'Comp2016-2017 (3)'!$A$5:$A$289,$D1755,'Comp2016-2017 (3)'!$R$5:$R$289,$V1755)*$AB1755))</f>
        <v/>
      </c>
      <c r="AE1755" s="205" t="str">
        <f>IF($W1755=AE$3,$AB1755,IF(NOT($W1755=0),"",SUMIFS('Val-Vol (2)'!AE$4:AE$1858,'Val-Vol (2)'!$A$4:$A$1858,$D1755,'Val-Vol (2)'!$V$4:$V$1858,$V1755)/SUMIFS('Comp2016-2017 (3)'!$G$5:$G$289,'Comp2016-2017 (3)'!$A$5:$A$289,$D1755,'Comp2016-2017 (3)'!$R$5:$R$289,$V1755)*$AB1755))</f>
        <v/>
      </c>
      <c r="AF1755" s="205" t="str">
        <f>IF($W1755=AF$3,$AB1755,IF(NOT($W1755=0),"",SUMIFS('Val-Vol (2)'!AF$4:AF$1858,'Val-Vol (2)'!$A$4:$A$1858,$D1755,'Val-Vol (2)'!$V$4:$V$1858,$V1755)/SUMIFS('Comp2016-2017 (3)'!$G$5:$G$289,'Comp2016-2017 (3)'!$A$5:$A$289,$D1755,'Comp2016-2017 (3)'!$R$5:$R$289,$V1755)*$AB1755))</f>
        <v/>
      </c>
      <c r="AG1755" s="205" t="str">
        <f>IF($W1755=AG$3,$AB1755,IF(NOT($W1755=0),"",SUMIFS('Val-Vol (2)'!AG$4:AG$1858,'Val-Vol (2)'!$A$4:$A$1858,$D1755,'Val-Vol (2)'!$V$4:$V$1858,$V1755)/SUMIFS('Comp2016-2017 (3)'!$G$5:$G$289,'Comp2016-2017 (3)'!$A$5:$A$289,$D1755,'Comp2016-2017 (3)'!$R$5:$R$289,$V1755)*$AB1755))</f>
        <v/>
      </c>
      <c r="AH1755" s="205" t="str">
        <f>IF($W1755=AH$3,$AB1755,IF(NOT($W1755=0),"",SUMIFS('Val-Vol (2)'!AH$4:AH$1858,'Val-Vol (2)'!$A$4:$A$1858,$D1755,'Val-Vol (2)'!$V$4:$V$1858,$V1755)/SUMIFS('Comp2016-2017 (3)'!$G$5:$G$289,'Comp2016-2017 (3)'!$A$5:$A$289,$D1755,'Comp2016-2017 (3)'!$R$5:$R$289,$V1755)*$AB1755))</f>
        <v/>
      </c>
      <c r="AI1755" s="205" t="str">
        <f>IF($W1755=AI$3,$AB1755,IF(NOT($W1755=0),"",SUMIFS('Val-Vol (2)'!AI$4:AI$1858,'Val-Vol (2)'!$A$4:$A$1858,$D1755,'Val-Vol (2)'!$V$4:$V$1858,$V1755)/SUMIFS('Comp2016-2017 (3)'!$G$5:$G$289,'Comp2016-2017 (3)'!$A$5:$A$289,$D1755,'Comp2016-2017 (3)'!$R$5:$R$289,$V1755)*$AB1755))</f>
        <v/>
      </c>
      <c r="AJ1755" s="205" t="str">
        <f>IF($W1755=AJ$3,$AB1755,IF(NOT($W1755=0),"",SUMIFS('Val-Vol (2)'!AJ$4:AJ$1858,'Val-Vol (2)'!$A$4:$A$1858,$D1755,'Val-Vol (2)'!$V$4:$V$1858,$V1755)/SUMIFS('Comp2016-2017 (3)'!$G$5:$G$289,'Comp2016-2017 (3)'!$A$5:$A$289,$D1755,'Comp2016-2017 (3)'!$R$5:$R$289,$V1755)*$AB1755))</f>
        <v/>
      </c>
      <c r="AK1755" s="205">
        <f t="shared" si="197"/>
        <v>0</v>
      </c>
      <c r="AL1755" s="218" t="str">
        <f t="shared" si="194"/>
        <v/>
      </c>
      <c r="AM1755" s="218" t="str">
        <f>VLOOKUP(A1755,'Table corresp.'!$M$4:$U$63,8,FALSE)</f>
        <v>Production finale</v>
      </c>
      <c r="AN1755" s="218" t="str">
        <f>VLOOKUP(D1755,'Table corresp.'!$M$4:$U$63,9,FALSE)</f>
        <v>Exportation</v>
      </c>
    </row>
    <row r="1756" spans="1:40" x14ac:dyDescent="0.25">
      <c r="A1756" t="s">
        <v>95</v>
      </c>
      <c r="B1756" t="str">
        <f>VLOOKUP(LEFT(A1756,3),'Table corresp.'!$A$4:$D$63,3,FALSE)</f>
        <v>Transformation</v>
      </c>
      <c r="C1756" t="str">
        <f>VLOOKUP(A1756,'Table corresp.'!$M$4:$P$63,4,FALSE)</f>
        <v>Production et transformation de produits bois</v>
      </c>
      <c r="D1756" t="s">
        <v>96</v>
      </c>
      <c r="E1756" t="str">
        <f>VLOOKUP(LEFT(D1756,3),'Table corresp.'!$A$4:$D$63,4,FALSE)</f>
        <v>Transformation</v>
      </c>
      <c r="F1756" t="str">
        <f t="shared" si="195"/>
        <v xml:space="preserve">43  - 44 </v>
      </c>
      <c r="G1756" s="238">
        <v>209394.832161</v>
      </c>
      <c r="H1756" s="238">
        <v>825976.244000001</v>
      </c>
      <c r="I1756" s="238">
        <v>1035371.0761609999</v>
      </c>
      <c r="J1756" s="238"/>
      <c r="K1756" s="238"/>
      <c r="L1756" s="238"/>
      <c r="M1756" s="238">
        <v>2458.4316241500096</v>
      </c>
      <c r="N1756" s="238">
        <v>6664.4296409140898</v>
      </c>
      <c r="O1756" s="238">
        <v>9122.8612650640989</v>
      </c>
      <c r="P1756" s="238"/>
      <c r="Q1756" s="238"/>
      <c r="R1756" s="238"/>
      <c r="S1756" s="238"/>
      <c r="T1756" s="218">
        <f>VLOOKUP(A1756,'Groupe de branches'!$Z$27:$AM$86,14,FALSE)</f>
        <v>0</v>
      </c>
      <c r="U1756" s="218">
        <f>VLOOKUP(D1756,'Groupe de branches'!$Z$27:$AM$86,14,FALSE)</f>
        <v>0</v>
      </c>
      <c r="V1756" s="218">
        <v>2020</v>
      </c>
      <c r="W1756" s="218" t="str">
        <f>VLOOKUP(D1756,'Table corresp.'!$M$4:$S$63,7,FALSE)</f>
        <v>Pate &amp; papier &amp; carton</v>
      </c>
      <c r="X1756" s="240">
        <f>IFERROR(G1756/SUMIFS('Comp2016-2017 (3)'!$I$5:$I$289,'Comp2016-2017 (3)'!$A$5:$A$289,A1756,'Comp2016-2017 (3)'!$R$5:$R$289,V1756),0)</f>
        <v>0.38470340392098507</v>
      </c>
      <c r="Y1756" s="219" t="e">
        <f>IF(RIGHT(F1756,3)="Exp",VLOOKUP(F1756,#REF!,2,FALSE),VLOOKUP(F1756,#REF!,9,FALSE))</f>
        <v>#REF!</v>
      </c>
      <c r="Z1756" s="226" t="str">
        <f t="shared" si="196"/>
        <v/>
      </c>
      <c r="AA1756" s="226" t="e">
        <f t="shared" si="193"/>
        <v>#VALUE!</v>
      </c>
      <c r="AB1756" s="205">
        <f>IFERROR(SUMIFS('Comp2016-2017 (3)'!$G$5:$G$289,'Comp2016-2017 (3)'!$A$5:$A$289,A1756,'Comp2016-2017 (3)'!$R$5:$R$289,V1756)*AA1756/SUMIFS($AA$4:$AA$1858,$A$4:$A$1858,A1756,$V$4:$V$1858,V1756),0)</f>
        <v>0</v>
      </c>
      <c r="AC1756" s="205" t="str">
        <f>IF($W1756=AC$3,$AB1756,IF(NOT($W1756=0),"",SUMIFS('Val-Vol (2)'!AC$4:AC$1858,'Val-Vol (2)'!$A$4:$A$1858,$D1756,'Val-Vol (2)'!$V$4:$V$1858,$V1756)/SUMIFS('Comp2016-2017 (3)'!$G$5:$G$289,'Comp2016-2017 (3)'!$A$5:$A$289,$D1756,'Comp2016-2017 (3)'!$R$5:$R$289,$V1756)*$AB1756))</f>
        <v/>
      </c>
      <c r="AD1756" s="205" t="str">
        <f>IF($W1756=AD$3,$AB1756,IF(NOT($W1756=0),"",SUMIFS('Val-Vol (2)'!AD$4:AD$1858,'Val-Vol (2)'!$A$4:$A$1858,$D1756,'Val-Vol (2)'!$V$4:$V$1858,$V1756)/SUMIFS('Comp2016-2017 (3)'!$G$5:$G$289,'Comp2016-2017 (3)'!$A$5:$A$289,$D1756,'Comp2016-2017 (3)'!$R$5:$R$289,$V1756)*$AB1756))</f>
        <v/>
      </c>
      <c r="AE1756" s="205" t="str">
        <f>IF($W1756=AE$3,$AB1756,IF(NOT($W1756=0),"",SUMIFS('Val-Vol (2)'!AE$4:AE$1858,'Val-Vol (2)'!$A$4:$A$1858,$D1756,'Val-Vol (2)'!$V$4:$V$1858,$V1756)/SUMIFS('Comp2016-2017 (3)'!$G$5:$G$289,'Comp2016-2017 (3)'!$A$5:$A$289,$D1756,'Comp2016-2017 (3)'!$R$5:$R$289,$V1756)*$AB1756))</f>
        <v/>
      </c>
      <c r="AF1756" s="205">
        <f>IF($W1756=AF$3,$AB1756,IF(NOT($W1756=0),"",SUMIFS('Val-Vol (2)'!AF$4:AF$1858,'Val-Vol (2)'!$A$4:$A$1858,$D1756,'Val-Vol (2)'!$V$4:$V$1858,$V1756)/SUMIFS('Comp2016-2017 (3)'!$G$5:$G$289,'Comp2016-2017 (3)'!$A$5:$A$289,$D1756,'Comp2016-2017 (3)'!$R$5:$R$289,$V1756)*$AB1756))</f>
        <v>0</v>
      </c>
      <c r="AG1756" s="205" t="str">
        <f>IF($W1756=AG$3,$AB1756,IF(NOT($W1756=0),"",SUMIFS('Val-Vol (2)'!AG$4:AG$1858,'Val-Vol (2)'!$A$4:$A$1858,$D1756,'Val-Vol (2)'!$V$4:$V$1858,$V1756)/SUMIFS('Comp2016-2017 (3)'!$G$5:$G$289,'Comp2016-2017 (3)'!$A$5:$A$289,$D1756,'Comp2016-2017 (3)'!$R$5:$R$289,$V1756)*$AB1756))</f>
        <v/>
      </c>
      <c r="AH1756" s="205" t="str">
        <f>IF($W1756=AH$3,$AB1756,IF(NOT($W1756=0),"",SUMIFS('Val-Vol (2)'!AH$4:AH$1858,'Val-Vol (2)'!$A$4:$A$1858,$D1756,'Val-Vol (2)'!$V$4:$V$1858,$V1756)/SUMIFS('Comp2016-2017 (3)'!$G$5:$G$289,'Comp2016-2017 (3)'!$A$5:$A$289,$D1756,'Comp2016-2017 (3)'!$R$5:$R$289,$V1756)*$AB1756))</f>
        <v/>
      </c>
      <c r="AI1756" s="205" t="str">
        <f>IF($W1756=AI$3,$AB1756,IF(NOT($W1756=0),"",SUMIFS('Val-Vol (2)'!AI$4:AI$1858,'Val-Vol (2)'!$A$4:$A$1858,$D1756,'Val-Vol (2)'!$V$4:$V$1858,$V1756)/SUMIFS('Comp2016-2017 (3)'!$G$5:$G$289,'Comp2016-2017 (3)'!$A$5:$A$289,$D1756,'Comp2016-2017 (3)'!$R$5:$R$289,$V1756)*$AB1756))</f>
        <v/>
      </c>
      <c r="AJ1756" s="205" t="str">
        <f>IF($W1756=AJ$3,$AB1756,IF(NOT($W1756=0),"",SUMIFS('Val-Vol (2)'!AJ$4:AJ$1858,'Val-Vol (2)'!$A$4:$A$1858,$D1756,'Val-Vol (2)'!$V$4:$V$1858,$V1756)/SUMIFS('Comp2016-2017 (3)'!$G$5:$G$289,'Comp2016-2017 (3)'!$A$5:$A$289,$D1756,'Comp2016-2017 (3)'!$R$5:$R$289,$V1756)*$AB1756))</f>
        <v/>
      </c>
      <c r="AK1756" s="205">
        <f t="shared" si="197"/>
        <v>0</v>
      </c>
      <c r="AL1756" s="218" t="str">
        <f t="shared" si="194"/>
        <v/>
      </c>
      <c r="AM1756" s="218" t="str">
        <f>VLOOKUP(A1756,'Table corresp.'!$M$4:$U$63,8,FALSE)</f>
        <v>Production intermédiaire</v>
      </c>
      <c r="AN1756" s="218" t="str">
        <f>VLOOKUP(D1756,'Table corresp.'!$M$4:$U$63,9,FALSE)</f>
        <v>Production intermédiaire</v>
      </c>
    </row>
    <row r="1757" spans="1:40" x14ac:dyDescent="0.25">
      <c r="A1757" t="s">
        <v>95</v>
      </c>
      <c r="B1757" t="str">
        <f>VLOOKUP(LEFT(A1757,3),'Table corresp.'!$A$4:$D$63,3,FALSE)</f>
        <v>Transformation</v>
      </c>
      <c r="C1757" t="str">
        <f>VLOOKUP(A1757,'Table corresp.'!$M$4:$P$63,4,FALSE)</f>
        <v>Production et transformation de produits bois</v>
      </c>
      <c r="D1757" t="s">
        <v>53</v>
      </c>
      <c r="E1757" t="str">
        <f>VLOOKUP(LEFT(D1757,3),'Table corresp.'!$A$4:$D$63,4,FALSE)</f>
        <v>Exportation</v>
      </c>
      <c r="F1757" t="str">
        <f t="shared" si="195"/>
        <v>43  - Exp</v>
      </c>
      <c r="G1757" s="238">
        <v>334907.167839</v>
      </c>
      <c r="H1757" s="238">
        <v>0</v>
      </c>
      <c r="I1757" s="238">
        <v>334907.167839</v>
      </c>
      <c r="J1757" s="238"/>
      <c r="K1757" s="238"/>
      <c r="L1757" s="238"/>
      <c r="M1757" s="238">
        <v>2273.8989307744259</v>
      </c>
      <c r="N1757" s="238">
        <v>0</v>
      </c>
      <c r="O1757" s="238">
        <v>2273.8989307744259</v>
      </c>
      <c r="P1757" s="238"/>
      <c r="Q1757" s="238"/>
      <c r="R1757" s="238"/>
      <c r="S1757" s="238"/>
      <c r="T1757" s="218">
        <f>VLOOKUP(A1757,'Groupe de branches'!$Z$27:$AM$86,14,FALSE)</f>
        <v>0</v>
      </c>
      <c r="U1757" s="218">
        <f>VLOOKUP(D1757,'Groupe de branches'!$Z$27:$AM$86,14,FALSE)</f>
        <v>0</v>
      </c>
      <c r="V1757" s="218">
        <v>2020</v>
      </c>
      <c r="W1757" s="218" t="str">
        <f>VLOOKUP(D1757,'Table corresp.'!$M$4:$S$63,7,FALSE)</f>
        <v>Exportation</v>
      </c>
      <c r="X1757" s="240">
        <f>IFERROR(G1757/SUMIFS('Comp2016-2017 (3)'!$I$5:$I$289,'Comp2016-2017 (3)'!$A$5:$A$289,A1757,'Comp2016-2017 (3)'!$R$5:$R$289,V1757),0)</f>
        <v>0.61529659607901499</v>
      </c>
      <c r="Y1757" s="219" t="e">
        <f>IF(RIGHT(F1757,3)="Exp",VLOOKUP(F1757,#REF!,2,FALSE),VLOOKUP(F1757,#REF!,9,FALSE))</f>
        <v>#REF!</v>
      </c>
      <c r="Z1757" s="226" t="str">
        <f t="shared" si="196"/>
        <v/>
      </c>
      <c r="AA1757" s="226" t="e">
        <f t="shared" ref="AA1757:AA1820" si="198">X1757*Z1757</f>
        <v>#VALUE!</v>
      </c>
      <c r="AB1757" s="205">
        <f>IFERROR(SUMIFS('Comp2016-2017 (3)'!$G$5:$G$289,'Comp2016-2017 (3)'!$A$5:$A$289,A1757,'Comp2016-2017 (3)'!$R$5:$R$289,V1757)*AA1757/SUMIFS($AA$4:$AA$1858,$A$4:$A$1858,A1757,$V$4:$V$1858,V1757),0)</f>
        <v>0</v>
      </c>
      <c r="AC1757" s="205">
        <f>IF($W1757=AC$3,$AB1757,IF(NOT($W1757=0),"",SUMIFS('Val-Vol (2)'!AC$4:AC$1858,'Val-Vol (2)'!$A$4:$A$1858,$D1757,'Val-Vol (2)'!$V$4:$V$1858,$V1757)/SUMIFS('Comp2016-2017 (3)'!$G$5:$G$289,'Comp2016-2017 (3)'!$A$5:$A$289,$D1757,'Comp2016-2017 (3)'!$R$5:$R$289,$V1757)*$AB1757))</f>
        <v>0</v>
      </c>
      <c r="AD1757" s="205" t="str">
        <f>IF($W1757=AD$3,$AB1757,IF(NOT($W1757=0),"",SUMIFS('Val-Vol (2)'!AD$4:AD$1858,'Val-Vol (2)'!$A$4:$A$1858,$D1757,'Val-Vol (2)'!$V$4:$V$1858,$V1757)/SUMIFS('Comp2016-2017 (3)'!$G$5:$G$289,'Comp2016-2017 (3)'!$A$5:$A$289,$D1757,'Comp2016-2017 (3)'!$R$5:$R$289,$V1757)*$AB1757))</f>
        <v/>
      </c>
      <c r="AE1757" s="205" t="str">
        <f>IF($W1757=AE$3,$AB1757,IF(NOT($W1757=0),"",SUMIFS('Val-Vol (2)'!AE$4:AE$1858,'Val-Vol (2)'!$A$4:$A$1858,$D1757,'Val-Vol (2)'!$V$4:$V$1858,$V1757)/SUMIFS('Comp2016-2017 (3)'!$G$5:$G$289,'Comp2016-2017 (3)'!$A$5:$A$289,$D1757,'Comp2016-2017 (3)'!$R$5:$R$289,$V1757)*$AB1757))</f>
        <v/>
      </c>
      <c r="AF1757" s="205" t="str">
        <f>IF($W1757=AF$3,$AB1757,IF(NOT($W1757=0),"",SUMIFS('Val-Vol (2)'!AF$4:AF$1858,'Val-Vol (2)'!$A$4:$A$1858,$D1757,'Val-Vol (2)'!$V$4:$V$1858,$V1757)/SUMIFS('Comp2016-2017 (3)'!$G$5:$G$289,'Comp2016-2017 (3)'!$A$5:$A$289,$D1757,'Comp2016-2017 (3)'!$R$5:$R$289,$V1757)*$AB1757))</f>
        <v/>
      </c>
      <c r="AG1757" s="205" t="str">
        <f>IF($W1757=AG$3,$AB1757,IF(NOT($W1757=0),"",SUMIFS('Val-Vol (2)'!AG$4:AG$1858,'Val-Vol (2)'!$A$4:$A$1858,$D1757,'Val-Vol (2)'!$V$4:$V$1858,$V1757)/SUMIFS('Comp2016-2017 (3)'!$G$5:$G$289,'Comp2016-2017 (3)'!$A$5:$A$289,$D1757,'Comp2016-2017 (3)'!$R$5:$R$289,$V1757)*$AB1757))</f>
        <v/>
      </c>
      <c r="AH1757" s="205" t="str">
        <f>IF($W1757=AH$3,$AB1757,IF(NOT($W1757=0),"",SUMIFS('Val-Vol (2)'!AH$4:AH$1858,'Val-Vol (2)'!$A$4:$A$1858,$D1757,'Val-Vol (2)'!$V$4:$V$1858,$V1757)/SUMIFS('Comp2016-2017 (3)'!$G$5:$G$289,'Comp2016-2017 (3)'!$A$5:$A$289,$D1757,'Comp2016-2017 (3)'!$R$5:$R$289,$V1757)*$AB1757))</f>
        <v/>
      </c>
      <c r="AI1757" s="205" t="str">
        <f>IF($W1757=AI$3,$AB1757,IF(NOT($W1757=0),"",SUMIFS('Val-Vol (2)'!AI$4:AI$1858,'Val-Vol (2)'!$A$4:$A$1858,$D1757,'Val-Vol (2)'!$V$4:$V$1858,$V1757)/SUMIFS('Comp2016-2017 (3)'!$G$5:$G$289,'Comp2016-2017 (3)'!$A$5:$A$289,$D1757,'Comp2016-2017 (3)'!$R$5:$R$289,$V1757)*$AB1757))</f>
        <v/>
      </c>
      <c r="AJ1757" s="205" t="str">
        <f>IF($W1757=AJ$3,$AB1757,IF(NOT($W1757=0),"",SUMIFS('Val-Vol (2)'!AJ$4:AJ$1858,'Val-Vol (2)'!$A$4:$A$1858,$D1757,'Val-Vol (2)'!$V$4:$V$1858,$V1757)/SUMIFS('Comp2016-2017 (3)'!$G$5:$G$289,'Comp2016-2017 (3)'!$A$5:$A$289,$D1757,'Comp2016-2017 (3)'!$R$5:$R$289,$V1757)*$AB1757))</f>
        <v/>
      </c>
      <c r="AK1757" s="205">
        <f t="shared" si="197"/>
        <v>0</v>
      </c>
      <c r="AL1757" s="218" t="str">
        <f t="shared" si="194"/>
        <v/>
      </c>
      <c r="AM1757" s="218" t="str">
        <f>VLOOKUP(A1757,'Table corresp.'!$M$4:$U$63,8,FALSE)</f>
        <v>Production intermédiaire</v>
      </c>
      <c r="AN1757" s="218" t="str">
        <f>VLOOKUP(D1757,'Table corresp.'!$M$4:$U$63,9,FALSE)</f>
        <v>Exportation</v>
      </c>
    </row>
    <row r="1758" spans="1:40" x14ac:dyDescent="0.25">
      <c r="A1758" t="s">
        <v>96</v>
      </c>
      <c r="B1758" t="str">
        <f>VLOOKUP(LEFT(A1758,3),'Table corresp.'!$A$4:$D$63,3,FALSE)</f>
        <v>Transformation</v>
      </c>
      <c r="C1758" t="str">
        <f>VLOOKUP(A1758,'Table corresp.'!$M$4:$P$63,4,FALSE)</f>
        <v>Production et transformation de produits bois</v>
      </c>
      <c r="D1758" t="s">
        <v>97</v>
      </c>
      <c r="E1758" t="str">
        <f>VLOOKUP(LEFT(D1758,3),'Table corresp.'!$A$4:$D$63,4,FALSE)</f>
        <v>Transformation</v>
      </c>
      <c r="F1758" t="str">
        <f t="shared" si="195"/>
        <v xml:space="preserve">44  - 45 </v>
      </c>
      <c r="G1758" s="238">
        <v>520257.41552455298</v>
      </c>
      <c r="H1758" s="238">
        <v>1809553.7950864199</v>
      </c>
      <c r="I1758" s="238">
        <v>2329811.2106109699</v>
      </c>
      <c r="J1758" s="238"/>
      <c r="K1758" s="238"/>
      <c r="L1758" s="238"/>
      <c r="M1758" s="238">
        <v>1220.5123817783283</v>
      </c>
      <c r="N1758" s="238">
        <v>3045.590686639031</v>
      </c>
      <c r="O1758" s="238">
        <v>4266.1030684173593</v>
      </c>
      <c r="P1758" s="238"/>
      <c r="Q1758" s="238"/>
      <c r="R1758" s="238"/>
      <c r="S1758" s="238"/>
      <c r="T1758" s="218">
        <f>VLOOKUP(A1758,'Groupe de branches'!$Z$27:$AM$86,14,FALSE)</f>
        <v>0</v>
      </c>
      <c r="U1758" s="218">
        <f>VLOOKUP(D1758,'Groupe de branches'!$Z$27:$AM$86,14,FALSE)</f>
        <v>0</v>
      </c>
      <c r="V1758" s="218">
        <v>2020</v>
      </c>
      <c r="W1758" s="218" t="str">
        <f>VLOOKUP(D1758,'Table corresp.'!$M$4:$S$63,7,FALSE)</f>
        <v>Pate &amp; papier &amp; carton</v>
      </c>
      <c r="X1758" s="240">
        <f>IFERROR(G1758/SUMIFS('Comp2016-2017 (3)'!$I$5:$I$289,'Comp2016-2017 (3)'!$A$5:$A$289,A1758,'Comp2016-2017 (3)'!$R$5:$R$289,V1758),0)</f>
        <v>0.11533554361883815</v>
      </c>
      <c r="Y1758" s="219" t="e">
        <f>IF(RIGHT(F1758,3)="Exp",VLOOKUP(F1758,#REF!,2,FALSE),VLOOKUP(F1758,#REF!,9,FALSE))</f>
        <v>#REF!</v>
      </c>
      <c r="Z1758" s="226" t="str">
        <f t="shared" si="196"/>
        <v/>
      </c>
      <c r="AA1758" s="226" t="e">
        <f t="shared" si="198"/>
        <v>#VALUE!</v>
      </c>
      <c r="AB1758" s="205">
        <f>IFERROR(SUMIFS('Comp2016-2017 (3)'!$G$5:$G$289,'Comp2016-2017 (3)'!$A$5:$A$289,A1758,'Comp2016-2017 (3)'!$R$5:$R$289,V1758)*AA1758/SUMIFS($AA$4:$AA$1858,$A$4:$A$1858,A1758,$V$4:$V$1858,V1758),0)</f>
        <v>0</v>
      </c>
      <c r="AC1758" s="205" t="str">
        <f>IF($W1758=AC$3,$AB1758,IF(NOT($W1758=0),"",SUMIFS('Val-Vol (2)'!AC$4:AC$1858,'Val-Vol (2)'!$A$4:$A$1858,$D1758,'Val-Vol (2)'!$V$4:$V$1858,$V1758)/SUMIFS('Comp2016-2017 (3)'!$G$5:$G$289,'Comp2016-2017 (3)'!$A$5:$A$289,$D1758,'Comp2016-2017 (3)'!$R$5:$R$289,$V1758)*$AB1758))</f>
        <v/>
      </c>
      <c r="AD1758" s="205" t="str">
        <f>IF($W1758=AD$3,$AB1758,IF(NOT($W1758=0),"",SUMIFS('Val-Vol (2)'!AD$4:AD$1858,'Val-Vol (2)'!$A$4:$A$1858,$D1758,'Val-Vol (2)'!$V$4:$V$1858,$V1758)/SUMIFS('Comp2016-2017 (3)'!$G$5:$G$289,'Comp2016-2017 (3)'!$A$5:$A$289,$D1758,'Comp2016-2017 (3)'!$R$5:$R$289,$V1758)*$AB1758))</f>
        <v/>
      </c>
      <c r="AE1758" s="205" t="str">
        <f>IF($W1758=AE$3,$AB1758,IF(NOT($W1758=0),"",SUMIFS('Val-Vol (2)'!AE$4:AE$1858,'Val-Vol (2)'!$A$4:$A$1858,$D1758,'Val-Vol (2)'!$V$4:$V$1858,$V1758)/SUMIFS('Comp2016-2017 (3)'!$G$5:$G$289,'Comp2016-2017 (3)'!$A$5:$A$289,$D1758,'Comp2016-2017 (3)'!$R$5:$R$289,$V1758)*$AB1758))</f>
        <v/>
      </c>
      <c r="AF1758" s="205">
        <f>IF($W1758=AF$3,$AB1758,IF(NOT($W1758=0),"",SUMIFS('Val-Vol (2)'!AF$4:AF$1858,'Val-Vol (2)'!$A$4:$A$1858,$D1758,'Val-Vol (2)'!$V$4:$V$1858,$V1758)/SUMIFS('Comp2016-2017 (3)'!$G$5:$G$289,'Comp2016-2017 (3)'!$A$5:$A$289,$D1758,'Comp2016-2017 (3)'!$R$5:$R$289,$V1758)*$AB1758))</f>
        <v>0</v>
      </c>
      <c r="AG1758" s="205" t="str">
        <f>IF($W1758=AG$3,$AB1758,IF(NOT($W1758=0),"",SUMIFS('Val-Vol (2)'!AG$4:AG$1858,'Val-Vol (2)'!$A$4:$A$1858,$D1758,'Val-Vol (2)'!$V$4:$V$1858,$V1758)/SUMIFS('Comp2016-2017 (3)'!$G$5:$G$289,'Comp2016-2017 (3)'!$A$5:$A$289,$D1758,'Comp2016-2017 (3)'!$R$5:$R$289,$V1758)*$AB1758))</f>
        <v/>
      </c>
      <c r="AH1758" s="205" t="str">
        <f>IF($W1758=AH$3,$AB1758,IF(NOT($W1758=0),"",SUMIFS('Val-Vol (2)'!AH$4:AH$1858,'Val-Vol (2)'!$A$4:$A$1858,$D1758,'Val-Vol (2)'!$V$4:$V$1858,$V1758)/SUMIFS('Comp2016-2017 (3)'!$G$5:$G$289,'Comp2016-2017 (3)'!$A$5:$A$289,$D1758,'Comp2016-2017 (3)'!$R$5:$R$289,$V1758)*$AB1758))</f>
        <v/>
      </c>
      <c r="AI1758" s="205" t="str">
        <f>IF($W1758=AI$3,$AB1758,IF(NOT($W1758=0),"",SUMIFS('Val-Vol (2)'!AI$4:AI$1858,'Val-Vol (2)'!$A$4:$A$1858,$D1758,'Val-Vol (2)'!$V$4:$V$1858,$V1758)/SUMIFS('Comp2016-2017 (3)'!$G$5:$G$289,'Comp2016-2017 (3)'!$A$5:$A$289,$D1758,'Comp2016-2017 (3)'!$R$5:$R$289,$V1758)*$AB1758))</f>
        <v/>
      </c>
      <c r="AJ1758" s="205" t="str">
        <f>IF($W1758=AJ$3,$AB1758,IF(NOT($W1758=0),"",SUMIFS('Val-Vol (2)'!AJ$4:AJ$1858,'Val-Vol (2)'!$A$4:$A$1858,$D1758,'Val-Vol (2)'!$V$4:$V$1858,$V1758)/SUMIFS('Comp2016-2017 (3)'!$G$5:$G$289,'Comp2016-2017 (3)'!$A$5:$A$289,$D1758,'Comp2016-2017 (3)'!$R$5:$R$289,$V1758)*$AB1758))</f>
        <v/>
      </c>
      <c r="AK1758" s="205">
        <f t="shared" si="197"/>
        <v>0</v>
      </c>
      <c r="AL1758" s="218" t="str">
        <f t="shared" ref="AL1758:AL1821" si="199">IF(A1758=D1758,"remplir à la main","")</f>
        <v/>
      </c>
      <c r="AM1758" s="218" t="str">
        <f>VLOOKUP(A1758,'Table corresp.'!$M$4:$U$63,8,FALSE)</f>
        <v>Production intermédiaire</v>
      </c>
      <c r="AN1758" s="218" t="str">
        <f>VLOOKUP(D1758,'Table corresp.'!$M$4:$U$63,9,FALSE)</f>
        <v>Production finale</v>
      </c>
    </row>
    <row r="1759" spans="1:40" x14ac:dyDescent="0.25">
      <c r="A1759" t="s">
        <v>96</v>
      </c>
      <c r="B1759" t="str">
        <f>VLOOKUP(LEFT(A1759,3),'Table corresp.'!$A$4:$D$63,3,FALSE)</f>
        <v>Transformation</v>
      </c>
      <c r="C1759" t="str">
        <f>VLOOKUP(A1759,'Table corresp.'!$M$4:$P$63,4,FALSE)</f>
        <v>Production et transformation de produits bois</v>
      </c>
      <c r="D1759" t="s">
        <v>54</v>
      </c>
      <c r="E1759" t="str">
        <f>VLOOKUP(LEFT(D1759,3),'Table corresp.'!$A$4:$D$63,4,FALSE)</f>
        <v>Consommation finale</v>
      </c>
      <c r="F1759" t="str">
        <f t="shared" si="195"/>
        <v>44  - Con</v>
      </c>
      <c r="G1759" s="238">
        <v>1209806.4643764501</v>
      </c>
      <c r="H1759" s="238">
        <v>1855881.76991359</v>
      </c>
      <c r="I1759" s="238">
        <v>3065688.2342900401</v>
      </c>
      <c r="J1759" s="238"/>
      <c r="K1759" s="238"/>
      <c r="L1759" s="238"/>
      <c r="M1759" s="238">
        <v>2838.1791883507208</v>
      </c>
      <c r="N1759" s="238">
        <v>3123.5635267102148</v>
      </c>
      <c r="O1759" s="238">
        <v>5961.7427150609356</v>
      </c>
      <c r="P1759" s="238"/>
      <c r="Q1759" s="238"/>
      <c r="R1759" s="238"/>
      <c r="S1759" s="238"/>
      <c r="T1759" s="218">
        <f>VLOOKUP(A1759,'Groupe de branches'!$Z$27:$AM$86,14,FALSE)</f>
        <v>0</v>
      </c>
      <c r="U1759" s="218">
        <f>VLOOKUP(D1759,'Groupe de branches'!$Z$27:$AM$86,14,FALSE)</f>
        <v>0</v>
      </c>
      <c r="V1759" s="218">
        <v>2020</v>
      </c>
      <c r="W1759" s="218" t="str">
        <f>VLOOKUP(D1759,'Table corresp.'!$M$4:$S$63,7,FALSE)</f>
        <v>Consommation finale</v>
      </c>
      <c r="X1759" s="240">
        <f>IFERROR(G1759/SUMIFS('Comp2016-2017 (3)'!$I$5:$I$289,'Comp2016-2017 (3)'!$A$5:$A$289,A1759,'Comp2016-2017 (3)'!$R$5:$R$289,V1759),0)</f>
        <v>0.26820124438160414</v>
      </c>
      <c r="Y1759" s="219" t="e">
        <f>IF(RIGHT(F1759,3)="Exp",VLOOKUP(F1759,#REF!,2,FALSE),VLOOKUP(F1759,#REF!,9,FALSE))</f>
        <v>#REF!</v>
      </c>
      <c r="Z1759" s="226" t="str">
        <f t="shared" si="196"/>
        <v/>
      </c>
      <c r="AA1759" s="226" t="e">
        <f t="shared" si="198"/>
        <v>#VALUE!</v>
      </c>
      <c r="AB1759" s="205">
        <f>IFERROR(SUMIFS('Comp2016-2017 (3)'!$G$5:$G$289,'Comp2016-2017 (3)'!$A$5:$A$289,A1759,'Comp2016-2017 (3)'!$R$5:$R$289,V1759)*AA1759/SUMIFS($AA$4:$AA$1858,$A$4:$A$1858,A1759,$V$4:$V$1858,V1759),0)</f>
        <v>0</v>
      </c>
      <c r="AC1759" s="205" t="str">
        <f>IF($W1759=AC$3,$AB1759,IF(NOT($W1759=0),"",SUMIFS('Val-Vol (2)'!AC$4:AC$1858,'Val-Vol (2)'!$A$4:$A$1858,$D1759,'Val-Vol (2)'!$V$4:$V$1858,$V1759)/SUMIFS('Comp2016-2017 (3)'!$G$5:$G$289,'Comp2016-2017 (3)'!$A$5:$A$289,$D1759,'Comp2016-2017 (3)'!$R$5:$R$289,$V1759)*$AB1759))</f>
        <v/>
      </c>
      <c r="AD1759" s="205" t="str">
        <f>IF($W1759=AD$3,$AB1759,IF(NOT($W1759=0),"",SUMIFS('Val-Vol (2)'!AD$4:AD$1858,'Val-Vol (2)'!$A$4:$A$1858,$D1759,'Val-Vol (2)'!$V$4:$V$1858,$V1759)/SUMIFS('Comp2016-2017 (3)'!$G$5:$G$289,'Comp2016-2017 (3)'!$A$5:$A$289,$D1759,'Comp2016-2017 (3)'!$R$5:$R$289,$V1759)*$AB1759))</f>
        <v/>
      </c>
      <c r="AE1759" s="205" t="str">
        <f>IF($W1759=AE$3,$AB1759,IF(NOT($W1759=0),"",SUMIFS('Val-Vol (2)'!AE$4:AE$1858,'Val-Vol (2)'!$A$4:$A$1858,$D1759,'Val-Vol (2)'!$V$4:$V$1858,$V1759)/SUMIFS('Comp2016-2017 (3)'!$G$5:$G$289,'Comp2016-2017 (3)'!$A$5:$A$289,$D1759,'Comp2016-2017 (3)'!$R$5:$R$289,$V1759)*$AB1759))</f>
        <v/>
      </c>
      <c r="AF1759" s="205" t="str">
        <f>IF($W1759=AF$3,$AB1759,IF(NOT($W1759=0),"",SUMIFS('Val-Vol (2)'!AF$4:AF$1858,'Val-Vol (2)'!$A$4:$A$1858,$D1759,'Val-Vol (2)'!$V$4:$V$1858,$V1759)/SUMIFS('Comp2016-2017 (3)'!$G$5:$G$289,'Comp2016-2017 (3)'!$A$5:$A$289,$D1759,'Comp2016-2017 (3)'!$R$5:$R$289,$V1759)*$AB1759))</f>
        <v/>
      </c>
      <c r="AG1759" s="205" t="str">
        <f>IF($W1759=AG$3,$AB1759,IF(NOT($W1759=0),"",SUMIFS('Val-Vol (2)'!AG$4:AG$1858,'Val-Vol (2)'!$A$4:$A$1858,$D1759,'Val-Vol (2)'!$V$4:$V$1858,$V1759)/SUMIFS('Comp2016-2017 (3)'!$G$5:$G$289,'Comp2016-2017 (3)'!$A$5:$A$289,$D1759,'Comp2016-2017 (3)'!$R$5:$R$289,$V1759)*$AB1759))</f>
        <v/>
      </c>
      <c r="AH1759" s="205" t="str">
        <f>IF($W1759=AH$3,$AB1759,IF(NOT($W1759=0),"",SUMIFS('Val-Vol (2)'!AH$4:AH$1858,'Val-Vol (2)'!$A$4:$A$1858,$D1759,'Val-Vol (2)'!$V$4:$V$1858,$V1759)/SUMIFS('Comp2016-2017 (3)'!$G$5:$G$289,'Comp2016-2017 (3)'!$A$5:$A$289,$D1759,'Comp2016-2017 (3)'!$R$5:$R$289,$V1759)*$AB1759))</f>
        <v/>
      </c>
      <c r="AI1759" s="205" t="str">
        <f>IF($W1759=AI$3,$AB1759,IF(NOT($W1759=0),"",SUMIFS('Val-Vol (2)'!AI$4:AI$1858,'Val-Vol (2)'!$A$4:$A$1858,$D1759,'Val-Vol (2)'!$V$4:$V$1858,$V1759)/SUMIFS('Comp2016-2017 (3)'!$G$5:$G$289,'Comp2016-2017 (3)'!$A$5:$A$289,$D1759,'Comp2016-2017 (3)'!$R$5:$R$289,$V1759)*$AB1759))</f>
        <v/>
      </c>
      <c r="AJ1759" s="205">
        <f>IF($W1759=AJ$3,$AB1759,IF(NOT($W1759=0),"",SUMIFS('Val-Vol (2)'!AJ$4:AJ$1858,'Val-Vol (2)'!$A$4:$A$1858,$D1759,'Val-Vol (2)'!$V$4:$V$1858,$V1759)/SUMIFS('Comp2016-2017 (3)'!$G$5:$G$289,'Comp2016-2017 (3)'!$A$5:$A$289,$D1759,'Comp2016-2017 (3)'!$R$5:$R$289,$V1759)*$AB1759))</f>
        <v>0</v>
      </c>
      <c r="AK1759" s="205">
        <f t="shared" si="197"/>
        <v>0</v>
      </c>
      <c r="AL1759" s="218" t="str">
        <f t="shared" si="199"/>
        <v/>
      </c>
      <c r="AM1759" s="218" t="str">
        <f>VLOOKUP(A1759,'Table corresp.'!$M$4:$U$63,8,FALSE)</f>
        <v>Production intermédiaire</v>
      </c>
      <c r="AN1759" s="218" t="str">
        <f>VLOOKUP(D1759,'Table corresp.'!$M$4:$U$63,9,FALSE)</f>
        <v>Consommation finale française</v>
      </c>
    </row>
    <row r="1760" spans="1:40" x14ac:dyDescent="0.25">
      <c r="A1760" t="s">
        <v>96</v>
      </c>
      <c r="B1760" t="str">
        <f>VLOOKUP(LEFT(A1760,3),'Table corresp.'!$A$4:$D$63,3,FALSE)</f>
        <v>Transformation</v>
      </c>
      <c r="C1760" t="str">
        <f>VLOOKUP(A1760,'Table corresp.'!$M$4:$P$63,4,FALSE)</f>
        <v>Production et transformation de produits bois</v>
      </c>
      <c r="D1760" t="s">
        <v>53</v>
      </c>
      <c r="E1760" t="str">
        <f>VLOOKUP(LEFT(D1760,3),'Table corresp.'!$A$4:$D$63,4,FALSE)</f>
        <v>Exportation</v>
      </c>
      <c r="F1760" t="str">
        <f t="shared" si="195"/>
        <v>44  - Exp</v>
      </c>
      <c r="G1760" s="238">
        <v>2780752.1200990002</v>
      </c>
      <c r="H1760" s="238">
        <v>0</v>
      </c>
      <c r="I1760" s="238">
        <v>2780752.1200990002</v>
      </c>
      <c r="J1760" s="238"/>
      <c r="K1760" s="238"/>
      <c r="L1760" s="238"/>
      <c r="M1760" s="238">
        <v>5064.1696949350498</v>
      </c>
      <c r="N1760" s="238">
        <v>0</v>
      </c>
      <c r="O1760" s="238">
        <v>5064.1696949350498</v>
      </c>
      <c r="P1760" s="238"/>
      <c r="Q1760" s="238"/>
      <c r="R1760" s="238"/>
      <c r="S1760" s="238"/>
      <c r="T1760" s="218">
        <f>VLOOKUP(A1760,'Groupe de branches'!$Z$27:$AM$86,14,FALSE)</f>
        <v>0</v>
      </c>
      <c r="U1760" s="218">
        <f>VLOOKUP(D1760,'Groupe de branches'!$Z$27:$AM$86,14,FALSE)</f>
        <v>0</v>
      </c>
      <c r="V1760" s="218">
        <v>2020</v>
      </c>
      <c r="W1760" s="218" t="str">
        <f>VLOOKUP(D1760,'Table corresp.'!$M$4:$S$63,7,FALSE)</f>
        <v>Exportation</v>
      </c>
      <c r="X1760" s="240">
        <f>IFERROR(G1760/SUMIFS('Comp2016-2017 (3)'!$I$5:$I$289,'Comp2016-2017 (3)'!$A$5:$A$289,A1760,'Comp2016-2017 (3)'!$R$5:$R$289,V1760),0)</f>
        <v>0.61646321199955845</v>
      </c>
      <c r="Y1760" s="219" t="e">
        <f>IF(RIGHT(F1760,3)="Exp",VLOOKUP(F1760,#REF!,2,FALSE),VLOOKUP(F1760,#REF!,9,FALSE))</f>
        <v>#REF!</v>
      </c>
      <c r="Z1760" s="226" t="str">
        <f t="shared" si="196"/>
        <v/>
      </c>
      <c r="AA1760" s="226" t="e">
        <f t="shared" si="198"/>
        <v>#VALUE!</v>
      </c>
      <c r="AB1760" s="205">
        <f>IFERROR(SUMIFS('Comp2016-2017 (3)'!$G$5:$G$289,'Comp2016-2017 (3)'!$A$5:$A$289,A1760,'Comp2016-2017 (3)'!$R$5:$R$289,V1760)*AA1760/SUMIFS($AA$4:$AA$1858,$A$4:$A$1858,A1760,$V$4:$V$1858,V1760),0)</f>
        <v>0</v>
      </c>
      <c r="AC1760" s="205">
        <f>IF($W1760=AC$3,$AB1760,IF(NOT($W1760=0),"",SUMIFS('Val-Vol (2)'!AC$4:AC$1858,'Val-Vol (2)'!$A$4:$A$1858,$D1760,'Val-Vol (2)'!$V$4:$V$1858,$V1760)/SUMIFS('Comp2016-2017 (3)'!$G$5:$G$289,'Comp2016-2017 (3)'!$A$5:$A$289,$D1760,'Comp2016-2017 (3)'!$R$5:$R$289,$V1760)*$AB1760))</f>
        <v>0</v>
      </c>
      <c r="AD1760" s="205" t="str">
        <f>IF($W1760=AD$3,$AB1760,IF(NOT($W1760=0),"",SUMIFS('Val-Vol (2)'!AD$4:AD$1858,'Val-Vol (2)'!$A$4:$A$1858,$D1760,'Val-Vol (2)'!$V$4:$V$1858,$V1760)/SUMIFS('Comp2016-2017 (3)'!$G$5:$G$289,'Comp2016-2017 (3)'!$A$5:$A$289,$D1760,'Comp2016-2017 (3)'!$R$5:$R$289,$V1760)*$AB1760))</f>
        <v/>
      </c>
      <c r="AE1760" s="205" t="str">
        <f>IF($W1760=AE$3,$AB1760,IF(NOT($W1760=0),"",SUMIFS('Val-Vol (2)'!AE$4:AE$1858,'Val-Vol (2)'!$A$4:$A$1858,$D1760,'Val-Vol (2)'!$V$4:$V$1858,$V1760)/SUMIFS('Comp2016-2017 (3)'!$G$5:$G$289,'Comp2016-2017 (3)'!$A$5:$A$289,$D1760,'Comp2016-2017 (3)'!$R$5:$R$289,$V1760)*$AB1760))</f>
        <v/>
      </c>
      <c r="AF1760" s="205" t="str">
        <f>IF($W1760=AF$3,$AB1760,IF(NOT($W1760=0),"",SUMIFS('Val-Vol (2)'!AF$4:AF$1858,'Val-Vol (2)'!$A$4:$A$1858,$D1760,'Val-Vol (2)'!$V$4:$V$1858,$V1760)/SUMIFS('Comp2016-2017 (3)'!$G$5:$G$289,'Comp2016-2017 (3)'!$A$5:$A$289,$D1760,'Comp2016-2017 (3)'!$R$5:$R$289,$V1760)*$AB1760))</f>
        <v/>
      </c>
      <c r="AG1760" s="205" t="str">
        <f>IF($W1760=AG$3,$AB1760,IF(NOT($W1760=0),"",SUMIFS('Val-Vol (2)'!AG$4:AG$1858,'Val-Vol (2)'!$A$4:$A$1858,$D1760,'Val-Vol (2)'!$V$4:$V$1858,$V1760)/SUMIFS('Comp2016-2017 (3)'!$G$5:$G$289,'Comp2016-2017 (3)'!$A$5:$A$289,$D1760,'Comp2016-2017 (3)'!$R$5:$R$289,$V1760)*$AB1760))</f>
        <v/>
      </c>
      <c r="AH1760" s="205" t="str">
        <f>IF($W1760=AH$3,$AB1760,IF(NOT($W1760=0),"",SUMIFS('Val-Vol (2)'!AH$4:AH$1858,'Val-Vol (2)'!$A$4:$A$1858,$D1760,'Val-Vol (2)'!$V$4:$V$1858,$V1760)/SUMIFS('Comp2016-2017 (3)'!$G$5:$G$289,'Comp2016-2017 (3)'!$A$5:$A$289,$D1760,'Comp2016-2017 (3)'!$R$5:$R$289,$V1760)*$AB1760))</f>
        <v/>
      </c>
      <c r="AI1760" s="205" t="str">
        <f>IF($W1760=AI$3,$AB1760,IF(NOT($W1760=0),"",SUMIFS('Val-Vol (2)'!AI$4:AI$1858,'Val-Vol (2)'!$A$4:$A$1858,$D1760,'Val-Vol (2)'!$V$4:$V$1858,$V1760)/SUMIFS('Comp2016-2017 (3)'!$G$5:$G$289,'Comp2016-2017 (3)'!$A$5:$A$289,$D1760,'Comp2016-2017 (3)'!$R$5:$R$289,$V1760)*$AB1760))</f>
        <v/>
      </c>
      <c r="AJ1760" s="205" t="str">
        <f>IF($W1760=AJ$3,$AB1760,IF(NOT($W1760=0),"",SUMIFS('Val-Vol (2)'!AJ$4:AJ$1858,'Val-Vol (2)'!$A$4:$A$1858,$D1760,'Val-Vol (2)'!$V$4:$V$1858,$V1760)/SUMIFS('Comp2016-2017 (3)'!$G$5:$G$289,'Comp2016-2017 (3)'!$A$5:$A$289,$D1760,'Comp2016-2017 (3)'!$R$5:$R$289,$V1760)*$AB1760))</f>
        <v/>
      </c>
      <c r="AK1760" s="205">
        <f t="shared" si="197"/>
        <v>0</v>
      </c>
      <c r="AL1760" s="218" t="str">
        <f t="shared" si="199"/>
        <v/>
      </c>
      <c r="AM1760" s="218" t="str">
        <f>VLOOKUP(A1760,'Table corresp.'!$M$4:$U$63,8,FALSE)</f>
        <v>Production intermédiaire</v>
      </c>
      <c r="AN1760" s="218" t="str">
        <f>VLOOKUP(D1760,'Table corresp.'!$M$4:$U$63,9,FALSE)</f>
        <v>Exportation</v>
      </c>
    </row>
    <row r="1761" spans="1:40" x14ac:dyDescent="0.25">
      <c r="A1761" t="s">
        <v>97</v>
      </c>
      <c r="B1761" t="str">
        <f>VLOOKUP(LEFT(A1761,3),'Table corresp.'!$A$4:$D$63,3,FALSE)</f>
        <v>Transformation</v>
      </c>
      <c r="C1761" t="str">
        <f>VLOOKUP(A1761,'Table corresp.'!$M$4:$P$63,4,FALSE)</f>
        <v>Production et transformation de produits bois</v>
      </c>
      <c r="D1761" t="s">
        <v>97</v>
      </c>
      <c r="E1761" t="str">
        <f>VLOOKUP(LEFT(D1761,3),'Table corresp.'!$A$4:$D$63,4,FALSE)</f>
        <v>Transformation</v>
      </c>
      <c r="F1761" t="str">
        <f t="shared" si="195"/>
        <v xml:space="preserve">45  - 45 </v>
      </c>
      <c r="G1761" s="238">
        <v>10736.5665545836</v>
      </c>
      <c r="H1761" s="238">
        <v>1044557.70910866</v>
      </c>
      <c r="I1761" s="238">
        <v>1055294.2756632499</v>
      </c>
      <c r="J1761" s="238"/>
      <c r="K1761" s="238"/>
      <c r="L1761" s="238"/>
      <c r="M1761" s="238"/>
      <c r="N1761" s="238"/>
      <c r="O1761" s="238"/>
      <c r="P1761" s="238"/>
      <c r="Q1761" s="238"/>
      <c r="R1761" s="238"/>
      <c r="S1761" s="238"/>
      <c r="T1761" s="218">
        <f>VLOOKUP(A1761,'Groupe de branches'!$Z$27:$AM$86,14,FALSE)</f>
        <v>0</v>
      </c>
      <c r="U1761" s="218">
        <f>VLOOKUP(D1761,'Groupe de branches'!$Z$27:$AM$86,14,FALSE)</f>
        <v>0</v>
      </c>
      <c r="V1761" s="218">
        <v>2020</v>
      </c>
      <c r="W1761" s="218" t="str">
        <f>VLOOKUP(D1761,'Table corresp.'!$M$4:$S$63,7,FALSE)</f>
        <v>Pate &amp; papier &amp; carton</v>
      </c>
      <c r="X1761" s="240">
        <f>IFERROR(G1761/SUMIFS('Comp2016-2017 (3)'!$I$5:$I$289,'Comp2016-2017 (3)'!$A$5:$A$289,A1761,'Comp2016-2017 (3)'!$R$5:$R$289,V1761),0)</f>
        <v>1.1114751532865102E-3</v>
      </c>
      <c r="Y1761" s="219" t="e">
        <f>IF(RIGHT(F1761,3)="Exp",VLOOKUP(F1761,#REF!,2,FALSE),VLOOKUP(F1761,#REF!,9,FALSE))</f>
        <v>#REF!</v>
      </c>
      <c r="Z1761" s="226" t="str">
        <f t="shared" si="196"/>
        <v/>
      </c>
      <c r="AA1761" s="226" t="e">
        <f t="shared" si="198"/>
        <v>#VALUE!</v>
      </c>
      <c r="AB1761" s="205">
        <f>IFERROR(SUMIFS('Comp2016-2017 (3)'!$G$5:$G$289,'Comp2016-2017 (3)'!$A$5:$A$289,A1761,'Comp2016-2017 (3)'!$R$5:$R$289,V1761)*AA1761/SUMIFS($AA$4:$AA$1858,$A$4:$A$1858,A1761,$V$4:$V$1858,V1761),0)</f>
        <v>0</v>
      </c>
      <c r="AC1761" s="205"/>
      <c r="AD1761" s="205"/>
      <c r="AE1761" s="205"/>
      <c r="AF1761" s="205">
        <f>AB1761</f>
        <v>0</v>
      </c>
      <c r="AG1761" s="205"/>
      <c r="AH1761" s="205"/>
      <c r="AI1761" s="205"/>
      <c r="AJ1761" s="205"/>
      <c r="AK1761" s="205">
        <f t="shared" si="197"/>
        <v>0</v>
      </c>
      <c r="AL1761" s="218" t="str">
        <f t="shared" si="199"/>
        <v>remplir à la main</v>
      </c>
      <c r="AM1761" s="218" t="str">
        <f>VLOOKUP(A1761,'Table corresp.'!$M$4:$U$63,8,FALSE)</f>
        <v>Production finale</v>
      </c>
      <c r="AN1761" s="218" t="str">
        <f>VLOOKUP(D1761,'Table corresp.'!$M$4:$U$63,9,FALSE)</f>
        <v>Production finale</v>
      </c>
    </row>
    <row r="1762" spans="1:40" x14ac:dyDescent="0.25">
      <c r="A1762" t="s">
        <v>97</v>
      </c>
      <c r="B1762" t="str">
        <f>VLOOKUP(LEFT(A1762,3),'Table corresp.'!$A$4:$D$63,3,FALSE)</f>
        <v>Transformation</v>
      </c>
      <c r="C1762" t="str">
        <f>VLOOKUP(A1762,'Table corresp.'!$M$4:$P$63,4,FALSE)</f>
        <v>Production et transformation de produits bois</v>
      </c>
      <c r="D1762" t="s">
        <v>54</v>
      </c>
      <c r="E1762" t="str">
        <f>VLOOKUP(LEFT(D1762,3),'Table corresp.'!$A$4:$D$63,4,FALSE)</f>
        <v>Consommation finale</v>
      </c>
      <c r="F1762" t="str">
        <f t="shared" si="195"/>
        <v>45  - Con</v>
      </c>
      <c r="G1762" s="238">
        <v>7739165.4416584</v>
      </c>
      <c r="H1762" s="238">
        <v>2935872.5688913302</v>
      </c>
      <c r="I1762" s="238">
        <v>10675038.0105497</v>
      </c>
      <c r="J1762" s="238"/>
      <c r="K1762" s="238"/>
      <c r="L1762" s="238"/>
      <c r="M1762" s="238">
        <v>3484.2796291890945</v>
      </c>
      <c r="N1762" s="238">
        <v>1873.3609844154157</v>
      </c>
      <c r="O1762" s="238">
        <v>5357.6406136045098</v>
      </c>
      <c r="P1762" s="238"/>
      <c r="Q1762" s="238"/>
      <c r="R1762" s="238"/>
      <c r="S1762" s="238"/>
      <c r="T1762" s="218">
        <f>VLOOKUP(A1762,'Groupe de branches'!$Z$27:$AM$86,14,FALSE)</f>
        <v>0</v>
      </c>
      <c r="U1762" s="218">
        <f>VLOOKUP(D1762,'Groupe de branches'!$Z$27:$AM$86,14,FALSE)</f>
        <v>0</v>
      </c>
      <c r="V1762" s="218">
        <v>2020</v>
      </c>
      <c r="W1762" s="218" t="str">
        <f>VLOOKUP(D1762,'Table corresp.'!$M$4:$S$63,7,FALSE)</f>
        <v>Consommation finale</v>
      </c>
      <c r="X1762" s="240">
        <f>IFERROR(G1762/SUMIFS('Comp2016-2017 (3)'!$I$5:$I$289,'Comp2016-2017 (3)'!$A$5:$A$289,A1762,'Comp2016-2017 (3)'!$R$5:$R$289,V1762),0)</f>
        <v>0.80117699190386493</v>
      </c>
      <c r="Y1762" s="219" t="e">
        <f>IF(RIGHT(F1762,3)="Exp",VLOOKUP(F1762,#REF!,2,FALSE),VLOOKUP(F1762,#REF!,9,FALSE))</f>
        <v>#REF!</v>
      </c>
      <c r="Z1762" s="226" t="str">
        <f t="shared" si="196"/>
        <v/>
      </c>
      <c r="AA1762" s="226" t="e">
        <f t="shared" si="198"/>
        <v>#VALUE!</v>
      </c>
      <c r="AB1762" s="205">
        <f>IFERROR(SUMIFS('Comp2016-2017 (3)'!$G$5:$G$289,'Comp2016-2017 (3)'!$A$5:$A$289,A1762,'Comp2016-2017 (3)'!$R$5:$R$289,V1762)*AA1762/SUMIFS($AA$4:$AA$1858,$A$4:$A$1858,A1762,$V$4:$V$1858,V1762),0)</f>
        <v>0</v>
      </c>
      <c r="AC1762" s="205" t="str">
        <f>IF($W1762=AC$3,$AB1762,IF(NOT($W1762=0),"",SUMIFS('Val-Vol (2)'!AC$4:AC$1858,'Val-Vol (2)'!$A$4:$A$1858,$D1762,'Val-Vol (2)'!$V$4:$V$1858,$V1762)/SUMIFS('Comp2016-2017 (3)'!$G$5:$G$289,'Comp2016-2017 (3)'!$A$5:$A$289,$D1762,'Comp2016-2017 (3)'!$R$5:$R$289,$V1762)*$AB1762))</f>
        <v/>
      </c>
      <c r="AD1762" s="205" t="str">
        <f>IF($W1762=AD$3,$AB1762,IF(NOT($W1762=0),"",SUMIFS('Val-Vol (2)'!AD$4:AD$1858,'Val-Vol (2)'!$A$4:$A$1858,$D1762,'Val-Vol (2)'!$V$4:$V$1858,$V1762)/SUMIFS('Comp2016-2017 (3)'!$G$5:$G$289,'Comp2016-2017 (3)'!$A$5:$A$289,$D1762,'Comp2016-2017 (3)'!$R$5:$R$289,$V1762)*$AB1762))</f>
        <v/>
      </c>
      <c r="AE1762" s="205" t="str">
        <f>IF($W1762=AE$3,$AB1762,IF(NOT($W1762=0),"",SUMIFS('Val-Vol (2)'!AE$4:AE$1858,'Val-Vol (2)'!$A$4:$A$1858,$D1762,'Val-Vol (2)'!$V$4:$V$1858,$V1762)/SUMIFS('Comp2016-2017 (3)'!$G$5:$G$289,'Comp2016-2017 (3)'!$A$5:$A$289,$D1762,'Comp2016-2017 (3)'!$R$5:$R$289,$V1762)*$AB1762))</f>
        <v/>
      </c>
      <c r="AF1762" s="205" t="str">
        <f>IF($W1762=AF$3,$AB1762,IF(NOT($W1762=0),"",SUMIFS('Val-Vol (2)'!AF$4:AF$1858,'Val-Vol (2)'!$A$4:$A$1858,$D1762,'Val-Vol (2)'!$V$4:$V$1858,$V1762)/SUMIFS('Comp2016-2017 (3)'!$G$5:$G$289,'Comp2016-2017 (3)'!$A$5:$A$289,$D1762,'Comp2016-2017 (3)'!$R$5:$R$289,$V1762)*$AB1762))</f>
        <v/>
      </c>
      <c r="AG1762" s="205" t="str">
        <f>IF($W1762=AG$3,$AB1762,IF(NOT($W1762=0),"",SUMIFS('Val-Vol (2)'!AG$4:AG$1858,'Val-Vol (2)'!$A$4:$A$1858,$D1762,'Val-Vol (2)'!$V$4:$V$1858,$V1762)/SUMIFS('Comp2016-2017 (3)'!$G$5:$G$289,'Comp2016-2017 (3)'!$A$5:$A$289,$D1762,'Comp2016-2017 (3)'!$R$5:$R$289,$V1762)*$AB1762))</f>
        <v/>
      </c>
      <c r="AH1762" s="205" t="str">
        <f>IF($W1762=AH$3,$AB1762,IF(NOT($W1762=0),"",SUMIFS('Val-Vol (2)'!AH$4:AH$1858,'Val-Vol (2)'!$A$4:$A$1858,$D1762,'Val-Vol (2)'!$V$4:$V$1858,$V1762)/SUMIFS('Comp2016-2017 (3)'!$G$5:$G$289,'Comp2016-2017 (3)'!$A$5:$A$289,$D1762,'Comp2016-2017 (3)'!$R$5:$R$289,$V1762)*$AB1762))</f>
        <v/>
      </c>
      <c r="AI1762" s="205" t="str">
        <f>IF($W1762=AI$3,$AB1762,IF(NOT($W1762=0),"",SUMIFS('Val-Vol (2)'!AI$4:AI$1858,'Val-Vol (2)'!$A$4:$A$1858,$D1762,'Val-Vol (2)'!$V$4:$V$1858,$V1762)/SUMIFS('Comp2016-2017 (3)'!$G$5:$G$289,'Comp2016-2017 (3)'!$A$5:$A$289,$D1762,'Comp2016-2017 (3)'!$R$5:$R$289,$V1762)*$AB1762))</f>
        <v/>
      </c>
      <c r="AJ1762" s="205">
        <f>IF($W1762=AJ$3,$AB1762,IF(NOT($W1762=0),"",SUMIFS('Val-Vol (2)'!AJ$4:AJ$1858,'Val-Vol (2)'!$A$4:$A$1858,$D1762,'Val-Vol (2)'!$V$4:$V$1858,$V1762)/SUMIFS('Comp2016-2017 (3)'!$G$5:$G$289,'Comp2016-2017 (3)'!$A$5:$A$289,$D1762,'Comp2016-2017 (3)'!$R$5:$R$289,$V1762)*$AB1762))</f>
        <v>0</v>
      </c>
      <c r="AK1762" s="205">
        <f t="shared" si="197"/>
        <v>0</v>
      </c>
      <c r="AL1762" s="218" t="str">
        <f t="shared" si="199"/>
        <v/>
      </c>
      <c r="AM1762" s="218" t="str">
        <f>VLOOKUP(A1762,'Table corresp.'!$M$4:$U$63,8,FALSE)</f>
        <v>Production finale</v>
      </c>
      <c r="AN1762" s="218" t="str">
        <f>VLOOKUP(D1762,'Table corresp.'!$M$4:$U$63,9,FALSE)</f>
        <v>Consommation finale française</v>
      </c>
    </row>
    <row r="1763" spans="1:40" x14ac:dyDescent="0.25">
      <c r="A1763" t="s">
        <v>97</v>
      </c>
      <c r="B1763" t="str">
        <f>VLOOKUP(LEFT(A1763,3),'Table corresp.'!$A$4:$D$63,3,FALSE)</f>
        <v>Transformation</v>
      </c>
      <c r="C1763" t="str">
        <f>VLOOKUP(A1763,'Table corresp.'!$M$4:$P$63,4,FALSE)</f>
        <v>Production et transformation de produits bois</v>
      </c>
      <c r="D1763" t="s">
        <v>53</v>
      </c>
      <c r="E1763" t="str">
        <f>VLOOKUP(LEFT(D1763,3),'Table corresp.'!$A$4:$D$63,4,FALSE)</f>
        <v>Exportation</v>
      </c>
      <c r="F1763" t="str">
        <f t="shared" si="195"/>
        <v>45  - Exp</v>
      </c>
      <c r="G1763" s="238">
        <v>1909842.9917870101</v>
      </c>
      <c r="H1763" s="238">
        <v>0</v>
      </c>
      <c r="I1763" s="238">
        <v>1909842.9917870101</v>
      </c>
      <c r="J1763" s="238"/>
      <c r="K1763" s="238"/>
      <c r="L1763" s="238"/>
      <c r="M1763" s="238">
        <v>781.82295580480377</v>
      </c>
      <c r="N1763" s="238">
        <v>0</v>
      </c>
      <c r="O1763" s="238">
        <v>781.82295580480377</v>
      </c>
      <c r="P1763" s="238"/>
      <c r="Q1763" s="238"/>
      <c r="R1763" s="238"/>
      <c r="S1763" s="238"/>
      <c r="T1763" s="218">
        <f>VLOOKUP(A1763,'Groupe de branches'!$Z$27:$AM$86,14,FALSE)</f>
        <v>0</v>
      </c>
      <c r="U1763" s="218">
        <f>VLOOKUP(D1763,'Groupe de branches'!$Z$27:$AM$86,14,FALSE)</f>
        <v>0</v>
      </c>
      <c r="V1763" s="218">
        <v>2020</v>
      </c>
      <c r="W1763" s="218" t="str">
        <f>VLOOKUP(D1763,'Table corresp.'!$M$4:$S$63,7,FALSE)</f>
        <v>Exportation</v>
      </c>
      <c r="X1763" s="240">
        <f>IFERROR(G1763/SUMIFS('Comp2016-2017 (3)'!$I$5:$I$289,'Comp2016-2017 (3)'!$A$5:$A$289,A1763,'Comp2016-2017 (3)'!$R$5:$R$289,V1763),0)</f>
        <v>0.19771153294284788</v>
      </c>
      <c r="Y1763" s="219" t="e">
        <f>IF(RIGHT(F1763,3)="Exp",VLOOKUP(F1763,#REF!,2,FALSE),VLOOKUP(F1763,#REF!,9,FALSE))</f>
        <v>#REF!</v>
      </c>
      <c r="Z1763" s="226" t="str">
        <f t="shared" si="196"/>
        <v/>
      </c>
      <c r="AA1763" s="226" t="e">
        <f t="shared" si="198"/>
        <v>#VALUE!</v>
      </c>
      <c r="AB1763" s="205">
        <f>IFERROR(SUMIFS('Comp2016-2017 (3)'!$G$5:$G$289,'Comp2016-2017 (3)'!$A$5:$A$289,A1763,'Comp2016-2017 (3)'!$R$5:$R$289,V1763)*AA1763/SUMIFS($AA$4:$AA$1858,$A$4:$A$1858,A1763,$V$4:$V$1858,V1763),0)</f>
        <v>0</v>
      </c>
      <c r="AC1763" s="205">
        <f>IF($W1763=AC$3,$AB1763,IF(NOT($W1763=0),"",SUMIFS('Val-Vol (2)'!AC$4:AC$1858,'Val-Vol (2)'!$A$4:$A$1858,$D1763,'Val-Vol (2)'!$V$4:$V$1858,$V1763)/SUMIFS('Comp2016-2017 (3)'!$G$5:$G$289,'Comp2016-2017 (3)'!$A$5:$A$289,$D1763,'Comp2016-2017 (3)'!$R$5:$R$289,$V1763)*$AB1763))</f>
        <v>0</v>
      </c>
      <c r="AD1763" s="205" t="str">
        <f>IF($W1763=AD$3,$AB1763,IF(NOT($W1763=0),"",SUMIFS('Val-Vol (2)'!AD$4:AD$1858,'Val-Vol (2)'!$A$4:$A$1858,$D1763,'Val-Vol (2)'!$V$4:$V$1858,$V1763)/SUMIFS('Comp2016-2017 (3)'!$G$5:$G$289,'Comp2016-2017 (3)'!$A$5:$A$289,$D1763,'Comp2016-2017 (3)'!$R$5:$R$289,$V1763)*$AB1763))</f>
        <v/>
      </c>
      <c r="AE1763" s="205" t="str">
        <f>IF($W1763=AE$3,$AB1763,IF(NOT($W1763=0),"",SUMIFS('Val-Vol (2)'!AE$4:AE$1858,'Val-Vol (2)'!$A$4:$A$1858,$D1763,'Val-Vol (2)'!$V$4:$V$1858,$V1763)/SUMIFS('Comp2016-2017 (3)'!$G$5:$G$289,'Comp2016-2017 (3)'!$A$5:$A$289,$D1763,'Comp2016-2017 (3)'!$R$5:$R$289,$V1763)*$AB1763))</f>
        <v/>
      </c>
      <c r="AF1763" s="205" t="str">
        <f>IF($W1763=AF$3,$AB1763,IF(NOT($W1763=0),"",SUMIFS('Val-Vol (2)'!AF$4:AF$1858,'Val-Vol (2)'!$A$4:$A$1858,$D1763,'Val-Vol (2)'!$V$4:$V$1858,$V1763)/SUMIFS('Comp2016-2017 (3)'!$G$5:$G$289,'Comp2016-2017 (3)'!$A$5:$A$289,$D1763,'Comp2016-2017 (3)'!$R$5:$R$289,$V1763)*$AB1763))</f>
        <v/>
      </c>
      <c r="AG1763" s="205" t="str">
        <f>IF($W1763=AG$3,$AB1763,IF(NOT($W1763=0),"",SUMIFS('Val-Vol (2)'!AG$4:AG$1858,'Val-Vol (2)'!$A$4:$A$1858,$D1763,'Val-Vol (2)'!$V$4:$V$1858,$V1763)/SUMIFS('Comp2016-2017 (3)'!$G$5:$G$289,'Comp2016-2017 (3)'!$A$5:$A$289,$D1763,'Comp2016-2017 (3)'!$R$5:$R$289,$V1763)*$AB1763))</f>
        <v/>
      </c>
      <c r="AH1763" s="205" t="str">
        <f>IF($W1763=AH$3,$AB1763,IF(NOT($W1763=0),"",SUMIFS('Val-Vol (2)'!AH$4:AH$1858,'Val-Vol (2)'!$A$4:$A$1858,$D1763,'Val-Vol (2)'!$V$4:$V$1858,$V1763)/SUMIFS('Comp2016-2017 (3)'!$G$5:$G$289,'Comp2016-2017 (3)'!$A$5:$A$289,$D1763,'Comp2016-2017 (3)'!$R$5:$R$289,$V1763)*$AB1763))</f>
        <v/>
      </c>
      <c r="AI1763" s="205" t="str">
        <f>IF($W1763=AI$3,$AB1763,IF(NOT($W1763=0),"",SUMIFS('Val-Vol (2)'!AI$4:AI$1858,'Val-Vol (2)'!$A$4:$A$1858,$D1763,'Val-Vol (2)'!$V$4:$V$1858,$V1763)/SUMIFS('Comp2016-2017 (3)'!$G$5:$G$289,'Comp2016-2017 (3)'!$A$5:$A$289,$D1763,'Comp2016-2017 (3)'!$R$5:$R$289,$V1763)*$AB1763))</f>
        <v/>
      </c>
      <c r="AJ1763" s="205" t="str">
        <f>IF($W1763=AJ$3,$AB1763,IF(NOT($W1763=0),"",SUMIFS('Val-Vol (2)'!AJ$4:AJ$1858,'Val-Vol (2)'!$A$4:$A$1858,$D1763,'Val-Vol (2)'!$V$4:$V$1858,$V1763)/SUMIFS('Comp2016-2017 (3)'!$G$5:$G$289,'Comp2016-2017 (3)'!$A$5:$A$289,$D1763,'Comp2016-2017 (3)'!$R$5:$R$289,$V1763)*$AB1763))</f>
        <v/>
      </c>
      <c r="AK1763" s="205">
        <f t="shared" si="197"/>
        <v>0</v>
      </c>
      <c r="AL1763" s="218" t="str">
        <f t="shared" si="199"/>
        <v/>
      </c>
      <c r="AM1763" s="218" t="str">
        <f>VLOOKUP(A1763,'Table corresp.'!$M$4:$U$63,8,FALSE)</f>
        <v>Production finale</v>
      </c>
      <c r="AN1763" s="218" t="str">
        <f>VLOOKUP(D1763,'Table corresp.'!$M$4:$U$63,9,FALSE)</f>
        <v>Exportation</v>
      </c>
    </row>
    <row r="1764" spans="1:40" x14ac:dyDescent="0.25">
      <c r="A1764" t="s">
        <v>98</v>
      </c>
      <c r="B1764" t="str">
        <f>VLOOKUP(LEFT(A1764,3),'Table corresp.'!$A$4:$D$63,3,FALSE)</f>
        <v>Transformation</v>
      </c>
      <c r="C1764" t="str">
        <f>VLOOKUP(A1764,'Table corresp.'!$M$4:$P$63,4,FALSE)</f>
        <v>Production et transformation de produits bois</v>
      </c>
      <c r="D1764" t="s">
        <v>54</v>
      </c>
      <c r="E1764" t="str">
        <f>VLOOKUP(LEFT(D1764,3),'Table corresp.'!$A$4:$D$63,4,FALSE)</f>
        <v>Consommation finale</v>
      </c>
      <c r="F1764" t="str">
        <f t="shared" si="195"/>
        <v>46  - Con</v>
      </c>
      <c r="G1764" s="238">
        <v>174219.933581146</v>
      </c>
      <c r="H1764" s="238">
        <v>163578.50426865299</v>
      </c>
      <c r="I1764" s="238">
        <v>337798.43784979999</v>
      </c>
      <c r="J1764" s="238"/>
      <c r="K1764" s="238"/>
      <c r="L1764" s="238"/>
      <c r="M1764" s="238">
        <v>795.68255215936256</v>
      </c>
      <c r="N1764" s="238">
        <v>119.35238282390438</v>
      </c>
      <c r="O1764" s="238">
        <v>915.03493498326691</v>
      </c>
      <c r="P1764" s="238"/>
      <c r="Q1764" s="238"/>
      <c r="R1764" s="238"/>
      <c r="S1764" s="238"/>
      <c r="T1764" s="218">
        <f>VLOOKUP(A1764,'Groupe de branches'!$Z$27:$AM$86,14,FALSE)</f>
        <v>0</v>
      </c>
      <c r="U1764" s="218">
        <f>VLOOKUP(D1764,'Groupe de branches'!$Z$27:$AM$86,14,FALSE)</f>
        <v>0</v>
      </c>
      <c r="V1764" s="218">
        <v>2020</v>
      </c>
      <c r="W1764" s="218" t="str">
        <f>VLOOKUP(D1764,'Table corresp.'!$M$4:$S$63,7,FALSE)</f>
        <v>Consommation finale</v>
      </c>
      <c r="X1764" s="240">
        <f>IFERROR(G1764/SUMIFS('Comp2016-2017 (3)'!$I$5:$I$289,'Comp2016-2017 (3)'!$A$5:$A$289,A1764,'Comp2016-2017 (3)'!$R$5:$R$289,V1764),0)</f>
        <v>0.99999999999999734</v>
      </c>
      <c r="Y1764" s="219" t="e">
        <f>IF(RIGHT(F1764,3)="Exp",VLOOKUP(F1764,#REF!,2,FALSE),VLOOKUP(F1764,#REF!,9,FALSE))</f>
        <v>#REF!</v>
      </c>
      <c r="Z1764" s="226" t="str">
        <f t="shared" si="196"/>
        <v/>
      </c>
      <c r="AA1764" s="226" t="e">
        <f t="shared" si="198"/>
        <v>#VALUE!</v>
      </c>
      <c r="AB1764" s="205">
        <f>IFERROR(SUMIFS('Comp2016-2017 (3)'!$G$5:$G$289,'Comp2016-2017 (3)'!$A$5:$A$289,A1764,'Comp2016-2017 (3)'!$R$5:$R$289,V1764)*AA1764/SUMIFS($AA$4:$AA$1858,$A$4:$A$1858,A1764,$V$4:$V$1858,V1764),0)</f>
        <v>0</v>
      </c>
      <c r="AC1764" s="205" t="str">
        <f>IF($W1764=AC$3,$AB1764,IF(NOT($W1764=0),"",SUMIFS('Val-Vol (2)'!AC$4:AC$1858,'Val-Vol (2)'!$A$4:$A$1858,$D1764,'Val-Vol (2)'!$V$4:$V$1858,$V1764)/SUMIFS('Comp2016-2017 (3)'!$G$5:$G$289,'Comp2016-2017 (3)'!$A$5:$A$289,$D1764,'Comp2016-2017 (3)'!$R$5:$R$289,$V1764)*$AB1764))</f>
        <v/>
      </c>
      <c r="AD1764" s="205" t="str">
        <f>IF($W1764=AD$3,$AB1764,IF(NOT($W1764=0),"",SUMIFS('Val-Vol (2)'!AD$4:AD$1858,'Val-Vol (2)'!$A$4:$A$1858,$D1764,'Val-Vol (2)'!$V$4:$V$1858,$V1764)/SUMIFS('Comp2016-2017 (3)'!$G$5:$G$289,'Comp2016-2017 (3)'!$A$5:$A$289,$D1764,'Comp2016-2017 (3)'!$R$5:$R$289,$V1764)*$AB1764))</f>
        <v/>
      </c>
      <c r="AE1764" s="205" t="str">
        <f>IF($W1764=AE$3,$AB1764,IF(NOT($W1764=0),"",SUMIFS('Val-Vol (2)'!AE$4:AE$1858,'Val-Vol (2)'!$A$4:$A$1858,$D1764,'Val-Vol (2)'!$V$4:$V$1858,$V1764)/SUMIFS('Comp2016-2017 (3)'!$G$5:$G$289,'Comp2016-2017 (3)'!$A$5:$A$289,$D1764,'Comp2016-2017 (3)'!$R$5:$R$289,$V1764)*$AB1764))</f>
        <v/>
      </c>
      <c r="AF1764" s="205" t="str">
        <f>IF($W1764=AF$3,$AB1764,IF(NOT($W1764=0),"",SUMIFS('Val-Vol (2)'!AF$4:AF$1858,'Val-Vol (2)'!$A$4:$A$1858,$D1764,'Val-Vol (2)'!$V$4:$V$1858,$V1764)/SUMIFS('Comp2016-2017 (3)'!$G$5:$G$289,'Comp2016-2017 (3)'!$A$5:$A$289,$D1764,'Comp2016-2017 (3)'!$R$5:$R$289,$V1764)*$AB1764))</f>
        <v/>
      </c>
      <c r="AG1764" s="205" t="str">
        <f>IF($W1764=AG$3,$AB1764,IF(NOT($W1764=0),"",SUMIFS('Val-Vol (2)'!AG$4:AG$1858,'Val-Vol (2)'!$A$4:$A$1858,$D1764,'Val-Vol (2)'!$V$4:$V$1858,$V1764)/SUMIFS('Comp2016-2017 (3)'!$G$5:$G$289,'Comp2016-2017 (3)'!$A$5:$A$289,$D1764,'Comp2016-2017 (3)'!$R$5:$R$289,$V1764)*$AB1764))</f>
        <v/>
      </c>
      <c r="AH1764" s="205" t="str">
        <f>IF($W1764=AH$3,$AB1764,IF(NOT($W1764=0),"",SUMIFS('Val-Vol (2)'!AH$4:AH$1858,'Val-Vol (2)'!$A$4:$A$1858,$D1764,'Val-Vol (2)'!$V$4:$V$1858,$V1764)/SUMIFS('Comp2016-2017 (3)'!$G$5:$G$289,'Comp2016-2017 (3)'!$A$5:$A$289,$D1764,'Comp2016-2017 (3)'!$R$5:$R$289,$V1764)*$AB1764))</f>
        <v/>
      </c>
      <c r="AI1764" s="205" t="str">
        <f>IF($W1764=AI$3,$AB1764,IF(NOT($W1764=0),"",SUMIFS('Val-Vol (2)'!AI$4:AI$1858,'Val-Vol (2)'!$A$4:$A$1858,$D1764,'Val-Vol (2)'!$V$4:$V$1858,$V1764)/SUMIFS('Comp2016-2017 (3)'!$G$5:$G$289,'Comp2016-2017 (3)'!$A$5:$A$289,$D1764,'Comp2016-2017 (3)'!$R$5:$R$289,$V1764)*$AB1764))</f>
        <v/>
      </c>
      <c r="AJ1764" s="205">
        <f>IF($W1764=AJ$3,$AB1764,IF(NOT($W1764=0),"",SUMIFS('Val-Vol (2)'!AJ$4:AJ$1858,'Val-Vol (2)'!$A$4:$A$1858,$D1764,'Val-Vol (2)'!$V$4:$V$1858,$V1764)/SUMIFS('Comp2016-2017 (3)'!$G$5:$G$289,'Comp2016-2017 (3)'!$A$5:$A$289,$D1764,'Comp2016-2017 (3)'!$R$5:$R$289,$V1764)*$AB1764))</f>
        <v>0</v>
      </c>
      <c r="AK1764" s="205">
        <f t="shared" si="197"/>
        <v>0</v>
      </c>
      <c r="AL1764" s="218" t="str">
        <f t="shared" si="199"/>
        <v/>
      </c>
      <c r="AM1764" s="218" t="str">
        <f>VLOOKUP(A1764,'Table corresp.'!$M$4:$U$63,8,FALSE)</f>
        <v>Production intermédiaire</v>
      </c>
      <c r="AN1764" s="218" t="str">
        <f>VLOOKUP(D1764,'Table corresp.'!$M$4:$U$63,9,FALSE)</f>
        <v>Consommation finale française</v>
      </c>
    </row>
    <row r="1765" spans="1:40" x14ac:dyDescent="0.25">
      <c r="A1765" t="s">
        <v>99</v>
      </c>
      <c r="B1765" t="str">
        <f>VLOOKUP(LEFT(A1765,3),'Table corresp.'!$A$4:$D$63,3,FALSE)</f>
        <v>Transformation</v>
      </c>
      <c r="C1765" t="str">
        <f>VLOOKUP(A1765,'Table corresp.'!$M$4:$P$63,4,FALSE)</f>
        <v>Production et transformation de produits bois</v>
      </c>
      <c r="D1765" t="s">
        <v>90</v>
      </c>
      <c r="E1765" t="str">
        <f>VLOOKUP(LEFT(D1765,3),'Table corresp.'!$A$4:$D$63,4,FALSE)</f>
        <v>Transformation</v>
      </c>
      <c r="F1765" t="str">
        <f t="shared" si="195"/>
        <v xml:space="preserve">47  - 34 </v>
      </c>
      <c r="G1765" s="238">
        <v>1677.0426994692</v>
      </c>
      <c r="H1765" s="238">
        <v>3473.1897307722002</v>
      </c>
      <c r="I1765" s="238">
        <v>5150.2324302413899</v>
      </c>
      <c r="J1765" s="238">
        <v>0.25527109401027581</v>
      </c>
      <c r="K1765" s="238">
        <v>0.55111965170122157</v>
      </c>
      <c r="L1765" s="238">
        <v>0.80639074571149738</v>
      </c>
      <c r="M1765" s="238">
        <v>0.49782622890333056</v>
      </c>
      <c r="N1765" s="238">
        <v>1.0747860776978213</v>
      </c>
      <c r="O1765" s="238">
        <v>1.5726123066011519</v>
      </c>
      <c r="P1765" s="238">
        <v>0.12378387944307016</v>
      </c>
      <c r="Q1765" s="238">
        <v>0.26724423613017728</v>
      </c>
      <c r="R1765" s="238">
        <v>0.39102811557324746</v>
      </c>
      <c r="S1765" s="238"/>
      <c r="T1765" s="218">
        <f>VLOOKUP(A1765,'Groupe de branches'!$Z$27:$AM$86,14,FALSE)</f>
        <v>0</v>
      </c>
      <c r="U1765" s="218">
        <f>VLOOKUP(D1765,'Groupe de branches'!$Z$27:$AM$86,14,FALSE)</f>
        <v>0</v>
      </c>
      <c r="V1765" s="218">
        <v>2020</v>
      </c>
      <c r="W1765" s="218" t="str">
        <f>VLOOKUP(D1765,'Table corresp.'!$M$4:$S$63,7,FALSE)</f>
        <v>Construction</v>
      </c>
      <c r="X1765" s="240">
        <f>IFERROR(G1765/SUMIFS('Comp2016-2017 (3)'!$I$5:$I$289,'Comp2016-2017 (3)'!$A$5:$A$289,A1765,'Comp2016-2017 (3)'!$R$5:$R$289,V1765),0)</f>
        <v>5.6414000928072471E-4</v>
      </c>
      <c r="Y1765" s="219" t="e">
        <f>IF(RIGHT(F1765,3)="Exp",VLOOKUP(F1765,#REF!,2,FALSE),VLOOKUP(F1765,#REF!,9,FALSE))</f>
        <v>#REF!</v>
      </c>
      <c r="Z1765" s="226" t="str">
        <f t="shared" si="196"/>
        <v/>
      </c>
      <c r="AA1765" s="226" t="e">
        <f t="shared" si="198"/>
        <v>#VALUE!</v>
      </c>
      <c r="AB1765" s="205">
        <f>IFERROR(SUMIFS('Comp2016-2017 (3)'!$G$5:$G$289,'Comp2016-2017 (3)'!$A$5:$A$289,A1765,'Comp2016-2017 (3)'!$R$5:$R$289,V1765)*AA1765/SUMIFS($AA$4:$AA$1858,$A$4:$A$1858,A1765,$V$4:$V$1858,V1765),0)</f>
        <v>0</v>
      </c>
      <c r="AC1765" s="205" t="str">
        <f>IF($W1765=AC$3,$AB1765,IF(NOT($W1765=0),"",SUMIFS('Val-Vol (2)'!AC$4:AC$1858,'Val-Vol (2)'!$A$4:$A$1858,$D1765,'Val-Vol (2)'!$V$4:$V$1858,$V1765)/SUMIFS('Comp2016-2017 (3)'!$G$5:$G$289,'Comp2016-2017 (3)'!$A$5:$A$289,$D1765,'Comp2016-2017 (3)'!$R$5:$R$289,$V1765)*$AB1765))</f>
        <v/>
      </c>
      <c r="AD1765" s="205">
        <f>IF($W1765=AD$3,$AB1765,IF(NOT($W1765=0),"",SUMIFS('Val-Vol (2)'!AD$4:AD$1858,'Val-Vol (2)'!$A$4:$A$1858,$D1765,'Val-Vol (2)'!$V$4:$V$1858,$V1765)/SUMIFS('Comp2016-2017 (3)'!$G$5:$G$289,'Comp2016-2017 (3)'!$A$5:$A$289,$D1765,'Comp2016-2017 (3)'!$R$5:$R$289,$V1765)*$AB1765))</f>
        <v>0</v>
      </c>
      <c r="AE1765" s="205" t="str">
        <f>IF($W1765=AE$3,$AB1765,IF(NOT($W1765=0),"",SUMIFS('Val-Vol (2)'!AE$4:AE$1858,'Val-Vol (2)'!$A$4:$A$1858,$D1765,'Val-Vol (2)'!$V$4:$V$1858,$V1765)/SUMIFS('Comp2016-2017 (3)'!$G$5:$G$289,'Comp2016-2017 (3)'!$A$5:$A$289,$D1765,'Comp2016-2017 (3)'!$R$5:$R$289,$V1765)*$AB1765))</f>
        <v/>
      </c>
      <c r="AF1765" s="205" t="str">
        <f>IF($W1765=AF$3,$AB1765,IF(NOT($W1765=0),"",SUMIFS('Val-Vol (2)'!AF$4:AF$1858,'Val-Vol (2)'!$A$4:$A$1858,$D1765,'Val-Vol (2)'!$V$4:$V$1858,$V1765)/SUMIFS('Comp2016-2017 (3)'!$G$5:$G$289,'Comp2016-2017 (3)'!$A$5:$A$289,$D1765,'Comp2016-2017 (3)'!$R$5:$R$289,$V1765)*$AB1765))</f>
        <v/>
      </c>
      <c r="AG1765" s="205" t="str">
        <f>IF($W1765=AG$3,$AB1765,IF(NOT($W1765=0),"",SUMIFS('Val-Vol (2)'!AG$4:AG$1858,'Val-Vol (2)'!$A$4:$A$1858,$D1765,'Val-Vol (2)'!$V$4:$V$1858,$V1765)/SUMIFS('Comp2016-2017 (3)'!$G$5:$G$289,'Comp2016-2017 (3)'!$A$5:$A$289,$D1765,'Comp2016-2017 (3)'!$R$5:$R$289,$V1765)*$AB1765))</f>
        <v/>
      </c>
      <c r="AH1765" s="205" t="str">
        <f>IF($W1765=AH$3,$AB1765,IF(NOT($W1765=0),"",SUMIFS('Val-Vol (2)'!AH$4:AH$1858,'Val-Vol (2)'!$A$4:$A$1858,$D1765,'Val-Vol (2)'!$V$4:$V$1858,$V1765)/SUMIFS('Comp2016-2017 (3)'!$G$5:$G$289,'Comp2016-2017 (3)'!$A$5:$A$289,$D1765,'Comp2016-2017 (3)'!$R$5:$R$289,$V1765)*$AB1765))</f>
        <v/>
      </c>
      <c r="AI1765" s="205" t="str">
        <f>IF($W1765=AI$3,$AB1765,IF(NOT($W1765=0),"",SUMIFS('Val-Vol (2)'!AI$4:AI$1858,'Val-Vol (2)'!$A$4:$A$1858,$D1765,'Val-Vol (2)'!$V$4:$V$1858,$V1765)/SUMIFS('Comp2016-2017 (3)'!$G$5:$G$289,'Comp2016-2017 (3)'!$A$5:$A$289,$D1765,'Comp2016-2017 (3)'!$R$5:$R$289,$V1765)*$AB1765))</f>
        <v/>
      </c>
      <c r="AJ1765" s="205" t="str">
        <f>IF($W1765=AJ$3,$AB1765,IF(NOT($W1765=0),"",SUMIFS('Val-Vol (2)'!AJ$4:AJ$1858,'Val-Vol (2)'!$A$4:$A$1858,$D1765,'Val-Vol (2)'!$V$4:$V$1858,$V1765)/SUMIFS('Comp2016-2017 (3)'!$G$5:$G$289,'Comp2016-2017 (3)'!$A$5:$A$289,$D1765,'Comp2016-2017 (3)'!$R$5:$R$289,$V1765)*$AB1765))</f>
        <v/>
      </c>
      <c r="AK1765" s="205">
        <f t="shared" si="197"/>
        <v>0</v>
      </c>
      <c r="AL1765" s="218" t="str">
        <f t="shared" si="199"/>
        <v/>
      </c>
      <c r="AM1765" s="218" t="str">
        <f>VLOOKUP(A1765,'Table corresp.'!$M$4:$U$63,8,FALSE)</f>
        <v>Production finale</v>
      </c>
      <c r="AN1765" s="218" t="str">
        <f>VLOOKUP(D1765,'Table corresp.'!$M$4:$U$63,9,FALSE)</f>
        <v>Production finale</v>
      </c>
    </row>
    <row r="1766" spans="1:40" x14ac:dyDescent="0.25">
      <c r="A1766" t="s">
        <v>99</v>
      </c>
      <c r="B1766" t="str">
        <f>VLOOKUP(LEFT(A1766,3),'Table corresp.'!$A$4:$D$63,3,FALSE)</f>
        <v>Transformation</v>
      </c>
      <c r="C1766" t="str">
        <f>VLOOKUP(A1766,'Table corresp.'!$M$4:$P$63,4,FALSE)</f>
        <v>Production et transformation de produits bois</v>
      </c>
      <c r="D1766" t="s">
        <v>22</v>
      </c>
      <c r="E1766" t="str">
        <f>VLOOKUP(LEFT(D1766,3),'Table corresp.'!$A$4:$D$63,4,FALSE)</f>
        <v>Transformation</v>
      </c>
      <c r="F1766" t="str">
        <f t="shared" si="195"/>
        <v xml:space="preserve">47  - 55 </v>
      </c>
      <c r="G1766" s="238">
        <v>11007.0991592756</v>
      </c>
      <c r="H1766" s="238">
        <v>34829.173057476197</v>
      </c>
      <c r="I1766" s="238">
        <v>45836.2722167518</v>
      </c>
      <c r="J1766" s="238">
        <v>1.2565843933895646</v>
      </c>
      <c r="K1766" s="238">
        <v>4.1449740467122824</v>
      </c>
      <c r="L1766" s="238">
        <v>5.401558440101847</v>
      </c>
      <c r="M1766" s="238">
        <v>2.4505738586865795</v>
      </c>
      <c r="N1766" s="238">
        <v>8.0834722261733578</v>
      </c>
      <c r="O1766" s="238">
        <v>10.534046084859938</v>
      </c>
      <c r="P1766" s="238">
        <v>0.60933217552284213</v>
      </c>
      <c r="Q1766" s="238">
        <v>2.0099454255961859</v>
      </c>
      <c r="R1766" s="238">
        <v>2.6192776011190282</v>
      </c>
      <c r="S1766" s="238" t="s">
        <v>192</v>
      </c>
      <c r="T1766" s="218">
        <f>VLOOKUP(A1766,'Groupe de branches'!$Z$27:$AM$86,14,FALSE)</f>
        <v>0</v>
      </c>
      <c r="U1766" s="218">
        <f>VLOOKUP(D1766,'Groupe de branches'!$Z$27:$AM$86,14,FALSE)</f>
        <v>0</v>
      </c>
      <c r="V1766" s="218">
        <v>2020</v>
      </c>
      <c r="W1766" s="218" t="str">
        <f>VLOOKUP(D1766,'Table corresp.'!$M$4:$S$63,7,FALSE)</f>
        <v>Construction</v>
      </c>
      <c r="X1766" s="240">
        <f>IFERROR(G1766/SUMIFS('Comp2016-2017 (3)'!$I$5:$I$289,'Comp2016-2017 (3)'!$A$5:$A$289,A1766,'Comp2016-2017 (3)'!$R$5:$R$289,V1766),0)</f>
        <v>3.7026755632596437E-3</v>
      </c>
      <c r="Y1766" s="219" t="e">
        <f>IF(RIGHT(F1766,3)="Exp",VLOOKUP(F1766,#REF!,2,FALSE),VLOOKUP(F1766,#REF!,9,FALSE))</f>
        <v>#REF!</v>
      </c>
      <c r="Z1766" s="226" t="str">
        <f t="shared" si="196"/>
        <v/>
      </c>
      <c r="AA1766" s="226" t="e">
        <f t="shared" si="198"/>
        <v>#VALUE!</v>
      </c>
      <c r="AB1766" s="205">
        <f>IFERROR(SUMIFS('Comp2016-2017 (3)'!$G$5:$G$289,'Comp2016-2017 (3)'!$A$5:$A$289,A1766,'Comp2016-2017 (3)'!$R$5:$R$289,V1766)*AA1766/SUMIFS($AA$4:$AA$1858,$A$4:$A$1858,A1766,$V$4:$V$1858,V1766),0)</f>
        <v>0</v>
      </c>
      <c r="AC1766" s="205" t="str">
        <f>IF($W1766=AC$3,$AB1766,IF(NOT($W1766=0),"",SUMIFS('Val-Vol (2)'!AC$4:AC$1858,'Val-Vol (2)'!$A$4:$A$1858,$D1766,'Val-Vol (2)'!$V$4:$V$1858,$V1766)/SUMIFS('Comp2016-2017 (3)'!$G$5:$G$289,'Comp2016-2017 (3)'!$A$5:$A$289,$D1766,'Comp2016-2017 (3)'!$R$5:$R$289,$V1766)*$AB1766))</f>
        <v/>
      </c>
      <c r="AD1766" s="205">
        <f>IF($W1766=AD$3,$AB1766,IF(NOT($W1766=0),"",SUMIFS('Val-Vol (2)'!AD$4:AD$1858,'Val-Vol (2)'!$A$4:$A$1858,$D1766,'Val-Vol (2)'!$V$4:$V$1858,$V1766)/SUMIFS('Comp2016-2017 (3)'!$G$5:$G$289,'Comp2016-2017 (3)'!$A$5:$A$289,$D1766,'Comp2016-2017 (3)'!$R$5:$R$289,$V1766)*$AB1766))</f>
        <v>0</v>
      </c>
      <c r="AE1766" s="205" t="str">
        <f>IF($W1766=AE$3,$AB1766,IF(NOT($W1766=0),"",SUMIFS('Val-Vol (2)'!AE$4:AE$1858,'Val-Vol (2)'!$A$4:$A$1858,$D1766,'Val-Vol (2)'!$V$4:$V$1858,$V1766)/SUMIFS('Comp2016-2017 (3)'!$G$5:$G$289,'Comp2016-2017 (3)'!$A$5:$A$289,$D1766,'Comp2016-2017 (3)'!$R$5:$R$289,$V1766)*$AB1766))</f>
        <v/>
      </c>
      <c r="AF1766" s="205" t="str">
        <f>IF($W1766=AF$3,$AB1766,IF(NOT($W1766=0),"",SUMIFS('Val-Vol (2)'!AF$4:AF$1858,'Val-Vol (2)'!$A$4:$A$1858,$D1766,'Val-Vol (2)'!$V$4:$V$1858,$V1766)/SUMIFS('Comp2016-2017 (3)'!$G$5:$G$289,'Comp2016-2017 (3)'!$A$5:$A$289,$D1766,'Comp2016-2017 (3)'!$R$5:$R$289,$V1766)*$AB1766))</f>
        <v/>
      </c>
      <c r="AG1766" s="205" t="str">
        <f>IF($W1766=AG$3,$AB1766,IF(NOT($W1766=0),"",SUMIFS('Val-Vol (2)'!AG$4:AG$1858,'Val-Vol (2)'!$A$4:$A$1858,$D1766,'Val-Vol (2)'!$V$4:$V$1858,$V1766)/SUMIFS('Comp2016-2017 (3)'!$G$5:$G$289,'Comp2016-2017 (3)'!$A$5:$A$289,$D1766,'Comp2016-2017 (3)'!$R$5:$R$289,$V1766)*$AB1766))</f>
        <v/>
      </c>
      <c r="AH1766" s="205" t="str">
        <f>IF($W1766=AH$3,$AB1766,IF(NOT($W1766=0),"",SUMIFS('Val-Vol (2)'!AH$4:AH$1858,'Val-Vol (2)'!$A$4:$A$1858,$D1766,'Val-Vol (2)'!$V$4:$V$1858,$V1766)/SUMIFS('Comp2016-2017 (3)'!$G$5:$G$289,'Comp2016-2017 (3)'!$A$5:$A$289,$D1766,'Comp2016-2017 (3)'!$R$5:$R$289,$V1766)*$AB1766))</f>
        <v/>
      </c>
      <c r="AI1766" s="205" t="str">
        <f>IF($W1766=AI$3,$AB1766,IF(NOT($W1766=0),"",SUMIFS('Val-Vol (2)'!AI$4:AI$1858,'Val-Vol (2)'!$A$4:$A$1858,$D1766,'Val-Vol (2)'!$V$4:$V$1858,$V1766)/SUMIFS('Comp2016-2017 (3)'!$G$5:$G$289,'Comp2016-2017 (3)'!$A$5:$A$289,$D1766,'Comp2016-2017 (3)'!$R$5:$R$289,$V1766)*$AB1766))</f>
        <v/>
      </c>
      <c r="AJ1766" s="205" t="str">
        <f>IF($W1766=AJ$3,$AB1766,IF(NOT($W1766=0),"",SUMIFS('Val-Vol (2)'!AJ$4:AJ$1858,'Val-Vol (2)'!$A$4:$A$1858,$D1766,'Val-Vol (2)'!$V$4:$V$1858,$V1766)/SUMIFS('Comp2016-2017 (3)'!$G$5:$G$289,'Comp2016-2017 (3)'!$A$5:$A$289,$D1766,'Comp2016-2017 (3)'!$R$5:$R$289,$V1766)*$AB1766))</f>
        <v/>
      </c>
      <c r="AK1766" s="205">
        <f t="shared" si="197"/>
        <v>0</v>
      </c>
      <c r="AL1766" s="218" t="str">
        <f t="shared" si="199"/>
        <v/>
      </c>
      <c r="AM1766" s="218" t="str">
        <f>VLOOKUP(A1766,'Table corresp.'!$M$4:$U$63,8,FALSE)</f>
        <v>Production finale</v>
      </c>
      <c r="AN1766" s="218" t="str">
        <f>VLOOKUP(D1766,'Table corresp.'!$M$4:$U$63,9,FALSE)</f>
        <v xml:space="preserve">Mise en œuvre </v>
      </c>
    </row>
    <row r="1767" spans="1:40" x14ac:dyDescent="0.25">
      <c r="A1767" t="s">
        <v>99</v>
      </c>
      <c r="B1767" t="str">
        <f>VLOOKUP(LEFT(A1767,3),'Table corresp.'!$A$4:$D$63,3,FALSE)</f>
        <v>Transformation</v>
      </c>
      <c r="C1767" t="str">
        <f>VLOOKUP(A1767,'Table corresp.'!$M$4:$P$63,4,FALSE)</f>
        <v>Production et transformation de produits bois</v>
      </c>
      <c r="D1767" t="s">
        <v>54</v>
      </c>
      <c r="E1767" t="str">
        <f>VLOOKUP(LEFT(D1767,3),'Table corresp.'!$A$4:$D$63,4,FALSE)</f>
        <v>Consommation finale</v>
      </c>
      <c r="F1767" t="str">
        <f t="shared" si="195"/>
        <v>47  - Con</v>
      </c>
      <c r="G1767" s="238">
        <v>2214667.8728622501</v>
      </c>
      <c r="H1767" s="238">
        <v>3492002.7492117598</v>
      </c>
      <c r="I1767" s="238">
        <v>5706670.6220740099</v>
      </c>
      <c r="J1767" s="238">
        <v>425.85313775774279</v>
      </c>
      <c r="K1767" s="238">
        <v>814.53415662737154</v>
      </c>
      <c r="L1767" s="238">
        <v>1240.3872943851143</v>
      </c>
      <c r="M1767" s="238">
        <v>830.49301942527666</v>
      </c>
      <c r="N1767" s="238">
        <v>1588.4934762352532</v>
      </c>
      <c r="O1767" s="238">
        <v>2418.9864956605297</v>
      </c>
      <c r="P1767" s="238">
        <v>206.50106769447078</v>
      </c>
      <c r="Q1767" s="238">
        <v>394.9769488674134</v>
      </c>
      <c r="R1767" s="238">
        <v>601.47801656188415</v>
      </c>
      <c r="S1767" s="238" t="s">
        <v>192</v>
      </c>
      <c r="T1767" s="218">
        <f>VLOOKUP(A1767,'Groupe de branches'!$Z$27:$AM$86,14,FALSE)</f>
        <v>0</v>
      </c>
      <c r="U1767" s="218">
        <f>VLOOKUP(D1767,'Groupe de branches'!$Z$27:$AM$86,14,FALSE)</f>
        <v>0</v>
      </c>
      <c r="V1767" s="218">
        <v>2020</v>
      </c>
      <c r="W1767" s="218" t="str">
        <f>VLOOKUP(D1767,'Table corresp.'!$M$4:$S$63,7,FALSE)</f>
        <v>Consommation finale</v>
      </c>
      <c r="X1767" s="240">
        <f>IFERROR(G1767/SUMIFS('Comp2016-2017 (3)'!$I$5:$I$289,'Comp2016-2017 (3)'!$A$5:$A$289,A1767,'Comp2016-2017 (3)'!$R$5:$R$289,V1767),0)</f>
        <v>0.74499161812974357</v>
      </c>
      <c r="Y1767" s="219" t="e">
        <f>IF(RIGHT(F1767,3)="Exp",VLOOKUP(F1767,#REF!,2,FALSE),VLOOKUP(F1767,#REF!,9,FALSE))</f>
        <v>#REF!</v>
      </c>
      <c r="Z1767" s="226" t="str">
        <f t="shared" si="196"/>
        <v/>
      </c>
      <c r="AA1767" s="226" t="e">
        <f t="shared" si="198"/>
        <v>#VALUE!</v>
      </c>
      <c r="AB1767" s="205">
        <f>IFERROR(SUMIFS('Comp2016-2017 (3)'!$G$5:$G$289,'Comp2016-2017 (3)'!$A$5:$A$289,A1767,'Comp2016-2017 (3)'!$R$5:$R$289,V1767)*AA1767/SUMIFS($AA$4:$AA$1858,$A$4:$A$1858,A1767,$V$4:$V$1858,V1767),0)</f>
        <v>0</v>
      </c>
      <c r="AC1767" s="205" t="str">
        <f>IF($W1767=AC$3,$AB1767,IF(NOT($W1767=0),"",SUMIFS('Val-Vol (2)'!AC$4:AC$1858,'Val-Vol (2)'!$A$4:$A$1858,$D1767,'Val-Vol (2)'!$V$4:$V$1858,$V1767)/SUMIFS('Comp2016-2017 (3)'!$G$5:$G$289,'Comp2016-2017 (3)'!$A$5:$A$289,$D1767,'Comp2016-2017 (3)'!$R$5:$R$289,$V1767)*$AB1767))</f>
        <v/>
      </c>
      <c r="AD1767" s="205" t="str">
        <f>IF($W1767=AD$3,$AB1767,IF(NOT($W1767=0),"",SUMIFS('Val-Vol (2)'!AD$4:AD$1858,'Val-Vol (2)'!$A$4:$A$1858,$D1767,'Val-Vol (2)'!$V$4:$V$1858,$V1767)/SUMIFS('Comp2016-2017 (3)'!$G$5:$G$289,'Comp2016-2017 (3)'!$A$5:$A$289,$D1767,'Comp2016-2017 (3)'!$R$5:$R$289,$V1767)*$AB1767))</f>
        <v/>
      </c>
      <c r="AE1767" s="205" t="str">
        <f>IF($W1767=AE$3,$AB1767,IF(NOT($W1767=0),"",SUMIFS('Val-Vol (2)'!AE$4:AE$1858,'Val-Vol (2)'!$A$4:$A$1858,$D1767,'Val-Vol (2)'!$V$4:$V$1858,$V1767)/SUMIFS('Comp2016-2017 (3)'!$G$5:$G$289,'Comp2016-2017 (3)'!$A$5:$A$289,$D1767,'Comp2016-2017 (3)'!$R$5:$R$289,$V1767)*$AB1767))</f>
        <v/>
      </c>
      <c r="AF1767" s="205" t="str">
        <f>IF($W1767=AF$3,$AB1767,IF(NOT($W1767=0),"",SUMIFS('Val-Vol (2)'!AF$4:AF$1858,'Val-Vol (2)'!$A$4:$A$1858,$D1767,'Val-Vol (2)'!$V$4:$V$1858,$V1767)/SUMIFS('Comp2016-2017 (3)'!$G$5:$G$289,'Comp2016-2017 (3)'!$A$5:$A$289,$D1767,'Comp2016-2017 (3)'!$R$5:$R$289,$V1767)*$AB1767))</f>
        <v/>
      </c>
      <c r="AG1767" s="205" t="str">
        <f>IF($W1767=AG$3,$AB1767,IF(NOT($W1767=0),"",SUMIFS('Val-Vol (2)'!AG$4:AG$1858,'Val-Vol (2)'!$A$4:$A$1858,$D1767,'Val-Vol (2)'!$V$4:$V$1858,$V1767)/SUMIFS('Comp2016-2017 (3)'!$G$5:$G$289,'Comp2016-2017 (3)'!$A$5:$A$289,$D1767,'Comp2016-2017 (3)'!$R$5:$R$289,$V1767)*$AB1767))</f>
        <v/>
      </c>
      <c r="AH1767" s="205" t="str">
        <f>IF($W1767=AH$3,$AB1767,IF(NOT($W1767=0),"",SUMIFS('Val-Vol (2)'!AH$4:AH$1858,'Val-Vol (2)'!$A$4:$A$1858,$D1767,'Val-Vol (2)'!$V$4:$V$1858,$V1767)/SUMIFS('Comp2016-2017 (3)'!$G$5:$G$289,'Comp2016-2017 (3)'!$A$5:$A$289,$D1767,'Comp2016-2017 (3)'!$R$5:$R$289,$V1767)*$AB1767))</f>
        <v/>
      </c>
      <c r="AI1767" s="205" t="str">
        <f>IF($W1767=AI$3,$AB1767,IF(NOT($W1767=0),"",SUMIFS('Val-Vol (2)'!AI$4:AI$1858,'Val-Vol (2)'!$A$4:$A$1858,$D1767,'Val-Vol (2)'!$V$4:$V$1858,$V1767)/SUMIFS('Comp2016-2017 (3)'!$G$5:$G$289,'Comp2016-2017 (3)'!$A$5:$A$289,$D1767,'Comp2016-2017 (3)'!$R$5:$R$289,$V1767)*$AB1767))</f>
        <v/>
      </c>
      <c r="AJ1767" s="205">
        <f>IF($W1767=AJ$3,$AB1767,IF(NOT($W1767=0),"",SUMIFS('Val-Vol (2)'!AJ$4:AJ$1858,'Val-Vol (2)'!$A$4:$A$1858,$D1767,'Val-Vol (2)'!$V$4:$V$1858,$V1767)/SUMIFS('Comp2016-2017 (3)'!$G$5:$G$289,'Comp2016-2017 (3)'!$A$5:$A$289,$D1767,'Comp2016-2017 (3)'!$R$5:$R$289,$V1767)*$AB1767))</f>
        <v>0</v>
      </c>
      <c r="AK1767" s="205">
        <f t="shared" si="197"/>
        <v>0</v>
      </c>
      <c r="AL1767" s="218" t="str">
        <f t="shared" si="199"/>
        <v/>
      </c>
      <c r="AM1767" s="218" t="str">
        <f>VLOOKUP(A1767,'Table corresp.'!$M$4:$U$63,8,FALSE)</f>
        <v>Production finale</v>
      </c>
      <c r="AN1767" s="218" t="str">
        <f>VLOOKUP(D1767,'Table corresp.'!$M$4:$U$63,9,FALSE)</f>
        <v>Consommation finale française</v>
      </c>
    </row>
    <row r="1768" spans="1:40" x14ac:dyDescent="0.25">
      <c r="A1768" t="s">
        <v>99</v>
      </c>
      <c r="B1768" t="str">
        <f>VLOOKUP(LEFT(A1768,3),'Table corresp.'!$A$4:$D$63,3,FALSE)</f>
        <v>Transformation</v>
      </c>
      <c r="C1768" t="str">
        <f>VLOOKUP(A1768,'Table corresp.'!$M$4:$P$63,4,FALSE)</f>
        <v>Production et transformation de produits bois</v>
      </c>
      <c r="D1768" t="s">
        <v>53</v>
      </c>
      <c r="E1768" t="str">
        <f>VLOOKUP(LEFT(D1768,3),'Table corresp.'!$A$4:$D$63,4,FALSE)</f>
        <v>Exportation</v>
      </c>
      <c r="F1768" t="str">
        <f t="shared" si="195"/>
        <v>47  - Exp</v>
      </c>
      <c r="G1768" s="238">
        <v>745389.98527900095</v>
      </c>
      <c r="H1768" s="238">
        <v>0</v>
      </c>
      <c r="I1768" s="238">
        <v>745389.98527900199</v>
      </c>
      <c r="J1768" s="238">
        <v>170.18933125557712</v>
      </c>
      <c r="K1768" s="238">
        <v>0</v>
      </c>
      <c r="L1768" s="238">
        <v>170.18933125557712</v>
      </c>
      <c r="M1768" s="238">
        <v>331.90092794107403</v>
      </c>
      <c r="N1768" s="238">
        <v>0</v>
      </c>
      <c r="O1768" s="238">
        <v>331.90092794107403</v>
      </c>
      <c r="P1768" s="238">
        <v>82.526757462750808</v>
      </c>
      <c r="Q1768" s="238">
        <v>0</v>
      </c>
      <c r="R1768" s="238">
        <v>82.526757462750808</v>
      </c>
      <c r="S1768" s="238" t="s">
        <v>192</v>
      </c>
      <c r="T1768" s="218">
        <f>VLOOKUP(A1768,'Groupe de branches'!$Z$27:$AM$86,14,FALSE)</f>
        <v>0</v>
      </c>
      <c r="U1768" s="218">
        <f>VLOOKUP(D1768,'Groupe de branches'!$Z$27:$AM$86,14,FALSE)</f>
        <v>0</v>
      </c>
      <c r="V1768" s="218">
        <v>2020</v>
      </c>
      <c r="W1768" s="218" t="str">
        <f>VLOOKUP(D1768,'Table corresp.'!$M$4:$S$63,7,FALSE)</f>
        <v>Exportation</v>
      </c>
      <c r="X1768" s="240">
        <f>IFERROR(G1768/SUMIFS('Comp2016-2017 (3)'!$I$5:$I$289,'Comp2016-2017 (3)'!$A$5:$A$289,A1768,'Comp2016-2017 (3)'!$R$5:$R$289,V1768),0)</f>
        <v>0.25074156629771466</v>
      </c>
      <c r="Y1768" s="219" t="e">
        <f>IF(RIGHT(F1768,3)="Exp",VLOOKUP(F1768,#REF!,2,FALSE),VLOOKUP(F1768,#REF!,9,FALSE))</f>
        <v>#REF!</v>
      </c>
      <c r="Z1768" s="226" t="str">
        <f t="shared" si="196"/>
        <v/>
      </c>
      <c r="AA1768" s="226" t="e">
        <f t="shared" si="198"/>
        <v>#VALUE!</v>
      </c>
      <c r="AB1768" s="205">
        <f>IFERROR(SUMIFS('Comp2016-2017 (3)'!$G$5:$G$289,'Comp2016-2017 (3)'!$A$5:$A$289,A1768,'Comp2016-2017 (3)'!$R$5:$R$289,V1768)*AA1768/SUMIFS($AA$4:$AA$1858,$A$4:$A$1858,A1768,$V$4:$V$1858,V1768),0)</f>
        <v>0</v>
      </c>
      <c r="AC1768" s="205">
        <f>IF($W1768=AC$3,$AB1768,IF(NOT($W1768=0),"",SUMIFS('Val-Vol (2)'!AC$4:AC$1858,'Val-Vol (2)'!$A$4:$A$1858,$D1768,'Val-Vol (2)'!$V$4:$V$1858,$V1768)/SUMIFS('Comp2016-2017 (3)'!$G$5:$G$289,'Comp2016-2017 (3)'!$A$5:$A$289,$D1768,'Comp2016-2017 (3)'!$R$5:$R$289,$V1768)*$AB1768))</f>
        <v>0</v>
      </c>
      <c r="AD1768" s="205" t="str">
        <f>IF($W1768=AD$3,$AB1768,IF(NOT($W1768=0),"",SUMIFS('Val-Vol (2)'!AD$4:AD$1858,'Val-Vol (2)'!$A$4:$A$1858,$D1768,'Val-Vol (2)'!$V$4:$V$1858,$V1768)/SUMIFS('Comp2016-2017 (3)'!$G$5:$G$289,'Comp2016-2017 (3)'!$A$5:$A$289,$D1768,'Comp2016-2017 (3)'!$R$5:$R$289,$V1768)*$AB1768))</f>
        <v/>
      </c>
      <c r="AE1768" s="205" t="str">
        <f>IF($W1768=AE$3,$AB1768,IF(NOT($W1768=0),"",SUMIFS('Val-Vol (2)'!AE$4:AE$1858,'Val-Vol (2)'!$A$4:$A$1858,$D1768,'Val-Vol (2)'!$V$4:$V$1858,$V1768)/SUMIFS('Comp2016-2017 (3)'!$G$5:$G$289,'Comp2016-2017 (3)'!$A$5:$A$289,$D1768,'Comp2016-2017 (3)'!$R$5:$R$289,$V1768)*$AB1768))</f>
        <v/>
      </c>
      <c r="AF1768" s="205" t="str">
        <f>IF($W1768=AF$3,$AB1768,IF(NOT($W1768=0),"",SUMIFS('Val-Vol (2)'!AF$4:AF$1858,'Val-Vol (2)'!$A$4:$A$1858,$D1768,'Val-Vol (2)'!$V$4:$V$1858,$V1768)/SUMIFS('Comp2016-2017 (3)'!$G$5:$G$289,'Comp2016-2017 (3)'!$A$5:$A$289,$D1768,'Comp2016-2017 (3)'!$R$5:$R$289,$V1768)*$AB1768))</f>
        <v/>
      </c>
      <c r="AG1768" s="205" t="str">
        <f>IF($W1768=AG$3,$AB1768,IF(NOT($W1768=0),"",SUMIFS('Val-Vol (2)'!AG$4:AG$1858,'Val-Vol (2)'!$A$4:$A$1858,$D1768,'Val-Vol (2)'!$V$4:$V$1858,$V1768)/SUMIFS('Comp2016-2017 (3)'!$G$5:$G$289,'Comp2016-2017 (3)'!$A$5:$A$289,$D1768,'Comp2016-2017 (3)'!$R$5:$R$289,$V1768)*$AB1768))</f>
        <v/>
      </c>
      <c r="AH1768" s="205" t="str">
        <f>IF($W1768=AH$3,$AB1768,IF(NOT($W1768=0),"",SUMIFS('Val-Vol (2)'!AH$4:AH$1858,'Val-Vol (2)'!$A$4:$A$1858,$D1768,'Val-Vol (2)'!$V$4:$V$1858,$V1768)/SUMIFS('Comp2016-2017 (3)'!$G$5:$G$289,'Comp2016-2017 (3)'!$A$5:$A$289,$D1768,'Comp2016-2017 (3)'!$R$5:$R$289,$V1768)*$AB1768))</f>
        <v/>
      </c>
      <c r="AI1768" s="205" t="str">
        <f>IF($W1768=AI$3,$AB1768,IF(NOT($W1768=0),"",SUMIFS('Val-Vol (2)'!AI$4:AI$1858,'Val-Vol (2)'!$A$4:$A$1858,$D1768,'Val-Vol (2)'!$V$4:$V$1858,$V1768)/SUMIFS('Comp2016-2017 (3)'!$G$5:$G$289,'Comp2016-2017 (3)'!$A$5:$A$289,$D1768,'Comp2016-2017 (3)'!$R$5:$R$289,$V1768)*$AB1768))</f>
        <v/>
      </c>
      <c r="AJ1768" s="205" t="str">
        <f>IF($W1768=AJ$3,$AB1768,IF(NOT($W1768=0),"",SUMIFS('Val-Vol (2)'!AJ$4:AJ$1858,'Val-Vol (2)'!$A$4:$A$1858,$D1768,'Val-Vol (2)'!$V$4:$V$1858,$V1768)/SUMIFS('Comp2016-2017 (3)'!$G$5:$G$289,'Comp2016-2017 (3)'!$A$5:$A$289,$D1768,'Comp2016-2017 (3)'!$R$5:$R$289,$V1768)*$AB1768))</f>
        <v/>
      </c>
      <c r="AK1768" s="205">
        <f t="shared" si="197"/>
        <v>0</v>
      </c>
      <c r="AL1768" s="218" t="str">
        <f t="shared" si="199"/>
        <v/>
      </c>
      <c r="AM1768" s="218" t="str">
        <f>VLOOKUP(A1768,'Table corresp.'!$M$4:$U$63,8,FALSE)</f>
        <v>Production finale</v>
      </c>
      <c r="AN1768" s="218" t="str">
        <f>VLOOKUP(D1768,'Table corresp.'!$M$4:$U$63,9,FALSE)</f>
        <v>Exportation</v>
      </c>
    </row>
    <row r="1769" spans="1:40" x14ac:dyDescent="0.25">
      <c r="A1769" t="s">
        <v>100</v>
      </c>
      <c r="B1769" t="str">
        <f>VLOOKUP(LEFT(A1769,3),'Table corresp.'!$A$4:$D$63,3,FALSE)</f>
        <v>Transformation</v>
      </c>
      <c r="C1769" t="str">
        <f>VLOOKUP(A1769,'Table corresp.'!$M$4:$P$63,4,FALSE)</f>
        <v>Production et transformation de produits bois</v>
      </c>
      <c r="D1769" t="s">
        <v>54</v>
      </c>
      <c r="E1769" t="str">
        <f>VLOOKUP(LEFT(D1769,3),'Table corresp.'!$A$4:$D$63,4,FALSE)</f>
        <v>Consommation finale</v>
      </c>
      <c r="F1769" t="str">
        <f t="shared" si="195"/>
        <v>48  - Con</v>
      </c>
      <c r="G1769" s="238">
        <v>345956.486125</v>
      </c>
      <c r="H1769" s="238">
        <v>413599.23000000097</v>
      </c>
      <c r="I1769" s="238">
        <v>759555.71612500097</v>
      </c>
      <c r="J1769" s="238">
        <v>201.97953126742232</v>
      </c>
      <c r="K1769" s="238">
        <v>432.41094411779886</v>
      </c>
      <c r="L1769" s="238">
        <v>634.39047538522118</v>
      </c>
      <c r="M1769" s="238"/>
      <c r="N1769" s="238"/>
      <c r="O1769" s="238"/>
      <c r="P1769" s="238"/>
      <c r="Q1769" s="238"/>
      <c r="R1769" s="238"/>
      <c r="S1769" s="238"/>
      <c r="T1769" s="218">
        <f>VLOOKUP(A1769,'Groupe de branches'!$Z$27:$AM$86,14,FALSE)</f>
        <v>0</v>
      </c>
      <c r="U1769" s="218">
        <f>VLOOKUP(D1769,'Groupe de branches'!$Z$27:$AM$86,14,FALSE)</f>
        <v>0</v>
      </c>
      <c r="V1769" s="218">
        <v>2020</v>
      </c>
      <c r="W1769" s="218" t="str">
        <f>VLOOKUP(D1769,'Table corresp.'!$M$4:$S$63,7,FALSE)</f>
        <v>Consommation finale</v>
      </c>
      <c r="X1769" s="240">
        <f>IFERROR(G1769/SUMIFS('Comp2016-2017 (3)'!$I$5:$I$289,'Comp2016-2017 (3)'!$A$5:$A$289,A1769,'Comp2016-2017 (3)'!$R$5:$R$289,V1769),0)</f>
        <v>0.78621113588846214</v>
      </c>
      <c r="Y1769" s="219" t="e">
        <f>IF(RIGHT(F1769,3)="Exp",VLOOKUP(F1769,#REF!,2,FALSE),VLOOKUP(F1769,#REF!,9,FALSE))</f>
        <v>#REF!</v>
      </c>
      <c r="Z1769" s="226" t="str">
        <f t="shared" si="196"/>
        <v/>
      </c>
      <c r="AA1769" s="226" t="e">
        <f t="shared" si="198"/>
        <v>#VALUE!</v>
      </c>
      <c r="AB1769" s="205">
        <f>IFERROR(SUMIFS('Comp2016-2017 (3)'!$G$5:$G$289,'Comp2016-2017 (3)'!$A$5:$A$289,A1769,'Comp2016-2017 (3)'!$R$5:$R$289,V1769)*AA1769/SUMIFS($AA$4:$AA$1858,$A$4:$A$1858,A1769,$V$4:$V$1858,V1769),0)</f>
        <v>0</v>
      </c>
      <c r="AC1769" s="205" t="str">
        <f>IF($W1769=AC$3,$AB1769,IF(NOT($W1769=0),"",SUMIFS('Val-Vol (2)'!AC$4:AC$1858,'Val-Vol (2)'!$A$4:$A$1858,$D1769,'Val-Vol (2)'!$V$4:$V$1858,$V1769)/SUMIFS('Comp2016-2017 (3)'!$G$5:$G$289,'Comp2016-2017 (3)'!$A$5:$A$289,$D1769,'Comp2016-2017 (3)'!$R$5:$R$289,$V1769)*$AB1769))</f>
        <v/>
      </c>
      <c r="AD1769" s="205" t="str">
        <f>IF($W1769=AD$3,$AB1769,IF(NOT($W1769=0),"",SUMIFS('Val-Vol (2)'!AD$4:AD$1858,'Val-Vol (2)'!$A$4:$A$1858,$D1769,'Val-Vol (2)'!$V$4:$V$1858,$V1769)/SUMIFS('Comp2016-2017 (3)'!$G$5:$G$289,'Comp2016-2017 (3)'!$A$5:$A$289,$D1769,'Comp2016-2017 (3)'!$R$5:$R$289,$V1769)*$AB1769))</f>
        <v/>
      </c>
      <c r="AE1769" s="205" t="str">
        <f>IF($W1769=AE$3,$AB1769,IF(NOT($W1769=0),"",SUMIFS('Val-Vol (2)'!AE$4:AE$1858,'Val-Vol (2)'!$A$4:$A$1858,$D1769,'Val-Vol (2)'!$V$4:$V$1858,$V1769)/SUMIFS('Comp2016-2017 (3)'!$G$5:$G$289,'Comp2016-2017 (3)'!$A$5:$A$289,$D1769,'Comp2016-2017 (3)'!$R$5:$R$289,$V1769)*$AB1769))</f>
        <v/>
      </c>
      <c r="AF1769" s="205" t="str">
        <f>IF($W1769=AF$3,$AB1769,IF(NOT($W1769=0),"",SUMIFS('Val-Vol (2)'!AF$4:AF$1858,'Val-Vol (2)'!$A$4:$A$1858,$D1769,'Val-Vol (2)'!$V$4:$V$1858,$V1769)/SUMIFS('Comp2016-2017 (3)'!$G$5:$G$289,'Comp2016-2017 (3)'!$A$5:$A$289,$D1769,'Comp2016-2017 (3)'!$R$5:$R$289,$V1769)*$AB1769))</f>
        <v/>
      </c>
      <c r="AG1769" s="205" t="str">
        <f>IF($W1769=AG$3,$AB1769,IF(NOT($W1769=0),"",SUMIFS('Val-Vol (2)'!AG$4:AG$1858,'Val-Vol (2)'!$A$4:$A$1858,$D1769,'Val-Vol (2)'!$V$4:$V$1858,$V1769)/SUMIFS('Comp2016-2017 (3)'!$G$5:$G$289,'Comp2016-2017 (3)'!$A$5:$A$289,$D1769,'Comp2016-2017 (3)'!$R$5:$R$289,$V1769)*$AB1769))</f>
        <v/>
      </c>
      <c r="AH1769" s="205" t="str">
        <f>IF($W1769=AH$3,$AB1769,IF(NOT($W1769=0),"",SUMIFS('Val-Vol (2)'!AH$4:AH$1858,'Val-Vol (2)'!$A$4:$A$1858,$D1769,'Val-Vol (2)'!$V$4:$V$1858,$V1769)/SUMIFS('Comp2016-2017 (3)'!$G$5:$G$289,'Comp2016-2017 (3)'!$A$5:$A$289,$D1769,'Comp2016-2017 (3)'!$R$5:$R$289,$V1769)*$AB1769))</f>
        <v/>
      </c>
      <c r="AI1769" s="205" t="str">
        <f>IF($W1769=AI$3,$AB1769,IF(NOT($W1769=0),"",SUMIFS('Val-Vol (2)'!AI$4:AI$1858,'Val-Vol (2)'!$A$4:$A$1858,$D1769,'Val-Vol (2)'!$V$4:$V$1858,$V1769)/SUMIFS('Comp2016-2017 (3)'!$G$5:$G$289,'Comp2016-2017 (3)'!$A$5:$A$289,$D1769,'Comp2016-2017 (3)'!$R$5:$R$289,$V1769)*$AB1769))</f>
        <v/>
      </c>
      <c r="AJ1769" s="205">
        <f>IF($W1769=AJ$3,$AB1769,IF(NOT($W1769=0),"",SUMIFS('Val-Vol (2)'!AJ$4:AJ$1858,'Val-Vol (2)'!$A$4:$A$1858,$D1769,'Val-Vol (2)'!$V$4:$V$1858,$V1769)/SUMIFS('Comp2016-2017 (3)'!$G$5:$G$289,'Comp2016-2017 (3)'!$A$5:$A$289,$D1769,'Comp2016-2017 (3)'!$R$5:$R$289,$V1769)*$AB1769))</f>
        <v>0</v>
      </c>
      <c r="AK1769" s="205">
        <f t="shared" si="197"/>
        <v>0</v>
      </c>
      <c r="AL1769" s="218" t="str">
        <f t="shared" si="199"/>
        <v/>
      </c>
      <c r="AM1769" s="218" t="str">
        <f>VLOOKUP(A1769,'Table corresp.'!$M$4:$U$63,8,FALSE)</f>
        <v>Production finale</v>
      </c>
      <c r="AN1769" s="218" t="str">
        <f>VLOOKUP(D1769,'Table corresp.'!$M$4:$U$63,9,FALSE)</f>
        <v>Consommation finale française</v>
      </c>
    </row>
    <row r="1770" spans="1:40" x14ac:dyDescent="0.25">
      <c r="A1770" t="s">
        <v>100</v>
      </c>
      <c r="B1770" t="str">
        <f>VLOOKUP(LEFT(A1770,3),'Table corresp.'!$A$4:$D$63,3,FALSE)</f>
        <v>Transformation</v>
      </c>
      <c r="C1770" t="str">
        <f>VLOOKUP(A1770,'Table corresp.'!$M$4:$P$63,4,FALSE)</f>
        <v>Production et transformation de produits bois</v>
      </c>
      <c r="D1770" t="s">
        <v>53</v>
      </c>
      <c r="E1770" t="str">
        <f>VLOOKUP(LEFT(D1770,3),'Table corresp.'!$A$4:$D$63,4,FALSE)</f>
        <v>Exportation</v>
      </c>
      <c r="F1770" t="str">
        <f t="shared" ref="F1770:F1833" si="200">LEFT(A1770,3)&amp;" - "&amp;LEFT(D1770,3)</f>
        <v>48  - Exp</v>
      </c>
      <c r="G1770" s="238">
        <v>94073.513874999902</v>
      </c>
      <c r="H1770" s="238">
        <v>0</v>
      </c>
      <c r="I1770" s="238">
        <v>94073.513874999902</v>
      </c>
      <c r="J1770" s="238">
        <v>54.922872347533044</v>
      </c>
      <c r="K1770" s="238">
        <v>0</v>
      </c>
      <c r="L1770" s="238">
        <v>54.922872347533044</v>
      </c>
      <c r="M1770" s="238"/>
      <c r="N1770" s="238"/>
      <c r="O1770" s="238"/>
      <c r="P1770" s="238"/>
      <c r="Q1770" s="238"/>
      <c r="R1770" s="238"/>
      <c r="S1770" s="238"/>
      <c r="T1770" s="218">
        <f>VLOOKUP(A1770,'Groupe de branches'!$Z$27:$AM$86,14,FALSE)</f>
        <v>0</v>
      </c>
      <c r="U1770" s="218">
        <f>VLOOKUP(D1770,'Groupe de branches'!$Z$27:$AM$86,14,FALSE)</f>
        <v>0</v>
      </c>
      <c r="V1770" s="218">
        <v>2020</v>
      </c>
      <c r="W1770" s="218" t="str">
        <f>VLOOKUP(D1770,'Table corresp.'!$M$4:$S$63,7,FALSE)</f>
        <v>Exportation</v>
      </c>
      <c r="X1770" s="240">
        <f>IFERROR(G1770/SUMIFS('Comp2016-2017 (3)'!$I$5:$I$289,'Comp2016-2017 (3)'!$A$5:$A$289,A1770,'Comp2016-2017 (3)'!$R$5:$R$289,V1770),0)</f>
        <v>0.21378886411153764</v>
      </c>
      <c r="Y1770" s="219" t="e">
        <f>IF(RIGHT(F1770,3)="Exp",VLOOKUP(F1770,#REF!,2,FALSE),VLOOKUP(F1770,#REF!,9,FALSE))</f>
        <v>#REF!</v>
      </c>
      <c r="Z1770" s="226" t="str">
        <f t="shared" si="196"/>
        <v/>
      </c>
      <c r="AA1770" s="226" t="e">
        <f t="shared" si="198"/>
        <v>#VALUE!</v>
      </c>
      <c r="AB1770" s="205">
        <f>IFERROR(SUMIFS('Comp2016-2017 (3)'!$G$5:$G$289,'Comp2016-2017 (3)'!$A$5:$A$289,A1770,'Comp2016-2017 (3)'!$R$5:$R$289,V1770)*AA1770/SUMIFS($AA$4:$AA$1858,$A$4:$A$1858,A1770,$V$4:$V$1858,V1770),0)</f>
        <v>0</v>
      </c>
      <c r="AC1770" s="205">
        <f>IF($W1770=AC$3,$AB1770,IF(NOT($W1770=0),"",SUMIFS('Val-Vol (2)'!AC$4:AC$1858,'Val-Vol (2)'!$A$4:$A$1858,$D1770,'Val-Vol (2)'!$V$4:$V$1858,$V1770)/SUMIFS('Comp2016-2017 (3)'!$G$5:$G$289,'Comp2016-2017 (3)'!$A$5:$A$289,$D1770,'Comp2016-2017 (3)'!$R$5:$R$289,$V1770)*$AB1770))</f>
        <v>0</v>
      </c>
      <c r="AD1770" s="205" t="str">
        <f>IF($W1770=AD$3,$AB1770,IF(NOT($W1770=0),"",SUMIFS('Val-Vol (2)'!AD$4:AD$1858,'Val-Vol (2)'!$A$4:$A$1858,$D1770,'Val-Vol (2)'!$V$4:$V$1858,$V1770)/SUMIFS('Comp2016-2017 (3)'!$G$5:$G$289,'Comp2016-2017 (3)'!$A$5:$A$289,$D1770,'Comp2016-2017 (3)'!$R$5:$R$289,$V1770)*$AB1770))</f>
        <v/>
      </c>
      <c r="AE1770" s="205" t="str">
        <f>IF($W1770=AE$3,$AB1770,IF(NOT($W1770=0),"",SUMIFS('Val-Vol (2)'!AE$4:AE$1858,'Val-Vol (2)'!$A$4:$A$1858,$D1770,'Val-Vol (2)'!$V$4:$V$1858,$V1770)/SUMIFS('Comp2016-2017 (3)'!$G$5:$G$289,'Comp2016-2017 (3)'!$A$5:$A$289,$D1770,'Comp2016-2017 (3)'!$R$5:$R$289,$V1770)*$AB1770))</f>
        <v/>
      </c>
      <c r="AF1770" s="205" t="str">
        <f>IF($W1770=AF$3,$AB1770,IF(NOT($W1770=0),"",SUMIFS('Val-Vol (2)'!AF$4:AF$1858,'Val-Vol (2)'!$A$4:$A$1858,$D1770,'Val-Vol (2)'!$V$4:$V$1858,$V1770)/SUMIFS('Comp2016-2017 (3)'!$G$5:$G$289,'Comp2016-2017 (3)'!$A$5:$A$289,$D1770,'Comp2016-2017 (3)'!$R$5:$R$289,$V1770)*$AB1770))</f>
        <v/>
      </c>
      <c r="AG1770" s="205" t="str">
        <f>IF($W1770=AG$3,$AB1770,IF(NOT($W1770=0),"",SUMIFS('Val-Vol (2)'!AG$4:AG$1858,'Val-Vol (2)'!$A$4:$A$1858,$D1770,'Val-Vol (2)'!$V$4:$V$1858,$V1770)/SUMIFS('Comp2016-2017 (3)'!$G$5:$G$289,'Comp2016-2017 (3)'!$A$5:$A$289,$D1770,'Comp2016-2017 (3)'!$R$5:$R$289,$V1770)*$AB1770))</f>
        <v/>
      </c>
      <c r="AH1770" s="205" t="str">
        <f>IF($W1770=AH$3,$AB1770,IF(NOT($W1770=0),"",SUMIFS('Val-Vol (2)'!AH$4:AH$1858,'Val-Vol (2)'!$A$4:$A$1858,$D1770,'Val-Vol (2)'!$V$4:$V$1858,$V1770)/SUMIFS('Comp2016-2017 (3)'!$G$5:$G$289,'Comp2016-2017 (3)'!$A$5:$A$289,$D1770,'Comp2016-2017 (3)'!$R$5:$R$289,$V1770)*$AB1770))</f>
        <v/>
      </c>
      <c r="AI1770" s="205" t="str">
        <f>IF($W1770=AI$3,$AB1770,IF(NOT($W1770=0),"",SUMIFS('Val-Vol (2)'!AI$4:AI$1858,'Val-Vol (2)'!$A$4:$A$1858,$D1770,'Val-Vol (2)'!$V$4:$V$1858,$V1770)/SUMIFS('Comp2016-2017 (3)'!$G$5:$G$289,'Comp2016-2017 (3)'!$A$5:$A$289,$D1770,'Comp2016-2017 (3)'!$R$5:$R$289,$V1770)*$AB1770))</f>
        <v/>
      </c>
      <c r="AJ1770" s="205" t="str">
        <f>IF($W1770=AJ$3,$AB1770,IF(NOT($W1770=0),"",SUMIFS('Val-Vol (2)'!AJ$4:AJ$1858,'Val-Vol (2)'!$A$4:$A$1858,$D1770,'Val-Vol (2)'!$V$4:$V$1858,$V1770)/SUMIFS('Comp2016-2017 (3)'!$G$5:$G$289,'Comp2016-2017 (3)'!$A$5:$A$289,$D1770,'Comp2016-2017 (3)'!$R$5:$R$289,$V1770)*$AB1770))</f>
        <v/>
      </c>
      <c r="AK1770" s="205">
        <f t="shared" si="197"/>
        <v>0</v>
      </c>
      <c r="AL1770" s="218" t="str">
        <f t="shared" si="199"/>
        <v/>
      </c>
      <c r="AM1770" s="218" t="str">
        <f>VLOOKUP(A1770,'Table corresp.'!$M$4:$U$63,8,FALSE)</f>
        <v>Production finale</v>
      </c>
      <c r="AN1770" s="218" t="str">
        <f>VLOOKUP(D1770,'Table corresp.'!$M$4:$U$63,9,FALSE)</f>
        <v>Exportation</v>
      </c>
    </row>
    <row r="1771" spans="1:40" x14ac:dyDescent="0.25">
      <c r="A1771" t="s">
        <v>101</v>
      </c>
      <c r="B1771" t="str">
        <f>VLOOKUP(LEFT(A1771,3),'Table corresp.'!$A$4:$D$63,3,FALSE)</f>
        <v>Transformation</v>
      </c>
      <c r="C1771" t="str">
        <f>VLOOKUP(A1771,'Table corresp.'!$M$4:$P$63,4,FALSE)</f>
        <v>Production et transformation de produits bois</v>
      </c>
      <c r="D1771" t="s">
        <v>54</v>
      </c>
      <c r="E1771" t="str">
        <f>VLOOKUP(LEFT(D1771,3),'Table corresp.'!$A$4:$D$63,4,FALSE)</f>
        <v>Consommation finale</v>
      </c>
      <c r="F1771" t="str">
        <f t="shared" si="200"/>
        <v>49  - Con</v>
      </c>
      <c r="G1771" s="238">
        <v>1834706.80522694</v>
      </c>
      <c r="H1771" s="238">
        <v>0</v>
      </c>
      <c r="I1771" s="238">
        <v>1834706.80522694</v>
      </c>
      <c r="J1771" s="238"/>
      <c r="K1771" s="238"/>
      <c r="L1771" s="238"/>
      <c r="M1771" s="238"/>
      <c r="N1771" s="238"/>
      <c r="O1771" s="238"/>
      <c r="P1771" s="238">
        <v>5044.2740010880325</v>
      </c>
      <c r="Q1771" s="238">
        <v>0</v>
      </c>
      <c r="R1771" s="238">
        <v>5044.2740010880325</v>
      </c>
      <c r="S1771" s="238" t="s">
        <v>198</v>
      </c>
      <c r="T1771" s="218">
        <f>VLOOKUP(A1771,'Groupe de branches'!$Z$27:$AM$86,14,FALSE)</f>
        <v>1</v>
      </c>
      <c r="U1771" s="218">
        <f>VLOOKUP(D1771,'Groupe de branches'!$Z$27:$AM$86,14,FALSE)</f>
        <v>0</v>
      </c>
      <c r="V1771" s="218">
        <v>2020</v>
      </c>
      <c r="W1771" s="218" t="str">
        <f>VLOOKUP(D1771,'Table corresp.'!$M$4:$S$63,7,FALSE)</f>
        <v>Consommation finale</v>
      </c>
      <c r="X1771" s="240">
        <f>IFERROR(G1771/SUMIFS('Comp2016-2017 (3)'!$I$5:$I$289,'Comp2016-2017 (3)'!$A$5:$A$289,A1771,'Comp2016-2017 (3)'!$R$5:$R$289,V1771),0)</f>
        <v>0.99999999999999767</v>
      </c>
      <c r="Y1771" s="219">
        <f>IFERROR(IF(RIGHT(F1771,3)="Exp",VLOOKUP(F1771,#REF!,2,FALSE),VLOOKUP(F1771,#REF!,9,FALSE)),1)</f>
        <v>1</v>
      </c>
      <c r="Z1771" s="226">
        <f t="shared" si="196"/>
        <v>1</v>
      </c>
      <c r="AA1771" s="226">
        <f t="shared" si="198"/>
        <v>0.99999999999999767</v>
      </c>
      <c r="AB1771" s="205">
        <f>IFERROR(SUMIFS('Comp2016-2017 (3)'!$G$5:$G$289,'Comp2016-2017 (3)'!$A$5:$A$289,A1771,'Comp2016-2017 (3)'!$R$5:$R$289,V1771)*AA1771/SUMIFS($AA$4:$AA$1858,$A$4:$A$1858,A1771,$V$4:$V$1858,V1771),0)</f>
        <v>468780.23237074137</v>
      </c>
      <c r="AC1771" s="205" t="str">
        <f>IF($W1771=AC$3,$AB1771,IF(NOT($W1771=0),"",SUMIFS('Val-Vol (2)'!AC$4:AC$1858,'Val-Vol (2)'!$A$4:$A$1858,$D1771,'Val-Vol (2)'!$V$4:$V$1858,$V1771)/SUMIFS('Comp2016-2017 (3)'!$G$5:$G$289,'Comp2016-2017 (3)'!$A$5:$A$289,$D1771,'Comp2016-2017 (3)'!$R$5:$R$289,$V1771)*$AB1771))</f>
        <v/>
      </c>
      <c r="AD1771" s="205" t="str">
        <f>IF($W1771=AD$3,$AB1771,IF(NOT($W1771=0),"",SUMIFS('Val-Vol (2)'!AD$4:AD$1858,'Val-Vol (2)'!$A$4:$A$1858,$D1771,'Val-Vol (2)'!$V$4:$V$1858,$V1771)/SUMIFS('Comp2016-2017 (3)'!$G$5:$G$289,'Comp2016-2017 (3)'!$A$5:$A$289,$D1771,'Comp2016-2017 (3)'!$R$5:$R$289,$V1771)*$AB1771))</f>
        <v/>
      </c>
      <c r="AE1771" s="205" t="str">
        <f>IF($W1771=AE$3,$AB1771,IF(NOT($W1771=0),"",SUMIFS('Val-Vol (2)'!AE$4:AE$1858,'Val-Vol (2)'!$A$4:$A$1858,$D1771,'Val-Vol (2)'!$V$4:$V$1858,$V1771)/SUMIFS('Comp2016-2017 (3)'!$G$5:$G$289,'Comp2016-2017 (3)'!$A$5:$A$289,$D1771,'Comp2016-2017 (3)'!$R$5:$R$289,$V1771)*$AB1771))</f>
        <v/>
      </c>
      <c r="AF1771" s="205" t="str">
        <f>IF($W1771=AF$3,$AB1771,IF(NOT($W1771=0),"",SUMIFS('Val-Vol (2)'!AF$4:AF$1858,'Val-Vol (2)'!$A$4:$A$1858,$D1771,'Val-Vol (2)'!$V$4:$V$1858,$V1771)/SUMIFS('Comp2016-2017 (3)'!$G$5:$G$289,'Comp2016-2017 (3)'!$A$5:$A$289,$D1771,'Comp2016-2017 (3)'!$R$5:$R$289,$V1771)*$AB1771))</f>
        <v/>
      </c>
      <c r="AG1771" s="205" t="str">
        <f>IF($W1771=AG$3,$AB1771,IF(NOT($W1771=0),"",SUMIFS('Val-Vol (2)'!AG$4:AG$1858,'Val-Vol (2)'!$A$4:$A$1858,$D1771,'Val-Vol (2)'!$V$4:$V$1858,$V1771)/SUMIFS('Comp2016-2017 (3)'!$G$5:$G$289,'Comp2016-2017 (3)'!$A$5:$A$289,$D1771,'Comp2016-2017 (3)'!$R$5:$R$289,$V1771)*$AB1771))</f>
        <v/>
      </c>
      <c r="AH1771" s="205" t="str">
        <f>IF($W1771=AH$3,$AB1771,IF(NOT($W1771=0),"",SUMIFS('Val-Vol (2)'!AH$4:AH$1858,'Val-Vol (2)'!$A$4:$A$1858,$D1771,'Val-Vol (2)'!$V$4:$V$1858,$V1771)/SUMIFS('Comp2016-2017 (3)'!$G$5:$G$289,'Comp2016-2017 (3)'!$A$5:$A$289,$D1771,'Comp2016-2017 (3)'!$R$5:$R$289,$V1771)*$AB1771))</f>
        <v/>
      </c>
      <c r="AI1771" s="205" t="str">
        <f>IF($W1771=AI$3,$AB1771,IF(NOT($W1771=0),"",SUMIFS('Val-Vol (2)'!AI$4:AI$1858,'Val-Vol (2)'!$A$4:$A$1858,$D1771,'Val-Vol (2)'!$V$4:$V$1858,$V1771)/SUMIFS('Comp2016-2017 (3)'!$G$5:$G$289,'Comp2016-2017 (3)'!$A$5:$A$289,$D1771,'Comp2016-2017 (3)'!$R$5:$R$289,$V1771)*$AB1771))</f>
        <v/>
      </c>
      <c r="AJ1771" s="205">
        <f>IF($W1771=AJ$3,$AB1771,IF(NOT($W1771=0),"",SUMIFS('Val-Vol (2)'!AJ$4:AJ$1858,'Val-Vol (2)'!$A$4:$A$1858,$D1771,'Val-Vol (2)'!$V$4:$V$1858,$V1771)/SUMIFS('Comp2016-2017 (3)'!$G$5:$G$289,'Comp2016-2017 (3)'!$A$5:$A$289,$D1771,'Comp2016-2017 (3)'!$R$5:$R$289,$V1771)*$AB1771))</f>
        <v>468780.23237074137</v>
      </c>
      <c r="AK1771" s="205">
        <f t="shared" si="197"/>
        <v>0</v>
      </c>
      <c r="AL1771" s="218" t="str">
        <f t="shared" si="199"/>
        <v/>
      </c>
      <c r="AM1771" s="218" t="str">
        <f>VLOOKUP(A1771,'Table corresp.'!$M$4:$U$63,8,FALSE)</f>
        <v>Production finale</v>
      </c>
      <c r="AN1771" s="218" t="str">
        <f>VLOOKUP(D1771,'Table corresp.'!$M$4:$U$63,9,FALSE)</f>
        <v>Consommation finale française</v>
      </c>
    </row>
    <row r="1772" spans="1:40" x14ac:dyDescent="0.25">
      <c r="A1772" t="s">
        <v>102</v>
      </c>
      <c r="B1772" t="str">
        <f>VLOOKUP(LEFT(A1772,3),'Table corresp.'!$A$4:$D$63,3,FALSE)</f>
        <v>Bois recyclés</v>
      </c>
      <c r="C1772" t="str">
        <f>VLOOKUP(A1772,'Table corresp.'!$M$4:$P$63,4,FALSE)</f>
        <v>Production et transformation de produits bois</v>
      </c>
      <c r="D1772" t="s">
        <v>87</v>
      </c>
      <c r="E1772" t="str">
        <f>VLOOKUP(LEFT(D1772,3),'Table corresp.'!$A$4:$D$63,4,FALSE)</f>
        <v>Transformation</v>
      </c>
      <c r="F1772" t="str">
        <f t="shared" si="200"/>
        <v xml:space="preserve">50  - 31 </v>
      </c>
      <c r="G1772" s="238">
        <v>9427.0503680062102</v>
      </c>
      <c r="H1772" s="238">
        <v>0</v>
      </c>
      <c r="I1772" s="238">
        <v>9427.0503680061993</v>
      </c>
      <c r="J1772" s="238"/>
      <c r="K1772" s="238"/>
      <c r="L1772" s="238"/>
      <c r="M1772" s="238"/>
      <c r="N1772" s="238"/>
      <c r="O1772" s="238"/>
      <c r="P1772" s="238">
        <v>809.61296758370054</v>
      </c>
      <c r="Q1772" s="238">
        <v>0</v>
      </c>
      <c r="R1772" s="238">
        <v>809.61296758370054</v>
      </c>
      <c r="S1772" s="238" t="s">
        <v>192</v>
      </c>
      <c r="T1772" s="218">
        <f>VLOOKUP(A1772,'Groupe de branches'!$Z$27:$AM$86,14,FALSE)</f>
        <v>0</v>
      </c>
      <c r="U1772" s="218">
        <f>VLOOKUP(D1772,'Groupe de branches'!$Z$27:$AM$86,14,FALSE)</f>
        <v>0</v>
      </c>
      <c r="V1772" s="218">
        <v>2020</v>
      </c>
      <c r="W1772" s="218">
        <f>VLOOKUP(D1772,'Table corresp.'!$M$4:$S$63,7,FALSE)</f>
        <v>0</v>
      </c>
      <c r="X1772" s="240">
        <f>IFERROR(G1772/SUMIFS('Comp2016-2017 (3)'!$I$5:$I$289,'Comp2016-2017 (3)'!$A$5:$A$289,A1772,'Comp2016-2017 (3)'!$R$5:$R$289,V1772),0)</f>
        <v>4.5199753207914924E-2</v>
      </c>
      <c r="Y1772" s="219" t="e">
        <f>IF(RIGHT(F1772,3)="Exp",VLOOKUP(F1772,#REF!,2,FALSE),VLOOKUP(F1772,#REF!,9,FALSE))</f>
        <v>#REF!</v>
      </c>
      <c r="Z1772" s="226" t="str">
        <f t="shared" si="196"/>
        <v/>
      </c>
      <c r="AA1772" s="226" t="e">
        <f t="shared" si="198"/>
        <v>#VALUE!</v>
      </c>
      <c r="AB1772" s="205">
        <f>IFERROR(SUMIFS('Comp2016-2017 (3)'!$G$5:$G$289,'Comp2016-2017 (3)'!$A$5:$A$289,A1772,'Comp2016-2017 (3)'!$R$5:$R$289,V1772)*AA1772/SUMIFS($AA$4:$AA$1858,$A$4:$A$1858,A1772,$V$4:$V$1858,V1772),0)</f>
        <v>0</v>
      </c>
      <c r="AC1772" s="205">
        <f>IF($W1772=AC$3,$AB1772,IF(NOT($W1772=0),"",SUMIFS('Val-Vol (2)'!AC$4:AC$1858,'Val-Vol (2)'!$A$4:$A$1858,$D1772,'Val-Vol (2)'!$V$4:$V$1858,$V1772)/SUMIFS('Comp2016-2017 (3)'!$G$5:$G$289,'Comp2016-2017 (3)'!$A$5:$A$289,$D1772,'Comp2016-2017 (3)'!$R$5:$R$289,$V1772)*$AB1772))</f>
        <v>0</v>
      </c>
      <c r="AD1772" s="205">
        <f>IF($W1772=AD$3,$AB1772,IF(NOT($W1772=0),"",SUMIFS('Val-Vol (2)'!AD$4:AD$1858,'Val-Vol (2)'!$A$4:$A$1858,$D1772,'Val-Vol (2)'!$V$4:$V$1858,$V1772)/SUMIFS('Comp2016-2017 (3)'!$G$5:$G$289,'Comp2016-2017 (3)'!$A$5:$A$289,$D1772,'Comp2016-2017 (3)'!$R$5:$R$289,$V1772)*$AB1772))</f>
        <v>0</v>
      </c>
      <c r="AE1772" s="205">
        <f>IF($W1772=AE$3,$AB1772,IF(NOT($W1772=0),"",SUMIFS('Val-Vol (2)'!AE$4:AE$1858,'Val-Vol (2)'!$A$4:$A$1858,$D1772,'Val-Vol (2)'!$V$4:$V$1858,$V1772)/SUMIFS('Comp2016-2017 (3)'!$G$5:$G$289,'Comp2016-2017 (3)'!$A$5:$A$289,$D1772,'Comp2016-2017 (3)'!$R$5:$R$289,$V1772)*$AB1772))</f>
        <v>0</v>
      </c>
      <c r="AF1772" s="205">
        <f>IF($W1772=AF$3,$AB1772,IF(NOT($W1772=0),"",SUMIFS('Val-Vol (2)'!AF$4:AF$1858,'Val-Vol (2)'!$A$4:$A$1858,$D1772,'Val-Vol (2)'!$V$4:$V$1858,$V1772)/SUMIFS('Comp2016-2017 (3)'!$G$5:$G$289,'Comp2016-2017 (3)'!$A$5:$A$289,$D1772,'Comp2016-2017 (3)'!$R$5:$R$289,$V1772)*$AB1772))</f>
        <v>0</v>
      </c>
      <c r="AG1772" s="205">
        <f>IF($W1772=AG$3,$AB1772,IF(NOT($W1772=0),"",SUMIFS('Val-Vol (2)'!AG$4:AG$1858,'Val-Vol (2)'!$A$4:$A$1858,$D1772,'Val-Vol (2)'!$V$4:$V$1858,$V1772)/SUMIFS('Comp2016-2017 (3)'!$G$5:$G$289,'Comp2016-2017 (3)'!$A$5:$A$289,$D1772,'Comp2016-2017 (3)'!$R$5:$R$289,$V1772)*$AB1772))</f>
        <v>0</v>
      </c>
      <c r="AH1772" s="205">
        <f>IF($W1772=AH$3,$AB1772,IF(NOT($W1772=0),"",SUMIFS('Val-Vol (2)'!AH$4:AH$1858,'Val-Vol (2)'!$A$4:$A$1858,$D1772,'Val-Vol (2)'!$V$4:$V$1858,$V1772)/SUMIFS('Comp2016-2017 (3)'!$G$5:$G$289,'Comp2016-2017 (3)'!$A$5:$A$289,$D1772,'Comp2016-2017 (3)'!$R$5:$R$289,$V1772)*$AB1772))</f>
        <v>0</v>
      </c>
      <c r="AI1772" s="205">
        <f>IF($W1772=AI$3,$AB1772,IF(NOT($W1772=0),"",SUMIFS('Val-Vol (2)'!AI$4:AI$1858,'Val-Vol (2)'!$A$4:$A$1858,$D1772,'Val-Vol (2)'!$V$4:$V$1858,$V1772)/SUMIFS('Comp2016-2017 (3)'!$G$5:$G$289,'Comp2016-2017 (3)'!$A$5:$A$289,$D1772,'Comp2016-2017 (3)'!$R$5:$R$289,$V1772)*$AB1772))</f>
        <v>0</v>
      </c>
      <c r="AJ1772" s="205">
        <f>IF($W1772=AJ$3,$AB1772,IF(NOT($W1772=0),"",SUMIFS('Val-Vol (2)'!AJ$4:AJ$1858,'Val-Vol (2)'!$A$4:$A$1858,$D1772,'Val-Vol (2)'!$V$4:$V$1858,$V1772)/SUMIFS('Comp2016-2017 (3)'!$G$5:$G$289,'Comp2016-2017 (3)'!$A$5:$A$289,$D1772,'Comp2016-2017 (3)'!$R$5:$R$289,$V1772)*$AB1772))</f>
        <v>0</v>
      </c>
      <c r="AK1772" s="205">
        <f t="shared" si="197"/>
        <v>0</v>
      </c>
      <c r="AL1772" s="218" t="str">
        <f t="shared" si="199"/>
        <v/>
      </c>
      <c r="AM1772" s="218" t="str">
        <f>VLOOKUP(A1772,'Table corresp.'!$M$4:$U$63,8,FALSE)</f>
        <v>Bois recyclés</v>
      </c>
      <c r="AN1772" s="218" t="str">
        <f>VLOOKUP(D1772,'Table corresp.'!$M$4:$U$63,9,FALSE)</f>
        <v>Production intermédiaire</v>
      </c>
    </row>
    <row r="1773" spans="1:40" x14ac:dyDescent="0.25">
      <c r="A1773" t="s">
        <v>102</v>
      </c>
      <c r="B1773" t="str">
        <f>VLOOKUP(LEFT(A1773,3),'Table corresp.'!$A$4:$D$63,3,FALSE)</f>
        <v>Bois recyclés</v>
      </c>
      <c r="C1773" t="str">
        <f>VLOOKUP(A1773,'Table corresp.'!$M$4:$P$63,4,FALSE)</f>
        <v>Production et transformation de produits bois</v>
      </c>
      <c r="D1773" t="s">
        <v>101</v>
      </c>
      <c r="E1773" t="str">
        <f>VLOOKUP(LEFT(D1773,3),'Table corresp.'!$A$4:$D$63,4,FALSE)</f>
        <v>Transformation</v>
      </c>
      <c r="F1773" t="str">
        <f t="shared" si="200"/>
        <v xml:space="preserve">50  - 49 </v>
      </c>
      <c r="G1773" s="238">
        <v>59317.864031925303</v>
      </c>
      <c r="H1773" s="238">
        <v>0</v>
      </c>
      <c r="I1773" s="238">
        <v>59317.864031925201</v>
      </c>
      <c r="J1773" s="238"/>
      <c r="K1773" s="238"/>
      <c r="L1773" s="238"/>
      <c r="M1773" s="238"/>
      <c r="N1773" s="238"/>
      <c r="O1773" s="238"/>
      <c r="P1773" s="238">
        <v>1288.5944287018442</v>
      </c>
      <c r="Q1773" s="238">
        <v>0</v>
      </c>
      <c r="R1773" s="238">
        <v>1288.5944287018442</v>
      </c>
      <c r="S1773" s="238" t="s">
        <v>198</v>
      </c>
      <c r="T1773" s="218">
        <f>VLOOKUP(A1773,'Groupe de branches'!$Z$27:$AM$86,14,FALSE)</f>
        <v>0</v>
      </c>
      <c r="U1773" s="218">
        <f>VLOOKUP(D1773,'Groupe de branches'!$Z$27:$AM$86,14,FALSE)</f>
        <v>1</v>
      </c>
      <c r="V1773" s="218">
        <v>2020</v>
      </c>
      <c r="W1773" s="218" t="str">
        <f>VLOOKUP(D1773,'Table corresp.'!$M$4:$S$63,7,FALSE)</f>
        <v>Energie</v>
      </c>
      <c r="X1773" s="240">
        <f>IFERROR(G1773/SUMIFS('Comp2016-2017 (3)'!$I$5:$I$289,'Comp2016-2017 (3)'!$A$5:$A$289,A1773,'Comp2016-2017 (3)'!$R$5:$R$289,V1773),0)</f>
        <v>0.28441057493052641</v>
      </c>
      <c r="Y1773" s="219" t="e">
        <f>IF(RIGHT(F1773,3)="Exp",VLOOKUP(F1773,#REF!,2,FALSE),VLOOKUP(F1773,#REF!,9,FALSE))</f>
        <v>#REF!</v>
      </c>
      <c r="Z1773" s="226" t="str">
        <f t="shared" si="196"/>
        <v/>
      </c>
      <c r="AA1773" s="226" t="e">
        <f t="shared" si="198"/>
        <v>#VALUE!</v>
      </c>
      <c r="AB1773" s="205">
        <f>IFERROR(SUMIFS('Comp2016-2017 (3)'!$G$5:$G$289,'Comp2016-2017 (3)'!$A$5:$A$289,A1773,'Comp2016-2017 (3)'!$R$5:$R$289,V1773)*AA1773/SUMIFS($AA$4:$AA$1858,$A$4:$A$1858,A1773,$V$4:$V$1858,V1773),0)</f>
        <v>0</v>
      </c>
      <c r="AC1773" s="205" t="str">
        <f>IF($W1773=AC$3,$AB1773,IF(NOT($W1773=0),"",SUMIFS('Val-Vol (2)'!AC$4:AC$1858,'Val-Vol (2)'!$A$4:$A$1858,$D1773,'Val-Vol (2)'!$V$4:$V$1858,$V1773)/SUMIFS('Comp2016-2017 (3)'!$G$5:$G$289,'Comp2016-2017 (3)'!$A$5:$A$289,$D1773,'Comp2016-2017 (3)'!$R$5:$R$289,$V1773)*$AB1773))</f>
        <v/>
      </c>
      <c r="AD1773" s="205" t="str">
        <f>IF($W1773=AD$3,$AB1773,IF(NOT($W1773=0),"",SUMIFS('Val-Vol (2)'!AD$4:AD$1858,'Val-Vol (2)'!$A$4:$A$1858,$D1773,'Val-Vol (2)'!$V$4:$V$1858,$V1773)/SUMIFS('Comp2016-2017 (3)'!$G$5:$G$289,'Comp2016-2017 (3)'!$A$5:$A$289,$D1773,'Comp2016-2017 (3)'!$R$5:$R$289,$V1773)*$AB1773))</f>
        <v/>
      </c>
      <c r="AE1773" s="205" t="str">
        <f>IF($W1773=AE$3,$AB1773,IF(NOT($W1773=0),"",SUMIFS('Val-Vol (2)'!AE$4:AE$1858,'Val-Vol (2)'!$A$4:$A$1858,$D1773,'Val-Vol (2)'!$V$4:$V$1858,$V1773)/SUMIFS('Comp2016-2017 (3)'!$G$5:$G$289,'Comp2016-2017 (3)'!$A$5:$A$289,$D1773,'Comp2016-2017 (3)'!$R$5:$R$289,$V1773)*$AB1773))</f>
        <v/>
      </c>
      <c r="AF1773" s="205" t="str">
        <f>IF($W1773=AF$3,$AB1773,IF(NOT($W1773=0),"",SUMIFS('Val-Vol (2)'!AF$4:AF$1858,'Val-Vol (2)'!$A$4:$A$1858,$D1773,'Val-Vol (2)'!$V$4:$V$1858,$V1773)/SUMIFS('Comp2016-2017 (3)'!$G$5:$G$289,'Comp2016-2017 (3)'!$A$5:$A$289,$D1773,'Comp2016-2017 (3)'!$R$5:$R$289,$V1773)*$AB1773))</f>
        <v/>
      </c>
      <c r="AG1773" s="205" t="str">
        <f>IF($W1773=AG$3,$AB1773,IF(NOT($W1773=0),"",SUMIFS('Val-Vol (2)'!AG$4:AG$1858,'Val-Vol (2)'!$A$4:$A$1858,$D1773,'Val-Vol (2)'!$V$4:$V$1858,$V1773)/SUMIFS('Comp2016-2017 (3)'!$G$5:$G$289,'Comp2016-2017 (3)'!$A$5:$A$289,$D1773,'Comp2016-2017 (3)'!$R$5:$R$289,$V1773)*$AB1773))</f>
        <v/>
      </c>
      <c r="AH1773" s="205">
        <f>IF($W1773=AH$3,$AB1773,IF(NOT($W1773=0),"",SUMIFS('Val-Vol (2)'!AH$4:AH$1858,'Val-Vol (2)'!$A$4:$A$1858,$D1773,'Val-Vol (2)'!$V$4:$V$1858,$V1773)/SUMIFS('Comp2016-2017 (3)'!$G$5:$G$289,'Comp2016-2017 (3)'!$A$5:$A$289,$D1773,'Comp2016-2017 (3)'!$R$5:$R$289,$V1773)*$AB1773))</f>
        <v>0</v>
      </c>
      <c r="AI1773" s="205" t="str">
        <f>IF($W1773=AI$3,$AB1773,IF(NOT($W1773=0),"",SUMIFS('Val-Vol (2)'!AI$4:AI$1858,'Val-Vol (2)'!$A$4:$A$1858,$D1773,'Val-Vol (2)'!$V$4:$V$1858,$V1773)/SUMIFS('Comp2016-2017 (3)'!$G$5:$G$289,'Comp2016-2017 (3)'!$A$5:$A$289,$D1773,'Comp2016-2017 (3)'!$R$5:$R$289,$V1773)*$AB1773))</f>
        <v/>
      </c>
      <c r="AJ1773" s="205" t="str">
        <f>IF($W1773=AJ$3,$AB1773,IF(NOT($W1773=0),"",SUMIFS('Val-Vol (2)'!AJ$4:AJ$1858,'Val-Vol (2)'!$A$4:$A$1858,$D1773,'Val-Vol (2)'!$V$4:$V$1858,$V1773)/SUMIFS('Comp2016-2017 (3)'!$G$5:$G$289,'Comp2016-2017 (3)'!$A$5:$A$289,$D1773,'Comp2016-2017 (3)'!$R$5:$R$289,$V1773)*$AB1773))</f>
        <v/>
      </c>
      <c r="AK1773" s="205">
        <f t="shared" si="197"/>
        <v>0</v>
      </c>
      <c r="AL1773" s="218" t="str">
        <f t="shared" si="199"/>
        <v/>
      </c>
      <c r="AM1773" s="218" t="str">
        <f>VLOOKUP(A1773,'Table corresp.'!$M$4:$U$63,8,FALSE)</f>
        <v>Bois recyclés</v>
      </c>
      <c r="AN1773" s="218" t="str">
        <f>VLOOKUP(D1773,'Table corresp.'!$M$4:$U$63,9,FALSE)</f>
        <v>Production finale</v>
      </c>
    </row>
    <row r="1774" spans="1:40" x14ac:dyDescent="0.25">
      <c r="A1774" t="s">
        <v>102</v>
      </c>
      <c r="B1774" t="str">
        <f>VLOOKUP(LEFT(A1774,3),'Table corresp.'!$A$4:$D$63,3,FALSE)</f>
        <v>Bois recyclés</v>
      </c>
      <c r="C1774" t="str">
        <f>VLOOKUP(A1774,'Table corresp.'!$M$4:$P$63,4,FALSE)</f>
        <v>Production et transformation de produits bois</v>
      </c>
      <c r="D1774" t="s">
        <v>102</v>
      </c>
      <c r="E1774" t="str">
        <f>VLOOKUP(LEFT(D1774,3),'Table corresp.'!$A$4:$D$63,4,FALSE)</f>
        <v>Transformation</v>
      </c>
      <c r="F1774" t="str">
        <f t="shared" si="200"/>
        <v xml:space="preserve">50  - 50 </v>
      </c>
      <c r="G1774" s="238">
        <v>11986.427259084299</v>
      </c>
      <c r="H1774" s="238">
        <v>0</v>
      </c>
      <c r="I1774" s="238">
        <v>11986.427259084299</v>
      </c>
      <c r="J1774" s="238"/>
      <c r="K1774" s="238"/>
      <c r="L1774" s="238"/>
      <c r="M1774" s="238"/>
      <c r="N1774" s="238"/>
      <c r="O1774" s="238"/>
      <c r="P1774" s="238"/>
      <c r="Q1774" s="238"/>
      <c r="R1774" s="238"/>
      <c r="S1774" s="238"/>
      <c r="T1774" s="218">
        <f>VLOOKUP(A1774,'Groupe de branches'!$Z$27:$AM$86,14,FALSE)</f>
        <v>0</v>
      </c>
      <c r="U1774" s="218">
        <f>VLOOKUP(D1774,'Groupe de branches'!$Z$27:$AM$86,14,FALSE)</f>
        <v>0</v>
      </c>
      <c r="V1774" s="218">
        <v>2020</v>
      </c>
      <c r="W1774" s="218">
        <f>VLOOKUP(D1774,'Table corresp.'!$M$4:$S$63,7,FALSE)</f>
        <v>0</v>
      </c>
      <c r="X1774" s="240">
        <f>IFERROR(G1774/SUMIFS('Comp2016-2017 (3)'!$I$5:$I$289,'Comp2016-2017 (3)'!$A$5:$A$289,A1774,'Comp2016-2017 (3)'!$R$5:$R$289,V1774),0)</f>
        <v>5.7471163598950818E-2</v>
      </c>
      <c r="Y1774" s="219" t="e">
        <f>IF(RIGHT(F1774,3)="Exp",VLOOKUP(F1774,#REF!,2,FALSE),VLOOKUP(F1774,#REF!,9,FALSE))</f>
        <v>#REF!</v>
      </c>
      <c r="Z1774" s="226" t="str">
        <f t="shared" si="196"/>
        <v/>
      </c>
      <c r="AA1774" s="226" t="e">
        <f t="shared" si="198"/>
        <v>#VALUE!</v>
      </c>
      <c r="AB1774" s="205">
        <f>IFERROR(SUMIFS('Comp2016-2017 (3)'!$G$5:$G$289,'Comp2016-2017 (3)'!$A$5:$A$289,A1774,'Comp2016-2017 (3)'!$R$5:$R$289,V1774)*AA1774/SUMIFS($AA$4:$AA$1858,$A$4:$A$1858,A1774,$V$4:$V$1858,V1774),0)</f>
        <v>0</v>
      </c>
      <c r="AC1774" s="205"/>
      <c r="AD1774" s="205"/>
      <c r="AE1774" s="205"/>
      <c r="AF1774" s="205"/>
      <c r="AG1774" s="205"/>
      <c r="AH1774" s="205"/>
      <c r="AI1774" s="205"/>
      <c r="AJ1774" s="205">
        <f>AB1774</f>
        <v>0</v>
      </c>
      <c r="AK1774" s="205">
        <f t="shared" si="197"/>
        <v>0</v>
      </c>
      <c r="AL1774" s="218" t="str">
        <f t="shared" si="199"/>
        <v>remplir à la main</v>
      </c>
      <c r="AM1774" s="218" t="str">
        <f>VLOOKUP(A1774,'Table corresp.'!$M$4:$U$63,8,FALSE)</f>
        <v>Bois recyclés</v>
      </c>
      <c r="AN1774" s="218" t="str">
        <f>VLOOKUP(D1774,'Table corresp.'!$M$4:$U$63,9,FALSE)</f>
        <v>Production intermédiaire</v>
      </c>
    </row>
    <row r="1775" spans="1:40" x14ac:dyDescent="0.25">
      <c r="A1775" t="s">
        <v>102</v>
      </c>
      <c r="B1775" t="str">
        <f>VLOOKUP(LEFT(A1775,3),'Table corresp.'!$A$4:$D$63,3,FALSE)</f>
        <v>Bois recyclés</v>
      </c>
      <c r="C1775" t="str">
        <f>VLOOKUP(A1775,'Table corresp.'!$M$4:$P$63,4,FALSE)</f>
        <v>Production et transformation de produits bois</v>
      </c>
      <c r="D1775" t="s">
        <v>54</v>
      </c>
      <c r="E1775" t="str">
        <f>VLOOKUP(LEFT(D1775,3),'Table corresp.'!$A$4:$D$63,4,FALSE)</f>
        <v>Consommation finale</v>
      </c>
      <c r="F1775" t="str">
        <f t="shared" si="200"/>
        <v>50  - Con</v>
      </c>
      <c r="G1775" s="238">
        <v>78232.858340984298</v>
      </c>
      <c r="H1775" s="238">
        <v>0</v>
      </c>
      <c r="I1775" s="238">
        <v>78232.858340984298</v>
      </c>
      <c r="J1775" s="238"/>
      <c r="K1775" s="238"/>
      <c r="L1775" s="238"/>
      <c r="M1775" s="238"/>
      <c r="N1775" s="238"/>
      <c r="O1775" s="238"/>
      <c r="P1775" s="238">
        <v>2700.9520815993001</v>
      </c>
      <c r="Q1775" s="238">
        <v>0</v>
      </c>
      <c r="R1775" s="238">
        <v>2700.9520815993001</v>
      </c>
      <c r="S1775" s="238"/>
      <c r="T1775" s="218">
        <f>VLOOKUP(A1775,'Groupe de branches'!$Z$27:$AM$86,14,FALSE)</f>
        <v>0</v>
      </c>
      <c r="U1775" s="218">
        <f>VLOOKUP(D1775,'Groupe de branches'!$Z$27:$AM$86,14,FALSE)</f>
        <v>0</v>
      </c>
      <c r="V1775" s="218">
        <v>2020</v>
      </c>
      <c r="W1775" s="218" t="str">
        <f>VLOOKUP(D1775,'Table corresp.'!$M$4:$S$63,7,FALSE)</f>
        <v>Consommation finale</v>
      </c>
      <c r="X1775" s="240">
        <f>IFERROR(G1775/SUMIFS('Comp2016-2017 (3)'!$I$5:$I$289,'Comp2016-2017 (3)'!$A$5:$A$289,A1775,'Comp2016-2017 (3)'!$R$5:$R$289,V1775),0)</f>
        <v>0.37510204695237387</v>
      </c>
      <c r="Y1775" s="219" t="e">
        <f>IF(RIGHT(F1775,3)="Exp",VLOOKUP(F1775,#REF!,2,FALSE),VLOOKUP(F1775,#REF!,9,FALSE))</f>
        <v>#REF!</v>
      </c>
      <c r="Z1775" s="226" t="str">
        <f t="shared" si="196"/>
        <v/>
      </c>
      <c r="AA1775" s="226" t="e">
        <f t="shared" si="198"/>
        <v>#VALUE!</v>
      </c>
      <c r="AB1775" s="205">
        <f>IFERROR(SUMIFS('Comp2016-2017 (3)'!$G$5:$G$289,'Comp2016-2017 (3)'!$A$5:$A$289,A1775,'Comp2016-2017 (3)'!$R$5:$R$289,V1775)*AA1775/SUMIFS($AA$4:$AA$1858,$A$4:$A$1858,A1775,$V$4:$V$1858,V1775),0)</f>
        <v>0</v>
      </c>
      <c r="AC1775" s="205" t="str">
        <f>IF($W1775=AC$3,$AB1775,IF(NOT($W1775=0),"",SUMIFS('Val-Vol (2)'!AC$4:AC$1858,'Val-Vol (2)'!$A$4:$A$1858,$D1775,'Val-Vol (2)'!$V$4:$V$1858,$V1775)/SUMIFS('Comp2016-2017 (3)'!$G$5:$G$289,'Comp2016-2017 (3)'!$A$5:$A$289,$D1775,'Comp2016-2017 (3)'!$R$5:$R$289,$V1775)*$AB1775))</f>
        <v/>
      </c>
      <c r="AD1775" s="205" t="str">
        <f>IF($W1775=AD$3,$AB1775,IF(NOT($W1775=0),"",SUMIFS('Val-Vol (2)'!AD$4:AD$1858,'Val-Vol (2)'!$A$4:$A$1858,$D1775,'Val-Vol (2)'!$V$4:$V$1858,$V1775)/SUMIFS('Comp2016-2017 (3)'!$G$5:$G$289,'Comp2016-2017 (3)'!$A$5:$A$289,$D1775,'Comp2016-2017 (3)'!$R$5:$R$289,$V1775)*$AB1775))</f>
        <v/>
      </c>
      <c r="AE1775" s="205" t="str">
        <f>IF($W1775=AE$3,$AB1775,IF(NOT($W1775=0),"",SUMIFS('Val-Vol (2)'!AE$4:AE$1858,'Val-Vol (2)'!$A$4:$A$1858,$D1775,'Val-Vol (2)'!$V$4:$V$1858,$V1775)/SUMIFS('Comp2016-2017 (3)'!$G$5:$G$289,'Comp2016-2017 (3)'!$A$5:$A$289,$D1775,'Comp2016-2017 (3)'!$R$5:$R$289,$V1775)*$AB1775))</f>
        <v/>
      </c>
      <c r="AF1775" s="205" t="str">
        <f>IF($W1775=AF$3,$AB1775,IF(NOT($W1775=0),"",SUMIFS('Val-Vol (2)'!AF$4:AF$1858,'Val-Vol (2)'!$A$4:$A$1858,$D1775,'Val-Vol (2)'!$V$4:$V$1858,$V1775)/SUMIFS('Comp2016-2017 (3)'!$G$5:$G$289,'Comp2016-2017 (3)'!$A$5:$A$289,$D1775,'Comp2016-2017 (3)'!$R$5:$R$289,$V1775)*$AB1775))</f>
        <v/>
      </c>
      <c r="AG1775" s="205" t="str">
        <f>IF($W1775=AG$3,$AB1775,IF(NOT($W1775=0),"",SUMIFS('Val-Vol (2)'!AG$4:AG$1858,'Val-Vol (2)'!$A$4:$A$1858,$D1775,'Val-Vol (2)'!$V$4:$V$1858,$V1775)/SUMIFS('Comp2016-2017 (3)'!$G$5:$G$289,'Comp2016-2017 (3)'!$A$5:$A$289,$D1775,'Comp2016-2017 (3)'!$R$5:$R$289,$V1775)*$AB1775))</f>
        <v/>
      </c>
      <c r="AH1775" s="205" t="str">
        <f>IF($W1775=AH$3,$AB1775,IF(NOT($W1775=0),"",SUMIFS('Val-Vol (2)'!AH$4:AH$1858,'Val-Vol (2)'!$A$4:$A$1858,$D1775,'Val-Vol (2)'!$V$4:$V$1858,$V1775)/SUMIFS('Comp2016-2017 (3)'!$G$5:$G$289,'Comp2016-2017 (3)'!$A$5:$A$289,$D1775,'Comp2016-2017 (3)'!$R$5:$R$289,$V1775)*$AB1775))</f>
        <v/>
      </c>
      <c r="AI1775" s="205" t="str">
        <f>IF($W1775=AI$3,$AB1775,IF(NOT($W1775=0),"",SUMIFS('Val-Vol (2)'!AI$4:AI$1858,'Val-Vol (2)'!$A$4:$A$1858,$D1775,'Val-Vol (2)'!$V$4:$V$1858,$V1775)/SUMIFS('Comp2016-2017 (3)'!$G$5:$G$289,'Comp2016-2017 (3)'!$A$5:$A$289,$D1775,'Comp2016-2017 (3)'!$R$5:$R$289,$V1775)*$AB1775))</f>
        <v/>
      </c>
      <c r="AJ1775" s="205">
        <f>IF($W1775=AJ$3,$AB1775,IF(NOT($W1775=0),"",SUMIFS('Val-Vol (2)'!AJ$4:AJ$1858,'Val-Vol (2)'!$A$4:$A$1858,$D1775,'Val-Vol (2)'!$V$4:$V$1858,$V1775)/SUMIFS('Comp2016-2017 (3)'!$G$5:$G$289,'Comp2016-2017 (3)'!$A$5:$A$289,$D1775,'Comp2016-2017 (3)'!$R$5:$R$289,$V1775)*$AB1775))</f>
        <v>0</v>
      </c>
      <c r="AK1775" s="205">
        <f t="shared" si="197"/>
        <v>0</v>
      </c>
      <c r="AL1775" s="218" t="str">
        <f t="shared" si="199"/>
        <v/>
      </c>
      <c r="AM1775" s="218" t="str">
        <f>VLOOKUP(A1775,'Table corresp.'!$M$4:$U$63,8,FALSE)</f>
        <v>Bois recyclés</v>
      </c>
      <c r="AN1775" s="218" t="str">
        <f>VLOOKUP(D1775,'Table corresp.'!$M$4:$U$63,9,FALSE)</f>
        <v>Consommation finale française</v>
      </c>
    </row>
    <row r="1776" spans="1:40" x14ac:dyDescent="0.25">
      <c r="A1776" t="s">
        <v>102</v>
      </c>
      <c r="B1776" t="str">
        <f>VLOOKUP(LEFT(A1776,3),'Table corresp.'!$A$4:$D$63,3,FALSE)</f>
        <v>Bois recyclés</v>
      </c>
      <c r="C1776" t="str">
        <f>VLOOKUP(A1776,'Table corresp.'!$M$4:$P$63,4,FALSE)</f>
        <v>Production et transformation de produits bois</v>
      </c>
      <c r="D1776" t="s">
        <v>53</v>
      </c>
      <c r="E1776" t="str">
        <f>VLOOKUP(LEFT(D1776,3),'Table corresp.'!$A$4:$D$63,4,FALSE)</f>
        <v>Exportation</v>
      </c>
      <c r="F1776" t="str">
        <f t="shared" si="200"/>
        <v>50  - Exp</v>
      </c>
      <c r="G1776" s="238">
        <v>49600</v>
      </c>
      <c r="H1776" s="238">
        <v>0</v>
      </c>
      <c r="I1776" s="238">
        <v>49600</v>
      </c>
      <c r="J1776" s="238"/>
      <c r="K1776" s="238"/>
      <c r="L1776" s="238"/>
      <c r="M1776" s="238"/>
      <c r="N1776" s="238"/>
      <c r="O1776" s="238"/>
      <c r="P1776" s="238">
        <v>1297.960188724303</v>
      </c>
      <c r="Q1776" s="238">
        <v>0</v>
      </c>
      <c r="R1776" s="238">
        <v>1297.960188724303</v>
      </c>
      <c r="S1776" s="238" t="s">
        <v>198</v>
      </c>
      <c r="T1776" s="218">
        <f>VLOOKUP(A1776,'Groupe de branches'!$Z$27:$AM$86,14,FALSE)</f>
        <v>0</v>
      </c>
      <c r="U1776" s="218">
        <f>VLOOKUP(D1776,'Groupe de branches'!$Z$27:$AM$86,14,FALSE)</f>
        <v>0</v>
      </c>
      <c r="V1776" s="218">
        <v>2020</v>
      </c>
      <c r="W1776" s="218" t="str">
        <f>VLOOKUP(D1776,'Table corresp.'!$M$4:$S$63,7,FALSE)</f>
        <v>Exportation</v>
      </c>
      <c r="X1776" s="240">
        <f>IFERROR(G1776/SUMIFS('Comp2016-2017 (3)'!$I$5:$I$289,'Comp2016-2017 (3)'!$A$5:$A$289,A1776,'Comp2016-2017 (3)'!$R$5:$R$289,V1776),0)</f>
        <v>0.23781646131023443</v>
      </c>
      <c r="Y1776" s="219" t="e">
        <f>IF(RIGHT(F1776,3)="Exp",VLOOKUP(F1776,#REF!,2,FALSE),VLOOKUP(F1776,#REF!,9,FALSE))</f>
        <v>#REF!</v>
      </c>
      <c r="Z1776" s="226">
        <f>IFERROR(Y1776/SUMIFS($Y$4:$Y$1858,$V$4:$V$1858,V1776,$A$4:$A$1858,A1776),0)</f>
        <v>0</v>
      </c>
      <c r="AA1776" s="226">
        <f t="shared" si="198"/>
        <v>0</v>
      </c>
      <c r="AB1776" s="205">
        <f>IFERROR(SUMIFS('Comp2016-2017 (3)'!$G$5:$G$289,'Comp2016-2017 (3)'!$A$5:$A$289,A1776,'Comp2016-2017 (3)'!$R$5:$R$289,V1776)*AA1776/SUMIFS($AA$4:$AA$1858,$A$4:$A$1858,A1776,$V$4:$V$1858,V1776),0)</f>
        <v>0</v>
      </c>
      <c r="AC1776" s="205">
        <f>IF($W1776=AC$3,$AB1776,IF(NOT($W1776=0),"",SUMIFS('Val-Vol (2)'!AC$4:AC$1858,'Val-Vol (2)'!$A$4:$A$1858,$D1776,'Val-Vol (2)'!$V$4:$V$1858,$V1776)/SUMIFS('Comp2016-2017 (3)'!$G$5:$G$289,'Comp2016-2017 (3)'!$A$5:$A$289,$D1776,'Comp2016-2017 (3)'!$R$5:$R$289,$V1776)*$AB1776))</f>
        <v>0</v>
      </c>
      <c r="AD1776" s="205" t="str">
        <f>IF($W1776=AD$3,$AB1776,IF(NOT($W1776=0),"",SUMIFS('Val-Vol (2)'!AD$4:AD$1858,'Val-Vol (2)'!$A$4:$A$1858,$D1776,'Val-Vol (2)'!$V$4:$V$1858,$V1776)/SUMIFS('Comp2016-2017 (3)'!$G$5:$G$289,'Comp2016-2017 (3)'!$A$5:$A$289,$D1776,'Comp2016-2017 (3)'!$R$5:$R$289,$V1776)*$AB1776))</f>
        <v/>
      </c>
      <c r="AE1776" s="205" t="str">
        <f>IF($W1776=AE$3,$AB1776,IF(NOT($W1776=0),"",SUMIFS('Val-Vol (2)'!AE$4:AE$1858,'Val-Vol (2)'!$A$4:$A$1858,$D1776,'Val-Vol (2)'!$V$4:$V$1858,$V1776)/SUMIFS('Comp2016-2017 (3)'!$G$5:$G$289,'Comp2016-2017 (3)'!$A$5:$A$289,$D1776,'Comp2016-2017 (3)'!$R$5:$R$289,$V1776)*$AB1776))</f>
        <v/>
      </c>
      <c r="AF1776" s="205" t="str">
        <f>IF($W1776=AF$3,$AB1776,IF(NOT($W1776=0),"",SUMIFS('Val-Vol (2)'!AF$4:AF$1858,'Val-Vol (2)'!$A$4:$A$1858,$D1776,'Val-Vol (2)'!$V$4:$V$1858,$V1776)/SUMIFS('Comp2016-2017 (3)'!$G$5:$G$289,'Comp2016-2017 (3)'!$A$5:$A$289,$D1776,'Comp2016-2017 (3)'!$R$5:$R$289,$V1776)*$AB1776))</f>
        <v/>
      </c>
      <c r="AG1776" s="205" t="str">
        <f>IF($W1776=AG$3,$AB1776,IF(NOT($W1776=0),"",SUMIFS('Val-Vol (2)'!AG$4:AG$1858,'Val-Vol (2)'!$A$4:$A$1858,$D1776,'Val-Vol (2)'!$V$4:$V$1858,$V1776)/SUMIFS('Comp2016-2017 (3)'!$G$5:$G$289,'Comp2016-2017 (3)'!$A$5:$A$289,$D1776,'Comp2016-2017 (3)'!$R$5:$R$289,$V1776)*$AB1776))</f>
        <v/>
      </c>
      <c r="AH1776" s="205" t="str">
        <f>IF($W1776=AH$3,$AB1776,IF(NOT($W1776=0),"",SUMIFS('Val-Vol (2)'!AH$4:AH$1858,'Val-Vol (2)'!$A$4:$A$1858,$D1776,'Val-Vol (2)'!$V$4:$V$1858,$V1776)/SUMIFS('Comp2016-2017 (3)'!$G$5:$G$289,'Comp2016-2017 (3)'!$A$5:$A$289,$D1776,'Comp2016-2017 (3)'!$R$5:$R$289,$V1776)*$AB1776))</f>
        <v/>
      </c>
      <c r="AI1776" s="205" t="str">
        <f>IF($W1776=AI$3,$AB1776,IF(NOT($W1776=0),"",SUMIFS('Val-Vol (2)'!AI$4:AI$1858,'Val-Vol (2)'!$A$4:$A$1858,$D1776,'Val-Vol (2)'!$V$4:$V$1858,$V1776)/SUMIFS('Comp2016-2017 (3)'!$G$5:$G$289,'Comp2016-2017 (3)'!$A$5:$A$289,$D1776,'Comp2016-2017 (3)'!$R$5:$R$289,$V1776)*$AB1776))</f>
        <v/>
      </c>
      <c r="AJ1776" s="205" t="str">
        <f>IF($W1776=AJ$3,$AB1776,IF(NOT($W1776=0),"",SUMIFS('Val-Vol (2)'!AJ$4:AJ$1858,'Val-Vol (2)'!$A$4:$A$1858,$D1776,'Val-Vol (2)'!$V$4:$V$1858,$V1776)/SUMIFS('Comp2016-2017 (3)'!$G$5:$G$289,'Comp2016-2017 (3)'!$A$5:$A$289,$D1776,'Comp2016-2017 (3)'!$R$5:$R$289,$V1776)*$AB1776))</f>
        <v/>
      </c>
      <c r="AK1776" s="205">
        <f t="shared" si="197"/>
        <v>0</v>
      </c>
      <c r="AL1776" s="218" t="str">
        <f t="shared" si="199"/>
        <v/>
      </c>
      <c r="AM1776" s="218" t="str">
        <f>VLOOKUP(A1776,'Table corresp.'!$M$4:$U$63,8,FALSE)</f>
        <v>Bois recyclés</v>
      </c>
      <c r="AN1776" s="218" t="str">
        <f>VLOOKUP(D1776,'Table corresp.'!$M$4:$U$63,9,FALSE)</f>
        <v>Exportation</v>
      </c>
    </row>
    <row r="1777" spans="1:40" x14ac:dyDescent="0.25">
      <c r="A1777" t="s">
        <v>103</v>
      </c>
      <c r="B1777" t="str">
        <f>VLOOKUP(LEFT(A1777,3),'Table corresp.'!$A$4:$D$63,3,FALSE)</f>
        <v>Transformation</v>
      </c>
      <c r="C1777" t="str">
        <f>VLOOKUP(A1777,'Table corresp.'!$M$4:$P$63,4,FALSE)</f>
        <v>Commerces et services</v>
      </c>
      <c r="D1777" t="s">
        <v>54</v>
      </c>
      <c r="E1777" t="str">
        <f>VLOOKUP(LEFT(D1777,3),'Table corresp.'!$A$4:$D$63,4,FALSE)</f>
        <v>Consommation finale</v>
      </c>
      <c r="F1777" t="str">
        <f t="shared" si="200"/>
        <v>51  - Con</v>
      </c>
      <c r="G1777" s="238">
        <v>1758709.415</v>
      </c>
      <c r="H1777" s="238">
        <v>0</v>
      </c>
      <c r="I1777" s="238">
        <v>1758709.415</v>
      </c>
      <c r="J1777" s="238"/>
      <c r="K1777" s="238"/>
      <c r="L1777" s="238"/>
      <c r="M1777" s="238"/>
      <c r="N1777" s="238"/>
      <c r="O1777" s="238"/>
      <c r="P1777" s="238"/>
      <c r="Q1777" s="238"/>
      <c r="R1777" s="238"/>
      <c r="S1777" s="238"/>
      <c r="T1777" s="218">
        <f>VLOOKUP(A1777,'Groupe de branches'!$Z$27:$AM$86,14,FALSE)</f>
        <v>0</v>
      </c>
      <c r="U1777" s="218">
        <f>VLOOKUP(D1777,'Groupe de branches'!$Z$27:$AM$86,14,FALSE)</f>
        <v>0</v>
      </c>
      <c r="V1777" s="218">
        <v>2020</v>
      </c>
      <c r="W1777" s="218" t="str">
        <f>VLOOKUP(D1777,'Table corresp.'!$M$4:$S$63,7,FALSE)</f>
        <v>Consommation finale</v>
      </c>
      <c r="X1777" s="240">
        <f>IFERROR(G1777/SUMIFS('Comp2016-2017 (3)'!$I$5:$I$289,'Comp2016-2017 (3)'!$A$5:$A$289,A1777,'Comp2016-2017 (3)'!$R$5:$R$289,V1777),0)</f>
        <v>1.0000000000000002</v>
      </c>
      <c r="Y1777" s="219">
        <f>IFERROR(IF(RIGHT(F1777,3)="Exp",VLOOKUP(F1777,#REF!,2,FALSE),VLOOKUP(F1777,#REF!,9,FALSE)),1)</f>
        <v>1</v>
      </c>
      <c r="Z1777" s="226">
        <f>IFERROR(Y1777/SUMIFS($Y$4:$Y$1858,$V$4:$V$1858,V1777,$A$4:$A$1858,A1777),0)</f>
        <v>1</v>
      </c>
      <c r="AA1777" s="226">
        <f t="shared" si="198"/>
        <v>1.0000000000000002</v>
      </c>
      <c r="AB1777" s="205">
        <f>IFERROR(SUMIFS('Comp2016-2017 (3)'!$G$5:$G$289,'Comp2016-2017 (3)'!$A$5:$A$289,A1777,'Comp2016-2017 (3)'!$R$5:$R$289,V1777)*AA1777/SUMIFS($AA$4:$AA$1858,$A$4:$A$1858,A1777,$V$4:$V$1858,V1777),0)</f>
        <v>227192.03789927074</v>
      </c>
      <c r="AC1777" s="205" t="str">
        <f>IF($W1777=AC$3,$AB1777,IF(NOT($W1777=0),"",SUMIFS('Val-Vol (2)'!AC$4:AC$1858,'Val-Vol (2)'!$A$4:$A$1858,$D1777,'Val-Vol (2)'!$V$4:$V$1858,$V1777)/SUMIFS('Comp2016-2017 (3)'!$G$5:$G$289,'Comp2016-2017 (3)'!$A$5:$A$289,$D1777,'Comp2016-2017 (3)'!$R$5:$R$289,$V1777)*$AB1777))</f>
        <v/>
      </c>
      <c r="AD1777" s="205" t="str">
        <f>IF($W1777=AD$3,$AB1777,IF(NOT($W1777=0),"",SUMIFS('Val-Vol (2)'!AD$4:AD$1858,'Val-Vol (2)'!$A$4:$A$1858,$D1777,'Val-Vol (2)'!$V$4:$V$1858,$V1777)/SUMIFS('Comp2016-2017 (3)'!$G$5:$G$289,'Comp2016-2017 (3)'!$A$5:$A$289,$D1777,'Comp2016-2017 (3)'!$R$5:$R$289,$V1777)*$AB1777))</f>
        <v/>
      </c>
      <c r="AE1777" s="205" t="str">
        <f>IF($W1777=AE$3,$AB1777,IF(NOT($W1777=0),"",SUMIFS('Val-Vol (2)'!AE$4:AE$1858,'Val-Vol (2)'!$A$4:$A$1858,$D1777,'Val-Vol (2)'!$V$4:$V$1858,$V1777)/SUMIFS('Comp2016-2017 (3)'!$G$5:$G$289,'Comp2016-2017 (3)'!$A$5:$A$289,$D1777,'Comp2016-2017 (3)'!$R$5:$R$289,$V1777)*$AB1777))</f>
        <v/>
      </c>
      <c r="AF1777" s="205" t="str">
        <f>IF($W1777=AF$3,$AB1777,IF(NOT($W1777=0),"",SUMIFS('Val-Vol (2)'!AF$4:AF$1858,'Val-Vol (2)'!$A$4:$A$1858,$D1777,'Val-Vol (2)'!$V$4:$V$1858,$V1777)/SUMIFS('Comp2016-2017 (3)'!$G$5:$G$289,'Comp2016-2017 (3)'!$A$5:$A$289,$D1777,'Comp2016-2017 (3)'!$R$5:$R$289,$V1777)*$AB1777))</f>
        <v/>
      </c>
      <c r="AG1777" s="205" t="str">
        <f>IF($W1777=AG$3,$AB1777,IF(NOT($W1777=0),"",SUMIFS('Val-Vol (2)'!AG$4:AG$1858,'Val-Vol (2)'!$A$4:$A$1858,$D1777,'Val-Vol (2)'!$V$4:$V$1858,$V1777)/SUMIFS('Comp2016-2017 (3)'!$G$5:$G$289,'Comp2016-2017 (3)'!$A$5:$A$289,$D1777,'Comp2016-2017 (3)'!$R$5:$R$289,$V1777)*$AB1777))</f>
        <v/>
      </c>
      <c r="AH1777" s="205" t="str">
        <f>IF($W1777=AH$3,$AB1777,IF(NOT($W1777=0),"",SUMIFS('Val-Vol (2)'!AH$4:AH$1858,'Val-Vol (2)'!$A$4:$A$1858,$D1777,'Val-Vol (2)'!$V$4:$V$1858,$V1777)/SUMIFS('Comp2016-2017 (3)'!$G$5:$G$289,'Comp2016-2017 (3)'!$A$5:$A$289,$D1777,'Comp2016-2017 (3)'!$R$5:$R$289,$V1777)*$AB1777))</f>
        <v/>
      </c>
      <c r="AI1777" s="205" t="str">
        <f>IF($W1777=AI$3,$AB1777,IF(NOT($W1777=0),"",SUMIFS('Val-Vol (2)'!AI$4:AI$1858,'Val-Vol (2)'!$A$4:$A$1858,$D1777,'Val-Vol (2)'!$V$4:$V$1858,$V1777)/SUMIFS('Comp2016-2017 (3)'!$G$5:$G$289,'Comp2016-2017 (3)'!$A$5:$A$289,$D1777,'Comp2016-2017 (3)'!$R$5:$R$289,$V1777)*$AB1777))</f>
        <v/>
      </c>
      <c r="AJ1777" s="205">
        <f>IF($W1777=AJ$3,$AB1777,IF(NOT($W1777=0),"",SUMIFS('Val-Vol (2)'!AJ$4:AJ$1858,'Val-Vol (2)'!$A$4:$A$1858,$D1777,'Val-Vol (2)'!$V$4:$V$1858,$V1777)/SUMIFS('Comp2016-2017 (3)'!$G$5:$G$289,'Comp2016-2017 (3)'!$A$5:$A$289,$D1777,'Comp2016-2017 (3)'!$R$5:$R$289,$V1777)*$AB1777))</f>
        <v>227192.03789927074</v>
      </c>
      <c r="AK1777" s="205">
        <f t="shared" si="197"/>
        <v>0</v>
      </c>
      <c r="AL1777" s="218" t="str">
        <f t="shared" si="199"/>
        <v/>
      </c>
      <c r="AM1777" s="218" t="str">
        <f>VLOOKUP(A1777,'Table corresp.'!$M$4:$U$63,8,FALSE)</f>
        <v>Production finale</v>
      </c>
      <c r="AN1777" s="218" t="str">
        <f>VLOOKUP(D1777,'Table corresp.'!$M$4:$U$63,9,FALSE)</f>
        <v>Consommation finale française</v>
      </c>
    </row>
    <row r="1778" spans="1:40" x14ac:dyDescent="0.25">
      <c r="A1778" t="s">
        <v>19</v>
      </c>
      <c r="B1778" t="str">
        <f>VLOOKUP(LEFT(A1778,3),'Table corresp.'!$A$4:$D$63,3,FALSE)</f>
        <v>Transformation</v>
      </c>
      <c r="C1778" t="str">
        <f>VLOOKUP(A1778,'Table corresp.'!$M$4:$P$63,4,FALSE)</f>
        <v>Mise en oeuvre de produits bois</v>
      </c>
      <c r="D1778" t="s">
        <v>54</v>
      </c>
      <c r="E1778" t="str">
        <f>VLOOKUP(LEFT(D1778,3),'Table corresp.'!$A$4:$D$63,4,FALSE)</f>
        <v>Consommation finale</v>
      </c>
      <c r="F1778" t="str">
        <f t="shared" si="200"/>
        <v>52  - Con</v>
      </c>
      <c r="G1778" s="238">
        <v>522215.95620864298</v>
      </c>
      <c r="H1778" s="238">
        <v>0</v>
      </c>
      <c r="I1778" s="238">
        <v>522215.95620864298</v>
      </c>
      <c r="J1778" s="238">
        <v>860.12408188152074</v>
      </c>
      <c r="K1778" s="238">
        <v>0</v>
      </c>
      <c r="L1778" s="238">
        <v>860.12408188152074</v>
      </c>
      <c r="M1778" s="238">
        <v>16.207094850489657</v>
      </c>
      <c r="N1778" s="238">
        <v>0</v>
      </c>
      <c r="O1778" s="238">
        <v>16.207094850489657</v>
      </c>
      <c r="P1778" s="238">
        <v>6.2865811029250391</v>
      </c>
      <c r="Q1778" s="238">
        <v>0</v>
      </c>
      <c r="R1778" s="238">
        <v>6.2865811029250391</v>
      </c>
      <c r="S1778" s="238" t="s">
        <v>192</v>
      </c>
      <c r="T1778" s="218">
        <f>VLOOKUP(A1778,'Groupe de branches'!$Z$27:$AM$86,14,FALSE)</f>
        <v>0</v>
      </c>
      <c r="U1778" s="218">
        <f>VLOOKUP(D1778,'Groupe de branches'!$Z$27:$AM$86,14,FALSE)</f>
        <v>0</v>
      </c>
      <c r="V1778" s="218">
        <v>2020</v>
      </c>
      <c r="W1778" s="218" t="str">
        <f>VLOOKUP(D1778,'Table corresp.'!$M$4:$S$63,7,FALSE)</f>
        <v>Consommation finale</v>
      </c>
      <c r="X1778" s="240">
        <f>IFERROR(G1778/SUMIFS('Comp2016-2017 (3)'!$I$5:$I$289,'Comp2016-2017 (3)'!$A$5:$A$289,A1778,'Comp2016-2017 (3)'!$R$5:$R$289,V1778),0)</f>
        <v>1</v>
      </c>
      <c r="Y1778" s="219">
        <f>IFERROR(IF(RIGHT(F1778,3)="Exp",VLOOKUP(F1778,#REF!,2,FALSE),VLOOKUP(F1778,#REF!,9,FALSE)),1)</f>
        <v>1</v>
      </c>
      <c r="Z1778" s="226">
        <f t="shared" ref="Z1778:Z1821" si="201">IFERROR(Y1778/SUMIFS($Y$4:$Y$1858,$V$4:$V$1858,V1778,$A$4:$A$1858,A1778),0)</f>
        <v>1</v>
      </c>
      <c r="AA1778" s="226">
        <f t="shared" si="198"/>
        <v>1</v>
      </c>
      <c r="AB1778" s="205">
        <f>IFERROR(SUMIFS('Comp2016-2017 (3)'!$G$5:$G$289,'Comp2016-2017 (3)'!$A$5:$A$289,A1778,'Comp2016-2017 (3)'!$R$5:$R$289,V1778)*AA1778/SUMIFS($AA$4:$AA$1858,$A$4:$A$1858,A1778,$V$4:$V$1858,V1778),0)</f>
        <v>163355.22362602095</v>
      </c>
      <c r="AC1778" s="205" t="str">
        <f>IF($W1778=AC$3,$AB1778,IF(NOT($W1778=0),"",SUMIFS('Val-Vol (2)'!AC$4:AC$1858,'Val-Vol (2)'!$A$4:$A$1858,$D1778,'Val-Vol (2)'!$V$4:$V$1858,$V1778)/SUMIFS('Comp2016-2017 (3)'!$G$5:$G$289,'Comp2016-2017 (3)'!$A$5:$A$289,$D1778,'Comp2016-2017 (3)'!$R$5:$R$289,$V1778)*$AB1778))</f>
        <v/>
      </c>
      <c r="AD1778" s="205" t="str">
        <f>IF($W1778=AD$3,$AB1778,IF(NOT($W1778=0),"",SUMIFS('Val-Vol (2)'!AD$4:AD$1858,'Val-Vol (2)'!$A$4:$A$1858,$D1778,'Val-Vol (2)'!$V$4:$V$1858,$V1778)/SUMIFS('Comp2016-2017 (3)'!$G$5:$G$289,'Comp2016-2017 (3)'!$A$5:$A$289,$D1778,'Comp2016-2017 (3)'!$R$5:$R$289,$V1778)*$AB1778))</f>
        <v/>
      </c>
      <c r="AE1778" s="205" t="str">
        <f>IF($W1778=AE$3,$AB1778,IF(NOT($W1778=0),"",SUMIFS('Val-Vol (2)'!AE$4:AE$1858,'Val-Vol (2)'!$A$4:$A$1858,$D1778,'Val-Vol (2)'!$V$4:$V$1858,$V1778)/SUMIFS('Comp2016-2017 (3)'!$G$5:$G$289,'Comp2016-2017 (3)'!$A$5:$A$289,$D1778,'Comp2016-2017 (3)'!$R$5:$R$289,$V1778)*$AB1778))</f>
        <v/>
      </c>
      <c r="AF1778" s="205" t="str">
        <f>IF($W1778=AF$3,$AB1778,IF(NOT($W1778=0),"",SUMIFS('Val-Vol (2)'!AF$4:AF$1858,'Val-Vol (2)'!$A$4:$A$1858,$D1778,'Val-Vol (2)'!$V$4:$V$1858,$V1778)/SUMIFS('Comp2016-2017 (3)'!$G$5:$G$289,'Comp2016-2017 (3)'!$A$5:$A$289,$D1778,'Comp2016-2017 (3)'!$R$5:$R$289,$V1778)*$AB1778))</f>
        <v/>
      </c>
      <c r="AG1778" s="205" t="str">
        <f>IF($W1778=AG$3,$AB1778,IF(NOT($W1778=0),"",SUMIFS('Val-Vol (2)'!AG$4:AG$1858,'Val-Vol (2)'!$A$4:$A$1858,$D1778,'Val-Vol (2)'!$V$4:$V$1858,$V1778)/SUMIFS('Comp2016-2017 (3)'!$G$5:$G$289,'Comp2016-2017 (3)'!$A$5:$A$289,$D1778,'Comp2016-2017 (3)'!$R$5:$R$289,$V1778)*$AB1778))</f>
        <v/>
      </c>
      <c r="AH1778" s="205" t="str">
        <f>IF($W1778=AH$3,$AB1778,IF(NOT($W1778=0),"",SUMIFS('Val-Vol (2)'!AH$4:AH$1858,'Val-Vol (2)'!$A$4:$A$1858,$D1778,'Val-Vol (2)'!$V$4:$V$1858,$V1778)/SUMIFS('Comp2016-2017 (3)'!$G$5:$G$289,'Comp2016-2017 (3)'!$A$5:$A$289,$D1778,'Comp2016-2017 (3)'!$R$5:$R$289,$V1778)*$AB1778))</f>
        <v/>
      </c>
      <c r="AI1778" s="205" t="str">
        <f>IF($W1778=AI$3,$AB1778,IF(NOT($W1778=0),"",SUMIFS('Val-Vol (2)'!AI$4:AI$1858,'Val-Vol (2)'!$A$4:$A$1858,$D1778,'Val-Vol (2)'!$V$4:$V$1858,$V1778)/SUMIFS('Comp2016-2017 (3)'!$G$5:$G$289,'Comp2016-2017 (3)'!$A$5:$A$289,$D1778,'Comp2016-2017 (3)'!$R$5:$R$289,$V1778)*$AB1778))</f>
        <v/>
      </c>
      <c r="AJ1778" s="205">
        <f>IF($W1778=AJ$3,$AB1778,IF(NOT($W1778=0),"",SUMIFS('Val-Vol (2)'!AJ$4:AJ$1858,'Val-Vol (2)'!$A$4:$A$1858,$D1778,'Val-Vol (2)'!$V$4:$V$1858,$V1778)/SUMIFS('Comp2016-2017 (3)'!$G$5:$G$289,'Comp2016-2017 (3)'!$A$5:$A$289,$D1778,'Comp2016-2017 (3)'!$R$5:$R$289,$V1778)*$AB1778))</f>
        <v>163355.22362602095</v>
      </c>
      <c r="AK1778" s="205">
        <f t="shared" si="197"/>
        <v>0</v>
      </c>
      <c r="AL1778" s="218" t="str">
        <f t="shared" si="199"/>
        <v/>
      </c>
      <c r="AM1778" s="218" t="str">
        <f>VLOOKUP(A1778,'Table corresp.'!$M$4:$U$63,8,FALSE)</f>
        <v xml:space="preserve">Mise en œuvre </v>
      </c>
      <c r="AN1778" s="218" t="str">
        <f>VLOOKUP(D1778,'Table corresp.'!$M$4:$U$63,9,FALSE)</f>
        <v>Consommation finale française</v>
      </c>
    </row>
    <row r="1779" spans="1:40" x14ac:dyDescent="0.25">
      <c r="A1779" t="s">
        <v>20</v>
      </c>
      <c r="B1779" t="str">
        <f>VLOOKUP(LEFT(A1779,3),'Table corresp.'!$A$4:$D$63,3,FALSE)</f>
        <v>Transformation</v>
      </c>
      <c r="C1779" t="str">
        <f>VLOOKUP(A1779,'Table corresp.'!$M$4:$P$63,4,FALSE)</f>
        <v>Mise en oeuvre de produits bois</v>
      </c>
      <c r="D1779" t="s">
        <v>54</v>
      </c>
      <c r="E1779" t="str">
        <f>VLOOKUP(LEFT(D1779,3),'Table corresp.'!$A$4:$D$63,4,FALSE)</f>
        <v>Consommation finale</v>
      </c>
      <c r="F1779" t="str">
        <f t="shared" si="200"/>
        <v>53  - Con</v>
      </c>
      <c r="G1779" s="238">
        <v>79053.456216087201</v>
      </c>
      <c r="H1779" s="238">
        <v>0</v>
      </c>
      <c r="I1779" s="238">
        <v>79053.456216087201</v>
      </c>
      <c r="J1779" s="238">
        <v>87.371912305803775</v>
      </c>
      <c r="K1779" s="238">
        <v>0</v>
      </c>
      <c r="L1779" s="238">
        <v>87.371912305803775</v>
      </c>
      <c r="M1779" s="238">
        <v>75.139421981865055</v>
      </c>
      <c r="N1779" s="238">
        <v>0</v>
      </c>
      <c r="O1779" s="238">
        <v>75.139421981865055</v>
      </c>
      <c r="P1779" s="238">
        <v>8.0304132285030612</v>
      </c>
      <c r="Q1779" s="238">
        <v>0</v>
      </c>
      <c r="R1779" s="238">
        <v>8.0304132285030612</v>
      </c>
      <c r="S1779" s="238" t="s">
        <v>192</v>
      </c>
      <c r="T1779" s="218">
        <f>VLOOKUP(A1779,'Groupe de branches'!$Z$27:$AM$86,14,FALSE)</f>
        <v>0</v>
      </c>
      <c r="U1779" s="218">
        <f>VLOOKUP(D1779,'Groupe de branches'!$Z$27:$AM$86,14,FALSE)</f>
        <v>0</v>
      </c>
      <c r="V1779" s="218">
        <v>2020</v>
      </c>
      <c r="W1779" s="218" t="str">
        <f>VLOOKUP(D1779,'Table corresp.'!$M$4:$S$63,7,FALSE)</f>
        <v>Consommation finale</v>
      </c>
      <c r="X1779" s="240">
        <f>IFERROR(G1779/SUMIFS('Comp2016-2017 (3)'!$I$5:$I$289,'Comp2016-2017 (3)'!$A$5:$A$289,A1779,'Comp2016-2017 (3)'!$R$5:$R$289,V1779),0)</f>
        <v>1.0000000000000002</v>
      </c>
      <c r="Y1779" s="219">
        <f>IFERROR(IF(RIGHT(F1779,3)="Exp",VLOOKUP(F1779,#REF!,2,FALSE),VLOOKUP(F1779,#REF!,9,FALSE)),1)</f>
        <v>1</v>
      </c>
      <c r="Z1779" s="226">
        <f t="shared" si="201"/>
        <v>1</v>
      </c>
      <c r="AA1779" s="226">
        <f t="shared" si="198"/>
        <v>1.0000000000000002</v>
      </c>
      <c r="AB1779" s="205">
        <f>IFERROR(SUMIFS('Comp2016-2017 (3)'!$G$5:$G$289,'Comp2016-2017 (3)'!$A$5:$A$289,A1779,'Comp2016-2017 (3)'!$R$5:$R$289,V1779)*AA1779/SUMIFS($AA$4:$AA$1858,$A$4:$A$1858,A1779,$V$4:$V$1858,V1779),0)</f>
        <v>29919.341205135395</v>
      </c>
      <c r="AC1779" s="205" t="str">
        <f>IF($W1779=AC$3,$AB1779,IF(NOT($W1779=0),"",SUMIFS('Val-Vol (2)'!AC$4:AC$1858,'Val-Vol (2)'!$A$4:$A$1858,$D1779,'Val-Vol (2)'!$V$4:$V$1858,$V1779)/SUMIFS('Comp2016-2017 (3)'!$G$5:$G$289,'Comp2016-2017 (3)'!$A$5:$A$289,$D1779,'Comp2016-2017 (3)'!$R$5:$R$289,$V1779)*$AB1779))</f>
        <v/>
      </c>
      <c r="AD1779" s="205" t="str">
        <f>IF($W1779=AD$3,$AB1779,IF(NOT($W1779=0),"",SUMIFS('Val-Vol (2)'!AD$4:AD$1858,'Val-Vol (2)'!$A$4:$A$1858,$D1779,'Val-Vol (2)'!$V$4:$V$1858,$V1779)/SUMIFS('Comp2016-2017 (3)'!$G$5:$G$289,'Comp2016-2017 (3)'!$A$5:$A$289,$D1779,'Comp2016-2017 (3)'!$R$5:$R$289,$V1779)*$AB1779))</f>
        <v/>
      </c>
      <c r="AE1779" s="205" t="str">
        <f>IF($W1779=AE$3,$AB1779,IF(NOT($W1779=0),"",SUMIFS('Val-Vol (2)'!AE$4:AE$1858,'Val-Vol (2)'!$A$4:$A$1858,$D1779,'Val-Vol (2)'!$V$4:$V$1858,$V1779)/SUMIFS('Comp2016-2017 (3)'!$G$5:$G$289,'Comp2016-2017 (3)'!$A$5:$A$289,$D1779,'Comp2016-2017 (3)'!$R$5:$R$289,$V1779)*$AB1779))</f>
        <v/>
      </c>
      <c r="AF1779" s="205" t="str">
        <f>IF($W1779=AF$3,$AB1779,IF(NOT($W1779=0),"",SUMIFS('Val-Vol (2)'!AF$4:AF$1858,'Val-Vol (2)'!$A$4:$A$1858,$D1779,'Val-Vol (2)'!$V$4:$V$1858,$V1779)/SUMIFS('Comp2016-2017 (3)'!$G$5:$G$289,'Comp2016-2017 (3)'!$A$5:$A$289,$D1779,'Comp2016-2017 (3)'!$R$5:$R$289,$V1779)*$AB1779))</f>
        <v/>
      </c>
      <c r="AG1779" s="205" t="str">
        <f>IF($W1779=AG$3,$AB1779,IF(NOT($W1779=0),"",SUMIFS('Val-Vol (2)'!AG$4:AG$1858,'Val-Vol (2)'!$A$4:$A$1858,$D1779,'Val-Vol (2)'!$V$4:$V$1858,$V1779)/SUMIFS('Comp2016-2017 (3)'!$G$5:$G$289,'Comp2016-2017 (3)'!$A$5:$A$289,$D1779,'Comp2016-2017 (3)'!$R$5:$R$289,$V1779)*$AB1779))</f>
        <v/>
      </c>
      <c r="AH1779" s="205" t="str">
        <f>IF($W1779=AH$3,$AB1779,IF(NOT($W1779=0),"",SUMIFS('Val-Vol (2)'!AH$4:AH$1858,'Val-Vol (2)'!$A$4:$A$1858,$D1779,'Val-Vol (2)'!$V$4:$V$1858,$V1779)/SUMIFS('Comp2016-2017 (3)'!$G$5:$G$289,'Comp2016-2017 (3)'!$A$5:$A$289,$D1779,'Comp2016-2017 (3)'!$R$5:$R$289,$V1779)*$AB1779))</f>
        <v/>
      </c>
      <c r="AI1779" s="205" t="str">
        <f>IF($W1779=AI$3,$AB1779,IF(NOT($W1779=0),"",SUMIFS('Val-Vol (2)'!AI$4:AI$1858,'Val-Vol (2)'!$A$4:$A$1858,$D1779,'Val-Vol (2)'!$V$4:$V$1858,$V1779)/SUMIFS('Comp2016-2017 (3)'!$G$5:$G$289,'Comp2016-2017 (3)'!$A$5:$A$289,$D1779,'Comp2016-2017 (3)'!$R$5:$R$289,$V1779)*$AB1779))</f>
        <v/>
      </c>
      <c r="AJ1779" s="205">
        <f>IF($W1779=AJ$3,$AB1779,IF(NOT($W1779=0),"",SUMIFS('Val-Vol (2)'!AJ$4:AJ$1858,'Val-Vol (2)'!$A$4:$A$1858,$D1779,'Val-Vol (2)'!$V$4:$V$1858,$V1779)/SUMIFS('Comp2016-2017 (3)'!$G$5:$G$289,'Comp2016-2017 (3)'!$A$5:$A$289,$D1779,'Comp2016-2017 (3)'!$R$5:$R$289,$V1779)*$AB1779))</f>
        <v>29919.341205135395</v>
      </c>
      <c r="AK1779" s="205">
        <f t="shared" si="197"/>
        <v>0</v>
      </c>
      <c r="AL1779" s="218" t="str">
        <f t="shared" si="199"/>
        <v/>
      </c>
      <c r="AM1779" s="218" t="str">
        <f>VLOOKUP(A1779,'Table corresp.'!$M$4:$U$63,8,FALSE)</f>
        <v xml:space="preserve">Mise en œuvre </v>
      </c>
      <c r="AN1779" s="218" t="str">
        <f>VLOOKUP(D1779,'Table corresp.'!$M$4:$U$63,9,FALSE)</f>
        <v>Consommation finale française</v>
      </c>
    </row>
    <row r="1780" spans="1:40" x14ac:dyDescent="0.25">
      <c r="A1780" t="s">
        <v>21</v>
      </c>
      <c r="B1780" t="str">
        <f>VLOOKUP(LEFT(A1780,3),'Table corresp.'!$A$4:$D$63,3,FALSE)</f>
        <v>Transformation</v>
      </c>
      <c r="C1780" t="str">
        <f>VLOOKUP(A1780,'Table corresp.'!$M$4:$P$63,4,FALSE)</f>
        <v>Mise en oeuvre de produits bois</v>
      </c>
      <c r="D1780" t="s">
        <v>54</v>
      </c>
      <c r="E1780" t="str">
        <f>VLOOKUP(LEFT(D1780,3),'Table corresp.'!$A$4:$D$63,4,FALSE)</f>
        <v>Consommation finale</v>
      </c>
      <c r="F1780" t="str">
        <f t="shared" si="200"/>
        <v>54  - Con</v>
      </c>
      <c r="G1780" s="238">
        <v>14261168.9290985</v>
      </c>
      <c r="H1780" s="238">
        <v>0</v>
      </c>
      <c r="I1780" s="238">
        <v>14261168.9290985</v>
      </c>
      <c r="J1780" s="238">
        <v>2398.1093528620263</v>
      </c>
      <c r="K1780" s="238">
        <v>0</v>
      </c>
      <c r="L1780" s="238">
        <v>2398.1093528620263</v>
      </c>
      <c r="M1780" s="238">
        <v>1092.1816765868775</v>
      </c>
      <c r="N1780" s="238">
        <v>0</v>
      </c>
      <c r="O1780" s="238">
        <v>1092.1816765868775</v>
      </c>
      <c r="P1780" s="238">
        <v>346.6995744998552</v>
      </c>
      <c r="Q1780" s="238">
        <v>0</v>
      </c>
      <c r="R1780" s="238">
        <v>346.6995744998552</v>
      </c>
      <c r="S1780" s="238" t="s">
        <v>192</v>
      </c>
      <c r="T1780" s="218">
        <f>VLOOKUP(A1780,'Groupe de branches'!$Z$27:$AM$86,14,FALSE)</f>
        <v>0</v>
      </c>
      <c r="U1780" s="218">
        <f>VLOOKUP(D1780,'Groupe de branches'!$Z$27:$AM$86,14,FALSE)</f>
        <v>0</v>
      </c>
      <c r="V1780" s="218">
        <v>2020</v>
      </c>
      <c r="W1780" s="218" t="str">
        <f>VLOOKUP(D1780,'Table corresp.'!$M$4:$S$63,7,FALSE)</f>
        <v>Consommation finale</v>
      </c>
      <c r="X1780" s="240">
        <f>IFERROR(G1780/SUMIFS('Comp2016-2017 (3)'!$I$5:$I$289,'Comp2016-2017 (3)'!$A$5:$A$289,A1780,'Comp2016-2017 (3)'!$R$5:$R$289,V1780),0)</f>
        <v>1.0000000000000027</v>
      </c>
      <c r="Y1780" s="219">
        <f>IFERROR(IF(RIGHT(F1780,3)="Exp",VLOOKUP(F1780,#REF!,2,FALSE),VLOOKUP(F1780,#REF!,9,FALSE)),1)</f>
        <v>1</v>
      </c>
      <c r="Z1780" s="226">
        <f t="shared" si="201"/>
        <v>1</v>
      </c>
      <c r="AA1780" s="226">
        <f t="shared" si="198"/>
        <v>1.0000000000000027</v>
      </c>
      <c r="AB1780" s="205">
        <f>IFERROR(SUMIFS('Comp2016-2017 (3)'!$G$5:$G$289,'Comp2016-2017 (3)'!$A$5:$A$289,A1780,'Comp2016-2017 (3)'!$R$5:$R$289,V1780)*AA1780/SUMIFS($AA$4:$AA$1858,$A$4:$A$1858,A1780,$V$4:$V$1858,V1780),0)</f>
        <v>5250259.9479655838</v>
      </c>
      <c r="AC1780" s="205" t="str">
        <f>IF($W1780=AC$3,$AB1780,IF(NOT($W1780=0),"",SUMIFS('Val-Vol (2)'!AC$4:AC$1858,'Val-Vol (2)'!$A$4:$A$1858,$D1780,'Val-Vol (2)'!$V$4:$V$1858,$V1780)/SUMIFS('Comp2016-2017 (3)'!$G$5:$G$289,'Comp2016-2017 (3)'!$A$5:$A$289,$D1780,'Comp2016-2017 (3)'!$R$5:$R$289,$V1780)*$AB1780))</f>
        <v/>
      </c>
      <c r="AD1780" s="205" t="str">
        <f>IF($W1780=AD$3,$AB1780,IF(NOT($W1780=0),"",SUMIFS('Val-Vol (2)'!AD$4:AD$1858,'Val-Vol (2)'!$A$4:$A$1858,$D1780,'Val-Vol (2)'!$V$4:$V$1858,$V1780)/SUMIFS('Comp2016-2017 (3)'!$G$5:$G$289,'Comp2016-2017 (3)'!$A$5:$A$289,$D1780,'Comp2016-2017 (3)'!$R$5:$R$289,$V1780)*$AB1780))</f>
        <v/>
      </c>
      <c r="AE1780" s="205" t="str">
        <f>IF($W1780=AE$3,$AB1780,IF(NOT($W1780=0),"",SUMIFS('Val-Vol (2)'!AE$4:AE$1858,'Val-Vol (2)'!$A$4:$A$1858,$D1780,'Val-Vol (2)'!$V$4:$V$1858,$V1780)/SUMIFS('Comp2016-2017 (3)'!$G$5:$G$289,'Comp2016-2017 (3)'!$A$5:$A$289,$D1780,'Comp2016-2017 (3)'!$R$5:$R$289,$V1780)*$AB1780))</f>
        <v/>
      </c>
      <c r="AF1780" s="205" t="str">
        <f>IF($W1780=AF$3,$AB1780,IF(NOT($W1780=0),"",SUMIFS('Val-Vol (2)'!AF$4:AF$1858,'Val-Vol (2)'!$A$4:$A$1858,$D1780,'Val-Vol (2)'!$V$4:$V$1858,$V1780)/SUMIFS('Comp2016-2017 (3)'!$G$5:$G$289,'Comp2016-2017 (3)'!$A$5:$A$289,$D1780,'Comp2016-2017 (3)'!$R$5:$R$289,$V1780)*$AB1780))</f>
        <v/>
      </c>
      <c r="AG1780" s="205" t="str">
        <f>IF($W1780=AG$3,$AB1780,IF(NOT($W1780=0),"",SUMIFS('Val-Vol (2)'!AG$4:AG$1858,'Val-Vol (2)'!$A$4:$A$1858,$D1780,'Val-Vol (2)'!$V$4:$V$1858,$V1780)/SUMIFS('Comp2016-2017 (3)'!$G$5:$G$289,'Comp2016-2017 (3)'!$A$5:$A$289,$D1780,'Comp2016-2017 (3)'!$R$5:$R$289,$V1780)*$AB1780))</f>
        <v/>
      </c>
      <c r="AH1780" s="205" t="str">
        <f>IF($W1780=AH$3,$AB1780,IF(NOT($W1780=0),"",SUMIFS('Val-Vol (2)'!AH$4:AH$1858,'Val-Vol (2)'!$A$4:$A$1858,$D1780,'Val-Vol (2)'!$V$4:$V$1858,$V1780)/SUMIFS('Comp2016-2017 (3)'!$G$5:$G$289,'Comp2016-2017 (3)'!$A$5:$A$289,$D1780,'Comp2016-2017 (3)'!$R$5:$R$289,$V1780)*$AB1780))</f>
        <v/>
      </c>
      <c r="AI1780" s="205" t="str">
        <f>IF($W1780=AI$3,$AB1780,IF(NOT($W1780=0),"",SUMIFS('Val-Vol (2)'!AI$4:AI$1858,'Val-Vol (2)'!$A$4:$A$1858,$D1780,'Val-Vol (2)'!$V$4:$V$1858,$V1780)/SUMIFS('Comp2016-2017 (3)'!$G$5:$G$289,'Comp2016-2017 (3)'!$A$5:$A$289,$D1780,'Comp2016-2017 (3)'!$R$5:$R$289,$V1780)*$AB1780))</f>
        <v/>
      </c>
      <c r="AJ1780" s="205">
        <f>IF($W1780=AJ$3,$AB1780,IF(NOT($W1780=0),"",SUMIFS('Val-Vol (2)'!AJ$4:AJ$1858,'Val-Vol (2)'!$A$4:$A$1858,$D1780,'Val-Vol (2)'!$V$4:$V$1858,$V1780)/SUMIFS('Comp2016-2017 (3)'!$G$5:$G$289,'Comp2016-2017 (3)'!$A$5:$A$289,$D1780,'Comp2016-2017 (3)'!$R$5:$R$289,$V1780)*$AB1780))</f>
        <v>5250259.9479655838</v>
      </c>
      <c r="AK1780" s="205">
        <f t="shared" si="197"/>
        <v>0</v>
      </c>
      <c r="AL1780" s="218" t="str">
        <f t="shared" si="199"/>
        <v/>
      </c>
      <c r="AM1780" s="218" t="str">
        <f>VLOOKUP(A1780,'Table corresp.'!$M$4:$U$63,8,FALSE)</f>
        <v xml:space="preserve">Mise en œuvre </v>
      </c>
      <c r="AN1780" s="218" t="str">
        <f>VLOOKUP(D1780,'Table corresp.'!$M$4:$U$63,9,FALSE)</f>
        <v>Consommation finale française</v>
      </c>
    </row>
    <row r="1781" spans="1:40" x14ac:dyDescent="0.25">
      <c r="A1781" t="s">
        <v>22</v>
      </c>
      <c r="B1781" t="str">
        <f>VLOOKUP(LEFT(A1781,3),'Table corresp.'!$A$4:$D$63,3,FALSE)</f>
        <v>Transformation</v>
      </c>
      <c r="C1781" t="str">
        <f>VLOOKUP(A1781,'Table corresp.'!$M$4:$P$63,4,FALSE)</f>
        <v>Mise en oeuvre de produits bois</v>
      </c>
      <c r="D1781" t="s">
        <v>54</v>
      </c>
      <c r="E1781" t="str">
        <f>VLOOKUP(LEFT(D1781,3),'Table corresp.'!$A$4:$D$63,4,FALSE)</f>
        <v>Consommation finale</v>
      </c>
      <c r="F1781" t="str">
        <f t="shared" si="200"/>
        <v>55  - Con</v>
      </c>
      <c r="G1781" s="238">
        <v>1925470.11842146</v>
      </c>
      <c r="H1781" s="238">
        <v>0</v>
      </c>
      <c r="I1781" s="238">
        <v>1925470.11842146</v>
      </c>
      <c r="J1781" s="238">
        <v>316.67719215695615</v>
      </c>
      <c r="K1781" s="238">
        <v>0</v>
      </c>
      <c r="L1781" s="238">
        <v>316.67719215695615</v>
      </c>
      <c r="M1781" s="238">
        <v>228.30199392604692</v>
      </c>
      <c r="N1781" s="238">
        <v>0</v>
      </c>
      <c r="O1781" s="238">
        <v>228.30199392604692</v>
      </c>
      <c r="P1781" s="238">
        <v>71.348374229813942</v>
      </c>
      <c r="Q1781" s="238">
        <v>0</v>
      </c>
      <c r="R1781" s="238">
        <v>71.348374229813942</v>
      </c>
      <c r="S1781" s="238" t="s">
        <v>192</v>
      </c>
      <c r="T1781" s="218">
        <f>VLOOKUP(A1781,'Groupe de branches'!$Z$27:$AM$86,14,FALSE)</f>
        <v>0</v>
      </c>
      <c r="U1781" s="218">
        <f>VLOOKUP(D1781,'Groupe de branches'!$Z$27:$AM$86,14,FALSE)</f>
        <v>0</v>
      </c>
      <c r="V1781" s="218">
        <v>2020</v>
      </c>
      <c r="W1781" s="218" t="str">
        <f>VLOOKUP(D1781,'Table corresp.'!$M$4:$S$63,7,FALSE)</f>
        <v>Consommation finale</v>
      </c>
      <c r="X1781" s="240">
        <f>IFERROR(G1781/SUMIFS('Comp2016-2017 (3)'!$I$5:$I$289,'Comp2016-2017 (3)'!$A$5:$A$289,A1781,'Comp2016-2017 (3)'!$R$5:$R$289,V1781),0)</f>
        <v>1.0000000000000007</v>
      </c>
      <c r="Y1781" s="219">
        <f>IFERROR(IF(RIGHT(F1781,3)="Exp",VLOOKUP(F1781,#REF!,2,FALSE),VLOOKUP(F1781,#REF!,9,FALSE)),1)</f>
        <v>1</v>
      </c>
      <c r="Z1781" s="226">
        <f t="shared" si="201"/>
        <v>1</v>
      </c>
      <c r="AA1781" s="226">
        <f t="shared" si="198"/>
        <v>1.0000000000000007</v>
      </c>
      <c r="AB1781" s="205">
        <f>IFERROR(SUMIFS('Comp2016-2017 (3)'!$G$5:$G$289,'Comp2016-2017 (3)'!$A$5:$A$289,A1781,'Comp2016-2017 (3)'!$R$5:$R$289,V1781)*AA1781/SUMIFS($AA$4:$AA$1858,$A$4:$A$1858,A1781,$V$4:$V$1858,V1781),0)</f>
        <v>481301.67969627125</v>
      </c>
      <c r="AC1781" s="205" t="str">
        <f>IF($W1781=AC$3,$AB1781,IF(NOT($W1781=0),"",SUMIFS('Val-Vol (2)'!AC$4:AC$1858,'Val-Vol (2)'!$A$4:$A$1858,$D1781,'Val-Vol (2)'!$V$4:$V$1858,$V1781)/SUMIFS('Comp2016-2017 (3)'!$G$5:$G$289,'Comp2016-2017 (3)'!$A$5:$A$289,$D1781,'Comp2016-2017 (3)'!$R$5:$R$289,$V1781)*$AB1781))</f>
        <v/>
      </c>
      <c r="AD1781" s="205" t="str">
        <f>IF($W1781=AD$3,$AB1781,IF(NOT($W1781=0),"",SUMIFS('Val-Vol (2)'!AD$4:AD$1858,'Val-Vol (2)'!$A$4:$A$1858,$D1781,'Val-Vol (2)'!$V$4:$V$1858,$V1781)/SUMIFS('Comp2016-2017 (3)'!$G$5:$G$289,'Comp2016-2017 (3)'!$A$5:$A$289,$D1781,'Comp2016-2017 (3)'!$R$5:$R$289,$V1781)*$AB1781))</f>
        <v/>
      </c>
      <c r="AE1781" s="205" t="str">
        <f>IF($W1781=AE$3,$AB1781,IF(NOT($W1781=0),"",SUMIFS('Val-Vol (2)'!AE$4:AE$1858,'Val-Vol (2)'!$A$4:$A$1858,$D1781,'Val-Vol (2)'!$V$4:$V$1858,$V1781)/SUMIFS('Comp2016-2017 (3)'!$G$5:$G$289,'Comp2016-2017 (3)'!$A$5:$A$289,$D1781,'Comp2016-2017 (3)'!$R$5:$R$289,$V1781)*$AB1781))</f>
        <v/>
      </c>
      <c r="AF1781" s="205" t="str">
        <f>IF($W1781=AF$3,$AB1781,IF(NOT($W1781=0),"",SUMIFS('Val-Vol (2)'!AF$4:AF$1858,'Val-Vol (2)'!$A$4:$A$1858,$D1781,'Val-Vol (2)'!$V$4:$V$1858,$V1781)/SUMIFS('Comp2016-2017 (3)'!$G$5:$G$289,'Comp2016-2017 (3)'!$A$5:$A$289,$D1781,'Comp2016-2017 (3)'!$R$5:$R$289,$V1781)*$AB1781))</f>
        <v/>
      </c>
      <c r="AG1781" s="205" t="str">
        <f>IF($W1781=AG$3,$AB1781,IF(NOT($W1781=0),"",SUMIFS('Val-Vol (2)'!AG$4:AG$1858,'Val-Vol (2)'!$A$4:$A$1858,$D1781,'Val-Vol (2)'!$V$4:$V$1858,$V1781)/SUMIFS('Comp2016-2017 (3)'!$G$5:$G$289,'Comp2016-2017 (3)'!$A$5:$A$289,$D1781,'Comp2016-2017 (3)'!$R$5:$R$289,$V1781)*$AB1781))</f>
        <v/>
      </c>
      <c r="AH1781" s="205" t="str">
        <f>IF($W1781=AH$3,$AB1781,IF(NOT($W1781=0),"",SUMIFS('Val-Vol (2)'!AH$4:AH$1858,'Val-Vol (2)'!$A$4:$A$1858,$D1781,'Val-Vol (2)'!$V$4:$V$1858,$V1781)/SUMIFS('Comp2016-2017 (3)'!$G$5:$G$289,'Comp2016-2017 (3)'!$A$5:$A$289,$D1781,'Comp2016-2017 (3)'!$R$5:$R$289,$V1781)*$AB1781))</f>
        <v/>
      </c>
      <c r="AI1781" s="205" t="str">
        <f>IF($W1781=AI$3,$AB1781,IF(NOT($W1781=0),"",SUMIFS('Val-Vol (2)'!AI$4:AI$1858,'Val-Vol (2)'!$A$4:$A$1858,$D1781,'Val-Vol (2)'!$V$4:$V$1858,$V1781)/SUMIFS('Comp2016-2017 (3)'!$G$5:$G$289,'Comp2016-2017 (3)'!$A$5:$A$289,$D1781,'Comp2016-2017 (3)'!$R$5:$R$289,$V1781)*$AB1781))</f>
        <v/>
      </c>
      <c r="AJ1781" s="205">
        <f>IF($W1781=AJ$3,$AB1781,IF(NOT($W1781=0),"",SUMIFS('Val-Vol (2)'!AJ$4:AJ$1858,'Val-Vol (2)'!$A$4:$A$1858,$D1781,'Val-Vol (2)'!$V$4:$V$1858,$V1781)/SUMIFS('Comp2016-2017 (3)'!$G$5:$G$289,'Comp2016-2017 (3)'!$A$5:$A$289,$D1781,'Comp2016-2017 (3)'!$R$5:$R$289,$V1781)*$AB1781))</f>
        <v>481301.67969627125</v>
      </c>
      <c r="AK1781" s="205">
        <f t="shared" si="197"/>
        <v>0</v>
      </c>
      <c r="AL1781" s="218" t="str">
        <f t="shared" si="199"/>
        <v/>
      </c>
      <c r="AM1781" s="218" t="str">
        <f>VLOOKUP(A1781,'Table corresp.'!$M$4:$U$63,8,FALSE)</f>
        <v xml:space="preserve">Mise en œuvre </v>
      </c>
      <c r="AN1781" s="218" t="str">
        <f>VLOOKUP(D1781,'Table corresp.'!$M$4:$U$63,9,FALSE)</f>
        <v>Consommation finale française</v>
      </c>
    </row>
    <row r="1782" spans="1:40" x14ac:dyDescent="0.25">
      <c r="A1782" t="s">
        <v>23</v>
      </c>
      <c r="B1782" t="str">
        <f>VLOOKUP(LEFT(A1782,3),'Table corresp.'!$A$4:$D$63,3,FALSE)</f>
        <v>Transformation</v>
      </c>
      <c r="C1782" t="str">
        <f>VLOOKUP(A1782,'Table corresp.'!$M$4:$P$63,4,FALSE)</f>
        <v>Mise en oeuvre de produits bois</v>
      </c>
      <c r="D1782" t="s">
        <v>54</v>
      </c>
      <c r="E1782" t="str">
        <f>VLOOKUP(LEFT(D1782,3),'Table corresp.'!$A$4:$D$63,4,FALSE)</f>
        <v>Consommation finale</v>
      </c>
      <c r="F1782" t="str">
        <f t="shared" si="200"/>
        <v>56  - Con</v>
      </c>
      <c r="G1782" s="238">
        <v>354769.73397694901</v>
      </c>
      <c r="H1782" s="238">
        <v>0</v>
      </c>
      <c r="I1782" s="238">
        <v>354769.73397694901</v>
      </c>
      <c r="J1782" s="238">
        <v>467.5325672401292</v>
      </c>
      <c r="K1782" s="238">
        <v>0</v>
      </c>
      <c r="L1782" s="238">
        <v>467.5325672401292</v>
      </c>
      <c r="M1782" s="238">
        <v>10.068541117138594</v>
      </c>
      <c r="N1782" s="238">
        <v>0</v>
      </c>
      <c r="O1782" s="238">
        <v>10.068541117138594</v>
      </c>
      <c r="P1782" s="238">
        <v>2.7718173158748507</v>
      </c>
      <c r="Q1782" s="238">
        <v>0</v>
      </c>
      <c r="R1782" s="238">
        <v>2.7718173158748507</v>
      </c>
      <c r="S1782" s="238" t="s">
        <v>192</v>
      </c>
      <c r="T1782" s="218">
        <f>VLOOKUP(A1782,'Groupe de branches'!$Z$27:$AM$86,14,FALSE)</f>
        <v>0</v>
      </c>
      <c r="U1782" s="218">
        <f>VLOOKUP(D1782,'Groupe de branches'!$Z$27:$AM$86,14,FALSE)</f>
        <v>0</v>
      </c>
      <c r="V1782" s="218">
        <v>2020</v>
      </c>
      <c r="W1782" s="218" t="str">
        <f>VLOOKUP(D1782,'Table corresp.'!$M$4:$S$63,7,FALSE)</f>
        <v>Consommation finale</v>
      </c>
      <c r="X1782" s="240">
        <f>IFERROR(G1782/SUMIFS('Comp2016-2017 (3)'!$I$5:$I$289,'Comp2016-2017 (3)'!$A$5:$A$289,A1782,'Comp2016-2017 (3)'!$R$5:$R$289,V1782),0)</f>
        <v>1</v>
      </c>
      <c r="Y1782" s="219">
        <f>IFERROR(IF(RIGHT(F1782,3)="Exp",VLOOKUP(F1782,#REF!,2,FALSE),VLOOKUP(F1782,#REF!,9,FALSE)),1)</f>
        <v>1</v>
      </c>
      <c r="Z1782" s="226">
        <f t="shared" si="201"/>
        <v>1</v>
      </c>
      <c r="AA1782" s="226">
        <f t="shared" si="198"/>
        <v>1</v>
      </c>
      <c r="AB1782" s="205">
        <f>IFERROR(SUMIFS('Comp2016-2017 (3)'!$G$5:$G$289,'Comp2016-2017 (3)'!$A$5:$A$289,A1782,'Comp2016-2017 (3)'!$R$5:$R$289,V1782)*AA1782/SUMIFS($AA$4:$AA$1858,$A$4:$A$1858,A1782,$V$4:$V$1858,V1782),0)</f>
        <v>130210.59418820195</v>
      </c>
      <c r="AC1782" s="205" t="str">
        <f>IF($W1782=AC$3,$AB1782,IF(NOT($W1782=0),"",SUMIFS('Val-Vol (2)'!AC$4:AC$1858,'Val-Vol (2)'!$A$4:$A$1858,$D1782,'Val-Vol (2)'!$V$4:$V$1858,$V1782)/SUMIFS('Comp2016-2017 (3)'!$G$5:$G$289,'Comp2016-2017 (3)'!$A$5:$A$289,$D1782,'Comp2016-2017 (3)'!$R$5:$R$289,$V1782)*$AB1782))</f>
        <v/>
      </c>
      <c r="AD1782" s="205" t="str">
        <f>IF($W1782=AD$3,$AB1782,IF(NOT($W1782=0),"",SUMIFS('Val-Vol (2)'!AD$4:AD$1858,'Val-Vol (2)'!$A$4:$A$1858,$D1782,'Val-Vol (2)'!$V$4:$V$1858,$V1782)/SUMIFS('Comp2016-2017 (3)'!$G$5:$G$289,'Comp2016-2017 (3)'!$A$5:$A$289,$D1782,'Comp2016-2017 (3)'!$R$5:$R$289,$V1782)*$AB1782))</f>
        <v/>
      </c>
      <c r="AE1782" s="205" t="str">
        <f>IF($W1782=AE$3,$AB1782,IF(NOT($W1782=0),"",SUMIFS('Val-Vol (2)'!AE$4:AE$1858,'Val-Vol (2)'!$A$4:$A$1858,$D1782,'Val-Vol (2)'!$V$4:$V$1858,$V1782)/SUMIFS('Comp2016-2017 (3)'!$G$5:$G$289,'Comp2016-2017 (3)'!$A$5:$A$289,$D1782,'Comp2016-2017 (3)'!$R$5:$R$289,$V1782)*$AB1782))</f>
        <v/>
      </c>
      <c r="AF1782" s="205" t="str">
        <f>IF($W1782=AF$3,$AB1782,IF(NOT($W1782=0),"",SUMIFS('Val-Vol (2)'!AF$4:AF$1858,'Val-Vol (2)'!$A$4:$A$1858,$D1782,'Val-Vol (2)'!$V$4:$V$1858,$V1782)/SUMIFS('Comp2016-2017 (3)'!$G$5:$G$289,'Comp2016-2017 (3)'!$A$5:$A$289,$D1782,'Comp2016-2017 (3)'!$R$5:$R$289,$V1782)*$AB1782))</f>
        <v/>
      </c>
      <c r="AG1782" s="205" t="str">
        <f>IF($W1782=AG$3,$AB1782,IF(NOT($W1782=0),"",SUMIFS('Val-Vol (2)'!AG$4:AG$1858,'Val-Vol (2)'!$A$4:$A$1858,$D1782,'Val-Vol (2)'!$V$4:$V$1858,$V1782)/SUMIFS('Comp2016-2017 (3)'!$G$5:$G$289,'Comp2016-2017 (3)'!$A$5:$A$289,$D1782,'Comp2016-2017 (3)'!$R$5:$R$289,$V1782)*$AB1782))</f>
        <v/>
      </c>
      <c r="AH1782" s="205" t="str">
        <f>IF($W1782=AH$3,$AB1782,IF(NOT($W1782=0),"",SUMIFS('Val-Vol (2)'!AH$4:AH$1858,'Val-Vol (2)'!$A$4:$A$1858,$D1782,'Val-Vol (2)'!$V$4:$V$1858,$V1782)/SUMIFS('Comp2016-2017 (3)'!$G$5:$G$289,'Comp2016-2017 (3)'!$A$5:$A$289,$D1782,'Comp2016-2017 (3)'!$R$5:$R$289,$V1782)*$AB1782))</f>
        <v/>
      </c>
      <c r="AI1782" s="205" t="str">
        <f>IF($W1782=AI$3,$AB1782,IF(NOT($W1782=0),"",SUMIFS('Val-Vol (2)'!AI$4:AI$1858,'Val-Vol (2)'!$A$4:$A$1858,$D1782,'Val-Vol (2)'!$V$4:$V$1858,$V1782)/SUMIFS('Comp2016-2017 (3)'!$G$5:$G$289,'Comp2016-2017 (3)'!$A$5:$A$289,$D1782,'Comp2016-2017 (3)'!$R$5:$R$289,$V1782)*$AB1782))</f>
        <v/>
      </c>
      <c r="AJ1782" s="205">
        <f>IF($W1782=AJ$3,$AB1782,IF(NOT($W1782=0),"",SUMIFS('Val-Vol (2)'!AJ$4:AJ$1858,'Val-Vol (2)'!$A$4:$A$1858,$D1782,'Val-Vol (2)'!$V$4:$V$1858,$V1782)/SUMIFS('Comp2016-2017 (3)'!$G$5:$G$289,'Comp2016-2017 (3)'!$A$5:$A$289,$D1782,'Comp2016-2017 (3)'!$R$5:$R$289,$V1782)*$AB1782))</f>
        <v>130210.59418820195</v>
      </c>
      <c r="AK1782" s="205">
        <f t="shared" si="197"/>
        <v>0</v>
      </c>
      <c r="AL1782" s="218" t="str">
        <f t="shared" si="199"/>
        <v/>
      </c>
      <c r="AM1782" s="218" t="str">
        <f>VLOOKUP(A1782,'Table corresp.'!$M$4:$U$63,8,FALSE)</f>
        <v xml:space="preserve">Mise en œuvre </v>
      </c>
      <c r="AN1782" s="218" t="str">
        <f>VLOOKUP(D1782,'Table corresp.'!$M$4:$U$63,9,FALSE)</f>
        <v>Consommation finale française</v>
      </c>
    </row>
    <row r="1783" spans="1:40" x14ac:dyDescent="0.25">
      <c r="A1783" t="s">
        <v>24</v>
      </c>
      <c r="B1783" t="str">
        <f>VLOOKUP(LEFT(A1783,3),'Table corresp.'!$A$4:$D$63,3,FALSE)</f>
        <v>Transformation</v>
      </c>
      <c r="C1783" t="str">
        <f>VLOOKUP(A1783,'Table corresp.'!$M$4:$P$63,4,FALSE)</f>
        <v>Mise en oeuvre de produits bois</v>
      </c>
      <c r="D1783" t="s">
        <v>54</v>
      </c>
      <c r="E1783" t="str">
        <f>VLOOKUP(LEFT(D1783,3),'Table corresp.'!$A$4:$D$63,4,FALSE)</f>
        <v>Consommation finale</v>
      </c>
      <c r="F1783" t="str">
        <f t="shared" si="200"/>
        <v>57  - Con</v>
      </c>
      <c r="G1783" s="238">
        <v>5719056.0168612096</v>
      </c>
      <c r="H1783" s="238">
        <v>0</v>
      </c>
      <c r="I1783" s="238">
        <v>5719056.0168612096</v>
      </c>
      <c r="J1783" s="238">
        <v>5901.6517480543007</v>
      </c>
      <c r="K1783" s="238">
        <v>0</v>
      </c>
      <c r="L1783" s="238">
        <v>5901.6517480543007</v>
      </c>
      <c r="M1783" s="238">
        <v>199.70930225511682</v>
      </c>
      <c r="N1783" s="238">
        <v>0</v>
      </c>
      <c r="O1783" s="238">
        <v>199.70930225511682</v>
      </c>
      <c r="P1783" s="238">
        <v>39.955682550393746</v>
      </c>
      <c r="Q1783" s="238">
        <v>0</v>
      </c>
      <c r="R1783" s="238">
        <v>39.955682550393746</v>
      </c>
      <c r="S1783" s="238" t="s">
        <v>192</v>
      </c>
      <c r="T1783" s="218">
        <f>VLOOKUP(A1783,'Groupe de branches'!$Z$27:$AM$86,14,FALSE)</f>
        <v>0</v>
      </c>
      <c r="U1783" s="218">
        <f>VLOOKUP(D1783,'Groupe de branches'!$Z$27:$AM$86,14,FALSE)</f>
        <v>0</v>
      </c>
      <c r="V1783" s="218">
        <v>2020</v>
      </c>
      <c r="W1783" s="218" t="str">
        <f>VLOOKUP(D1783,'Table corresp.'!$M$4:$S$63,7,FALSE)</f>
        <v>Consommation finale</v>
      </c>
      <c r="X1783" s="240">
        <f>IFERROR(G1783/SUMIFS('Comp2016-2017 (3)'!$I$5:$I$289,'Comp2016-2017 (3)'!$A$5:$A$289,A1783,'Comp2016-2017 (3)'!$R$5:$R$289,V1783),0)</f>
        <v>0.99999999999999967</v>
      </c>
      <c r="Y1783" s="219">
        <f>IFERROR(IF(RIGHT(F1783,3)="Exp",VLOOKUP(F1783,#REF!,2,FALSE),VLOOKUP(F1783,#REF!,9,FALSE)),1)</f>
        <v>1</v>
      </c>
      <c r="Z1783" s="226">
        <f t="shared" si="201"/>
        <v>1</v>
      </c>
      <c r="AA1783" s="226">
        <f t="shared" si="198"/>
        <v>0.99999999999999967</v>
      </c>
      <c r="AB1783" s="205">
        <f>IFERROR(SUMIFS('Comp2016-2017 (3)'!$G$5:$G$289,'Comp2016-2017 (3)'!$A$5:$A$289,A1783,'Comp2016-2017 (3)'!$R$5:$R$289,V1783)*AA1783/SUMIFS($AA$4:$AA$1858,$A$4:$A$1858,A1783,$V$4:$V$1858,V1783),0)</f>
        <v>2286305.6845911657</v>
      </c>
      <c r="AC1783" s="205" t="str">
        <f>IF($W1783=AC$3,$AB1783,IF(NOT($W1783=0),"",SUMIFS('Val-Vol (2)'!AC$4:AC$1858,'Val-Vol (2)'!$A$4:$A$1858,$D1783,'Val-Vol (2)'!$V$4:$V$1858,$V1783)/SUMIFS('Comp2016-2017 (3)'!$G$5:$G$289,'Comp2016-2017 (3)'!$A$5:$A$289,$D1783,'Comp2016-2017 (3)'!$R$5:$R$289,$V1783)*$AB1783))</f>
        <v/>
      </c>
      <c r="AD1783" s="205" t="str">
        <f>IF($W1783=AD$3,$AB1783,IF(NOT($W1783=0),"",SUMIFS('Val-Vol (2)'!AD$4:AD$1858,'Val-Vol (2)'!$A$4:$A$1858,$D1783,'Val-Vol (2)'!$V$4:$V$1858,$V1783)/SUMIFS('Comp2016-2017 (3)'!$G$5:$G$289,'Comp2016-2017 (3)'!$A$5:$A$289,$D1783,'Comp2016-2017 (3)'!$R$5:$R$289,$V1783)*$AB1783))</f>
        <v/>
      </c>
      <c r="AE1783" s="205" t="str">
        <f>IF($W1783=AE$3,$AB1783,IF(NOT($W1783=0),"",SUMIFS('Val-Vol (2)'!AE$4:AE$1858,'Val-Vol (2)'!$A$4:$A$1858,$D1783,'Val-Vol (2)'!$V$4:$V$1858,$V1783)/SUMIFS('Comp2016-2017 (3)'!$G$5:$G$289,'Comp2016-2017 (3)'!$A$5:$A$289,$D1783,'Comp2016-2017 (3)'!$R$5:$R$289,$V1783)*$AB1783))</f>
        <v/>
      </c>
      <c r="AF1783" s="205" t="str">
        <f>IF($W1783=AF$3,$AB1783,IF(NOT($W1783=0),"",SUMIFS('Val-Vol (2)'!AF$4:AF$1858,'Val-Vol (2)'!$A$4:$A$1858,$D1783,'Val-Vol (2)'!$V$4:$V$1858,$V1783)/SUMIFS('Comp2016-2017 (3)'!$G$5:$G$289,'Comp2016-2017 (3)'!$A$5:$A$289,$D1783,'Comp2016-2017 (3)'!$R$5:$R$289,$V1783)*$AB1783))</f>
        <v/>
      </c>
      <c r="AG1783" s="205" t="str">
        <f>IF($W1783=AG$3,$AB1783,IF(NOT($W1783=0),"",SUMIFS('Val-Vol (2)'!AG$4:AG$1858,'Val-Vol (2)'!$A$4:$A$1858,$D1783,'Val-Vol (2)'!$V$4:$V$1858,$V1783)/SUMIFS('Comp2016-2017 (3)'!$G$5:$G$289,'Comp2016-2017 (3)'!$A$5:$A$289,$D1783,'Comp2016-2017 (3)'!$R$5:$R$289,$V1783)*$AB1783))</f>
        <v/>
      </c>
      <c r="AH1783" s="205" t="str">
        <f>IF($W1783=AH$3,$AB1783,IF(NOT($W1783=0),"",SUMIFS('Val-Vol (2)'!AH$4:AH$1858,'Val-Vol (2)'!$A$4:$A$1858,$D1783,'Val-Vol (2)'!$V$4:$V$1858,$V1783)/SUMIFS('Comp2016-2017 (3)'!$G$5:$G$289,'Comp2016-2017 (3)'!$A$5:$A$289,$D1783,'Comp2016-2017 (3)'!$R$5:$R$289,$V1783)*$AB1783))</f>
        <v/>
      </c>
      <c r="AI1783" s="205" t="str">
        <f>IF($W1783=AI$3,$AB1783,IF(NOT($W1783=0),"",SUMIFS('Val-Vol (2)'!AI$4:AI$1858,'Val-Vol (2)'!$A$4:$A$1858,$D1783,'Val-Vol (2)'!$V$4:$V$1858,$V1783)/SUMIFS('Comp2016-2017 (3)'!$G$5:$G$289,'Comp2016-2017 (3)'!$A$5:$A$289,$D1783,'Comp2016-2017 (3)'!$R$5:$R$289,$V1783)*$AB1783))</f>
        <v/>
      </c>
      <c r="AJ1783" s="205">
        <f>IF($W1783=AJ$3,$AB1783,IF(NOT($W1783=0),"",SUMIFS('Val-Vol (2)'!AJ$4:AJ$1858,'Val-Vol (2)'!$A$4:$A$1858,$D1783,'Val-Vol (2)'!$V$4:$V$1858,$V1783)/SUMIFS('Comp2016-2017 (3)'!$G$5:$G$289,'Comp2016-2017 (3)'!$A$5:$A$289,$D1783,'Comp2016-2017 (3)'!$R$5:$R$289,$V1783)*$AB1783))</f>
        <v>2286305.6845911657</v>
      </c>
      <c r="AK1783" s="205">
        <f t="shared" si="197"/>
        <v>0</v>
      </c>
      <c r="AL1783" s="218" t="str">
        <f t="shared" si="199"/>
        <v/>
      </c>
      <c r="AM1783" s="218" t="str">
        <f>VLOOKUP(A1783,'Table corresp.'!$M$4:$U$63,8,FALSE)</f>
        <v xml:space="preserve">Mise en œuvre </v>
      </c>
      <c r="AN1783" s="218" t="str">
        <f>VLOOKUP(D1783,'Table corresp.'!$M$4:$U$63,9,FALSE)</f>
        <v>Consommation finale française</v>
      </c>
    </row>
    <row r="1784" spans="1:40" x14ac:dyDescent="0.25">
      <c r="A1784" t="s">
        <v>25</v>
      </c>
      <c r="B1784" t="str">
        <f>VLOOKUP(LEFT(A1784,3),'Table corresp.'!$A$4:$D$63,3,FALSE)</f>
        <v>Transformation</v>
      </c>
      <c r="C1784" t="str">
        <f>VLOOKUP(A1784,'Table corresp.'!$M$4:$P$63,4,FALSE)</f>
        <v>Mise en oeuvre de produits bois</v>
      </c>
      <c r="D1784" t="s">
        <v>54</v>
      </c>
      <c r="E1784" t="str">
        <f>VLOOKUP(LEFT(D1784,3),'Table corresp.'!$A$4:$D$63,4,FALSE)</f>
        <v>Consommation finale</v>
      </c>
      <c r="F1784" t="str">
        <f t="shared" si="200"/>
        <v>58  - Con</v>
      </c>
      <c r="G1784" s="238">
        <v>932021.01358487399</v>
      </c>
      <c r="H1784" s="238">
        <v>0</v>
      </c>
      <c r="I1784" s="238">
        <v>932021.01358487399</v>
      </c>
      <c r="J1784" s="238">
        <v>922.64040742428926</v>
      </c>
      <c r="K1784" s="238">
        <v>0</v>
      </c>
      <c r="L1784" s="238">
        <v>922.64040742428926</v>
      </c>
      <c r="M1784" s="238">
        <v>16.954132694416856</v>
      </c>
      <c r="N1784" s="238">
        <v>0</v>
      </c>
      <c r="O1784" s="238">
        <v>16.954132694416856</v>
      </c>
      <c r="P1784" s="238">
        <v>3.4203624681000209</v>
      </c>
      <c r="Q1784" s="238">
        <v>0</v>
      </c>
      <c r="R1784" s="238">
        <v>3.4203624681000209</v>
      </c>
      <c r="S1784" s="238" t="s">
        <v>192</v>
      </c>
      <c r="T1784" s="218">
        <f>VLOOKUP(A1784,'Groupe de branches'!$Z$27:$AM$86,14,FALSE)</f>
        <v>0</v>
      </c>
      <c r="U1784" s="218">
        <f>VLOOKUP(D1784,'Groupe de branches'!$Z$27:$AM$86,14,FALSE)</f>
        <v>0</v>
      </c>
      <c r="V1784" s="218">
        <v>2020</v>
      </c>
      <c r="W1784" s="218" t="str">
        <f>VLOOKUP(D1784,'Table corresp.'!$M$4:$S$63,7,FALSE)</f>
        <v>Consommation finale</v>
      </c>
      <c r="X1784" s="240">
        <f>IFERROR(G1784/SUMIFS('Comp2016-2017 (3)'!$I$5:$I$289,'Comp2016-2017 (3)'!$A$5:$A$289,A1784,'Comp2016-2017 (3)'!$R$5:$R$289,V1784),0)</f>
        <v>0.99999999999999989</v>
      </c>
      <c r="Y1784" s="219">
        <f>IFERROR(IF(RIGHT(F1784,3)="Exp",VLOOKUP(F1784,#REF!,2,FALSE),VLOOKUP(F1784,#REF!,9,FALSE)),1)</f>
        <v>1</v>
      </c>
      <c r="Z1784" s="226">
        <f t="shared" si="201"/>
        <v>1</v>
      </c>
      <c r="AA1784" s="226">
        <f t="shared" si="198"/>
        <v>0.99999999999999989</v>
      </c>
      <c r="AB1784" s="205">
        <f>IFERROR(SUMIFS('Comp2016-2017 (3)'!$G$5:$G$289,'Comp2016-2017 (3)'!$A$5:$A$289,A1784,'Comp2016-2017 (3)'!$R$5:$R$289,V1784)*AA1784/SUMIFS($AA$4:$AA$1858,$A$4:$A$1858,A1784,$V$4:$V$1858,V1784),0)</f>
        <v>380557.6864286887</v>
      </c>
      <c r="AC1784" s="205" t="str">
        <f>IF($W1784=AC$3,$AB1784,IF(NOT($W1784=0),"",SUMIFS('Val-Vol (2)'!AC$4:AC$1858,'Val-Vol (2)'!$A$4:$A$1858,$D1784,'Val-Vol (2)'!$V$4:$V$1858,$V1784)/SUMIFS('Comp2016-2017 (3)'!$G$5:$G$289,'Comp2016-2017 (3)'!$A$5:$A$289,$D1784,'Comp2016-2017 (3)'!$R$5:$R$289,$V1784)*$AB1784))</f>
        <v/>
      </c>
      <c r="AD1784" s="205" t="str">
        <f>IF($W1784=AD$3,$AB1784,IF(NOT($W1784=0),"",SUMIFS('Val-Vol (2)'!AD$4:AD$1858,'Val-Vol (2)'!$A$4:$A$1858,$D1784,'Val-Vol (2)'!$V$4:$V$1858,$V1784)/SUMIFS('Comp2016-2017 (3)'!$G$5:$G$289,'Comp2016-2017 (3)'!$A$5:$A$289,$D1784,'Comp2016-2017 (3)'!$R$5:$R$289,$V1784)*$AB1784))</f>
        <v/>
      </c>
      <c r="AE1784" s="205" t="str">
        <f>IF($W1784=AE$3,$AB1784,IF(NOT($W1784=0),"",SUMIFS('Val-Vol (2)'!AE$4:AE$1858,'Val-Vol (2)'!$A$4:$A$1858,$D1784,'Val-Vol (2)'!$V$4:$V$1858,$V1784)/SUMIFS('Comp2016-2017 (3)'!$G$5:$G$289,'Comp2016-2017 (3)'!$A$5:$A$289,$D1784,'Comp2016-2017 (3)'!$R$5:$R$289,$V1784)*$AB1784))</f>
        <v/>
      </c>
      <c r="AF1784" s="205" t="str">
        <f>IF($W1784=AF$3,$AB1784,IF(NOT($W1784=0),"",SUMIFS('Val-Vol (2)'!AF$4:AF$1858,'Val-Vol (2)'!$A$4:$A$1858,$D1784,'Val-Vol (2)'!$V$4:$V$1858,$V1784)/SUMIFS('Comp2016-2017 (3)'!$G$5:$G$289,'Comp2016-2017 (3)'!$A$5:$A$289,$D1784,'Comp2016-2017 (3)'!$R$5:$R$289,$V1784)*$AB1784))</f>
        <v/>
      </c>
      <c r="AG1784" s="205" t="str">
        <f>IF($W1784=AG$3,$AB1784,IF(NOT($W1784=0),"",SUMIFS('Val-Vol (2)'!AG$4:AG$1858,'Val-Vol (2)'!$A$4:$A$1858,$D1784,'Val-Vol (2)'!$V$4:$V$1858,$V1784)/SUMIFS('Comp2016-2017 (3)'!$G$5:$G$289,'Comp2016-2017 (3)'!$A$5:$A$289,$D1784,'Comp2016-2017 (3)'!$R$5:$R$289,$V1784)*$AB1784))</f>
        <v/>
      </c>
      <c r="AH1784" s="205" t="str">
        <f>IF($W1784=AH$3,$AB1784,IF(NOT($W1784=0),"",SUMIFS('Val-Vol (2)'!AH$4:AH$1858,'Val-Vol (2)'!$A$4:$A$1858,$D1784,'Val-Vol (2)'!$V$4:$V$1858,$V1784)/SUMIFS('Comp2016-2017 (3)'!$G$5:$G$289,'Comp2016-2017 (3)'!$A$5:$A$289,$D1784,'Comp2016-2017 (3)'!$R$5:$R$289,$V1784)*$AB1784))</f>
        <v/>
      </c>
      <c r="AI1784" s="205" t="str">
        <f>IF($W1784=AI$3,$AB1784,IF(NOT($W1784=0),"",SUMIFS('Val-Vol (2)'!AI$4:AI$1858,'Val-Vol (2)'!$A$4:$A$1858,$D1784,'Val-Vol (2)'!$V$4:$V$1858,$V1784)/SUMIFS('Comp2016-2017 (3)'!$G$5:$G$289,'Comp2016-2017 (3)'!$A$5:$A$289,$D1784,'Comp2016-2017 (3)'!$R$5:$R$289,$V1784)*$AB1784))</f>
        <v/>
      </c>
      <c r="AJ1784" s="205">
        <f>IF($W1784=AJ$3,$AB1784,IF(NOT($W1784=0),"",SUMIFS('Val-Vol (2)'!AJ$4:AJ$1858,'Val-Vol (2)'!$A$4:$A$1858,$D1784,'Val-Vol (2)'!$V$4:$V$1858,$V1784)/SUMIFS('Comp2016-2017 (3)'!$G$5:$G$289,'Comp2016-2017 (3)'!$A$5:$A$289,$D1784,'Comp2016-2017 (3)'!$R$5:$R$289,$V1784)*$AB1784))</f>
        <v>380557.6864286887</v>
      </c>
      <c r="AK1784" s="205">
        <f t="shared" si="197"/>
        <v>0</v>
      </c>
      <c r="AL1784" s="218" t="str">
        <f t="shared" si="199"/>
        <v/>
      </c>
      <c r="AM1784" s="218" t="str">
        <f>VLOOKUP(A1784,'Table corresp.'!$M$4:$U$63,8,FALSE)</f>
        <v xml:space="preserve">Mise en œuvre </v>
      </c>
      <c r="AN1784" s="218" t="str">
        <f>VLOOKUP(D1784,'Table corresp.'!$M$4:$U$63,9,FALSE)</f>
        <v>Consommation finale française</v>
      </c>
    </row>
    <row r="1785" spans="1:40" x14ac:dyDescent="0.25">
      <c r="A1785" t="s">
        <v>26</v>
      </c>
      <c r="B1785" t="str">
        <f>VLOOKUP(LEFT(A1785,3),'Table corresp.'!$A$4:$D$63,3,FALSE)</f>
        <v>Transformation</v>
      </c>
      <c r="C1785" t="str">
        <f>VLOOKUP(A1785,'Table corresp.'!$M$4:$P$63,4,FALSE)</f>
        <v>Mise en oeuvre de produits bois</v>
      </c>
      <c r="D1785" t="s">
        <v>54</v>
      </c>
      <c r="E1785" t="str">
        <f>VLOOKUP(LEFT(D1785,3),'Table corresp.'!$A$4:$D$63,4,FALSE)</f>
        <v>Consommation finale</v>
      </c>
      <c r="F1785" t="str">
        <f t="shared" si="200"/>
        <v>59  - Con</v>
      </c>
      <c r="G1785" s="238">
        <v>308742.22581881098</v>
      </c>
      <c r="H1785" s="238">
        <v>0</v>
      </c>
      <c r="I1785" s="238">
        <v>308742.22581881098</v>
      </c>
      <c r="J1785" s="238">
        <v>233.65782627547469</v>
      </c>
      <c r="K1785" s="238">
        <v>0</v>
      </c>
      <c r="L1785" s="238">
        <v>233.65782627547469</v>
      </c>
      <c r="M1785" s="238">
        <v>9.1794718524052143</v>
      </c>
      <c r="N1785" s="238">
        <v>0</v>
      </c>
      <c r="O1785" s="238">
        <v>9.1794718524052143</v>
      </c>
      <c r="P1785" s="238">
        <v>4.0118687579102792</v>
      </c>
      <c r="Q1785" s="238">
        <v>0</v>
      </c>
      <c r="R1785" s="238">
        <v>4.0118687579102792</v>
      </c>
      <c r="S1785" s="238" t="s">
        <v>192</v>
      </c>
      <c r="T1785" s="218">
        <f>VLOOKUP(A1785,'Groupe de branches'!$Z$27:$AM$86,14,FALSE)</f>
        <v>0</v>
      </c>
      <c r="U1785" s="218">
        <f>VLOOKUP(D1785,'Groupe de branches'!$Z$27:$AM$86,14,FALSE)</f>
        <v>0</v>
      </c>
      <c r="V1785" s="218">
        <v>2020</v>
      </c>
      <c r="W1785" s="218" t="str">
        <f>VLOOKUP(D1785,'Table corresp.'!$M$4:$S$63,7,FALSE)</f>
        <v>Consommation finale</v>
      </c>
      <c r="X1785" s="240">
        <f>IFERROR(G1785/SUMIFS('Comp2016-2017 (3)'!$I$5:$I$289,'Comp2016-2017 (3)'!$A$5:$A$289,A1785,'Comp2016-2017 (3)'!$R$5:$R$289,V1785),0)</f>
        <v>1.0000000000000007</v>
      </c>
      <c r="Y1785" s="219">
        <f>IFERROR(IF(RIGHT(F1785,3)="Exp",VLOOKUP(F1785,#REF!,2,FALSE),VLOOKUP(F1785,#REF!,9,FALSE)),1)</f>
        <v>1</v>
      </c>
      <c r="Z1785" s="226">
        <f t="shared" si="201"/>
        <v>1</v>
      </c>
      <c r="AA1785" s="226">
        <f t="shared" si="198"/>
        <v>1.0000000000000007</v>
      </c>
      <c r="AB1785" s="205">
        <f>IFERROR(SUMIFS('Comp2016-2017 (3)'!$G$5:$G$289,'Comp2016-2017 (3)'!$A$5:$A$289,A1785,'Comp2016-2017 (3)'!$R$5:$R$289,V1785)*AA1785/SUMIFS($AA$4:$AA$1858,$A$4:$A$1858,A1785,$V$4:$V$1858,V1785),0)</f>
        <v>106103.82985214535</v>
      </c>
      <c r="AC1785" s="205" t="str">
        <f>IF($W1785=AC$3,$AB1785,IF(NOT($W1785=0),"",SUMIFS('Val-Vol (2)'!AC$4:AC$1858,'Val-Vol (2)'!$A$4:$A$1858,$D1785,'Val-Vol (2)'!$V$4:$V$1858,$V1785)/SUMIFS('Comp2016-2017 (3)'!$G$5:$G$289,'Comp2016-2017 (3)'!$A$5:$A$289,$D1785,'Comp2016-2017 (3)'!$R$5:$R$289,$V1785)*$AB1785))</f>
        <v/>
      </c>
      <c r="AD1785" s="205" t="str">
        <f>IF($W1785=AD$3,$AB1785,IF(NOT($W1785=0),"",SUMIFS('Val-Vol (2)'!AD$4:AD$1858,'Val-Vol (2)'!$A$4:$A$1858,$D1785,'Val-Vol (2)'!$V$4:$V$1858,$V1785)/SUMIFS('Comp2016-2017 (3)'!$G$5:$G$289,'Comp2016-2017 (3)'!$A$5:$A$289,$D1785,'Comp2016-2017 (3)'!$R$5:$R$289,$V1785)*$AB1785))</f>
        <v/>
      </c>
      <c r="AE1785" s="205" t="str">
        <f>IF($W1785=AE$3,$AB1785,IF(NOT($W1785=0),"",SUMIFS('Val-Vol (2)'!AE$4:AE$1858,'Val-Vol (2)'!$A$4:$A$1858,$D1785,'Val-Vol (2)'!$V$4:$V$1858,$V1785)/SUMIFS('Comp2016-2017 (3)'!$G$5:$G$289,'Comp2016-2017 (3)'!$A$5:$A$289,$D1785,'Comp2016-2017 (3)'!$R$5:$R$289,$V1785)*$AB1785))</f>
        <v/>
      </c>
      <c r="AF1785" s="205" t="str">
        <f>IF($W1785=AF$3,$AB1785,IF(NOT($W1785=0),"",SUMIFS('Val-Vol (2)'!AF$4:AF$1858,'Val-Vol (2)'!$A$4:$A$1858,$D1785,'Val-Vol (2)'!$V$4:$V$1858,$V1785)/SUMIFS('Comp2016-2017 (3)'!$G$5:$G$289,'Comp2016-2017 (3)'!$A$5:$A$289,$D1785,'Comp2016-2017 (3)'!$R$5:$R$289,$V1785)*$AB1785))</f>
        <v/>
      </c>
      <c r="AG1785" s="205" t="str">
        <f>IF($W1785=AG$3,$AB1785,IF(NOT($W1785=0),"",SUMIFS('Val-Vol (2)'!AG$4:AG$1858,'Val-Vol (2)'!$A$4:$A$1858,$D1785,'Val-Vol (2)'!$V$4:$V$1858,$V1785)/SUMIFS('Comp2016-2017 (3)'!$G$5:$G$289,'Comp2016-2017 (3)'!$A$5:$A$289,$D1785,'Comp2016-2017 (3)'!$R$5:$R$289,$V1785)*$AB1785))</f>
        <v/>
      </c>
      <c r="AH1785" s="205" t="str">
        <f>IF($W1785=AH$3,$AB1785,IF(NOT($W1785=0),"",SUMIFS('Val-Vol (2)'!AH$4:AH$1858,'Val-Vol (2)'!$A$4:$A$1858,$D1785,'Val-Vol (2)'!$V$4:$V$1858,$V1785)/SUMIFS('Comp2016-2017 (3)'!$G$5:$G$289,'Comp2016-2017 (3)'!$A$5:$A$289,$D1785,'Comp2016-2017 (3)'!$R$5:$R$289,$V1785)*$AB1785))</f>
        <v/>
      </c>
      <c r="AI1785" s="205" t="str">
        <f>IF($W1785=AI$3,$AB1785,IF(NOT($W1785=0),"",SUMIFS('Val-Vol (2)'!AI$4:AI$1858,'Val-Vol (2)'!$A$4:$A$1858,$D1785,'Val-Vol (2)'!$V$4:$V$1858,$V1785)/SUMIFS('Comp2016-2017 (3)'!$G$5:$G$289,'Comp2016-2017 (3)'!$A$5:$A$289,$D1785,'Comp2016-2017 (3)'!$R$5:$R$289,$V1785)*$AB1785))</f>
        <v/>
      </c>
      <c r="AJ1785" s="205">
        <f>IF($W1785=AJ$3,$AB1785,IF(NOT($W1785=0),"",SUMIFS('Val-Vol (2)'!AJ$4:AJ$1858,'Val-Vol (2)'!$A$4:$A$1858,$D1785,'Val-Vol (2)'!$V$4:$V$1858,$V1785)/SUMIFS('Comp2016-2017 (3)'!$G$5:$G$289,'Comp2016-2017 (3)'!$A$5:$A$289,$D1785,'Comp2016-2017 (3)'!$R$5:$R$289,$V1785)*$AB1785))</f>
        <v>106103.82985214535</v>
      </c>
      <c r="AK1785" s="205">
        <f t="shared" si="197"/>
        <v>0</v>
      </c>
      <c r="AL1785" s="218" t="str">
        <f t="shared" si="199"/>
        <v/>
      </c>
      <c r="AM1785" s="218" t="str">
        <f>VLOOKUP(A1785,'Table corresp.'!$M$4:$U$63,8,FALSE)</f>
        <v xml:space="preserve">Mise en œuvre </v>
      </c>
      <c r="AN1785" s="218" t="str">
        <f>VLOOKUP(D1785,'Table corresp.'!$M$4:$U$63,9,FALSE)</f>
        <v>Consommation finale française</v>
      </c>
    </row>
    <row r="1786" spans="1:40" x14ac:dyDescent="0.25">
      <c r="A1786" t="s">
        <v>27</v>
      </c>
      <c r="B1786" t="str">
        <f>VLOOKUP(LEFT(A1786,3),'Table corresp.'!$A$4:$D$63,3,FALSE)</f>
        <v>Transformation</v>
      </c>
      <c r="C1786" t="str">
        <f>VLOOKUP(A1786,'Table corresp.'!$M$4:$P$63,4,FALSE)</f>
        <v>Mise en oeuvre de produits bois</v>
      </c>
      <c r="D1786" t="s">
        <v>54</v>
      </c>
      <c r="E1786" t="str">
        <f>VLOOKUP(LEFT(D1786,3),'Table corresp.'!$A$4:$D$63,4,FALSE)</f>
        <v>Consommation finale</v>
      </c>
      <c r="F1786" t="str">
        <f t="shared" si="200"/>
        <v>60  - Con</v>
      </c>
      <c r="G1786" s="238">
        <v>2221755.2825416699</v>
      </c>
      <c r="H1786" s="238">
        <v>0</v>
      </c>
      <c r="I1786" s="238">
        <v>2221755.2825416699</v>
      </c>
      <c r="J1786" s="238"/>
      <c r="K1786" s="238"/>
      <c r="L1786" s="238"/>
      <c r="M1786" s="238"/>
      <c r="N1786" s="238"/>
      <c r="O1786" s="238"/>
      <c r="P1786" s="238"/>
      <c r="Q1786" s="238"/>
      <c r="R1786" s="238"/>
      <c r="S1786" s="238"/>
      <c r="T1786" s="218">
        <f>VLOOKUP(A1786,'Groupe de branches'!$Z$27:$AM$86,14,FALSE)</f>
        <v>1</v>
      </c>
      <c r="U1786" s="218">
        <f>VLOOKUP(D1786,'Groupe de branches'!$Z$27:$AM$86,14,FALSE)</f>
        <v>0</v>
      </c>
      <c r="V1786" s="218">
        <v>2020</v>
      </c>
      <c r="W1786" s="218" t="str">
        <f>VLOOKUP(D1786,'Table corresp.'!$M$4:$S$63,7,FALSE)</f>
        <v>Consommation finale</v>
      </c>
      <c r="X1786" s="240">
        <f>IFERROR(G1786/SUMIFS('Comp2016-2017 (3)'!$I$5:$I$289,'Comp2016-2017 (3)'!$A$5:$A$289,A1786,'Comp2016-2017 (3)'!$R$5:$R$289,V1786),0)</f>
        <v>1.0000000000000018</v>
      </c>
      <c r="Y1786" s="219">
        <f>IFERROR(IF(RIGHT(F1786,3)="Exp",VLOOKUP(F1786,#REF!,2,FALSE),VLOOKUP(F1786,#REF!,9,FALSE)),1)</f>
        <v>1</v>
      </c>
      <c r="Z1786" s="226">
        <f t="shared" si="201"/>
        <v>1</v>
      </c>
      <c r="AA1786" s="226">
        <f t="shared" si="198"/>
        <v>1.0000000000000018</v>
      </c>
      <c r="AB1786" s="205">
        <f>IFERROR(SUMIFS('Comp2016-2017 (3)'!$G$5:$G$289,'Comp2016-2017 (3)'!$A$5:$A$289,A1786,'Comp2016-2017 (3)'!$R$5:$R$289,V1786)*AA1786/SUMIFS($AA$4:$AA$1858,$A$4:$A$1858,A1786,$V$4:$V$1858,V1786),0)</f>
        <v>875484.08236351679</v>
      </c>
      <c r="AC1786" s="205" t="str">
        <f>IF($W1786=AC$3,$AB1786,IF(NOT($W1786=0),"",SUMIFS('Val-Vol (2)'!AC$4:AC$1858,'Val-Vol (2)'!$A$4:$A$1858,$D1786,'Val-Vol (2)'!$V$4:$V$1858,$V1786)/SUMIFS('Comp2016-2017 (3)'!$G$5:$G$289,'Comp2016-2017 (3)'!$A$5:$A$289,$D1786,'Comp2016-2017 (3)'!$R$5:$R$289,$V1786)*$AB1786))</f>
        <v/>
      </c>
      <c r="AD1786" s="205" t="str">
        <f>IF($W1786=AD$3,$AB1786,IF(NOT($W1786=0),"",SUMIFS('Val-Vol (2)'!AD$4:AD$1858,'Val-Vol (2)'!$A$4:$A$1858,$D1786,'Val-Vol (2)'!$V$4:$V$1858,$V1786)/SUMIFS('Comp2016-2017 (3)'!$G$5:$G$289,'Comp2016-2017 (3)'!$A$5:$A$289,$D1786,'Comp2016-2017 (3)'!$R$5:$R$289,$V1786)*$AB1786))</f>
        <v/>
      </c>
      <c r="AE1786" s="205" t="str">
        <f>IF($W1786=AE$3,$AB1786,IF(NOT($W1786=0),"",SUMIFS('Val-Vol (2)'!AE$4:AE$1858,'Val-Vol (2)'!$A$4:$A$1858,$D1786,'Val-Vol (2)'!$V$4:$V$1858,$V1786)/SUMIFS('Comp2016-2017 (3)'!$G$5:$G$289,'Comp2016-2017 (3)'!$A$5:$A$289,$D1786,'Comp2016-2017 (3)'!$R$5:$R$289,$V1786)*$AB1786))</f>
        <v/>
      </c>
      <c r="AF1786" s="205" t="str">
        <f>IF($W1786=AF$3,$AB1786,IF(NOT($W1786=0),"",SUMIFS('Val-Vol (2)'!AF$4:AF$1858,'Val-Vol (2)'!$A$4:$A$1858,$D1786,'Val-Vol (2)'!$V$4:$V$1858,$V1786)/SUMIFS('Comp2016-2017 (3)'!$G$5:$G$289,'Comp2016-2017 (3)'!$A$5:$A$289,$D1786,'Comp2016-2017 (3)'!$R$5:$R$289,$V1786)*$AB1786))</f>
        <v/>
      </c>
      <c r="AG1786" s="205" t="str">
        <f>IF($W1786=AG$3,$AB1786,IF(NOT($W1786=0),"",SUMIFS('Val-Vol (2)'!AG$4:AG$1858,'Val-Vol (2)'!$A$4:$A$1858,$D1786,'Val-Vol (2)'!$V$4:$V$1858,$V1786)/SUMIFS('Comp2016-2017 (3)'!$G$5:$G$289,'Comp2016-2017 (3)'!$A$5:$A$289,$D1786,'Comp2016-2017 (3)'!$R$5:$R$289,$V1786)*$AB1786))</f>
        <v/>
      </c>
      <c r="AH1786" s="205" t="str">
        <f>IF($W1786=AH$3,$AB1786,IF(NOT($W1786=0),"",SUMIFS('Val-Vol (2)'!AH$4:AH$1858,'Val-Vol (2)'!$A$4:$A$1858,$D1786,'Val-Vol (2)'!$V$4:$V$1858,$V1786)/SUMIFS('Comp2016-2017 (3)'!$G$5:$G$289,'Comp2016-2017 (3)'!$A$5:$A$289,$D1786,'Comp2016-2017 (3)'!$R$5:$R$289,$V1786)*$AB1786))</f>
        <v/>
      </c>
      <c r="AI1786" s="205" t="str">
        <f>IF($W1786=AI$3,$AB1786,IF(NOT($W1786=0),"",SUMIFS('Val-Vol (2)'!AI$4:AI$1858,'Val-Vol (2)'!$A$4:$A$1858,$D1786,'Val-Vol (2)'!$V$4:$V$1858,$V1786)/SUMIFS('Comp2016-2017 (3)'!$G$5:$G$289,'Comp2016-2017 (3)'!$A$5:$A$289,$D1786,'Comp2016-2017 (3)'!$R$5:$R$289,$V1786)*$AB1786))</f>
        <v/>
      </c>
      <c r="AJ1786" s="205">
        <f>IF($W1786=AJ$3,$AB1786,IF(NOT($W1786=0),"",SUMIFS('Val-Vol (2)'!AJ$4:AJ$1858,'Val-Vol (2)'!$A$4:$A$1858,$D1786,'Val-Vol (2)'!$V$4:$V$1858,$V1786)/SUMIFS('Comp2016-2017 (3)'!$G$5:$G$289,'Comp2016-2017 (3)'!$A$5:$A$289,$D1786,'Comp2016-2017 (3)'!$R$5:$R$289,$V1786)*$AB1786))</f>
        <v>875484.08236351679</v>
      </c>
      <c r="AK1786" s="205">
        <f t="shared" si="197"/>
        <v>0</v>
      </c>
      <c r="AL1786" s="218" t="str">
        <f t="shared" si="199"/>
        <v/>
      </c>
      <c r="AM1786" s="218" t="str">
        <f>VLOOKUP(A1786,'Table corresp.'!$M$4:$U$63,8,FALSE)</f>
        <v xml:space="preserve">Mise en œuvre </v>
      </c>
      <c r="AN1786" s="218" t="str">
        <f>VLOOKUP(D1786,'Table corresp.'!$M$4:$U$63,9,FALSE)</f>
        <v>Consommation finale française</v>
      </c>
    </row>
    <row r="1787" spans="1:40" x14ac:dyDescent="0.25">
      <c r="A1787" t="s">
        <v>104</v>
      </c>
      <c r="B1787" t="str">
        <f>VLOOKUP(LEFT(A1787,3),'Table corresp.'!$A$4:$D$63,3,FALSE)</f>
        <v>Transformation</v>
      </c>
      <c r="C1787" t="str">
        <f>VLOOKUP(A1787,'Table corresp.'!$M$4:$P$63,4,FALSE)</f>
        <v>Commerces et services</v>
      </c>
      <c r="D1787" t="s">
        <v>19</v>
      </c>
      <c r="E1787" t="str">
        <f>VLOOKUP(LEFT(D1787,3),'Table corresp.'!$A$4:$D$63,4,FALSE)</f>
        <v>Transformation</v>
      </c>
      <c r="F1787" t="str">
        <f t="shared" si="200"/>
        <v xml:space="preserve">61  - 52 </v>
      </c>
      <c r="G1787" s="238">
        <v>55124.010161475999</v>
      </c>
      <c r="H1787" s="238">
        <v>0</v>
      </c>
      <c r="I1787" s="238">
        <v>55124.010161475999</v>
      </c>
      <c r="J1787" s="238"/>
      <c r="K1787" s="238"/>
      <c r="L1787" s="238"/>
      <c r="M1787" s="238"/>
      <c r="N1787" s="238"/>
      <c r="O1787" s="238"/>
      <c r="P1787" s="238"/>
      <c r="Q1787" s="238"/>
      <c r="R1787" s="238"/>
      <c r="S1787" s="238"/>
      <c r="T1787" s="218">
        <f>VLOOKUP(A1787,'Groupe de branches'!$Z$27:$AM$86,14,FALSE)</f>
        <v>0</v>
      </c>
      <c r="U1787" s="218">
        <f>VLOOKUP(D1787,'Groupe de branches'!$Z$27:$AM$86,14,FALSE)</f>
        <v>0</v>
      </c>
      <c r="V1787" s="218">
        <v>2020</v>
      </c>
      <c r="W1787" s="218" t="str">
        <f>VLOOKUP(D1787,'Table corresp.'!$M$4:$S$63,7,FALSE)</f>
        <v>Construction</v>
      </c>
      <c r="X1787" s="240">
        <f>IFERROR(G1787/SUMIFS('Comp2016-2017 (3)'!$I$5:$I$289,'Comp2016-2017 (3)'!$A$5:$A$289,A1787,'Comp2016-2017 (3)'!$R$5:$R$289,V1787),0)</f>
        <v>3.635172988563827E-2</v>
      </c>
      <c r="Y1787" s="219">
        <f>IFERROR(IF(RIGHT(F1787,3)="Exp",VLOOKUP(F1787,#REF!,2,FALSE),VLOOKUP(F1787,#REF!,9,FALSE)),1)</f>
        <v>1</v>
      </c>
      <c r="Z1787" s="226">
        <f t="shared" si="201"/>
        <v>0.1111111111111111</v>
      </c>
      <c r="AA1787" s="226">
        <f t="shared" si="198"/>
        <v>4.0390810984042517E-3</v>
      </c>
      <c r="AB1787" s="205">
        <f>IFERROR(SUMIFS('Comp2016-2017 (3)'!$G$5:$G$289,'Comp2016-2017 (3)'!$A$5:$A$289,A1787,'Comp2016-2017 (3)'!$R$5:$R$289,V1787)*AA1787/SUMIFS($AA$4:$AA$1858,$A$4:$A$1858,A1787,$V$4:$V$1858,V1787),0)</f>
        <v>55124.010161475984</v>
      </c>
      <c r="AC1787" s="205" t="str">
        <f>IF($W1787=AC$3,$AB1787,IF(NOT($W1787=0),"",SUMIFS('Val-Vol (2)'!AC$4:AC$1858,'Val-Vol (2)'!$A$4:$A$1858,$D1787,'Val-Vol (2)'!$V$4:$V$1858,$V1787)/SUMIFS('Comp2016-2017 (3)'!$G$5:$G$289,'Comp2016-2017 (3)'!$A$5:$A$289,$D1787,'Comp2016-2017 (3)'!$R$5:$R$289,$V1787)*$AB1787))</f>
        <v/>
      </c>
      <c r="AD1787" s="205">
        <f>IF($W1787=AD$3,$AB1787,IF(NOT($W1787=0),"",SUMIFS('Val-Vol (2)'!AD$4:AD$1858,'Val-Vol (2)'!$A$4:$A$1858,$D1787,'Val-Vol (2)'!$V$4:$V$1858,$V1787)/SUMIFS('Comp2016-2017 (3)'!$G$5:$G$289,'Comp2016-2017 (3)'!$A$5:$A$289,$D1787,'Comp2016-2017 (3)'!$R$5:$R$289,$V1787)*$AB1787))</f>
        <v>55124.010161475984</v>
      </c>
      <c r="AE1787" s="205" t="str">
        <f>IF($W1787=AE$3,$AB1787,IF(NOT($W1787=0),"",SUMIFS('Val-Vol (2)'!AE$4:AE$1858,'Val-Vol (2)'!$A$4:$A$1858,$D1787,'Val-Vol (2)'!$V$4:$V$1858,$V1787)/SUMIFS('Comp2016-2017 (3)'!$G$5:$G$289,'Comp2016-2017 (3)'!$A$5:$A$289,$D1787,'Comp2016-2017 (3)'!$R$5:$R$289,$V1787)*$AB1787))</f>
        <v/>
      </c>
      <c r="AF1787" s="205" t="str">
        <f>IF($W1787=AF$3,$AB1787,IF(NOT($W1787=0),"",SUMIFS('Val-Vol (2)'!AF$4:AF$1858,'Val-Vol (2)'!$A$4:$A$1858,$D1787,'Val-Vol (2)'!$V$4:$V$1858,$V1787)/SUMIFS('Comp2016-2017 (3)'!$G$5:$G$289,'Comp2016-2017 (3)'!$A$5:$A$289,$D1787,'Comp2016-2017 (3)'!$R$5:$R$289,$V1787)*$AB1787))</f>
        <v/>
      </c>
      <c r="AG1787" s="205" t="str">
        <f>IF($W1787=AG$3,$AB1787,IF(NOT($W1787=0),"",SUMIFS('Val-Vol (2)'!AG$4:AG$1858,'Val-Vol (2)'!$A$4:$A$1858,$D1787,'Val-Vol (2)'!$V$4:$V$1858,$V1787)/SUMIFS('Comp2016-2017 (3)'!$G$5:$G$289,'Comp2016-2017 (3)'!$A$5:$A$289,$D1787,'Comp2016-2017 (3)'!$R$5:$R$289,$V1787)*$AB1787))</f>
        <v/>
      </c>
      <c r="AH1787" s="205" t="str">
        <f>IF($W1787=AH$3,$AB1787,IF(NOT($W1787=0),"",SUMIFS('Val-Vol (2)'!AH$4:AH$1858,'Val-Vol (2)'!$A$4:$A$1858,$D1787,'Val-Vol (2)'!$V$4:$V$1858,$V1787)/SUMIFS('Comp2016-2017 (3)'!$G$5:$G$289,'Comp2016-2017 (3)'!$A$5:$A$289,$D1787,'Comp2016-2017 (3)'!$R$5:$R$289,$V1787)*$AB1787))</f>
        <v/>
      </c>
      <c r="AI1787" s="205" t="str">
        <f>IF($W1787=AI$3,$AB1787,IF(NOT($W1787=0),"",SUMIFS('Val-Vol (2)'!AI$4:AI$1858,'Val-Vol (2)'!$A$4:$A$1858,$D1787,'Val-Vol (2)'!$V$4:$V$1858,$V1787)/SUMIFS('Comp2016-2017 (3)'!$G$5:$G$289,'Comp2016-2017 (3)'!$A$5:$A$289,$D1787,'Comp2016-2017 (3)'!$R$5:$R$289,$V1787)*$AB1787))</f>
        <v/>
      </c>
      <c r="AJ1787" s="205" t="str">
        <f>IF($W1787=AJ$3,$AB1787,IF(NOT($W1787=0),"",SUMIFS('Val-Vol (2)'!AJ$4:AJ$1858,'Val-Vol (2)'!$A$4:$A$1858,$D1787,'Val-Vol (2)'!$V$4:$V$1858,$V1787)/SUMIFS('Comp2016-2017 (3)'!$G$5:$G$289,'Comp2016-2017 (3)'!$A$5:$A$289,$D1787,'Comp2016-2017 (3)'!$R$5:$R$289,$V1787)*$AB1787))</f>
        <v/>
      </c>
      <c r="AK1787" s="205">
        <f t="shared" si="197"/>
        <v>0</v>
      </c>
      <c r="AL1787" s="218" t="str">
        <f t="shared" si="199"/>
        <v/>
      </c>
      <c r="AM1787" s="218" t="str">
        <f>VLOOKUP(A1787,'Table corresp.'!$M$4:$U$63,8,FALSE)</f>
        <v xml:space="preserve">Mise en œuvre </v>
      </c>
      <c r="AN1787" s="218" t="str">
        <f>VLOOKUP(D1787,'Table corresp.'!$M$4:$U$63,9,FALSE)</f>
        <v xml:space="preserve">Mise en œuvre </v>
      </c>
    </row>
    <row r="1788" spans="1:40" x14ac:dyDescent="0.25">
      <c r="A1788" t="s">
        <v>104</v>
      </c>
      <c r="B1788" t="str">
        <f>VLOOKUP(LEFT(A1788,3),'Table corresp.'!$A$4:$D$63,3,FALSE)</f>
        <v>Transformation</v>
      </c>
      <c r="C1788" t="str">
        <f>VLOOKUP(A1788,'Table corresp.'!$M$4:$P$63,4,FALSE)</f>
        <v>Commerces et services</v>
      </c>
      <c r="D1788" t="s">
        <v>20</v>
      </c>
      <c r="E1788" t="str">
        <f>VLOOKUP(LEFT(D1788,3),'Table corresp.'!$A$4:$D$63,4,FALSE)</f>
        <v>Transformation</v>
      </c>
      <c r="F1788" t="str">
        <f t="shared" si="200"/>
        <v xml:space="preserve">61  - 53 </v>
      </c>
      <c r="G1788" s="238">
        <v>8780.5782500004607</v>
      </c>
      <c r="H1788" s="238">
        <v>0</v>
      </c>
      <c r="I1788" s="238">
        <v>8780.5782500004698</v>
      </c>
      <c r="J1788" s="238"/>
      <c r="K1788" s="238"/>
      <c r="L1788" s="238"/>
      <c r="M1788" s="238"/>
      <c r="N1788" s="238"/>
      <c r="O1788" s="238"/>
      <c r="P1788" s="238"/>
      <c r="Q1788" s="238"/>
      <c r="R1788" s="238"/>
      <c r="S1788" s="238"/>
      <c r="T1788" s="218">
        <f>VLOOKUP(A1788,'Groupe de branches'!$Z$27:$AM$86,14,FALSE)</f>
        <v>0</v>
      </c>
      <c r="U1788" s="218">
        <f>VLOOKUP(D1788,'Groupe de branches'!$Z$27:$AM$86,14,FALSE)</f>
        <v>0</v>
      </c>
      <c r="V1788" s="218">
        <v>2020</v>
      </c>
      <c r="W1788" s="218" t="str">
        <f>VLOOKUP(D1788,'Table corresp.'!$M$4:$S$63,7,FALSE)</f>
        <v>Construction</v>
      </c>
      <c r="X1788" s="240">
        <f>IFERROR(G1788/SUMIFS('Comp2016-2017 (3)'!$I$5:$I$289,'Comp2016-2017 (3)'!$A$5:$A$289,A1788,'Comp2016-2017 (3)'!$R$5:$R$289,V1788),0)</f>
        <v>5.7903844050663051E-3</v>
      </c>
      <c r="Y1788" s="219">
        <f>IFERROR(IF(RIGHT(F1788,3)="Exp",VLOOKUP(F1788,#REF!,2,FALSE),VLOOKUP(F1788,#REF!,9,FALSE)),1)</f>
        <v>1</v>
      </c>
      <c r="Z1788" s="226">
        <f t="shared" si="201"/>
        <v>0.1111111111111111</v>
      </c>
      <c r="AA1788" s="226">
        <f t="shared" si="198"/>
        <v>6.4337604500736716E-4</v>
      </c>
      <c r="AB1788" s="205">
        <f>IFERROR(SUMIFS('Comp2016-2017 (3)'!$G$5:$G$289,'Comp2016-2017 (3)'!$A$5:$A$289,A1788,'Comp2016-2017 (3)'!$R$5:$R$289,V1788)*AA1788/SUMIFS($AA$4:$AA$1858,$A$4:$A$1858,A1788,$V$4:$V$1858,V1788),0)</f>
        <v>8780.5782500004607</v>
      </c>
      <c r="AC1788" s="205" t="str">
        <f>IF($W1788=AC$3,$AB1788,IF(NOT($W1788=0),"",SUMIFS('Val-Vol (2)'!AC$4:AC$1858,'Val-Vol (2)'!$A$4:$A$1858,$D1788,'Val-Vol (2)'!$V$4:$V$1858,$V1788)/SUMIFS('Comp2016-2017 (3)'!$G$5:$G$289,'Comp2016-2017 (3)'!$A$5:$A$289,$D1788,'Comp2016-2017 (3)'!$R$5:$R$289,$V1788)*$AB1788))</f>
        <v/>
      </c>
      <c r="AD1788" s="205">
        <f>IF($W1788=AD$3,$AB1788,IF(NOT($W1788=0),"",SUMIFS('Val-Vol (2)'!AD$4:AD$1858,'Val-Vol (2)'!$A$4:$A$1858,$D1788,'Val-Vol (2)'!$V$4:$V$1858,$V1788)/SUMIFS('Comp2016-2017 (3)'!$G$5:$G$289,'Comp2016-2017 (3)'!$A$5:$A$289,$D1788,'Comp2016-2017 (3)'!$R$5:$R$289,$V1788)*$AB1788))</f>
        <v>8780.5782500004607</v>
      </c>
      <c r="AE1788" s="205" t="str">
        <f>IF($W1788=AE$3,$AB1788,IF(NOT($W1788=0),"",SUMIFS('Val-Vol (2)'!AE$4:AE$1858,'Val-Vol (2)'!$A$4:$A$1858,$D1788,'Val-Vol (2)'!$V$4:$V$1858,$V1788)/SUMIFS('Comp2016-2017 (3)'!$G$5:$G$289,'Comp2016-2017 (3)'!$A$5:$A$289,$D1788,'Comp2016-2017 (3)'!$R$5:$R$289,$V1788)*$AB1788))</f>
        <v/>
      </c>
      <c r="AF1788" s="205" t="str">
        <f>IF($W1788=AF$3,$AB1788,IF(NOT($W1788=0),"",SUMIFS('Val-Vol (2)'!AF$4:AF$1858,'Val-Vol (2)'!$A$4:$A$1858,$D1788,'Val-Vol (2)'!$V$4:$V$1858,$V1788)/SUMIFS('Comp2016-2017 (3)'!$G$5:$G$289,'Comp2016-2017 (3)'!$A$5:$A$289,$D1788,'Comp2016-2017 (3)'!$R$5:$R$289,$V1788)*$AB1788))</f>
        <v/>
      </c>
      <c r="AG1788" s="205" t="str">
        <f>IF($W1788=AG$3,$AB1788,IF(NOT($W1788=0),"",SUMIFS('Val-Vol (2)'!AG$4:AG$1858,'Val-Vol (2)'!$A$4:$A$1858,$D1788,'Val-Vol (2)'!$V$4:$V$1858,$V1788)/SUMIFS('Comp2016-2017 (3)'!$G$5:$G$289,'Comp2016-2017 (3)'!$A$5:$A$289,$D1788,'Comp2016-2017 (3)'!$R$5:$R$289,$V1788)*$AB1788))</f>
        <v/>
      </c>
      <c r="AH1788" s="205" t="str">
        <f>IF($W1788=AH$3,$AB1788,IF(NOT($W1788=0),"",SUMIFS('Val-Vol (2)'!AH$4:AH$1858,'Val-Vol (2)'!$A$4:$A$1858,$D1788,'Val-Vol (2)'!$V$4:$V$1858,$V1788)/SUMIFS('Comp2016-2017 (3)'!$G$5:$G$289,'Comp2016-2017 (3)'!$A$5:$A$289,$D1788,'Comp2016-2017 (3)'!$R$5:$R$289,$V1788)*$AB1788))</f>
        <v/>
      </c>
      <c r="AI1788" s="205" t="str">
        <f>IF($W1788=AI$3,$AB1788,IF(NOT($W1788=0),"",SUMIFS('Val-Vol (2)'!AI$4:AI$1858,'Val-Vol (2)'!$A$4:$A$1858,$D1788,'Val-Vol (2)'!$V$4:$V$1858,$V1788)/SUMIFS('Comp2016-2017 (3)'!$G$5:$G$289,'Comp2016-2017 (3)'!$A$5:$A$289,$D1788,'Comp2016-2017 (3)'!$R$5:$R$289,$V1788)*$AB1788))</f>
        <v/>
      </c>
      <c r="AJ1788" s="205" t="str">
        <f>IF($W1788=AJ$3,$AB1788,IF(NOT($W1788=0),"",SUMIFS('Val-Vol (2)'!AJ$4:AJ$1858,'Val-Vol (2)'!$A$4:$A$1858,$D1788,'Val-Vol (2)'!$V$4:$V$1858,$V1788)/SUMIFS('Comp2016-2017 (3)'!$G$5:$G$289,'Comp2016-2017 (3)'!$A$5:$A$289,$D1788,'Comp2016-2017 (3)'!$R$5:$R$289,$V1788)*$AB1788))</f>
        <v/>
      </c>
      <c r="AK1788" s="205">
        <f t="shared" si="197"/>
        <v>0</v>
      </c>
      <c r="AL1788" s="218" t="str">
        <f t="shared" si="199"/>
        <v/>
      </c>
      <c r="AM1788" s="218" t="str">
        <f>VLOOKUP(A1788,'Table corresp.'!$M$4:$U$63,8,FALSE)</f>
        <v xml:space="preserve">Mise en œuvre </v>
      </c>
      <c r="AN1788" s="218" t="str">
        <f>VLOOKUP(D1788,'Table corresp.'!$M$4:$U$63,9,FALSE)</f>
        <v xml:space="preserve">Mise en œuvre </v>
      </c>
    </row>
    <row r="1789" spans="1:40" x14ac:dyDescent="0.25">
      <c r="A1789" t="s">
        <v>104</v>
      </c>
      <c r="B1789" t="str">
        <f>VLOOKUP(LEFT(A1789,3),'Table corresp.'!$A$4:$D$63,3,FALSE)</f>
        <v>Transformation</v>
      </c>
      <c r="C1789" t="str">
        <f>VLOOKUP(A1789,'Table corresp.'!$M$4:$P$63,4,FALSE)</f>
        <v>Commerces et services</v>
      </c>
      <c r="D1789" t="s">
        <v>21</v>
      </c>
      <c r="E1789" t="str">
        <f>VLOOKUP(LEFT(D1789,3),'Table corresp.'!$A$4:$D$63,4,FALSE)</f>
        <v>Transformation</v>
      </c>
      <c r="F1789" t="str">
        <f t="shared" si="200"/>
        <v xml:space="preserve">61  - 54 </v>
      </c>
      <c r="G1789" s="238">
        <v>574119.15112068702</v>
      </c>
      <c r="H1789" s="238">
        <v>0</v>
      </c>
      <c r="I1789" s="238">
        <v>574119.15112068702</v>
      </c>
      <c r="J1789" s="238"/>
      <c r="K1789" s="238"/>
      <c r="L1789" s="238"/>
      <c r="M1789" s="238"/>
      <c r="N1789" s="238"/>
      <c r="O1789" s="238"/>
      <c r="P1789" s="238"/>
      <c r="Q1789" s="238"/>
      <c r="R1789" s="238"/>
      <c r="S1789" s="238"/>
      <c r="T1789" s="218">
        <f>VLOOKUP(A1789,'Groupe de branches'!$Z$27:$AM$86,14,FALSE)</f>
        <v>0</v>
      </c>
      <c r="U1789" s="218">
        <f>VLOOKUP(D1789,'Groupe de branches'!$Z$27:$AM$86,14,FALSE)</f>
        <v>0</v>
      </c>
      <c r="V1789" s="218">
        <v>2020</v>
      </c>
      <c r="W1789" s="218" t="str">
        <f>VLOOKUP(D1789,'Table corresp.'!$M$4:$S$63,7,FALSE)</f>
        <v>Construction</v>
      </c>
      <c r="X1789" s="240">
        <f>IFERROR(G1789/SUMIFS('Comp2016-2017 (3)'!$I$5:$I$289,'Comp2016-2017 (3)'!$A$5:$A$289,A1789,'Comp2016-2017 (3)'!$R$5:$R$289,V1789),0)</f>
        <v>0.37860497163714213</v>
      </c>
      <c r="Y1789" s="219">
        <f>IFERROR(IF(RIGHT(F1789,3)="Exp",VLOOKUP(F1789,#REF!,2,FALSE),VLOOKUP(F1789,#REF!,9,FALSE)),1)</f>
        <v>1</v>
      </c>
      <c r="Z1789" s="226">
        <f t="shared" si="201"/>
        <v>0.1111111111111111</v>
      </c>
      <c r="AA1789" s="226">
        <f t="shared" si="198"/>
        <v>4.2067219070793568E-2</v>
      </c>
      <c r="AB1789" s="205">
        <f>IFERROR(SUMIFS('Comp2016-2017 (3)'!$G$5:$G$289,'Comp2016-2017 (3)'!$A$5:$A$289,A1789,'Comp2016-2017 (3)'!$R$5:$R$289,V1789)*AA1789/SUMIFS($AA$4:$AA$1858,$A$4:$A$1858,A1789,$V$4:$V$1858,V1789),0)</f>
        <v>574119.15112068702</v>
      </c>
      <c r="AC1789" s="205" t="str">
        <f>IF($W1789=AC$3,$AB1789,IF(NOT($W1789=0),"",SUMIFS('Val-Vol (2)'!AC$4:AC$1858,'Val-Vol (2)'!$A$4:$A$1858,$D1789,'Val-Vol (2)'!$V$4:$V$1858,$V1789)/SUMIFS('Comp2016-2017 (3)'!$G$5:$G$289,'Comp2016-2017 (3)'!$A$5:$A$289,$D1789,'Comp2016-2017 (3)'!$R$5:$R$289,$V1789)*$AB1789))</f>
        <v/>
      </c>
      <c r="AD1789" s="205">
        <f>IF($W1789=AD$3,$AB1789,IF(NOT($W1789=0),"",SUMIFS('Val-Vol (2)'!AD$4:AD$1858,'Val-Vol (2)'!$A$4:$A$1858,$D1789,'Val-Vol (2)'!$V$4:$V$1858,$V1789)/SUMIFS('Comp2016-2017 (3)'!$G$5:$G$289,'Comp2016-2017 (3)'!$A$5:$A$289,$D1789,'Comp2016-2017 (3)'!$R$5:$R$289,$V1789)*$AB1789))</f>
        <v>574119.15112068702</v>
      </c>
      <c r="AE1789" s="205" t="str">
        <f>IF($W1789=AE$3,$AB1789,IF(NOT($W1789=0),"",SUMIFS('Val-Vol (2)'!AE$4:AE$1858,'Val-Vol (2)'!$A$4:$A$1858,$D1789,'Val-Vol (2)'!$V$4:$V$1858,$V1789)/SUMIFS('Comp2016-2017 (3)'!$G$5:$G$289,'Comp2016-2017 (3)'!$A$5:$A$289,$D1789,'Comp2016-2017 (3)'!$R$5:$R$289,$V1789)*$AB1789))</f>
        <v/>
      </c>
      <c r="AF1789" s="205" t="str">
        <f>IF($W1789=AF$3,$AB1789,IF(NOT($W1789=0),"",SUMIFS('Val-Vol (2)'!AF$4:AF$1858,'Val-Vol (2)'!$A$4:$A$1858,$D1789,'Val-Vol (2)'!$V$4:$V$1858,$V1789)/SUMIFS('Comp2016-2017 (3)'!$G$5:$G$289,'Comp2016-2017 (3)'!$A$5:$A$289,$D1789,'Comp2016-2017 (3)'!$R$5:$R$289,$V1789)*$AB1789))</f>
        <v/>
      </c>
      <c r="AG1789" s="205" t="str">
        <f>IF($W1789=AG$3,$AB1789,IF(NOT($W1789=0),"",SUMIFS('Val-Vol (2)'!AG$4:AG$1858,'Val-Vol (2)'!$A$4:$A$1858,$D1789,'Val-Vol (2)'!$V$4:$V$1858,$V1789)/SUMIFS('Comp2016-2017 (3)'!$G$5:$G$289,'Comp2016-2017 (3)'!$A$5:$A$289,$D1789,'Comp2016-2017 (3)'!$R$5:$R$289,$V1789)*$AB1789))</f>
        <v/>
      </c>
      <c r="AH1789" s="205" t="str">
        <f>IF($W1789=AH$3,$AB1789,IF(NOT($W1789=0),"",SUMIFS('Val-Vol (2)'!AH$4:AH$1858,'Val-Vol (2)'!$A$4:$A$1858,$D1789,'Val-Vol (2)'!$V$4:$V$1858,$V1789)/SUMIFS('Comp2016-2017 (3)'!$G$5:$G$289,'Comp2016-2017 (3)'!$A$5:$A$289,$D1789,'Comp2016-2017 (3)'!$R$5:$R$289,$V1789)*$AB1789))</f>
        <v/>
      </c>
      <c r="AI1789" s="205" t="str">
        <f>IF($W1789=AI$3,$AB1789,IF(NOT($W1789=0),"",SUMIFS('Val-Vol (2)'!AI$4:AI$1858,'Val-Vol (2)'!$A$4:$A$1858,$D1789,'Val-Vol (2)'!$V$4:$V$1858,$V1789)/SUMIFS('Comp2016-2017 (3)'!$G$5:$G$289,'Comp2016-2017 (3)'!$A$5:$A$289,$D1789,'Comp2016-2017 (3)'!$R$5:$R$289,$V1789)*$AB1789))</f>
        <v/>
      </c>
      <c r="AJ1789" s="205" t="str">
        <f>IF($W1789=AJ$3,$AB1789,IF(NOT($W1789=0),"",SUMIFS('Val-Vol (2)'!AJ$4:AJ$1858,'Val-Vol (2)'!$A$4:$A$1858,$D1789,'Val-Vol (2)'!$V$4:$V$1858,$V1789)/SUMIFS('Comp2016-2017 (3)'!$G$5:$G$289,'Comp2016-2017 (3)'!$A$5:$A$289,$D1789,'Comp2016-2017 (3)'!$R$5:$R$289,$V1789)*$AB1789))</f>
        <v/>
      </c>
      <c r="AK1789" s="205">
        <f t="shared" si="197"/>
        <v>0</v>
      </c>
      <c r="AL1789" s="218" t="str">
        <f t="shared" si="199"/>
        <v/>
      </c>
      <c r="AM1789" s="218" t="str">
        <f>VLOOKUP(A1789,'Table corresp.'!$M$4:$U$63,8,FALSE)</f>
        <v xml:space="preserve">Mise en œuvre </v>
      </c>
      <c r="AN1789" s="218" t="str">
        <f>VLOOKUP(D1789,'Table corresp.'!$M$4:$U$63,9,FALSE)</f>
        <v xml:space="preserve">Mise en œuvre </v>
      </c>
    </row>
    <row r="1790" spans="1:40" x14ac:dyDescent="0.25">
      <c r="A1790" t="s">
        <v>104</v>
      </c>
      <c r="B1790" t="str">
        <f>VLOOKUP(LEFT(A1790,3),'Table corresp.'!$A$4:$D$63,3,FALSE)</f>
        <v>Transformation</v>
      </c>
      <c r="C1790" t="str">
        <f>VLOOKUP(A1790,'Table corresp.'!$M$4:$P$63,4,FALSE)</f>
        <v>Commerces et services</v>
      </c>
      <c r="D1790" t="s">
        <v>22</v>
      </c>
      <c r="E1790" t="str">
        <f>VLOOKUP(LEFT(D1790,3),'Table corresp.'!$A$4:$D$63,4,FALSE)</f>
        <v>Transformation</v>
      </c>
      <c r="F1790" t="str">
        <f t="shared" si="200"/>
        <v xml:space="preserve">61  - 55 </v>
      </c>
      <c r="G1790" s="238">
        <v>120683.701934464</v>
      </c>
      <c r="H1790" s="238">
        <v>0</v>
      </c>
      <c r="I1790" s="238">
        <v>120683.701934464</v>
      </c>
      <c r="J1790" s="238"/>
      <c r="K1790" s="238"/>
      <c r="L1790" s="238"/>
      <c r="M1790" s="238"/>
      <c r="N1790" s="238"/>
      <c r="O1790" s="238"/>
      <c r="P1790" s="238"/>
      <c r="Q1790" s="238"/>
      <c r="R1790" s="238"/>
      <c r="S1790" s="238"/>
      <c r="T1790" s="218">
        <f>VLOOKUP(A1790,'Groupe de branches'!$Z$27:$AM$86,14,FALSE)</f>
        <v>0</v>
      </c>
      <c r="U1790" s="218">
        <f>VLOOKUP(D1790,'Groupe de branches'!$Z$27:$AM$86,14,FALSE)</f>
        <v>0</v>
      </c>
      <c r="V1790" s="218">
        <v>2020</v>
      </c>
      <c r="W1790" s="218" t="str">
        <f>VLOOKUP(D1790,'Table corresp.'!$M$4:$S$63,7,FALSE)</f>
        <v>Construction</v>
      </c>
      <c r="X1790" s="240">
        <f>IFERROR(G1790/SUMIFS('Comp2016-2017 (3)'!$I$5:$I$289,'Comp2016-2017 (3)'!$A$5:$A$289,A1790,'Comp2016-2017 (3)'!$R$5:$R$289,V1790),0)</f>
        <v>7.9585308134683952E-2</v>
      </c>
      <c r="Y1790" s="219">
        <f>IFERROR(IF(RIGHT(F1790,3)="Exp",VLOOKUP(F1790,#REF!,2,FALSE),VLOOKUP(F1790,#REF!,9,FALSE)),1)</f>
        <v>1</v>
      </c>
      <c r="Z1790" s="226">
        <f t="shared" si="201"/>
        <v>0.1111111111111111</v>
      </c>
      <c r="AA1790" s="226">
        <f t="shared" si="198"/>
        <v>8.8428120149648837E-3</v>
      </c>
      <c r="AB1790" s="205">
        <f>IFERROR(SUMIFS('Comp2016-2017 (3)'!$G$5:$G$289,'Comp2016-2017 (3)'!$A$5:$A$289,A1790,'Comp2016-2017 (3)'!$R$5:$R$289,V1790)*AA1790/SUMIFS($AA$4:$AA$1858,$A$4:$A$1858,A1790,$V$4:$V$1858,V1790),0)</f>
        <v>120683.70193446401</v>
      </c>
      <c r="AC1790" s="205" t="str">
        <f>IF($W1790=AC$3,$AB1790,IF(NOT($W1790=0),"",SUMIFS('Val-Vol (2)'!AC$4:AC$1858,'Val-Vol (2)'!$A$4:$A$1858,$D1790,'Val-Vol (2)'!$V$4:$V$1858,$V1790)/SUMIFS('Comp2016-2017 (3)'!$G$5:$G$289,'Comp2016-2017 (3)'!$A$5:$A$289,$D1790,'Comp2016-2017 (3)'!$R$5:$R$289,$V1790)*$AB1790))</f>
        <v/>
      </c>
      <c r="AD1790" s="205">
        <f>IF($W1790=AD$3,$AB1790,IF(NOT($W1790=0),"",SUMIFS('Val-Vol (2)'!AD$4:AD$1858,'Val-Vol (2)'!$A$4:$A$1858,$D1790,'Val-Vol (2)'!$V$4:$V$1858,$V1790)/SUMIFS('Comp2016-2017 (3)'!$G$5:$G$289,'Comp2016-2017 (3)'!$A$5:$A$289,$D1790,'Comp2016-2017 (3)'!$R$5:$R$289,$V1790)*$AB1790))</f>
        <v>120683.70193446401</v>
      </c>
      <c r="AE1790" s="205" t="str">
        <f>IF($W1790=AE$3,$AB1790,IF(NOT($W1790=0),"",SUMIFS('Val-Vol (2)'!AE$4:AE$1858,'Val-Vol (2)'!$A$4:$A$1858,$D1790,'Val-Vol (2)'!$V$4:$V$1858,$V1790)/SUMIFS('Comp2016-2017 (3)'!$G$5:$G$289,'Comp2016-2017 (3)'!$A$5:$A$289,$D1790,'Comp2016-2017 (3)'!$R$5:$R$289,$V1790)*$AB1790))</f>
        <v/>
      </c>
      <c r="AF1790" s="205" t="str">
        <f>IF($W1790=AF$3,$AB1790,IF(NOT($W1790=0),"",SUMIFS('Val-Vol (2)'!AF$4:AF$1858,'Val-Vol (2)'!$A$4:$A$1858,$D1790,'Val-Vol (2)'!$V$4:$V$1858,$V1790)/SUMIFS('Comp2016-2017 (3)'!$G$5:$G$289,'Comp2016-2017 (3)'!$A$5:$A$289,$D1790,'Comp2016-2017 (3)'!$R$5:$R$289,$V1790)*$AB1790))</f>
        <v/>
      </c>
      <c r="AG1790" s="205" t="str">
        <f>IF($W1790=AG$3,$AB1790,IF(NOT($W1790=0),"",SUMIFS('Val-Vol (2)'!AG$4:AG$1858,'Val-Vol (2)'!$A$4:$A$1858,$D1790,'Val-Vol (2)'!$V$4:$V$1858,$V1790)/SUMIFS('Comp2016-2017 (3)'!$G$5:$G$289,'Comp2016-2017 (3)'!$A$5:$A$289,$D1790,'Comp2016-2017 (3)'!$R$5:$R$289,$V1790)*$AB1790))</f>
        <v/>
      </c>
      <c r="AH1790" s="205" t="str">
        <f>IF($W1790=AH$3,$AB1790,IF(NOT($W1790=0),"",SUMIFS('Val-Vol (2)'!AH$4:AH$1858,'Val-Vol (2)'!$A$4:$A$1858,$D1790,'Val-Vol (2)'!$V$4:$V$1858,$V1790)/SUMIFS('Comp2016-2017 (3)'!$G$5:$G$289,'Comp2016-2017 (3)'!$A$5:$A$289,$D1790,'Comp2016-2017 (3)'!$R$5:$R$289,$V1790)*$AB1790))</f>
        <v/>
      </c>
      <c r="AI1790" s="205" t="str">
        <f>IF($W1790=AI$3,$AB1790,IF(NOT($W1790=0),"",SUMIFS('Val-Vol (2)'!AI$4:AI$1858,'Val-Vol (2)'!$A$4:$A$1858,$D1790,'Val-Vol (2)'!$V$4:$V$1858,$V1790)/SUMIFS('Comp2016-2017 (3)'!$G$5:$G$289,'Comp2016-2017 (3)'!$A$5:$A$289,$D1790,'Comp2016-2017 (3)'!$R$5:$R$289,$V1790)*$AB1790))</f>
        <v/>
      </c>
      <c r="AJ1790" s="205" t="str">
        <f>IF($W1790=AJ$3,$AB1790,IF(NOT($W1790=0),"",SUMIFS('Val-Vol (2)'!AJ$4:AJ$1858,'Val-Vol (2)'!$A$4:$A$1858,$D1790,'Val-Vol (2)'!$V$4:$V$1858,$V1790)/SUMIFS('Comp2016-2017 (3)'!$G$5:$G$289,'Comp2016-2017 (3)'!$A$5:$A$289,$D1790,'Comp2016-2017 (3)'!$R$5:$R$289,$V1790)*$AB1790))</f>
        <v/>
      </c>
      <c r="AK1790" s="205">
        <f t="shared" si="197"/>
        <v>0</v>
      </c>
      <c r="AL1790" s="218" t="str">
        <f t="shared" si="199"/>
        <v/>
      </c>
      <c r="AM1790" s="218" t="str">
        <f>VLOOKUP(A1790,'Table corresp.'!$M$4:$U$63,8,FALSE)</f>
        <v xml:space="preserve">Mise en œuvre </v>
      </c>
      <c r="AN1790" s="218" t="str">
        <f>VLOOKUP(D1790,'Table corresp.'!$M$4:$U$63,9,FALSE)</f>
        <v xml:space="preserve">Mise en œuvre </v>
      </c>
    </row>
    <row r="1791" spans="1:40" x14ac:dyDescent="0.25">
      <c r="A1791" t="s">
        <v>104</v>
      </c>
      <c r="B1791" t="str">
        <f>VLOOKUP(LEFT(A1791,3),'Table corresp.'!$A$4:$D$63,3,FALSE)</f>
        <v>Transformation</v>
      </c>
      <c r="C1791" t="str">
        <f>VLOOKUP(A1791,'Table corresp.'!$M$4:$P$63,4,FALSE)</f>
        <v>Commerces et services</v>
      </c>
      <c r="D1791" t="s">
        <v>23</v>
      </c>
      <c r="E1791" t="str">
        <f>VLOOKUP(LEFT(D1791,3),'Table corresp.'!$A$4:$D$63,4,FALSE)</f>
        <v>Transformation</v>
      </c>
      <c r="F1791" t="str">
        <f t="shared" si="200"/>
        <v xml:space="preserve">61  - 56 </v>
      </c>
      <c r="G1791" s="238">
        <v>11723.583948044499</v>
      </c>
      <c r="H1791" s="238">
        <v>0</v>
      </c>
      <c r="I1791" s="238">
        <v>11723.583948044499</v>
      </c>
      <c r="J1791" s="238"/>
      <c r="K1791" s="238"/>
      <c r="L1791" s="238"/>
      <c r="M1791" s="238"/>
      <c r="N1791" s="238"/>
      <c r="O1791" s="238"/>
      <c r="P1791" s="238"/>
      <c r="Q1791" s="238"/>
      <c r="R1791" s="238"/>
      <c r="S1791" s="238"/>
      <c r="T1791" s="218">
        <f>VLOOKUP(A1791,'Groupe de branches'!$Z$27:$AM$86,14,FALSE)</f>
        <v>0</v>
      </c>
      <c r="U1791" s="218">
        <f>VLOOKUP(D1791,'Groupe de branches'!$Z$27:$AM$86,14,FALSE)</f>
        <v>0</v>
      </c>
      <c r="V1791" s="218">
        <v>2020</v>
      </c>
      <c r="W1791" s="218" t="str">
        <f>VLOOKUP(D1791,'Table corresp.'!$M$4:$S$63,7,FALSE)</f>
        <v>Construction</v>
      </c>
      <c r="X1791" s="240">
        <f>IFERROR(G1791/SUMIFS('Comp2016-2017 (3)'!$I$5:$I$289,'Comp2016-2017 (3)'!$A$5:$A$289,A1791,'Comp2016-2017 (3)'!$R$5:$R$289,V1791),0)</f>
        <v>7.731160264329854E-3</v>
      </c>
      <c r="Y1791" s="219">
        <f>IFERROR(IF(RIGHT(F1791,3)="Exp",VLOOKUP(F1791,#REF!,2,FALSE),VLOOKUP(F1791,#REF!,9,FALSE)),1)</f>
        <v>1</v>
      </c>
      <c r="Z1791" s="226">
        <f t="shared" si="201"/>
        <v>0.1111111111111111</v>
      </c>
      <c r="AA1791" s="226">
        <f t="shared" si="198"/>
        <v>8.590178071477615E-4</v>
      </c>
      <c r="AB1791" s="205">
        <f>IFERROR(SUMIFS('Comp2016-2017 (3)'!$G$5:$G$289,'Comp2016-2017 (3)'!$A$5:$A$289,A1791,'Comp2016-2017 (3)'!$R$5:$R$289,V1791)*AA1791/SUMIFS($AA$4:$AA$1858,$A$4:$A$1858,A1791,$V$4:$V$1858,V1791),0)</f>
        <v>11723.583948044499</v>
      </c>
      <c r="AC1791" s="205" t="str">
        <f>IF($W1791=AC$3,$AB1791,IF(NOT($W1791=0),"",SUMIFS('Val-Vol (2)'!AC$4:AC$1858,'Val-Vol (2)'!$A$4:$A$1858,$D1791,'Val-Vol (2)'!$V$4:$V$1858,$V1791)/SUMIFS('Comp2016-2017 (3)'!$G$5:$G$289,'Comp2016-2017 (3)'!$A$5:$A$289,$D1791,'Comp2016-2017 (3)'!$R$5:$R$289,$V1791)*$AB1791))</f>
        <v/>
      </c>
      <c r="AD1791" s="205">
        <f>IF($W1791=AD$3,$AB1791,IF(NOT($W1791=0),"",SUMIFS('Val-Vol (2)'!AD$4:AD$1858,'Val-Vol (2)'!$A$4:$A$1858,$D1791,'Val-Vol (2)'!$V$4:$V$1858,$V1791)/SUMIFS('Comp2016-2017 (3)'!$G$5:$G$289,'Comp2016-2017 (3)'!$A$5:$A$289,$D1791,'Comp2016-2017 (3)'!$R$5:$R$289,$V1791)*$AB1791))</f>
        <v>11723.583948044499</v>
      </c>
      <c r="AE1791" s="205" t="str">
        <f>IF($W1791=AE$3,$AB1791,IF(NOT($W1791=0),"",SUMIFS('Val-Vol (2)'!AE$4:AE$1858,'Val-Vol (2)'!$A$4:$A$1858,$D1791,'Val-Vol (2)'!$V$4:$V$1858,$V1791)/SUMIFS('Comp2016-2017 (3)'!$G$5:$G$289,'Comp2016-2017 (3)'!$A$5:$A$289,$D1791,'Comp2016-2017 (3)'!$R$5:$R$289,$V1791)*$AB1791))</f>
        <v/>
      </c>
      <c r="AF1791" s="205" t="str">
        <f>IF($W1791=AF$3,$AB1791,IF(NOT($W1791=0),"",SUMIFS('Val-Vol (2)'!AF$4:AF$1858,'Val-Vol (2)'!$A$4:$A$1858,$D1791,'Val-Vol (2)'!$V$4:$V$1858,$V1791)/SUMIFS('Comp2016-2017 (3)'!$G$5:$G$289,'Comp2016-2017 (3)'!$A$5:$A$289,$D1791,'Comp2016-2017 (3)'!$R$5:$R$289,$V1791)*$AB1791))</f>
        <v/>
      </c>
      <c r="AG1791" s="205" t="str">
        <f>IF($W1791=AG$3,$AB1791,IF(NOT($W1791=0),"",SUMIFS('Val-Vol (2)'!AG$4:AG$1858,'Val-Vol (2)'!$A$4:$A$1858,$D1791,'Val-Vol (2)'!$V$4:$V$1858,$V1791)/SUMIFS('Comp2016-2017 (3)'!$G$5:$G$289,'Comp2016-2017 (3)'!$A$5:$A$289,$D1791,'Comp2016-2017 (3)'!$R$5:$R$289,$V1791)*$AB1791))</f>
        <v/>
      </c>
      <c r="AH1791" s="205" t="str">
        <f>IF($W1791=AH$3,$AB1791,IF(NOT($W1791=0),"",SUMIFS('Val-Vol (2)'!AH$4:AH$1858,'Val-Vol (2)'!$A$4:$A$1858,$D1791,'Val-Vol (2)'!$V$4:$V$1858,$V1791)/SUMIFS('Comp2016-2017 (3)'!$G$5:$G$289,'Comp2016-2017 (3)'!$A$5:$A$289,$D1791,'Comp2016-2017 (3)'!$R$5:$R$289,$V1791)*$AB1791))</f>
        <v/>
      </c>
      <c r="AI1791" s="205" t="str">
        <f>IF($W1791=AI$3,$AB1791,IF(NOT($W1791=0),"",SUMIFS('Val-Vol (2)'!AI$4:AI$1858,'Val-Vol (2)'!$A$4:$A$1858,$D1791,'Val-Vol (2)'!$V$4:$V$1858,$V1791)/SUMIFS('Comp2016-2017 (3)'!$G$5:$G$289,'Comp2016-2017 (3)'!$A$5:$A$289,$D1791,'Comp2016-2017 (3)'!$R$5:$R$289,$V1791)*$AB1791))</f>
        <v/>
      </c>
      <c r="AJ1791" s="205" t="str">
        <f>IF($W1791=AJ$3,$AB1791,IF(NOT($W1791=0),"",SUMIFS('Val-Vol (2)'!AJ$4:AJ$1858,'Val-Vol (2)'!$A$4:$A$1858,$D1791,'Val-Vol (2)'!$V$4:$V$1858,$V1791)/SUMIFS('Comp2016-2017 (3)'!$G$5:$G$289,'Comp2016-2017 (3)'!$A$5:$A$289,$D1791,'Comp2016-2017 (3)'!$R$5:$R$289,$V1791)*$AB1791))</f>
        <v/>
      </c>
      <c r="AK1791" s="205">
        <f t="shared" si="197"/>
        <v>0</v>
      </c>
      <c r="AL1791" s="218" t="str">
        <f t="shared" si="199"/>
        <v/>
      </c>
      <c r="AM1791" s="218" t="str">
        <f>VLOOKUP(A1791,'Table corresp.'!$M$4:$U$63,8,FALSE)</f>
        <v xml:space="preserve">Mise en œuvre </v>
      </c>
      <c r="AN1791" s="218" t="str">
        <f>VLOOKUP(D1791,'Table corresp.'!$M$4:$U$63,9,FALSE)</f>
        <v xml:space="preserve">Mise en œuvre </v>
      </c>
    </row>
    <row r="1792" spans="1:40" x14ac:dyDescent="0.25">
      <c r="A1792" t="s">
        <v>104</v>
      </c>
      <c r="B1792" t="str">
        <f>VLOOKUP(LEFT(A1792,3),'Table corresp.'!$A$4:$D$63,3,FALSE)</f>
        <v>Transformation</v>
      </c>
      <c r="C1792" t="str">
        <f>VLOOKUP(A1792,'Table corresp.'!$M$4:$P$63,4,FALSE)</f>
        <v>Commerces et services</v>
      </c>
      <c r="D1792" t="s">
        <v>24</v>
      </c>
      <c r="E1792" t="str">
        <f>VLOOKUP(LEFT(D1792,3),'Table corresp.'!$A$4:$D$63,4,FALSE)</f>
        <v>Transformation</v>
      </c>
      <c r="F1792" t="str">
        <f t="shared" si="200"/>
        <v xml:space="preserve">61  - 57 </v>
      </c>
      <c r="G1792" s="238">
        <v>418608.29900920001</v>
      </c>
      <c r="H1792" s="238">
        <v>0</v>
      </c>
      <c r="I1792" s="238">
        <v>418608.29900920001</v>
      </c>
      <c r="J1792" s="238"/>
      <c r="K1792" s="238"/>
      <c r="L1792" s="238"/>
      <c r="M1792" s="238"/>
      <c r="N1792" s="238"/>
      <c r="O1792" s="238"/>
      <c r="P1792" s="238"/>
      <c r="Q1792" s="238"/>
      <c r="R1792" s="238"/>
      <c r="S1792" s="238"/>
      <c r="T1792" s="218">
        <f>VLOOKUP(A1792,'Groupe de branches'!$Z$27:$AM$86,14,FALSE)</f>
        <v>0</v>
      </c>
      <c r="U1792" s="218">
        <f>VLOOKUP(D1792,'Groupe de branches'!$Z$27:$AM$86,14,FALSE)</f>
        <v>0</v>
      </c>
      <c r="V1792" s="218">
        <v>2020</v>
      </c>
      <c r="W1792" s="218" t="str">
        <f>VLOOKUP(D1792,'Table corresp.'!$M$4:$S$63,7,FALSE)</f>
        <v>Construction</v>
      </c>
      <c r="X1792" s="240">
        <f>IFERROR(G1792/SUMIFS('Comp2016-2017 (3)'!$I$5:$I$289,'Comp2016-2017 (3)'!$A$5:$A$289,A1792,'Comp2016-2017 (3)'!$R$5:$R$289,V1792),0)</f>
        <v>0.27605277208412526</v>
      </c>
      <c r="Y1792" s="219">
        <f>IFERROR(IF(RIGHT(F1792,3)="Exp",VLOOKUP(F1792,#REF!,2,FALSE),VLOOKUP(F1792,#REF!,9,FALSE)),1)</f>
        <v>1</v>
      </c>
      <c r="Z1792" s="226">
        <f t="shared" si="201"/>
        <v>0.1111111111111111</v>
      </c>
      <c r="AA1792" s="226">
        <f t="shared" si="198"/>
        <v>3.0672530231569472E-2</v>
      </c>
      <c r="AB1792" s="205">
        <f>IFERROR(SUMIFS('Comp2016-2017 (3)'!$G$5:$G$289,'Comp2016-2017 (3)'!$A$5:$A$289,A1792,'Comp2016-2017 (3)'!$R$5:$R$289,V1792)*AA1792/SUMIFS($AA$4:$AA$1858,$A$4:$A$1858,A1792,$V$4:$V$1858,V1792),0)</f>
        <v>418608.29900919995</v>
      </c>
      <c r="AC1792" s="205" t="str">
        <f>IF($W1792=AC$3,$AB1792,IF(NOT($W1792=0),"",SUMIFS('Val-Vol (2)'!AC$4:AC$1858,'Val-Vol (2)'!$A$4:$A$1858,$D1792,'Val-Vol (2)'!$V$4:$V$1858,$V1792)/SUMIFS('Comp2016-2017 (3)'!$G$5:$G$289,'Comp2016-2017 (3)'!$A$5:$A$289,$D1792,'Comp2016-2017 (3)'!$R$5:$R$289,$V1792)*$AB1792))</f>
        <v/>
      </c>
      <c r="AD1792" s="205">
        <f>IF($W1792=AD$3,$AB1792,IF(NOT($W1792=0),"",SUMIFS('Val-Vol (2)'!AD$4:AD$1858,'Val-Vol (2)'!$A$4:$A$1858,$D1792,'Val-Vol (2)'!$V$4:$V$1858,$V1792)/SUMIFS('Comp2016-2017 (3)'!$G$5:$G$289,'Comp2016-2017 (3)'!$A$5:$A$289,$D1792,'Comp2016-2017 (3)'!$R$5:$R$289,$V1792)*$AB1792))</f>
        <v>418608.29900919995</v>
      </c>
      <c r="AE1792" s="205" t="str">
        <f>IF($W1792=AE$3,$AB1792,IF(NOT($W1792=0),"",SUMIFS('Val-Vol (2)'!AE$4:AE$1858,'Val-Vol (2)'!$A$4:$A$1858,$D1792,'Val-Vol (2)'!$V$4:$V$1858,$V1792)/SUMIFS('Comp2016-2017 (3)'!$G$5:$G$289,'Comp2016-2017 (3)'!$A$5:$A$289,$D1792,'Comp2016-2017 (3)'!$R$5:$R$289,$V1792)*$AB1792))</f>
        <v/>
      </c>
      <c r="AF1792" s="205" t="str">
        <f>IF($W1792=AF$3,$AB1792,IF(NOT($W1792=0),"",SUMIFS('Val-Vol (2)'!AF$4:AF$1858,'Val-Vol (2)'!$A$4:$A$1858,$D1792,'Val-Vol (2)'!$V$4:$V$1858,$V1792)/SUMIFS('Comp2016-2017 (3)'!$G$5:$G$289,'Comp2016-2017 (3)'!$A$5:$A$289,$D1792,'Comp2016-2017 (3)'!$R$5:$R$289,$V1792)*$AB1792))</f>
        <v/>
      </c>
      <c r="AG1792" s="205" t="str">
        <f>IF($W1792=AG$3,$AB1792,IF(NOT($W1792=0),"",SUMIFS('Val-Vol (2)'!AG$4:AG$1858,'Val-Vol (2)'!$A$4:$A$1858,$D1792,'Val-Vol (2)'!$V$4:$V$1858,$V1792)/SUMIFS('Comp2016-2017 (3)'!$G$5:$G$289,'Comp2016-2017 (3)'!$A$5:$A$289,$D1792,'Comp2016-2017 (3)'!$R$5:$R$289,$V1792)*$AB1792))</f>
        <v/>
      </c>
      <c r="AH1792" s="205" t="str">
        <f>IF($W1792=AH$3,$AB1792,IF(NOT($W1792=0),"",SUMIFS('Val-Vol (2)'!AH$4:AH$1858,'Val-Vol (2)'!$A$4:$A$1858,$D1792,'Val-Vol (2)'!$V$4:$V$1858,$V1792)/SUMIFS('Comp2016-2017 (3)'!$G$5:$G$289,'Comp2016-2017 (3)'!$A$5:$A$289,$D1792,'Comp2016-2017 (3)'!$R$5:$R$289,$V1792)*$AB1792))</f>
        <v/>
      </c>
      <c r="AI1792" s="205" t="str">
        <f>IF($W1792=AI$3,$AB1792,IF(NOT($W1792=0),"",SUMIFS('Val-Vol (2)'!AI$4:AI$1858,'Val-Vol (2)'!$A$4:$A$1858,$D1792,'Val-Vol (2)'!$V$4:$V$1858,$V1792)/SUMIFS('Comp2016-2017 (3)'!$G$5:$G$289,'Comp2016-2017 (3)'!$A$5:$A$289,$D1792,'Comp2016-2017 (3)'!$R$5:$R$289,$V1792)*$AB1792))</f>
        <v/>
      </c>
      <c r="AJ1792" s="205" t="str">
        <f>IF($W1792=AJ$3,$AB1792,IF(NOT($W1792=0),"",SUMIFS('Val-Vol (2)'!AJ$4:AJ$1858,'Val-Vol (2)'!$A$4:$A$1858,$D1792,'Val-Vol (2)'!$V$4:$V$1858,$V1792)/SUMIFS('Comp2016-2017 (3)'!$G$5:$G$289,'Comp2016-2017 (3)'!$A$5:$A$289,$D1792,'Comp2016-2017 (3)'!$R$5:$R$289,$V1792)*$AB1792))</f>
        <v/>
      </c>
      <c r="AK1792" s="205">
        <f t="shared" si="197"/>
        <v>0</v>
      </c>
      <c r="AL1792" s="218" t="str">
        <f t="shared" si="199"/>
        <v/>
      </c>
      <c r="AM1792" s="218" t="str">
        <f>VLOOKUP(A1792,'Table corresp.'!$M$4:$U$63,8,FALSE)</f>
        <v xml:space="preserve">Mise en œuvre </v>
      </c>
      <c r="AN1792" s="218" t="str">
        <f>VLOOKUP(D1792,'Table corresp.'!$M$4:$U$63,9,FALSE)</f>
        <v xml:space="preserve">Mise en œuvre </v>
      </c>
    </row>
    <row r="1793" spans="1:40" x14ac:dyDescent="0.25">
      <c r="A1793" t="s">
        <v>104</v>
      </c>
      <c r="B1793" t="str">
        <f>VLOOKUP(LEFT(A1793,3),'Table corresp.'!$A$4:$D$63,3,FALSE)</f>
        <v>Transformation</v>
      </c>
      <c r="C1793" t="str">
        <f>VLOOKUP(A1793,'Table corresp.'!$M$4:$P$63,4,FALSE)</f>
        <v>Commerces et services</v>
      </c>
      <c r="D1793" t="s">
        <v>25</v>
      </c>
      <c r="E1793" t="str">
        <f>VLOOKUP(LEFT(D1793,3),'Table corresp.'!$A$4:$D$63,4,FALSE)</f>
        <v>Transformation</v>
      </c>
      <c r="F1793" t="str">
        <f t="shared" si="200"/>
        <v xml:space="preserve">61  - 58 </v>
      </c>
      <c r="G1793" s="238">
        <v>39604.140704070101</v>
      </c>
      <c r="H1793" s="238">
        <v>0</v>
      </c>
      <c r="I1793" s="238">
        <v>39604.140704070101</v>
      </c>
      <c r="J1793" s="238"/>
      <c r="K1793" s="238"/>
      <c r="L1793" s="238"/>
      <c r="M1793" s="238"/>
      <c r="N1793" s="238"/>
      <c r="O1793" s="238"/>
      <c r="P1793" s="238"/>
      <c r="Q1793" s="238"/>
      <c r="R1793" s="238"/>
      <c r="S1793" s="238"/>
      <c r="T1793" s="218">
        <f>VLOOKUP(A1793,'Groupe de branches'!$Z$27:$AM$86,14,FALSE)</f>
        <v>0</v>
      </c>
      <c r="U1793" s="218">
        <f>VLOOKUP(D1793,'Groupe de branches'!$Z$27:$AM$86,14,FALSE)</f>
        <v>0</v>
      </c>
      <c r="V1793" s="218">
        <v>2020</v>
      </c>
      <c r="W1793" s="218" t="str">
        <f>VLOOKUP(D1793,'Table corresp.'!$M$4:$S$63,7,FALSE)</f>
        <v>Construction</v>
      </c>
      <c r="X1793" s="240">
        <f>IFERROR(G1793/SUMIFS('Comp2016-2017 (3)'!$I$5:$I$289,'Comp2016-2017 (3)'!$A$5:$A$289,A1793,'Comp2016-2017 (3)'!$R$5:$R$289,V1793),0)</f>
        <v>2.6117095273182851E-2</v>
      </c>
      <c r="Y1793" s="219">
        <f>IFERROR(IF(RIGHT(F1793,3)="Exp",VLOOKUP(F1793,#REF!,2,FALSE),VLOOKUP(F1793,#REF!,9,FALSE)),1)</f>
        <v>1</v>
      </c>
      <c r="Z1793" s="226">
        <f t="shared" si="201"/>
        <v>0.1111111111111111</v>
      </c>
      <c r="AA1793" s="226">
        <f t="shared" si="198"/>
        <v>2.9018994747980944E-3</v>
      </c>
      <c r="AB1793" s="205">
        <f>IFERROR(SUMIFS('Comp2016-2017 (3)'!$G$5:$G$289,'Comp2016-2017 (3)'!$A$5:$A$289,A1793,'Comp2016-2017 (3)'!$R$5:$R$289,V1793)*AA1793/SUMIFS($AA$4:$AA$1858,$A$4:$A$1858,A1793,$V$4:$V$1858,V1793),0)</f>
        <v>39604.140704070094</v>
      </c>
      <c r="AC1793" s="205" t="str">
        <f>IF($W1793=AC$3,$AB1793,IF(NOT($W1793=0),"",SUMIFS('Val-Vol (2)'!AC$4:AC$1858,'Val-Vol (2)'!$A$4:$A$1858,$D1793,'Val-Vol (2)'!$V$4:$V$1858,$V1793)/SUMIFS('Comp2016-2017 (3)'!$G$5:$G$289,'Comp2016-2017 (3)'!$A$5:$A$289,$D1793,'Comp2016-2017 (3)'!$R$5:$R$289,$V1793)*$AB1793))</f>
        <v/>
      </c>
      <c r="AD1793" s="205">
        <f>IF($W1793=AD$3,$AB1793,IF(NOT($W1793=0),"",SUMIFS('Val-Vol (2)'!AD$4:AD$1858,'Val-Vol (2)'!$A$4:$A$1858,$D1793,'Val-Vol (2)'!$V$4:$V$1858,$V1793)/SUMIFS('Comp2016-2017 (3)'!$G$5:$G$289,'Comp2016-2017 (3)'!$A$5:$A$289,$D1793,'Comp2016-2017 (3)'!$R$5:$R$289,$V1793)*$AB1793))</f>
        <v>39604.140704070094</v>
      </c>
      <c r="AE1793" s="205" t="str">
        <f>IF($W1793=AE$3,$AB1793,IF(NOT($W1793=0),"",SUMIFS('Val-Vol (2)'!AE$4:AE$1858,'Val-Vol (2)'!$A$4:$A$1858,$D1793,'Val-Vol (2)'!$V$4:$V$1858,$V1793)/SUMIFS('Comp2016-2017 (3)'!$G$5:$G$289,'Comp2016-2017 (3)'!$A$5:$A$289,$D1793,'Comp2016-2017 (3)'!$R$5:$R$289,$V1793)*$AB1793))</f>
        <v/>
      </c>
      <c r="AF1793" s="205" t="str">
        <f>IF($W1793=AF$3,$AB1793,IF(NOT($W1793=0),"",SUMIFS('Val-Vol (2)'!AF$4:AF$1858,'Val-Vol (2)'!$A$4:$A$1858,$D1793,'Val-Vol (2)'!$V$4:$V$1858,$V1793)/SUMIFS('Comp2016-2017 (3)'!$G$5:$G$289,'Comp2016-2017 (3)'!$A$5:$A$289,$D1793,'Comp2016-2017 (3)'!$R$5:$R$289,$V1793)*$AB1793))</f>
        <v/>
      </c>
      <c r="AG1793" s="205" t="str">
        <f>IF($W1793=AG$3,$AB1793,IF(NOT($W1793=0),"",SUMIFS('Val-Vol (2)'!AG$4:AG$1858,'Val-Vol (2)'!$A$4:$A$1858,$D1793,'Val-Vol (2)'!$V$4:$V$1858,$V1793)/SUMIFS('Comp2016-2017 (3)'!$G$5:$G$289,'Comp2016-2017 (3)'!$A$5:$A$289,$D1793,'Comp2016-2017 (3)'!$R$5:$R$289,$V1793)*$AB1793))</f>
        <v/>
      </c>
      <c r="AH1793" s="205" t="str">
        <f>IF($W1793=AH$3,$AB1793,IF(NOT($W1793=0),"",SUMIFS('Val-Vol (2)'!AH$4:AH$1858,'Val-Vol (2)'!$A$4:$A$1858,$D1793,'Val-Vol (2)'!$V$4:$V$1858,$V1793)/SUMIFS('Comp2016-2017 (3)'!$G$5:$G$289,'Comp2016-2017 (3)'!$A$5:$A$289,$D1793,'Comp2016-2017 (3)'!$R$5:$R$289,$V1793)*$AB1793))</f>
        <v/>
      </c>
      <c r="AI1793" s="205" t="str">
        <f>IF($W1793=AI$3,$AB1793,IF(NOT($W1793=0),"",SUMIFS('Val-Vol (2)'!AI$4:AI$1858,'Val-Vol (2)'!$A$4:$A$1858,$D1793,'Val-Vol (2)'!$V$4:$V$1858,$V1793)/SUMIFS('Comp2016-2017 (3)'!$G$5:$G$289,'Comp2016-2017 (3)'!$A$5:$A$289,$D1793,'Comp2016-2017 (3)'!$R$5:$R$289,$V1793)*$AB1793))</f>
        <v/>
      </c>
      <c r="AJ1793" s="205" t="str">
        <f>IF($W1793=AJ$3,$AB1793,IF(NOT($W1793=0),"",SUMIFS('Val-Vol (2)'!AJ$4:AJ$1858,'Val-Vol (2)'!$A$4:$A$1858,$D1793,'Val-Vol (2)'!$V$4:$V$1858,$V1793)/SUMIFS('Comp2016-2017 (3)'!$G$5:$G$289,'Comp2016-2017 (3)'!$A$5:$A$289,$D1793,'Comp2016-2017 (3)'!$R$5:$R$289,$V1793)*$AB1793))</f>
        <v/>
      </c>
      <c r="AK1793" s="205">
        <f t="shared" si="197"/>
        <v>0</v>
      </c>
      <c r="AL1793" s="218" t="str">
        <f t="shared" si="199"/>
        <v/>
      </c>
      <c r="AM1793" s="218" t="str">
        <f>VLOOKUP(A1793,'Table corresp.'!$M$4:$U$63,8,FALSE)</f>
        <v xml:space="preserve">Mise en œuvre </v>
      </c>
      <c r="AN1793" s="218" t="str">
        <f>VLOOKUP(D1793,'Table corresp.'!$M$4:$U$63,9,FALSE)</f>
        <v xml:space="preserve">Mise en œuvre </v>
      </c>
    </row>
    <row r="1794" spans="1:40" x14ac:dyDescent="0.25">
      <c r="A1794" t="s">
        <v>104</v>
      </c>
      <c r="B1794" t="str">
        <f>VLOOKUP(LEFT(A1794,3),'Table corresp.'!$A$4:$D$63,3,FALSE)</f>
        <v>Transformation</v>
      </c>
      <c r="C1794" t="str">
        <f>VLOOKUP(A1794,'Table corresp.'!$M$4:$P$63,4,FALSE)</f>
        <v>Commerces et services</v>
      </c>
      <c r="D1794" t="s">
        <v>26</v>
      </c>
      <c r="E1794" t="str">
        <f>VLOOKUP(LEFT(D1794,3),'Table corresp.'!$A$4:$D$63,4,FALSE)</f>
        <v>Transformation</v>
      </c>
      <c r="F1794" t="str">
        <f t="shared" si="200"/>
        <v xml:space="preserve">61  - 59 </v>
      </c>
      <c r="G1794" s="238">
        <v>8847.4989736058906</v>
      </c>
      <c r="H1794" s="238">
        <v>0</v>
      </c>
      <c r="I1794" s="238">
        <v>8847.4989736058997</v>
      </c>
      <c r="J1794" s="238"/>
      <c r="K1794" s="238"/>
      <c r="L1794" s="238"/>
      <c r="M1794" s="238"/>
      <c r="N1794" s="238"/>
      <c r="O1794" s="238"/>
      <c r="P1794" s="238"/>
      <c r="Q1794" s="238"/>
      <c r="R1794" s="238"/>
      <c r="S1794" s="238"/>
      <c r="T1794" s="218">
        <f>VLOOKUP(A1794,'Groupe de branches'!$Z$27:$AM$86,14,FALSE)</f>
        <v>0</v>
      </c>
      <c r="U1794" s="218">
        <f>VLOOKUP(D1794,'Groupe de branches'!$Z$27:$AM$86,14,FALSE)</f>
        <v>0</v>
      </c>
      <c r="V1794" s="218">
        <v>2020</v>
      </c>
      <c r="W1794" s="218" t="str">
        <f>VLOOKUP(D1794,'Table corresp.'!$M$4:$S$63,7,FALSE)</f>
        <v>Construction</v>
      </c>
      <c r="X1794" s="240">
        <f>IFERROR(G1794/SUMIFS('Comp2016-2017 (3)'!$I$5:$I$289,'Comp2016-2017 (3)'!$A$5:$A$289,A1794,'Comp2016-2017 (3)'!$R$5:$R$289,V1794),0)</f>
        <v>5.8345155207295144E-3</v>
      </c>
      <c r="Y1794" s="219">
        <f>IFERROR(IF(RIGHT(F1794,3)="Exp",VLOOKUP(F1794,#REF!,2,FALSE),VLOOKUP(F1794,#REF!,9,FALSE)),1)</f>
        <v>1</v>
      </c>
      <c r="Z1794" s="226">
        <f t="shared" si="201"/>
        <v>0.1111111111111111</v>
      </c>
      <c r="AA1794" s="226">
        <f t="shared" si="198"/>
        <v>6.4827950230327935E-4</v>
      </c>
      <c r="AB1794" s="205">
        <f>IFERROR(SUMIFS('Comp2016-2017 (3)'!$G$5:$G$289,'Comp2016-2017 (3)'!$A$5:$A$289,A1794,'Comp2016-2017 (3)'!$R$5:$R$289,V1794)*AA1794/SUMIFS($AA$4:$AA$1858,$A$4:$A$1858,A1794,$V$4:$V$1858,V1794),0)</f>
        <v>8847.4989736058906</v>
      </c>
      <c r="AC1794" s="205" t="str">
        <f>IF($W1794=AC$3,$AB1794,IF(NOT($W1794=0),"",SUMIFS('Val-Vol (2)'!AC$4:AC$1858,'Val-Vol (2)'!$A$4:$A$1858,$D1794,'Val-Vol (2)'!$V$4:$V$1858,$V1794)/SUMIFS('Comp2016-2017 (3)'!$G$5:$G$289,'Comp2016-2017 (3)'!$A$5:$A$289,$D1794,'Comp2016-2017 (3)'!$R$5:$R$289,$V1794)*$AB1794))</f>
        <v/>
      </c>
      <c r="AD1794" s="205">
        <f>IF($W1794=AD$3,$AB1794,IF(NOT($W1794=0),"",SUMIFS('Val-Vol (2)'!AD$4:AD$1858,'Val-Vol (2)'!$A$4:$A$1858,$D1794,'Val-Vol (2)'!$V$4:$V$1858,$V1794)/SUMIFS('Comp2016-2017 (3)'!$G$5:$G$289,'Comp2016-2017 (3)'!$A$5:$A$289,$D1794,'Comp2016-2017 (3)'!$R$5:$R$289,$V1794)*$AB1794))</f>
        <v>8847.4989736058906</v>
      </c>
      <c r="AE1794" s="205" t="str">
        <f>IF($W1794=AE$3,$AB1794,IF(NOT($W1794=0),"",SUMIFS('Val-Vol (2)'!AE$4:AE$1858,'Val-Vol (2)'!$A$4:$A$1858,$D1794,'Val-Vol (2)'!$V$4:$V$1858,$V1794)/SUMIFS('Comp2016-2017 (3)'!$G$5:$G$289,'Comp2016-2017 (3)'!$A$5:$A$289,$D1794,'Comp2016-2017 (3)'!$R$5:$R$289,$V1794)*$AB1794))</f>
        <v/>
      </c>
      <c r="AF1794" s="205" t="str">
        <f>IF($W1794=AF$3,$AB1794,IF(NOT($W1794=0),"",SUMIFS('Val-Vol (2)'!AF$4:AF$1858,'Val-Vol (2)'!$A$4:$A$1858,$D1794,'Val-Vol (2)'!$V$4:$V$1858,$V1794)/SUMIFS('Comp2016-2017 (3)'!$G$5:$G$289,'Comp2016-2017 (3)'!$A$5:$A$289,$D1794,'Comp2016-2017 (3)'!$R$5:$R$289,$V1794)*$AB1794))</f>
        <v/>
      </c>
      <c r="AG1794" s="205" t="str">
        <f>IF($W1794=AG$3,$AB1794,IF(NOT($W1794=0),"",SUMIFS('Val-Vol (2)'!AG$4:AG$1858,'Val-Vol (2)'!$A$4:$A$1858,$D1794,'Val-Vol (2)'!$V$4:$V$1858,$V1794)/SUMIFS('Comp2016-2017 (3)'!$G$5:$G$289,'Comp2016-2017 (3)'!$A$5:$A$289,$D1794,'Comp2016-2017 (3)'!$R$5:$R$289,$V1794)*$AB1794))</f>
        <v/>
      </c>
      <c r="AH1794" s="205" t="str">
        <f>IF($W1794=AH$3,$AB1794,IF(NOT($W1794=0),"",SUMIFS('Val-Vol (2)'!AH$4:AH$1858,'Val-Vol (2)'!$A$4:$A$1858,$D1794,'Val-Vol (2)'!$V$4:$V$1858,$V1794)/SUMIFS('Comp2016-2017 (3)'!$G$5:$G$289,'Comp2016-2017 (3)'!$A$5:$A$289,$D1794,'Comp2016-2017 (3)'!$R$5:$R$289,$V1794)*$AB1794))</f>
        <v/>
      </c>
      <c r="AI1794" s="205" t="str">
        <f>IF($W1794=AI$3,$AB1794,IF(NOT($W1794=0),"",SUMIFS('Val-Vol (2)'!AI$4:AI$1858,'Val-Vol (2)'!$A$4:$A$1858,$D1794,'Val-Vol (2)'!$V$4:$V$1858,$V1794)/SUMIFS('Comp2016-2017 (3)'!$G$5:$G$289,'Comp2016-2017 (3)'!$A$5:$A$289,$D1794,'Comp2016-2017 (3)'!$R$5:$R$289,$V1794)*$AB1794))</f>
        <v/>
      </c>
      <c r="AJ1794" s="205" t="str">
        <f>IF($W1794=AJ$3,$AB1794,IF(NOT($W1794=0),"",SUMIFS('Val-Vol (2)'!AJ$4:AJ$1858,'Val-Vol (2)'!$A$4:$A$1858,$D1794,'Val-Vol (2)'!$V$4:$V$1858,$V1794)/SUMIFS('Comp2016-2017 (3)'!$G$5:$G$289,'Comp2016-2017 (3)'!$A$5:$A$289,$D1794,'Comp2016-2017 (3)'!$R$5:$R$289,$V1794)*$AB1794))</f>
        <v/>
      </c>
      <c r="AK1794" s="205">
        <f t="shared" si="197"/>
        <v>0</v>
      </c>
      <c r="AL1794" s="218" t="str">
        <f t="shared" si="199"/>
        <v/>
      </c>
      <c r="AM1794" s="218" t="str">
        <f>VLOOKUP(A1794,'Table corresp.'!$M$4:$U$63,8,FALSE)</f>
        <v xml:space="preserve">Mise en œuvre </v>
      </c>
      <c r="AN1794" s="218" t="str">
        <f>VLOOKUP(D1794,'Table corresp.'!$M$4:$U$63,9,FALSE)</f>
        <v xml:space="preserve">Mise en œuvre </v>
      </c>
    </row>
    <row r="1795" spans="1:40" x14ac:dyDescent="0.25">
      <c r="A1795" t="s">
        <v>104</v>
      </c>
      <c r="B1795" t="str">
        <f>VLOOKUP(LEFT(A1795,3),'Table corresp.'!$A$4:$D$63,3,FALSE)</f>
        <v>Transformation</v>
      </c>
      <c r="C1795" t="str">
        <f>VLOOKUP(A1795,'Table corresp.'!$M$4:$P$63,4,FALSE)</f>
        <v>Commerces et services</v>
      </c>
      <c r="D1795" t="s">
        <v>54</v>
      </c>
      <c r="E1795" t="str">
        <f>VLOOKUP(LEFT(D1795,3),'Table corresp.'!$A$4:$D$63,4,FALSE)</f>
        <v>Consommation finale</v>
      </c>
      <c r="F1795" t="str">
        <f t="shared" si="200"/>
        <v>61  - Con</v>
      </c>
      <c r="G1795" s="238">
        <v>278915.82960249</v>
      </c>
      <c r="H1795" s="238">
        <v>0</v>
      </c>
      <c r="I1795" s="238">
        <v>278915.82960249</v>
      </c>
      <c r="J1795" s="238"/>
      <c r="K1795" s="238"/>
      <c r="L1795" s="238"/>
      <c r="M1795" s="238"/>
      <c r="N1795" s="238"/>
      <c r="O1795" s="238"/>
      <c r="P1795" s="238"/>
      <c r="Q1795" s="238"/>
      <c r="R1795" s="238"/>
      <c r="S1795" s="238"/>
      <c r="T1795" s="218">
        <f>VLOOKUP(A1795,'Groupe de branches'!$Z$27:$AM$86,14,FALSE)</f>
        <v>0</v>
      </c>
      <c r="U1795" s="218">
        <f>VLOOKUP(D1795,'Groupe de branches'!$Z$27:$AM$86,14,FALSE)</f>
        <v>0</v>
      </c>
      <c r="V1795" s="218">
        <v>2020</v>
      </c>
      <c r="W1795" s="218" t="str">
        <f>VLOOKUP(D1795,'Table corresp.'!$M$4:$S$63,7,FALSE)</f>
        <v>Consommation finale</v>
      </c>
      <c r="X1795" s="240">
        <f>IFERROR(G1795/SUMIFS('Comp2016-2017 (3)'!$I$5:$I$289,'Comp2016-2017 (3)'!$A$5:$A$289,A1795,'Comp2016-2017 (3)'!$R$5:$R$289,V1795),0)</f>
        <v>0.18393206279510171</v>
      </c>
      <c r="Y1795" s="219">
        <f>IFERROR(IF(RIGHT(F1795,3)="Exp",VLOOKUP(F1795,#REF!,2,FALSE),VLOOKUP(F1795,#REF!,9,FALSE)),1)</f>
        <v>1</v>
      </c>
      <c r="Z1795" s="226">
        <f t="shared" si="201"/>
        <v>0.1111111111111111</v>
      </c>
      <c r="AA1795" s="226">
        <f t="shared" si="198"/>
        <v>2.043689586612241E-2</v>
      </c>
      <c r="AB1795" s="205">
        <f>IFERROR(SUMIFS('Comp2016-2017 (3)'!$G$5:$G$289,'Comp2016-2017 (3)'!$A$5:$A$289,A1795,'Comp2016-2017 (3)'!$R$5:$R$289,V1795)*AA1795/SUMIFS($AA$4:$AA$1858,$A$4:$A$1858,A1795,$V$4:$V$1858,V1795),0)</f>
        <v>278915.82960249</v>
      </c>
      <c r="AC1795" s="205" t="str">
        <f>IF($W1795=AC$3,$AB1795,IF(NOT($W1795=0),"",SUMIFS('Val-Vol (2)'!AC$4:AC$1858,'Val-Vol (2)'!$A$4:$A$1858,$D1795,'Val-Vol (2)'!$V$4:$V$1858,$V1795)/SUMIFS('Comp2016-2017 (3)'!$G$5:$G$289,'Comp2016-2017 (3)'!$A$5:$A$289,$D1795,'Comp2016-2017 (3)'!$R$5:$R$289,$V1795)*$AB1795))</f>
        <v/>
      </c>
      <c r="AD1795" s="205" t="str">
        <f>IF($W1795=AD$3,$AB1795,IF(NOT($W1795=0),"",SUMIFS('Val-Vol (2)'!AD$4:AD$1858,'Val-Vol (2)'!$A$4:$A$1858,$D1795,'Val-Vol (2)'!$V$4:$V$1858,$V1795)/SUMIFS('Comp2016-2017 (3)'!$G$5:$G$289,'Comp2016-2017 (3)'!$A$5:$A$289,$D1795,'Comp2016-2017 (3)'!$R$5:$R$289,$V1795)*$AB1795))</f>
        <v/>
      </c>
      <c r="AE1795" s="205" t="str">
        <f>IF($W1795=AE$3,$AB1795,IF(NOT($W1795=0),"",SUMIFS('Val-Vol (2)'!AE$4:AE$1858,'Val-Vol (2)'!$A$4:$A$1858,$D1795,'Val-Vol (2)'!$V$4:$V$1858,$V1795)/SUMIFS('Comp2016-2017 (3)'!$G$5:$G$289,'Comp2016-2017 (3)'!$A$5:$A$289,$D1795,'Comp2016-2017 (3)'!$R$5:$R$289,$V1795)*$AB1795))</f>
        <v/>
      </c>
      <c r="AF1795" s="205" t="str">
        <f>IF($W1795=AF$3,$AB1795,IF(NOT($W1795=0),"",SUMIFS('Val-Vol (2)'!AF$4:AF$1858,'Val-Vol (2)'!$A$4:$A$1858,$D1795,'Val-Vol (2)'!$V$4:$V$1858,$V1795)/SUMIFS('Comp2016-2017 (3)'!$G$5:$G$289,'Comp2016-2017 (3)'!$A$5:$A$289,$D1795,'Comp2016-2017 (3)'!$R$5:$R$289,$V1795)*$AB1795))</f>
        <v/>
      </c>
      <c r="AG1795" s="205" t="str">
        <f>IF($W1795=AG$3,$AB1795,IF(NOT($W1795=0),"",SUMIFS('Val-Vol (2)'!AG$4:AG$1858,'Val-Vol (2)'!$A$4:$A$1858,$D1795,'Val-Vol (2)'!$V$4:$V$1858,$V1795)/SUMIFS('Comp2016-2017 (3)'!$G$5:$G$289,'Comp2016-2017 (3)'!$A$5:$A$289,$D1795,'Comp2016-2017 (3)'!$R$5:$R$289,$V1795)*$AB1795))</f>
        <v/>
      </c>
      <c r="AH1795" s="205" t="str">
        <f>IF($W1795=AH$3,$AB1795,IF(NOT($W1795=0),"",SUMIFS('Val-Vol (2)'!AH$4:AH$1858,'Val-Vol (2)'!$A$4:$A$1858,$D1795,'Val-Vol (2)'!$V$4:$V$1858,$V1795)/SUMIFS('Comp2016-2017 (3)'!$G$5:$G$289,'Comp2016-2017 (3)'!$A$5:$A$289,$D1795,'Comp2016-2017 (3)'!$R$5:$R$289,$V1795)*$AB1795))</f>
        <v/>
      </c>
      <c r="AI1795" s="205" t="str">
        <f>IF($W1795=AI$3,$AB1795,IF(NOT($W1795=0),"",SUMIFS('Val-Vol (2)'!AI$4:AI$1858,'Val-Vol (2)'!$A$4:$A$1858,$D1795,'Val-Vol (2)'!$V$4:$V$1858,$V1795)/SUMIFS('Comp2016-2017 (3)'!$G$5:$G$289,'Comp2016-2017 (3)'!$A$5:$A$289,$D1795,'Comp2016-2017 (3)'!$R$5:$R$289,$V1795)*$AB1795))</f>
        <v/>
      </c>
      <c r="AJ1795" s="205">
        <f>IF($W1795=AJ$3,$AB1795,IF(NOT($W1795=0),"",SUMIFS('Val-Vol (2)'!AJ$4:AJ$1858,'Val-Vol (2)'!$A$4:$A$1858,$D1795,'Val-Vol (2)'!$V$4:$V$1858,$V1795)/SUMIFS('Comp2016-2017 (3)'!$G$5:$G$289,'Comp2016-2017 (3)'!$A$5:$A$289,$D1795,'Comp2016-2017 (3)'!$R$5:$R$289,$V1795)*$AB1795))</f>
        <v>278915.82960249</v>
      </c>
      <c r="AK1795" s="205">
        <f t="shared" si="197"/>
        <v>0</v>
      </c>
      <c r="AL1795" s="218" t="str">
        <f t="shared" si="199"/>
        <v/>
      </c>
      <c r="AM1795" s="218" t="str">
        <f>VLOOKUP(A1795,'Table corresp.'!$M$4:$U$63,8,FALSE)</f>
        <v xml:space="preserve">Mise en œuvre </v>
      </c>
      <c r="AN1795" s="218" t="str">
        <f>VLOOKUP(D1795,'Table corresp.'!$M$4:$U$63,9,FALSE)</f>
        <v>Consommation finale française</v>
      </c>
    </row>
    <row r="1796" spans="1:40" x14ac:dyDescent="0.25">
      <c r="A1796" t="s">
        <v>105</v>
      </c>
      <c r="B1796" t="str">
        <f>VLOOKUP(LEFT(A1796,3),'Table corresp.'!$A$4:$D$63,3,FALSE)</f>
        <v>Transformation</v>
      </c>
      <c r="C1796" t="str">
        <f>VLOOKUP(A1796,'Table corresp.'!$M$4:$P$63,4,FALSE)</f>
        <v>Commerces et services</v>
      </c>
      <c r="D1796" t="s">
        <v>19</v>
      </c>
      <c r="E1796" t="str">
        <f>VLOOKUP(LEFT(D1796,3),'Table corresp.'!$A$4:$D$63,4,FALSE)</f>
        <v>Transformation</v>
      </c>
      <c r="F1796" t="str">
        <f t="shared" si="200"/>
        <v xml:space="preserve">62  - 52 </v>
      </c>
      <c r="G1796" s="238">
        <v>8997.7011875398002</v>
      </c>
      <c r="H1796" s="238">
        <v>0</v>
      </c>
      <c r="I1796" s="238">
        <v>8997.7011875398002</v>
      </c>
      <c r="J1796" s="238"/>
      <c r="K1796" s="238"/>
      <c r="L1796" s="238"/>
      <c r="M1796" s="238"/>
      <c r="N1796" s="238"/>
      <c r="O1796" s="238"/>
      <c r="P1796" s="238"/>
      <c r="Q1796" s="238"/>
      <c r="R1796" s="238"/>
      <c r="S1796" s="238"/>
      <c r="T1796" s="218">
        <f>VLOOKUP(A1796,'Groupe de branches'!$Z$27:$AM$86,14,FALSE)</f>
        <v>0</v>
      </c>
      <c r="U1796" s="218">
        <f>VLOOKUP(D1796,'Groupe de branches'!$Z$27:$AM$86,14,FALSE)</f>
        <v>0</v>
      </c>
      <c r="V1796" s="218">
        <v>2020</v>
      </c>
      <c r="W1796" s="218" t="str">
        <f>VLOOKUP(D1796,'Table corresp.'!$M$4:$S$63,7,FALSE)</f>
        <v>Construction</v>
      </c>
      <c r="X1796" s="240">
        <f>IFERROR(G1796/SUMIFS('Comp2016-2017 (3)'!$I$5:$I$289,'Comp2016-2017 (3)'!$A$5:$A$289,A1796,'Comp2016-2017 (3)'!$R$5:$R$289,V1796),0)</f>
        <v>4.6940735350791286E-3</v>
      </c>
      <c r="Y1796" s="219">
        <f>IFERROR(IF(RIGHT(F1796,3)="Exp",VLOOKUP(F1796,#REF!,2,FALSE),VLOOKUP(F1796,#REF!,9,FALSE)),1)</f>
        <v>1</v>
      </c>
      <c r="Z1796" s="226">
        <f t="shared" si="201"/>
        <v>0.1111111111111111</v>
      </c>
      <c r="AA1796" s="226">
        <f t="shared" si="198"/>
        <v>5.215637261199032E-4</v>
      </c>
      <c r="AB1796" s="205">
        <f>IFERROR(SUMIFS('Comp2016-2017 (3)'!$G$5:$G$289,'Comp2016-2017 (3)'!$A$5:$A$289,A1796,'Comp2016-2017 (3)'!$R$5:$R$289,V1796)*AA1796/SUMIFS($AA$4:$AA$1858,$A$4:$A$1858,A1796,$V$4:$V$1858,V1796),0)</f>
        <v>8997.7011875398166</v>
      </c>
      <c r="AC1796" s="205" t="str">
        <f>IF($W1796=AC$3,$AB1796,IF(NOT($W1796=0),"",SUMIFS('Val-Vol (2)'!AC$4:AC$1858,'Val-Vol (2)'!$A$4:$A$1858,$D1796,'Val-Vol (2)'!$V$4:$V$1858,$V1796)/SUMIFS('Comp2016-2017 (3)'!$G$5:$G$289,'Comp2016-2017 (3)'!$A$5:$A$289,$D1796,'Comp2016-2017 (3)'!$R$5:$R$289,$V1796)*$AB1796))</f>
        <v/>
      </c>
      <c r="AD1796" s="205">
        <f>IF($W1796=AD$3,$AB1796,IF(NOT($W1796=0),"",SUMIFS('Val-Vol (2)'!AD$4:AD$1858,'Val-Vol (2)'!$A$4:$A$1858,$D1796,'Val-Vol (2)'!$V$4:$V$1858,$V1796)/SUMIFS('Comp2016-2017 (3)'!$G$5:$G$289,'Comp2016-2017 (3)'!$A$5:$A$289,$D1796,'Comp2016-2017 (3)'!$R$5:$R$289,$V1796)*$AB1796))</f>
        <v>8997.7011875398166</v>
      </c>
      <c r="AE1796" s="205" t="str">
        <f>IF($W1796=AE$3,$AB1796,IF(NOT($W1796=0),"",SUMIFS('Val-Vol (2)'!AE$4:AE$1858,'Val-Vol (2)'!$A$4:$A$1858,$D1796,'Val-Vol (2)'!$V$4:$V$1858,$V1796)/SUMIFS('Comp2016-2017 (3)'!$G$5:$G$289,'Comp2016-2017 (3)'!$A$5:$A$289,$D1796,'Comp2016-2017 (3)'!$R$5:$R$289,$V1796)*$AB1796))</f>
        <v/>
      </c>
      <c r="AF1796" s="205" t="str">
        <f>IF($W1796=AF$3,$AB1796,IF(NOT($W1796=0),"",SUMIFS('Val-Vol (2)'!AF$4:AF$1858,'Val-Vol (2)'!$A$4:$A$1858,$D1796,'Val-Vol (2)'!$V$4:$V$1858,$V1796)/SUMIFS('Comp2016-2017 (3)'!$G$5:$G$289,'Comp2016-2017 (3)'!$A$5:$A$289,$D1796,'Comp2016-2017 (3)'!$R$5:$R$289,$V1796)*$AB1796))</f>
        <v/>
      </c>
      <c r="AG1796" s="205" t="str">
        <f>IF($W1796=AG$3,$AB1796,IF(NOT($W1796=0),"",SUMIFS('Val-Vol (2)'!AG$4:AG$1858,'Val-Vol (2)'!$A$4:$A$1858,$D1796,'Val-Vol (2)'!$V$4:$V$1858,$V1796)/SUMIFS('Comp2016-2017 (3)'!$G$5:$G$289,'Comp2016-2017 (3)'!$A$5:$A$289,$D1796,'Comp2016-2017 (3)'!$R$5:$R$289,$V1796)*$AB1796))</f>
        <v/>
      </c>
      <c r="AH1796" s="205" t="str">
        <f>IF($W1796=AH$3,$AB1796,IF(NOT($W1796=0),"",SUMIFS('Val-Vol (2)'!AH$4:AH$1858,'Val-Vol (2)'!$A$4:$A$1858,$D1796,'Val-Vol (2)'!$V$4:$V$1858,$V1796)/SUMIFS('Comp2016-2017 (3)'!$G$5:$G$289,'Comp2016-2017 (3)'!$A$5:$A$289,$D1796,'Comp2016-2017 (3)'!$R$5:$R$289,$V1796)*$AB1796))</f>
        <v/>
      </c>
      <c r="AI1796" s="205" t="str">
        <f>IF($W1796=AI$3,$AB1796,IF(NOT($W1796=0),"",SUMIFS('Val-Vol (2)'!AI$4:AI$1858,'Val-Vol (2)'!$A$4:$A$1858,$D1796,'Val-Vol (2)'!$V$4:$V$1858,$V1796)/SUMIFS('Comp2016-2017 (3)'!$G$5:$G$289,'Comp2016-2017 (3)'!$A$5:$A$289,$D1796,'Comp2016-2017 (3)'!$R$5:$R$289,$V1796)*$AB1796))</f>
        <v/>
      </c>
      <c r="AJ1796" s="205" t="str">
        <f>IF($W1796=AJ$3,$AB1796,IF(NOT($W1796=0),"",SUMIFS('Val-Vol (2)'!AJ$4:AJ$1858,'Val-Vol (2)'!$A$4:$A$1858,$D1796,'Val-Vol (2)'!$V$4:$V$1858,$V1796)/SUMIFS('Comp2016-2017 (3)'!$G$5:$G$289,'Comp2016-2017 (3)'!$A$5:$A$289,$D1796,'Comp2016-2017 (3)'!$R$5:$R$289,$V1796)*$AB1796))</f>
        <v/>
      </c>
      <c r="AK1796" s="205">
        <f t="shared" si="197"/>
        <v>0</v>
      </c>
      <c r="AL1796" s="218" t="str">
        <f t="shared" si="199"/>
        <v/>
      </c>
      <c r="AM1796" s="218" t="str">
        <f>VLOOKUP(A1796,'Table corresp.'!$M$4:$U$63,8,FALSE)</f>
        <v>Consommation finale française</v>
      </c>
      <c r="AN1796" s="218" t="str">
        <f>VLOOKUP(D1796,'Table corresp.'!$M$4:$U$63,9,FALSE)</f>
        <v xml:space="preserve">Mise en œuvre </v>
      </c>
    </row>
    <row r="1797" spans="1:40" x14ac:dyDescent="0.25">
      <c r="A1797" t="s">
        <v>105</v>
      </c>
      <c r="B1797" t="str">
        <f>VLOOKUP(LEFT(A1797,3),'Table corresp.'!$A$4:$D$63,3,FALSE)</f>
        <v>Transformation</v>
      </c>
      <c r="C1797" t="str">
        <f>VLOOKUP(A1797,'Table corresp.'!$M$4:$P$63,4,FALSE)</f>
        <v>Commerces et services</v>
      </c>
      <c r="D1797" t="s">
        <v>20</v>
      </c>
      <c r="E1797" t="str">
        <f>VLOOKUP(LEFT(D1797,3),'Table corresp.'!$A$4:$D$63,4,FALSE)</f>
        <v>Transformation</v>
      </c>
      <c r="F1797" t="str">
        <f t="shared" si="200"/>
        <v xml:space="preserve">62  - 53 </v>
      </c>
      <c r="G1797" s="238">
        <v>1433.22336520663</v>
      </c>
      <c r="H1797" s="238">
        <v>0</v>
      </c>
      <c r="I1797" s="238">
        <v>1433.22336520663</v>
      </c>
      <c r="J1797" s="238"/>
      <c r="K1797" s="238"/>
      <c r="L1797" s="238"/>
      <c r="M1797" s="238"/>
      <c r="N1797" s="238"/>
      <c r="O1797" s="238"/>
      <c r="P1797" s="238"/>
      <c r="Q1797" s="238"/>
      <c r="R1797" s="238"/>
      <c r="S1797" s="238"/>
      <c r="T1797" s="218">
        <f>VLOOKUP(A1797,'Groupe de branches'!$Z$27:$AM$86,14,FALSE)</f>
        <v>0</v>
      </c>
      <c r="U1797" s="218">
        <f>VLOOKUP(D1797,'Groupe de branches'!$Z$27:$AM$86,14,FALSE)</f>
        <v>0</v>
      </c>
      <c r="V1797" s="218">
        <v>2020</v>
      </c>
      <c r="W1797" s="218" t="str">
        <f>VLOOKUP(D1797,'Table corresp.'!$M$4:$S$63,7,FALSE)</f>
        <v>Construction</v>
      </c>
      <c r="X1797" s="240">
        <f>IFERROR(G1797/SUMIFS('Comp2016-2017 (3)'!$I$5:$I$289,'Comp2016-2017 (3)'!$A$5:$A$289,A1797,'Comp2016-2017 (3)'!$R$5:$R$289,V1797),0)</f>
        <v>7.4770830107028733E-4</v>
      </c>
      <c r="Y1797" s="219">
        <f>IFERROR(IF(RIGHT(F1797,3)="Exp",VLOOKUP(F1797,#REF!,2,FALSE),VLOOKUP(F1797,#REF!,9,FALSE)),1)</f>
        <v>1</v>
      </c>
      <c r="Z1797" s="226">
        <f t="shared" si="201"/>
        <v>0.1111111111111111</v>
      </c>
      <c r="AA1797" s="226">
        <f t="shared" si="198"/>
        <v>8.3078700118920811E-5</v>
      </c>
      <c r="AB1797" s="205">
        <f>IFERROR(SUMIFS('Comp2016-2017 (3)'!$G$5:$G$289,'Comp2016-2017 (3)'!$A$5:$A$289,A1797,'Comp2016-2017 (3)'!$R$5:$R$289,V1797)*AA1797/SUMIFS($AA$4:$AA$1858,$A$4:$A$1858,A1797,$V$4:$V$1858,V1797),0)</f>
        <v>1433.2233652066325</v>
      </c>
      <c r="AC1797" s="205" t="str">
        <f>IF($W1797=AC$3,$AB1797,IF(NOT($W1797=0),"",SUMIFS('Val-Vol (2)'!AC$4:AC$1858,'Val-Vol (2)'!$A$4:$A$1858,$D1797,'Val-Vol (2)'!$V$4:$V$1858,$V1797)/SUMIFS('Comp2016-2017 (3)'!$G$5:$G$289,'Comp2016-2017 (3)'!$A$5:$A$289,$D1797,'Comp2016-2017 (3)'!$R$5:$R$289,$V1797)*$AB1797))</f>
        <v/>
      </c>
      <c r="AD1797" s="205">
        <f>IF($W1797=AD$3,$AB1797,IF(NOT($W1797=0),"",SUMIFS('Val-Vol (2)'!AD$4:AD$1858,'Val-Vol (2)'!$A$4:$A$1858,$D1797,'Val-Vol (2)'!$V$4:$V$1858,$V1797)/SUMIFS('Comp2016-2017 (3)'!$G$5:$G$289,'Comp2016-2017 (3)'!$A$5:$A$289,$D1797,'Comp2016-2017 (3)'!$R$5:$R$289,$V1797)*$AB1797))</f>
        <v>1433.2233652066325</v>
      </c>
      <c r="AE1797" s="205" t="str">
        <f>IF($W1797=AE$3,$AB1797,IF(NOT($W1797=0),"",SUMIFS('Val-Vol (2)'!AE$4:AE$1858,'Val-Vol (2)'!$A$4:$A$1858,$D1797,'Val-Vol (2)'!$V$4:$V$1858,$V1797)/SUMIFS('Comp2016-2017 (3)'!$G$5:$G$289,'Comp2016-2017 (3)'!$A$5:$A$289,$D1797,'Comp2016-2017 (3)'!$R$5:$R$289,$V1797)*$AB1797))</f>
        <v/>
      </c>
      <c r="AF1797" s="205" t="str">
        <f>IF($W1797=AF$3,$AB1797,IF(NOT($W1797=0),"",SUMIFS('Val-Vol (2)'!AF$4:AF$1858,'Val-Vol (2)'!$A$4:$A$1858,$D1797,'Val-Vol (2)'!$V$4:$V$1858,$V1797)/SUMIFS('Comp2016-2017 (3)'!$G$5:$G$289,'Comp2016-2017 (3)'!$A$5:$A$289,$D1797,'Comp2016-2017 (3)'!$R$5:$R$289,$V1797)*$AB1797))</f>
        <v/>
      </c>
      <c r="AG1797" s="205" t="str">
        <f>IF($W1797=AG$3,$AB1797,IF(NOT($W1797=0),"",SUMIFS('Val-Vol (2)'!AG$4:AG$1858,'Val-Vol (2)'!$A$4:$A$1858,$D1797,'Val-Vol (2)'!$V$4:$V$1858,$V1797)/SUMIFS('Comp2016-2017 (3)'!$G$5:$G$289,'Comp2016-2017 (3)'!$A$5:$A$289,$D1797,'Comp2016-2017 (3)'!$R$5:$R$289,$V1797)*$AB1797))</f>
        <v/>
      </c>
      <c r="AH1797" s="205" t="str">
        <f>IF($W1797=AH$3,$AB1797,IF(NOT($W1797=0),"",SUMIFS('Val-Vol (2)'!AH$4:AH$1858,'Val-Vol (2)'!$A$4:$A$1858,$D1797,'Val-Vol (2)'!$V$4:$V$1858,$V1797)/SUMIFS('Comp2016-2017 (3)'!$G$5:$G$289,'Comp2016-2017 (3)'!$A$5:$A$289,$D1797,'Comp2016-2017 (3)'!$R$5:$R$289,$V1797)*$AB1797))</f>
        <v/>
      </c>
      <c r="AI1797" s="205" t="str">
        <f>IF($W1797=AI$3,$AB1797,IF(NOT($W1797=0),"",SUMIFS('Val-Vol (2)'!AI$4:AI$1858,'Val-Vol (2)'!$A$4:$A$1858,$D1797,'Val-Vol (2)'!$V$4:$V$1858,$V1797)/SUMIFS('Comp2016-2017 (3)'!$G$5:$G$289,'Comp2016-2017 (3)'!$A$5:$A$289,$D1797,'Comp2016-2017 (3)'!$R$5:$R$289,$V1797)*$AB1797))</f>
        <v/>
      </c>
      <c r="AJ1797" s="205" t="str">
        <f>IF($W1797=AJ$3,$AB1797,IF(NOT($W1797=0),"",SUMIFS('Val-Vol (2)'!AJ$4:AJ$1858,'Val-Vol (2)'!$A$4:$A$1858,$D1797,'Val-Vol (2)'!$V$4:$V$1858,$V1797)/SUMIFS('Comp2016-2017 (3)'!$G$5:$G$289,'Comp2016-2017 (3)'!$A$5:$A$289,$D1797,'Comp2016-2017 (3)'!$R$5:$R$289,$V1797)*$AB1797))</f>
        <v/>
      </c>
      <c r="AK1797" s="205">
        <f t="shared" si="197"/>
        <v>0</v>
      </c>
      <c r="AL1797" s="218" t="str">
        <f t="shared" si="199"/>
        <v/>
      </c>
      <c r="AM1797" s="218" t="str">
        <f>VLOOKUP(A1797,'Table corresp.'!$M$4:$U$63,8,FALSE)</f>
        <v>Consommation finale française</v>
      </c>
      <c r="AN1797" s="218" t="str">
        <f>VLOOKUP(D1797,'Table corresp.'!$M$4:$U$63,9,FALSE)</f>
        <v xml:space="preserve">Mise en œuvre </v>
      </c>
    </row>
    <row r="1798" spans="1:40" x14ac:dyDescent="0.25">
      <c r="A1798" t="s">
        <v>105</v>
      </c>
      <c r="B1798" t="str">
        <f>VLOOKUP(LEFT(A1798,3),'Table corresp.'!$A$4:$D$63,3,FALSE)</f>
        <v>Transformation</v>
      </c>
      <c r="C1798" t="str">
        <f>VLOOKUP(A1798,'Table corresp.'!$M$4:$P$63,4,FALSE)</f>
        <v>Commerces et services</v>
      </c>
      <c r="D1798" t="s">
        <v>21</v>
      </c>
      <c r="E1798" t="str">
        <f>VLOOKUP(LEFT(D1798,3),'Table corresp.'!$A$4:$D$63,4,FALSE)</f>
        <v>Transformation</v>
      </c>
      <c r="F1798" t="str">
        <f t="shared" si="200"/>
        <v xml:space="preserve">62  - 54 </v>
      </c>
      <c r="G1798" s="238">
        <v>93711.479855979094</v>
      </c>
      <c r="H1798" s="238">
        <v>0</v>
      </c>
      <c r="I1798" s="238">
        <v>93711.479855979094</v>
      </c>
      <c r="J1798" s="238"/>
      <c r="K1798" s="238"/>
      <c r="L1798" s="238"/>
      <c r="M1798" s="238"/>
      <c r="N1798" s="238"/>
      <c r="O1798" s="238"/>
      <c r="P1798" s="238"/>
      <c r="Q1798" s="238"/>
      <c r="R1798" s="238"/>
      <c r="S1798" s="238"/>
      <c r="T1798" s="218">
        <f>VLOOKUP(A1798,'Groupe de branches'!$Z$27:$AM$86,14,FALSE)</f>
        <v>0</v>
      </c>
      <c r="U1798" s="218">
        <f>VLOOKUP(D1798,'Groupe de branches'!$Z$27:$AM$86,14,FALSE)</f>
        <v>0</v>
      </c>
      <c r="V1798" s="218">
        <v>2020</v>
      </c>
      <c r="W1798" s="218" t="str">
        <f>VLOOKUP(D1798,'Table corresp.'!$M$4:$S$63,7,FALSE)</f>
        <v>Construction</v>
      </c>
      <c r="X1798" s="240">
        <f>IFERROR(G1798/SUMIFS('Comp2016-2017 (3)'!$I$5:$I$289,'Comp2016-2017 (3)'!$A$5:$A$289,A1798,'Comp2016-2017 (3)'!$R$5:$R$289,V1798),0)</f>
        <v>4.8888996017584917E-2</v>
      </c>
      <c r="Y1798" s="219">
        <f>IFERROR(IF(RIGHT(F1798,3)="Exp",VLOOKUP(F1798,#REF!,2,FALSE),VLOOKUP(F1798,#REF!,9,FALSE)),1)</f>
        <v>1</v>
      </c>
      <c r="Z1798" s="226">
        <f t="shared" si="201"/>
        <v>0.1111111111111111</v>
      </c>
      <c r="AA1798" s="226">
        <f t="shared" si="198"/>
        <v>5.4321106686205456E-3</v>
      </c>
      <c r="AB1798" s="205">
        <f>IFERROR(SUMIFS('Comp2016-2017 (3)'!$G$5:$G$289,'Comp2016-2017 (3)'!$A$5:$A$289,A1798,'Comp2016-2017 (3)'!$R$5:$R$289,V1798)*AA1798/SUMIFS($AA$4:$AA$1858,$A$4:$A$1858,A1798,$V$4:$V$1858,V1798),0)</f>
        <v>93711.479855979254</v>
      </c>
      <c r="AC1798" s="205" t="str">
        <f>IF($W1798=AC$3,$AB1798,IF(NOT($W1798=0),"",SUMIFS('Val-Vol (2)'!AC$4:AC$1858,'Val-Vol (2)'!$A$4:$A$1858,$D1798,'Val-Vol (2)'!$V$4:$V$1858,$V1798)/SUMIFS('Comp2016-2017 (3)'!$G$5:$G$289,'Comp2016-2017 (3)'!$A$5:$A$289,$D1798,'Comp2016-2017 (3)'!$R$5:$R$289,$V1798)*$AB1798))</f>
        <v/>
      </c>
      <c r="AD1798" s="205">
        <f>IF($W1798=AD$3,$AB1798,IF(NOT($W1798=0),"",SUMIFS('Val-Vol (2)'!AD$4:AD$1858,'Val-Vol (2)'!$A$4:$A$1858,$D1798,'Val-Vol (2)'!$V$4:$V$1858,$V1798)/SUMIFS('Comp2016-2017 (3)'!$G$5:$G$289,'Comp2016-2017 (3)'!$A$5:$A$289,$D1798,'Comp2016-2017 (3)'!$R$5:$R$289,$V1798)*$AB1798))</f>
        <v>93711.479855979254</v>
      </c>
      <c r="AE1798" s="205" t="str">
        <f>IF($W1798=AE$3,$AB1798,IF(NOT($W1798=0),"",SUMIFS('Val-Vol (2)'!AE$4:AE$1858,'Val-Vol (2)'!$A$4:$A$1858,$D1798,'Val-Vol (2)'!$V$4:$V$1858,$V1798)/SUMIFS('Comp2016-2017 (3)'!$G$5:$G$289,'Comp2016-2017 (3)'!$A$5:$A$289,$D1798,'Comp2016-2017 (3)'!$R$5:$R$289,$V1798)*$AB1798))</f>
        <v/>
      </c>
      <c r="AF1798" s="205" t="str">
        <f>IF($W1798=AF$3,$AB1798,IF(NOT($W1798=0),"",SUMIFS('Val-Vol (2)'!AF$4:AF$1858,'Val-Vol (2)'!$A$4:$A$1858,$D1798,'Val-Vol (2)'!$V$4:$V$1858,$V1798)/SUMIFS('Comp2016-2017 (3)'!$G$5:$G$289,'Comp2016-2017 (3)'!$A$5:$A$289,$D1798,'Comp2016-2017 (3)'!$R$5:$R$289,$V1798)*$AB1798))</f>
        <v/>
      </c>
      <c r="AG1798" s="205" t="str">
        <f>IF($W1798=AG$3,$AB1798,IF(NOT($W1798=0),"",SUMIFS('Val-Vol (2)'!AG$4:AG$1858,'Val-Vol (2)'!$A$4:$A$1858,$D1798,'Val-Vol (2)'!$V$4:$V$1858,$V1798)/SUMIFS('Comp2016-2017 (3)'!$G$5:$G$289,'Comp2016-2017 (3)'!$A$5:$A$289,$D1798,'Comp2016-2017 (3)'!$R$5:$R$289,$V1798)*$AB1798))</f>
        <v/>
      </c>
      <c r="AH1798" s="205" t="str">
        <f>IF($W1798=AH$3,$AB1798,IF(NOT($W1798=0),"",SUMIFS('Val-Vol (2)'!AH$4:AH$1858,'Val-Vol (2)'!$A$4:$A$1858,$D1798,'Val-Vol (2)'!$V$4:$V$1858,$V1798)/SUMIFS('Comp2016-2017 (3)'!$G$5:$G$289,'Comp2016-2017 (3)'!$A$5:$A$289,$D1798,'Comp2016-2017 (3)'!$R$5:$R$289,$V1798)*$AB1798))</f>
        <v/>
      </c>
      <c r="AI1798" s="205" t="str">
        <f>IF($W1798=AI$3,$AB1798,IF(NOT($W1798=0),"",SUMIFS('Val-Vol (2)'!AI$4:AI$1858,'Val-Vol (2)'!$A$4:$A$1858,$D1798,'Val-Vol (2)'!$V$4:$V$1858,$V1798)/SUMIFS('Comp2016-2017 (3)'!$G$5:$G$289,'Comp2016-2017 (3)'!$A$5:$A$289,$D1798,'Comp2016-2017 (3)'!$R$5:$R$289,$V1798)*$AB1798))</f>
        <v/>
      </c>
      <c r="AJ1798" s="205" t="str">
        <f>IF($W1798=AJ$3,$AB1798,IF(NOT($W1798=0),"",SUMIFS('Val-Vol (2)'!AJ$4:AJ$1858,'Val-Vol (2)'!$A$4:$A$1858,$D1798,'Val-Vol (2)'!$V$4:$V$1858,$V1798)/SUMIFS('Comp2016-2017 (3)'!$G$5:$G$289,'Comp2016-2017 (3)'!$A$5:$A$289,$D1798,'Comp2016-2017 (3)'!$R$5:$R$289,$V1798)*$AB1798))</f>
        <v/>
      </c>
      <c r="AK1798" s="205">
        <f t="shared" si="197"/>
        <v>0</v>
      </c>
      <c r="AL1798" s="218" t="str">
        <f t="shared" si="199"/>
        <v/>
      </c>
      <c r="AM1798" s="218" t="str">
        <f>VLOOKUP(A1798,'Table corresp.'!$M$4:$U$63,8,FALSE)</f>
        <v>Consommation finale française</v>
      </c>
      <c r="AN1798" s="218" t="str">
        <f>VLOOKUP(D1798,'Table corresp.'!$M$4:$U$63,9,FALSE)</f>
        <v xml:space="preserve">Mise en œuvre </v>
      </c>
    </row>
    <row r="1799" spans="1:40" x14ac:dyDescent="0.25">
      <c r="A1799" t="s">
        <v>105</v>
      </c>
      <c r="B1799" t="str">
        <f>VLOOKUP(LEFT(A1799,3),'Table corresp.'!$A$4:$D$63,3,FALSE)</f>
        <v>Transformation</v>
      </c>
      <c r="C1799" t="str">
        <f>VLOOKUP(A1799,'Table corresp.'!$M$4:$P$63,4,FALSE)</f>
        <v>Commerces et services</v>
      </c>
      <c r="D1799" t="s">
        <v>22</v>
      </c>
      <c r="E1799" t="str">
        <f>VLOOKUP(LEFT(D1799,3),'Table corresp.'!$A$4:$D$63,4,FALSE)</f>
        <v>Transformation</v>
      </c>
      <c r="F1799" t="str">
        <f t="shared" si="200"/>
        <v xml:space="preserve">62  - 55 </v>
      </c>
      <c r="G1799" s="238">
        <v>19698.782527460298</v>
      </c>
      <c r="H1799" s="238">
        <v>0</v>
      </c>
      <c r="I1799" s="238">
        <v>19698.782527460298</v>
      </c>
      <c r="J1799" s="238"/>
      <c r="K1799" s="238"/>
      <c r="L1799" s="238"/>
      <c r="M1799" s="238"/>
      <c r="N1799" s="238"/>
      <c r="O1799" s="238"/>
      <c r="P1799" s="238"/>
      <c r="Q1799" s="238"/>
      <c r="R1799" s="238"/>
      <c r="S1799" s="238"/>
      <c r="T1799" s="218">
        <f>VLOOKUP(A1799,'Groupe de branches'!$Z$27:$AM$86,14,FALSE)</f>
        <v>0</v>
      </c>
      <c r="U1799" s="218">
        <f>VLOOKUP(D1799,'Groupe de branches'!$Z$27:$AM$86,14,FALSE)</f>
        <v>0</v>
      </c>
      <c r="V1799" s="218">
        <v>2020</v>
      </c>
      <c r="W1799" s="218" t="str">
        <f>VLOOKUP(D1799,'Table corresp.'!$M$4:$S$63,7,FALSE)</f>
        <v>Construction</v>
      </c>
      <c r="X1799" s="240">
        <f>IFERROR(G1799/SUMIFS('Comp2016-2017 (3)'!$I$5:$I$289,'Comp2016-2017 (3)'!$A$5:$A$289,A1799,'Comp2016-2017 (3)'!$R$5:$R$289,V1799),0)</f>
        <v>1.0276795351181639E-2</v>
      </c>
      <c r="Y1799" s="219">
        <f>IFERROR(IF(RIGHT(F1799,3)="Exp",VLOOKUP(F1799,#REF!,2,FALSE),VLOOKUP(F1799,#REF!,9,FALSE)),1)</f>
        <v>1</v>
      </c>
      <c r="Z1799" s="226">
        <f t="shared" si="201"/>
        <v>0.1111111111111111</v>
      </c>
      <c r="AA1799" s="226">
        <f t="shared" si="198"/>
        <v>1.1418661501312931E-3</v>
      </c>
      <c r="AB1799" s="205">
        <f>IFERROR(SUMIFS('Comp2016-2017 (3)'!$G$5:$G$289,'Comp2016-2017 (3)'!$A$5:$A$289,A1799,'Comp2016-2017 (3)'!$R$5:$R$289,V1799)*AA1799/SUMIFS($AA$4:$AA$1858,$A$4:$A$1858,A1799,$V$4:$V$1858,V1799),0)</f>
        <v>19698.782527460331</v>
      </c>
      <c r="AC1799" s="205" t="str">
        <f>IF($W1799=AC$3,$AB1799,IF(NOT($W1799=0),"",SUMIFS('Val-Vol (2)'!AC$4:AC$1858,'Val-Vol (2)'!$A$4:$A$1858,$D1799,'Val-Vol (2)'!$V$4:$V$1858,$V1799)/SUMIFS('Comp2016-2017 (3)'!$G$5:$G$289,'Comp2016-2017 (3)'!$A$5:$A$289,$D1799,'Comp2016-2017 (3)'!$R$5:$R$289,$V1799)*$AB1799))</f>
        <v/>
      </c>
      <c r="AD1799" s="205">
        <f>IF($W1799=AD$3,$AB1799,IF(NOT($W1799=0),"",SUMIFS('Val-Vol (2)'!AD$4:AD$1858,'Val-Vol (2)'!$A$4:$A$1858,$D1799,'Val-Vol (2)'!$V$4:$V$1858,$V1799)/SUMIFS('Comp2016-2017 (3)'!$G$5:$G$289,'Comp2016-2017 (3)'!$A$5:$A$289,$D1799,'Comp2016-2017 (3)'!$R$5:$R$289,$V1799)*$AB1799))</f>
        <v>19698.782527460331</v>
      </c>
      <c r="AE1799" s="205" t="str">
        <f>IF($W1799=AE$3,$AB1799,IF(NOT($W1799=0),"",SUMIFS('Val-Vol (2)'!AE$4:AE$1858,'Val-Vol (2)'!$A$4:$A$1858,$D1799,'Val-Vol (2)'!$V$4:$V$1858,$V1799)/SUMIFS('Comp2016-2017 (3)'!$G$5:$G$289,'Comp2016-2017 (3)'!$A$5:$A$289,$D1799,'Comp2016-2017 (3)'!$R$5:$R$289,$V1799)*$AB1799))</f>
        <v/>
      </c>
      <c r="AF1799" s="205" t="str">
        <f>IF($W1799=AF$3,$AB1799,IF(NOT($W1799=0),"",SUMIFS('Val-Vol (2)'!AF$4:AF$1858,'Val-Vol (2)'!$A$4:$A$1858,$D1799,'Val-Vol (2)'!$V$4:$V$1858,$V1799)/SUMIFS('Comp2016-2017 (3)'!$G$5:$G$289,'Comp2016-2017 (3)'!$A$5:$A$289,$D1799,'Comp2016-2017 (3)'!$R$5:$R$289,$V1799)*$AB1799))</f>
        <v/>
      </c>
      <c r="AG1799" s="205" t="str">
        <f>IF($W1799=AG$3,$AB1799,IF(NOT($W1799=0),"",SUMIFS('Val-Vol (2)'!AG$4:AG$1858,'Val-Vol (2)'!$A$4:$A$1858,$D1799,'Val-Vol (2)'!$V$4:$V$1858,$V1799)/SUMIFS('Comp2016-2017 (3)'!$G$5:$G$289,'Comp2016-2017 (3)'!$A$5:$A$289,$D1799,'Comp2016-2017 (3)'!$R$5:$R$289,$V1799)*$AB1799))</f>
        <v/>
      </c>
      <c r="AH1799" s="205" t="str">
        <f>IF($W1799=AH$3,$AB1799,IF(NOT($W1799=0),"",SUMIFS('Val-Vol (2)'!AH$4:AH$1858,'Val-Vol (2)'!$A$4:$A$1858,$D1799,'Val-Vol (2)'!$V$4:$V$1858,$V1799)/SUMIFS('Comp2016-2017 (3)'!$G$5:$G$289,'Comp2016-2017 (3)'!$A$5:$A$289,$D1799,'Comp2016-2017 (3)'!$R$5:$R$289,$V1799)*$AB1799))</f>
        <v/>
      </c>
      <c r="AI1799" s="205" t="str">
        <f>IF($W1799=AI$3,$AB1799,IF(NOT($W1799=0),"",SUMIFS('Val-Vol (2)'!AI$4:AI$1858,'Val-Vol (2)'!$A$4:$A$1858,$D1799,'Val-Vol (2)'!$V$4:$V$1858,$V1799)/SUMIFS('Comp2016-2017 (3)'!$G$5:$G$289,'Comp2016-2017 (3)'!$A$5:$A$289,$D1799,'Comp2016-2017 (3)'!$R$5:$R$289,$V1799)*$AB1799))</f>
        <v/>
      </c>
      <c r="AJ1799" s="205" t="str">
        <f>IF($W1799=AJ$3,$AB1799,IF(NOT($W1799=0),"",SUMIFS('Val-Vol (2)'!AJ$4:AJ$1858,'Val-Vol (2)'!$A$4:$A$1858,$D1799,'Val-Vol (2)'!$V$4:$V$1858,$V1799)/SUMIFS('Comp2016-2017 (3)'!$G$5:$G$289,'Comp2016-2017 (3)'!$A$5:$A$289,$D1799,'Comp2016-2017 (3)'!$R$5:$R$289,$V1799)*$AB1799))</f>
        <v/>
      </c>
      <c r="AK1799" s="205">
        <f t="shared" si="197"/>
        <v>0</v>
      </c>
      <c r="AL1799" s="218" t="str">
        <f t="shared" si="199"/>
        <v/>
      </c>
      <c r="AM1799" s="218" t="str">
        <f>VLOOKUP(A1799,'Table corresp.'!$M$4:$U$63,8,FALSE)</f>
        <v>Consommation finale française</v>
      </c>
      <c r="AN1799" s="218" t="str">
        <f>VLOOKUP(D1799,'Table corresp.'!$M$4:$U$63,9,FALSE)</f>
        <v xml:space="preserve">Mise en œuvre </v>
      </c>
    </row>
    <row r="1800" spans="1:40" x14ac:dyDescent="0.25">
      <c r="A1800" t="s">
        <v>105</v>
      </c>
      <c r="B1800" t="str">
        <f>VLOOKUP(LEFT(A1800,3),'Table corresp.'!$A$4:$D$63,3,FALSE)</f>
        <v>Transformation</v>
      </c>
      <c r="C1800" t="str">
        <f>VLOOKUP(A1800,'Table corresp.'!$M$4:$P$63,4,FALSE)</f>
        <v>Commerces et services</v>
      </c>
      <c r="D1800" t="s">
        <v>23</v>
      </c>
      <c r="E1800" t="str">
        <f>VLOOKUP(LEFT(D1800,3),'Table corresp.'!$A$4:$D$63,4,FALSE)</f>
        <v>Transformation</v>
      </c>
      <c r="F1800" t="str">
        <f t="shared" si="200"/>
        <v xml:space="preserve">62  - 56 </v>
      </c>
      <c r="G1800" s="238">
        <v>1913.59998850849</v>
      </c>
      <c r="H1800" s="238">
        <v>0</v>
      </c>
      <c r="I1800" s="238">
        <v>1913.59998850849</v>
      </c>
      <c r="J1800" s="238"/>
      <c r="K1800" s="238"/>
      <c r="L1800" s="238"/>
      <c r="M1800" s="238"/>
      <c r="N1800" s="238"/>
      <c r="O1800" s="238"/>
      <c r="P1800" s="238"/>
      <c r="Q1800" s="238"/>
      <c r="R1800" s="238"/>
      <c r="S1800" s="238"/>
      <c r="T1800" s="218">
        <f>VLOOKUP(A1800,'Groupe de branches'!$Z$27:$AM$86,14,FALSE)</f>
        <v>0</v>
      </c>
      <c r="U1800" s="218">
        <f>VLOOKUP(D1800,'Groupe de branches'!$Z$27:$AM$86,14,FALSE)</f>
        <v>0</v>
      </c>
      <c r="V1800" s="218">
        <v>2020</v>
      </c>
      <c r="W1800" s="218" t="str">
        <f>VLOOKUP(D1800,'Table corresp.'!$M$4:$S$63,7,FALSE)</f>
        <v>Construction</v>
      </c>
      <c r="X1800" s="240">
        <f>IFERROR(G1800/SUMIFS('Comp2016-2017 (3)'!$I$5:$I$289,'Comp2016-2017 (3)'!$A$5:$A$289,A1800,'Comp2016-2017 (3)'!$R$5:$R$289,V1800),0)</f>
        <v>9.9831933463457147E-4</v>
      </c>
      <c r="Y1800" s="219">
        <f>IFERROR(IF(RIGHT(F1800,3)="Exp",VLOOKUP(F1800,#REF!,2,FALSE),VLOOKUP(F1800,#REF!,9,FALSE)),1)</f>
        <v>1</v>
      </c>
      <c r="Z1800" s="226">
        <f t="shared" si="201"/>
        <v>0.1111111111111111</v>
      </c>
      <c r="AA1800" s="226">
        <f t="shared" si="198"/>
        <v>1.1092437051495238E-4</v>
      </c>
      <c r="AB1800" s="205">
        <f>IFERROR(SUMIFS('Comp2016-2017 (3)'!$G$5:$G$289,'Comp2016-2017 (3)'!$A$5:$A$289,A1800,'Comp2016-2017 (3)'!$R$5:$R$289,V1800)*AA1800/SUMIFS($AA$4:$AA$1858,$A$4:$A$1858,A1800,$V$4:$V$1858,V1800),0)</f>
        <v>1913.599988508493</v>
      </c>
      <c r="AC1800" s="205" t="str">
        <f>IF($W1800=AC$3,$AB1800,IF(NOT($W1800=0),"",SUMIFS('Val-Vol (2)'!AC$4:AC$1858,'Val-Vol (2)'!$A$4:$A$1858,$D1800,'Val-Vol (2)'!$V$4:$V$1858,$V1800)/SUMIFS('Comp2016-2017 (3)'!$G$5:$G$289,'Comp2016-2017 (3)'!$A$5:$A$289,$D1800,'Comp2016-2017 (3)'!$R$5:$R$289,$V1800)*$AB1800))</f>
        <v/>
      </c>
      <c r="AD1800" s="205">
        <f>IF($W1800=AD$3,$AB1800,IF(NOT($W1800=0),"",SUMIFS('Val-Vol (2)'!AD$4:AD$1858,'Val-Vol (2)'!$A$4:$A$1858,$D1800,'Val-Vol (2)'!$V$4:$V$1858,$V1800)/SUMIFS('Comp2016-2017 (3)'!$G$5:$G$289,'Comp2016-2017 (3)'!$A$5:$A$289,$D1800,'Comp2016-2017 (3)'!$R$5:$R$289,$V1800)*$AB1800))</f>
        <v>1913.599988508493</v>
      </c>
      <c r="AE1800" s="205" t="str">
        <f>IF($W1800=AE$3,$AB1800,IF(NOT($W1800=0),"",SUMIFS('Val-Vol (2)'!AE$4:AE$1858,'Val-Vol (2)'!$A$4:$A$1858,$D1800,'Val-Vol (2)'!$V$4:$V$1858,$V1800)/SUMIFS('Comp2016-2017 (3)'!$G$5:$G$289,'Comp2016-2017 (3)'!$A$5:$A$289,$D1800,'Comp2016-2017 (3)'!$R$5:$R$289,$V1800)*$AB1800))</f>
        <v/>
      </c>
      <c r="AF1800" s="205" t="str">
        <f>IF($W1800=AF$3,$AB1800,IF(NOT($W1800=0),"",SUMIFS('Val-Vol (2)'!AF$4:AF$1858,'Val-Vol (2)'!$A$4:$A$1858,$D1800,'Val-Vol (2)'!$V$4:$V$1858,$V1800)/SUMIFS('Comp2016-2017 (3)'!$G$5:$G$289,'Comp2016-2017 (3)'!$A$5:$A$289,$D1800,'Comp2016-2017 (3)'!$R$5:$R$289,$V1800)*$AB1800))</f>
        <v/>
      </c>
      <c r="AG1800" s="205" t="str">
        <f>IF($W1800=AG$3,$AB1800,IF(NOT($W1800=0),"",SUMIFS('Val-Vol (2)'!AG$4:AG$1858,'Val-Vol (2)'!$A$4:$A$1858,$D1800,'Val-Vol (2)'!$V$4:$V$1858,$V1800)/SUMIFS('Comp2016-2017 (3)'!$G$5:$G$289,'Comp2016-2017 (3)'!$A$5:$A$289,$D1800,'Comp2016-2017 (3)'!$R$5:$R$289,$V1800)*$AB1800))</f>
        <v/>
      </c>
      <c r="AH1800" s="205" t="str">
        <f>IF($W1800=AH$3,$AB1800,IF(NOT($W1800=0),"",SUMIFS('Val-Vol (2)'!AH$4:AH$1858,'Val-Vol (2)'!$A$4:$A$1858,$D1800,'Val-Vol (2)'!$V$4:$V$1858,$V1800)/SUMIFS('Comp2016-2017 (3)'!$G$5:$G$289,'Comp2016-2017 (3)'!$A$5:$A$289,$D1800,'Comp2016-2017 (3)'!$R$5:$R$289,$V1800)*$AB1800))</f>
        <v/>
      </c>
      <c r="AI1800" s="205" t="str">
        <f>IF($W1800=AI$3,$AB1800,IF(NOT($W1800=0),"",SUMIFS('Val-Vol (2)'!AI$4:AI$1858,'Val-Vol (2)'!$A$4:$A$1858,$D1800,'Val-Vol (2)'!$V$4:$V$1858,$V1800)/SUMIFS('Comp2016-2017 (3)'!$G$5:$G$289,'Comp2016-2017 (3)'!$A$5:$A$289,$D1800,'Comp2016-2017 (3)'!$R$5:$R$289,$V1800)*$AB1800))</f>
        <v/>
      </c>
      <c r="AJ1800" s="205" t="str">
        <f>IF($W1800=AJ$3,$AB1800,IF(NOT($W1800=0),"",SUMIFS('Val-Vol (2)'!AJ$4:AJ$1858,'Val-Vol (2)'!$A$4:$A$1858,$D1800,'Val-Vol (2)'!$V$4:$V$1858,$V1800)/SUMIFS('Comp2016-2017 (3)'!$G$5:$G$289,'Comp2016-2017 (3)'!$A$5:$A$289,$D1800,'Comp2016-2017 (3)'!$R$5:$R$289,$V1800)*$AB1800))</f>
        <v/>
      </c>
      <c r="AK1800" s="205">
        <f t="shared" si="197"/>
        <v>0</v>
      </c>
      <c r="AL1800" s="218" t="str">
        <f t="shared" si="199"/>
        <v/>
      </c>
      <c r="AM1800" s="218" t="str">
        <f>VLOOKUP(A1800,'Table corresp.'!$M$4:$U$63,8,FALSE)</f>
        <v>Consommation finale française</v>
      </c>
      <c r="AN1800" s="218" t="str">
        <f>VLOOKUP(D1800,'Table corresp.'!$M$4:$U$63,9,FALSE)</f>
        <v xml:space="preserve">Mise en œuvre </v>
      </c>
    </row>
    <row r="1801" spans="1:40" x14ac:dyDescent="0.25">
      <c r="A1801" t="s">
        <v>105</v>
      </c>
      <c r="B1801" t="str">
        <f>VLOOKUP(LEFT(A1801,3),'Table corresp.'!$A$4:$D$63,3,FALSE)</f>
        <v>Transformation</v>
      </c>
      <c r="C1801" t="str">
        <f>VLOOKUP(A1801,'Table corresp.'!$M$4:$P$63,4,FALSE)</f>
        <v>Commerces et services</v>
      </c>
      <c r="D1801" t="s">
        <v>24</v>
      </c>
      <c r="E1801" t="str">
        <f>VLOOKUP(LEFT(D1801,3),'Table corresp.'!$A$4:$D$63,4,FALSE)</f>
        <v>Transformation</v>
      </c>
      <c r="F1801" t="str">
        <f t="shared" si="200"/>
        <v xml:space="preserve">62  - 57 </v>
      </c>
      <c r="G1801" s="238">
        <v>68327.982272620706</v>
      </c>
      <c r="H1801" s="238">
        <v>0</v>
      </c>
      <c r="I1801" s="238">
        <v>68327.982272620706</v>
      </c>
      <c r="J1801" s="238"/>
      <c r="K1801" s="238"/>
      <c r="L1801" s="238"/>
      <c r="M1801" s="238"/>
      <c r="N1801" s="238"/>
      <c r="O1801" s="238"/>
      <c r="P1801" s="238"/>
      <c r="Q1801" s="238"/>
      <c r="R1801" s="238"/>
      <c r="S1801" s="238"/>
      <c r="T1801" s="218">
        <f>VLOOKUP(A1801,'Groupe de branches'!$Z$27:$AM$86,14,FALSE)</f>
        <v>0</v>
      </c>
      <c r="U1801" s="218">
        <f>VLOOKUP(D1801,'Groupe de branches'!$Z$27:$AM$86,14,FALSE)</f>
        <v>0</v>
      </c>
      <c r="V1801" s="218">
        <v>2020</v>
      </c>
      <c r="W1801" s="218" t="str">
        <f>VLOOKUP(D1801,'Table corresp.'!$M$4:$S$63,7,FALSE)</f>
        <v>Construction</v>
      </c>
      <c r="X1801" s="240">
        <f>IFERROR(G1801/SUMIFS('Comp2016-2017 (3)'!$I$5:$I$289,'Comp2016-2017 (3)'!$A$5:$A$289,A1801,'Comp2016-2017 (3)'!$R$5:$R$289,V1801),0)</f>
        <v>3.564650199046699E-2</v>
      </c>
      <c r="Y1801" s="219">
        <f>IFERROR(IF(RIGHT(F1801,3)="Exp",VLOOKUP(F1801,#REF!,2,FALSE),VLOOKUP(F1801,#REF!,9,FALSE)),1)</f>
        <v>1</v>
      </c>
      <c r="Z1801" s="226">
        <f t="shared" si="201"/>
        <v>0.1111111111111111</v>
      </c>
      <c r="AA1801" s="226">
        <f t="shared" si="198"/>
        <v>3.9607224433852208E-3</v>
      </c>
      <c r="AB1801" s="205">
        <f>IFERROR(SUMIFS('Comp2016-2017 (3)'!$G$5:$G$289,'Comp2016-2017 (3)'!$A$5:$A$289,A1801,'Comp2016-2017 (3)'!$R$5:$R$289,V1801)*AA1801/SUMIFS($AA$4:$AA$1858,$A$4:$A$1858,A1801,$V$4:$V$1858,V1801),0)</f>
        <v>68327.982272620822</v>
      </c>
      <c r="AC1801" s="205" t="str">
        <f>IF($W1801=AC$3,$AB1801,IF(NOT($W1801=0),"",SUMIFS('Val-Vol (2)'!AC$4:AC$1858,'Val-Vol (2)'!$A$4:$A$1858,$D1801,'Val-Vol (2)'!$V$4:$V$1858,$V1801)/SUMIFS('Comp2016-2017 (3)'!$G$5:$G$289,'Comp2016-2017 (3)'!$A$5:$A$289,$D1801,'Comp2016-2017 (3)'!$R$5:$R$289,$V1801)*$AB1801))</f>
        <v/>
      </c>
      <c r="AD1801" s="205">
        <f>IF($W1801=AD$3,$AB1801,IF(NOT($W1801=0),"",SUMIFS('Val-Vol (2)'!AD$4:AD$1858,'Val-Vol (2)'!$A$4:$A$1858,$D1801,'Val-Vol (2)'!$V$4:$V$1858,$V1801)/SUMIFS('Comp2016-2017 (3)'!$G$5:$G$289,'Comp2016-2017 (3)'!$A$5:$A$289,$D1801,'Comp2016-2017 (3)'!$R$5:$R$289,$V1801)*$AB1801))</f>
        <v>68327.982272620822</v>
      </c>
      <c r="AE1801" s="205" t="str">
        <f>IF($W1801=AE$3,$AB1801,IF(NOT($W1801=0),"",SUMIFS('Val-Vol (2)'!AE$4:AE$1858,'Val-Vol (2)'!$A$4:$A$1858,$D1801,'Val-Vol (2)'!$V$4:$V$1858,$V1801)/SUMIFS('Comp2016-2017 (3)'!$G$5:$G$289,'Comp2016-2017 (3)'!$A$5:$A$289,$D1801,'Comp2016-2017 (3)'!$R$5:$R$289,$V1801)*$AB1801))</f>
        <v/>
      </c>
      <c r="AF1801" s="205" t="str">
        <f>IF($W1801=AF$3,$AB1801,IF(NOT($W1801=0),"",SUMIFS('Val-Vol (2)'!AF$4:AF$1858,'Val-Vol (2)'!$A$4:$A$1858,$D1801,'Val-Vol (2)'!$V$4:$V$1858,$V1801)/SUMIFS('Comp2016-2017 (3)'!$G$5:$G$289,'Comp2016-2017 (3)'!$A$5:$A$289,$D1801,'Comp2016-2017 (3)'!$R$5:$R$289,$V1801)*$AB1801))</f>
        <v/>
      </c>
      <c r="AG1801" s="205" t="str">
        <f>IF($W1801=AG$3,$AB1801,IF(NOT($W1801=0),"",SUMIFS('Val-Vol (2)'!AG$4:AG$1858,'Val-Vol (2)'!$A$4:$A$1858,$D1801,'Val-Vol (2)'!$V$4:$V$1858,$V1801)/SUMIFS('Comp2016-2017 (3)'!$G$5:$G$289,'Comp2016-2017 (3)'!$A$5:$A$289,$D1801,'Comp2016-2017 (3)'!$R$5:$R$289,$V1801)*$AB1801))</f>
        <v/>
      </c>
      <c r="AH1801" s="205" t="str">
        <f>IF($W1801=AH$3,$AB1801,IF(NOT($W1801=0),"",SUMIFS('Val-Vol (2)'!AH$4:AH$1858,'Val-Vol (2)'!$A$4:$A$1858,$D1801,'Val-Vol (2)'!$V$4:$V$1858,$V1801)/SUMIFS('Comp2016-2017 (3)'!$G$5:$G$289,'Comp2016-2017 (3)'!$A$5:$A$289,$D1801,'Comp2016-2017 (3)'!$R$5:$R$289,$V1801)*$AB1801))</f>
        <v/>
      </c>
      <c r="AI1801" s="205" t="str">
        <f>IF($W1801=AI$3,$AB1801,IF(NOT($W1801=0),"",SUMIFS('Val-Vol (2)'!AI$4:AI$1858,'Val-Vol (2)'!$A$4:$A$1858,$D1801,'Val-Vol (2)'!$V$4:$V$1858,$V1801)/SUMIFS('Comp2016-2017 (3)'!$G$5:$G$289,'Comp2016-2017 (3)'!$A$5:$A$289,$D1801,'Comp2016-2017 (3)'!$R$5:$R$289,$V1801)*$AB1801))</f>
        <v/>
      </c>
      <c r="AJ1801" s="205" t="str">
        <f>IF($W1801=AJ$3,$AB1801,IF(NOT($W1801=0),"",SUMIFS('Val-Vol (2)'!AJ$4:AJ$1858,'Val-Vol (2)'!$A$4:$A$1858,$D1801,'Val-Vol (2)'!$V$4:$V$1858,$V1801)/SUMIFS('Comp2016-2017 (3)'!$G$5:$G$289,'Comp2016-2017 (3)'!$A$5:$A$289,$D1801,'Comp2016-2017 (3)'!$R$5:$R$289,$V1801)*$AB1801))</f>
        <v/>
      </c>
      <c r="AK1801" s="205">
        <f t="shared" si="197"/>
        <v>0</v>
      </c>
      <c r="AL1801" s="218" t="str">
        <f t="shared" si="199"/>
        <v/>
      </c>
      <c r="AM1801" s="218" t="str">
        <f>VLOOKUP(A1801,'Table corresp.'!$M$4:$U$63,8,FALSE)</f>
        <v>Consommation finale française</v>
      </c>
      <c r="AN1801" s="218" t="str">
        <f>VLOOKUP(D1801,'Table corresp.'!$M$4:$U$63,9,FALSE)</f>
        <v xml:space="preserve">Mise en œuvre </v>
      </c>
    </row>
    <row r="1802" spans="1:40" x14ac:dyDescent="0.25">
      <c r="A1802" t="s">
        <v>105</v>
      </c>
      <c r="B1802" t="str">
        <f>VLOOKUP(LEFT(A1802,3),'Table corresp.'!$A$4:$D$63,3,FALSE)</f>
        <v>Transformation</v>
      </c>
      <c r="C1802" t="str">
        <f>VLOOKUP(A1802,'Table corresp.'!$M$4:$P$63,4,FALSE)</f>
        <v>Commerces et services</v>
      </c>
      <c r="D1802" t="s">
        <v>25</v>
      </c>
      <c r="E1802" t="str">
        <f>VLOOKUP(LEFT(D1802,3),'Table corresp.'!$A$4:$D$63,4,FALSE)</f>
        <v>Transformation</v>
      </c>
      <c r="F1802" t="str">
        <f t="shared" si="200"/>
        <v xml:space="preserve">62  - 58 </v>
      </c>
      <c r="G1802" s="238">
        <v>6464.4466685325096</v>
      </c>
      <c r="H1802" s="238">
        <v>0</v>
      </c>
      <c r="I1802" s="238">
        <v>6464.4466685325096</v>
      </c>
      <c r="J1802" s="238"/>
      <c r="K1802" s="238"/>
      <c r="L1802" s="238"/>
      <c r="M1802" s="238"/>
      <c r="N1802" s="238"/>
      <c r="O1802" s="238"/>
      <c r="P1802" s="238"/>
      <c r="Q1802" s="238"/>
      <c r="R1802" s="238"/>
      <c r="S1802" s="238"/>
      <c r="T1802" s="218">
        <f>VLOOKUP(A1802,'Groupe de branches'!$Z$27:$AM$86,14,FALSE)</f>
        <v>0</v>
      </c>
      <c r="U1802" s="218">
        <f>VLOOKUP(D1802,'Groupe de branches'!$Z$27:$AM$86,14,FALSE)</f>
        <v>0</v>
      </c>
      <c r="V1802" s="218">
        <v>2020</v>
      </c>
      <c r="W1802" s="218" t="str">
        <f>VLOOKUP(D1802,'Table corresp.'!$M$4:$S$63,7,FALSE)</f>
        <v>Construction</v>
      </c>
      <c r="X1802" s="240">
        <f>IFERROR(G1802/SUMIFS('Comp2016-2017 (3)'!$I$5:$I$289,'Comp2016-2017 (3)'!$A$5:$A$289,A1802,'Comp2016-2017 (3)'!$R$5:$R$289,V1802),0)</f>
        <v>3.3724823033366232E-3</v>
      </c>
      <c r="Y1802" s="219">
        <f>IFERROR(IF(RIGHT(F1802,3)="Exp",VLOOKUP(F1802,#REF!,2,FALSE),VLOOKUP(F1802,#REF!,9,FALSE)),1)</f>
        <v>1</v>
      </c>
      <c r="Z1802" s="226">
        <f t="shared" si="201"/>
        <v>0.1111111111111111</v>
      </c>
      <c r="AA1802" s="226">
        <f t="shared" si="198"/>
        <v>3.7472025592629143E-4</v>
      </c>
      <c r="AB1802" s="205">
        <f>IFERROR(SUMIFS('Comp2016-2017 (3)'!$G$5:$G$289,'Comp2016-2017 (3)'!$A$5:$A$289,A1802,'Comp2016-2017 (3)'!$R$5:$R$289,V1802)*AA1802/SUMIFS($AA$4:$AA$1858,$A$4:$A$1858,A1802,$V$4:$V$1858,V1802),0)</f>
        <v>6464.4466685325206</v>
      </c>
      <c r="AC1802" s="205" t="str">
        <f>IF($W1802=AC$3,$AB1802,IF(NOT($W1802=0),"",SUMIFS('Val-Vol (2)'!AC$4:AC$1858,'Val-Vol (2)'!$A$4:$A$1858,$D1802,'Val-Vol (2)'!$V$4:$V$1858,$V1802)/SUMIFS('Comp2016-2017 (3)'!$G$5:$G$289,'Comp2016-2017 (3)'!$A$5:$A$289,$D1802,'Comp2016-2017 (3)'!$R$5:$R$289,$V1802)*$AB1802))</f>
        <v/>
      </c>
      <c r="AD1802" s="205">
        <f>IF($W1802=AD$3,$AB1802,IF(NOT($W1802=0),"",SUMIFS('Val-Vol (2)'!AD$4:AD$1858,'Val-Vol (2)'!$A$4:$A$1858,$D1802,'Val-Vol (2)'!$V$4:$V$1858,$V1802)/SUMIFS('Comp2016-2017 (3)'!$G$5:$G$289,'Comp2016-2017 (3)'!$A$5:$A$289,$D1802,'Comp2016-2017 (3)'!$R$5:$R$289,$V1802)*$AB1802))</f>
        <v>6464.4466685325206</v>
      </c>
      <c r="AE1802" s="205" t="str">
        <f>IF($W1802=AE$3,$AB1802,IF(NOT($W1802=0),"",SUMIFS('Val-Vol (2)'!AE$4:AE$1858,'Val-Vol (2)'!$A$4:$A$1858,$D1802,'Val-Vol (2)'!$V$4:$V$1858,$V1802)/SUMIFS('Comp2016-2017 (3)'!$G$5:$G$289,'Comp2016-2017 (3)'!$A$5:$A$289,$D1802,'Comp2016-2017 (3)'!$R$5:$R$289,$V1802)*$AB1802))</f>
        <v/>
      </c>
      <c r="AF1802" s="205" t="str">
        <f>IF($W1802=AF$3,$AB1802,IF(NOT($W1802=0),"",SUMIFS('Val-Vol (2)'!AF$4:AF$1858,'Val-Vol (2)'!$A$4:$A$1858,$D1802,'Val-Vol (2)'!$V$4:$V$1858,$V1802)/SUMIFS('Comp2016-2017 (3)'!$G$5:$G$289,'Comp2016-2017 (3)'!$A$5:$A$289,$D1802,'Comp2016-2017 (3)'!$R$5:$R$289,$V1802)*$AB1802))</f>
        <v/>
      </c>
      <c r="AG1802" s="205" t="str">
        <f>IF($W1802=AG$3,$AB1802,IF(NOT($W1802=0),"",SUMIFS('Val-Vol (2)'!AG$4:AG$1858,'Val-Vol (2)'!$A$4:$A$1858,$D1802,'Val-Vol (2)'!$V$4:$V$1858,$V1802)/SUMIFS('Comp2016-2017 (3)'!$G$5:$G$289,'Comp2016-2017 (3)'!$A$5:$A$289,$D1802,'Comp2016-2017 (3)'!$R$5:$R$289,$V1802)*$AB1802))</f>
        <v/>
      </c>
      <c r="AH1802" s="205" t="str">
        <f>IF($W1802=AH$3,$AB1802,IF(NOT($W1802=0),"",SUMIFS('Val-Vol (2)'!AH$4:AH$1858,'Val-Vol (2)'!$A$4:$A$1858,$D1802,'Val-Vol (2)'!$V$4:$V$1858,$V1802)/SUMIFS('Comp2016-2017 (3)'!$G$5:$G$289,'Comp2016-2017 (3)'!$A$5:$A$289,$D1802,'Comp2016-2017 (3)'!$R$5:$R$289,$V1802)*$AB1802))</f>
        <v/>
      </c>
      <c r="AI1802" s="205" t="str">
        <f>IF($W1802=AI$3,$AB1802,IF(NOT($W1802=0),"",SUMIFS('Val-Vol (2)'!AI$4:AI$1858,'Val-Vol (2)'!$A$4:$A$1858,$D1802,'Val-Vol (2)'!$V$4:$V$1858,$V1802)/SUMIFS('Comp2016-2017 (3)'!$G$5:$G$289,'Comp2016-2017 (3)'!$A$5:$A$289,$D1802,'Comp2016-2017 (3)'!$R$5:$R$289,$V1802)*$AB1802))</f>
        <v/>
      </c>
      <c r="AJ1802" s="205" t="str">
        <f>IF($W1802=AJ$3,$AB1802,IF(NOT($W1802=0),"",SUMIFS('Val-Vol (2)'!AJ$4:AJ$1858,'Val-Vol (2)'!$A$4:$A$1858,$D1802,'Val-Vol (2)'!$V$4:$V$1858,$V1802)/SUMIFS('Comp2016-2017 (3)'!$G$5:$G$289,'Comp2016-2017 (3)'!$A$5:$A$289,$D1802,'Comp2016-2017 (3)'!$R$5:$R$289,$V1802)*$AB1802))</f>
        <v/>
      </c>
      <c r="AK1802" s="205">
        <f t="shared" si="197"/>
        <v>0</v>
      </c>
      <c r="AL1802" s="218" t="str">
        <f t="shared" si="199"/>
        <v/>
      </c>
      <c r="AM1802" s="218" t="str">
        <f>VLOOKUP(A1802,'Table corresp.'!$M$4:$U$63,8,FALSE)</f>
        <v>Consommation finale française</v>
      </c>
      <c r="AN1802" s="218" t="str">
        <f>VLOOKUP(D1802,'Table corresp.'!$M$4:$U$63,9,FALSE)</f>
        <v xml:space="preserve">Mise en œuvre </v>
      </c>
    </row>
    <row r="1803" spans="1:40" x14ac:dyDescent="0.25">
      <c r="A1803" t="s">
        <v>105</v>
      </c>
      <c r="B1803" t="str">
        <f>VLOOKUP(LEFT(A1803,3),'Table corresp.'!$A$4:$D$63,3,FALSE)</f>
        <v>Transformation</v>
      </c>
      <c r="C1803" t="str">
        <f>VLOOKUP(A1803,'Table corresp.'!$M$4:$P$63,4,FALSE)</f>
        <v>Commerces et services</v>
      </c>
      <c r="D1803" t="s">
        <v>26</v>
      </c>
      <c r="E1803" t="str">
        <f>VLOOKUP(LEFT(D1803,3),'Table corresp.'!$A$4:$D$63,4,FALSE)</f>
        <v>Transformation</v>
      </c>
      <c r="F1803" t="str">
        <f t="shared" si="200"/>
        <v xml:space="preserve">62  - 59 </v>
      </c>
      <c r="G1803" s="238">
        <v>1444.14660305692</v>
      </c>
      <c r="H1803" s="238">
        <v>0</v>
      </c>
      <c r="I1803" s="238">
        <v>1444.14660305692</v>
      </c>
      <c r="J1803" s="238"/>
      <c r="K1803" s="238"/>
      <c r="L1803" s="238"/>
      <c r="M1803" s="238"/>
      <c r="N1803" s="238"/>
      <c r="O1803" s="238"/>
      <c r="P1803" s="238"/>
      <c r="Q1803" s="238"/>
      <c r="R1803" s="238"/>
      <c r="S1803" s="238"/>
      <c r="T1803" s="218">
        <f>VLOOKUP(A1803,'Groupe de branches'!$Z$27:$AM$86,14,FALSE)</f>
        <v>0</v>
      </c>
      <c r="U1803" s="218">
        <f>VLOOKUP(D1803,'Groupe de branches'!$Z$27:$AM$86,14,FALSE)</f>
        <v>0</v>
      </c>
      <c r="V1803" s="218">
        <v>2020</v>
      </c>
      <c r="W1803" s="218" t="str">
        <f>VLOOKUP(D1803,'Table corresp.'!$M$4:$S$63,7,FALSE)</f>
        <v>Construction</v>
      </c>
      <c r="X1803" s="240">
        <f>IFERROR(G1803/SUMIFS('Comp2016-2017 (3)'!$I$5:$I$289,'Comp2016-2017 (3)'!$A$5:$A$289,A1803,'Comp2016-2017 (3)'!$R$5:$R$289,V1803),0)</f>
        <v>7.5340692126690226E-4</v>
      </c>
      <c r="Y1803" s="219">
        <f>IFERROR(IF(RIGHT(F1803,3)="Exp",VLOOKUP(F1803,#REF!,2,FALSE),VLOOKUP(F1803,#REF!,9,FALSE)),1)</f>
        <v>1</v>
      </c>
      <c r="Z1803" s="226">
        <f t="shared" si="201"/>
        <v>0.1111111111111111</v>
      </c>
      <c r="AA1803" s="226">
        <f t="shared" si="198"/>
        <v>8.3711880140766907E-5</v>
      </c>
      <c r="AB1803" s="205">
        <f>IFERROR(SUMIFS('Comp2016-2017 (3)'!$G$5:$G$289,'Comp2016-2017 (3)'!$A$5:$A$289,A1803,'Comp2016-2017 (3)'!$R$5:$R$289,V1803)*AA1803/SUMIFS($AA$4:$AA$1858,$A$4:$A$1858,A1803,$V$4:$V$1858,V1803),0)</f>
        <v>1444.1466030569222</v>
      </c>
      <c r="AC1803" s="205" t="str">
        <f>IF($W1803=AC$3,$AB1803,IF(NOT($W1803=0),"",SUMIFS('Val-Vol (2)'!AC$4:AC$1858,'Val-Vol (2)'!$A$4:$A$1858,$D1803,'Val-Vol (2)'!$V$4:$V$1858,$V1803)/SUMIFS('Comp2016-2017 (3)'!$G$5:$G$289,'Comp2016-2017 (3)'!$A$5:$A$289,$D1803,'Comp2016-2017 (3)'!$R$5:$R$289,$V1803)*$AB1803))</f>
        <v/>
      </c>
      <c r="AD1803" s="205">
        <f>IF($W1803=AD$3,$AB1803,IF(NOT($W1803=0),"",SUMIFS('Val-Vol (2)'!AD$4:AD$1858,'Val-Vol (2)'!$A$4:$A$1858,$D1803,'Val-Vol (2)'!$V$4:$V$1858,$V1803)/SUMIFS('Comp2016-2017 (3)'!$G$5:$G$289,'Comp2016-2017 (3)'!$A$5:$A$289,$D1803,'Comp2016-2017 (3)'!$R$5:$R$289,$V1803)*$AB1803))</f>
        <v>1444.1466030569222</v>
      </c>
      <c r="AE1803" s="205" t="str">
        <f>IF($W1803=AE$3,$AB1803,IF(NOT($W1803=0),"",SUMIFS('Val-Vol (2)'!AE$4:AE$1858,'Val-Vol (2)'!$A$4:$A$1858,$D1803,'Val-Vol (2)'!$V$4:$V$1858,$V1803)/SUMIFS('Comp2016-2017 (3)'!$G$5:$G$289,'Comp2016-2017 (3)'!$A$5:$A$289,$D1803,'Comp2016-2017 (3)'!$R$5:$R$289,$V1803)*$AB1803))</f>
        <v/>
      </c>
      <c r="AF1803" s="205" t="str">
        <f>IF($W1803=AF$3,$AB1803,IF(NOT($W1803=0),"",SUMIFS('Val-Vol (2)'!AF$4:AF$1858,'Val-Vol (2)'!$A$4:$A$1858,$D1803,'Val-Vol (2)'!$V$4:$V$1858,$V1803)/SUMIFS('Comp2016-2017 (3)'!$G$5:$G$289,'Comp2016-2017 (3)'!$A$5:$A$289,$D1803,'Comp2016-2017 (3)'!$R$5:$R$289,$V1803)*$AB1803))</f>
        <v/>
      </c>
      <c r="AG1803" s="205" t="str">
        <f>IF($W1803=AG$3,$AB1803,IF(NOT($W1803=0),"",SUMIFS('Val-Vol (2)'!AG$4:AG$1858,'Val-Vol (2)'!$A$4:$A$1858,$D1803,'Val-Vol (2)'!$V$4:$V$1858,$V1803)/SUMIFS('Comp2016-2017 (3)'!$G$5:$G$289,'Comp2016-2017 (3)'!$A$5:$A$289,$D1803,'Comp2016-2017 (3)'!$R$5:$R$289,$V1803)*$AB1803))</f>
        <v/>
      </c>
      <c r="AH1803" s="205" t="str">
        <f>IF($W1803=AH$3,$AB1803,IF(NOT($W1803=0),"",SUMIFS('Val-Vol (2)'!AH$4:AH$1858,'Val-Vol (2)'!$A$4:$A$1858,$D1803,'Val-Vol (2)'!$V$4:$V$1858,$V1803)/SUMIFS('Comp2016-2017 (3)'!$G$5:$G$289,'Comp2016-2017 (3)'!$A$5:$A$289,$D1803,'Comp2016-2017 (3)'!$R$5:$R$289,$V1803)*$AB1803))</f>
        <v/>
      </c>
      <c r="AI1803" s="205" t="str">
        <f>IF($W1803=AI$3,$AB1803,IF(NOT($W1803=0),"",SUMIFS('Val-Vol (2)'!AI$4:AI$1858,'Val-Vol (2)'!$A$4:$A$1858,$D1803,'Val-Vol (2)'!$V$4:$V$1858,$V1803)/SUMIFS('Comp2016-2017 (3)'!$G$5:$G$289,'Comp2016-2017 (3)'!$A$5:$A$289,$D1803,'Comp2016-2017 (3)'!$R$5:$R$289,$V1803)*$AB1803))</f>
        <v/>
      </c>
      <c r="AJ1803" s="205" t="str">
        <f>IF($W1803=AJ$3,$AB1803,IF(NOT($W1803=0),"",SUMIFS('Val-Vol (2)'!AJ$4:AJ$1858,'Val-Vol (2)'!$A$4:$A$1858,$D1803,'Val-Vol (2)'!$V$4:$V$1858,$V1803)/SUMIFS('Comp2016-2017 (3)'!$G$5:$G$289,'Comp2016-2017 (3)'!$A$5:$A$289,$D1803,'Comp2016-2017 (3)'!$R$5:$R$289,$V1803)*$AB1803))</f>
        <v/>
      </c>
      <c r="AK1803" s="205">
        <f t="shared" si="197"/>
        <v>0</v>
      </c>
      <c r="AL1803" s="218" t="str">
        <f t="shared" si="199"/>
        <v/>
      </c>
      <c r="AM1803" s="218" t="str">
        <f>VLOOKUP(A1803,'Table corresp.'!$M$4:$U$63,8,FALSE)</f>
        <v>Consommation finale française</v>
      </c>
      <c r="AN1803" s="218" t="str">
        <f>VLOOKUP(D1803,'Table corresp.'!$M$4:$U$63,9,FALSE)</f>
        <v xml:space="preserve">Mise en œuvre </v>
      </c>
    </row>
    <row r="1804" spans="1:40" x14ac:dyDescent="0.25">
      <c r="A1804" t="s">
        <v>105</v>
      </c>
      <c r="B1804" t="str">
        <f>VLOOKUP(LEFT(A1804,3),'Table corresp.'!$A$4:$D$63,3,FALSE)</f>
        <v>Transformation</v>
      </c>
      <c r="C1804" t="str">
        <f>VLOOKUP(A1804,'Table corresp.'!$M$4:$P$63,4,FALSE)</f>
        <v>Commerces et services</v>
      </c>
      <c r="D1804" t="s">
        <v>54</v>
      </c>
      <c r="E1804" t="str">
        <f>VLOOKUP(LEFT(D1804,3),'Table corresp.'!$A$4:$D$63,4,FALSE)</f>
        <v>Consommation finale</v>
      </c>
      <c r="F1804" t="str">
        <f t="shared" si="200"/>
        <v>62  - Con</v>
      </c>
      <c r="G1804" s="238">
        <v>1714830.1615867701</v>
      </c>
      <c r="H1804" s="238">
        <v>0</v>
      </c>
      <c r="I1804" s="238">
        <v>1714830.1615867701</v>
      </c>
      <c r="J1804" s="238"/>
      <c r="K1804" s="238"/>
      <c r="L1804" s="238"/>
      <c r="M1804" s="238"/>
      <c r="N1804" s="238"/>
      <c r="O1804" s="238"/>
      <c r="P1804" s="238"/>
      <c r="Q1804" s="238"/>
      <c r="R1804" s="238"/>
      <c r="S1804" s="238"/>
      <c r="T1804" s="218">
        <f>VLOOKUP(A1804,'Groupe de branches'!$Z$27:$AM$86,14,FALSE)</f>
        <v>0</v>
      </c>
      <c r="U1804" s="218">
        <f>VLOOKUP(D1804,'Groupe de branches'!$Z$27:$AM$86,14,FALSE)</f>
        <v>0</v>
      </c>
      <c r="V1804" s="218">
        <v>2020</v>
      </c>
      <c r="W1804" s="218" t="str">
        <f>VLOOKUP(D1804,'Table corresp.'!$M$4:$S$63,7,FALSE)</f>
        <v>Consommation finale</v>
      </c>
      <c r="X1804" s="240">
        <f>IFERROR(G1804/SUMIFS('Comp2016-2017 (3)'!$I$5:$I$289,'Comp2016-2017 (3)'!$A$5:$A$289,A1804,'Comp2016-2017 (3)'!$R$5:$R$289,V1804),0)</f>
        <v>0.89462171624537701</v>
      </c>
      <c r="Y1804" s="219">
        <f>IFERROR(IF(RIGHT(F1804,3)="Exp",VLOOKUP(F1804,#REF!,2,FALSE),VLOOKUP(F1804,#REF!,9,FALSE)),1)</f>
        <v>1</v>
      </c>
      <c r="Z1804" s="226">
        <f t="shared" si="201"/>
        <v>0.1111111111111111</v>
      </c>
      <c r="AA1804" s="226">
        <f t="shared" si="198"/>
        <v>9.9402412916152996E-2</v>
      </c>
      <c r="AB1804" s="205">
        <f>IFERROR(SUMIFS('Comp2016-2017 (3)'!$G$5:$G$289,'Comp2016-2017 (3)'!$A$5:$A$289,A1804,'Comp2016-2017 (3)'!$R$5:$R$289,V1804)*AA1804/SUMIFS($AA$4:$AA$1858,$A$4:$A$1858,A1804,$V$4:$V$1858,V1804),0)</f>
        <v>1714830.1615867731</v>
      </c>
      <c r="AC1804" s="205" t="str">
        <f>IF($W1804=AC$3,$AB1804,IF(NOT($W1804=0),"",SUMIFS('Val-Vol (2)'!AC$4:AC$1858,'Val-Vol (2)'!$A$4:$A$1858,$D1804,'Val-Vol (2)'!$V$4:$V$1858,$V1804)/SUMIFS('Comp2016-2017 (3)'!$G$5:$G$289,'Comp2016-2017 (3)'!$A$5:$A$289,$D1804,'Comp2016-2017 (3)'!$R$5:$R$289,$V1804)*$AB1804))</f>
        <v/>
      </c>
      <c r="AD1804" s="205" t="str">
        <f>IF($W1804=AD$3,$AB1804,IF(NOT($W1804=0),"",SUMIFS('Val-Vol (2)'!AD$4:AD$1858,'Val-Vol (2)'!$A$4:$A$1858,$D1804,'Val-Vol (2)'!$V$4:$V$1858,$V1804)/SUMIFS('Comp2016-2017 (3)'!$G$5:$G$289,'Comp2016-2017 (3)'!$A$5:$A$289,$D1804,'Comp2016-2017 (3)'!$R$5:$R$289,$V1804)*$AB1804))</f>
        <v/>
      </c>
      <c r="AE1804" s="205" t="str">
        <f>IF($W1804=AE$3,$AB1804,IF(NOT($W1804=0),"",SUMIFS('Val-Vol (2)'!AE$4:AE$1858,'Val-Vol (2)'!$A$4:$A$1858,$D1804,'Val-Vol (2)'!$V$4:$V$1858,$V1804)/SUMIFS('Comp2016-2017 (3)'!$G$5:$G$289,'Comp2016-2017 (3)'!$A$5:$A$289,$D1804,'Comp2016-2017 (3)'!$R$5:$R$289,$V1804)*$AB1804))</f>
        <v/>
      </c>
      <c r="AF1804" s="205" t="str">
        <f>IF($W1804=AF$3,$AB1804,IF(NOT($W1804=0),"",SUMIFS('Val-Vol (2)'!AF$4:AF$1858,'Val-Vol (2)'!$A$4:$A$1858,$D1804,'Val-Vol (2)'!$V$4:$V$1858,$V1804)/SUMIFS('Comp2016-2017 (3)'!$G$5:$G$289,'Comp2016-2017 (3)'!$A$5:$A$289,$D1804,'Comp2016-2017 (3)'!$R$5:$R$289,$V1804)*$AB1804))</f>
        <v/>
      </c>
      <c r="AG1804" s="205" t="str">
        <f>IF($W1804=AG$3,$AB1804,IF(NOT($W1804=0),"",SUMIFS('Val-Vol (2)'!AG$4:AG$1858,'Val-Vol (2)'!$A$4:$A$1858,$D1804,'Val-Vol (2)'!$V$4:$V$1858,$V1804)/SUMIFS('Comp2016-2017 (3)'!$G$5:$G$289,'Comp2016-2017 (3)'!$A$5:$A$289,$D1804,'Comp2016-2017 (3)'!$R$5:$R$289,$V1804)*$AB1804))</f>
        <v/>
      </c>
      <c r="AH1804" s="205" t="str">
        <f>IF($W1804=AH$3,$AB1804,IF(NOT($W1804=0),"",SUMIFS('Val-Vol (2)'!AH$4:AH$1858,'Val-Vol (2)'!$A$4:$A$1858,$D1804,'Val-Vol (2)'!$V$4:$V$1858,$V1804)/SUMIFS('Comp2016-2017 (3)'!$G$5:$G$289,'Comp2016-2017 (3)'!$A$5:$A$289,$D1804,'Comp2016-2017 (3)'!$R$5:$R$289,$V1804)*$AB1804))</f>
        <v/>
      </c>
      <c r="AI1804" s="205" t="str">
        <f>IF($W1804=AI$3,$AB1804,IF(NOT($W1804=0),"",SUMIFS('Val-Vol (2)'!AI$4:AI$1858,'Val-Vol (2)'!$A$4:$A$1858,$D1804,'Val-Vol (2)'!$V$4:$V$1858,$V1804)/SUMIFS('Comp2016-2017 (3)'!$G$5:$G$289,'Comp2016-2017 (3)'!$A$5:$A$289,$D1804,'Comp2016-2017 (3)'!$R$5:$R$289,$V1804)*$AB1804))</f>
        <v/>
      </c>
      <c r="AJ1804" s="205">
        <f>IF($W1804=AJ$3,$AB1804,IF(NOT($W1804=0),"",SUMIFS('Val-Vol (2)'!AJ$4:AJ$1858,'Val-Vol (2)'!$A$4:$A$1858,$D1804,'Val-Vol (2)'!$V$4:$V$1858,$V1804)/SUMIFS('Comp2016-2017 (3)'!$G$5:$G$289,'Comp2016-2017 (3)'!$A$5:$A$289,$D1804,'Comp2016-2017 (3)'!$R$5:$R$289,$V1804)*$AB1804))</f>
        <v>1714830.1615867731</v>
      </c>
      <c r="AK1804" s="205">
        <f t="shared" si="197"/>
        <v>0</v>
      </c>
      <c r="AL1804" s="218" t="str">
        <f t="shared" si="199"/>
        <v/>
      </c>
      <c r="AM1804" s="218" t="str">
        <f>VLOOKUP(A1804,'Table corresp.'!$M$4:$U$63,8,FALSE)</f>
        <v>Consommation finale française</v>
      </c>
      <c r="AN1804" s="218" t="str">
        <f>VLOOKUP(D1804,'Table corresp.'!$M$4:$U$63,9,FALSE)</f>
        <v>Consommation finale française</v>
      </c>
    </row>
    <row r="1805" spans="1:40" x14ac:dyDescent="0.25">
      <c r="A1805" t="s">
        <v>106</v>
      </c>
      <c r="B1805" t="str">
        <f>VLOOKUP(LEFT(A1805,3),'Table corresp.'!$A$4:$D$63,3,FALSE)</f>
        <v>Transformation</v>
      </c>
      <c r="C1805" t="str">
        <f>VLOOKUP(A1805,'Table corresp.'!$M$4:$P$63,4,FALSE)</f>
        <v>Production et transformation de produits bois</v>
      </c>
      <c r="D1805" t="s">
        <v>2</v>
      </c>
      <c r="E1805" t="str">
        <f>VLOOKUP(LEFT(D1805,3),'Table corresp.'!$A$4:$D$63,4,FALSE)</f>
        <v>Transformation</v>
      </c>
      <c r="F1805" t="str">
        <f t="shared" si="200"/>
        <v xml:space="preserve">63  - 04 </v>
      </c>
      <c r="G1805" s="238">
        <v>39128.484553165501</v>
      </c>
      <c r="H1805" s="238">
        <v>0</v>
      </c>
      <c r="I1805" s="238">
        <v>39128.484553165501</v>
      </c>
      <c r="J1805" s="238"/>
      <c r="K1805" s="238"/>
      <c r="L1805" s="238"/>
      <c r="M1805" s="238"/>
      <c r="N1805" s="238"/>
      <c r="O1805" s="238"/>
      <c r="P1805" s="238"/>
      <c r="Q1805" s="238"/>
      <c r="R1805" s="238"/>
      <c r="S1805" s="238"/>
      <c r="T1805" s="218">
        <f>VLOOKUP(A1805,'Groupe de branches'!$Z$27:$AM$86,14,FALSE)</f>
        <v>0</v>
      </c>
      <c r="U1805" s="218">
        <f>VLOOKUP(D1805,'Groupe de branches'!$Z$27:$AM$86,14,FALSE)</f>
        <v>0</v>
      </c>
      <c r="V1805" s="218">
        <v>2020</v>
      </c>
      <c r="W1805" s="218" t="str">
        <f>VLOOKUP(D1805,'Table corresp.'!$M$4:$S$63,7,FALSE)</f>
        <v>Energie</v>
      </c>
      <c r="X1805" s="240">
        <f>IFERROR(G1805/SUMIFS('Comp2016-2017 (3)'!$I$5:$I$289,'Comp2016-2017 (3)'!$A$5:$A$289,A1805,'Comp2016-2017 (3)'!$R$5:$R$289,V1805),0)</f>
        <v>9.4574446820375177E-2</v>
      </c>
      <c r="Y1805" s="219">
        <f>IFERROR(IF(RIGHT(F1805,3)="Exp",VLOOKUP(F1805,#REF!,2,FALSE),VLOOKUP(F1805,#REF!,9,FALSE)),1)</f>
        <v>1</v>
      </c>
      <c r="Z1805" s="226">
        <f t="shared" si="201"/>
        <v>5.8823529411764705E-2</v>
      </c>
      <c r="AA1805" s="226">
        <f t="shared" si="198"/>
        <v>5.5632027541397166E-3</v>
      </c>
      <c r="AB1805" s="205">
        <f>IFERROR(SUMIFS('Comp2016-2017 (3)'!$G$5:$G$289,'Comp2016-2017 (3)'!$A$5:$A$289,A1805,'Comp2016-2017 (3)'!$R$5:$R$289,V1805)*AA1805/SUMIFS($AA$4:$AA$1858,$A$4:$A$1858,A1805,$V$4:$V$1858,V1805),0)</f>
        <v>19994.655606667562</v>
      </c>
      <c r="AC1805" s="205" t="str">
        <f>IF($W1805=AC$3,$AB1805,IF(NOT($W1805=0),"",SUMIFS('Val-Vol (2)'!AC$4:AC$1858,'Val-Vol (2)'!$A$4:$A$1858,$D1805,'Val-Vol (2)'!$V$4:$V$1858,$V1805)/SUMIFS('Comp2016-2017 (3)'!$G$5:$G$289,'Comp2016-2017 (3)'!$A$5:$A$289,$D1805,'Comp2016-2017 (3)'!$R$5:$R$289,$V1805)*$AB1805))</f>
        <v/>
      </c>
      <c r="AD1805" s="205" t="str">
        <f>IF($W1805=AD$3,$AB1805,IF(NOT($W1805=0),"",SUMIFS('Val-Vol (2)'!AD$4:AD$1858,'Val-Vol (2)'!$A$4:$A$1858,$D1805,'Val-Vol (2)'!$V$4:$V$1858,$V1805)/SUMIFS('Comp2016-2017 (3)'!$G$5:$G$289,'Comp2016-2017 (3)'!$A$5:$A$289,$D1805,'Comp2016-2017 (3)'!$R$5:$R$289,$V1805)*$AB1805))</f>
        <v/>
      </c>
      <c r="AE1805" s="205" t="str">
        <f>IF($W1805=AE$3,$AB1805,IF(NOT($W1805=0),"",SUMIFS('Val-Vol (2)'!AE$4:AE$1858,'Val-Vol (2)'!$A$4:$A$1858,$D1805,'Val-Vol (2)'!$V$4:$V$1858,$V1805)/SUMIFS('Comp2016-2017 (3)'!$G$5:$G$289,'Comp2016-2017 (3)'!$A$5:$A$289,$D1805,'Comp2016-2017 (3)'!$R$5:$R$289,$V1805)*$AB1805))</f>
        <v/>
      </c>
      <c r="AF1805" s="205" t="str">
        <f>IF($W1805=AF$3,$AB1805,IF(NOT($W1805=0),"",SUMIFS('Val-Vol (2)'!AF$4:AF$1858,'Val-Vol (2)'!$A$4:$A$1858,$D1805,'Val-Vol (2)'!$V$4:$V$1858,$V1805)/SUMIFS('Comp2016-2017 (3)'!$G$5:$G$289,'Comp2016-2017 (3)'!$A$5:$A$289,$D1805,'Comp2016-2017 (3)'!$R$5:$R$289,$V1805)*$AB1805))</f>
        <v/>
      </c>
      <c r="AG1805" s="205" t="str">
        <f>IF($W1805=AG$3,$AB1805,IF(NOT($W1805=0),"",SUMIFS('Val-Vol (2)'!AG$4:AG$1858,'Val-Vol (2)'!$A$4:$A$1858,$D1805,'Val-Vol (2)'!$V$4:$V$1858,$V1805)/SUMIFS('Comp2016-2017 (3)'!$G$5:$G$289,'Comp2016-2017 (3)'!$A$5:$A$289,$D1805,'Comp2016-2017 (3)'!$R$5:$R$289,$V1805)*$AB1805))</f>
        <v/>
      </c>
      <c r="AH1805" s="205">
        <f>IF($W1805=AH$3,$AB1805,IF(NOT($W1805=0),"",SUMIFS('Val-Vol (2)'!AH$4:AH$1858,'Val-Vol (2)'!$A$4:$A$1858,$D1805,'Val-Vol (2)'!$V$4:$V$1858,$V1805)/SUMIFS('Comp2016-2017 (3)'!$G$5:$G$289,'Comp2016-2017 (3)'!$A$5:$A$289,$D1805,'Comp2016-2017 (3)'!$R$5:$R$289,$V1805)*$AB1805))</f>
        <v>19994.655606667562</v>
      </c>
      <c r="AI1805" s="205" t="str">
        <f>IF($W1805=AI$3,$AB1805,IF(NOT($W1805=0),"",SUMIFS('Val-Vol (2)'!AI$4:AI$1858,'Val-Vol (2)'!$A$4:$A$1858,$D1805,'Val-Vol (2)'!$V$4:$V$1858,$V1805)/SUMIFS('Comp2016-2017 (3)'!$G$5:$G$289,'Comp2016-2017 (3)'!$A$5:$A$289,$D1805,'Comp2016-2017 (3)'!$R$5:$R$289,$V1805)*$AB1805))</f>
        <v/>
      </c>
      <c r="AJ1805" s="205" t="str">
        <f>IF($W1805=AJ$3,$AB1805,IF(NOT($W1805=0),"",SUMIFS('Val-Vol (2)'!AJ$4:AJ$1858,'Val-Vol (2)'!$A$4:$A$1858,$D1805,'Val-Vol (2)'!$V$4:$V$1858,$V1805)/SUMIFS('Comp2016-2017 (3)'!$G$5:$G$289,'Comp2016-2017 (3)'!$A$5:$A$289,$D1805,'Comp2016-2017 (3)'!$R$5:$R$289,$V1805)*$AB1805))</f>
        <v/>
      </c>
      <c r="AK1805" s="205">
        <f t="shared" si="197"/>
        <v>0</v>
      </c>
      <c r="AL1805" s="218" t="str">
        <f t="shared" si="199"/>
        <v/>
      </c>
      <c r="AM1805" s="218" t="str">
        <f>VLOOKUP(A1805,'Table corresp.'!$M$4:$U$63,8,FALSE)</f>
        <v>Production intermédiaire</v>
      </c>
      <c r="AN1805" s="218" t="str">
        <f>VLOOKUP(D1805,'Table corresp.'!$M$4:$U$63,9,FALSE)</f>
        <v>Production intermédiaire</v>
      </c>
    </row>
    <row r="1806" spans="1:40" x14ac:dyDescent="0.25">
      <c r="A1806" t="s">
        <v>106</v>
      </c>
      <c r="B1806" t="str">
        <f>VLOOKUP(LEFT(A1806,3),'Table corresp.'!$A$4:$D$63,3,FALSE)</f>
        <v>Transformation</v>
      </c>
      <c r="C1806" t="str">
        <f>VLOOKUP(A1806,'Table corresp.'!$M$4:$P$63,4,FALSE)</f>
        <v>Production et transformation de produits bois</v>
      </c>
      <c r="D1806" t="s">
        <v>3</v>
      </c>
      <c r="E1806" t="str">
        <f>VLOOKUP(LEFT(D1806,3),'Table corresp.'!$A$4:$D$63,4,FALSE)</f>
        <v>Transformation</v>
      </c>
      <c r="F1806" t="str">
        <f t="shared" si="200"/>
        <v xml:space="preserve">63  - 06 </v>
      </c>
      <c r="G1806" s="238">
        <v>58619.3084854384</v>
      </c>
      <c r="H1806" s="238">
        <v>0</v>
      </c>
      <c r="I1806" s="238">
        <v>58619.308485438298</v>
      </c>
      <c r="J1806" s="238"/>
      <c r="K1806" s="238"/>
      <c r="L1806" s="238"/>
      <c r="M1806" s="238"/>
      <c r="N1806" s="238"/>
      <c r="O1806" s="238"/>
      <c r="P1806" s="238"/>
      <c r="Q1806" s="238"/>
      <c r="R1806" s="238"/>
      <c r="S1806" s="238"/>
      <c r="T1806" s="218">
        <f>VLOOKUP(A1806,'Groupe de branches'!$Z$27:$AM$86,14,FALSE)</f>
        <v>0</v>
      </c>
      <c r="U1806" s="218">
        <f>VLOOKUP(D1806,'Groupe de branches'!$Z$27:$AM$86,14,FALSE)</f>
        <v>0</v>
      </c>
      <c r="V1806" s="218">
        <v>2020</v>
      </c>
      <c r="W1806" s="218">
        <f>VLOOKUP(D1806,'Table corresp.'!$M$4:$S$63,7,FALSE)</f>
        <v>0</v>
      </c>
      <c r="X1806" s="240">
        <f>IFERROR(G1806/SUMIFS('Comp2016-2017 (3)'!$I$5:$I$289,'Comp2016-2017 (3)'!$A$5:$A$289,A1806,'Comp2016-2017 (3)'!$R$5:$R$289,V1806),0)</f>
        <v>0.1416842164043064</v>
      </c>
      <c r="Y1806" s="219">
        <f>IFERROR(IF(RIGHT(F1806,3)="Exp",VLOOKUP(F1806,#REF!,2,FALSE),VLOOKUP(F1806,#REF!,9,FALSE)),1)</f>
        <v>1</v>
      </c>
      <c r="Z1806" s="226">
        <f t="shared" si="201"/>
        <v>5.8823529411764705E-2</v>
      </c>
      <c r="AA1806" s="226">
        <f t="shared" si="198"/>
        <v>8.3343656708415523E-3</v>
      </c>
      <c r="AB1806" s="205">
        <f>IFERROR(SUMIFS('Comp2016-2017 (3)'!$G$5:$G$289,'Comp2016-2017 (3)'!$A$5:$A$289,A1806,'Comp2016-2017 (3)'!$R$5:$R$289,V1806)*AA1806/SUMIFS($AA$4:$AA$1858,$A$4:$A$1858,A1806,$V$4:$V$1858,V1806),0)</f>
        <v>29954.466636059002</v>
      </c>
      <c r="AC1806" s="205">
        <f>IF($W1806=AC$3,$AB1806,IF(NOT($W1806=0),"",SUMIFS('Val-Vol (2)'!AC$4:AC$1858,'Val-Vol (2)'!$A$4:$A$1858,$D1806,'Val-Vol (2)'!$V$4:$V$1858,$V1806)/SUMIFS('Comp2016-2017 (3)'!$G$5:$G$289,'Comp2016-2017 (3)'!$A$5:$A$289,$D1806,'Comp2016-2017 (3)'!$R$5:$R$289,$V1806)*$AB1806))</f>
        <v>1940.4140848056434</v>
      </c>
      <c r="AD1806" s="205">
        <f>IF($W1806=AD$3,$AB1806,IF(NOT($W1806=0),"",SUMIFS('Val-Vol (2)'!AD$4:AD$1858,'Val-Vol (2)'!$A$4:$A$1858,$D1806,'Val-Vol (2)'!$V$4:$V$1858,$V1806)/SUMIFS('Comp2016-2017 (3)'!$G$5:$G$289,'Comp2016-2017 (3)'!$A$5:$A$289,$D1806,'Comp2016-2017 (3)'!$R$5:$R$289,$V1806)*$AB1806))</f>
        <v>152.23803319804739</v>
      </c>
      <c r="AE1806" s="205">
        <f>IF($W1806=AE$3,$AB1806,IF(NOT($W1806=0),"",SUMIFS('Val-Vol (2)'!AE$4:AE$1858,'Val-Vol (2)'!$A$4:$A$1858,$D1806,'Val-Vol (2)'!$V$4:$V$1858,$V1806)/SUMIFS('Comp2016-2017 (3)'!$G$5:$G$289,'Comp2016-2017 (3)'!$A$5:$A$289,$D1806,'Comp2016-2017 (3)'!$R$5:$R$289,$V1806)*$AB1806))</f>
        <v>0</v>
      </c>
      <c r="AF1806" s="205">
        <f>IF($W1806=AF$3,$AB1806,IF(NOT($W1806=0),"",SUMIFS('Val-Vol (2)'!AF$4:AF$1858,'Val-Vol (2)'!$A$4:$A$1858,$D1806,'Val-Vol (2)'!$V$4:$V$1858,$V1806)/SUMIFS('Comp2016-2017 (3)'!$G$5:$G$289,'Comp2016-2017 (3)'!$A$5:$A$289,$D1806,'Comp2016-2017 (3)'!$R$5:$R$289,$V1806)*$AB1806))</f>
        <v>1760.3830081228637</v>
      </c>
      <c r="AG1806" s="205">
        <f>IF($W1806=AG$3,$AB1806,IF(NOT($W1806=0),"",SUMIFS('Val-Vol (2)'!AG$4:AG$1858,'Val-Vol (2)'!$A$4:$A$1858,$D1806,'Val-Vol (2)'!$V$4:$V$1858,$V1806)/SUMIFS('Comp2016-2017 (3)'!$G$5:$G$289,'Comp2016-2017 (3)'!$A$5:$A$289,$D1806,'Comp2016-2017 (3)'!$R$5:$R$289,$V1806)*$AB1806))</f>
        <v>555.64966266444617</v>
      </c>
      <c r="AH1806" s="205">
        <f>IF($W1806=AH$3,$AB1806,IF(NOT($W1806=0),"",SUMIFS('Val-Vol (2)'!AH$4:AH$1858,'Val-Vol (2)'!$A$4:$A$1858,$D1806,'Val-Vol (2)'!$V$4:$V$1858,$V1806)/SUMIFS('Comp2016-2017 (3)'!$G$5:$G$289,'Comp2016-2017 (3)'!$A$5:$A$289,$D1806,'Comp2016-2017 (3)'!$R$5:$R$289,$V1806)*$AB1806))</f>
        <v>5705.0705534812405</v>
      </c>
      <c r="AI1806" s="205">
        <f>IF($W1806=AI$3,$AB1806,IF(NOT($W1806=0),"",SUMIFS('Val-Vol (2)'!AI$4:AI$1858,'Val-Vol (2)'!$A$4:$A$1858,$D1806,'Val-Vol (2)'!$V$4:$V$1858,$V1806)/SUMIFS('Comp2016-2017 (3)'!$G$5:$G$289,'Comp2016-2017 (3)'!$A$5:$A$289,$D1806,'Comp2016-2017 (3)'!$R$5:$R$289,$V1806)*$AB1806))</f>
        <v>381.22357824469606</v>
      </c>
      <c r="AJ1806" s="205">
        <f>IF($W1806=AJ$3,$AB1806,IF(NOT($W1806=0),"",SUMIFS('Val-Vol (2)'!AJ$4:AJ$1858,'Val-Vol (2)'!$A$4:$A$1858,$D1806,'Val-Vol (2)'!$V$4:$V$1858,$V1806)/SUMIFS('Comp2016-2017 (3)'!$G$5:$G$289,'Comp2016-2017 (3)'!$A$5:$A$289,$D1806,'Comp2016-2017 (3)'!$R$5:$R$289,$V1806)*$AB1806))</f>
        <v>0</v>
      </c>
      <c r="AK1806" s="205">
        <f t="shared" si="197"/>
        <v>-19459.487715542062</v>
      </c>
      <c r="AL1806" s="218" t="str">
        <f t="shared" si="199"/>
        <v/>
      </c>
      <c r="AM1806" s="218" t="str">
        <f>VLOOKUP(A1806,'Table corresp.'!$M$4:$U$63,8,FALSE)</f>
        <v>Production intermédiaire</v>
      </c>
      <c r="AN1806" s="218" t="str">
        <f>VLOOKUP(D1806,'Table corresp.'!$M$4:$U$63,9,FALSE)</f>
        <v>Production intermédiaire</v>
      </c>
    </row>
    <row r="1807" spans="1:40" x14ac:dyDescent="0.25">
      <c r="A1807" t="s">
        <v>106</v>
      </c>
      <c r="B1807" t="str">
        <f>VLOOKUP(LEFT(A1807,3),'Table corresp.'!$A$4:$D$63,3,FALSE)</f>
        <v>Transformation</v>
      </c>
      <c r="C1807" t="str">
        <f>VLOOKUP(A1807,'Table corresp.'!$M$4:$P$63,4,FALSE)</f>
        <v>Production et transformation de produits bois</v>
      </c>
      <c r="D1807" t="s">
        <v>4</v>
      </c>
      <c r="E1807" t="str">
        <f>VLOOKUP(LEFT(D1807,3),'Table corresp.'!$A$4:$D$63,4,FALSE)</f>
        <v>Transformation</v>
      </c>
      <c r="F1807" t="str">
        <f t="shared" si="200"/>
        <v xml:space="preserve">63  - 08 </v>
      </c>
      <c r="G1807" s="238">
        <v>21471.016153023102</v>
      </c>
      <c r="H1807" s="238">
        <v>0</v>
      </c>
      <c r="I1807" s="238">
        <v>21471.016153023102</v>
      </c>
      <c r="J1807" s="238"/>
      <c r="K1807" s="238"/>
      <c r="L1807" s="238"/>
      <c r="M1807" s="238"/>
      <c r="N1807" s="238"/>
      <c r="O1807" s="238"/>
      <c r="P1807" s="238"/>
      <c r="Q1807" s="238"/>
      <c r="R1807" s="238"/>
      <c r="S1807" s="238"/>
      <c r="T1807" s="218">
        <f>VLOOKUP(A1807,'Groupe de branches'!$Z$27:$AM$86,14,FALSE)</f>
        <v>0</v>
      </c>
      <c r="U1807" s="218">
        <f>VLOOKUP(D1807,'Groupe de branches'!$Z$27:$AM$86,14,FALSE)</f>
        <v>0</v>
      </c>
      <c r="V1807" s="218">
        <v>2020</v>
      </c>
      <c r="W1807" s="218">
        <f>VLOOKUP(D1807,'Table corresp.'!$M$4:$S$63,7,FALSE)</f>
        <v>0</v>
      </c>
      <c r="X1807" s="240">
        <f>IFERROR(G1807/SUMIFS('Comp2016-2017 (3)'!$I$5:$I$289,'Comp2016-2017 (3)'!$A$5:$A$289,A1807,'Comp2016-2017 (3)'!$R$5:$R$289,V1807),0)</f>
        <v>5.1895939710734924E-2</v>
      </c>
      <c r="Y1807" s="219">
        <f>IFERROR(IF(RIGHT(F1807,3)="Exp",VLOOKUP(F1807,#REF!,2,FALSE),VLOOKUP(F1807,#REF!,9,FALSE)),1)</f>
        <v>1</v>
      </c>
      <c r="Z1807" s="226">
        <f t="shared" si="201"/>
        <v>5.8823529411764705E-2</v>
      </c>
      <c r="AA1807" s="226">
        <f t="shared" si="198"/>
        <v>3.0527023359255838E-3</v>
      </c>
      <c r="AB1807" s="205">
        <f>IFERROR(SUMIFS('Comp2016-2017 (3)'!$G$5:$G$289,'Comp2016-2017 (3)'!$A$5:$A$289,A1807,'Comp2016-2017 (3)'!$R$5:$R$289,V1807)*AA1807/SUMIFS($AA$4:$AA$1858,$A$4:$A$1858,A1807,$V$4:$V$1858,V1807),0)</f>
        <v>10971.689254194798</v>
      </c>
      <c r="AC1807" s="205">
        <f>IF($W1807=AC$3,$AB1807,IF(NOT($W1807=0),"",SUMIFS('Val-Vol (2)'!AC$4:AC$1858,'Val-Vol (2)'!$A$4:$A$1858,$D1807,'Val-Vol (2)'!$V$4:$V$1858,$V1807)/SUMIFS('Comp2016-2017 (3)'!$G$5:$G$289,'Comp2016-2017 (3)'!$A$5:$A$289,$D1807,'Comp2016-2017 (3)'!$R$5:$R$289,$V1807)*$AB1807))</f>
        <v>0</v>
      </c>
      <c r="AD1807" s="205">
        <f>IF($W1807=AD$3,$AB1807,IF(NOT($W1807=0),"",SUMIFS('Val-Vol (2)'!AD$4:AD$1858,'Val-Vol (2)'!$A$4:$A$1858,$D1807,'Val-Vol (2)'!$V$4:$V$1858,$V1807)/SUMIFS('Comp2016-2017 (3)'!$G$5:$G$289,'Comp2016-2017 (3)'!$A$5:$A$289,$D1807,'Comp2016-2017 (3)'!$R$5:$R$289,$V1807)*$AB1807))</f>
        <v>0</v>
      </c>
      <c r="AE1807" s="205">
        <f>IF($W1807=AE$3,$AB1807,IF(NOT($W1807=0),"",SUMIFS('Val-Vol (2)'!AE$4:AE$1858,'Val-Vol (2)'!$A$4:$A$1858,$D1807,'Val-Vol (2)'!$V$4:$V$1858,$V1807)/SUMIFS('Comp2016-2017 (3)'!$G$5:$G$289,'Comp2016-2017 (3)'!$A$5:$A$289,$D1807,'Comp2016-2017 (3)'!$R$5:$R$289,$V1807)*$AB1807))</f>
        <v>0</v>
      </c>
      <c r="AF1807" s="205">
        <f>IF($W1807=AF$3,$AB1807,IF(NOT($W1807=0),"",SUMIFS('Val-Vol (2)'!AF$4:AF$1858,'Val-Vol (2)'!$A$4:$A$1858,$D1807,'Val-Vol (2)'!$V$4:$V$1858,$V1807)/SUMIFS('Comp2016-2017 (3)'!$G$5:$G$289,'Comp2016-2017 (3)'!$A$5:$A$289,$D1807,'Comp2016-2017 (3)'!$R$5:$R$289,$V1807)*$AB1807))</f>
        <v>0</v>
      </c>
      <c r="AG1807" s="205">
        <f>IF($W1807=AG$3,$AB1807,IF(NOT($W1807=0),"",SUMIFS('Val-Vol (2)'!AG$4:AG$1858,'Val-Vol (2)'!$A$4:$A$1858,$D1807,'Val-Vol (2)'!$V$4:$V$1858,$V1807)/SUMIFS('Comp2016-2017 (3)'!$G$5:$G$289,'Comp2016-2017 (3)'!$A$5:$A$289,$D1807,'Comp2016-2017 (3)'!$R$5:$R$289,$V1807)*$AB1807))</f>
        <v>0</v>
      </c>
      <c r="AH1807" s="205">
        <f>IF($W1807=AH$3,$AB1807,IF(NOT($W1807=0),"",SUMIFS('Val-Vol (2)'!AH$4:AH$1858,'Val-Vol (2)'!$A$4:$A$1858,$D1807,'Val-Vol (2)'!$V$4:$V$1858,$V1807)/SUMIFS('Comp2016-2017 (3)'!$G$5:$G$289,'Comp2016-2017 (3)'!$A$5:$A$289,$D1807,'Comp2016-2017 (3)'!$R$5:$R$289,$V1807)*$AB1807))</f>
        <v>0</v>
      </c>
      <c r="AI1807" s="205">
        <f>IF($W1807=AI$3,$AB1807,IF(NOT($W1807=0),"",SUMIFS('Val-Vol (2)'!AI$4:AI$1858,'Val-Vol (2)'!$A$4:$A$1858,$D1807,'Val-Vol (2)'!$V$4:$V$1858,$V1807)/SUMIFS('Comp2016-2017 (3)'!$G$5:$G$289,'Comp2016-2017 (3)'!$A$5:$A$289,$D1807,'Comp2016-2017 (3)'!$R$5:$R$289,$V1807)*$AB1807))</f>
        <v>0</v>
      </c>
      <c r="AJ1807" s="205">
        <f>IF($W1807=AJ$3,$AB1807,IF(NOT($W1807=0),"",SUMIFS('Val-Vol (2)'!AJ$4:AJ$1858,'Val-Vol (2)'!$A$4:$A$1858,$D1807,'Val-Vol (2)'!$V$4:$V$1858,$V1807)/SUMIFS('Comp2016-2017 (3)'!$G$5:$G$289,'Comp2016-2017 (3)'!$A$5:$A$289,$D1807,'Comp2016-2017 (3)'!$R$5:$R$289,$V1807)*$AB1807))</f>
        <v>0</v>
      </c>
      <c r="AK1807" s="205">
        <f t="shared" si="197"/>
        <v>-10971.689254194798</v>
      </c>
      <c r="AL1807" s="218" t="str">
        <f t="shared" si="199"/>
        <v/>
      </c>
      <c r="AM1807" s="218" t="str">
        <f>VLOOKUP(A1807,'Table corresp.'!$M$4:$U$63,8,FALSE)</f>
        <v>Production intermédiaire</v>
      </c>
      <c r="AN1807" s="218" t="str">
        <f>VLOOKUP(D1807,'Table corresp.'!$M$4:$U$63,9,FALSE)</f>
        <v>Production intermédiaire</v>
      </c>
    </row>
    <row r="1808" spans="1:40" x14ac:dyDescent="0.25">
      <c r="A1808" t="s">
        <v>106</v>
      </c>
      <c r="B1808" t="str">
        <f>VLOOKUP(LEFT(A1808,3),'Table corresp.'!$A$4:$D$63,3,FALSE)</f>
        <v>Transformation</v>
      </c>
      <c r="C1808" t="str">
        <f>VLOOKUP(A1808,'Table corresp.'!$M$4:$P$63,4,FALSE)</f>
        <v>Production et transformation de produits bois</v>
      </c>
      <c r="D1808" t="s">
        <v>5</v>
      </c>
      <c r="E1808" t="str">
        <f>VLOOKUP(LEFT(D1808,3),'Table corresp.'!$A$4:$D$63,4,FALSE)</f>
        <v>Transformation</v>
      </c>
      <c r="F1808" t="str">
        <f t="shared" si="200"/>
        <v xml:space="preserve">63  - 09 </v>
      </c>
      <c r="G1808" s="238">
        <v>6257.9469674212396</v>
      </c>
      <c r="H1808" s="238">
        <v>0</v>
      </c>
      <c r="I1808" s="238">
        <v>6257.9469674212396</v>
      </c>
      <c r="J1808" s="238"/>
      <c r="K1808" s="238"/>
      <c r="L1808" s="238"/>
      <c r="M1808" s="238"/>
      <c r="N1808" s="238"/>
      <c r="O1808" s="238"/>
      <c r="P1808" s="238"/>
      <c r="Q1808" s="238"/>
      <c r="R1808" s="238"/>
      <c r="S1808" s="238"/>
      <c r="T1808" s="218">
        <f>VLOOKUP(A1808,'Groupe de branches'!$Z$27:$AM$86,14,FALSE)</f>
        <v>0</v>
      </c>
      <c r="U1808" s="218">
        <f>VLOOKUP(D1808,'Groupe de branches'!$Z$27:$AM$86,14,FALSE)</f>
        <v>0</v>
      </c>
      <c r="V1808" s="218">
        <v>2020</v>
      </c>
      <c r="W1808" s="218">
        <f>VLOOKUP(D1808,'Table corresp.'!$M$4:$S$63,7,FALSE)</f>
        <v>0</v>
      </c>
      <c r="X1808" s="240">
        <f>IFERROR(G1808/SUMIFS('Comp2016-2017 (3)'!$I$5:$I$289,'Comp2016-2017 (3)'!$A$5:$A$289,A1808,'Comp2016-2017 (3)'!$R$5:$R$289,V1808),0)</f>
        <v>1.5125601705094097E-2</v>
      </c>
      <c r="Y1808" s="219">
        <f>IFERROR(IF(RIGHT(F1808,3)="Exp",VLOOKUP(F1808,#REF!,2,FALSE),VLOOKUP(F1808,#REF!,9,FALSE)),1)</f>
        <v>1</v>
      </c>
      <c r="Z1808" s="226">
        <f t="shared" si="201"/>
        <v>5.8823529411764705E-2</v>
      </c>
      <c r="AA1808" s="226">
        <f t="shared" si="198"/>
        <v>8.8974127677024094E-4</v>
      </c>
      <c r="AB1808" s="205">
        <f>IFERROR(SUMIFS('Comp2016-2017 (3)'!$G$5:$G$289,'Comp2016-2017 (3)'!$A$5:$A$289,A1808,'Comp2016-2017 (3)'!$R$5:$R$289,V1808)*AA1808/SUMIFS($AA$4:$AA$1858,$A$4:$A$1858,A1808,$V$4:$V$1858,V1808),0)</f>
        <v>3197.8109003522513</v>
      </c>
      <c r="AC1808" s="205">
        <f>IF($W1808=AC$3,$AB1808,IF(NOT($W1808=0),"",SUMIFS('Val-Vol (2)'!AC$4:AC$1858,'Val-Vol (2)'!$A$4:$A$1858,$D1808,'Val-Vol (2)'!$V$4:$V$1858,$V1808)/SUMIFS('Comp2016-2017 (3)'!$G$5:$G$289,'Comp2016-2017 (3)'!$A$5:$A$289,$D1808,'Comp2016-2017 (3)'!$R$5:$R$289,$V1808)*$AB1808))</f>
        <v>0</v>
      </c>
      <c r="AD1808" s="205">
        <f>IF($W1808=AD$3,$AB1808,IF(NOT($W1808=0),"",SUMIFS('Val-Vol (2)'!AD$4:AD$1858,'Val-Vol (2)'!$A$4:$A$1858,$D1808,'Val-Vol (2)'!$V$4:$V$1858,$V1808)/SUMIFS('Comp2016-2017 (3)'!$G$5:$G$289,'Comp2016-2017 (3)'!$A$5:$A$289,$D1808,'Comp2016-2017 (3)'!$R$5:$R$289,$V1808)*$AB1808))</f>
        <v>0</v>
      </c>
      <c r="AE1808" s="205">
        <f>IF($W1808=AE$3,$AB1808,IF(NOT($W1808=0),"",SUMIFS('Val-Vol (2)'!AE$4:AE$1858,'Val-Vol (2)'!$A$4:$A$1858,$D1808,'Val-Vol (2)'!$V$4:$V$1858,$V1808)/SUMIFS('Comp2016-2017 (3)'!$G$5:$G$289,'Comp2016-2017 (3)'!$A$5:$A$289,$D1808,'Comp2016-2017 (3)'!$R$5:$R$289,$V1808)*$AB1808))</f>
        <v>0</v>
      </c>
      <c r="AF1808" s="205">
        <f>IF($W1808=AF$3,$AB1808,IF(NOT($W1808=0),"",SUMIFS('Val-Vol (2)'!AF$4:AF$1858,'Val-Vol (2)'!$A$4:$A$1858,$D1808,'Val-Vol (2)'!$V$4:$V$1858,$V1808)/SUMIFS('Comp2016-2017 (3)'!$G$5:$G$289,'Comp2016-2017 (3)'!$A$5:$A$289,$D1808,'Comp2016-2017 (3)'!$R$5:$R$289,$V1808)*$AB1808))</f>
        <v>0</v>
      </c>
      <c r="AG1808" s="205">
        <f>IF($W1808=AG$3,$AB1808,IF(NOT($W1808=0),"",SUMIFS('Val-Vol (2)'!AG$4:AG$1858,'Val-Vol (2)'!$A$4:$A$1858,$D1808,'Val-Vol (2)'!$V$4:$V$1858,$V1808)/SUMIFS('Comp2016-2017 (3)'!$G$5:$G$289,'Comp2016-2017 (3)'!$A$5:$A$289,$D1808,'Comp2016-2017 (3)'!$R$5:$R$289,$V1808)*$AB1808))</f>
        <v>0</v>
      </c>
      <c r="AH1808" s="205">
        <f>IF($W1808=AH$3,$AB1808,IF(NOT($W1808=0),"",SUMIFS('Val-Vol (2)'!AH$4:AH$1858,'Val-Vol (2)'!$A$4:$A$1858,$D1808,'Val-Vol (2)'!$V$4:$V$1858,$V1808)/SUMIFS('Comp2016-2017 (3)'!$G$5:$G$289,'Comp2016-2017 (3)'!$A$5:$A$289,$D1808,'Comp2016-2017 (3)'!$R$5:$R$289,$V1808)*$AB1808))</f>
        <v>0</v>
      </c>
      <c r="AI1808" s="205">
        <f>IF($W1808=AI$3,$AB1808,IF(NOT($W1808=0),"",SUMIFS('Val-Vol (2)'!AI$4:AI$1858,'Val-Vol (2)'!$A$4:$A$1858,$D1808,'Val-Vol (2)'!$V$4:$V$1858,$V1808)/SUMIFS('Comp2016-2017 (3)'!$G$5:$G$289,'Comp2016-2017 (3)'!$A$5:$A$289,$D1808,'Comp2016-2017 (3)'!$R$5:$R$289,$V1808)*$AB1808))</f>
        <v>0</v>
      </c>
      <c r="AJ1808" s="205">
        <f>IF($W1808=AJ$3,$AB1808,IF(NOT($W1808=0),"",SUMIFS('Val-Vol (2)'!AJ$4:AJ$1858,'Val-Vol (2)'!$A$4:$A$1858,$D1808,'Val-Vol (2)'!$V$4:$V$1858,$V1808)/SUMIFS('Comp2016-2017 (3)'!$G$5:$G$289,'Comp2016-2017 (3)'!$A$5:$A$289,$D1808,'Comp2016-2017 (3)'!$R$5:$R$289,$V1808)*$AB1808))</f>
        <v>0</v>
      </c>
      <c r="AK1808" s="205">
        <f t="shared" si="197"/>
        <v>-3197.8109003522513</v>
      </c>
      <c r="AL1808" s="218" t="str">
        <f t="shared" si="199"/>
        <v/>
      </c>
      <c r="AM1808" s="218" t="str">
        <f>VLOOKUP(A1808,'Table corresp.'!$M$4:$U$63,8,FALSE)</f>
        <v>Production intermédiaire</v>
      </c>
      <c r="AN1808" s="218" t="str">
        <f>VLOOKUP(D1808,'Table corresp.'!$M$4:$U$63,9,FALSE)</f>
        <v>Production intermédiaire</v>
      </c>
    </row>
    <row r="1809" spans="1:40" x14ac:dyDescent="0.25">
      <c r="A1809" t="s">
        <v>106</v>
      </c>
      <c r="B1809" t="str">
        <f>VLOOKUP(LEFT(A1809,3),'Table corresp.'!$A$4:$D$63,3,FALSE)</f>
        <v>Transformation</v>
      </c>
      <c r="C1809" t="str">
        <f>VLOOKUP(A1809,'Table corresp.'!$M$4:$P$63,4,FALSE)</f>
        <v>Production et transformation de produits bois</v>
      </c>
      <c r="D1809" t="s">
        <v>82</v>
      </c>
      <c r="E1809" t="str">
        <f>VLOOKUP(LEFT(D1809,3),'Table corresp.'!$A$4:$D$63,4,FALSE)</f>
        <v>Transformation</v>
      </c>
      <c r="F1809" t="str">
        <f t="shared" si="200"/>
        <v xml:space="preserve">63  - 10 </v>
      </c>
      <c r="G1809" s="238">
        <v>7076.4606705947299</v>
      </c>
      <c r="H1809" s="238">
        <v>0</v>
      </c>
      <c r="I1809" s="238">
        <v>7076.4606705947299</v>
      </c>
      <c r="J1809" s="238"/>
      <c r="K1809" s="238"/>
      <c r="L1809" s="238"/>
      <c r="M1809" s="238"/>
      <c r="N1809" s="238"/>
      <c r="O1809" s="238"/>
      <c r="P1809" s="238"/>
      <c r="Q1809" s="238"/>
      <c r="R1809" s="238"/>
      <c r="S1809" s="238"/>
      <c r="T1809" s="218">
        <f>VLOOKUP(A1809,'Groupe de branches'!$Z$27:$AM$86,14,FALSE)</f>
        <v>0</v>
      </c>
      <c r="U1809" s="218">
        <f>VLOOKUP(D1809,'Groupe de branches'!$Z$27:$AM$86,14,FALSE)</f>
        <v>0</v>
      </c>
      <c r="V1809" s="218">
        <v>2020</v>
      </c>
      <c r="W1809" s="218">
        <f>VLOOKUP(D1809,'Table corresp.'!$M$4:$S$63,7,FALSE)</f>
        <v>0</v>
      </c>
      <c r="X1809" s="240">
        <f>IFERROR(G1809/SUMIFS('Comp2016-2017 (3)'!$I$5:$I$289,'Comp2016-2017 (3)'!$A$5:$A$289,A1809,'Comp2016-2017 (3)'!$R$5:$R$289,V1809),0)</f>
        <v>1.7103968145208811E-2</v>
      </c>
      <c r="Y1809" s="219">
        <f>IFERROR(IF(RIGHT(F1809,3)="Exp",VLOOKUP(F1809,#REF!,2,FALSE),VLOOKUP(F1809,#REF!,9,FALSE)),1)</f>
        <v>1</v>
      </c>
      <c r="Z1809" s="226">
        <f t="shared" si="201"/>
        <v>5.8823529411764705E-2</v>
      </c>
      <c r="AA1809" s="226">
        <f t="shared" si="198"/>
        <v>1.006115773247577E-3</v>
      </c>
      <c r="AB1809" s="205">
        <f>IFERROR(SUMIFS('Comp2016-2017 (3)'!$G$5:$G$289,'Comp2016-2017 (3)'!$A$5:$A$289,A1809,'Comp2016-2017 (3)'!$R$5:$R$289,V1809)*AA1809/SUMIFS($AA$4:$AA$1858,$A$4:$A$1858,A1809,$V$4:$V$1858,V1809),0)</f>
        <v>3616.0714026739051</v>
      </c>
      <c r="AC1809" s="205">
        <f>IF($W1809=AC$3,$AB1809,IF(NOT($W1809=0),"",SUMIFS('Val-Vol (2)'!AC$4:AC$1858,'Val-Vol (2)'!$A$4:$A$1858,$D1809,'Val-Vol (2)'!$V$4:$V$1858,$V1809)/SUMIFS('Comp2016-2017 (3)'!$G$5:$G$289,'Comp2016-2017 (3)'!$A$5:$A$289,$D1809,'Comp2016-2017 (3)'!$R$5:$R$289,$V1809)*$AB1809))</f>
        <v>0</v>
      </c>
      <c r="AD1809" s="205">
        <f>IF($W1809=AD$3,$AB1809,IF(NOT($W1809=0),"",SUMIFS('Val-Vol (2)'!AD$4:AD$1858,'Val-Vol (2)'!$A$4:$A$1858,$D1809,'Val-Vol (2)'!$V$4:$V$1858,$V1809)/SUMIFS('Comp2016-2017 (3)'!$G$5:$G$289,'Comp2016-2017 (3)'!$A$5:$A$289,$D1809,'Comp2016-2017 (3)'!$R$5:$R$289,$V1809)*$AB1809))</f>
        <v>0</v>
      </c>
      <c r="AE1809" s="205">
        <f>IF($W1809=AE$3,$AB1809,IF(NOT($W1809=0),"",SUMIFS('Val-Vol (2)'!AE$4:AE$1858,'Val-Vol (2)'!$A$4:$A$1858,$D1809,'Val-Vol (2)'!$V$4:$V$1858,$V1809)/SUMIFS('Comp2016-2017 (3)'!$G$5:$G$289,'Comp2016-2017 (3)'!$A$5:$A$289,$D1809,'Comp2016-2017 (3)'!$R$5:$R$289,$V1809)*$AB1809))</f>
        <v>0</v>
      </c>
      <c r="AF1809" s="205">
        <f>IF($W1809=AF$3,$AB1809,IF(NOT($W1809=0),"",SUMIFS('Val-Vol (2)'!AF$4:AF$1858,'Val-Vol (2)'!$A$4:$A$1858,$D1809,'Val-Vol (2)'!$V$4:$V$1858,$V1809)/SUMIFS('Comp2016-2017 (3)'!$G$5:$G$289,'Comp2016-2017 (3)'!$A$5:$A$289,$D1809,'Comp2016-2017 (3)'!$R$5:$R$289,$V1809)*$AB1809))</f>
        <v>0</v>
      </c>
      <c r="AG1809" s="205">
        <f>IF($W1809=AG$3,$AB1809,IF(NOT($W1809=0),"",SUMIFS('Val-Vol (2)'!AG$4:AG$1858,'Val-Vol (2)'!$A$4:$A$1858,$D1809,'Val-Vol (2)'!$V$4:$V$1858,$V1809)/SUMIFS('Comp2016-2017 (3)'!$G$5:$G$289,'Comp2016-2017 (3)'!$A$5:$A$289,$D1809,'Comp2016-2017 (3)'!$R$5:$R$289,$V1809)*$AB1809))</f>
        <v>0</v>
      </c>
      <c r="AH1809" s="205">
        <f>IF($W1809=AH$3,$AB1809,IF(NOT($W1809=0),"",SUMIFS('Val-Vol (2)'!AH$4:AH$1858,'Val-Vol (2)'!$A$4:$A$1858,$D1809,'Val-Vol (2)'!$V$4:$V$1858,$V1809)/SUMIFS('Comp2016-2017 (3)'!$G$5:$G$289,'Comp2016-2017 (3)'!$A$5:$A$289,$D1809,'Comp2016-2017 (3)'!$R$5:$R$289,$V1809)*$AB1809))</f>
        <v>0</v>
      </c>
      <c r="AI1809" s="205">
        <f>IF($W1809=AI$3,$AB1809,IF(NOT($W1809=0),"",SUMIFS('Val-Vol (2)'!AI$4:AI$1858,'Val-Vol (2)'!$A$4:$A$1858,$D1809,'Val-Vol (2)'!$V$4:$V$1858,$V1809)/SUMIFS('Comp2016-2017 (3)'!$G$5:$G$289,'Comp2016-2017 (3)'!$A$5:$A$289,$D1809,'Comp2016-2017 (3)'!$R$5:$R$289,$V1809)*$AB1809))</f>
        <v>0</v>
      </c>
      <c r="AJ1809" s="205">
        <f>IF($W1809=AJ$3,$AB1809,IF(NOT($W1809=0),"",SUMIFS('Val-Vol (2)'!AJ$4:AJ$1858,'Val-Vol (2)'!$A$4:$A$1858,$D1809,'Val-Vol (2)'!$V$4:$V$1858,$V1809)/SUMIFS('Comp2016-2017 (3)'!$G$5:$G$289,'Comp2016-2017 (3)'!$A$5:$A$289,$D1809,'Comp2016-2017 (3)'!$R$5:$R$289,$V1809)*$AB1809))</f>
        <v>0</v>
      </c>
      <c r="AK1809" s="205">
        <f t="shared" si="197"/>
        <v>-3616.0714026739051</v>
      </c>
      <c r="AL1809" s="218" t="str">
        <f t="shared" si="199"/>
        <v/>
      </c>
      <c r="AM1809" s="218" t="str">
        <f>VLOOKUP(A1809,'Table corresp.'!$M$4:$U$63,8,FALSE)</f>
        <v>Production intermédiaire</v>
      </c>
      <c r="AN1809" s="218" t="str">
        <f>VLOOKUP(D1809,'Table corresp.'!$M$4:$U$63,9,FALSE)</f>
        <v>Production intermédiaire</v>
      </c>
    </row>
    <row r="1810" spans="1:40" x14ac:dyDescent="0.25">
      <c r="A1810" t="s">
        <v>106</v>
      </c>
      <c r="B1810" t="str">
        <f>VLOOKUP(LEFT(A1810,3),'Table corresp.'!$A$4:$D$63,3,FALSE)</f>
        <v>Transformation</v>
      </c>
      <c r="C1810" t="str">
        <f>VLOOKUP(A1810,'Table corresp.'!$M$4:$P$63,4,FALSE)</f>
        <v>Production et transformation de produits bois</v>
      </c>
      <c r="D1810" t="s">
        <v>7</v>
      </c>
      <c r="E1810" t="str">
        <f>VLOOKUP(LEFT(D1810,3),'Table corresp.'!$A$4:$D$63,4,FALSE)</f>
        <v>Transformation</v>
      </c>
      <c r="F1810" t="str">
        <f t="shared" si="200"/>
        <v xml:space="preserve">63  - 12 </v>
      </c>
      <c r="G1810" s="238">
        <v>80369.536582960995</v>
      </c>
      <c r="H1810" s="238">
        <v>0</v>
      </c>
      <c r="I1810" s="238">
        <v>80369.536582960995</v>
      </c>
      <c r="J1810" s="238"/>
      <c r="K1810" s="238"/>
      <c r="L1810" s="238"/>
      <c r="M1810" s="238"/>
      <c r="N1810" s="238"/>
      <c r="O1810" s="238"/>
      <c r="P1810" s="238"/>
      <c r="Q1810" s="238"/>
      <c r="R1810" s="238"/>
      <c r="S1810" s="238"/>
      <c r="T1810" s="218">
        <f>VLOOKUP(A1810,'Groupe de branches'!$Z$27:$AM$86,14,FALSE)</f>
        <v>0</v>
      </c>
      <c r="U1810" s="218">
        <f>VLOOKUP(D1810,'Groupe de branches'!$Z$27:$AM$86,14,FALSE)</f>
        <v>0</v>
      </c>
      <c r="V1810" s="218">
        <v>2020</v>
      </c>
      <c r="W1810" s="218">
        <f>VLOOKUP(D1810,'Table corresp.'!$M$4:$S$63,7,FALSE)</f>
        <v>0</v>
      </c>
      <c r="X1810" s="240">
        <f>IFERROR(G1810/SUMIFS('Comp2016-2017 (3)'!$I$5:$I$289,'Comp2016-2017 (3)'!$A$5:$A$289,A1810,'Comp2016-2017 (3)'!$R$5:$R$289,V1810),0)</f>
        <v>0.19425501780463222</v>
      </c>
      <c r="Y1810" s="219">
        <f>IFERROR(IF(RIGHT(F1810,3)="Exp",VLOOKUP(F1810,#REF!,2,FALSE),VLOOKUP(F1810,#REF!,9,FALSE)),1)</f>
        <v>1</v>
      </c>
      <c r="Z1810" s="226">
        <f t="shared" si="201"/>
        <v>5.8823529411764705E-2</v>
      </c>
      <c r="AA1810" s="226">
        <f t="shared" si="198"/>
        <v>1.142676575321366E-2</v>
      </c>
      <c r="AB1810" s="205">
        <f>IFERROR(SUMIFS('Comp2016-2017 (3)'!$G$5:$G$289,'Comp2016-2017 (3)'!$A$5:$A$289,A1810,'Comp2016-2017 (3)'!$R$5:$R$289,V1810)*AA1810/SUMIFS($AA$4:$AA$1858,$A$4:$A$1858,A1810,$V$4:$V$1858,V1810),0)</f>
        <v>41068.833193893042</v>
      </c>
      <c r="AC1810" s="205">
        <f>IF($W1810=AC$3,$AB1810,IF(NOT($W1810=0),"",SUMIFS('Val-Vol (2)'!AC$4:AC$1858,'Val-Vol (2)'!$A$4:$A$1858,$D1810,'Val-Vol (2)'!$V$4:$V$1858,$V1810)/SUMIFS('Comp2016-2017 (3)'!$G$5:$G$289,'Comp2016-2017 (3)'!$A$5:$A$289,$D1810,'Comp2016-2017 (3)'!$R$5:$R$289,$V1810)*$AB1810))</f>
        <v>0</v>
      </c>
      <c r="AD1810" s="205">
        <f>IF($W1810=AD$3,$AB1810,IF(NOT($W1810=0),"",SUMIFS('Val-Vol (2)'!AD$4:AD$1858,'Val-Vol (2)'!$A$4:$A$1858,$D1810,'Val-Vol (2)'!$V$4:$V$1858,$V1810)/SUMIFS('Comp2016-2017 (3)'!$G$5:$G$289,'Comp2016-2017 (3)'!$A$5:$A$289,$D1810,'Comp2016-2017 (3)'!$R$5:$R$289,$V1810)*$AB1810))</f>
        <v>0</v>
      </c>
      <c r="AE1810" s="205">
        <f>IF($W1810=AE$3,$AB1810,IF(NOT($W1810=0),"",SUMIFS('Val-Vol (2)'!AE$4:AE$1858,'Val-Vol (2)'!$A$4:$A$1858,$D1810,'Val-Vol (2)'!$V$4:$V$1858,$V1810)/SUMIFS('Comp2016-2017 (3)'!$G$5:$G$289,'Comp2016-2017 (3)'!$A$5:$A$289,$D1810,'Comp2016-2017 (3)'!$R$5:$R$289,$V1810)*$AB1810))</f>
        <v>0</v>
      </c>
      <c r="AF1810" s="205">
        <f>IF($W1810=AF$3,$AB1810,IF(NOT($W1810=0),"",SUMIFS('Val-Vol (2)'!AF$4:AF$1858,'Val-Vol (2)'!$A$4:$A$1858,$D1810,'Val-Vol (2)'!$V$4:$V$1858,$V1810)/SUMIFS('Comp2016-2017 (3)'!$G$5:$G$289,'Comp2016-2017 (3)'!$A$5:$A$289,$D1810,'Comp2016-2017 (3)'!$R$5:$R$289,$V1810)*$AB1810))</f>
        <v>0</v>
      </c>
      <c r="AG1810" s="205">
        <f>IF($W1810=AG$3,$AB1810,IF(NOT($W1810=0),"",SUMIFS('Val-Vol (2)'!AG$4:AG$1858,'Val-Vol (2)'!$A$4:$A$1858,$D1810,'Val-Vol (2)'!$V$4:$V$1858,$V1810)/SUMIFS('Comp2016-2017 (3)'!$G$5:$G$289,'Comp2016-2017 (3)'!$A$5:$A$289,$D1810,'Comp2016-2017 (3)'!$R$5:$R$289,$V1810)*$AB1810))</f>
        <v>0</v>
      </c>
      <c r="AH1810" s="205">
        <f>IF($W1810=AH$3,$AB1810,IF(NOT($W1810=0),"",SUMIFS('Val-Vol (2)'!AH$4:AH$1858,'Val-Vol (2)'!$A$4:$A$1858,$D1810,'Val-Vol (2)'!$V$4:$V$1858,$V1810)/SUMIFS('Comp2016-2017 (3)'!$G$5:$G$289,'Comp2016-2017 (3)'!$A$5:$A$289,$D1810,'Comp2016-2017 (3)'!$R$5:$R$289,$V1810)*$AB1810))</f>
        <v>0</v>
      </c>
      <c r="AI1810" s="205">
        <f>IF($W1810=AI$3,$AB1810,IF(NOT($W1810=0),"",SUMIFS('Val-Vol (2)'!AI$4:AI$1858,'Val-Vol (2)'!$A$4:$A$1858,$D1810,'Val-Vol (2)'!$V$4:$V$1858,$V1810)/SUMIFS('Comp2016-2017 (3)'!$G$5:$G$289,'Comp2016-2017 (3)'!$A$5:$A$289,$D1810,'Comp2016-2017 (3)'!$R$5:$R$289,$V1810)*$AB1810))</f>
        <v>0</v>
      </c>
      <c r="AJ1810" s="205">
        <f>IF($W1810=AJ$3,$AB1810,IF(NOT($W1810=0),"",SUMIFS('Val-Vol (2)'!AJ$4:AJ$1858,'Val-Vol (2)'!$A$4:$A$1858,$D1810,'Val-Vol (2)'!$V$4:$V$1858,$V1810)/SUMIFS('Comp2016-2017 (3)'!$G$5:$G$289,'Comp2016-2017 (3)'!$A$5:$A$289,$D1810,'Comp2016-2017 (3)'!$R$5:$R$289,$V1810)*$AB1810))</f>
        <v>0</v>
      </c>
      <c r="AK1810" s="205">
        <f t="shared" si="197"/>
        <v>-41068.833193893042</v>
      </c>
      <c r="AL1810" s="218" t="str">
        <f t="shared" si="199"/>
        <v/>
      </c>
      <c r="AM1810" s="218" t="str">
        <f>VLOOKUP(A1810,'Table corresp.'!$M$4:$U$63,8,FALSE)</f>
        <v>Production intermédiaire</v>
      </c>
      <c r="AN1810" s="218" t="str">
        <f>VLOOKUP(D1810,'Table corresp.'!$M$4:$U$63,9,FALSE)</f>
        <v>Production intermédiaire</v>
      </c>
    </row>
    <row r="1811" spans="1:40" x14ac:dyDescent="0.25">
      <c r="A1811" t="s">
        <v>106</v>
      </c>
      <c r="B1811" t="str">
        <f>VLOOKUP(LEFT(A1811,3),'Table corresp.'!$A$4:$D$63,3,FALSE)</f>
        <v>Transformation</v>
      </c>
      <c r="C1811" t="str">
        <f>VLOOKUP(A1811,'Table corresp.'!$M$4:$P$63,4,FALSE)</f>
        <v>Production et transformation de produits bois</v>
      </c>
      <c r="D1811" t="s">
        <v>8</v>
      </c>
      <c r="E1811" t="str">
        <f>VLOOKUP(LEFT(D1811,3),'Table corresp.'!$A$4:$D$63,4,FALSE)</f>
        <v>Transformation</v>
      </c>
      <c r="F1811" t="str">
        <f t="shared" si="200"/>
        <v xml:space="preserve">63  - 13 </v>
      </c>
      <c r="G1811" s="238">
        <v>31471.616153681</v>
      </c>
      <c r="H1811" s="238">
        <v>0</v>
      </c>
      <c r="I1811" s="238">
        <v>31471.616153681</v>
      </c>
      <c r="J1811" s="238"/>
      <c r="K1811" s="238"/>
      <c r="L1811" s="238"/>
      <c r="M1811" s="238"/>
      <c r="N1811" s="238"/>
      <c r="O1811" s="238"/>
      <c r="P1811" s="238"/>
      <c r="Q1811" s="238"/>
      <c r="R1811" s="238"/>
      <c r="S1811" s="238"/>
      <c r="T1811" s="218">
        <f>VLOOKUP(A1811,'Groupe de branches'!$Z$27:$AM$86,14,FALSE)</f>
        <v>0</v>
      </c>
      <c r="U1811" s="218">
        <f>VLOOKUP(D1811,'Groupe de branches'!$Z$27:$AM$86,14,FALSE)</f>
        <v>0</v>
      </c>
      <c r="V1811" s="218">
        <v>2020</v>
      </c>
      <c r="W1811" s="218">
        <f>VLOOKUP(D1811,'Table corresp.'!$M$4:$S$63,7,FALSE)</f>
        <v>0</v>
      </c>
      <c r="X1811" s="240">
        <f>IFERROR(G1811/SUMIFS('Comp2016-2017 (3)'!$I$5:$I$289,'Comp2016-2017 (3)'!$A$5:$A$289,A1811,'Comp2016-2017 (3)'!$R$5:$R$289,V1811),0)</f>
        <v>7.6067619849508633E-2</v>
      </c>
      <c r="Y1811" s="219">
        <f>IFERROR(IF(RIGHT(F1811,3)="Exp",VLOOKUP(F1811,#REF!,2,FALSE),VLOOKUP(F1811,#REF!,9,FALSE)),1)</f>
        <v>1</v>
      </c>
      <c r="Z1811" s="226">
        <f t="shared" si="201"/>
        <v>5.8823529411764705E-2</v>
      </c>
      <c r="AA1811" s="226">
        <f t="shared" si="198"/>
        <v>4.4745658735005078E-3</v>
      </c>
      <c r="AB1811" s="205">
        <f>IFERROR(SUMIFS('Comp2016-2017 (3)'!$G$5:$G$289,'Comp2016-2017 (3)'!$A$5:$A$289,A1811,'Comp2016-2017 (3)'!$R$5:$R$289,V1811)*AA1811/SUMIFS($AA$4:$AA$1858,$A$4:$A$1858,A1811,$V$4:$V$1858,V1811),0)</f>
        <v>16081.995854530982</v>
      </c>
      <c r="AC1811" s="205">
        <f>IF($W1811=AC$3,$AB1811,IF(NOT($W1811=0),"",SUMIFS('Val-Vol (2)'!AC$4:AC$1858,'Val-Vol (2)'!$A$4:$A$1858,$D1811,'Val-Vol (2)'!$V$4:$V$1858,$V1811)/SUMIFS('Comp2016-2017 (3)'!$G$5:$G$289,'Comp2016-2017 (3)'!$A$5:$A$289,$D1811,'Comp2016-2017 (3)'!$R$5:$R$289,$V1811)*$AB1811))</f>
        <v>0</v>
      </c>
      <c r="AD1811" s="205">
        <f>IF($W1811=AD$3,$AB1811,IF(NOT($W1811=0),"",SUMIFS('Val-Vol (2)'!AD$4:AD$1858,'Val-Vol (2)'!$A$4:$A$1858,$D1811,'Val-Vol (2)'!$V$4:$V$1858,$V1811)/SUMIFS('Comp2016-2017 (3)'!$G$5:$G$289,'Comp2016-2017 (3)'!$A$5:$A$289,$D1811,'Comp2016-2017 (3)'!$R$5:$R$289,$V1811)*$AB1811))</f>
        <v>0</v>
      </c>
      <c r="AE1811" s="205">
        <f>IF($W1811=AE$3,$AB1811,IF(NOT($W1811=0),"",SUMIFS('Val-Vol (2)'!AE$4:AE$1858,'Val-Vol (2)'!$A$4:$A$1858,$D1811,'Val-Vol (2)'!$V$4:$V$1858,$V1811)/SUMIFS('Comp2016-2017 (3)'!$G$5:$G$289,'Comp2016-2017 (3)'!$A$5:$A$289,$D1811,'Comp2016-2017 (3)'!$R$5:$R$289,$V1811)*$AB1811))</f>
        <v>0</v>
      </c>
      <c r="AF1811" s="205">
        <f>IF($W1811=AF$3,$AB1811,IF(NOT($W1811=0),"",SUMIFS('Val-Vol (2)'!AF$4:AF$1858,'Val-Vol (2)'!$A$4:$A$1858,$D1811,'Val-Vol (2)'!$V$4:$V$1858,$V1811)/SUMIFS('Comp2016-2017 (3)'!$G$5:$G$289,'Comp2016-2017 (3)'!$A$5:$A$289,$D1811,'Comp2016-2017 (3)'!$R$5:$R$289,$V1811)*$AB1811))</f>
        <v>0</v>
      </c>
      <c r="AG1811" s="205">
        <f>IF($W1811=AG$3,$AB1811,IF(NOT($W1811=0),"",SUMIFS('Val-Vol (2)'!AG$4:AG$1858,'Val-Vol (2)'!$A$4:$A$1858,$D1811,'Val-Vol (2)'!$V$4:$V$1858,$V1811)/SUMIFS('Comp2016-2017 (3)'!$G$5:$G$289,'Comp2016-2017 (3)'!$A$5:$A$289,$D1811,'Comp2016-2017 (3)'!$R$5:$R$289,$V1811)*$AB1811))</f>
        <v>0</v>
      </c>
      <c r="AH1811" s="205">
        <f>IF($W1811=AH$3,$AB1811,IF(NOT($W1811=0),"",SUMIFS('Val-Vol (2)'!AH$4:AH$1858,'Val-Vol (2)'!$A$4:$A$1858,$D1811,'Val-Vol (2)'!$V$4:$V$1858,$V1811)/SUMIFS('Comp2016-2017 (3)'!$G$5:$G$289,'Comp2016-2017 (3)'!$A$5:$A$289,$D1811,'Comp2016-2017 (3)'!$R$5:$R$289,$V1811)*$AB1811))</f>
        <v>0</v>
      </c>
      <c r="AI1811" s="205">
        <f>IF($W1811=AI$3,$AB1811,IF(NOT($W1811=0),"",SUMIFS('Val-Vol (2)'!AI$4:AI$1858,'Val-Vol (2)'!$A$4:$A$1858,$D1811,'Val-Vol (2)'!$V$4:$V$1858,$V1811)/SUMIFS('Comp2016-2017 (3)'!$G$5:$G$289,'Comp2016-2017 (3)'!$A$5:$A$289,$D1811,'Comp2016-2017 (3)'!$R$5:$R$289,$V1811)*$AB1811))</f>
        <v>0</v>
      </c>
      <c r="AJ1811" s="205">
        <f>IF($W1811=AJ$3,$AB1811,IF(NOT($W1811=0),"",SUMIFS('Val-Vol (2)'!AJ$4:AJ$1858,'Val-Vol (2)'!$A$4:$A$1858,$D1811,'Val-Vol (2)'!$V$4:$V$1858,$V1811)/SUMIFS('Comp2016-2017 (3)'!$G$5:$G$289,'Comp2016-2017 (3)'!$A$5:$A$289,$D1811,'Comp2016-2017 (3)'!$R$5:$R$289,$V1811)*$AB1811))</f>
        <v>0</v>
      </c>
      <c r="AK1811" s="205">
        <f t="shared" si="197"/>
        <v>-16081.995854530982</v>
      </c>
      <c r="AL1811" s="218" t="str">
        <f t="shared" si="199"/>
        <v/>
      </c>
      <c r="AM1811" s="218" t="str">
        <f>VLOOKUP(A1811,'Table corresp.'!$M$4:$U$63,8,FALSE)</f>
        <v>Production intermédiaire</v>
      </c>
      <c r="AN1811" s="218" t="str">
        <f>VLOOKUP(D1811,'Table corresp.'!$M$4:$U$63,9,FALSE)</f>
        <v>Production intermédiaire</v>
      </c>
    </row>
    <row r="1812" spans="1:40" x14ac:dyDescent="0.25">
      <c r="A1812" t="s">
        <v>106</v>
      </c>
      <c r="B1812" t="str">
        <f>VLOOKUP(LEFT(A1812,3),'Table corresp.'!$A$4:$D$63,3,FALSE)</f>
        <v>Transformation</v>
      </c>
      <c r="C1812" t="str">
        <f>VLOOKUP(A1812,'Table corresp.'!$M$4:$P$63,4,FALSE)</f>
        <v>Production et transformation de produits bois</v>
      </c>
      <c r="D1812" t="s">
        <v>83</v>
      </c>
      <c r="E1812" t="str">
        <f>VLOOKUP(LEFT(D1812,3),'Table corresp.'!$A$4:$D$63,4,FALSE)</f>
        <v>Transformation</v>
      </c>
      <c r="F1812" t="str">
        <f t="shared" si="200"/>
        <v xml:space="preserve">63  - 14 </v>
      </c>
      <c r="G1812" s="238">
        <v>10425.0119551356</v>
      </c>
      <c r="H1812" s="238">
        <v>0</v>
      </c>
      <c r="I1812" s="238">
        <v>10425.0119551356</v>
      </c>
      <c r="J1812" s="238"/>
      <c r="K1812" s="238"/>
      <c r="L1812" s="238"/>
      <c r="M1812" s="238"/>
      <c r="N1812" s="238"/>
      <c r="O1812" s="238"/>
      <c r="P1812" s="238"/>
      <c r="Q1812" s="238"/>
      <c r="R1812" s="238"/>
      <c r="S1812" s="238"/>
      <c r="T1812" s="218">
        <f>VLOOKUP(A1812,'Groupe de branches'!$Z$27:$AM$86,14,FALSE)</f>
        <v>0</v>
      </c>
      <c r="U1812" s="218">
        <f>VLOOKUP(D1812,'Groupe de branches'!$Z$27:$AM$86,14,FALSE)</f>
        <v>0</v>
      </c>
      <c r="V1812" s="218">
        <v>2020</v>
      </c>
      <c r="W1812" s="218">
        <f>VLOOKUP(D1812,'Table corresp.'!$M$4:$S$63,7,FALSE)</f>
        <v>0</v>
      </c>
      <c r="X1812" s="240">
        <f>IFERROR(G1812/SUMIFS('Comp2016-2017 (3)'!$I$5:$I$289,'Comp2016-2017 (3)'!$A$5:$A$289,A1812,'Comp2016-2017 (3)'!$R$5:$R$289,V1812),0)</f>
        <v>2.5197493590969768E-2</v>
      </c>
      <c r="Y1812" s="219">
        <f>IFERROR(IF(RIGHT(F1812,3)="Exp",VLOOKUP(F1812,#REF!,2,FALSE),VLOOKUP(F1812,#REF!,9,FALSE)),1)</f>
        <v>1</v>
      </c>
      <c r="Z1812" s="226">
        <f t="shared" si="201"/>
        <v>5.8823529411764705E-2</v>
      </c>
      <c r="AA1812" s="226">
        <f t="shared" si="198"/>
        <v>1.4822055053511627E-3</v>
      </c>
      <c r="AB1812" s="205">
        <f>IFERROR(SUMIFS('Comp2016-2017 (3)'!$G$5:$G$289,'Comp2016-2017 (3)'!$A$5:$A$289,A1812,'Comp2016-2017 (3)'!$R$5:$R$289,V1812)*AA1812/SUMIFS($AA$4:$AA$1858,$A$4:$A$1858,A1812,$V$4:$V$1858,V1812),0)</f>
        <v>5327.1811090742885</v>
      </c>
      <c r="AC1812" s="205">
        <f>IF($W1812=AC$3,$AB1812,IF(NOT($W1812=0),"",SUMIFS('Val-Vol (2)'!AC$4:AC$1858,'Val-Vol (2)'!$A$4:$A$1858,$D1812,'Val-Vol (2)'!$V$4:$V$1858,$V1812)/SUMIFS('Comp2016-2017 (3)'!$G$5:$G$289,'Comp2016-2017 (3)'!$A$5:$A$289,$D1812,'Comp2016-2017 (3)'!$R$5:$R$289,$V1812)*$AB1812))</f>
        <v>0</v>
      </c>
      <c r="AD1812" s="205">
        <f>IF($W1812=AD$3,$AB1812,IF(NOT($W1812=0),"",SUMIFS('Val-Vol (2)'!AD$4:AD$1858,'Val-Vol (2)'!$A$4:$A$1858,$D1812,'Val-Vol (2)'!$V$4:$V$1858,$V1812)/SUMIFS('Comp2016-2017 (3)'!$G$5:$G$289,'Comp2016-2017 (3)'!$A$5:$A$289,$D1812,'Comp2016-2017 (3)'!$R$5:$R$289,$V1812)*$AB1812))</f>
        <v>0</v>
      </c>
      <c r="AE1812" s="205">
        <f>IF($W1812=AE$3,$AB1812,IF(NOT($W1812=0),"",SUMIFS('Val-Vol (2)'!AE$4:AE$1858,'Val-Vol (2)'!$A$4:$A$1858,$D1812,'Val-Vol (2)'!$V$4:$V$1858,$V1812)/SUMIFS('Comp2016-2017 (3)'!$G$5:$G$289,'Comp2016-2017 (3)'!$A$5:$A$289,$D1812,'Comp2016-2017 (3)'!$R$5:$R$289,$V1812)*$AB1812))</f>
        <v>0</v>
      </c>
      <c r="AF1812" s="205">
        <f>IF($W1812=AF$3,$AB1812,IF(NOT($W1812=0),"",SUMIFS('Val-Vol (2)'!AF$4:AF$1858,'Val-Vol (2)'!$A$4:$A$1858,$D1812,'Val-Vol (2)'!$V$4:$V$1858,$V1812)/SUMIFS('Comp2016-2017 (3)'!$G$5:$G$289,'Comp2016-2017 (3)'!$A$5:$A$289,$D1812,'Comp2016-2017 (3)'!$R$5:$R$289,$V1812)*$AB1812))</f>
        <v>0</v>
      </c>
      <c r="AG1812" s="205">
        <f>IF($W1812=AG$3,$AB1812,IF(NOT($W1812=0),"",SUMIFS('Val-Vol (2)'!AG$4:AG$1858,'Val-Vol (2)'!$A$4:$A$1858,$D1812,'Val-Vol (2)'!$V$4:$V$1858,$V1812)/SUMIFS('Comp2016-2017 (3)'!$G$5:$G$289,'Comp2016-2017 (3)'!$A$5:$A$289,$D1812,'Comp2016-2017 (3)'!$R$5:$R$289,$V1812)*$AB1812))</f>
        <v>0</v>
      </c>
      <c r="AH1812" s="205">
        <f>IF($W1812=AH$3,$AB1812,IF(NOT($W1812=0),"",SUMIFS('Val-Vol (2)'!AH$4:AH$1858,'Val-Vol (2)'!$A$4:$A$1858,$D1812,'Val-Vol (2)'!$V$4:$V$1858,$V1812)/SUMIFS('Comp2016-2017 (3)'!$G$5:$G$289,'Comp2016-2017 (3)'!$A$5:$A$289,$D1812,'Comp2016-2017 (3)'!$R$5:$R$289,$V1812)*$AB1812))</f>
        <v>0</v>
      </c>
      <c r="AI1812" s="205">
        <f>IF($W1812=AI$3,$AB1812,IF(NOT($W1812=0),"",SUMIFS('Val-Vol (2)'!AI$4:AI$1858,'Val-Vol (2)'!$A$4:$A$1858,$D1812,'Val-Vol (2)'!$V$4:$V$1858,$V1812)/SUMIFS('Comp2016-2017 (3)'!$G$5:$G$289,'Comp2016-2017 (3)'!$A$5:$A$289,$D1812,'Comp2016-2017 (3)'!$R$5:$R$289,$V1812)*$AB1812))</f>
        <v>0</v>
      </c>
      <c r="AJ1812" s="205">
        <f>IF($W1812=AJ$3,$AB1812,IF(NOT($W1812=0),"",SUMIFS('Val-Vol (2)'!AJ$4:AJ$1858,'Val-Vol (2)'!$A$4:$A$1858,$D1812,'Val-Vol (2)'!$V$4:$V$1858,$V1812)/SUMIFS('Comp2016-2017 (3)'!$G$5:$G$289,'Comp2016-2017 (3)'!$A$5:$A$289,$D1812,'Comp2016-2017 (3)'!$R$5:$R$289,$V1812)*$AB1812))</f>
        <v>0</v>
      </c>
      <c r="AK1812" s="205">
        <f t="shared" si="197"/>
        <v>-5327.1811090742885</v>
      </c>
      <c r="AL1812" s="218" t="str">
        <f t="shared" si="199"/>
        <v/>
      </c>
      <c r="AM1812" s="218" t="str">
        <f>VLOOKUP(A1812,'Table corresp.'!$M$4:$U$63,8,FALSE)</f>
        <v>Production intermédiaire</v>
      </c>
      <c r="AN1812" s="218" t="str">
        <f>VLOOKUP(D1812,'Table corresp.'!$M$4:$U$63,9,FALSE)</f>
        <v>Production intermédiaire</v>
      </c>
    </row>
    <row r="1813" spans="1:40" x14ac:dyDescent="0.25">
      <c r="A1813" t="s">
        <v>106</v>
      </c>
      <c r="B1813" t="str">
        <f>VLOOKUP(LEFT(A1813,3),'Table corresp.'!$A$4:$D$63,3,FALSE)</f>
        <v>Transformation</v>
      </c>
      <c r="C1813" t="str">
        <f>VLOOKUP(A1813,'Table corresp.'!$M$4:$P$63,4,FALSE)</f>
        <v>Production et transformation de produits bois</v>
      </c>
      <c r="D1813" t="s">
        <v>9</v>
      </c>
      <c r="E1813" t="str">
        <f>VLOOKUP(LEFT(D1813,3),'Table corresp.'!$A$4:$D$63,4,FALSE)</f>
        <v>Transformation</v>
      </c>
      <c r="F1813" t="str">
        <f t="shared" si="200"/>
        <v xml:space="preserve">63  - 15 </v>
      </c>
      <c r="G1813" s="238">
        <v>28190.164526512901</v>
      </c>
      <c r="H1813" s="238">
        <v>0</v>
      </c>
      <c r="I1813" s="238">
        <v>28190.164526512901</v>
      </c>
      <c r="J1813" s="238"/>
      <c r="K1813" s="238"/>
      <c r="L1813" s="238"/>
      <c r="M1813" s="238"/>
      <c r="N1813" s="238"/>
      <c r="O1813" s="238"/>
      <c r="P1813" s="238"/>
      <c r="Q1813" s="238"/>
      <c r="R1813" s="238"/>
      <c r="S1813" s="238"/>
      <c r="T1813" s="218">
        <f>VLOOKUP(A1813,'Groupe de branches'!$Z$27:$AM$86,14,FALSE)</f>
        <v>0</v>
      </c>
      <c r="U1813" s="218">
        <f>VLOOKUP(D1813,'Groupe de branches'!$Z$27:$AM$86,14,FALSE)</f>
        <v>0</v>
      </c>
      <c r="V1813" s="218">
        <v>2020</v>
      </c>
      <c r="W1813" s="218">
        <f>VLOOKUP(D1813,'Table corresp.'!$M$4:$S$63,7,FALSE)</f>
        <v>0</v>
      </c>
      <c r="X1813" s="240">
        <f>IFERROR(G1813/SUMIFS('Comp2016-2017 (3)'!$I$5:$I$289,'Comp2016-2017 (3)'!$A$5:$A$289,A1813,'Comp2016-2017 (3)'!$R$5:$R$289,V1813),0)</f>
        <v>6.8136275818395722E-2</v>
      </c>
      <c r="Y1813" s="219">
        <f>IFERROR(IF(RIGHT(F1813,3)="Exp",VLOOKUP(F1813,#REF!,2,FALSE),VLOOKUP(F1813,#REF!,9,FALSE)),1)</f>
        <v>1</v>
      </c>
      <c r="Z1813" s="226">
        <f t="shared" si="201"/>
        <v>5.8823529411764705E-2</v>
      </c>
      <c r="AA1813" s="226">
        <f t="shared" si="198"/>
        <v>4.0080162246115131E-3</v>
      </c>
      <c r="AB1813" s="205">
        <f>IFERROR(SUMIFS('Comp2016-2017 (3)'!$G$5:$G$289,'Comp2016-2017 (3)'!$A$5:$A$289,A1813,'Comp2016-2017 (3)'!$R$5:$R$289,V1813)*AA1813/SUMIFS($AA$4:$AA$1858,$A$4:$A$1858,A1813,$V$4:$V$1858,V1813),0)</f>
        <v>14405.174073048085</v>
      </c>
      <c r="AC1813" s="205">
        <f>IF($W1813=AC$3,$AB1813,IF(NOT($W1813=0),"",SUMIFS('Val-Vol (2)'!AC$4:AC$1858,'Val-Vol (2)'!$A$4:$A$1858,$D1813,'Val-Vol (2)'!$V$4:$V$1858,$V1813)/SUMIFS('Comp2016-2017 (3)'!$G$5:$G$289,'Comp2016-2017 (3)'!$A$5:$A$289,$D1813,'Comp2016-2017 (3)'!$R$5:$R$289,$V1813)*$AB1813))</f>
        <v>0</v>
      </c>
      <c r="AD1813" s="205">
        <f>IF($W1813=AD$3,$AB1813,IF(NOT($W1813=0),"",SUMIFS('Val-Vol (2)'!AD$4:AD$1858,'Val-Vol (2)'!$A$4:$A$1858,$D1813,'Val-Vol (2)'!$V$4:$V$1858,$V1813)/SUMIFS('Comp2016-2017 (3)'!$G$5:$G$289,'Comp2016-2017 (3)'!$A$5:$A$289,$D1813,'Comp2016-2017 (3)'!$R$5:$R$289,$V1813)*$AB1813))</f>
        <v>0</v>
      </c>
      <c r="AE1813" s="205">
        <f>IF($W1813=AE$3,$AB1813,IF(NOT($W1813=0),"",SUMIFS('Val-Vol (2)'!AE$4:AE$1858,'Val-Vol (2)'!$A$4:$A$1858,$D1813,'Val-Vol (2)'!$V$4:$V$1858,$V1813)/SUMIFS('Comp2016-2017 (3)'!$G$5:$G$289,'Comp2016-2017 (3)'!$A$5:$A$289,$D1813,'Comp2016-2017 (3)'!$R$5:$R$289,$V1813)*$AB1813))</f>
        <v>0</v>
      </c>
      <c r="AF1813" s="205">
        <f>IF($W1813=AF$3,$AB1813,IF(NOT($W1813=0),"",SUMIFS('Val-Vol (2)'!AF$4:AF$1858,'Val-Vol (2)'!$A$4:$A$1858,$D1813,'Val-Vol (2)'!$V$4:$V$1858,$V1813)/SUMIFS('Comp2016-2017 (3)'!$G$5:$G$289,'Comp2016-2017 (3)'!$A$5:$A$289,$D1813,'Comp2016-2017 (3)'!$R$5:$R$289,$V1813)*$AB1813))</f>
        <v>0</v>
      </c>
      <c r="AG1813" s="205">
        <f>IF($W1813=AG$3,$AB1813,IF(NOT($W1813=0),"",SUMIFS('Val-Vol (2)'!AG$4:AG$1858,'Val-Vol (2)'!$A$4:$A$1858,$D1813,'Val-Vol (2)'!$V$4:$V$1858,$V1813)/SUMIFS('Comp2016-2017 (3)'!$G$5:$G$289,'Comp2016-2017 (3)'!$A$5:$A$289,$D1813,'Comp2016-2017 (3)'!$R$5:$R$289,$V1813)*$AB1813))</f>
        <v>0</v>
      </c>
      <c r="AH1813" s="205">
        <f>IF($W1813=AH$3,$AB1813,IF(NOT($W1813=0),"",SUMIFS('Val-Vol (2)'!AH$4:AH$1858,'Val-Vol (2)'!$A$4:$A$1858,$D1813,'Val-Vol (2)'!$V$4:$V$1858,$V1813)/SUMIFS('Comp2016-2017 (3)'!$G$5:$G$289,'Comp2016-2017 (3)'!$A$5:$A$289,$D1813,'Comp2016-2017 (3)'!$R$5:$R$289,$V1813)*$AB1813))</f>
        <v>0</v>
      </c>
      <c r="AI1813" s="205">
        <f>IF($W1813=AI$3,$AB1813,IF(NOT($W1813=0),"",SUMIFS('Val-Vol (2)'!AI$4:AI$1858,'Val-Vol (2)'!$A$4:$A$1858,$D1813,'Val-Vol (2)'!$V$4:$V$1858,$V1813)/SUMIFS('Comp2016-2017 (3)'!$G$5:$G$289,'Comp2016-2017 (3)'!$A$5:$A$289,$D1813,'Comp2016-2017 (3)'!$R$5:$R$289,$V1813)*$AB1813))</f>
        <v>0</v>
      </c>
      <c r="AJ1813" s="205">
        <f>IF($W1813=AJ$3,$AB1813,IF(NOT($W1813=0),"",SUMIFS('Val-Vol (2)'!AJ$4:AJ$1858,'Val-Vol (2)'!$A$4:$A$1858,$D1813,'Val-Vol (2)'!$V$4:$V$1858,$V1813)/SUMIFS('Comp2016-2017 (3)'!$G$5:$G$289,'Comp2016-2017 (3)'!$A$5:$A$289,$D1813,'Comp2016-2017 (3)'!$R$5:$R$289,$V1813)*$AB1813))</f>
        <v>0</v>
      </c>
      <c r="AK1813" s="205">
        <f t="shared" si="197"/>
        <v>-14405.174073048085</v>
      </c>
      <c r="AL1813" s="218" t="str">
        <f t="shared" si="199"/>
        <v/>
      </c>
      <c r="AM1813" s="218" t="str">
        <f>VLOOKUP(A1813,'Table corresp.'!$M$4:$U$63,8,FALSE)</f>
        <v>Production intermédiaire</v>
      </c>
      <c r="AN1813" s="218" t="str">
        <f>VLOOKUP(D1813,'Table corresp.'!$M$4:$U$63,9,FALSE)</f>
        <v>Production intermédiaire</v>
      </c>
    </row>
    <row r="1814" spans="1:40" x14ac:dyDescent="0.25">
      <c r="A1814" t="s">
        <v>106</v>
      </c>
      <c r="B1814" t="str">
        <f>VLOOKUP(LEFT(A1814,3),'Table corresp.'!$A$4:$D$63,3,FALSE)</f>
        <v>Transformation</v>
      </c>
      <c r="C1814" t="str">
        <f>VLOOKUP(A1814,'Table corresp.'!$M$4:$P$63,4,FALSE)</f>
        <v>Production et transformation de produits bois</v>
      </c>
      <c r="D1814" t="s">
        <v>10</v>
      </c>
      <c r="E1814" t="str">
        <f>VLOOKUP(LEFT(D1814,3),'Table corresp.'!$A$4:$D$63,4,FALSE)</f>
        <v>Transformation</v>
      </c>
      <c r="F1814" t="str">
        <f t="shared" si="200"/>
        <v xml:space="preserve">63  - 16 </v>
      </c>
      <c r="G1814" s="238">
        <v>3039.4764094204602</v>
      </c>
      <c r="H1814" s="238">
        <v>0</v>
      </c>
      <c r="I1814" s="238">
        <v>3039.4764094204602</v>
      </c>
      <c r="J1814" s="238"/>
      <c r="K1814" s="238"/>
      <c r="L1814" s="238"/>
      <c r="M1814" s="238"/>
      <c r="N1814" s="238"/>
      <c r="O1814" s="238"/>
      <c r="P1814" s="238"/>
      <c r="Q1814" s="238"/>
      <c r="R1814" s="238"/>
      <c r="S1814" s="238"/>
      <c r="T1814" s="218">
        <f>VLOOKUP(A1814,'Groupe de branches'!$Z$27:$AM$86,14,FALSE)</f>
        <v>0</v>
      </c>
      <c r="U1814" s="218">
        <f>VLOOKUP(D1814,'Groupe de branches'!$Z$27:$AM$86,14,FALSE)</f>
        <v>0</v>
      </c>
      <c r="V1814" s="218">
        <v>2020</v>
      </c>
      <c r="W1814" s="218" t="str">
        <f>VLOOKUP(D1814,'Table corresp.'!$M$4:$S$63,7,FALSE)</f>
        <v>Emballage bois et carton</v>
      </c>
      <c r="X1814" s="240">
        <f>IFERROR(G1814/SUMIFS('Comp2016-2017 (3)'!$I$5:$I$289,'Comp2016-2017 (3)'!$A$5:$A$289,A1814,'Comp2016-2017 (3)'!$R$5:$R$289,V1814),0)</f>
        <v>7.346484366240677E-3</v>
      </c>
      <c r="Y1814" s="219">
        <f>IFERROR(IF(RIGHT(F1814,3)="Exp",VLOOKUP(F1814,#REF!,2,FALSE),VLOOKUP(F1814,#REF!,9,FALSE)),1)</f>
        <v>1</v>
      </c>
      <c r="Z1814" s="226">
        <f t="shared" si="201"/>
        <v>5.8823529411764705E-2</v>
      </c>
      <c r="AA1814" s="226">
        <f t="shared" si="198"/>
        <v>4.3214613919062805E-4</v>
      </c>
      <c r="AB1814" s="205">
        <f>IFERROR(SUMIFS('Comp2016-2017 (3)'!$G$5:$G$289,'Comp2016-2017 (3)'!$A$5:$A$289,A1814,'Comp2016-2017 (3)'!$R$5:$R$289,V1814)*AA1814/SUMIFS($AA$4:$AA$1858,$A$4:$A$1858,A1814,$V$4:$V$1858,V1814),0)</f>
        <v>1553.1724452138542</v>
      </c>
      <c r="AC1814" s="205" t="str">
        <f>IF($W1814=AC$3,$AB1814,IF(NOT($W1814=0),"",SUMIFS('Val-Vol (2)'!AC$4:AC$1858,'Val-Vol (2)'!$A$4:$A$1858,$D1814,'Val-Vol (2)'!$V$4:$V$1858,$V1814)/SUMIFS('Comp2016-2017 (3)'!$G$5:$G$289,'Comp2016-2017 (3)'!$A$5:$A$289,$D1814,'Comp2016-2017 (3)'!$R$5:$R$289,$V1814)*$AB1814))</f>
        <v/>
      </c>
      <c r="AD1814" s="205" t="str">
        <f>IF($W1814=AD$3,$AB1814,IF(NOT($W1814=0),"",SUMIFS('Val-Vol (2)'!AD$4:AD$1858,'Val-Vol (2)'!$A$4:$A$1858,$D1814,'Val-Vol (2)'!$V$4:$V$1858,$V1814)/SUMIFS('Comp2016-2017 (3)'!$G$5:$G$289,'Comp2016-2017 (3)'!$A$5:$A$289,$D1814,'Comp2016-2017 (3)'!$R$5:$R$289,$V1814)*$AB1814))</f>
        <v/>
      </c>
      <c r="AE1814" s="205" t="str">
        <f>IF($W1814=AE$3,$AB1814,IF(NOT($W1814=0),"",SUMIFS('Val-Vol (2)'!AE$4:AE$1858,'Val-Vol (2)'!$A$4:$A$1858,$D1814,'Val-Vol (2)'!$V$4:$V$1858,$V1814)/SUMIFS('Comp2016-2017 (3)'!$G$5:$G$289,'Comp2016-2017 (3)'!$A$5:$A$289,$D1814,'Comp2016-2017 (3)'!$R$5:$R$289,$V1814)*$AB1814))</f>
        <v/>
      </c>
      <c r="AF1814" s="205" t="str">
        <f>IF($W1814=AF$3,$AB1814,IF(NOT($W1814=0),"",SUMIFS('Val-Vol (2)'!AF$4:AF$1858,'Val-Vol (2)'!$A$4:$A$1858,$D1814,'Val-Vol (2)'!$V$4:$V$1858,$V1814)/SUMIFS('Comp2016-2017 (3)'!$G$5:$G$289,'Comp2016-2017 (3)'!$A$5:$A$289,$D1814,'Comp2016-2017 (3)'!$R$5:$R$289,$V1814)*$AB1814))</f>
        <v/>
      </c>
      <c r="AG1814" s="205">
        <f>IF($W1814=AG$3,$AB1814,IF(NOT($W1814=0),"",SUMIFS('Val-Vol (2)'!AG$4:AG$1858,'Val-Vol (2)'!$A$4:$A$1858,$D1814,'Val-Vol (2)'!$V$4:$V$1858,$V1814)/SUMIFS('Comp2016-2017 (3)'!$G$5:$G$289,'Comp2016-2017 (3)'!$A$5:$A$289,$D1814,'Comp2016-2017 (3)'!$R$5:$R$289,$V1814)*$AB1814))</f>
        <v>1553.1724452138542</v>
      </c>
      <c r="AH1814" s="205" t="str">
        <f>IF($W1814=AH$3,$AB1814,IF(NOT($W1814=0),"",SUMIFS('Val-Vol (2)'!AH$4:AH$1858,'Val-Vol (2)'!$A$4:$A$1858,$D1814,'Val-Vol (2)'!$V$4:$V$1858,$V1814)/SUMIFS('Comp2016-2017 (3)'!$G$5:$G$289,'Comp2016-2017 (3)'!$A$5:$A$289,$D1814,'Comp2016-2017 (3)'!$R$5:$R$289,$V1814)*$AB1814))</f>
        <v/>
      </c>
      <c r="AI1814" s="205" t="str">
        <f>IF($W1814=AI$3,$AB1814,IF(NOT($W1814=0),"",SUMIFS('Val-Vol (2)'!AI$4:AI$1858,'Val-Vol (2)'!$A$4:$A$1858,$D1814,'Val-Vol (2)'!$V$4:$V$1858,$V1814)/SUMIFS('Comp2016-2017 (3)'!$G$5:$G$289,'Comp2016-2017 (3)'!$A$5:$A$289,$D1814,'Comp2016-2017 (3)'!$R$5:$R$289,$V1814)*$AB1814))</f>
        <v/>
      </c>
      <c r="AJ1814" s="205" t="str">
        <f>IF($W1814=AJ$3,$AB1814,IF(NOT($W1814=0),"",SUMIFS('Val-Vol (2)'!AJ$4:AJ$1858,'Val-Vol (2)'!$A$4:$A$1858,$D1814,'Val-Vol (2)'!$V$4:$V$1858,$V1814)/SUMIFS('Comp2016-2017 (3)'!$G$5:$G$289,'Comp2016-2017 (3)'!$A$5:$A$289,$D1814,'Comp2016-2017 (3)'!$R$5:$R$289,$V1814)*$AB1814))</f>
        <v/>
      </c>
      <c r="AK1814" s="205">
        <f t="shared" si="197"/>
        <v>0</v>
      </c>
      <c r="AL1814" s="218" t="str">
        <f t="shared" si="199"/>
        <v/>
      </c>
      <c r="AM1814" s="218" t="str">
        <f>VLOOKUP(A1814,'Table corresp.'!$M$4:$U$63,8,FALSE)</f>
        <v>Production intermédiaire</v>
      </c>
      <c r="AN1814" s="218" t="str">
        <f>VLOOKUP(D1814,'Table corresp.'!$M$4:$U$63,9,FALSE)</f>
        <v>Production intermédiaire</v>
      </c>
    </row>
    <row r="1815" spans="1:40" x14ac:dyDescent="0.25">
      <c r="A1815" t="s">
        <v>106</v>
      </c>
      <c r="B1815" t="str">
        <f>VLOOKUP(LEFT(A1815,3),'Table corresp.'!$A$4:$D$63,3,FALSE)</f>
        <v>Transformation</v>
      </c>
      <c r="C1815" t="str">
        <f>VLOOKUP(A1815,'Table corresp.'!$M$4:$P$63,4,FALSE)</f>
        <v>Production et transformation de produits bois</v>
      </c>
      <c r="D1815" t="s">
        <v>84</v>
      </c>
      <c r="E1815" t="str">
        <f>VLOOKUP(LEFT(D1815,3),'Table corresp.'!$A$4:$D$63,4,FALSE)</f>
        <v>Transformation</v>
      </c>
      <c r="F1815" t="str">
        <f t="shared" si="200"/>
        <v xml:space="preserve">63  - 17 </v>
      </c>
      <c r="G1815" s="238">
        <v>3375.4828786450898</v>
      </c>
      <c r="H1815" s="238">
        <v>0</v>
      </c>
      <c r="I1815" s="238">
        <v>3375.4828786450898</v>
      </c>
      <c r="J1815" s="238"/>
      <c r="K1815" s="238"/>
      <c r="L1815" s="238"/>
      <c r="M1815" s="238"/>
      <c r="N1815" s="238"/>
      <c r="O1815" s="238"/>
      <c r="P1815" s="238"/>
      <c r="Q1815" s="238"/>
      <c r="R1815" s="238"/>
      <c r="S1815" s="238"/>
      <c r="T1815" s="218">
        <f>VLOOKUP(A1815,'Groupe de branches'!$Z$27:$AM$86,14,FALSE)</f>
        <v>0</v>
      </c>
      <c r="U1815" s="218">
        <f>VLOOKUP(D1815,'Groupe de branches'!$Z$27:$AM$86,14,FALSE)</f>
        <v>0</v>
      </c>
      <c r="V1815" s="218">
        <v>2020</v>
      </c>
      <c r="W1815" s="218" t="str">
        <f>VLOOKUP(D1815,'Table corresp.'!$M$4:$S$63,7,FALSE)</f>
        <v>Construction</v>
      </c>
      <c r="X1815" s="240">
        <f>IFERROR(G1815/SUMIFS('Comp2016-2017 (3)'!$I$5:$I$289,'Comp2016-2017 (3)'!$A$5:$A$289,A1815,'Comp2016-2017 (3)'!$R$5:$R$289,V1815),0)</f>
        <v>8.1586197279311917E-3</v>
      </c>
      <c r="Y1815" s="219">
        <f>IFERROR(IF(RIGHT(F1815,3)="Exp",VLOOKUP(F1815,#REF!,2,FALSE),VLOOKUP(F1815,#REF!,9,FALSE)),1)</f>
        <v>1</v>
      </c>
      <c r="Z1815" s="226">
        <f t="shared" si="201"/>
        <v>5.8823529411764705E-2</v>
      </c>
      <c r="AA1815" s="226">
        <f t="shared" si="198"/>
        <v>4.799188075253642E-4</v>
      </c>
      <c r="AB1815" s="205">
        <f>IFERROR(SUMIFS('Comp2016-2017 (3)'!$G$5:$G$289,'Comp2016-2017 (3)'!$A$5:$A$289,A1815,'Comp2016-2017 (3)'!$R$5:$R$289,V1815)*AA1815/SUMIFS($AA$4:$AA$1858,$A$4:$A$1858,A1815,$V$4:$V$1858,V1815),0)</f>
        <v>1724.8717509876399</v>
      </c>
      <c r="AC1815" s="205" t="str">
        <f>IF($W1815=AC$3,$AB1815,IF(NOT($W1815=0),"",SUMIFS('Val-Vol (2)'!AC$4:AC$1858,'Val-Vol (2)'!$A$4:$A$1858,$D1815,'Val-Vol (2)'!$V$4:$V$1858,$V1815)/SUMIFS('Comp2016-2017 (3)'!$G$5:$G$289,'Comp2016-2017 (3)'!$A$5:$A$289,$D1815,'Comp2016-2017 (3)'!$R$5:$R$289,$V1815)*$AB1815))</f>
        <v/>
      </c>
      <c r="AD1815" s="205">
        <f>IF($W1815=AD$3,$AB1815,IF(NOT($W1815=0),"",SUMIFS('Val-Vol (2)'!AD$4:AD$1858,'Val-Vol (2)'!$A$4:$A$1858,$D1815,'Val-Vol (2)'!$V$4:$V$1858,$V1815)/SUMIFS('Comp2016-2017 (3)'!$G$5:$G$289,'Comp2016-2017 (3)'!$A$5:$A$289,$D1815,'Comp2016-2017 (3)'!$R$5:$R$289,$V1815)*$AB1815))</f>
        <v>1724.8717509876399</v>
      </c>
      <c r="AE1815" s="205" t="str">
        <f>IF($W1815=AE$3,$AB1815,IF(NOT($W1815=0),"",SUMIFS('Val-Vol (2)'!AE$4:AE$1858,'Val-Vol (2)'!$A$4:$A$1858,$D1815,'Val-Vol (2)'!$V$4:$V$1858,$V1815)/SUMIFS('Comp2016-2017 (3)'!$G$5:$G$289,'Comp2016-2017 (3)'!$A$5:$A$289,$D1815,'Comp2016-2017 (3)'!$R$5:$R$289,$V1815)*$AB1815))</f>
        <v/>
      </c>
      <c r="AF1815" s="205" t="str">
        <f>IF($W1815=AF$3,$AB1815,IF(NOT($W1815=0),"",SUMIFS('Val-Vol (2)'!AF$4:AF$1858,'Val-Vol (2)'!$A$4:$A$1858,$D1815,'Val-Vol (2)'!$V$4:$V$1858,$V1815)/SUMIFS('Comp2016-2017 (3)'!$G$5:$G$289,'Comp2016-2017 (3)'!$A$5:$A$289,$D1815,'Comp2016-2017 (3)'!$R$5:$R$289,$V1815)*$AB1815))</f>
        <v/>
      </c>
      <c r="AG1815" s="205" t="str">
        <f>IF($W1815=AG$3,$AB1815,IF(NOT($W1815=0),"",SUMIFS('Val-Vol (2)'!AG$4:AG$1858,'Val-Vol (2)'!$A$4:$A$1858,$D1815,'Val-Vol (2)'!$V$4:$V$1858,$V1815)/SUMIFS('Comp2016-2017 (3)'!$G$5:$G$289,'Comp2016-2017 (3)'!$A$5:$A$289,$D1815,'Comp2016-2017 (3)'!$R$5:$R$289,$V1815)*$AB1815))</f>
        <v/>
      </c>
      <c r="AH1815" s="205" t="str">
        <f>IF($W1815=AH$3,$AB1815,IF(NOT($W1815=0),"",SUMIFS('Val-Vol (2)'!AH$4:AH$1858,'Val-Vol (2)'!$A$4:$A$1858,$D1815,'Val-Vol (2)'!$V$4:$V$1858,$V1815)/SUMIFS('Comp2016-2017 (3)'!$G$5:$G$289,'Comp2016-2017 (3)'!$A$5:$A$289,$D1815,'Comp2016-2017 (3)'!$R$5:$R$289,$V1815)*$AB1815))</f>
        <v/>
      </c>
      <c r="AI1815" s="205" t="str">
        <f>IF($W1815=AI$3,$AB1815,IF(NOT($W1815=0),"",SUMIFS('Val-Vol (2)'!AI$4:AI$1858,'Val-Vol (2)'!$A$4:$A$1858,$D1815,'Val-Vol (2)'!$V$4:$V$1858,$V1815)/SUMIFS('Comp2016-2017 (3)'!$G$5:$G$289,'Comp2016-2017 (3)'!$A$5:$A$289,$D1815,'Comp2016-2017 (3)'!$R$5:$R$289,$V1815)*$AB1815))</f>
        <v/>
      </c>
      <c r="AJ1815" s="205" t="str">
        <f>IF($W1815=AJ$3,$AB1815,IF(NOT($W1815=0),"",SUMIFS('Val-Vol (2)'!AJ$4:AJ$1858,'Val-Vol (2)'!$A$4:$A$1858,$D1815,'Val-Vol (2)'!$V$4:$V$1858,$V1815)/SUMIFS('Comp2016-2017 (3)'!$G$5:$G$289,'Comp2016-2017 (3)'!$A$5:$A$289,$D1815,'Comp2016-2017 (3)'!$R$5:$R$289,$V1815)*$AB1815))</f>
        <v/>
      </c>
      <c r="AK1815" s="205">
        <f t="shared" si="197"/>
        <v>0</v>
      </c>
      <c r="AL1815" s="218" t="str">
        <f t="shared" si="199"/>
        <v/>
      </c>
      <c r="AM1815" s="218" t="str">
        <f>VLOOKUP(A1815,'Table corresp.'!$M$4:$U$63,8,FALSE)</f>
        <v>Production intermédiaire</v>
      </c>
      <c r="AN1815" s="218" t="str">
        <f>VLOOKUP(D1815,'Table corresp.'!$M$4:$U$63,9,FALSE)</f>
        <v>Production intermédiaire</v>
      </c>
    </row>
    <row r="1816" spans="1:40" x14ac:dyDescent="0.25">
      <c r="A1816" t="s">
        <v>106</v>
      </c>
      <c r="B1816" t="str">
        <f>VLOOKUP(LEFT(A1816,3),'Table corresp.'!$A$4:$D$63,3,FALSE)</f>
        <v>Transformation</v>
      </c>
      <c r="C1816" t="str">
        <f>VLOOKUP(A1816,'Table corresp.'!$M$4:$P$63,4,FALSE)</f>
        <v>Production et transformation de produits bois</v>
      </c>
      <c r="D1816" t="s">
        <v>86</v>
      </c>
      <c r="E1816" t="str">
        <f>VLOOKUP(LEFT(D1816,3),'Table corresp.'!$A$4:$D$63,4,FALSE)</f>
        <v>Transformation</v>
      </c>
      <c r="F1816" t="str">
        <f t="shared" si="200"/>
        <v xml:space="preserve">63  - 30 </v>
      </c>
      <c r="G1816" s="238">
        <v>30778.989669797498</v>
      </c>
      <c r="H1816" s="238">
        <v>0</v>
      </c>
      <c r="I1816" s="238">
        <v>30778.989669797498</v>
      </c>
      <c r="J1816" s="238"/>
      <c r="K1816" s="238"/>
      <c r="L1816" s="238"/>
      <c r="M1816" s="238"/>
      <c r="N1816" s="238"/>
      <c r="O1816" s="238"/>
      <c r="P1816" s="238"/>
      <c r="Q1816" s="238"/>
      <c r="R1816" s="238"/>
      <c r="S1816" s="238"/>
      <c r="T1816" s="218">
        <f>VLOOKUP(A1816,'Groupe de branches'!$Z$27:$AM$86,14,FALSE)</f>
        <v>0</v>
      </c>
      <c r="U1816" s="218">
        <f>VLOOKUP(D1816,'Groupe de branches'!$Z$27:$AM$86,14,FALSE)</f>
        <v>1</v>
      </c>
      <c r="V1816" s="218">
        <v>2020</v>
      </c>
      <c r="W1816" s="218" t="str">
        <f>VLOOKUP(D1816,'Table corresp.'!$M$4:$S$63,7,FALSE)</f>
        <v>Energie</v>
      </c>
      <c r="X1816" s="240">
        <f>IFERROR(G1816/SUMIFS('Comp2016-2017 (3)'!$I$5:$I$289,'Comp2016-2017 (3)'!$A$5:$A$289,A1816,'Comp2016-2017 (3)'!$R$5:$R$289,V1816),0)</f>
        <v>7.4393525712859412E-2</v>
      </c>
      <c r="Y1816" s="219">
        <f>IFERROR(IF(RIGHT(F1816,3)="Exp",VLOOKUP(F1816,#REF!,2,FALSE),VLOOKUP(F1816,#REF!,9,FALSE)),1)</f>
        <v>1</v>
      </c>
      <c r="Z1816" s="226">
        <f t="shared" si="201"/>
        <v>5.8823529411764705E-2</v>
      </c>
      <c r="AA1816" s="226">
        <f t="shared" si="198"/>
        <v>4.3760897478152599E-3</v>
      </c>
      <c r="AB1816" s="205">
        <f>IFERROR(SUMIFS('Comp2016-2017 (3)'!$G$5:$G$289,'Comp2016-2017 (3)'!$A$5:$A$289,A1816,'Comp2016-2017 (3)'!$R$5:$R$289,V1816)*AA1816/SUMIFS($AA$4:$AA$1858,$A$4:$A$1858,A1816,$V$4:$V$1858,V1816),0)</f>
        <v>15728.063721266513</v>
      </c>
      <c r="AC1816" s="205" t="str">
        <f>IF($W1816=AC$3,$AB1816,IF(NOT($W1816=0),"",SUMIFS('Val-Vol (2)'!AC$4:AC$1858,'Val-Vol (2)'!$A$4:$A$1858,$D1816,'Val-Vol (2)'!$V$4:$V$1858,$V1816)/SUMIFS('Comp2016-2017 (3)'!$G$5:$G$289,'Comp2016-2017 (3)'!$A$5:$A$289,$D1816,'Comp2016-2017 (3)'!$R$5:$R$289,$V1816)*$AB1816))</f>
        <v/>
      </c>
      <c r="AD1816" s="205" t="str">
        <f>IF($W1816=AD$3,$AB1816,IF(NOT($W1816=0),"",SUMIFS('Val-Vol (2)'!AD$4:AD$1858,'Val-Vol (2)'!$A$4:$A$1858,$D1816,'Val-Vol (2)'!$V$4:$V$1858,$V1816)/SUMIFS('Comp2016-2017 (3)'!$G$5:$G$289,'Comp2016-2017 (3)'!$A$5:$A$289,$D1816,'Comp2016-2017 (3)'!$R$5:$R$289,$V1816)*$AB1816))</f>
        <v/>
      </c>
      <c r="AE1816" s="205" t="str">
        <f>IF($W1816=AE$3,$AB1816,IF(NOT($W1816=0),"",SUMIFS('Val-Vol (2)'!AE$4:AE$1858,'Val-Vol (2)'!$A$4:$A$1858,$D1816,'Val-Vol (2)'!$V$4:$V$1858,$V1816)/SUMIFS('Comp2016-2017 (3)'!$G$5:$G$289,'Comp2016-2017 (3)'!$A$5:$A$289,$D1816,'Comp2016-2017 (3)'!$R$5:$R$289,$V1816)*$AB1816))</f>
        <v/>
      </c>
      <c r="AF1816" s="205" t="str">
        <f>IF($W1816=AF$3,$AB1816,IF(NOT($W1816=0),"",SUMIFS('Val-Vol (2)'!AF$4:AF$1858,'Val-Vol (2)'!$A$4:$A$1858,$D1816,'Val-Vol (2)'!$V$4:$V$1858,$V1816)/SUMIFS('Comp2016-2017 (3)'!$G$5:$G$289,'Comp2016-2017 (3)'!$A$5:$A$289,$D1816,'Comp2016-2017 (3)'!$R$5:$R$289,$V1816)*$AB1816))</f>
        <v/>
      </c>
      <c r="AG1816" s="205" t="str">
        <f>IF($W1816=AG$3,$AB1816,IF(NOT($W1816=0),"",SUMIFS('Val-Vol (2)'!AG$4:AG$1858,'Val-Vol (2)'!$A$4:$A$1858,$D1816,'Val-Vol (2)'!$V$4:$V$1858,$V1816)/SUMIFS('Comp2016-2017 (3)'!$G$5:$G$289,'Comp2016-2017 (3)'!$A$5:$A$289,$D1816,'Comp2016-2017 (3)'!$R$5:$R$289,$V1816)*$AB1816))</f>
        <v/>
      </c>
      <c r="AH1816" s="205">
        <f>IF($W1816=AH$3,$AB1816,IF(NOT($W1816=0),"",SUMIFS('Val-Vol (2)'!AH$4:AH$1858,'Val-Vol (2)'!$A$4:$A$1858,$D1816,'Val-Vol (2)'!$V$4:$V$1858,$V1816)/SUMIFS('Comp2016-2017 (3)'!$G$5:$G$289,'Comp2016-2017 (3)'!$A$5:$A$289,$D1816,'Comp2016-2017 (3)'!$R$5:$R$289,$V1816)*$AB1816))</f>
        <v>15728.063721266513</v>
      </c>
      <c r="AI1816" s="205" t="str">
        <f>IF($W1816=AI$3,$AB1816,IF(NOT($W1816=0),"",SUMIFS('Val-Vol (2)'!AI$4:AI$1858,'Val-Vol (2)'!$A$4:$A$1858,$D1816,'Val-Vol (2)'!$V$4:$V$1858,$V1816)/SUMIFS('Comp2016-2017 (3)'!$G$5:$G$289,'Comp2016-2017 (3)'!$A$5:$A$289,$D1816,'Comp2016-2017 (3)'!$R$5:$R$289,$V1816)*$AB1816))</f>
        <v/>
      </c>
      <c r="AJ1816" s="205" t="str">
        <f>IF($W1816=AJ$3,$AB1816,IF(NOT($W1816=0),"",SUMIFS('Val-Vol (2)'!AJ$4:AJ$1858,'Val-Vol (2)'!$A$4:$A$1858,$D1816,'Val-Vol (2)'!$V$4:$V$1858,$V1816)/SUMIFS('Comp2016-2017 (3)'!$G$5:$G$289,'Comp2016-2017 (3)'!$A$5:$A$289,$D1816,'Comp2016-2017 (3)'!$R$5:$R$289,$V1816)*$AB1816))</f>
        <v/>
      </c>
      <c r="AK1816" s="205">
        <f t="shared" si="197"/>
        <v>0</v>
      </c>
      <c r="AL1816" s="218" t="str">
        <f t="shared" si="199"/>
        <v/>
      </c>
      <c r="AM1816" s="218" t="str">
        <f>VLOOKUP(A1816,'Table corresp.'!$M$4:$U$63,8,FALSE)</f>
        <v>Production intermédiaire</v>
      </c>
      <c r="AN1816" s="218" t="str">
        <f>VLOOKUP(D1816,'Table corresp.'!$M$4:$U$63,9,FALSE)</f>
        <v>Production intermédiaire</v>
      </c>
    </row>
    <row r="1817" spans="1:40" x14ac:dyDescent="0.25">
      <c r="A1817" t="s">
        <v>106</v>
      </c>
      <c r="B1817" t="str">
        <f>VLOOKUP(LEFT(A1817,3),'Table corresp.'!$A$4:$D$63,3,FALSE)</f>
        <v>Transformation</v>
      </c>
      <c r="C1817" t="str">
        <f>VLOOKUP(A1817,'Table corresp.'!$M$4:$P$63,4,FALSE)</f>
        <v>Production et transformation de produits bois</v>
      </c>
      <c r="D1817" t="s">
        <v>87</v>
      </c>
      <c r="E1817" t="str">
        <f>VLOOKUP(LEFT(D1817,3),'Table corresp.'!$A$4:$D$63,4,FALSE)</f>
        <v>Transformation</v>
      </c>
      <c r="F1817" t="str">
        <f t="shared" si="200"/>
        <v xml:space="preserve">63  - 31 </v>
      </c>
      <c r="G1817" s="238">
        <v>35971.787139382199</v>
      </c>
      <c r="H1817" s="238">
        <v>0</v>
      </c>
      <c r="I1817" s="238">
        <v>35971.787139382199</v>
      </c>
      <c r="J1817" s="238"/>
      <c r="K1817" s="238"/>
      <c r="L1817" s="238"/>
      <c r="M1817" s="238"/>
      <c r="N1817" s="238"/>
      <c r="O1817" s="238"/>
      <c r="P1817" s="238"/>
      <c r="Q1817" s="238"/>
      <c r="R1817" s="238"/>
      <c r="S1817" s="238"/>
      <c r="T1817" s="218">
        <f>VLOOKUP(A1817,'Groupe de branches'!$Z$27:$AM$86,14,FALSE)</f>
        <v>0</v>
      </c>
      <c r="U1817" s="218">
        <f>VLOOKUP(D1817,'Groupe de branches'!$Z$27:$AM$86,14,FALSE)</f>
        <v>0</v>
      </c>
      <c r="V1817" s="218">
        <v>2020</v>
      </c>
      <c r="W1817" s="218">
        <f>VLOOKUP(D1817,'Table corresp.'!$M$4:$S$63,7,FALSE)</f>
        <v>0</v>
      </c>
      <c r="X1817" s="240">
        <f>IFERROR(G1817/SUMIFS('Comp2016-2017 (3)'!$I$5:$I$289,'Comp2016-2017 (3)'!$A$5:$A$289,A1817,'Comp2016-2017 (3)'!$R$5:$R$289,V1817),0)</f>
        <v>8.6944636591404459E-2</v>
      </c>
      <c r="Y1817" s="219">
        <f>IFERROR(IF(RIGHT(F1817,3)="Exp",VLOOKUP(F1817,#REF!,2,FALSE),VLOOKUP(F1817,#REF!,9,FALSE)),1)</f>
        <v>1</v>
      </c>
      <c r="Z1817" s="226">
        <f t="shared" si="201"/>
        <v>5.8823529411764705E-2</v>
      </c>
      <c r="AA1817" s="226">
        <f t="shared" si="198"/>
        <v>5.1143903877296738E-3</v>
      </c>
      <c r="AB1817" s="205">
        <f>IFERROR(SUMIFS('Comp2016-2017 (3)'!$G$5:$G$289,'Comp2016-2017 (3)'!$A$5:$A$289,A1817,'Comp2016-2017 (3)'!$R$5:$R$289,V1817)*AA1817/SUMIFS($AA$4:$AA$1858,$A$4:$A$1858,A1817,$V$4:$V$1858,V1817),0)</f>
        <v>18381.583228224292</v>
      </c>
      <c r="AC1817" s="205">
        <f>IF($W1817=AC$3,$AB1817,IF(NOT($W1817=0),"",SUMIFS('Val-Vol (2)'!AC$4:AC$1858,'Val-Vol (2)'!$A$4:$A$1858,$D1817,'Val-Vol (2)'!$V$4:$V$1858,$V1817)/SUMIFS('Comp2016-2017 (3)'!$G$5:$G$289,'Comp2016-2017 (3)'!$A$5:$A$289,$D1817,'Comp2016-2017 (3)'!$R$5:$R$289,$V1817)*$AB1817))</f>
        <v>0</v>
      </c>
      <c r="AD1817" s="205">
        <f>IF($W1817=AD$3,$AB1817,IF(NOT($W1817=0),"",SUMIFS('Val-Vol (2)'!AD$4:AD$1858,'Val-Vol (2)'!$A$4:$A$1858,$D1817,'Val-Vol (2)'!$V$4:$V$1858,$V1817)/SUMIFS('Comp2016-2017 (3)'!$G$5:$G$289,'Comp2016-2017 (3)'!$A$5:$A$289,$D1817,'Comp2016-2017 (3)'!$R$5:$R$289,$V1817)*$AB1817))</f>
        <v>0</v>
      </c>
      <c r="AE1817" s="205">
        <f>IF($W1817=AE$3,$AB1817,IF(NOT($W1817=0),"",SUMIFS('Val-Vol (2)'!AE$4:AE$1858,'Val-Vol (2)'!$A$4:$A$1858,$D1817,'Val-Vol (2)'!$V$4:$V$1858,$V1817)/SUMIFS('Comp2016-2017 (3)'!$G$5:$G$289,'Comp2016-2017 (3)'!$A$5:$A$289,$D1817,'Comp2016-2017 (3)'!$R$5:$R$289,$V1817)*$AB1817))</f>
        <v>0</v>
      </c>
      <c r="AF1817" s="205">
        <f>IF($W1817=AF$3,$AB1817,IF(NOT($W1817=0),"",SUMIFS('Val-Vol (2)'!AF$4:AF$1858,'Val-Vol (2)'!$A$4:$A$1858,$D1817,'Val-Vol (2)'!$V$4:$V$1858,$V1817)/SUMIFS('Comp2016-2017 (3)'!$G$5:$G$289,'Comp2016-2017 (3)'!$A$5:$A$289,$D1817,'Comp2016-2017 (3)'!$R$5:$R$289,$V1817)*$AB1817))</f>
        <v>0</v>
      </c>
      <c r="AG1817" s="205">
        <f>IF($W1817=AG$3,$AB1817,IF(NOT($W1817=0),"",SUMIFS('Val-Vol (2)'!AG$4:AG$1858,'Val-Vol (2)'!$A$4:$A$1858,$D1817,'Val-Vol (2)'!$V$4:$V$1858,$V1817)/SUMIFS('Comp2016-2017 (3)'!$G$5:$G$289,'Comp2016-2017 (3)'!$A$5:$A$289,$D1817,'Comp2016-2017 (3)'!$R$5:$R$289,$V1817)*$AB1817))</f>
        <v>0</v>
      </c>
      <c r="AH1817" s="205">
        <f>IF($W1817=AH$3,$AB1817,IF(NOT($W1817=0),"",SUMIFS('Val-Vol (2)'!AH$4:AH$1858,'Val-Vol (2)'!$A$4:$A$1858,$D1817,'Val-Vol (2)'!$V$4:$V$1858,$V1817)/SUMIFS('Comp2016-2017 (3)'!$G$5:$G$289,'Comp2016-2017 (3)'!$A$5:$A$289,$D1817,'Comp2016-2017 (3)'!$R$5:$R$289,$V1817)*$AB1817))</f>
        <v>0</v>
      </c>
      <c r="AI1817" s="205">
        <f>IF($W1817=AI$3,$AB1817,IF(NOT($W1817=0),"",SUMIFS('Val-Vol (2)'!AI$4:AI$1858,'Val-Vol (2)'!$A$4:$A$1858,$D1817,'Val-Vol (2)'!$V$4:$V$1858,$V1817)/SUMIFS('Comp2016-2017 (3)'!$G$5:$G$289,'Comp2016-2017 (3)'!$A$5:$A$289,$D1817,'Comp2016-2017 (3)'!$R$5:$R$289,$V1817)*$AB1817))</f>
        <v>0</v>
      </c>
      <c r="AJ1817" s="205">
        <f>IF($W1817=AJ$3,$AB1817,IF(NOT($W1817=0),"",SUMIFS('Val-Vol (2)'!AJ$4:AJ$1858,'Val-Vol (2)'!$A$4:$A$1858,$D1817,'Val-Vol (2)'!$V$4:$V$1858,$V1817)/SUMIFS('Comp2016-2017 (3)'!$G$5:$G$289,'Comp2016-2017 (3)'!$A$5:$A$289,$D1817,'Comp2016-2017 (3)'!$R$5:$R$289,$V1817)*$AB1817))</f>
        <v>0</v>
      </c>
      <c r="AK1817" s="205">
        <f t="shared" ref="AK1817:AK1821" si="202">SUM(AC1817:AJ1817)-AB1817</f>
        <v>-18381.583228224292</v>
      </c>
      <c r="AL1817" s="218" t="str">
        <f t="shared" si="199"/>
        <v/>
      </c>
      <c r="AM1817" s="218" t="str">
        <f>VLOOKUP(A1817,'Table corresp.'!$M$4:$U$63,8,FALSE)</f>
        <v>Production intermédiaire</v>
      </c>
      <c r="AN1817" s="218" t="str">
        <f>VLOOKUP(D1817,'Table corresp.'!$M$4:$U$63,9,FALSE)</f>
        <v>Production intermédiaire</v>
      </c>
    </row>
    <row r="1818" spans="1:40" x14ac:dyDescent="0.25">
      <c r="A1818" t="s">
        <v>106</v>
      </c>
      <c r="B1818" t="str">
        <f>VLOOKUP(LEFT(A1818,3),'Table corresp.'!$A$4:$D$63,3,FALSE)</f>
        <v>Transformation</v>
      </c>
      <c r="C1818" t="str">
        <f>VLOOKUP(A1818,'Table corresp.'!$M$4:$P$63,4,FALSE)</f>
        <v>Production et transformation de produits bois</v>
      </c>
      <c r="D1818" t="s">
        <v>91</v>
      </c>
      <c r="E1818" t="str">
        <f>VLOOKUP(LEFT(D1818,3),'Table corresp.'!$A$4:$D$63,4,FALSE)</f>
        <v>Transformation</v>
      </c>
      <c r="F1818" t="str">
        <f t="shared" si="200"/>
        <v xml:space="preserve">63  - 37 </v>
      </c>
      <c r="G1818" s="238">
        <v>9667.3034452944503</v>
      </c>
      <c r="H1818" s="238">
        <v>0</v>
      </c>
      <c r="I1818" s="238">
        <v>9667.3034452944503</v>
      </c>
      <c r="J1818" s="238"/>
      <c r="K1818" s="238"/>
      <c r="L1818" s="238"/>
      <c r="M1818" s="238"/>
      <c r="N1818" s="238"/>
      <c r="O1818" s="238"/>
      <c r="P1818" s="238"/>
      <c r="Q1818" s="238"/>
      <c r="R1818" s="238"/>
      <c r="S1818" s="238"/>
      <c r="T1818" s="218">
        <f>VLOOKUP(A1818,'Groupe de branches'!$Z$27:$AM$86,14,FALSE)</f>
        <v>0</v>
      </c>
      <c r="U1818" s="218">
        <f>VLOOKUP(D1818,'Groupe de branches'!$Z$27:$AM$86,14,FALSE)</f>
        <v>0</v>
      </c>
      <c r="V1818" s="218">
        <v>2020</v>
      </c>
      <c r="W1818" s="218" t="str">
        <f>VLOOKUP(D1818,'Table corresp.'!$M$4:$S$63,7,FALSE)</f>
        <v>Emballage bois et carton</v>
      </c>
      <c r="X1818" s="240">
        <f>IFERROR(G1818/SUMIFS('Comp2016-2017 (3)'!$I$5:$I$289,'Comp2016-2017 (3)'!$A$5:$A$289,A1818,'Comp2016-2017 (3)'!$R$5:$R$289,V1818),0)</f>
        <v>2.3366094701192927E-2</v>
      </c>
      <c r="Y1818" s="219">
        <f>IFERROR(IF(RIGHT(F1818,3)="Exp",VLOOKUP(F1818,#REF!,2,FALSE),VLOOKUP(F1818,#REF!,9,FALSE)),1)</f>
        <v>1</v>
      </c>
      <c r="Z1818" s="226">
        <f t="shared" si="201"/>
        <v>5.8823529411764705E-2</v>
      </c>
      <c r="AA1818" s="226">
        <f t="shared" si="198"/>
        <v>1.3744761588937015E-3</v>
      </c>
      <c r="AB1818" s="205">
        <f>IFERROR(SUMIFS('Comp2016-2017 (3)'!$G$5:$G$289,'Comp2016-2017 (3)'!$A$5:$A$289,A1818,'Comp2016-2017 (3)'!$R$5:$R$289,V1818)*AA1818/SUMIFS($AA$4:$AA$1858,$A$4:$A$1858,A1818,$V$4:$V$1858,V1818),0)</f>
        <v>4939.9920605454608</v>
      </c>
      <c r="AC1818" s="205" t="str">
        <f>IF($W1818=AC$3,$AB1818,IF(NOT($W1818=0),"",SUMIFS('Val-Vol (2)'!AC$4:AC$1858,'Val-Vol (2)'!$A$4:$A$1858,$D1818,'Val-Vol (2)'!$V$4:$V$1858,$V1818)/SUMIFS('Comp2016-2017 (3)'!$G$5:$G$289,'Comp2016-2017 (3)'!$A$5:$A$289,$D1818,'Comp2016-2017 (3)'!$R$5:$R$289,$V1818)*$AB1818))</f>
        <v/>
      </c>
      <c r="AD1818" s="205" t="str">
        <f>IF($W1818=AD$3,$AB1818,IF(NOT($W1818=0),"",SUMIFS('Val-Vol (2)'!AD$4:AD$1858,'Val-Vol (2)'!$A$4:$A$1858,$D1818,'Val-Vol (2)'!$V$4:$V$1858,$V1818)/SUMIFS('Comp2016-2017 (3)'!$G$5:$G$289,'Comp2016-2017 (3)'!$A$5:$A$289,$D1818,'Comp2016-2017 (3)'!$R$5:$R$289,$V1818)*$AB1818))</f>
        <v/>
      </c>
      <c r="AE1818" s="205" t="str">
        <f>IF($W1818=AE$3,$AB1818,IF(NOT($W1818=0),"",SUMIFS('Val-Vol (2)'!AE$4:AE$1858,'Val-Vol (2)'!$A$4:$A$1858,$D1818,'Val-Vol (2)'!$V$4:$V$1858,$V1818)/SUMIFS('Comp2016-2017 (3)'!$G$5:$G$289,'Comp2016-2017 (3)'!$A$5:$A$289,$D1818,'Comp2016-2017 (3)'!$R$5:$R$289,$V1818)*$AB1818))</f>
        <v/>
      </c>
      <c r="AF1818" s="205" t="str">
        <f>IF($W1818=AF$3,$AB1818,IF(NOT($W1818=0),"",SUMIFS('Val-Vol (2)'!AF$4:AF$1858,'Val-Vol (2)'!$A$4:$A$1858,$D1818,'Val-Vol (2)'!$V$4:$V$1858,$V1818)/SUMIFS('Comp2016-2017 (3)'!$G$5:$G$289,'Comp2016-2017 (3)'!$A$5:$A$289,$D1818,'Comp2016-2017 (3)'!$R$5:$R$289,$V1818)*$AB1818))</f>
        <v/>
      </c>
      <c r="AG1818" s="205">
        <f>IF($W1818=AG$3,$AB1818,IF(NOT($W1818=0),"",SUMIFS('Val-Vol (2)'!AG$4:AG$1858,'Val-Vol (2)'!$A$4:$A$1858,$D1818,'Val-Vol (2)'!$V$4:$V$1858,$V1818)/SUMIFS('Comp2016-2017 (3)'!$G$5:$G$289,'Comp2016-2017 (3)'!$A$5:$A$289,$D1818,'Comp2016-2017 (3)'!$R$5:$R$289,$V1818)*$AB1818))</f>
        <v>4939.9920605454608</v>
      </c>
      <c r="AH1818" s="205" t="str">
        <f>IF($W1818=AH$3,$AB1818,IF(NOT($W1818=0),"",SUMIFS('Val-Vol (2)'!AH$4:AH$1858,'Val-Vol (2)'!$A$4:$A$1858,$D1818,'Val-Vol (2)'!$V$4:$V$1858,$V1818)/SUMIFS('Comp2016-2017 (3)'!$G$5:$G$289,'Comp2016-2017 (3)'!$A$5:$A$289,$D1818,'Comp2016-2017 (3)'!$R$5:$R$289,$V1818)*$AB1818))</f>
        <v/>
      </c>
      <c r="AI1818" s="205" t="str">
        <f>IF($W1818=AI$3,$AB1818,IF(NOT($W1818=0),"",SUMIFS('Val-Vol (2)'!AI$4:AI$1858,'Val-Vol (2)'!$A$4:$A$1858,$D1818,'Val-Vol (2)'!$V$4:$V$1858,$V1818)/SUMIFS('Comp2016-2017 (3)'!$G$5:$G$289,'Comp2016-2017 (3)'!$A$5:$A$289,$D1818,'Comp2016-2017 (3)'!$R$5:$R$289,$V1818)*$AB1818))</f>
        <v/>
      </c>
      <c r="AJ1818" s="205" t="str">
        <f>IF($W1818=AJ$3,$AB1818,IF(NOT($W1818=0),"",SUMIFS('Val-Vol (2)'!AJ$4:AJ$1858,'Val-Vol (2)'!$A$4:$A$1858,$D1818,'Val-Vol (2)'!$V$4:$V$1858,$V1818)/SUMIFS('Comp2016-2017 (3)'!$G$5:$G$289,'Comp2016-2017 (3)'!$A$5:$A$289,$D1818,'Comp2016-2017 (3)'!$R$5:$R$289,$V1818)*$AB1818))</f>
        <v/>
      </c>
      <c r="AK1818" s="205">
        <f t="shared" si="202"/>
        <v>0</v>
      </c>
      <c r="AL1818" s="218" t="str">
        <f t="shared" si="199"/>
        <v/>
      </c>
      <c r="AM1818" s="218" t="str">
        <f>VLOOKUP(A1818,'Table corresp.'!$M$4:$U$63,8,FALSE)</f>
        <v>Production intermédiaire</v>
      </c>
      <c r="AN1818" s="218" t="str">
        <f>VLOOKUP(D1818,'Table corresp.'!$M$4:$U$63,9,FALSE)</f>
        <v>Production finale</v>
      </c>
    </row>
    <row r="1819" spans="1:40" x14ac:dyDescent="0.25">
      <c r="A1819" t="s">
        <v>106</v>
      </c>
      <c r="B1819" t="str">
        <f>VLOOKUP(LEFT(A1819,3),'Table corresp.'!$A$4:$D$63,3,FALSE)</f>
        <v>Transformation</v>
      </c>
      <c r="C1819" t="str">
        <f>VLOOKUP(A1819,'Table corresp.'!$M$4:$P$63,4,FALSE)</f>
        <v>Production et transformation de produits bois</v>
      </c>
      <c r="D1819" t="s">
        <v>95</v>
      </c>
      <c r="E1819" t="str">
        <f>VLOOKUP(LEFT(D1819,3),'Table corresp.'!$A$4:$D$63,4,FALSE)</f>
        <v>Transformation</v>
      </c>
      <c r="F1819" t="str">
        <f t="shared" si="200"/>
        <v xml:space="preserve">63  - 43 </v>
      </c>
      <c r="G1819" s="238">
        <v>39624.709137310099</v>
      </c>
      <c r="H1819" s="238">
        <v>0</v>
      </c>
      <c r="I1819" s="238">
        <v>39624.709137310099</v>
      </c>
      <c r="J1819" s="238"/>
      <c r="K1819" s="238"/>
      <c r="L1819" s="238"/>
      <c r="M1819" s="238"/>
      <c r="N1819" s="238"/>
      <c r="O1819" s="238"/>
      <c r="P1819" s="238"/>
      <c r="Q1819" s="238"/>
      <c r="R1819" s="238"/>
      <c r="S1819" s="238"/>
      <c r="T1819" s="218">
        <f>VLOOKUP(A1819,'Groupe de branches'!$Z$27:$AM$86,14,FALSE)</f>
        <v>0</v>
      </c>
      <c r="U1819" s="218">
        <f>VLOOKUP(D1819,'Groupe de branches'!$Z$27:$AM$86,14,FALSE)</f>
        <v>0</v>
      </c>
      <c r="V1819" s="218">
        <v>2020</v>
      </c>
      <c r="W1819" s="218" t="str">
        <f>VLOOKUP(D1819,'Table corresp.'!$M$4:$S$63,7,FALSE)</f>
        <v>Pate &amp; papier &amp; carton</v>
      </c>
      <c r="X1819" s="240">
        <f>IFERROR(G1819/SUMIFS('Comp2016-2017 (3)'!$I$5:$I$289,'Comp2016-2017 (3)'!$A$5:$A$289,A1819,'Comp2016-2017 (3)'!$R$5:$R$289,V1819),0)</f>
        <v>9.5773833049616439E-2</v>
      </c>
      <c r="Y1819" s="219">
        <f>IFERROR(IF(RIGHT(F1819,3)="Exp",VLOOKUP(F1819,#REF!,2,FALSE),VLOOKUP(F1819,#REF!,9,FALSE)),1)</f>
        <v>1</v>
      </c>
      <c r="Z1819" s="226">
        <f t="shared" si="201"/>
        <v>5.8823529411764705E-2</v>
      </c>
      <c r="AA1819" s="226">
        <f t="shared" si="198"/>
        <v>5.6337548852715552E-3</v>
      </c>
      <c r="AB1819" s="205">
        <f>IFERROR(SUMIFS('Comp2016-2017 (3)'!$G$5:$G$289,'Comp2016-2017 (3)'!$A$5:$A$289,A1819,'Comp2016-2017 (3)'!$R$5:$R$289,V1819)*AA1819/SUMIFS($AA$4:$AA$1858,$A$4:$A$1858,A1819,$V$4:$V$1858,V1819),0)</f>
        <v>20248.226369165452</v>
      </c>
      <c r="AC1819" s="205" t="str">
        <f>IF($W1819=AC$3,$AB1819,IF(NOT($W1819=0),"",SUMIFS('Val-Vol (2)'!AC$4:AC$1858,'Val-Vol (2)'!$A$4:$A$1858,$D1819,'Val-Vol (2)'!$V$4:$V$1858,$V1819)/SUMIFS('Comp2016-2017 (3)'!$G$5:$G$289,'Comp2016-2017 (3)'!$A$5:$A$289,$D1819,'Comp2016-2017 (3)'!$R$5:$R$289,$V1819)*$AB1819))</f>
        <v/>
      </c>
      <c r="AD1819" s="205" t="str">
        <f>IF($W1819=AD$3,$AB1819,IF(NOT($W1819=0),"",SUMIFS('Val-Vol (2)'!AD$4:AD$1858,'Val-Vol (2)'!$A$4:$A$1858,$D1819,'Val-Vol (2)'!$V$4:$V$1858,$V1819)/SUMIFS('Comp2016-2017 (3)'!$G$5:$G$289,'Comp2016-2017 (3)'!$A$5:$A$289,$D1819,'Comp2016-2017 (3)'!$R$5:$R$289,$V1819)*$AB1819))</f>
        <v/>
      </c>
      <c r="AE1819" s="205" t="str">
        <f>IF($W1819=AE$3,$AB1819,IF(NOT($W1819=0),"",SUMIFS('Val-Vol (2)'!AE$4:AE$1858,'Val-Vol (2)'!$A$4:$A$1858,$D1819,'Val-Vol (2)'!$V$4:$V$1858,$V1819)/SUMIFS('Comp2016-2017 (3)'!$G$5:$G$289,'Comp2016-2017 (3)'!$A$5:$A$289,$D1819,'Comp2016-2017 (3)'!$R$5:$R$289,$V1819)*$AB1819))</f>
        <v/>
      </c>
      <c r="AF1819" s="205">
        <f>IF($W1819=AF$3,$AB1819,IF(NOT($W1819=0),"",SUMIFS('Val-Vol (2)'!AF$4:AF$1858,'Val-Vol (2)'!$A$4:$A$1858,$D1819,'Val-Vol (2)'!$V$4:$V$1858,$V1819)/SUMIFS('Comp2016-2017 (3)'!$G$5:$G$289,'Comp2016-2017 (3)'!$A$5:$A$289,$D1819,'Comp2016-2017 (3)'!$R$5:$R$289,$V1819)*$AB1819))</f>
        <v>20248.226369165452</v>
      </c>
      <c r="AG1819" s="205" t="str">
        <f>IF($W1819=AG$3,$AB1819,IF(NOT($W1819=0),"",SUMIFS('Val-Vol (2)'!AG$4:AG$1858,'Val-Vol (2)'!$A$4:$A$1858,$D1819,'Val-Vol (2)'!$V$4:$V$1858,$V1819)/SUMIFS('Comp2016-2017 (3)'!$G$5:$G$289,'Comp2016-2017 (3)'!$A$5:$A$289,$D1819,'Comp2016-2017 (3)'!$R$5:$R$289,$V1819)*$AB1819))</f>
        <v/>
      </c>
      <c r="AH1819" s="205" t="str">
        <f>IF($W1819=AH$3,$AB1819,IF(NOT($W1819=0),"",SUMIFS('Val-Vol (2)'!AH$4:AH$1858,'Val-Vol (2)'!$A$4:$A$1858,$D1819,'Val-Vol (2)'!$V$4:$V$1858,$V1819)/SUMIFS('Comp2016-2017 (3)'!$G$5:$G$289,'Comp2016-2017 (3)'!$A$5:$A$289,$D1819,'Comp2016-2017 (3)'!$R$5:$R$289,$V1819)*$AB1819))</f>
        <v/>
      </c>
      <c r="AI1819" s="205" t="str">
        <f>IF($W1819=AI$3,$AB1819,IF(NOT($W1819=0),"",SUMIFS('Val-Vol (2)'!AI$4:AI$1858,'Val-Vol (2)'!$A$4:$A$1858,$D1819,'Val-Vol (2)'!$V$4:$V$1858,$V1819)/SUMIFS('Comp2016-2017 (3)'!$G$5:$G$289,'Comp2016-2017 (3)'!$A$5:$A$289,$D1819,'Comp2016-2017 (3)'!$R$5:$R$289,$V1819)*$AB1819))</f>
        <v/>
      </c>
      <c r="AJ1819" s="205" t="str">
        <f>IF($W1819=AJ$3,$AB1819,IF(NOT($W1819=0),"",SUMIFS('Val-Vol (2)'!AJ$4:AJ$1858,'Val-Vol (2)'!$A$4:$A$1858,$D1819,'Val-Vol (2)'!$V$4:$V$1858,$V1819)/SUMIFS('Comp2016-2017 (3)'!$G$5:$G$289,'Comp2016-2017 (3)'!$A$5:$A$289,$D1819,'Comp2016-2017 (3)'!$R$5:$R$289,$V1819)*$AB1819))</f>
        <v/>
      </c>
      <c r="AK1819" s="205">
        <f t="shared" si="202"/>
        <v>0</v>
      </c>
      <c r="AL1819" s="218" t="str">
        <f t="shared" si="199"/>
        <v/>
      </c>
      <c r="AM1819" s="218" t="str">
        <f>VLOOKUP(A1819,'Table corresp.'!$M$4:$U$63,8,FALSE)</f>
        <v>Production intermédiaire</v>
      </c>
      <c r="AN1819" s="218" t="str">
        <f>VLOOKUP(D1819,'Table corresp.'!$M$4:$U$63,9,FALSE)</f>
        <v>Production intermédiaire</v>
      </c>
    </row>
    <row r="1820" spans="1:40" x14ac:dyDescent="0.25">
      <c r="A1820" t="s">
        <v>106</v>
      </c>
      <c r="B1820" t="str">
        <f>VLOOKUP(LEFT(A1820,3),'Table corresp.'!$A$4:$D$63,3,FALSE)</f>
        <v>Transformation</v>
      </c>
      <c r="C1820" t="str">
        <f>VLOOKUP(A1820,'Table corresp.'!$M$4:$P$63,4,FALSE)</f>
        <v>Production et transformation de produits bois</v>
      </c>
      <c r="D1820" t="s">
        <v>98</v>
      </c>
      <c r="E1820" t="str">
        <f>VLOOKUP(LEFT(D1820,3),'Table corresp.'!$A$4:$D$63,4,FALSE)</f>
        <v>Transformation</v>
      </c>
      <c r="F1820" t="str">
        <f t="shared" si="200"/>
        <v xml:space="preserve">63  - 46 </v>
      </c>
      <c r="G1820" s="238">
        <v>8264.8059471705401</v>
      </c>
      <c r="H1820" s="238">
        <v>0</v>
      </c>
      <c r="I1820" s="238">
        <v>8264.8059471705401</v>
      </c>
      <c r="J1820" s="238"/>
      <c r="K1820" s="238"/>
      <c r="L1820" s="238"/>
      <c r="M1820" s="238"/>
      <c r="N1820" s="238"/>
      <c r="O1820" s="238"/>
      <c r="P1820" s="238"/>
      <c r="Q1820" s="238"/>
      <c r="R1820" s="238"/>
      <c r="S1820" s="238"/>
      <c r="T1820" s="218">
        <f>VLOOKUP(A1820,'Groupe de branches'!$Z$27:$AM$86,14,FALSE)</f>
        <v>0</v>
      </c>
      <c r="U1820" s="218">
        <f>VLOOKUP(D1820,'Groupe de branches'!$Z$27:$AM$86,14,FALSE)</f>
        <v>0</v>
      </c>
      <c r="V1820" s="218">
        <v>2020</v>
      </c>
      <c r="W1820" s="218" t="str">
        <f>VLOOKUP(D1820,'Table corresp.'!$M$4:$S$63,7,FALSE)</f>
        <v>Produits de consommation courante</v>
      </c>
      <c r="X1820" s="240">
        <f>IFERROR(G1820/SUMIFS('Comp2016-2017 (3)'!$I$5:$I$289,'Comp2016-2017 (3)'!$A$5:$A$289,A1820,'Comp2016-2017 (3)'!$R$5:$R$289,V1820),0)</f>
        <v>1.9976226001529773E-2</v>
      </c>
      <c r="Y1820" s="219">
        <f>IFERROR(IF(RIGHT(F1820,3)="Exp",VLOOKUP(F1820,#REF!,2,FALSE),VLOOKUP(F1820,#REF!,9,FALSE)),1)</f>
        <v>1</v>
      </c>
      <c r="Z1820" s="226">
        <f t="shared" si="201"/>
        <v>5.8823529411764705E-2</v>
      </c>
      <c r="AA1820" s="226">
        <f t="shared" si="198"/>
        <v>1.1750721177370455E-3</v>
      </c>
      <c r="AB1820" s="205">
        <f>IFERROR(SUMIFS('Comp2016-2017 (3)'!$G$5:$G$289,'Comp2016-2017 (3)'!$A$5:$A$289,A1820,'Comp2016-2017 (3)'!$R$5:$R$289,V1820)*AA1820/SUMIFS($AA$4:$AA$1858,$A$4:$A$1858,A1820,$V$4:$V$1858,V1820),0)</f>
        <v>4223.3158390041435</v>
      </c>
      <c r="AC1820" s="205" t="str">
        <f>IF($W1820=AC$3,$AB1820,IF(NOT($W1820=0),"",SUMIFS('Val-Vol (2)'!AC$4:AC$1858,'Val-Vol (2)'!$A$4:$A$1858,$D1820,'Val-Vol (2)'!$V$4:$V$1858,$V1820)/SUMIFS('Comp2016-2017 (3)'!$G$5:$G$289,'Comp2016-2017 (3)'!$A$5:$A$289,$D1820,'Comp2016-2017 (3)'!$R$5:$R$289,$V1820)*$AB1820))</f>
        <v/>
      </c>
      <c r="AD1820" s="205" t="str">
        <f>IF($W1820=AD$3,$AB1820,IF(NOT($W1820=0),"",SUMIFS('Val-Vol (2)'!AD$4:AD$1858,'Val-Vol (2)'!$A$4:$A$1858,$D1820,'Val-Vol (2)'!$V$4:$V$1858,$V1820)/SUMIFS('Comp2016-2017 (3)'!$G$5:$G$289,'Comp2016-2017 (3)'!$A$5:$A$289,$D1820,'Comp2016-2017 (3)'!$R$5:$R$289,$V1820)*$AB1820))</f>
        <v/>
      </c>
      <c r="AE1820" s="205" t="str">
        <f>IF($W1820=AE$3,$AB1820,IF(NOT($W1820=0),"",SUMIFS('Val-Vol (2)'!AE$4:AE$1858,'Val-Vol (2)'!$A$4:$A$1858,$D1820,'Val-Vol (2)'!$V$4:$V$1858,$V1820)/SUMIFS('Comp2016-2017 (3)'!$G$5:$G$289,'Comp2016-2017 (3)'!$A$5:$A$289,$D1820,'Comp2016-2017 (3)'!$R$5:$R$289,$V1820)*$AB1820))</f>
        <v/>
      </c>
      <c r="AF1820" s="205" t="str">
        <f>IF($W1820=AF$3,$AB1820,IF(NOT($W1820=0),"",SUMIFS('Val-Vol (2)'!AF$4:AF$1858,'Val-Vol (2)'!$A$4:$A$1858,$D1820,'Val-Vol (2)'!$V$4:$V$1858,$V1820)/SUMIFS('Comp2016-2017 (3)'!$G$5:$G$289,'Comp2016-2017 (3)'!$A$5:$A$289,$D1820,'Comp2016-2017 (3)'!$R$5:$R$289,$V1820)*$AB1820))</f>
        <v/>
      </c>
      <c r="AG1820" s="205" t="str">
        <f>IF($W1820=AG$3,$AB1820,IF(NOT($W1820=0),"",SUMIFS('Val-Vol (2)'!AG$4:AG$1858,'Val-Vol (2)'!$A$4:$A$1858,$D1820,'Val-Vol (2)'!$V$4:$V$1858,$V1820)/SUMIFS('Comp2016-2017 (3)'!$G$5:$G$289,'Comp2016-2017 (3)'!$A$5:$A$289,$D1820,'Comp2016-2017 (3)'!$R$5:$R$289,$V1820)*$AB1820))</f>
        <v/>
      </c>
      <c r="AH1820" s="205" t="str">
        <f>IF($W1820=AH$3,$AB1820,IF(NOT($W1820=0),"",SUMIFS('Val-Vol (2)'!AH$4:AH$1858,'Val-Vol (2)'!$A$4:$A$1858,$D1820,'Val-Vol (2)'!$V$4:$V$1858,$V1820)/SUMIFS('Comp2016-2017 (3)'!$G$5:$G$289,'Comp2016-2017 (3)'!$A$5:$A$289,$D1820,'Comp2016-2017 (3)'!$R$5:$R$289,$V1820)*$AB1820))</f>
        <v/>
      </c>
      <c r="AI1820" s="205">
        <f>IF($W1820=AI$3,$AB1820,IF(NOT($W1820=0),"",SUMIFS('Val-Vol (2)'!AI$4:AI$1858,'Val-Vol (2)'!$A$4:$A$1858,$D1820,'Val-Vol (2)'!$V$4:$V$1858,$V1820)/SUMIFS('Comp2016-2017 (3)'!$G$5:$G$289,'Comp2016-2017 (3)'!$A$5:$A$289,$D1820,'Comp2016-2017 (3)'!$R$5:$R$289,$V1820)*$AB1820))</f>
        <v>4223.3158390041435</v>
      </c>
      <c r="AJ1820" s="205" t="str">
        <f>IF($W1820=AJ$3,$AB1820,IF(NOT($W1820=0),"",SUMIFS('Val-Vol (2)'!AJ$4:AJ$1858,'Val-Vol (2)'!$A$4:$A$1858,$D1820,'Val-Vol (2)'!$V$4:$V$1858,$V1820)/SUMIFS('Comp2016-2017 (3)'!$G$5:$G$289,'Comp2016-2017 (3)'!$A$5:$A$289,$D1820,'Comp2016-2017 (3)'!$R$5:$R$289,$V1820)*$AB1820))</f>
        <v/>
      </c>
      <c r="AK1820" s="205">
        <f t="shared" si="202"/>
        <v>0</v>
      </c>
      <c r="AL1820" s="218" t="str">
        <f t="shared" si="199"/>
        <v/>
      </c>
      <c r="AM1820" s="218" t="str">
        <f>VLOOKUP(A1820,'Table corresp.'!$M$4:$U$63,8,FALSE)</f>
        <v>Production intermédiaire</v>
      </c>
      <c r="AN1820" s="218" t="str">
        <f>VLOOKUP(D1820,'Table corresp.'!$M$4:$U$63,9,FALSE)</f>
        <v>Production intermédiaire</v>
      </c>
    </row>
    <row r="1821" spans="1:40" x14ac:dyDescent="0.25">
      <c r="A1821" t="s">
        <v>106</v>
      </c>
      <c r="B1821" t="str">
        <f>VLOOKUP(LEFT(A1821,3),'Table corresp.'!$A$4:$D$63,3,FALSE)</f>
        <v>Transformation</v>
      </c>
      <c r="C1821" t="str">
        <f>VLOOKUP(A1821,'Table corresp.'!$M$4:$P$63,4,FALSE)</f>
        <v>Production et transformation de produits bois</v>
      </c>
      <c r="D1821" t="s">
        <v>53</v>
      </c>
      <c r="E1821" t="str">
        <f>VLOOKUP(LEFT(D1821,3),'Table corresp.'!$A$4:$D$63,4,FALSE)</f>
        <v>Exportation</v>
      </c>
      <c r="F1821" t="str">
        <f t="shared" si="200"/>
        <v>63  - Exp</v>
      </c>
      <c r="G1821" s="238">
        <v>0</v>
      </c>
      <c r="H1821" s="238">
        <v>0</v>
      </c>
      <c r="I1821" s="238">
        <v>0</v>
      </c>
      <c r="J1821" s="238"/>
      <c r="K1821" s="238"/>
      <c r="L1821" s="238"/>
      <c r="M1821" s="238"/>
      <c r="N1821" s="238"/>
      <c r="O1821" s="238"/>
      <c r="P1821" s="238"/>
      <c r="Q1821" s="238"/>
      <c r="R1821" s="238"/>
      <c r="S1821" s="238"/>
      <c r="T1821" s="218">
        <f>VLOOKUP(A1821,'Groupe de branches'!$Z$27:$AM$86,14,FALSE)</f>
        <v>0</v>
      </c>
      <c r="U1821" s="218">
        <f>VLOOKUP(D1821,'Groupe de branches'!$Z$27:$AM$86,14,FALSE)</f>
        <v>0</v>
      </c>
      <c r="V1821" s="218">
        <v>2020</v>
      </c>
      <c r="W1821" s="218" t="str">
        <f>VLOOKUP(D1821,'Table corresp.'!$M$4:$S$63,7,FALSE)</f>
        <v>Exportation</v>
      </c>
      <c r="X1821" s="240">
        <f>IFERROR(G1821/SUMIFS('Comp2016-2017 (3)'!$I$5:$I$289,'Comp2016-2017 (3)'!$A$5:$A$289,A1821,'Comp2016-2017 (3)'!$R$5:$R$289,V1821),0)</f>
        <v>0</v>
      </c>
      <c r="Y1821" s="219">
        <f>IFERROR(IF(RIGHT(F1821,3)="Exp",VLOOKUP(F1821,#REF!,2,FALSE),VLOOKUP(F1821,#REF!,9,FALSE)),1)</f>
        <v>1</v>
      </c>
      <c r="Z1821" s="226">
        <f t="shared" si="201"/>
        <v>5.8823529411764705E-2</v>
      </c>
      <c r="AA1821" s="226">
        <f t="shared" ref="AA1821" si="203">X1821*Z1821</f>
        <v>0</v>
      </c>
      <c r="AB1821" s="205">
        <f>IFERROR(SUMIFS('Comp2016-2017 (3)'!$G$5:$G$289,'Comp2016-2017 (3)'!$A$5:$A$289,A1821,'Comp2016-2017 (3)'!$R$5:$R$289,V1821)*AA1821/SUMIFS($AA$4:$AA$1858,$A$4:$A$1858,A1821,$V$4:$V$1858,V1821),0)</f>
        <v>0</v>
      </c>
      <c r="AC1821" s="205">
        <f>IF($W1821=AC$3,$AB1821,IF(NOT($W1821=0),"",SUMIFS('Val-Vol (2)'!AC$4:AC$1858,'Val-Vol (2)'!$A$4:$A$1858,$D1821,'Val-Vol (2)'!$V$4:$V$1858,$V1821)/SUMIFS('Comp2016-2017 (3)'!$G$5:$G$289,'Comp2016-2017 (3)'!$A$5:$A$289,$D1821,'Comp2016-2017 (3)'!$R$5:$R$289,$V1821)*$AB1821))</f>
        <v>0</v>
      </c>
      <c r="AD1821" s="205" t="str">
        <f>IF($W1821=AD$3,$AB1821,IF(NOT($W1821=0),"",SUMIFS('Val-Vol (2)'!AD$4:AD$1858,'Val-Vol (2)'!$A$4:$A$1858,$D1821,'Val-Vol (2)'!$V$4:$V$1858,$V1821)/SUMIFS('Comp2016-2017 (3)'!$G$5:$G$289,'Comp2016-2017 (3)'!$A$5:$A$289,$D1821,'Comp2016-2017 (3)'!$R$5:$R$289,$V1821)*$AB1821))</f>
        <v/>
      </c>
      <c r="AE1821" s="205" t="str">
        <f>IF($W1821=AE$3,$AB1821,IF(NOT($W1821=0),"",SUMIFS('Val-Vol (2)'!AE$4:AE$1858,'Val-Vol (2)'!$A$4:$A$1858,$D1821,'Val-Vol (2)'!$V$4:$V$1858,$V1821)/SUMIFS('Comp2016-2017 (3)'!$G$5:$G$289,'Comp2016-2017 (3)'!$A$5:$A$289,$D1821,'Comp2016-2017 (3)'!$R$5:$R$289,$V1821)*$AB1821))</f>
        <v/>
      </c>
      <c r="AF1821" s="205" t="str">
        <f>IF($W1821=AF$3,$AB1821,IF(NOT($W1821=0),"",SUMIFS('Val-Vol (2)'!AF$4:AF$1858,'Val-Vol (2)'!$A$4:$A$1858,$D1821,'Val-Vol (2)'!$V$4:$V$1858,$V1821)/SUMIFS('Comp2016-2017 (3)'!$G$5:$G$289,'Comp2016-2017 (3)'!$A$5:$A$289,$D1821,'Comp2016-2017 (3)'!$R$5:$R$289,$V1821)*$AB1821))</f>
        <v/>
      </c>
      <c r="AG1821" s="205" t="str">
        <f>IF($W1821=AG$3,$AB1821,IF(NOT($W1821=0),"",SUMIFS('Val-Vol (2)'!AG$4:AG$1858,'Val-Vol (2)'!$A$4:$A$1858,$D1821,'Val-Vol (2)'!$V$4:$V$1858,$V1821)/SUMIFS('Comp2016-2017 (3)'!$G$5:$G$289,'Comp2016-2017 (3)'!$A$5:$A$289,$D1821,'Comp2016-2017 (3)'!$R$5:$R$289,$V1821)*$AB1821))</f>
        <v/>
      </c>
      <c r="AH1821" s="205" t="str">
        <f>IF($W1821=AH$3,$AB1821,IF(NOT($W1821=0),"",SUMIFS('Val-Vol (2)'!AH$4:AH$1858,'Val-Vol (2)'!$A$4:$A$1858,$D1821,'Val-Vol (2)'!$V$4:$V$1858,$V1821)/SUMIFS('Comp2016-2017 (3)'!$G$5:$G$289,'Comp2016-2017 (3)'!$A$5:$A$289,$D1821,'Comp2016-2017 (3)'!$R$5:$R$289,$V1821)*$AB1821))</f>
        <v/>
      </c>
      <c r="AI1821" s="205" t="str">
        <f>IF($W1821=AI$3,$AB1821,IF(NOT($W1821=0),"",SUMIFS('Val-Vol (2)'!AI$4:AI$1858,'Val-Vol (2)'!$A$4:$A$1858,$D1821,'Val-Vol (2)'!$V$4:$V$1858,$V1821)/SUMIFS('Comp2016-2017 (3)'!$G$5:$G$289,'Comp2016-2017 (3)'!$A$5:$A$289,$D1821,'Comp2016-2017 (3)'!$R$5:$R$289,$V1821)*$AB1821))</f>
        <v/>
      </c>
      <c r="AJ1821" s="205" t="str">
        <f>IF($W1821=AJ$3,$AB1821,IF(NOT($W1821=0),"",SUMIFS('Val-Vol (2)'!AJ$4:AJ$1858,'Val-Vol (2)'!$A$4:$A$1858,$D1821,'Val-Vol (2)'!$V$4:$V$1858,$V1821)/SUMIFS('Comp2016-2017 (3)'!$G$5:$G$289,'Comp2016-2017 (3)'!$A$5:$A$289,$D1821,'Comp2016-2017 (3)'!$R$5:$R$289,$V1821)*$AB1821))</f>
        <v/>
      </c>
      <c r="AK1821" s="205">
        <f t="shared" si="202"/>
        <v>0</v>
      </c>
      <c r="AL1821" s="218" t="str">
        <f t="shared" si="199"/>
        <v/>
      </c>
      <c r="AM1821" s="218" t="str">
        <f>VLOOKUP(A1821,'Table corresp.'!$M$4:$U$63,8,FALSE)</f>
        <v>Production intermédiaire</v>
      </c>
      <c r="AN1821" s="218" t="str">
        <f>VLOOKUP(D1821,'Table corresp.'!$M$4:$U$63,9,FALSE)</f>
        <v>Exportation</v>
      </c>
    </row>
    <row r="1822" spans="1:40" x14ac:dyDescent="0.25">
      <c r="A1822" t="s">
        <v>107</v>
      </c>
      <c r="B1822" t="str">
        <f>VLOOKUP(LEFT(A1822,3),'Table corresp.'!$A$4:$D$63,3,FALSE)</f>
        <v>Transformation</v>
      </c>
      <c r="C1822" t="str">
        <f>VLOOKUP(A1822,'Table corresp.'!$M$4:$P$63,4,FALSE)</f>
        <v>Commerces et services</v>
      </c>
      <c r="D1822" t="s">
        <v>59</v>
      </c>
      <c r="E1822" t="str">
        <f>VLOOKUP(LEFT(D1822,3),'Table corresp.'!$A$4:$D$63,4,FALSE)</f>
        <v>Transformation</v>
      </c>
      <c r="F1822" t="str">
        <f t="shared" si="200"/>
        <v xml:space="preserve">64  - 07 </v>
      </c>
      <c r="G1822" s="238"/>
      <c r="H1822" s="238"/>
      <c r="I1822" s="238"/>
      <c r="J1822" s="238"/>
      <c r="K1822" s="238"/>
      <c r="L1822" s="238"/>
      <c r="M1822" s="238"/>
      <c r="N1822" s="238"/>
      <c r="O1822" s="238"/>
      <c r="P1822" s="238"/>
      <c r="Q1822" s="238"/>
      <c r="R1822" s="238"/>
      <c r="S1822" s="238"/>
      <c r="T1822" s="218"/>
      <c r="U1822" s="218"/>
      <c r="V1822" s="218">
        <v>2020</v>
      </c>
      <c r="W1822" s="218"/>
      <c r="X1822" s="240"/>
      <c r="Y1822" s="219"/>
      <c r="Z1822" s="226"/>
      <c r="AA1822" s="226"/>
      <c r="AB1822" s="205"/>
      <c r="AC1822" s="205"/>
      <c r="AD1822" s="205"/>
      <c r="AE1822" s="205"/>
      <c r="AF1822" s="205"/>
      <c r="AG1822" s="205"/>
      <c r="AH1822" s="205"/>
      <c r="AI1822" s="205"/>
      <c r="AJ1822" s="205"/>
      <c r="AK1822" s="205"/>
      <c r="AL1822" s="218"/>
      <c r="AM1822" s="218"/>
      <c r="AN1822" s="218"/>
    </row>
    <row r="1823" spans="1:40" x14ac:dyDescent="0.25">
      <c r="A1823" t="s">
        <v>107</v>
      </c>
      <c r="B1823" t="str">
        <f>VLOOKUP(LEFT(A1823,3),'Table corresp.'!$A$4:$D$63,3,FALSE)</f>
        <v>Transformation</v>
      </c>
      <c r="C1823" t="str">
        <f>VLOOKUP(A1823,'Table corresp.'!$M$4:$P$63,4,FALSE)</f>
        <v>Commerces et services</v>
      </c>
      <c r="D1823" t="s">
        <v>54</v>
      </c>
      <c r="E1823" t="str">
        <f>VLOOKUP(LEFT(D1823,3),'Table corresp.'!$A$4:$D$63,4,FALSE)</f>
        <v>Consommation finale</v>
      </c>
      <c r="F1823" t="str">
        <f t="shared" si="200"/>
        <v>64  - Con</v>
      </c>
      <c r="G1823" s="238">
        <v>616870.48615557095</v>
      </c>
      <c r="H1823" s="238">
        <v>0</v>
      </c>
      <c r="I1823" s="238">
        <v>616870.48615557095</v>
      </c>
      <c r="J1823" s="238"/>
      <c r="K1823" s="238"/>
      <c r="L1823" s="238"/>
      <c r="M1823" s="238"/>
      <c r="N1823" s="238"/>
      <c r="O1823" s="238"/>
      <c r="P1823" s="238"/>
      <c r="Q1823" s="238"/>
      <c r="R1823" s="238"/>
      <c r="S1823" s="238"/>
      <c r="T1823" s="218">
        <f>VLOOKUP(A1823,'Groupe de branches'!$Z$27:$AM$86,14,FALSE)</f>
        <v>0</v>
      </c>
      <c r="U1823" s="218">
        <f>VLOOKUP(D1823,'Groupe de branches'!$Z$27:$AM$86,14,FALSE)</f>
        <v>0</v>
      </c>
      <c r="V1823" s="218">
        <v>2020</v>
      </c>
      <c r="W1823" s="218" t="str">
        <f>VLOOKUP(D1823,'Table corresp.'!$M$4:$S$63,7,FALSE)</f>
        <v>Consommation finale</v>
      </c>
      <c r="X1823" s="240">
        <f>IFERROR(G1823/SUMIFS('Comp2016-2017 (3)'!$I$5:$I$289,'Comp2016-2017 (3)'!$A$5:$A$289,A1823,'Comp2016-2017 (3)'!$R$5:$R$289,V1823),0)</f>
        <v>0.99999999999999978</v>
      </c>
      <c r="Y1823" s="219">
        <f>IFERROR(IF(RIGHT(F1823,3)="Exp",VLOOKUP(F1823,#REF!,2,FALSE),VLOOKUP(F1823,#REF!,9,FALSE)),1)</f>
        <v>1</v>
      </c>
      <c r="Z1823" s="226">
        <f t="shared" ref="Z1823:Z1858" si="204">IFERROR(Y1823/SUMIFS($Y$4:$Y$1858,$V$4:$V$1858,V1823,$A$4:$A$1858,A1823),0)</f>
        <v>1</v>
      </c>
      <c r="AA1823" s="226">
        <f t="shared" ref="AA1823:AA1858" si="205">X1823*Z1823</f>
        <v>0.99999999999999978</v>
      </c>
      <c r="AB1823" s="205">
        <f>IFERROR(SUMIFS('Comp2016-2017 (3)'!$G$5:$G$289,'Comp2016-2017 (3)'!$A$5:$A$289,A1823,'Comp2016-2017 (3)'!$R$5:$R$289,V1823)*AA1823/SUMIFS($AA$4:$AA$1858,$A$4:$A$1858,A1823,$V$4:$V$1858,V1823),0)</f>
        <v>616870.4861555713</v>
      </c>
      <c r="AC1823" s="205" t="str">
        <f>IF($W1823=AC$3,$AB1823,IF(NOT($W1823=0),"",SUMIFS('Val-Vol (2)'!AC$4:AC$1858,'Val-Vol (2)'!$A$4:$A$1858,$D1823,'Val-Vol (2)'!$V$4:$V$1858,$V1823)/SUMIFS('Comp2016-2017 (3)'!$G$5:$G$289,'Comp2016-2017 (3)'!$A$5:$A$289,$D1823,'Comp2016-2017 (3)'!$R$5:$R$289,$V1823)*$AB1823))</f>
        <v/>
      </c>
      <c r="AD1823" s="205" t="str">
        <f>IF($W1823=AD$3,$AB1823,IF(NOT($W1823=0),"",SUMIFS('Val-Vol (2)'!AD$4:AD$1858,'Val-Vol (2)'!$A$4:$A$1858,$D1823,'Val-Vol (2)'!$V$4:$V$1858,$V1823)/SUMIFS('Comp2016-2017 (3)'!$G$5:$G$289,'Comp2016-2017 (3)'!$A$5:$A$289,$D1823,'Comp2016-2017 (3)'!$R$5:$R$289,$V1823)*$AB1823))</f>
        <v/>
      </c>
      <c r="AE1823" s="205" t="str">
        <f>IF($W1823=AE$3,$AB1823,IF(NOT($W1823=0),"",SUMIFS('Val-Vol (2)'!AE$4:AE$1858,'Val-Vol (2)'!$A$4:$A$1858,$D1823,'Val-Vol (2)'!$V$4:$V$1858,$V1823)/SUMIFS('Comp2016-2017 (3)'!$G$5:$G$289,'Comp2016-2017 (3)'!$A$5:$A$289,$D1823,'Comp2016-2017 (3)'!$R$5:$R$289,$V1823)*$AB1823))</f>
        <v/>
      </c>
      <c r="AF1823" s="205" t="str">
        <f>IF($W1823=AF$3,$AB1823,IF(NOT($W1823=0),"",SUMIFS('Val-Vol (2)'!AF$4:AF$1858,'Val-Vol (2)'!$A$4:$A$1858,$D1823,'Val-Vol (2)'!$V$4:$V$1858,$V1823)/SUMIFS('Comp2016-2017 (3)'!$G$5:$G$289,'Comp2016-2017 (3)'!$A$5:$A$289,$D1823,'Comp2016-2017 (3)'!$R$5:$R$289,$V1823)*$AB1823))</f>
        <v/>
      </c>
      <c r="AG1823" s="205" t="str">
        <f>IF($W1823=AG$3,$AB1823,IF(NOT($W1823=0),"",SUMIFS('Val-Vol (2)'!AG$4:AG$1858,'Val-Vol (2)'!$A$4:$A$1858,$D1823,'Val-Vol (2)'!$V$4:$V$1858,$V1823)/SUMIFS('Comp2016-2017 (3)'!$G$5:$G$289,'Comp2016-2017 (3)'!$A$5:$A$289,$D1823,'Comp2016-2017 (3)'!$R$5:$R$289,$V1823)*$AB1823))</f>
        <v/>
      </c>
      <c r="AH1823" s="205" t="str">
        <f>IF($W1823=AH$3,$AB1823,IF(NOT($W1823=0),"",SUMIFS('Val-Vol (2)'!AH$4:AH$1858,'Val-Vol (2)'!$A$4:$A$1858,$D1823,'Val-Vol (2)'!$V$4:$V$1858,$V1823)/SUMIFS('Comp2016-2017 (3)'!$G$5:$G$289,'Comp2016-2017 (3)'!$A$5:$A$289,$D1823,'Comp2016-2017 (3)'!$R$5:$R$289,$V1823)*$AB1823))</f>
        <v/>
      </c>
      <c r="AI1823" s="205" t="str">
        <f>IF($W1823=AI$3,$AB1823,IF(NOT($W1823=0),"",SUMIFS('Val-Vol (2)'!AI$4:AI$1858,'Val-Vol (2)'!$A$4:$A$1858,$D1823,'Val-Vol (2)'!$V$4:$V$1858,$V1823)/SUMIFS('Comp2016-2017 (3)'!$G$5:$G$289,'Comp2016-2017 (3)'!$A$5:$A$289,$D1823,'Comp2016-2017 (3)'!$R$5:$R$289,$V1823)*$AB1823))</f>
        <v/>
      </c>
      <c r="AJ1823" s="205">
        <f>IF($W1823=AJ$3,$AB1823,IF(NOT($W1823=0),"",SUMIFS('Val-Vol (2)'!AJ$4:AJ$1858,'Val-Vol (2)'!$A$4:$A$1858,$D1823,'Val-Vol (2)'!$V$4:$V$1858,$V1823)/SUMIFS('Comp2016-2017 (3)'!$G$5:$G$289,'Comp2016-2017 (3)'!$A$5:$A$289,$D1823,'Comp2016-2017 (3)'!$R$5:$R$289,$V1823)*$AB1823))</f>
        <v>616870.4861555713</v>
      </c>
      <c r="AK1823" s="205">
        <f t="shared" ref="AK1823:AK1858" si="206">SUM(AC1823:AJ1823)-AB1823</f>
        <v>0</v>
      </c>
      <c r="AL1823" s="218" t="str">
        <f t="shared" ref="AL1823:AL1858" si="207">IF(A1823=D1823,"remplir à la main","")</f>
        <v/>
      </c>
      <c r="AM1823" s="218" t="str">
        <f>VLOOKUP(A1823,'Table corresp.'!$M$4:$U$63,8,FALSE)</f>
        <v>Production finale</v>
      </c>
      <c r="AN1823" s="218" t="str">
        <f>VLOOKUP(D1823,'Table corresp.'!$M$4:$U$63,9,FALSE)</f>
        <v>Consommation finale française</v>
      </c>
    </row>
    <row r="1824" spans="1:40" x14ac:dyDescent="0.25">
      <c r="A1824" t="s">
        <v>52</v>
      </c>
      <c r="B1824" t="str">
        <f>VLOOKUP(LEFT(A1824,3),'Table corresp.'!$A$4:$D$63,3,FALSE)</f>
        <v>Importation</v>
      </c>
      <c r="C1824" t="str">
        <f>VLOOKUP(A1824,'Table corresp.'!$M$4:$P$63,4,FALSE)</f>
        <v>Importation</v>
      </c>
      <c r="D1824" t="s">
        <v>80</v>
      </c>
      <c r="E1824" t="str">
        <f>VLOOKUP(LEFT(D1824,3),'Table corresp.'!$A$4:$D$63,4,FALSE)</f>
        <v>Transformation</v>
      </c>
      <c r="F1824" t="str">
        <f t="shared" si="200"/>
        <v xml:space="preserve">Imp - 01 </v>
      </c>
      <c r="G1824" s="238">
        <v>0</v>
      </c>
      <c r="H1824" s="238">
        <v>9091.5409999999956</v>
      </c>
      <c r="I1824" s="238">
        <v>9091.5409999999956</v>
      </c>
      <c r="J1824" s="238"/>
      <c r="K1824" s="238"/>
      <c r="L1824" s="238"/>
      <c r="M1824" s="238"/>
      <c r="N1824" s="238"/>
      <c r="O1824" s="238"/>
      <c r="P1824" s="238"/>
      <c r="Q1824" s="238"/>
      <c r="R1824" s="238"/>
      <c r="S1824" s="238"/>
      <c r="T1824" s="218">
        <f>VLOOKUP(A1824,'Groupe de branches'!$Z$27:$AM$86,14,FALSE)</f>
        <v>0</v>
      </c>
      <c r="U1824" s="218">
        <f>VLOOKUP(D1824,'Groupe de branches'!$Z$27:$AM$86,14,FALSE)</f>
        <v>0</v>
      </c>
      <c r="V1824" s="218">
        <v>2020</v>
      </c>
      <c r="W1824" s="218">
        <f>VLOOKUP(D1824,'Table corresp.'!$M$4:$S$63,7,FALSE)</f>
        <v>0</v>
      </c>
      <c r="X1824" s="240">
        <f>IFERROR(G1824/SUMIFS('Comp2016-2017 (3)'!$I$5:$I$289,'Comp2016-2017 (3)'!$A$5:$A$289,A1824,'Comp2016-2017 (3)'!$R$5:$R$289,V1824),0)</f>
        <v>0</v>
      </c>
      <c r="Y1824" s="219">
        <f>IFERROR(IF(RIGHT(F1824,3)="Exp",VLOOKUP(F1824,#REF!,2,FALSE),VLOOKUP(F1824,#REF!,9,FALSE)),0)</f>
        <v>0</v>
      </c>
      <c r="Z1824" s="226">
        <f t="shared" si="204"/>
        <v>0</v>
      </c>
      <c r="AA1824" s="226">
        <f t="shared" si="205"/>
        <v>0</v>
      </c>
      <c r="AB1824" s="205">
        <f>IFERROR(SUMIFS('Comp2016-2017 (3)'!$G$5:$G$289,'Comp2016-2017 (3)'!$A$5:$A$289,A1824,'Comp2016-2017 (3)'!$R$5:$R$289,V1824)*AA1824/SUMIFS($AA$4:$AA$1858,$A$4:$A$1858,A1824,$V$4:$V$1858,V1824),0)</f>
        <v>0</v>
      </c>
      <c r="AC1824" s="205">
        <f>IF($W1824=AC$3,$AB1824,IF(NOT($W1824=0),"",SUMIFS('Val-Vol (2)'!AC$4:AC$1858,'Val-Vol (2)'!$A$4:$A$1858,$D1824,'Val-Vol (2)'!$V$4:$V$1858,$V1824)/SUMIFS('Comp2016-2017 (3)'!$G$5:$G$289,'Comp2016-2017 (3)'!$A$5:$A$289,$D1824,'Comp2016-2017 (3)'!$R$5:$R$289,$V1824)*$AB1824))</f>
        <v>0</v>
      </c>
      <c r="AD1824" s="205">
        <f>IF($W1824=AD$3,$AB1824,IF(NOT($W1824=0),"",SUMIFS('Val-Vol (2)'!AD$4:AD$1858,'Val-Vol (2)'!$A$4:$A$1858,$D1824,'Val-Vol (2)'!$V$4:$V$1858,$V1824)/SUMIFS('Comp2016-2017 (3)'!$G$5:$G$289,'Comp2016-2017 (3)'!$A$5:$A$289,$D1824,'Comp2016-2017 (3)'!$R$5:$R$289,$V1824)*$AB1824))</f>
        <v>0</v>
      </c>
      <c r="AE1824" s="205">
        <f>IF($W1824=AE$3,$AB1824,IF(NOT($W1824=0),"",SUMIFS('Val-Vol (2)'!AE$4:AE$1858,'Val-Vol (2)'!$A$4:$A$1858,$D1824,'Val-Vol (2)'!$V$4:$V$1858,$V1824)/SUMIFS('Comp2016-2017 (3)'!$G$5:$G$289,'Comp2016-2017 (3)'!$A$5:$A$289,$D1824,'Comp2016-2017 (3)'!$R$5:$R$289,$V1824)*$AB1824))</f>
        <v>0</v>
      </c>
      <c r="AF1824" s="205">
        <f>IF($W1824=AF$3,$AB1824,IF(NOT($W1824=0),"",SUMIFS('Val-Vol (2)'!AF$4:AF$1858,'Val-Vol (2)'!$A$4:$A$1858,$D1824,'Val-Vol (2)'!$V$4:$V$1858,$V1824)/SUMIFS('Comp2016-2017 (3)'!$G$5:$G$289,'Comp2016-2017 (3)'!$A$5:$A$289,$D1824,'Comp2016-2017 (3)'!$R$5:$R$289,$V1824)*$AB1824))</f>
        <v>0</v>
      </c>
      <c r="AG1824" s="205">
        <f>IF($W1824=AG$3,$AB1824,IF(NOT($W1824=0),"",SUMIFS('Val-Vol (2)'!AG$4:AG$1858,'Val-Vol (2)'!$A$4:$A$1858,$D1824,'Val-Vol (2)'!$V$4:$V$1858,$V1824)/SUMIFS('Comp2016-2017 (3)'!$G$5:$G$289,'Comp2016-2017 (3)'!$A$5:$A$289,$D1824,'Comp2016-2017 (3)'!$R$5:$R$289,$V1824)*$AB1824))</f>
        <v>0</v>
      </c>
      <c r="AH1824" s="205">
        <f>IF($W1824=AH$3,$AB1824,IF(NOT($W1824=0),"",SUMIFS('Val-Vol (2)'!AH$4:AH$1858,'Val-Vol (2)'!$A$4:$A$1858,$D1824,'Val-Vol (2)'!$V$4:$V$1858,$V1824)/SUMIFS('Comp2016-2017 (3)'!$G$5:$G$289,'Comp2016-2017 (3)'!$A$5:$A$289,$D1824,'Comp2016-2017 (3)'!$R$5:$R$289,$V1824)*$AB1824))</f>
        <v>0</v>
      </c>
      <c r="AI1824" s="205">
        <f>IF($W1824=AI$3,$AB1824,IF(NOT($W1824=0),"",SUMIFS('Val-Vol (2)'!AI$4:AI$1858,'Val-Vol (2)'!$A$4:$A$1858,$D1824,'Val-Vol (2)'!$V$4:$V$1858,$V1824)/SUMIFS('Comp2016-2017 (3)'!$G$5:$G$289,'Comp2016-2017 (3)'!$A$5:$A$289,$D1824,'Comp2016-2017 (3)'!$R$5:$R$289,$V1824)*$AB1824))</f>
        <v>0</v>
      </c>
      <c r="AJ1824" s="205">
        <f>IF($W1824=AJ$3,$AB1824,IF(NOT($W1824=0),"",SUMIFS('Val-Vol (2)'!AJ$4:AJ$1858,'Val-Vol (2)'!$A$4:$A$1858,$D1824,'Val-Vol (2)'!$V$4:$V$1858,$V1824)/SUMIFS('Comp2016-2017 (3)'!$G$5:$G$289,'Comp2016-2017 (3)'!$A$5:$A$289,$D1824,'Comp2016-2017 (3)'!$R$5:$R$289,$V1824)*$AB1824))</f>
        <v>0</v>
      </c>
      <c r="AK1824" s="205">
        <f t="shared" si="206"/>
        <v>0</v>
      </c>
      <c r="AL1824" s="218" t="str">
        <f t="shared" si="207"/>
        <v/>
      </c>
      <c r="AM1824" s="218" t="str">
        <f>VLOOKUP(A1824,'Table corresp.'!$M$4:$U$63,8,FALSE)</f>
        <v>Importation</v>
      </c>
      <c r="AN1824" s="218" t="str">
        <f>VLOOKUP(D1824,'Table corresp.'!$M$4:$U$63,9,FALSE)</f>
        <v>Production intermédiaire</v>
      </c>
    </row>
    <row r="1825" spans="1:40" x14ac:dyDescent="0.25">
      <c r="A1825" t="s">
        <v>52</v>
      </c>
      <c r="B1825" t="str">
        <f>VLOOKUP(LEFT(A1825,3),'Table corresp.'!$A$4:$D$63,3,FALSE)</f>
        <v>Importation</v>
      </c>
      <c r="C1825" t="str">
        <f>VLOOKUP(A1825,'Table corresp.'!$M$4:$P$63,4,FALSE)</f>
        <v>Importation</v>
      </c>
      <c r="D1825" t="s">
        <v>0</v>
      </c>
      <c r="E1825" t="str">
        <f>VLOOKUP(LEFT(D1825,3),'Table corresp.'!$A$4:$D$63,4,FALSE)</f>
        <v>Transformation</v>
      </c>
      <c r="F1825" t="str">
        <f t="shared" si="200"/>
        <v xml:space="preserve">Imp - 02 </v>
      </c>
      <c r="G1825" s="238">
        <v>0</v>
      </c>
      <c r="H1825" s="238">
        <v>40426.374000000003</v>
      </c>
      <c r="I1825" s="238">
        <v>40426.374000000003</v>
      </c>
      <c r="J1825" s="238">
        <v>0</v>
      </c>
      <c r="K1825" s="238">
        <v>328.94797750384015</v>
      </c>
      <c r="L1825" s="238">
        <v>328.94797750384015</v>
      </c>
      <c r="M1825" s="238"/>
      <c r="N1825" s="238"/>
      <c r="O1825" s="238"/>
      <c r="P1825" s="238"/>
      <c r="Q1825" s="238"/>
      <c r="R1825" s="238"/>
      <c r="S1825" s="238"/>
      <c r="T1825" s="218">
        <f>VLOOKUP(A1825,'Groupe de branches'!$Z$27:$AM$86,14,FALSE)</f>
        <v>0</v>
      </c>
      <c r="U1825" s="218">
        <f>VLOOKUP(D1825,'Groupe de branches'!$Z$27:$AM$86,14,FALSE)</f>
        <v>0</v>
      </c>
      <c r="V1825" s="218">
        <v>2020</v>
      </c>
      <c r="W1825" s="218">
        <f>VLOOKUP(D1825,'Table corresp.'!$M$4:$S$63,7,FALSE)</f>
        <v>0</v>
      </c>
      <c r="X1825" s="240">
        <f>IFERROR(G1825/SUMIFS('Comp2016-2017 (3)'!$I$5:$I$289,'Comp2016-2017 (3)'!$A$5:$A$289,A1825,'Comp2016-2017 (3)'!$R$5:$R$289,V1825),0)</f>
        <v>0</v>
      </c>
      <c r="Y1825" s="219">
        <f>IFERROR(IF(RIGHT(F1825,3)="Exp",VLOOKUP(F1825,#REF!,2,FALSE),VLOOKUP(F1825,#REF!,9,FALSE)),0)</f>
        <v>0</v>
      </c>
      <c r="Z1825" s="226">
        <f t="shared" si="204"/>
        <v>0</v>
      </c>
      <c r="AA1825" s="226">
        <f t="shared" si="205"/>
        <v>0</v>
      </c>
      <c r="AB1825" s="205">
        <f>IFERROR(SUMIFS('Comp2016-2017 (3)'!$G$5:$G$289,'Comp2016-2017 (3)'!$A$5:$A$289,A1825,'Comp2016-2017 (3)'!$R$5:$R$289,V1825)*AA1825/SUMIFS($AA$4:$AA$1858,$A$4:$A$1858,A1825,$V$4:$V$1858,V1825),0)</f>
        <v>0</v>
      </c>
      <c r="AC1825" s="205">
        <f>IF($W1825=AC$3,$AB1825,IF(NOT($W1825=0),"",SUMIFS('Val-Vol (2)'!AC$4:AC$1858,'Val-Vol (2)'!$A$4:$A$1858,$D1825,'Val-Vol (2)'!$V$4:$V$1858,$V1825)/SUMIFS('Comp2016-2017 (3)'!$G$5:$G$289,'Comp2016-2017 (3)'!$A$5:$A$289,$D1825,'Comp2016-2017 (3)'!$R$5:$R$289,$V1825)*$AB1825))</f>
        <v>0</v>
      </c>
      <c r="AD1825" s="205">
        <f>IF($W1825=AD$3,$AB1825,IF(NOT($W1825=0),"",SUMIFS('Val-Vol (2)'!AD$4:AD$1858,'Val-Vol (2)'!$A$4:$A$1858,$D1825,'Val-Vol (2)'!$V$4:$V$1858,$V1825)/SUMIFS('Comp2016-2017 (3)'!$G$5:$G$289,'Comp2016-2017 (3)'!$A$5:$A$289,$D1825,'Comp2016-2017 (3)'!$R$5:$R$289,$V1825)*$AB1825))</f>
        <v>0</v>
      </c>
      <c r="AE1825" s="205">
        <f>IF($W1825=AE$3,$AB1825,IF(NOT($W1825=0),"",SUMIFS('Val-Vol (2)'!AE$4:AE$1858,'Val-Vol (2)'!$A$4:$A$1858,$D1825,'Val-Vol (2)'!$V$4:$V$1858,$V1825)/SUMIFS('Comp2016-2017 (3)'!$G$5:$G$289,'Comp2016-2017 (3)'!$A$5:$A$289,$D1825,'Comp2016-2017 (3)'!$R$5:$R$289,$V1825)*$AB1825))</f>
        <v>0</v>
      </c>
      <c r="AF1825" s="205">
        <f>IF($W1825=AF$3,$AB1825,IF(NOT($W1825=0),"",SUMIFS('Val-Vol (2)'!AF$4:AF$1858,'Val-Vol (2)'!$A$4:$A$1858,$D1825,'Val-Vol (2)'!$V$4:$V$1858,$V1825)/SUMIFS('Comp2016-2017 (3)'!$G$5:$G$289,'Comp2016-2017 (3)'!$A$5:$A$289,$D1825,'Comp2016-2017 (3)'!$R$5:$R$289,$V1825)*$AB1825))</f>
        <v>0</v>
      </c>
      <c r="AG1825" s="205">
        <f>IF($W1825=AG$3,$AB1825,IF(NOT($W1825=0),"",SUMIFS('Val-Vol (2)'!AG$4:AG$1858,'Val-Vol (2)'!$A$4:$A$1858,$D1825,'Val-Vol (2)'!$V$4:$V$1858,$V1825)/SUMIFS('Comp2016-2017 (3)'!$G$5:$G$289,'Comp2016-2017 (3)'!$A$5:$A$289,$D1825,'Comp2016-2017 (3)'!$R$5:$R$289,$V1825)*$AB1825))</f>
        <v>0</v>
      </c>
      <c r="AH1825" s="205">
        <f>IF($W1825=AH$3,$AB1825,IF(NOT($W1825=0),"",SUMIFS('Val-Vol (2)'!AH$4:AH$1858,'Val-Vol (2)'!$A$4:$A$1858,$D1825,'Val-Vol (2)'!$V$4:$V$1858,$V1825)/SUMIFS('Comp2016-2017 (3)'!$G$5:$G$289,'Comp2016-2017 (3)'!$A$5:$A$289,$D1825,'Comp2016-2017 (3)'!$R$5:$R$289,$V1825)*$AB1825))</f>
        <v>0</v>
      </c>
      <c r="AI1825" s="205">
        <f>IF($W1825=AI$3,$AB1825,IF(NOT($W1825=0),"",SUMIFS('Val-Vol (2)'!AI$4:AI$1858,'Val-Vol (2)'!$A$4:$A$1858,$D1825,'Val-Vol (2)'!$V$4:$V$1858,$V1825)/SUMIFS('Comp2016-2017 (3)'!$G$5:$G$289,'Comp2016-2017 (3)'!$A$5:$A$289,$D1825,'Comp2016-2017 (3)'!$R$5:$R$289,$V1825)*$AB1825))</f>
        <v>0</v>
      </c>
      <c r="AJ1825" s="205">
        <f>IF($W1825=AJ$3,$AB1825,IF(NOT($W1825=0),"",SUMIFS('Val-Vol (2)'!AJ$4:AJ$1858,'Val-Vol (2)'!$A$4:$A$1858,$D1825,'Val-Vol (2)'!$V$4:$V$1858,$V1825)/SUMIFS('Comp2016-2017 (3)'!$G$5:$G$289,'Comp2016-2017 (3)'!$A$5:$A$289,$D1825,'Comp2016-2017 (3)'!$R$5:$R$289,$V1825)*$AB1825))</f>
        <v>0</v>
      </c>
      <c r="AK1825" s="205">
        <f t="shared" si="206"/>
        <v>0</v>
      </c>
      <c r="AL1825" s="218" t="str">
        <f t="shared" si="207"/>
        <v/>
      </c>
      <c r="AM1825" s="218" t="str">
        <f>VLOOKUP(A1825,'Table corresp.'!$M$4:$U$63,8,FALSE)</f>
        <v>Importation</v>
      </c>
      <c r="AN1825" s="218" t="str">
        <f>VLOOKUP(D1825,'Table corresp.'!$M$4:$U$63,9,FALSE)</f>
        <v>Production intermédiaire</v>
      </c>
    </row>
    <row r="1826" spans="1:40" x14ac:dyDescent="0.25">
      <c r="A1826" t="s">
        <v>52</v>
      </c>
      <c r="B1826" t="str">
        <f>VLOOKUP(LEFT(A1826,3),'Table corresp.'!$A$4:$D$63,3,FALSE)</f>
        <v>Importation</v>
      </c>
      <c r="C1826" t="str">
        <f>VLOOKUP(A1826,'Table corresp.'!$M$4:$P$63,4,FALSE)</f>
        <v>Importation</v>
      </c>
      <c r="D1826" t="s">
        <v>1</v>
      </c>
      <c r="E1826" t="str">
        <f>VLOOKUP(LEFT(D1826,3),'Table corresp.'!$A$4:$D$63,4,FALSE)</f>
        <v>Transformation</v>
      </c>
      <c r="F1826" t="str">
        <f t="shared" si="200"/>
        <v xml:space="preserve">Imp - 03 </v>
      </c>
      <c r="G1826" s="238">
        <v>0</v>
      </c>
      <c r="H1826" s="238">
        <v>35954.783999999963</v>
      </c>
      <c r="I1826" s="238">
        <v>35954.783999999963</v>
      </c>
      <c r="J1826" s="238"/>
      <c r="K1826" s="238"/>
      <c r="L1826" s="238"/>
      <c r="M1826" s="238">
        <v>0</v>
      </c>
      <c r="N1826" s="238">
        <v>499.30817099999996</v>
      </c>
      <c r="O1826" s="238">
        <v>499.30817099999996</v>
      </c>
      <c r="P1826" s="238"/>
      <c r="Q1826" s="238"/>
      <c r="R1826" s="238"/>
      <c r="S1826" s="238"/>
      <c r="T1826" s="218">
        <f>VLOOKUP(A1826,'Groupe de branches'!$Z$27:$AM$86,14,FALSE)</f>
        <v>0</v>
      </c>
      <c r="U1826" s="218">
        <f>VLOOKUP(D1826,'Groupe de branches'!$Z$27:$AM$86,14,FALSE)</f>
        <v>0</v>
      </c>
      <c r="V1826" s="218">
        <v>2020</v>
      </c>
      <c r="W1826" s="218">
        <f>VLOOKUP(D1826,'Table corresp.'!$M$4:$S$63,7,FALSE)</f>
        <v>0</v>
      </c>
      <c r="X1826" s="240">
        <f>IFERROR(G1826/SUMIFS('Comp2016-2017 (3)'!$I$5:$I$289,'Comp2016-2017 (3)'!$A$5:$A$289,A1826,'Comp2016-2017 (3)'!$R$5:$R$289,V1826),0)</f>
        <v>0</v>
      </c>
      <c r="Y1826" s="219">
        <f>IFERROR(IF(RIGHT(F1826,3)="Exp",VLOOKUP(F1826,#REF!,2,FALSE),VLOOKUP(F1826,#REF!,9,FALSE)),0)</f>
        <v>0</v>
      </c>
      <c r="Z1826" s="226">
        <f t="shared" si="204"/>
        <v>0</v>
      </c>
      <c r="AA1826" s="226">
        <f t="shared" si="205"/>
        <v>0</v>
      </c>
      <c r="AB1826" s="205">
        <f>IFERROR(SUMIFS('Comp2016-2017 (3)'!$G$5:$G$289,'Comp2016-2017 (3)'!$A$5:$A$289,A1826,'Comp2016-2017 (3)'!$R$5:$R$289,V1826)*AA1826/SUMIFS($AA$4:$AA$1858,$A$4:$A$1858,A1826,$V$4:$V$1858,V1826),0)</f>
        <v>0</v>
      </c>
      <c r="AC1826" s="205">
        <f>IF($W1826=AC$3,$AB1826,IF(NOT($W1826=0),"",SUMIFS('Val-Vol (2)'!AC$4:AC$1858,'Val-Vol (2)'!$A$4:$A$1858,$D1826,'Val-Vol (2)'!$V$4:$V$1858,$V1826)/SUMIFS('Comp2016-2017 (3)'!$G$5:$G$289,'Comp2016-2017 (3)'!$A$5:$A$289,$D1826,'Comp2016-2017 (3)'!$R$5:$R$289,$V1826)*$AB1826))</f>
        <v>0</v>
      </c>
      <c r="AD1826" s="205">
        <f>IF($W1826=AD$3,$AB1826,IF(NOT($W1826=0),"",SUMIFS('Val-Vol (2)'!AD$4:AD$1858,'Val-Vol (2)'!$A$4:$A$1858,$D1826,'Val-Vol (2)'!$V$4:$V$1858,$V1826)/SUMIFS('Comp2016-2017 (3)'!$G$5:$G$289,'Comp2016-2017 (3)'!$A$5:$A$289,$D1826,'Comp2016-2017 (3)'!$R$5:$R$289,$V1826)*$AB1826))</f>
        <v>0</v>
      </c>
      <c r="AE1826" s="205">
        <f>IF($W1826=AE$3,$AB1826,IF(NOT($W1826=0),"",SUMIFS('Val-Vol (2)'!AE$4:AE$1858,'Val-Vol (2)'!$A$4:$A$1858,$D1826,'Val-Vol (2)'!$V$4:$V$1858,$V1826)/SUMIFS('Comp2016-2017 (3)'!$G$5:$G$289,'Comp2016-2017 (3)'!$A$5:$A$289,$D1826,'Comp2016-2017 (3)'!$R$5:$R$289,$V1826)*$AB1826))</f>
        <v>0</v>
      </c>
      <c r="AF1826" s="205">
        <f>IF($W1826=AF$3,$AB1826,IF(NOT($W1826=0),"",SUMIFS('Val-Vol (2)'!AF$4:AF$1858,'Val-Vol (2)'!$A$4:$A$1858,$D1826,'Val-Vol (2)'!$V$4:$V$1858,$V1826)/SUMIFS('Comp2016-2017 (3)'!$G$5:$G$289,'Comp2016-2017 (3)'!$A$5:$A$289,$D1826,'Comp2016-2017 (3)'!$R$5:$R$289,$V1826)*$AB1826))</f>
        <v>0</v>
      </c>
      <c r="AG1826" s="205">
        <f>IF($W1826=AG$3,$AB1826,IF(NOT($W1826=0),"",SUMIFS('Val-Vol (2)'!AG$4:AG$1858,'Val-Vol (2)'!$A$4:$A$1858,$D1826,'Val-Vol (2)'!$V$4:$V$1858,$V1826)/SUMIFS('Comp2016-2017 (3)'!$G$5:$G$289,'Comp2016-2017 (3)'!$A$5:$A$289,$D1826,'Comp2016-2017 (3)'!$R$5:$R$289,$V1826)*$AB1826))</f>
        <v>0</v>
      </c>
      <c r="AH1826" s="205">
        <f>IF($W1826=AH$3,$AB1826,IF(NOT($W1826=0),"",SUMIFS('Val-Vol (2)'!AH$4:AH$1858,'Val-Vol (2)'!$A$4:$A$1858,$D1826,'Val-Vol (2)'!$V$4:$V$1858,$V1826)/SUMIFS('Comp2016-2017 (3)'!$G$5:$G$289,'Comp2016-2017 (3)'!$A$5:$A$289,$D1826,'Comp2016-2017 (3)'!$R$5:$R$289,$V1826)*$AB1826))</f>
        <v>0</v>
      </c>
      <c r="AI1826" s="205">
        <f>IF($W1826=AI$3,$AB1826,IF(NOT($W1826=0),"",SUMIFS('Val-Vol (2)'!AI$4:AI$1858,'Val-Vol (2)'!$A$4:$A$1858,$D1826,'Val-Vol (2)'!$V$4:$V$1858,$V1826)/SUMIFS('Comp2016-2017 (3)'!$G$5:$G$289,'Comp2016-2017 (3)'!$A$5:$A$289,$D1826,'Comp2016-2017 (3)'!$R$5:$R$289,$V1826)*$AB1826))</f>
        <v>0</v>
      </c>
      <c r="AJ1826" s="205">
        <f>IF($W1826=AJ$3,$AB1826,IF(NOT($W1826=0),"",SUMIFS('Val-Vol (2)'!AJ$4:AJ$1858,'Val-Vol (2)'!$A$4:$A$1858,$D1826,'Val-Vol (2)'!$V$4:$V$1858,$V1826)/SUMIFS('Comp2016-2017 (3)'!$G$5:$G$289,'Comp2016-2017 (3)'!$A$5:$A$289,$D1826,'Comp2016-2017 (3)'!$R$5:$R$289,$V1826)*$AB1826))</f>
        <v>0</v>
      </c>
      <c r="AK1826" s="205">
        <f t="shared" si="206"/>
        <v>0</v>
      </c>
      <c r="AL1826" s="218" t="str">
        <f t="shared" si="207"/>
        <v/>
      </c>
      <c r="AM1826" s="218" t="str">
        <f>VLOOKUP(A1826,'Table corresp.'!$M$4:$U$63,8,FALSE)</f>
        <v>Importation</v>
      </c>
      <c r="AN1826" s="218" t="str">
        <f>VLOOKUP(D1826,'Table corresp.'!$M$4:$U$63,9,FALSE)</f>
        <v>Production intermédiaire</v>
      </c>
    </row>
    <row r="1827" spans="1:40" x14ac:dyDescent="0.25">
      <c r="A1827" t="s">
        <v>52</v>
      </c>
      <c r="B1827" t="str">
        <f>VLOOKUP(LEFT(A1827,3),'Table corresp.'!$A$4:$D$63,3,FALSE)</f>
        <v>Importation</v>
      </c>
      <c r="C1827" t="str">
        <f>VLOOKUP(A1827,'Table corresp.'!$M$4:$P$63,4,FALSE)</f>
        <v>Importation</v>
      </c>
      <c r="D1827" t="s">
        <v>2</v>
      </c>
      <c r="E1827" t="str">
        <f>VLOOKUP(LEFT(D1827,3),'Table corresp.'!$A$4:$D$63,4,FALSE)</f>
        <v>Transformation</v>
      </c>
      <c r="F1827" t="str">
        <f t="shared" si="200"/>
        <v xml:space="preserve">Imp - 04 </v>
      </c>
      <c r="G1827" s="238">
        <v>0</v>
      </c>
      <c r="H1827" s="238">
        <v>13752.685000000012</v>
      </c>
      <c r="I1827" s="238">
        <v>13752.685000000012</v>
      </c>
      <c r="J1827" s="238"/>
      <c r="K1827" s="238"/>
      <c r="L1827" s="238"/>
      <c r="M1827" s="238"/>
      <c r="N1827" s="238"/>
      <c r="O1827" s="238"/>
      <c r="P1827" s="238">
        <v>0</v>
      </c>
      <c r="Q1827" s="238">
        <v>126.19270099999997</v>
      </c>
      <c r="R1827" s="238">
        <v>126.19270099999997</v>
      </c>
      <c r="S1827" s="238" t="s">
        <v>198</v>
      </c>
      <c r="T1827" s="218">
        <f>VLOOKUP(A1827,'Groupe de branches'!$Z$27:$AM$86,14,FALSE)</f>
        <v>0</v>
      </c>
      <c r="U1827" s="218">
        <f>VLOOKUP(D1827,'Groupe de branches'!$Z$27:$AM$86,14,FALSE)</f>
        <v>0</v>
      </c>
      <c r="V1827" s="218">
        <v>2020</v>
      </c>
      <c r="W1827" s="218" t="str">
        <f>VLOOKUP(D1827,'Table corresp.'!$M$4:$S$63,7,FALSE)</f>
        <v>Energie</v>
      </c>
      <c r="X1827" s="240">
        <f>IFERROR(G1827/SUMIFS('Comp2016-2017 (3)'!$I$5:$I$289,'Comp2016-2017 (3)'!$A$5:$A$289,A1827,'Comp2016-2017 (3)'!$R$5:$R$289,V1827),0)</f>
        <v>0</v>
      </c>
      <c r="Y1827" s="219">
        <f>IFERROR(IF(RIGHT(F1827,3)="Exp",VLOOKUP(F1827,#REF!,2,FALSE),VLOOKUP(F1827,#REF!,9,FALSE)),0)</f>
        <v>0</v>
      </c>
      <c r="Z1827" s="226">
        <f t="shared" si="204"/>
        <v>0</v>
      </c>
      <c r="AA1827" s="226">
        <f t="shared" si="205"/>
        <v>0</v>
      </c>
      <c r="AB1827" s="205">
        <f>IFERROR(SUMIFS('Comp2016-2017 (3)'!$G$5:$G$289,'Comp2016-2017 (3)'!$A$5:$A$289,A1827,'Comp2016-2017 (3)'!$R$5:$R$289,V1827)*AA1827/SUMIFS($AA$4:$AA$1858,$A$4:$A$1858,A1827,$V$4:$V$1858,V1827),0)</f>
        <v>0</v>
      </c>
      <c r="AC1827" s="205" t="str">
        <f>IF($W1827=AC$3,$AB1827,IF(NOT($W1827=0),"",SUMIFS('Val-Vol (2)'!AC$4:AC$1858,'Val-Vol (2)'!$A$4:$A$1858,$D1827,'Val-Vol (2)'!$V$4:$V$1858,$V1827)/SUMIFS('Comp2016-2017 (3)'!$G$5:$G$289,'Comp2016-2017 (3)'!$A$5:$A$289,$D1827,'Comp2016-2017 (3)'!$R$5:$R$289,$V1827)*$AB1827))</f>
        <v/>
      </c>
      <c r="AD1827" s="205" t="str">
        <f>IF($W1827=AD$3,$AB1827,IF(NOT($W1827=0),"",SUMIFS('Val-Vol (2)'!AD$4:AD$1858,'Val-Vol (2)'!$A$4:$A$1858,$D1827,'Val-Vol (2)'!$V$4:$V$1858,$V1827)/SUMIFS('Comp2016-2017 (3)'!$G$5:$G$289,'Comp2016-2017 (3)'!$A$5:$A$289,$D1827,'Comp2016-2017 (3)'!$R$5:$R$289,$V1827)*$AB1827))</f>
        <v/>
      </c>
      <c r="AE1827" s="205" t="str">
        <f>IF($W1827=AE$3,$AB1827,IF(NOT($W1827=0),"",SUMIFS('Val-Vol (2)'!AE$4:AE$1858,'Val-Vol (2)'!$A$4:$A$1858,$D1827,'Val-Vol (2)'!$V$4:$V$1858,$V1827)/SUMIFS('Comp2016-2017 (3)'!$G$5:$G$289,'Comp2016-2017 (3)'!$A$5:$A$289,$D1827,'Comp2016-2017 (3)'!$R$5:$R$289,$V1827)*$AB1827))</f>
        <v/>
      </c>
      <c r="AF1827" s="205" t="str">
        <f>IF($W1827=AF$3,$AB1827,IF(NOT($W1827=0),"",SUMIFS('Val-Vol (2)'!AF$4:AF$1858,'Val-Vol (2)'!$A$4:$A$1858,$D1827,'Val-Vol (2)'!$V$4:$V$1858,$V1827)/SUMIFS('Comp2016-2017 (3)'!$G$5:$G$289,'Comp2016-2017 (3)'!$A$5:$A$289,$D1827,'Comp2016-2017 (3)'!$R$5:$R$289,$V1827)*$AB1827))</f>
        <v/>
      </c>
      <c r="AG1827" s="205" t="str">
        <f>IF($W1827=AG$3,$AB1827,IF(NOT($W1827=0),"",SUMIFS('Val-Vol (2)'!AG$4:AG$1858,'Val-Vol (2)'!$A$4:$A$1858,$D1827,'Val-Vol (2)'!$V$4:$V$1858,$V1827)/SUMIFS('Comp2016-2017 (3)'!$G$5:$G$289,'Comp2016-2017 (3)'!$A$5:$A$289,$D1827,'Comp2016-2017 (3)'!$R$5:$R$289,$V1827)*$AB1827))</f>
        <v/>
      </c>
      <c r="AH1827" s="205">
        <f>IF($W1827=AH$3,$AB1827,IF(NOT($W1827=0),"",SUMIFS('Val-Vol (2)'!AH$4:AH$1858,'Val-Vol (2)'!$A$4:$A$1858,$D1827,'Val-Vol (2)'!$V$4:$V$1858,$V1827)/SUMIFS('Comp2016-2017 (3)'!$G$5:$G$289,'Comp2016-2017 (3)'!$A$5:$A$289,$D1827,'Comp2016-2017 (3)'!$R$5:$R$289,$V1827)*$AB1827))</f>
        <v>0</v>
      </c>
      <c r="AI1827" s="205" t="str">
        <f>IF($W1827=AI$3,$AB1827,IF(NOT($W1827=0),"",SUMIFS('Val-Vol (2)'!AI$4:AI$1858,'Val-Vol (2)'!$A$4:$A$1858,$D1827,'Val-Vol (2)'!$V$4:$V$1858,$V1827)/SUMIFS('Comp2016-2017 (3)'!$G$5:$G$289,'Comp2016-2017 (3)'!$A$5:$A$289,$D1827,'Comp2016-2017 (3)'!$R$5:$R$289,$V1827)*$AB1827))</f>
        <v/>
      </c>
      <c r="AJ1827" s="205" t="str">
        <f>IF($W1827=AJ$3,$AB1827,IF(NOT($W1827=0),"",SUMIFS('Val-Vol (2)'!AJ$4:AJ$1858,'Val-Vol (2)'!$A$4:$A$1858,$D1827,'Val-Vol (2)'!$V$4:$V$1858,$V1827)/SUMIFS('Comp2016-2017 (3)'!$G$5:$G$289,'Comp2016-2017 (3)'!$A$5:$A$289,$D1827,'Comp2016-2017 (3)'!$R$5:$R$289,$V1827)*$AB1827))</f>
        <v/>
      </c>
      <c r="AK1827" s="205">
        <f t="shared" si="206"/>
        <v>0</v>
      </c>
      <c r="AL1827" s="218" t="str">
        <f t="shared" si="207"/>
        <v/>
      </c>
      <c r="AM1827" s="218" t="str">
        <f>VLOOKUP(A1827,'Table corresp.'!$M$4:$U$63,8,FALSE)</f>
        <v>Importation</v>
      </c>
      <c r="AN1827" s="218" t="str">
        <f>VLOOKUP(D1827,'Table corresp.'!$M$4:$U$63,9,FALSE)</f>
        <v>Production intermédiaire</v>
      </c>
    </row>
    <row r="1828" spans="1:40" x14ac:dyDescent="0.25">
      <c r="A1828" t="s">
        <v>52</v>
      </c>
      <c r="B1828" t="str">
        <f>VLOOKUP(LEFT(A1828,3),'Table corresp.'!$A$4:$D$63,3,FALSE)</f>
        <v>Importation</v>
      </c>
      <c r="C1828" t="str">
        <f>VLOOKUP(A1828,'Table corresp.'!$M$4:$P$63,4,FALSE)</f>
        <v>Importation</v>
      </c>
      <c r="D1828" t="s">
        <v>59</v>
      </c>
      <c r="E1828" t="str">
        <f>VLOOKUP(LEFT(D1828,3),'Table corresp.'!$A$4:$D$63,4,FALSE)</f>
        <v>Transformation</v>
      </c>
      <c r="F1828" t="str">
        <f t="shared" si="200"/>
        <v xml:space="preserve">Imp - 07 </v>
      </c>
      <c r="G1828" s="238"/>
      <c r="H1828" s="238"/>
      <c r="I1828" s="238"/>
      <c r="J1828" s="238"/>
      <c r="K1828" s="238"/>
      <c r="L1828" s="238"/>
      <c r="M1828" s="238"/>
      <c r="N1828" s="238"/>
      <c r="O1828" s="238"/>
      <c r="P1828" s="238"/>
      <c r="Q1828" s="238"/>
      <c r="R1828" s="238"/>
      <c r="S1828" s="238"/>
      <c r="T1828" s="218">
        <f>VLOOKUP(A1828,'Groupe de branches'!$Z$27:$AM$86,14,FALSE)</f>
        <v>0</v>
      </c>
      <c r="U1828" s="218">
        <f>VLOOKUP(D1828,'Groupe de branches'!$Z$27:$AM$86,14,FALSE)</f>
        <v>0</v>
      </c>
      <c r="V1828" s="218">
        <v>2020</v>
      </c>
      <c r="W1828" s="218" t="str">
        <f>VLOOKUP(D1828,'Table corresp.'!$M$4:$S$63,7,FALSE)</f>
        <v>Produits de consommation courante</v>
      </c>
      <c r="X1828" s="240">
        <f>IFERROR(G1828/SUMIFS('Comp2016-2017 (3)'!$I$5:$I$289,'Comp2016-2017 (3)'!$A$5:$A$289,A1828,'Comp2016-2017 (3)'!$R$5:$R$289,V1828),0)</f>
        <v>0</v>
      </c>
      <c r="Y1828" s="219">
        <f>IFERROR(IF(RIGHT(F1828,3)="Exp",VLOOKUP(F1828,#REF!,2,FALSE),VLOOKUP(F1828,#REF!,9,FALSE)),0)</f>
        <v>0</v>
      </c>
      <c r="Z1828" s="226">
        <f t="shared" si="204"/>
        <v>0</v>
      </c>
      <c r="AA1828" s="226">
        <f t="shared" si="205"/>
        <v>0</v>
      </c>
      <c r="AB1828" s="205">
        <f>IFERROR(SUMIFS('Comp2016-2017 (3)'!$G$5:$G$289,'Comp2016-2017 (3)'!$A$5:$A$289,A1828,'Comp2016-2017 (3)'!$R$5:$R$289,V1828)*AA1828/SUMIFS($AA$4:$AA$1858,$A$4:$A$1858,A1828,$V$4:$V$1858,V1828),0)</f>
        <v>0</v>
      </c>
      <c r="AC1828" s="205" t="str">
        <f>IF($W1828=AC$3,$AB1828,IF(NOT($W1828=0),"",SUMIFS('Val-Vol (2)'!AC$4:AC$1858,'Val-Vol (2)'!$A$4:$A$1858,$D1828,'Val-Vol (2)'!$V$4:$V$1858,$V1828)/SUMIFS('Comp2016-2017 (3)'!$G$5:$G$289,'Comp2016-2017 (3)'!$A$5:$A$289,$D1828,'Comp2016-2017 (3)'!$R$5:$R$289,$V1828)*$AB1828))</f>
        <v/>
      </c>
      <c r="AD1828" s="205" t="str">
        <f>IF($W1828=AD$3,$AB1828,IF(NOT($W1828=0),"",SUMIFS('Val-Vol (2)'!AD$4:AD$1858,'Val-Vol (2)'!$A$4:$A$1858,$D1828,'Val-Vol (2)'!$V$4:$V$1858,$V1828)/SUMIFS('Comp2016-2017 (3)'!$G$5:$G$289,'Comp2016-2017 (3)'!$A$5:$A$289,$D1828,'Comp2016-2017 (3)'!$R$5:$R$289,$V1828)*$AB1828))</f>
        <v/>
      </c>
      <c r="AE1828" s="205" t="str">
        <f>IF($W1828=AE$3,$AB1828,IF(NOT($W1828=0),"",SUMIFS('Val-Vol (2)'!AE$4:AE$1858,'Val-Vol (2)'!$A$4:$A$1858,$D1828,'Val-Vol (2)'!$V$4:$V$1858,$V1828)/SUMIFS('Comp2016-2017 (3)'!$G$5:$G$289,'Comp2016-2017 (3)'!$A$5:$A$289,$D1828,'Comp2016-2017 (3)'!$R$5:$R$289,$V1828)*$AB1828))</f>
        <v/>
      </c>
      <c r="AF1828" s="205" t="str">
        <f>IF($W1828=AF$3,$AB1828,IF(NOT($W1828=0),"",SUMIFS('Val-Vol (2)'!AF$4:AF$1858,'Val-Vol (2)'!$A$4:$A$1858,$D1828,'Val-Vol (2)'!$V$4:$V$1858,$V1828)/SUMIFS('Comp2016-2017 (3)'!$G$5:$G$289,'Comp2016-2017 (3)'!$A$5:$A$289,$D1828,'Comp2016-2017 (3)'!$R$5:$R$289,$V1828)*$AB1828))</f>
        <v/>
      </c>
      <c r="AG1828" s="205" t="str">
        <f>IF($W1828=AG$3,$AB1828,IF(NOT($W1828=0),"",SUMIFS('Val-Vol (2)'!AG$4:AG$1858,'Val-Vol (2)'!$A$4:$A$1858,$D1828,'Val-Vol (2)'!$V$4:$V$1858,$V1828)/SUMIFS('Comp2016-2017 (3)'!$G$5:$G$289,'Comp2016-2017 (3)'!$A$5:$A$289,$D1828,'Comp2016-2017 (3)'!$R$5:$R$289,$V1828)*$AB1828))</f>
        <v/>
      </c>
      <c r="AH1828" s="205" t="str">
        <f>IF($W1828=AH$3,$AB1828,IF(NOT($W1828=0),"",SUMIFS('Val-Vol (2)'!AH$4:AH$1858,'Val-Vol (2)'!$A$4:$A$1858,$D1828,'Val-Vol (2)'!$V$4:$V$1858,$V1828)/SUMIFS('Comp2016-2017 (3)'!$G$5:$G$289,'Comp2016-2017 (3)'!$A$5:$A$289,$D1828,'Comp2016-2017 (3)'!$R$5:$R$289,$V1828)*$AB1828))</f>
        <v/>
      </c>
      <c r="AI1828" s="205">
        <f>IF($W1828=AI$3,$AB1828,IF(NOT($W1828=0),"",SUMIFS('Val-Vol (2)'!AI$4:AI$1858,'Val-Vol (2)'!$A$4:$A$1858,$D1828,'Val-Vol (2)'!$V$4:$V$1858,$V1828)/SUMIFS('Comp2016-2017 (3)'!$G$5:$G$289,'Comp2016-2017 (3)'!$A$5:$A$289,$D1828,'Comp2016-2017 (3)'!$R$5:$R$289,$V1828)*$AB1828))</f>
        <v>0</v>
      </c>
      <c r="AJ1828" s="205" t="str">
        <f>IF($W1828=AJ$3,$AB1828,IF(NOT($W1828=0),"",SUMIFS('Val-Vol (2)'!AJ$4:AJ$1858,'Val-Vol (2)'!$A$4:$A$1858,$D1828,'Val-Vol (2)'!$V$4:$V$1858,$V1828)/SUMIFS('Comp2016-2017 (3)'!$G$5:$G$289,'Comp2016-2017 (3)'!$A$5:$A$289,$D1828,'Comp2016-2017 (3)'!$R$5:$R$289,$V1828)*$AB1828))</f>
        <v/>
      </c>
      <c r="AK1828" s="205">
        <f t="shared" si="206"/>
        <v>0</v>
      </c>
      <c r="AL1828" s="218" t="str">
        <f t="shared" si="207"/>
        <v/>
      </c>
      <c r="AM1828" s="218" t="str">
        <f>VLOOKUP(A1828,'Table corresp.'!$M$4:$U$63,8,FALSE)</f>
        <v>Importation</v>
      </c>
      <c r="AN1828" s="218" t="str">
        <f>VLOOKUP(D1828,'Table corresp.'!$M$4:$U$63,9,FALSE)</f>
        <v>Production intermédiaire</v>
      </c>
    </row>
    <row r="1829" spans="1:40" x14ac:dyDescent="0.25">
      <c r="A1829" t="s">
        <v>52</v>
      </c>
      <c r="B1829" t="str">
        <f>VLOOKUP(LEFT(A1829,3),'Table corresp.'!$A$4:$D$63,3,FALSE)</f>
        <v>Importation</v>
      </c>
      <c r="C1829" t="str">
        <f>VLOOKUP(A1829,'Table corresp.'!$M$4:$P$63,4,FALSE)</f>
        <v>Importation</v>
      </c>
      <c r="D1829" t="s">
        <v>4</v>
      </c>
      <c r="E1829" t="str">
        <f>VLOOKUP(LEFT(D1829,3),'Table corresp.'!$A$4:$D$63,4,FALSE)</f>
        <v>Transformation</v>
      </c>
      <c r="F1829" t="str">
        <f t="shared" si="200"/>
        <v xml:space="preserve">Imp - 08 </v>
      </c>
      <c r="G1829" s="238">
        <v>0</v>
      </c>
      <c r="H1829" s="238">
        <v>29351.644999999986</v>
      </c>
      <c r="I1829" s="238">
        <v>29351.644999999986</v>
      </c>
      <c r="J1829" s="238">
        <v>0</v>
      </c>
      <c r="K1829" s="238">
        <v>91.971067430358886</v>
      </c>
      <c r="L1829" s="238">
        <v>91.971067430358886</v>
      </c>
      <c r="M1829" s="238"/>
      <c r="N1829" s="238"/>
      <c r="O1829" s="238"/>
      <c r="P1829" s="238"/>
      <c r="Q1829" s="238"/>
      <c r="R1829" s="238"/>
      <c r="S1829" s="238"/>
      <c r="T1829" s="218">
        <f>VLOOKUP(A1829,'Groupe de branches'!$Z$27:$AM$86,14,FALSE)</f>
        <v>0</v>
      </c>
      <c r="U1829" s="218">
        <f>VLOOKUP(D1829,'Groupe de branches'!$Z$27:$AM$86,14,FALSE)</f>
        <v>0</v>
      </c>
      <c r="V1829" s="218">
        <v>2020</v>
      </c>
      <c r="W1829" s="218">
        <f>VLOOKUP(D1829,'Table corresp.'!$M$4:$S$63,7,FALSE)</f>
        <v>0</v>
      </c>
      <c r="X1829" s="240">
        <f>IFERROR(G1829/SUMIFS('Comp2016-2017 (3)'!$I$5:$I$289,'Comp2016-2017 (3)'!$A$5:$A$289,A1829,'Comp2016-2017 (3)'!$R$5:$R$289,V1829),0)</f>
        <v>0</v>
      </c>
      <c r="Y1829" s="219">
        <f>IFERROR(IF(RIGHT(F1829,3)="Exp",VLOOKUP(F1829,#REF!,2,FALSE),VLOOKUP(F1829,#REF!,9,FALSE)),0)</f>
        <v>0</v>
      </c>
      <c r="Z1829" s="226">
        <f t="shared" si="204"/>
        <v>0</v>
      </c>
      <c r="AA1829" s="226">
        <f t="shared" si="205"/>
        <v>0</v>
      </c>
      <c r="AB1829" s="205">
        <f>IFERROR(SUMIFS('Comp2016-2017 (3)'!$G$5:$G$289,'Comp2016-2017 (3)'!$A$5:$A$289,A1829,'Comp2016-2017 (3)'!$R$5:$R$289,V1829)*AA1829/SUMIFS($AA$4:$AA$1858,$A$4:$A$1858,A1829,$V$4:$V$1858,V1829),0)</f>
        <v>0</v>
      </c>
      <c r="AC1829" s="205">
        <f>IF($W1829=AC$3,$AB1829,IF(NOT($W1829=0),"",SUMIFS('Val-Vol (2)'!AC$4:AC$1858,'Val-Vol (2)'!$A$4:$A$1858,$D1829,'Val-Vol (2)'!$V$4:$V$1858,$V1829)/SUMIFS('Comp2016-2017 (3)'!$G$5:$G$289,'Comp2016-2017 (3)'!$A$5:$A$289,$D1829,'Comp2016-2017 (3)'!$R$5:$R$289,$V1829)*$AB1829))</f>
        <v>0</v>
      </c>
      <c r="AD1829" s="205">
        <f>IF($W1829=AD$3,$AB1829,IF(NOT($W1829=0),"",SUMIFS('Val-Vol (2)'!AD$4:AD$1858,'Val-Vol (2)'!$A$4:$A$1858,$D1829,'Val-Vol (2)'!$V$4:$V$1858,$V1829)/SUMIFS('Comp2016-2017 (3)'!$G$5:$G$289,'Comp2016-2017 (3)'!$A$5:$A$289,$D1829,'Comp2016-2017 (3)'!$R$5:$R$289,$V1829)*$AB1829))</f>
        <v>0</v>
      </c>
      <c r="AE1829" s="205">
        <f>IF($W1829=AE$3,$AB1829,IF(NOT($W1829=0),"",SUMIFS('Val-Vol (2)'!AE$4:AE$1858,'Val-Vol (2)'!$A$4:$A$1858,$D1829,'Val-Vol (2)'!$V$4:$V$1858,$V1829)/SUMIFS('Comp2016-2017 (3)'!$G$5:$G$289,'Comp2016-2017 (3)'!$A$5:$A$289,$D1829,'Comp2016-2017 (3)'!$R$5:$R$289,$V1829)*$AB1829))</f>
        <v>0</v>
      </c>
      <c r="AF1829" s="205">
        <f>IF($W1829=AF$3,$AB1829,IF(NOT($W1829=0),"",SUMIFS('Val-Vol (2)'!AF$4:AF$1858,'Val-Vol (2)'!$A$4:$A$1858,$D1829,'Val-Vol (2)'!$V$4:$V$1858,$V1829)/SUMIFS('Comp2016-2017 (3)'!$G$5:$G$289,'Comp2016-2017 (3)'!$A$5:$A$289,$D1829,'Comp2016-2017 (3)'!$R$5:$R$289,$V1829)*$AB1829))</f>
        <v>0</v>
      </c>
      <c r="AG1829" s="205">
        <f>IF($W1829=AG$3,$AB1829,IF(NOT($W1829=0),"",SUMIFS('Val-Vol (2)'!AG$4:AG$1858,'Val-Vol (2)'!$A$4:$A$1858,$D1829,'Val-Vol (2)'!$V$4:$V$1858,$V1829)/SUMIFS('Comp2016-2017 (3)'!$G$5:$G$289,'Comp2016-2017 (3)'!$A$5:$A$289,$D1829,'Comp2016-2017 (3)'!$R$5:$R$289,$V1829)*$AB1829))</f>
        <v>0</v>
      </c>
      <c r="AH1829" s="205">
        <f>IF($W1829=AH$3,$AB1829,IF(NOT($W1829=0),"",SUMIFS('Val-Vol (2)'!AH$4:AH$1858,'Val-Vol (2)'!$A$4:$A$1858,$D1829,'Val-Vol (2)'!$V$4:$V$1858,$V1829)/SUMIFS('Comp2016-2017 (3)'!$G$5:$G$289,'Comp2016-2017 (3)'!$A$5:$A$289,$D1829,'Comp2016-2017 (3)'!$R$5:$R$289,$V1829)*$AB1829))</f>
        <v>0</v>
      </c>
      <c r="AI1829" s="205">
        <f>IF($W1829=AI$3,$AB1829,IF(NOT($W1829=0),"",SUMIFS('Val-Vol (2)'!AI$4:AI$1858,'Val-Vol (2)'!$A$4:$A$1858,$D1829,'Val-Vol (2)'!$V$4:$V$1858,$V1829)/SUMIFS('Comp2016-2017 (3)'!$G$5:$G$289,'Comp2016-2017 (3)'!$A$5:$A$289,$D1829,'Comp2016-2017 (3)'!$R$5:$R$289,$V1829)*$AB1829))</f>
        <v>0</v>
      </c>
      <c r="AJ1829" s="205">
        <f>IF($W1829=AJ$3,$AB1829,IF(NOT($W1829=0),"",SUMIFS('Val-Vol (2)'!AJ$4:AJ$1858,'Val-Vol (2)'!$A$4:$A$1858,$D1829,'Val-Vol (2)'!$V$4:$V$1858,$V1829)/SUMIFS('Comp2016-2017 (3)'!$G$5:$G$289,'Comp2016-2017 (3)'!$A$5:$A$289,$D1829,'Comp2016-2017 (3)'!$R$5:$R$289,$V1829)*$AB1829))</f>
        <v>0</v>
      </c>
      <c r="AK1829" s="205">
        <f t="shared" si="206"/>
        <v>0</v>
      </c>
      <c r="AL1829" s="218" t="str">
        <f t="shared" si="207"/>
        <v/>
      </c>
      <c r="AM1829" s="218" t="str">
        <f>VLOOKUP(A1829,'Table corresp.'!$M$4:$U$63,8,FALSE)</f>
        <v>Importation</v>
      </c>
      <c r="AN1829" s="218" t="str">
        <f>VLOOKUP(D1829,'Table corresp.'!$M$4:$U$63,9,FALSE)</f>
        <v>Production intermédiaire</v>
      </c>
    </row>
    <row r="1830" spans="1:40" x14ac:dyDescent="0.25">
      <c r="A1830" t="s">
        <v>52</v>
      </c>
      <c r="B1830" t="str">
        <f>VLOOKUP(LEFT(A1830,3),'Table corresp.'!$A$4:$D$63,3,FALSE)</f>
        <v>Importation</v>
      </c>
      <c r="C1830" t="str">
        <f>VLOOKUP(A1830,'Table corresp.'!$M$4:$P$63,4,FALSE)</f>
        <v>Importation</v>
      </c>
      <c r="D1830" t="s">
        <v>5</v>
      </c>
      <c r="E1830" t="str">
        <f>VLOOKUP(LEFT(D1830,3),'Table corresp.'!$A$4:$D$63,4,FALSE)</f>
        <v>Transformation</v>
      </c>
      <c r="F1830" t="str">
        <f t="shared" si="200"/>
        <v xml:space="preserve">Imp - 09 </v>
      </c>
      <c r="G1830" s="238">
        <v>0</v>
      </c>
      <c r="H1830" s="238">
        <v>21869.446000000011</v>
      </c>
      <c r="I1830" s="238">
        <v>21869.446000000011</v>
      </c>
      <c r="J1830" s="238">
        <v>0</v>
      </c>
      <c r="K1830" s="238">
        <v>60.738427571282131</v>
      </c>
      <c r="L1830" s="238">
        <v>60.738427571282131</v>
      </c>
      <c r="M1830" s="238"/>
      <c r="N1830" s="238"/>
      <c r="O1830" s="238"/>
      <c r="P1830" s="238"/>
      <c r="Q1830" s="238"/>
      <c r="R1830" s="238"/>
      <c r="S1830" s="238"/>
      <c r="T1830" s="218">
        <f>VLOOKUP(A1830,'Groupe de branches'!$Z$27:$AM$86,14,FALSE)</f>
        <v>0</v>
      </c>
      <c r="U1830" s="218">
        <f>VLOOKUP(D1830,'Groupe de branches'!$Z$27:$AM$86,14,FALSE)</f>
        <v>0</v>
      </c>
      <c r="V1830" s="218">
        <v>2020</v>
      </c>
      <c r="W1830" s="218">
        <f>VLOOKUP(D1830,'Table corresp.'!$M$4:$S$63,7,FALSE)</f>
        <v>0</v>
      </c>
      <c r="X1830" s="240">
        <f>IFERROR(G1830/SUMIFS('Comp2016-2017 (3)'!$I$5:$I$289,'Comp2016-2017 (3)'!$A$5:$A$289,A1830,'Comp2016-2017 (3)'!$R$5:$R$289,V1830),0)</f>
        <v>0</v>
      </c>
      <c r="Y1830" s="219">
        <f>IFERROR(IF(RIGHT(F1830,3)="Exp",VLOOKUP(F1830,#REF!,2,FALSE),VLOOKUP(F1830,#REF!,9,FALSE)),0)</f>
        <v>0</v>
      </c>
      <c r="Z1830" s="226">
        <f t="shared" si="204"/>
        <v>0</v>
      </c>
      <c r="AA1830" s="226">
        <f t="shared" si="205"/>
        <v>0</v>
      </c>
      <c r="AB1830" s="205">
        <f>IFERROR(SUMIFS('Comp2016-2017 (3)'!$G$5:$G$289,'Comp2016-2017 (3)'!$A$5:$A$289,A1830,'Comp2016-2017 (3)'!$R$5:$R$289,V1830)*AA1830/SUMIFS($AA$4:$AA$1858,$A$4:$A$1858,A1830,$V$4:$V$1858,V1830),0)</f>
        <v>0</v>
      </c>
      <c r="AC1830" s="205">
        <f>IF($W1830=AC$3,$AB1830,IF(NOT($W1830=0),"",SUMIFS('Val-Vol (2)'!AC$4:AC$1858,'Val-Vol (2)'!$A$4:$A$1858,$D1830,'Val-Vol (2)'!$V$4:$V$1858,$V1830)/SUMIFS('Comp2016-2017 (3)'!$G$5:$G$289,'Comp2016-2017 (3)'!$A$5:$A$289,$D1830,'Comp2016-2017 (3)'!$R$5:$R$289,$V1830)*$AB1830))</f>
        <v>0</v>
      </c>
      <c r="AD1830" s="205">
        <f>IF($W1830=AD$3,$AB1830,IF(NOT($W1830=0),"",SUMIFS('Val-Vol (2)'!AD$4:AD$1858,'Val-Vol (2)'!$A$4:$A$1858,$D1830,'Val-Vol (2)'!$V$4:$V$1858,$V1830)/SUMIFS('Comp2016-2017 (3)'!$G$5:$G$289,'Comp2016-2017 (3)'!$A$5:$A$289,$D1830,'Comp2016-2017 (3)'!$R$5:$R$289,$V1830)*$AB1830))</f>
        <v>0</v>
      </c>
      <c r="AE1830" s="205">
        <f>IF($W1830=AE$3,$AB1830,IF(NOT($W1830=0),"",SUMIFS('Val-Vol (2)'!AE$4:AE$1858,'Val-Vol (2)'!$A$4:$A$1858,$D1830,'Val-Vol (2)'!$V$4:$V$1858,$V1830)/SUMIFS('Comp2016-2017 (3)'!$G$5:$G$289,'Comp2016-2017 (3)'!$A$5:$A$289,$D1830,'Comp2016-2017 (3)'!$R$5:$R$289,$V1830)*$AB1830))</f>
        <v>0</v>
      </c>
      <c r="AF1830" s="205">
        <f>IF($W1830=AF$3,$AB1830,IF(NOT($W1830=0),"",SUMIFS('Val-Vol (2)'!AF$4:AF$1858,'Val-Vol (2)'!$A$4:$A$1858,$D1830,'Val-Vol (2)'!$V$4:$V$1858,$V1830)/SUMIFS('Comp2016-2017 (3)'!$G$5:$G$289,'Comp2016-2017 (3)'!$A$5:$A$289,$D1830,'Comp2016-2017 (3)'!$R$5:$R$289,$V1830)*$AB1830))</f>
        <v>0</v>
      </c>
      <c r="AG1830" s="205">
        <f>IF($W1830=AG$3,$AB1830,IF(NOT($W1830=0),"",SUMIFS('Val-Vol (2)'!AG$4:AG$1858,'Val-Vol (2)'!$A$4:$A$1858,$D1830,'Val-Vol (2)'!$V$4:$V$1858,$V1830)/SUMIFS('Comp2016-2017 (3)'!$G$5:$G$289,'Comp2016-2017 (3)'!$A$5:$A$289,$D1830,'Comp2016-2017 (3)'!$R$5:$R$289,$V1830)*$AB1830))</f>
        <v>0</v>
      </c>
      <c r="AH1830" s="205">
        <f>IF($W1830=AH$3,$AB1830,IF(NOT($W1830=0),"",SUMIFS('Val-Vol (2)'!AH$4:AH$1858,'Val-Vol (2)'!$A$4:$A$1858,$D1830,'Val-Vol (2)'!$V$4:$V$1858,$V1830)/SUMIFS('Comp2016-2017 (3)'!$G$5:$G$289,'Comp2016-2017 (3)'!$A$5:$A$289,$D1830,'Comp2016-2017 (3)'!$R$5:$R$289,$V1830)*$AB1830))</f>
        <v>0</v>
      </c>
      <c r="AI1830" s="205">
        <f>IF($W1830=AI$3,$AB1830,IF(NOT($W1830=0),"",SUMIFS('Val-Vol (2)'!AI$4:AI$1858,'Val-Vol (2)'!$A$4:$A$1858,$D1830,'Val-Vol (2)'!$V$4:$V$1858,$V1830)/SUMIFS('Comp2016-2017 (3)'!$G$5:$G$289,'Comp2016-2017 (3)'!$A$5:$A$289,$D1830,'Comp2016-2017 (3)'!$R$5:$R$289,$V1830)*$AB1830))</f>
        <v>0</v>
      </c>
      <c r="AJ1830" s="205">
        <f>IF($W1830=AJ$3,$AB1830,IF(NOT($W1830=0),"",SUMIFS('Val-Vol (2)'!AJ$4:AJ$1858,'Val-Vol (2)'!$A$4:$A$1858,$D1830,'Val-Vol (2)'!$V$4:$V$1858,$V1830)/SUMIFS('Comp2016-2017 (3)'!$G$5:$G$289,'Comp2016-2017 (3)'!$A$5:$A$289,$D1830,'Comp2016-2017 (3)'!$R$5:$R$289,$V1830)*$AB1830))</f>
        <v>0</v>
      </c>
      <c r="AK1830" s="205">
        <f t="shared" si="206"/>
        <v>0</v>
      </c>
      <c r="AL1830" s="218" t="str">
        <f t="shared" si="207"/>
        <v/>
      </c>
      <c r="AM1830" s="218" t="str">
        <f>VLOOKUP(A1830,'Table corresp.'!$M$4:$U$63,8,FALSE)</f>
        <v>Importation</v>
      </c>
      <c r="AN1830" s="218" t="str">
        <f>VLOOKUP(D1830,'Table corresp.'!$M$4:$U$63,9,FALSE)</f>
        <v>Production intermédiaire</v>
      </c>
    </row>
    <row r="1831" spans="1:40" x14ac:dyDescent="0.25">
      <c r="A1831" t="s">
        <v>52</v>
      </c>
      <c r="B1831" t="str">
        <f>VLOOKUP(LEFT(A1831,3),'Table corresp.'!$A$4:$D$63,3,FALSE)</f>
        <v>Importation</v>
      </c>
      <c r="C1831" t="str">
        <f>VLOOKUP(A1831,'Table corresp.'!$M$4:$P$63,4,FALSE)</f>
        <v>Importation</v>
      </c>
      <c r="D1831" t="s">
        <v>82</v>
      </c>
      <c r="E1831" t="str">
        <f>VLOOKUP(LEFT(D1831,3),'Table corresp.'!$A$4:$D$63,4,FALSE)</f>
        <v>Transformation</v>
      </c>
      <c r="F1831" t="str">
        <f t="shared" si="200"/>
        <v xml:space="preserve">Imp - 10 </v>
      </c>
      <c r="G1831" s="238">
        <v>0</v>
      </c>
      <c r="H1831" s="238">
        <v>10573.90700000001</v>
      </c>
      <c r="I1831" s="238">
        <v>10573.90700000001</v>
      </c>
      <c r="J1831" s="238">
        <v>0</v>
      </c>
      <c r="K1831" s="238">
        <v>38.003946210196787</v>
      </c>
      <c r="L1831" s="238">
        <v>38.003946210196787</v>
      </c>
      <c r="M1831" s="238"/>
      <c r="N1831" s="238"/>
      <c r="O1831" s="238"/>
      <c r="P1831" s="238"/>
      <c r="Q1831" s="238"/>
      <c r="R1831" s="238"/>
      <c r="S1831" s="238"/>
      <c r="T1831" s="218">
        <f>VLOOKUP(A1831,'Groupe de branches'!$Z$27:$AM$86,14,FALSE)</f>
        <v>0</v>
      </c>
      <c r="U1831" s="218">
        <f>VLOOKUP(D1831,'Groupe de branches'!$Z$27:$AM$86,14,FALSE)</f>
        <v>0</v>
      </c>
      <c r="V1831" s="218">
        <v>2020</v>
      </c>
      <c r="W1831" s="218">
        <f>VLOOKUP(D1831,'Table corresp.'!$M$4:$S$63,7,FALSE)</f>
        <v>0</v>
      </c>
      <c r="X1831" s="240">
        <f>IFERROR(G1831/SUMIFS('Comp2016-2017 (3)'!$I$5:$I$289,'Comp2016-2017 (3)'!$A$5:$A$289,A1831,'Comp2016-2017 (3)'!$R$5:$R$289,V1831),0)</f>
        <v>0</v>
      </c>
      <c r="Y1831" s="219">
        <f>IFERROR(IF(RIGHT(F1831,3)="Exp",VLOOKUP(F1831,#REF!,2,FALSE),VLOOKUP(F1831,#REF!,9,FALSE)),0)</f>
        <v>0</v>
      </c>
      <c r="Z1831" s="226">
        <f t="shared" si="204"/>
        <v>0</v>
      </c>
      <c r="AA1831" s="226">
        <f t="shared" si="205"/>
        <v>0</v>
      </c>
      <c r="AB1831" s="205">
        <f>IFERROR(SUMIFS('Comp2016-2017 (3)'!$G$5:$G$289,'Comp2016-2017 (3)'!$A$5:$A$289,A1831,'Comp2016-2017 (3)'!$R$5:$R$289,V1831)*AA1831/SUMIFS($AA$4:$AA$1858,$A$4:$A$1858,A1831,$V$4:$V$1858,V1831),0)</f>
        <v>0</v>
      </c>
      <c r="AC1831" s="205">
        <f>IF($W1831=AC$3,$AB1831,IF(NOT($W1831=0),"",SUMIFS('Val-Vol (2)'!AC$4:AC$1858,'Val-Vol (2)'!$A$4:$A$1858,$D1831,'Val-Vol (2)'!$V$4:$V$1858,$V1831)/SUMIFS('Comp2016-2017 (3)'!$G$5:$G$289,'Comp2016-2017 (3)'!$A$5:$A$289,$D1831,'Comp2016-2017 (3)'!$R$5:$R$289,$V1831)*$AB1831))</f>
        <v>0</v>
      </c>
      <c r="AD1831" s="205">
        <f>IF($W1831=AD$3,$AB1831,IF(NOT($W1831=0),"",SUMIFS('Val-Vol (2)'!AD$4:AD$1858,'Val-Vol (2)'!$A$4:$A$1858,$D1831,'Val-Vol (2)'!$V$4:$V$1858,$V1831)/SUMIFS('Comp2016-2017 (3)'!$G$5:$G$289,'Comp2016-2017 (3)'!$A$5:$A$289,$D1831,'Comp2016-2017 (3)'!$R$5:$R$289,$V1831)*$AB1831))</f>
        <v>0</v>
      </c>
      <c r="AE1831" s="205">
        <f>IF($W1831=AE$3,$AB1831,IF(NOT($W1831=0),"",SUMIFS('Val-Vol (2)'!AE$4:AE$1858,'Val-Vol (2)'!$A$4:$A$1858,$D1831,'Val-Vol (2)'!$V$4:$V$1858,$V1831)/SUMIFS('Comp2016-2017 (3)'!$G$5:$G$289,'Comp2016-2017 (3)'!$A$5:$A$289,$D1831,'Comp2016-2017 (3)'!$R$5:$R$289,$V1831)*$AB1831))</f>
        <v>0</v>
      </c>
      <c r="AF1831" s="205">
        <f>IF($W1831=AF$3,$AB1831,IF(NOT($W1831=0),"",SUMIFS('Val-Vol (2)'!AF$4:AF$1858,'Val-Vol (2)'!$A$4:$A$1858,$D1831,'Val-Vol (2)'!$V$4:$V$1858,$V1831)/SUMIFS('Comp2016-2017 (3)'!$G$5:$G$289,'Comp2016-2017 (3)'!$A$5:$A$289,$D1831,'Comp2016-2017 (3)'!$R$5:$R$289,$V1831)*$AB1831))</f>
        <v>0</v>
      </c>
      <c r="AG1831" s="205">
        <f>IF($W1831=AG$3,$AB1831,IF(NOT($W1831=0),"",SUMIFS('Val-Vol (2)'!AG$4:AG$1858,'Val-Vol (2)'!$A$4:$A$1858,$D1831,'Val-Vol (2)'!$V$4:$V$1858,$V1831)/SUMIFS('Comp2016-2017 (3)'!$G$5:$G$289,'Comp2016-2017 (3)'!$A$5:$A$289,$D1831,'Comp2016-2017 (3)'!$R$5:$R$289,$V1831)*$AB1831))</f>
        <v>0</v>
      </c>
      <c r="AH1831" s="205">
        <f>IF($W1831=AH$3,$AB1831,IF(NOT($W1831=0),"",SUMIFS('Val-Vol (2)'!AH$4:AH$1858,'Val-Vol (2)'!$A$4:$A$1858,$D1831,'Val-Vol (2)'!$V$4:$V$1858,$V1831)/SUMIFS('Comp2016-2017 (3)'!$G$5:$G$289,'Comp2016-2017 (3)'!$A$5:$A$289,$D1831,'Comp2016-2017 (3)'!$R$5:$R$289,$V1831)*$AB1831))</f>
        <v>0</v>
      </c>
      <c r="AI1831" s="205">
        <f>IF($W1831=AI$3,$AB1831,IF(NOT($W1831=0),"",SUMIFS('Val-Vol (2)'!AI$4:AI$1858,'Val-Vol (2)'!$A$4:$A$1858,$D1831,'Val-Vol (2)'!$V$4:$V$1858,$V1831)/SUMIFS('Comp2016-2017 (3)'!$G$5:$G$289,'Comp2016-2017 (3)'!$A$5:$A$289,$D1831,'Comp2016-2017 (3)'!$R$5:$R$289,$V1831)*$AB1831))</f>
        <v>0</v>
      </c>
      <c r="AJ1831" s="205">
        <f>IF($W1831=AJ$3,$AB1831,IF(NOT($W1831=0),"",SUMIFS('Val-Vol (2)'!AJ$4:AJ$1858,'Val-Vol (2)'!$A$4:$A$1858,$D1831,'Val-Vol (2)'!$V$4:$V$1858,$V1831)/SUMIFS('Comp2016-2017 (3)'!$G$5:$G$289,'Comp2016-2017 (3)'!$A$5:$A$289,$D1831,'Comp2016-2017 (3)'!$R$5:$R$289,$V1831)*$AB1831))</f>
        <v>0</v>
      </c>
      <c r="AK1831" s="205">
        <f t="shared" si="206"/>
        <v>0</v>
      </c>
      <c r="AL1831" s="218" t="str">
        <f t="shared" si="207"/>
        <v/>
      </c>
      <c r="AM1831" s="218" t="str">
        <f>VLOOKUP(A1831,'Table corresp.'!$M$4:$U$63,8,FALSE)</f>
        <v>Importation</v>
      </c>
      <c r="AN1831" s="218" t="str">
        <f>VLOOKUP(D1831,'Table corresp.'!$M$4:$U$63,9,FALSE)</f>
        <v>Production intermédiaire</v>
      </c>
    </row>
    <row r="1832" spans="1:40" x14ac:dyDescent="0.25">
      <c r="A1832" t="s">
        <v>52</v>
      </c>
      <c r="B1832" t="str">
        <f>VLOOKUP(LEFT(A1832,3),'Table corresp.'!$A$4:$D$63,3,FALSE)</f>
        <v>Importation</v>
      </c>
      <c r="C1832" t="str">
        <f>VLOOKUP(A1832,'Table corresp.'!$M$4:$P$63,4,FALSE)</f>
        <v>Importation</v>
      </c>
      <c r="D1832" t="s">
        <v>6</v>
      </c>
      <c r="E1832" t="str">
        <f>VLOOKUP(LEFT(D1832,3),'Table corresp.'!$A$4:$D$63,4,FALSE)</f>
        <v>Transformation</v>
      </c>
      <c r="F1832" t="str">
        <f t="shared" si="200"/>
        <v xml:space="preserve">Imp - 11 </v>
      </c>
      <c r="G1832" s="238">
        <v>0</v>
      </c>
      <c r="H1832" s="238">
        <v>67966.233999999953</v>
      </c>
      <c r="I1832" s="238">
        <v>67966.233999999953</v>
      </c>
      <c r="J1832" s="238">
        <v>0</v>
      </c>
      <c r="K1832" s="238">
        <v>55.109560877933262</v>
      </c>
      <c r="L1832" s="238">
        <v>55.109560877933262</v>
      </c>
      <c r="M1832" s="238"/>
      <c r="N1832" s="238"/>
      <c r="O1832" s="238"/>
      <c r="P1832" s="238"/>
      <c r="Q1832" s="238"/>
      <c r="R1832" s="238"/>
      <c r="S1832" s="238"/>
      <c r="T1832" s="218">
        <f>VLOOKUP(A1832,'Groupe de branches'!$Z$27:$AM$86,14,FALSE)</f>
        <v>0</v>
      </c>
      <c r="U1832" s="218">
        <f>VLOOKUP(D1832,'Groupe de branches'!$Z$27:$AM$86,14,FALSE)</f>
        <v>0</v>
      </c>
      <c r="V1832" s="218">
        <v>2020</v>
      </c>
      <c r="W1832" s="218">
        <f>VLOOKUP(D1832,'Table corresp.'!$M$4:$S$63,7,FALSE)</f>
        <v>0</v>
      </c>
      <c r="X1832" s="240">
        <f>IFERROR(G1832/SUMIFS('Comp2016-2017 (3)'!$I$5:$I$289,'Comp2016-2017 (3)'!$A$5:$A$289,A1832,'Comp2016-2017 (3)'!$R$5:$R$289,V1832),0)</f>
        <v>0</v>
      </c>
      <c r="Y1832" s="219">
        <f>IFERROR(IF(RIGHT(F1832,3)="Exp",VLOOKUP(F1832,#REF!,2,FALSE),VLOOKUP(F1832,#REF!,9,FALSE)),0)</f>
        <v>0</v>
      </c>
      <c r="Z1832" s="226">
        <f t="shared" si="204"/>
        <v>0</v>
      </c>
      <c r="AA1832" s="226">
        <f t="shared" si="205"/>
        <v>0</v>
      </c>
      <c r="AB1832" s="205">
        <f>IFERROR(SUMIFS('Comp2016-2017 (3)'!$G$5:$G$289,'Comp2016-2017 (3)'!$A$5:$A$289,A1832,'Comp2016-2017 (3)'!$R$5:$R$289,V1832)*AA1832/SUMIFS($AA$4:$AA$1858,$A$4:$A$1858,A1832,$V$4:$V$1858,V1832),0)</f>
        <v>0</v>
      </c>
      <c r="AC1832" s="205">
        <f>IF($W1832=AC$3,$AB1832,IF(NOT($W1832=0),"",SUMIFS('Val-Vol (2)'!AC$4:AC$1858,'Val-Vol (2)'!$A$4:$A$1858,$D1832,'Val-Vol (2)'!$V$4:$V$1858,$V1832)/SUMIFS('Comp2016-2017 (3)'!$G$5:$G$289,'Comp2016-2017 (3)'!$A$5:$A$289,$D1832,'Comp2016-2017 (3)'!$R$5:$R$289,$V1832)*$AB1832))</f>
        <v>0</v>
      </c>
      <c r="AD1832" s="205">
        <f>IF($W1832=AD$3,$AB1832,IF(NOT($W1832=0),"",SUMIFS('Val-Vol (2)'!AD$4:AD$1858,'Val-Vol (2)'!$A$4:$A$1858,$D1832,'Val-Vol (2)'!$V$4:$V$1858,$V1832)/SUMIFS('Comp2016-2017 (3)'!$G$5:$G$289,'Comp2016-2017 (3)'!$A$5:$A$289,$D1832,'Comp2016-2017 (3)'!$R$5:$R$289,$V1832)*$AB1832))</f>
        <v>0</v>
      </c>
      <c r="AE1832" s="205">
        <f>IF($W1832=AE$3,$AB1832,IF(NOT($W1832=0),"",SUMIFS('Val-Vol (2)'!AE$4:AE$1858,'Val-Vol (2)'!$A$4:$A$1858,$D1832,'Val-Vol (2)'!$V$4:$V$1858,$V1832)/SUMIFS('Comp2016-2017 (3)'!$G$5:$G$289,'Comp2016-2017 (3)'!$A$5:$A$289,$D1832,'Comp2016-2017 (3)'!$R$5:$R$289,$V1832)*$AB1832))</f>
        <v>0</v>
      </c>
      <c r="AF1832" s="205">
        <f>IF($W1832=AF$3,$AB1832,IF(NOT($W1832=0),"",SUMIFS('Val-Vol (2)'!AF$4:AF$1858,'Val-Vol (2)'!$A$4:$A$1858,$D1832,'Val-Vol (2)'!$V$4:$V$1858,$V1832)/SUMIFS('Comp2016-2017 (3)'!$G$5:$G$289,'Comp2016-2017 (3)'!$A$5:$A$289,$D1832,'Comp2016-2017 (3)'!$R$5:$R$289,$V1832)*$AB1832))</f>
        <v>0</v>
      </c>
      <c r="AG1832" s="205">
        <f>IF($W1832=AG$3,$AB1832,IF(NOT($W1832=0),"",SUMIFS('Val-Vol (2)'!AG$4:AG$1858,'Val-Vol (2)'!$A$4:$A$1858,$D1832,'Val-Vol (2)'!$V$4:$V$1858,$V1832)/SUMIFS('Comp2016-2017 (3)'!$G$5:$G$289,'Comp2016-2017 (3)'!$A$5:$A$289,$D1832,'Comp2016-2017 (3)'!$R$5:$R$289,$V1832)*$AB1832))</f>
        <v>0</v>
      </c>
      <c r="AH1832" s="205">
        <f>IF($W1832=AH$3,$AB1832,IF(NOT($W1832=0),"",SUMIFS('Val-Vol (2)'!AH$4:AH$1858,'Val-Vol (2)'!$A$4:$A$1858,$D1832,'Val-Vol (2)'!$V$4:$V$1858,$V1832)/SUMIFS('Comp2016-2017 (3)'!$G$5:$G$289,'Comp2016-2017 (3)'!$A$5:$A$289,$D1832,'Comp2016-2017 (3)'!$R$5:$R$289,$V1832)*$AB1832))</f>
        <v>0</v>
      </c>
      <c r="AI1832" s="205">
        <f>IF($W1832=AI$3,$AB1832,IF(NOT($W1832=0),"",SUMIFS('Val-Vol (2)'!AI$4:AI$1858,'Val-Vol (2)'!$A$4:$A$1858,$D1832,'Val-Vol (2)'!$V$4:$V$1858,$V1832)/SUMIFS('Comp2016-2017 (3)'!$G$5:$G$289,'Comp2016-2017 (3)'!$A$5:$A$289,$D1832,'Comp2016-2017 (3)'!$R$5:$R$289,$V1832)*$AB1832))</f>
        <v>0</v>
      </c>
      <c r="AJ1832" s="205">
        <f>IF($W1832=AJ$3,$AB1832,IF(NOT($W1832=0),"",SUMIFS('Val-Vol (2)'!AJ$4:AJ$1858,'Val-Vol (2)'!$A$4:$A$1858,$D1832,'Val-Vol (2)'!$V$4:$V$1858,$V1832)/SUMIFS('Comp2016-2017 (3)'!$G$5:$G$289,'Comp2016-2017 (3)'!$A$5:$A$289,$D1832,'Comp2016-2017 (3)'!$R$5:$R$289,$V1832)*$AB1832))</f>
        <v>0</v>
      </c>
      <c r="AK1832" s="205">
        <f t="shared" si="206"/>
        <v>0</v>
      </c>
      <c r="AL1832" s="218" t="str">
        <f t="shared" si="207"/>
        <v/>
      </c>
      <c r="AM1832" s="218" t="str">
        <f>VLOOKUP(A1832,'Table corresp.'!$M$4:$U$63,8,FALSE)</f>
        <v>Importation</v>
      </c>
      <c r="AN1832" s="218" t="str">
        <f>VLOOKUP(D1832,'Table corresp.'!$M$4:$U$63,9,FALSE)</f>
        <v>Production intermédiaire</v>
      </c>
    </row>
    <row r="1833" spans="1:40" x14ac:dyDescent="0.25">
      <c r="A1833" t="s">
        <v>52</v>
      </c>
      <c r="B1833" t="str">
        <f>VLOOKUP(LEFT(A1833,3),'Table corresp.'!$A$4:$D$63,3,FALSE)</f>
        <v>Importation</v>
      </c>
      <c r="C1833" t="str">
        <f>VLOOKUP(A1833,'Table corresp.'!$M$4:$P$63,4,FALSE)</f>
        <v>Importation</v>
      </c>
      <c r="D1833" t="s">
        <v>7</v>
      </c>
      <c r="E1833" t="str">
        <f>VLOOKUP(LEFT(D1833,3),'Table corresp.'!$A$4:$D$63,4,FALSE)</f>
        <v>Transformation</v>
      </c>
      <c r="F1833" t="str">
        <f t="shared" si="200"/>
        <v xml:space="preserve">Imp - 12 </v>
      </c>
      <c r="G1833" s="238">
        <v>0</v>
      </c>
      <c r="H1833" s="238">
        <v>286110.21899999998</v>
      </c>
      <c r="I1833" s="238">
        <v>286110.21899999998</v>
      </c>
      <c r="J1833" s="238">
        <v>0</v>
      </c>
      <c r="K1833" s="238">
        <v>2826.5982573683582</v>
      </c>
      <c r="L1833" s="238">
        <v>2826.5982573683582</v>
      </c>
      <c r="M1833" s="238"/>
      <c r="N1833" s="238"/>
      <c r="O1833" s="238"/>
      <c r="P1833" s="238"/>
      <c r="Q1833" s="238"/>
      <c r="R1833" s="238"/>
      <c r="S1833" s="238"/>
      <c r="T1833" s="218">
        <f>VLOOKUP(A1833,'Groupe de branches'!$Z$27:$AM$86,14,FALSE)</f>
        <v>0</v>
      </c>
      <c r="U1833" s="218">
        <f>VLOOKUP(D1833,'Groupe de branches'!$Z$27:$AM$86,14,FALSE)</f>
        <v>0</v>
      </c>
      <c r="V1833" s="218">
        <v>2020</v>
      </c>
      <c r="W1833" s="218">
        <f>VLOOKUP(D1833,'Table corresp.'!$M$4:$S$63,7,FALSE)</f>
        <v>0</v>
      </c>
      <c r="X1833" s="240">
        <f>IFERROR(G1833/SUMIFS('Comp2016-2017 (3)'!$I$5:$I$289,'Comp2016-2017 (3)'!$A$5:$A$289,A1833,'Comp2016-2017 (3)'!$R$5:$R$289,V1833),0)</f>
        <v>0</v>
      </c>
      <c r="Y1833" s="219">
        <f>IFERROR(IF(RIGHT(F1833,3)="Exp",VLOOKUP(F1833,#REF!,2,FALSE),VLOOKUP(F1833,#REF!,9,FALSE)),0)</f>
        <v>0</v>
      </c>
      <c r="Z1833" s="226">
        <f t="shared" si="204"/>
        <v>0</v>
      </c>
      <c r="AA1833" s="226">
        <f t="shared" si="205"/>
        <v>0</v>
      </c>
      <c r="AB1833" s="205">
        <f>IFERROR(SUMIFS('Comp2016-2017 (3)'!$G$5:$G$289,'Comp2016-2017 (3)'!$A$5:$A$289,A1833,'Comp2016-2017 (3)'!$R$5:$R$289,V1833)*AA1833/SUMIFS($AA$4:$AA$1858,$A$4:$A$1858,A1833,$V$4:$V$1858,V1833),0)</f>
        <v>0</v>
      </c>
      <c r="AC1833" s="205">
        <f>IF($W1833=AC$3,$AB1833,IF(NOT($W1833=0),"",SUMIFS('Val-Vol (2)'!AC$4:AC$1858,'Val-Vol (2)'!$A$4:$A$1858,$D1833,'Val-Vol (2)'!$V$4:$V$1858,$V1833)/SUMIFS('Comp2016-2017 (3)'!$G$5:$G$289,'Comp2016-2017 (3)'!$A$5:$A$289,$D1833,'Comp2016-2017 (3)'!$R$5:$R$289,$V1833)*$AB1833))</f>
        <v>0</v>
      </c>
      <c r="AD1833" s="205">
        <f>IF($W1833=AD$3,$AB1833,IF(NOT($W1833=0),"",SUMIFS('Val-Vol (2)'!AD$4:AD$1858,'Val-Vol (2)'!$A$4:$A$1858,$D1833,'Val-Vol (2)'!$V$4:$V$1858,$V1833)/SUMIFS('Comp2016-2017 (3)'!$G$5:$G$289,'Comp2016-2017 (3)'!$A$5:$A$289,$D1833,'Comp2016-2017 (3)'!$R$5:$R$289,$V1833)*$AB1833))</f>
        <v>0</v>
      </c>
      <c r="AE1833" s="205">
        <f>IF($W1833=AE$3,$AB1833,IF(NOT($W1833=0),"",SUMIFS('Val-Vol (2)'!AE$4:AE$1858,'Val-Vol (2)'!$A$4:$A$1858,$D1833,'Val-Vol (2)'!$V$4:$V$1858,$V1833)/SUMIFS('Comp2016-2017 (3)'!$G$5:$G$289,'Comp2016-2017 (3)'!$A$5:$A$289,$D1833,'Comp2016-2017 (3)'!$R$5:$R$289,$V1833)*$AB1833))</f>
        <v>0</v>
      </c>
      <c r="AF1833" s="205">
        <f>IF($W1833=AF$3,$AB1833,IF(NOT($W1833=0),"",SUMIFS('Val-Vol (2)'!AF$4:AF$1858,'Val-Vol (2)'!$A$4:$A$1858,$D1833,'Val-Vol (2)'!$V$4:$V$1858,$V1833)/SUMIFS('Comp2016-2017 (3)'!$G$5:$G$289,'Comp2016-2017 (3)'!$A$5:$A$289,$D1833,'Comp2016-2017 (3)'!$R$5:$R$289,$V1833)*$AB1833))</f>
        <v>0</v>
      </c>
      <c r="AG1833" s="205">
        <f>IF($W1833=AG$3,$AB1833,IF(NOT($W1833=0),"",SUMIFS('Val-Vol (2)'!AG$4:AG$1858,'Val-Vol (2)'!$A$4:$A$1858,$D1833,'Val-Vol (2)'!$V$4:$V$1858,$V1833)/SUMIFS('Comp2016-2017 (3)'!$G$5:$G$289,'Comp2016-2017 (3)'!$A$5:$A$289,$D1833,'Comp2016-2017 (3)'!$R$5:$R$289,$V1833)*$AB1833))</f>
        <v>0</v>
      </c>
      <c r="AH1833" s="205">
        <f>IF($W1833=AH$3,$AB1833,IF(NOT($W1833=0),"",SUMIFS('Val-Vol (2)'!AH$4:AH$1858,'Val-Vol (2)'!$A$4:$A$1858,$D1833,'Val-Vol (2)'!$V$4:$V$1858,$V1833)/SUMIFS('Comp2016-2017 (3)'!$G$5:$G$289,'Comp2016-2017 (3)'!$A$5:$A$289,$D1833,'Comp2016-2017 (3)'!$R$5:$R$289,$V1833)*$AB1833))</f>
        <v>0</v>
      </c>
      <c r="AI1833" s="205">
        <f>IF($W1833=AI$3,$AB1833,IF(NOT($W1833=0),"",SUMIFS('Val-Vol (2)'!AI$4:AI$1858,'Val-Vol (2)'!$A$4:$A$1858,$D1833,'Val-Vol (2)'!$V$4:$V$1858,$V1833)/SUMIFS('Comp2016-2017 (3)'!$G$5:$G$289,'Comp2016-2017 (3)'!$A$5:$A$289,$D1833,'Comp2016-2017 (3)'!$R$5:$R$289,$V1833)*$AB1833))</f>
        <v>0</v>
      </c>
      <c r="AJ1833" s="205">
        <f>IF($W1833=AJ$3,$AB1833,IF(NOT($W1833=0),"",SUMIFS('Val-Vol (2)'!AJ$4:AJ$1858,'Val-Vol (2)'!$A$4:$A$1858,$D1833,'Val-Vol (2)'!$V$4:$V$1858,$V1833)/SUMIFS('Comp2016-2017 (3)'!$G$5:$G$289,'Comp2016-2017 (3)'!$A$5:$A$289,$D1833,'Comp2016-2017 (3)'!$R$5:$R$289,$V1833)*$AB1833))</f>
        <v>0</v>
      </c>
      <c r="AK1833" s="205">
        <f t="shared" si="206"/>
        <v>0</v>
      </c>
      <c r="AL1833" s="218" t="str">
        <f t="shared" si="207"/>
        <v/>
      </c>
      <c r="AM1833" s="218" t="str">
        <f>VLOOKUP(A1833,'Table corresp.'!$M$4:$U$63,8,FALSE)</f>
        <v>Importation</v>
      </c>
      <c r="AN1833" s="218" t="str">
        <f>VLOOKUP(D1833,'Table corresp.'!$M$4:$U$63,9,FALSE)</f>
        <v>Production intermédiaire</v>
      </c>
    </row>
    <row r="1834" spans="1:40" x14ac:dyDescent="0.25">
      <c r="A1834" t="s">
        <v>52</v>
      </c>
      <c r="B1834" t="str">
        <f>VLOOKUP(LEFT(A1834,3),'Table corresp.'!$A$4:$D$63,3,FALSE)</f>
        <v>Importation</v>
      </c>
      <c r="C1834" t="str">
        <f>VLOOKUP(A1834,'Table corresp.'!$M$4:$P$63,4,FALSE)</f>
        <v>Importation</v>
      </c>
      <c r="D1834" t="s">
        <v>83</v>
      </c>
      <c r="E1834" t="str">
        <f>VLOOKUP(LEFT(D1834,3),'Table corresp.'!$A$4:$D$63,4,FALSE)</f>
        <v>Transformation</v>
      </c>
      <c r="F1834" t="str">
        <f t="shared" ref="F1834:F1858" si="208">LEFT(A1834,3)&amp;" - "&amp;LEFT(D1834,3)</f>
        <v xml:space="preserve">Imp - 14 </v>
      </c>
      <c r="G1834" s="238">
        <v>0</v>
      </c>
      <c r="H1834" s="238">
        <v>130560.78000000007</v>
      </c>
      <c r="I1834" s="238">
        <v>130560.78000000007</v>
      </c>
      <c r="J1834" s="238">
        <v>0</v>
      </c>
      <c r="K1834" s="238">
        <v>592.45853014700742</v>
      </c>
      <c r="L1834" s="238">
        <v>592.45853014700742</v>
      </c>
      <c r="M1834" s="238"/>
      <c r="N1834" s="238"/>
      <c r="O1834" s="238"/>
      <c r="P1834" s="238"/>
      <c r="Q1834" s="238"/>
      <c r="R1834" s="238"/>
      <c r="S1834" s="238"/>
      <c r="T1834" s="218">
        <f>VLOOKUP(A1834,'Groupe de branches'!$Z$27:$AM$86,14,FALSE)</f>
        <v>0</v>
      </c>
      <c r="U1834" s="218">
        <f>VLOOKUP(D1834,'Groupe de branches'!$Z$27:$AM$86,14,FALSE)</f>
        <v>0</v>
      </c>
      <c r="V1834" s="218">
        <v>2020</v>
      </c>
      <c r="W1834" s="218">
        <f>VLOOKUP(D1834,'Table corresp.'!$M$4:$S$63,7,FALSE)</f>
        <v>0</v>
      </c>
      <c r="X1834" s="240">
        <f>IFERROR(G1834/SUMIFS('Comp2016-2017 (3)'!$I$5:$I$289,'Comp2016-2017 (3)'!$A$5:$A$289,A1834,'Comp2016-2017 (3)'!$R$5:$R$289,V1834),0)</f>
        <v>0</v>
      </c>
      <c r="Y1834" s="219">
        <f>IFERROR(IF(RIGHT(F1834,3)="Exp",VLOOKUP(F1834,#REF!,2,FALSE),VLOOKUP(F1834,#REF!,9,FALSE)),0)</f>
        <v>0</v>
      </c>
      <c r="Z1834" s="226">
        <f t="shared" si="204"/>
        <v>0</v>
      </c>
      <c r="AA1834" s="226">
        <f t="shared" si="205"/>
        <v>0</v>
      </c>
      <c r="AB1834" s="205">
        <f>IFERROR(SUMIFS('Comp2016-2017 (3)'!$G$5:$G$289,'Comp2016-2017 (3)'!$A$5:$A$289,A1834,'Comp2016-2017 (3)'!$R$5:$R$289,V1834)*AA1834/SUMIFS($AA$4:$AA$1858,$A$4:$A$1858,A1834,$V$4:$V$1858,V1834),0)</f>
        <v>0</v>
      </c>
      <c r="AC1834" s="205">
        <f>IF($W1834=AC$3,$AB1834,IF(NOT($W1834=0),"",SUMIFS('Val-Vol (2)'!AC$4:AC$1858,'Val-Vol (2)'!$A$4:$A$1858,$D1834,'Val-Vol (2)'!$V$4:$V$1858,$V1834)/SUMIFS('Comp2016-2017 (3)'!$G$5:$G$289,'Comp2016-2017 (3)'!$A$5:$A$289,$D1834,'Comp2016-2017 (3)'!$R$5:$R$289,$V1834)*$AB1834))</f>
        <v>0</v>
      </c>
      <c r="AD1834" s="205">
        <f>IF($W1834=AD$3,$AB1834,IF(NOT($W1834=0),"",SUMIFS('Val-Vol (2)'!AD$4:AD$1858,'Val-Vol (2)'!$A$4:$A$1858,$D1834,'Val-Vol (2)'!$V$4:$V$1858,$V1834)/SUMIFS('Comp2016-2017 (3)'!$G$5:$G$289,'Comp2016-2017 (3)'!$A$5:$A$289,$D1834,'Comp2016-2017 (3)'!$R$5:$R$289,$V1834)*$AB1834))</f>
        <v>0</v>
      </c>
      <c r="AE1834" s="205">
        <f>IF($W1834=AE$3,$AB1834,IF(NOT($W1834=0),"",SUMIFS('Val-Vol (2)'!AE$4:AE$1858,'Val-Vol (2)'!$A$4:$A$1858,$D1834,'Val-Vol (2)'!$V$4:$V$1858,$V1834)/SUMIFS('Comp2016-2017 (3)'!$G$5:$G$289,'Comp2016-2017 (3)'!$A$5:$A$289,$D1834,'Comp2016-2017 (3)'!$R$5:$R$289,$V1834)*$AB1834))</f>
        <v>0</v>
      </c>
      <c r="AF1834" s="205">
        <f>IF($W1834=AF$3,$AB1834,IF(NOT($W1834=0),"",SUMIFS('Val-Vol (2)'!AF$4:AF$1858,'Val-Vol (2)'!$A$4:$A$1858,$D1834,'Val-Vol (2)'!$V$4:$V$1858,$V1834)/SUMIFS('Comp2016-2017 (3)'!$G$5:$G$289,'Comp2016-2017 (3)'!$A$5:$A$289,$D1834,'Comp2016-2017 (3)'!$R$5:$R$289,$V1834)*$AB1834))</f>
        <v>0</v>
      </c>
      <c r="AG1834" s="205">
        <f>IF($W1834=AG$3,$AB1834,IF(NOT($W1834=0),"",SUMIFS('Val-Vol (2)'!AG$4:AG$1858,'Val-Vol (2)'!$A$4:$A$1858,$D1834,'Val-Vol (2)'!$V$4:$V$1858,$V1834)/SUMIFS('Comp2016-2017 (3)'!$G$5:$G$289,'Comp2016-2017 (3)'!$A$5:$A$289,$D1834,'Comp2016-2017 (3)'!$R$5:$R$289,$V1834)*$AB1834))</f>
        <v>0</v>
      </c>
      <c r="AH1834" s="205">
        <f>IF($W1834=AH$3,$AB1834,IF(NOT($W1834=0),"",SUMIFS('Val-Vol (2)'!AH$4:AH$1858,'Val-Vol (2)'!$A$4:$A$1858,$D1834,'Val-Vol (2)'!$V$4:$V$1858,$V1834)/SUMIFS('Comp2016-2017 (3)'!$G$5:$G$289,'Comp2016-2017 (3)'!$A$5:$A$289,$D1834,'Comp2016-2017 (3)'!$R$5:$R$289,$V1834)*$AB1834))</f>
        <v>0</v>
      </c>
      <c r="AI1834" s="205">
        <f>IF($W1834=AI$3,$AB1834,IF(NOT($W1834=0),"",SUMIFS('Val-Vol (2)'!AI$4:AI$1858,'Val-Vol (2)'!$A$4:$A$1858,$D1834,'Val-Vol (2)'!$V$4:$V$1858,$V1834)/SUMIFS('Comp2016-2017 (3)'!$G$5:$G$289,'Comp2016-2017 (3)'!$A$5:$A$289,$D1834,'Comp2016-2017 (3)'!$R$5:$R$289,$V1834)*$AB1834))</f>
        <v>0</v>
      </c>
      <c r="AJ1834" s="205">
        <f>IF($W1834=AJ$3,$AB1834,IF(NOT($W1834=0),"",SUMIFS('Val-Vol (2)'!AJ$4:AJ$1858,'Val-Vol (2)'!$A$4:$A$1858,$D1834,'Val-Vol (2)'!$V$4:$V$1858,$V1834)/SUMIFS('Comp2016-2017 (3)'!$G$5:$G$289,'Comp2016-2017 (3)'!$A$5:$A$289,$D1834,'Comp2016-2017 (3)'!$R$5:$R$289,$V1834)*$AB1834))</f>
        <v>0</v>
      </c>
      <c r="AK1834" s="205">
        <f t="shared" si="206"/>
        <v>0</v>
      </c>
      <c r="AL1834" s="218" t="str">
        <f t="shared" si="207"/>
        <v/>
      </c>
      <c r="AM1834" s="218" t="str">
        <f>VLOOKUP(A1834,'Table corresp.'!$M$4:$U$63,8,FALSE)</f>
        <v>Importation</v>
      </c>
      <c r="AN1834" s="218" t="str">
        <f>VLOOKUP(D1834,'Table corresp.'!$M$4:$U$63,9,FALSE)</f>
        <v>Production intermédiaire</v>
      </c>
    </row>
    <row r="1835" spans="1:40" x14ac:dyDescent="0.25">
      <c r="A1835" t="s">
        <v>52</v>
      </c>
      <c r="B1835" t="str">
        <f>VLOOKUP(LEFT(A1835,3),'Table corresp.'!$A$4:$D$63,3,FALSE)</f>
        <v>Importation</v>
      </c>
      <c r="C1835" t="str">
        <f>VLOOKUP(A1835,'Table corresp.'!$M$4:$P$63,4,FALSE)</f>
        <v>Importation</v>
      </c>
      <c r="D1835" t="s">
        <v>84</v>
      </c>
      <c r="E1835" t="str">
        <f>VLOOKUP(LEFT(D1835,3),'Table corresp.'!$A$4:$D$63,4,FALSE)</f>
        <v>Transformation</v>
      </c>
      <c r="F1835" t="str">
        <f t="shared" si="208"/>
        <v xml:space="preserve">Imp - 17 </v>
      </c>
      <c r="G1835" s="238">
        <v>0</v>
      </c>
      <c r="H1835" s="238">
        <v>12814.785000000003</v>
      </c>
      <c r="I1835" s="238">
        <v>12814.785000000003</v>
      </c>
      <c r="J1835" s="238">
        <v>0</v>
      </c>
      <c r="K1835" s="238">
        <v>36.186512821526016</v>
      </c>
      <c r="L1835" s="238">
        <v>36.186512821526016</v>
      </c>
      <c r="M1835" s="238"/>
      <c r="N1835" s="238"/>
      <c r="O1835" s="238"/>
      <c r="P1835" s="238"/>
      <c r="Q1835" s="238"/>
      <c r="R1835" s="238"/>
      <c r="S1835" s="238"/>
      <c r="T1835" s="218">
        <f>VLOOKUP(A1835,'Groupe de branches'!$Z$27:$AM$86,14,FALSE)</f>
        <v>0</v>
      </c>
      <c r="U1835" s="218">
        <f>VLOOKUP(D1835,'Groupe de branches'!$Z$27:$AM$86,14,FALSE)</f>
        <v>0</v>
      </c>
      <c r="V1835" s="218">
        <v>2020</v>
      </c>
      <c r="W1835" s="218" t="str">
        <f>VLOOKUP(D1835,'Table corresp.'!$M$4:$S$63,7,FALSE)</f>
        <v>Construction</v>
      </c>
      <c r="X1835" s="240">
        <f>IFERROR(G1835/SUMIFS('Comp2016-2017 (3)'!$I$5:$I$289,'Comp2016-2017 (3)'!$A$5:$A$289,A1835,'Comp2016-2017 (3)'!$R$5:$R$289,V1835),0)</f>
        <v>0</v>
      </c>
      <c r="Y1835" s="219">
        <f>IFERROR(IF(RIGHT(F1835,3)="Exp",VLOOKUP(F1835,#REF!,2,FALSE),VLOOKUP(F1835,#REF!,9,FALSE)),0)</f>
        <v>0</v>
      </c>
      <c r="Z1835" s="226">
        <f t="shared" si="204"/>
        <v>0</v>
      </c>
      <c r="AA1835" s="226">
        <f t="shared" si="205"/>
        <v>0</v>
      </c>
      <c r="AB1835" s="205">
        <f>IFERROR(SUMIFS('Comp2016-2017 (3)'!$G$5:$G$289,'Comp2016-2017 (3)'!$A$5:$A$289,A1835,'Comp2016-2017 (3)'!$R$5:$R$289,V1835)*AA1835/SUMIFS($AA$4:$AA$1858,$A$4:$A$1858,A1835,$V$4:$V$1858,V1835),0)</f>
        <v>0</v>
      </c>
      <c r="AC1835" s="205" t="str">
        <f>IF($W1835=AC$3,$AB1835,IF(NOT($W1835=0),"",SUMIFS('Val-Vol (2)'!AC$4:AC$1858,'Val-Vol (2)'!$A$4:$A$1858,$D1835,'Val-Vol (2)'!$V$4:$V$1858,$V1835)/SUMIFS('Comp2016-2017 (3)'!$G$5:$G$289,'Comp2016-2017 (3)'!$A$5:$A$289,$D1835,'Comp2016-2017 (3)'!$R$5:$R$289,$V1835)*$AB1835))</f>
        <v/>
      </c>
      <c r="AD1835" s="205">
        <f>IF($W1835=AD$3,$AB1835,IF(NOT($W1835=0),"",SUMIFS('Val-Vol (2)'!AD$4:AD$1858,'Val-Vol (2)'!$A$4:$A$1858,$D1835,'Val-Vol (2)'!$V$4:$V$1858,$V1835)/SUMIFS('Comp2016-2017 (3)'!$G$5:$G$289,'Comp2016-2017 (3)'!$A$5:$A$289,$D1835,'Comp2016-2017 (3)'!$R$5:$R$289,$V1835)*$AB1835))</f>
        <v>0</v>
      </c>
      <c r="AE1835" s="205" t="str">
        <f>IF($W1835=AE$3,$AB1835,IF(NOT($W1835=0),"",SUMIFS('Val-Vol (2)'!AE$4:AE$1858,'Val-Vol (2)'!$A$4:$A$1858,$D1835,'Val-Vol (2)'!$V$4:$V$1858,$V1835)/SUMIFS('Comp2016-2017 (3)'!$G$5:$G$289,'Comp2016-2017 (3)'!$A$5:$A$289,$D1835,'Comp2016-2017 (3)'!$R$5:$R$289,$V1835)*$AB1835))</f>
        <v/>
      </c>
      <c r="AF1835" s="205" t="str">
        <f>IF($W1835=AF$3,$AB1835,IF(NOT($W1835=0),"",SUMIFS('Val-Vol (2)'!AF$4:AF$1858,'Val-Vol (2)'!$A$4:$A$1858,$D1835,'Val-Vol (2)'!$V$4:$V$1858,$V1835)/SUMIFS('Comp2016-2017 (3)'!$G$5:$G$289,'Comp2016-2017 (3)'!$A$5:$A$289,$D1835,'Comp2016-2017 (3)'!$R$5:$R$289,$V1835)*$AB1835))</f>
        <v/>
      </c>
      <c r="AG1835" s="205" t="str">
        <f>IF($W1835=AG$3,$AB1835,IF(NOT($W1835=0),"",SUMIFS('Val-Vol (2)'!AG$4:AG$1858,'Val-Vol (2)'!$A$4:$A$1858,$D1835,'Val-Vol (2)'!$V$4:$V$1858,$V1835)/SUMIFS('Comp2016-2017 (3)'!$G$5:$G$289,'Comp2016-2017 (3)'!$A$5:$A$289,$D1835,'Comp2016-2017 (3)'!$R$5:$R$289,$V1835)*$AB1835))</f>
        <v/>
      </c>
      <c r="AH1835" s="205" t="str">
        <f>IF($W1835=AH$3,$AB1835,IF(NOT($W1835=0),"",SUMIFS('Val-Vol (2)'!AH$4:AH$1858,'Val-Vol (2)'!$A$4:$A$1858,$D1835,'Val-Vol (2)'!$V$4:$V$1858,$V1835)/SUMIFS('Comp2016-2017 (3)'!$G$5:$G$289,'Comp2016-2017 (3)'!$A$5:$A$289,$D1835,'Comp2016-2017 (3)'!$R$5:$R$289,$V1835)*$AB1835))</f>
        <v/>
      </c>
      <c r="AI1835" s="205" t="str">
        <f>IF($W1835=AI$3,$AB1835,IF(NOT($W1835=0),"",SUMIFS('Val-Vol (2)'!AI$4:AI$1858,'Val-Vol (2)'!$A$4:$A$1858,$D1835,'Val-Vol (2)'!$V$4:$V$1858,$V1835)/SUMIFS('Comp2016-2017 (3)'!$G$5:$G$289,'Comp2016-2017 (3)'!$A$5:$A$289,$D1835,'Comp2016-2017 (3)'!$R$5:$R$289,$V1835)*$AB1835))</f>
        <v/>
      </c>
      <c r="AJ1835" s="205" t="str">
        <f>IF($W1835=AJ$3,$AB1835,IF(NOT($W1835=0),"",SUMIFS('Val-Vol (2)'!AJ$4:AJ$1858,'Val-Vol (2)'!$A$4:$A$1858,$D1835,'Val-Vol (2)'!$V$4:$V$1858,$V1835)/SUMIFS('Comp2016-2017 (3)'!$G$5:$G$289,'Comp2016-2017 (3)'!$A$5:$A$289,$D1835,'Comp2016-2017 (3)'!$R$5:$R$289,$V1835)*$AB1835))</f>
        <v/>
      </c>
      <c r="AK1835" s="205">
        <f t="shared" si="206"/>
        <v>0</v>
      </c>
      <c r="AL1835" s="218" t="str">
        <f t="shared" si="207"/>
        <v/>
      </c>
      <c r="AM1835" s="218" t="str">
        <f>VLOOKUP(A1835,'Table corresp.'!$M$4:$U$63,8,FALSE)</f>
        <v>Importation</v>
      </c>
      <c r="AN1835" s="218" t="str">
        <f>VLOOKUP(D1835,'Table corresp.'!$M$4:$U$63,9,FALSE)</f>
        <v>Production intermédiaire</v>
      </c>
    </row>
    <row r="1836" spans="1:40" x14ac:dyDescent="0.25">
      <c r="A1836" t="s">
        <v>52</v>
      </c>
      <c r="B1836" t="str">
        <f>VLOOKUP(LEFT(A1836,3),'Table corresp.'!$A$4:$D$63,3,FALSE)</f>
        <v>Importation</v>
      </c>
      <c r="C1836" t="str">
        <f>VLOOKUP(A1836,'Table corresp.'!$M$4:$P$63,4,FALSE)</f>
        <v>Importation</v>
      </c>
      <c r="D1836" t="s">
        <v>11</v>
      </c>
      <c r="E1836" t="str">
        <f>VLOOKUP(LEFT(D1836,3),'Table corresp.'!$A$4:$D$63,4,FALSE)</f>
        <v>Transformation</v>
      </c>
      <c r="F1836" t="str">
        <f t="shared" si="208"/>
        <v xml:space="preserve">Imp - 18 </v>
      </c>
      <c r="G1836" s="238">
        <v>0</v>
      </c>
      <c r="H1836" s="238">
        <v>49921.599999999991</v>
      </c>
      <c r="I1836" s="238">
        <v>49921.599999999991</v>
      </c>
      <c r="J1836" s="238"/>
      <c r="K1836" s="238"/>
      <c r="L1836" s="238"/>
      <c r="M1836" s="238">
        <v>0</v>
      </c>
      <c r="N1836" s="238">
        <v>876.05243299999995</v>
      </c>
      <c r="O1836" s="238">
        <v>876.05243299999995</v>
      </c>
      <c r="P1836" s="238"/>
      <c r="Q1836" s="238"/>
      <c r="R1836" s="238"/>
      <c r="S1836" s="238"/>
      <c r="T1836" s="218">
        <f>VLOOKUP(A1836,'Groupe de branches'!$Z$27:$AM$86,14,FALSE)</f>
        <v>0</v>
      </c>
      <c r="U1836" s="218">
        <f>VLOOKUP(D1836,'Groupe de branches'!$Z$27:$AM$86,14,FALSE)</f>
        <v>0</v>
      </c>
      <c r="V1836" s="218">
        <v>2020</v>
      </c>
      <c r="W1836" s="218">
        <f>VLOOKUP(D1836,'Table corresp.'!$M$4:$S$63,7,FALSE)</f>
        <v>0</v>
      </c>
      <c r="X1836" s="240">
        <f>IFERROR(G1836/SUMIFS('Comp2016-2017 (3)'!$I$5:$I$289,'Comp2016-2017 (3)'!$A$5:$A$289,A1836,'Comp2016-2017 (3)'!$R$5:$R$289,V1836),0)</f>
        <v>0</v>
      </c>
      <c r="Y1836" s="219">
        <f>IFERROR(IF(RIGHT(F1836,3)="Exp",VLOOKUP(F1836,#REF!,2,FALSE),VLOOKUP(F1836,#REF!,9,FALSE)),0)</f>
        <v>0</v>
      </c>
      <c r="Z1836" s="226">
        <f t="shared" si="204"/>
        <v>0</v>
      </c>
      <c r="AA1836" s="226">
        <f t="shared" si="205"/>
        <v>0</v>
      </c>
      <c r="AB1836" s="205">
        <f>IFERROR(SUMIFS('Comp2016-2017 (3)'!$G$5:$G$289,'Comp2016-2017 (3)'!$A$5:$A$289,A1836,'Comp2016-2017 (3)'!$R$5:$R$289,V1836)*AA1836/SUMIFS($AA$4:$AA$1858,$A$4:$A$1858,A1836,$V$4:$V$1858,V1836),0)</f>
        <v>0</v>
      </c>
      <c r="AC1836" s="205">
        <f>IF($W1836=AC$3,$AB1836,IF(NOT($W1836=0),"",SUMIFS('Val-Vol (2)'!AC$4:AC$1858,'Val-Vol (2)'!$A$4:$A$1858,$D1836,'Val-Vol (2)'!$V$4:$V$1858,$V1836)/SUMIFS('Comp2016-2017 (3)'!$G$5:$G$289,'Comp2016-2017 (3)'!$A$5:$A$289,$D1836,'Comp2016-2017 (3)'!$R$5:$R$289,$V1836)*$AB1836))</f>
        <v>0</v>
      </c>
      <c r="AD1836" s="205">
        <f>IF($W1836=AD$3,$AB1836,IF(NOT($W1836=0),"",SUMIFS('Val-Vol (2)'!AD$4:AD$1858,'Val-Vol (2)'!$A$4:$A$1858,$D1836,'Val-Vol (2)'!$V$4:$V$1858,$V1836)/SUMIFS('Comp2016-2017 (3)'!$G$5:$G$289,'Comp2016-2017 (3)'!$A$5:$A$289,$D1836,'Comp2016-2017 (3)'!$R$5:$R$289,$V1836)*$AB1836))</f>
        <v>0</v>
      </c>
      <c r="AE1836" s="205">
        <f>IF($W1836=AE$3,$AB1836,IF(NOT($W1836=0),"",SUMIFS('Val-Vol (2)'!AE$4:AE$1858,'Val-Vol (2)'!$A$4:$A$1858,$D1836,'Val-Vol (2)'!$V$4:$V$1858,$V1836)/SUMIFS('Comp2016-2017 (3)'!$G$5:$G$289,'Comp2016-2017 (3)'!$A$5:$A$289,$D1836,'Comp2016-2017 (3)'!$R$5:$R$289,$V1836)*$AB1836))</f>
        <v>0</v>
      </c>
      <c r="AF1836" s="205">
        <f>IF($W1836=AF$3,$AB1836,IF(NOT($W1836=0),"",SUMIFS('Val-Vol (2)'!AF$4:AF$1858,'Val-Vol (2)'!$A$4:$A$1858,$D1836,'Val-Vol (2)'!$V$4:$V$1858,$V1836)/SUMIFS('Comp2016-2017 (3)'!$G$5:$G$289,'Comp2016-2017 (3)'!$A$5:$A$289,$D1836,'Comp2016-2017 (3)'!$R$5:$R$289,$V1836)*$AB1836))</f>
        <v>0</v>
      </c>
      <c r="AG1836" s="205">
        <f>IF($W1836=AG$3,$AB1836,IF(NOT($W1836=0),"",SUMIFS('Val-Vol (2)'!AG$4:AG$1858,'Val-Vol (2)'!$A$4:$A$1858,$D1836,'Val-Vol (2)'!$V$4:$V$1858,$V1836)/SUMIFS('Comp2016-2017 (3)'!$G$5:$G$289,'Comp2016-2017 (3)'!$A$5:$A$289,$D1836,'Comp2016-2017 (3)'!$R$5:$R$289,$V1836)*$AB1836))</f>
        <v>0</v>
      </c>
      <c r="AH1836" s="205">
        <f>IF($W1836=AH$3,$AB1836,IF(NOT($W1836=0),"",SUMIFS('Val-Vol (2)'!AH$4:AH$1858,'Val-Vol (2)'!$A$4:$A$1858,$D1836,'Val-Vol (2)'!$V$4:$V$1858,$V1836)/SUMIFS('Comp2016-2017 (3)'!$G$5:$G$289,'Comp2016-2017 (3)'!$A$5:$A$289,$D1836,'Comp2016-2017 (3)'!$R$5:$R$289,$V1836)*$AB1836))</f>
        <v>0</v>
      </c>
      <c r="AI1836" s="205">
        <f>IF($W1836=AI$3,$AB1836,IF(NOT($W1836=0),"",SUMIFS('Val-Vol (2)'!AI$4:AI$1858,'Val-Vol (2)'!$A$4:$A$1858,$D1836,'Val-Vol (2)'!$V$4:$V$1858,$V1836)/SUMIFS('Comp2016-2017 (3)'!$G$5:$G$289,'Comp2016-2017 (3)'!$A$5:$A$289,$D1836,'Comp2016-2017 (3)'!$R$5:$R$289,$V1836)*$AB1836))</f>
        <v>0</v>
      </c>
      <c r="AJ1836" s="205">
        <f>IF($W1836=AJ$3,$AB1836,IF(NOT($W1836=0),"",SUMIFS('Val-Vol (2)'!AJ$4:AJ$1858,'Val-Vol (2)'!$A$4:$A$1858,$D1836,'Val-Vol (2)'!$V$4:$V$1858,$V1836)/SUMIFS('Comp2016-2017 (3)'!$G$5:$G$289,'Comp2016-2017 (3)'!$A$5:$A$289,$D1836,'Comp2016-2017 (3)'!$R$5:$R$289,$V1836)*$AB1836))</f>
        <v>0</v>
      </c>
      <c r="AK1836" s="205">
        <f t="shared" si="206"/>
        <v>0</v>
      </c>
      <c r="AL1836" s="218" t="str">
        <f t="shared" si="207"/>
        <v/>
      </c>
      <c r="AM1836" s="218" t="str">
        <f>VLOOKUP(A1836,'Table corresp.'!$M$4:$U$63,8,FALSE)</f>
        <v>Importation</v>
      </c>
      <c r="AN1836" s="218" t="str">
        <f>VLOOKUP(D1836,'Table corresp.'!$M$4:$U$63,9,FALSE)</f>
        <v>Production intermédiaire</v>
      </c>
    </row>
    <row r="1837" spans="1:40" x14ac:dyDescent="0.25">
      <c r="A1837" t="s">
        <v>52</v>
      </c>
      <c r="B1837" t="str">
        <f>VLOOKUP(LEFT(A1837,3),'Table corresp.'!$A$4:$D$63,3,FALSE)</f>
        <v>Importation</v>
      </c>
      <c r="C1837" t="str">
        <f>VLOOKUP(A1837,'Table corresp.'!$M$4:$P$63,4,FALSE)</f>
        <v>Importation</v>
      </c>
      <c r="D1837" t="s">
        <v>12</v>
      </c>
      <c r="E1837" t="str">
        <f>VLOOKUP(LEFT(D1837,3),'Table corresp.'!$A$4:$D$63,4,FALSE)</f>
        <v>Transformation</v>
      </c>
      <c r="F1837" t="str">
        <f t="shared" si="208"/>
        <v xml:space="preserve">Imp - 19 </v>
      </c>
      <c r="G1837" s="238">
        <v>0</v>
      </c>
      <c r="H1837" s="238">
        <v>51163.569000000003</v>
      </c>
      <c r="I1837" s="238">
        <v>51163.569000000003</v>
      </c>
      <c r="J1837" s="238"/>
      <c r="K1837" s="238"/>
      <c r="L1837" s="238"/>
      <c r="M1837" s="238"/>
      <c r="N1837" s="238"/>
      <c r="O1837" s="238"/>
      <c r="P1837" s="238">
        <v>0</v>
      </c>
      <c r="Q1837" s="238">
        <v>792.00816999999904</v>
      </c>
      <c r="R1837" s="238">
        <v>792.00816999999904</v>
      </c>
      <c r="S1837" s="238" t="s">
        <v>198</v>
      </c>
      <c r="T1837" s="218">
        <f>VLOOKUP(A1837,'Groupe de branches'!$Z$27:$AM$86,14,FALSE)</f>
        <v>0</v>
      </c>
      <c r="U1837" s="218">
        <f>VLOOKUP(D1837,'Groupe de branches'!$Z$27:$AM$86,14,FALSE)</f>
        <v>0</v>
      </c>
      <c r="V1837" s="218">
        <v>2020</v>
      </c>
      <c r="W1837" s="218" t="str">
        <f>VLOOKUP(D1837,'Table corresp.'!$M$4:$S$63,7,FALSE)</f>
        <v>Energie</v>
      </c>
      <c r="X1837" s="240">
        <f>IFERROR(G1837/SUMIFS('Comp2016-2017 (3)'!$I$5:$I$289,'Comp2016-2017 (3)'!$A$5:$A$289,A1837,'Comp2016-2017 (3)'!$R$5:$R$289,V1837),0)</f>
        <v>0</v>
      </c>
      <c r="Y1837" s="219">
        <f>IFERROR(IF(RIGHT(F1837,3)="Exp",VLOOKUP(F1837,#REF!,2,FALSE),VLOOKUP(F1837,#REF!,9,FALSE)),0)</f>
        <v>0</v>
      </c>
      <c r="Z1837" s="226">
        <f t="shared" si="204"/>
        <v>0</v>
      </c>
      <c r="AA1837" s="226">
        <f t="shared" si="205"/>
        <v>0</v>
      </c>
      <c r="AB1837" s="205">
        <f>IFERROR(SUMIFS('Comp2016-2017 (3)'!$G$5:$G$289,'Comp2016-2017 (3)'!$A$5:$A$289,A1837,'Comp2016-2017 (3)'!$R$5:$R$289,V1837)*AA1837/SUMIFS($AA$4:$AA$1858,$A$4:$A$1858,A1837,$V$4:$V$1858,V1837),0)</f>
        <v>0</v>
      </c>
      <c r="AC1837" s="205" t="str">
        <f>IF($W1837=AC$3,$AB1837,IF(NOT($W1837=0),"",SUMIFS('Val-Vol (2)'!AC$4:AC$1858,'Val-Vol (2)'!$A$4:$A$1858,$D1837,'Val-Vol (2)'!$V$4:$V$1858,$V1837)/SUMIFS('Comp2016-2017 (3)'!$G$5:$G$289,'Comp2016-2017 (3)'!$A$5:$A$289,$D1837,'Comp2016-2017 (3)'!$R$5:$R$289,$V1837)*$AB1837))</f>
        <v/>
      </c>
      <c r="AD1837" s="205" t="str">
        <f>IF($W1837=AD$3,$AB1837,IF(NOT($W1837=0),"",SUMIFS('Val-Vol (2)'!AD$4:AD$1858,'Val-Vol (2)'!$A$4:$A$1858,$D1837,'Val-Vol (2)'!$V$4:$V$1858,$V1837)/SUMIFS('Comp2016-2017 (3)'!$G$5:$G$289,'Comp2016-2017 (3)'!$A$5:$A$289,$D1837,'Comp2016-2017 (3)'!$R$5:$R$289,$V1837)*$AB1837))</f>
        <v/>
      </c>
      <c r="AE1837" s="205" t="str">
        <f>IF($W1837=AE$3,$AB1837,IF(NOT($W1837=0),"",SUMIFS('Val-Vol (2)'!AE$4:AE$1858,'Val-Vol (2)'!$A$4:$A$1858,$D1837,'Val-Vol (2)'!$V$4:$V$1858,$V1837)/SUMIFS('Comp2016-2017 (3)'!$G$5:$G$289,'Comp2016-2017 (3)'!$A$5:$A$289,$D1837,'Comp2016-2017 (3)'!$R$5:$R$289,$V1837)*$AB1837))</f>
        <v/>
      </c>
      <c r="AF1837" s="205" t="str">
        <f>IF($W1837=AF$3,$AB1837,IF(NOT($W1837=0),"",SUMIFS('Val-Vol (2)'!AF$4:AF$1858,'Val-Vol (2)'!$A$4:$A$1858,$D1837,'Val-Vol (2)'!$V$4:$V$1858,$V1837)/SUMIFS('Comp2016-2017 (3)'!$G$5:$G$289,'Comp2016-2017 (3)'!$A$5:$A$289,$D1837,'Comp2016-2017 (3)'!$R$5:$R$289,$V1837)*$AB1837))</f>
        <v/>
      </c>
      <c r="AG1837" s="205" t="str">
        <f>IF($W1837=AG$3,$AB1837,IF(NOT($W1837=0),"",SUMIFS('Val-Vol (2)'!AG$4:AG$1858,'Val-Vol (2)'!$A$4:$A$1858,$D1837,'Val-Vol (2)'!$V$4:$V$1858,$V1837)/SUMIFS('Comp2016-2017 (3)'!$G$5:$G$289,'Comp2016-2017 (3)'!$A$5:$A$289,$D1837,'Comp2016-2017 (3)'!$R$5:$R$289,$V1837)*$AB1837))</f>
        <v/>
      </c>
      <c r="AH1837" s="205">
        <f>IF($W1837=AH$3,$AB1837,IF(NOT($W1837=0),"",SUMIFS('Val-Vol (2)'!AH$4:AH$1858,'Val-Vol (2)'!$A$4:$A$1858,$D1837,'Val-Vol (2)'!$V$4:$V$1858,$V1837)/SUMIFS('Comp2016-2017 (3)'!$G$5:$G$289,'Comp2016-2017 (3)'!$A$5:$A$289,$D1837,'Comp2016-2017 (3)'!$R$5:$R$289,$V1837)*$AB1837))</f>
        <v>0</v>
      </c>
      <c r="AI1837" s="205" t="str">
        <f>IF($W1837=AI$3,$AB1837,IF(NOT($W1837=0),"",SUMIFS('Val-Vol (2)'!AI$4:AI$1858,'Val-Vol (2)'!$A$4:$A$1858,$D1837,'Val-Vol (2)'!$V$4:$V$1858,$V1837)/SUMIFS('Comp2016-2017 (3)'!$G$5:$G$289,'Comp2016-2017 (3)'!$A$5:$A$289,$D1837,'Comp2016-2017 (3)'!$R$5:$R$289,$V1837)*$AB1837))</f>
        <v/>
      </c>
      <c r="AJ1837" s="205" t="str">
        <f>IF($W1837=AJ$3,$AB1837,IF(NOT($W1837=0),"",SUMIFS('Val-Vol (2)'!AJ$4:AJ$1858,'Val-Vol (2)'!$A$4:$A$1858,$D1837,'Val-Vol (2)'!$V$4:$V$1858,$V1837)/SUMIFS('Comp2016-2017 (3)'!$G$5:$G$289,'Comp2016-2017 (3)'!$A$5:$A$289,$D1837,'Comp2016-2017 (3)'!$R$5:$R$289,$V1837)*$AB1837))</f>
        <v/>
      </c>
      <c r="AK1837" s="205">
        <f t="shared" si="206"/>
        <v>0</v>
      </c>
      <c r="AL1837" s="218" t="str">
        <f t="shared" si="207"/>
        <v/>
      </c>
      <c r="AM1837" s="218" t="str">
        <f>VLOOKUP(A1837,'Table corresp.'!$M$4:$U$63,8,FALSE)</f>
        <v>Importation</v>
      </c>
      <c r="AN1837" s="218" t="str">
        <f>VLOOKUP(D1837,'Table corresp.'!$M$4:$U$63,9,FALSE)</f>
        <v>Production intermédiaire</v>
      </c>
    </row>
    <row r="1838" spans="1:40" x14ac:dyDescent="0.25">
      <c r="A1838" t="s">
        <v>52</v>
      </c>
      <c r="B1838" t="str">
        <f>VLOOKUP(LEFT(A1838,3),'Table corresp.'!$A$4:$D$63,3,FALSE)</f>
        <v>Importation</v>
      </c>
      <c r="C1838" t="str">
        <f>VLOOKUP(A1838,'Table corresp.'!$M$4:$P$63,4,FALSE)</f>
        <v>Importation</v>
      </c>
      <c r="D1838" t="s">
        <v>13</v>
      </c>
      <c r="E1838" t="str">
        <f>VLOOKUP(LEFT(D1838,3),'Table corresp.'!$A$4:$D$63,4,FALSE)</f>
        <v>Transformation</v>
      </c>
      <c r="F1838" t="str">
        <f t="shared" si="208"/>
        <v xml:space="preserve">Imp - 20 </v>
      </c>
      <c r="G1838" s="238">
        <v>0</v>
      </c>
      <c r="H1838" s="238">
        <v>289969.30900000012</v>
      </c>
      <c r="I1838" s="238">
        <v>289969.30900000012</v>
      </c>
      <c r="J1838" s="238">
        <v>0</v>
      </c>
      <c r="K1838" s="238">
        <v>875.58763065567166</v>
      </c>
      <c r="L1838" s="238">
        <v>875.58763065567166</v>
      </c>
      <c r="M1838" s="238"/>
      <c r="N1838" s="238"/>
      <c r="O1838" s="238"/>
      <c r="P1838" s="238"/>
      <c r="Q1838" s="238"/>
      <c r="R1838" s="238"/>
      <c r="S1838" s="238"/>
      <c r="T1838" s="218">
        <f>VLOOKUP(A1838,'Groupe de branches'!$Z$27:$AM$86,14,FALSE)</f>
        <v>0</v>
      </c>
      <c r="U1838" s="218">
        <f>VLOOKUP(D1838,'Groupe de branches'!$Z$27:$AM$86,14,FALSE)</f>
        <v>0</v>
      </c>
      <c r="V1838" s="218">
        <v>2020</v>
      </c>
      <c r="W1838" s="218">
        <f>VLOOKUP(D1838,'Table corresp.'!$M$4:$S$63,7,FALSE)</f>
        <v>0</v>
      </c>
      <c r="X1838" s="240">
        <f>IFERROR(G1838/SUMIFS('Comp2016-2017 (3)'!$I$5:$I$289,'Comp2016-2017 (3)'!$A$5:$A$289,A1838,'Comp2016-2017 (3)'!$R$5:$R$289,V1838),0)</f>
        <v>0</v>
      </c>
      <c r="Y1838" s="219">
        <f>IFERROR(IF(RIGHT(F1838,3)="Exp",VLOOKUP(F1838,#REF!,2,FALSE),VLOOKUP(F1838,#REF!,9,FALSE)),0)</f>
        <v>0</v>
      </c>
      <c r="Z1838" s="226">
        <f t="shared" si="204"/>
        <v>0</v>
      </c>
      <c r="AA1838" s="226">
        <f t="shared" si="205"/>
        <v>0</v>
      </c>
      <c r="AB1838" s="205">
        <f>IFERROR(SUMIFS('Comp2016-2017 (3)'!$G$5:$G$289,'Comp2016-2017 (3)'!$A$5:$A$289,A1838,'Comp2016-2017 (3)'!$R$5:$R$289,V1838)*AA1838/SUMIFS($AA$4:$AA$1858,$A$4:$A$1858,A1838,$V$4:$V$1858,V1838),0)</f>
        <v>0</v>
      </c>
      <c r="AC1838" s="205">
        <f>IF($W1838=AC$3,$AB1838,IF(NOT($W1838=0),"",SUMIFS('Val-Vol (2)'!AC$4:AC$1858,'Val-Vol (2)'!$A$4:$A$1858,$D1838,'Val-Vol (2)'!$V$4:$V$1858,$V1838)/SUMIFS('Comp2016-2017 (3)'!$G$5:$G$289,'Comp2016-2017 (3)'!$A$5:$A$289,$D1838,'Comp2016-2017 (3)'!$R$5:$R$289,$V1838)*$AB1838))</f>
        <v>0</v>
      </c>
      <c r="AD1838" s="205">
        <f>IF($W1838=AD$3,$AB1838,IF(NOT($W1838=0),"",SUMIFS('Val-Vol (2)'!AD$4:AD$1858,'Val-Vol (2)'!$A$4:$A$1858,$D1838,'Val-Vol (2)'!$V$4:$V$1858,$V1838)/SUMIFS('Comp2016-2017 (3)'!$G$5:$G$289,'Comp2016-2017 (3)'!$A$5:$A$289,$D1838,'Comp2016-2017 (3)'!$R$5:$R$289,$V1838)*$AB1838))</f>
        <v>0</v>
      </c>
      <c r="AE1838" s="205">
        <f>IF($W1838=AE$3,$AB1838,IF(NOT($W1838=0),"",SUMIFS('Val-Vol (2)'!AE$4:AE$1858,'Val-Vol (2)'!$A$4:$A$1858,$D1838,'Val-Vol (2)'!$V$4:$V$1858,$V1838)/SUMIFS('Comp2016-2017 (3)'!$G$5:$G$289,'Comp2016-2017 (3)'!$A$5:$A$289,$D1838,'Comp2016-2017 (3)'!$R$5:$R$289,$V1838)*$AB1838))</f>
        <v>0</v>
      </c>
      <c r="AF1838" s="205">
        <f>IF($W1838=AF$3,$AB1838,IF(NOT($W1838=0),"",SUMIFS('Val-Vol (2)'!AF$4:AF$1858,'Val-Vol (2)'!$A$4:$A$1858,$D1838,'Val-Vol (2)'!$V$4:$V$1858,$V1838)/SUMIFS('Comp2016-2017 (3)'!$G$5:$G$289,'Comp2016-2017 (3)'!$A$5:$A$289,$D1838,'Comp2016-2017 (3)'!$R$5:$R$289,$V1838)*$AB1838))</f>
        <v>0</v>
      </c>
      <c r="AG1838" s="205">
        <f>IF($W1838=AG$3,$AB1838,IF(NOT($W1838=0),"",SUMIFS('Val-Vol (2)'!AG$4:AG$1858,'Val-Vol (2)'!$A$4:$A$1858,$D1838,'Val-Vol (2)'!$V$4:$V$1858,$V1838)/SUMIFS('Comp2016-2017 (3)'!$G$5:$G$289,'Comp2016-2017 (3)'!$A$5:$A$289,$D1838,'Comp2016-2017 (3)'!$R$5:$R$289,$V1838)*$AB1838))</f>
        <v>0</v>
      </c>
      <c r="AH1838" s="205">
        <f>IF($W1838=AH$3,$AB1838,IF(NOT($W1838=0),"",SUMIFS('Val-Vol (2)'!AH$4:AH$1858,'Val-Vol (2)'!$A$4:$A$1858,$D1838,'Val-Vol (2)'!$V$4:$V$1858,$V1838)/SUMIFS('Comp2016-2017 (3)'!$G$5:$G$289,'Comp2016-2017 (3)'!$A$5:$A$289,$D1838,'Comp2016-2017 (3)'!$R$5:$R$289,$V1838)*$AB1838))</f>
        <v>0</v>
      </c>
      <c r="AI1838" s="205">
        <f>IF($W1838=AI$3,$AB1838,IF(NOT($W1838=0),"",SUMIFS('Val-Vol (2)'!AI$4:AI$1858,'Val-Vol (2)'!$A$4:$A$1858,$D1838,'Val-Vol (2)'!$V$4:$V$1858,$V1838)/SUMIFS('Comp2016-2017 (3)'!$G$5:$G$289,'Comp2016-2017 (3)'!$A$5:$A$289,$D1838,'Comp2016-2017 (3)'!$R$5:$R$289,$V1838)*$AB1838))</f>
        <v>0</v>
      </c>
      <c r="AJ1838" s="205">
        <f>IF($W1838=AJ$3,$AB1838,IF(NOT($W1838=0),"",SUMIFS('Val-Vol (2)'!AJ$4:AJ$1858,'Val-Vol (2)'!$A$4:$A$1858,$D1838,'Val-Vol (2)'!$V$4:$V$1858,$V1838)/SUMIFS('Comp2016-2017 (3)'!$G$5:$G$289,'Comp2016-2017 (3)'!$A$5:$A$289,$D1838,'Comp2016-2017 (3)'!$R$5:$R$289,$V1838)*$AB1838))</f>
        <v>0</v>
      </c>
      <c r="AK1838" s="205">
        <f t="shared" si="206"/>
        <v>0</v>
      </c>
      <c r="AL1838" s="218" t="str">
        <f t="shared" si="207"/>
        <v/>
      </c>
      <c r="AM1838" s="218" t="str">
        <f>VLOOKUP(A1838,'Table corresp.'!$M$4:$U$63,8,FALSE)</f>
        <v>Importation</v>
      </c>
      <c r="AN1838" s="218" t="str">
        <f>VLOOKUP(D1838,'Table corresp.'!$M$4:$U$63,9,FALSE)</f>
        <v>Production intermédiaire</v>
      </c>
    </row>
    <row r="1839" spans="1:40" x14ac:dyDescent="0.25">
      <c r="A1839" t="s">
        <v>52</v>
      </c>
      <c r="B1839" t="str">
        <f>VLOOKUP(LEFT(A1839,3),'Table corresp.'!$A$4:$D$63,3,FALSE)</f>
        <v>Importation</v>
      </c>
      <c r="C1839" t="str">
        <f>VLOOKUP(A1839,'Table corresp.'!$M$4:$P$63,4,FALSE)</f>
        <v>Importation</v>
      </c>
      <c r="D1839" t="s">
        <v>14</v>
      </c>
      <c r="E1839" t="str">
        <f>VLOOKUP(LEFT(D1839,3),'Table corresp.'!$A$4:$D$63,4,FALSE)</f>
        <v>Transformation</v>
      </c>
      <c r="F1839" t="str">
        <f t="shared" si="208"/>
        <v>Imp - 20b</v>
      </c>
      <c r="G1839" s="238">
        <v>0</v>
      </c>
      <c r="H1839" s="238">
        <v>339564.20599999966</v>
      </c>
      <c r="I1839" s="238">
        <v>339564.20599999966</v>
      </c>
      <c r="J1839" s="238">
        <v>0</v>
      </c>
      <c r="K1839" s="238">
        <v>1739.4579489562066</v>
      </c>
      <c r="L1839" s="238">
        <v>1739.4579489562066</v>
      </c>
      <c r="M1839" s="238"/>
      <c r="N1839" s="238"/>
      <c r="O1839" s="238"/>
      <c r="P1839" s="238"/>
      <c r="Q1839" s="238"/>
      <c r="R1839" s="238"/>
      <c r="S1839" s="238"/>
      <c r="T1839" s="218">
        <f>VLOOKUP(A1839,'Groupe de branches'!$Z$27:$AM$86,14,FALSE)</f>
        <v>0</v>
      </c>
      <c r="U1839" s="218">
        <f>VLOOKUP(D1839,'Groupe de branches'!$Z$27:$AM$86,14,FALSE)</f>
        <v>0</v>
      </c>
      <c r="V1839" s="218">
        <v>2020</v>
      </c>
      <c r="W1839" s="218">
        <f>VLOOKUP(D1839,'Table corresp.'!$M$4:$S$63,7,FALSE)</f>
        <v>0</v>
      </c>
      <c r="X1839" s="240">
        <f>IFERROR(G1839/SUMIFS('Comp2016-2017 (3)'!$I$5:$I$289,'Comp2016-2017 (3)'!$A$5:$A$289,A1839,'Comp2016-2017 (3)'!$R$5:$R$289,V1839),0)</f>
        <v>0</v>
      </c>
      <c r="Y1839" s="219">
        <f>IFERROR(IF(RIGHT(F1839,3)="Exp",VLOOKUP(F1839,#REF!,2,FALSE),VLOOKUP(F1839,#REF!,9,FALSE)),0)</f>
        <v>0</v>
      </c>
      <c r="Z1839" s="226">
        <f t="shared" si="204"/>
        <v>0</v>
      </c>
      <c r="AA1839" s="226">
        <f t="shared" si="205"/>
        <v>0</v>
      </c>
      <c r="AB1839" s="205">
        <f>IFERROR(SUMIFS('Comp2016-2017 (3)'!$G$5:$G$289,'Comp2016-2017 (3)'!$A$5:$A$289,A1839,'Comp2016-2017 (3)'!$R$5:$R$289,V1839)*AA1839/SUMIFS($AA$4:$AA$1858,$A$4:$A$1858,A1839,$V$4:$V$1858,V1839),0)</f>
        <v>0</v>
      </c>
      <c r="AC1839" s="205">
        <f>IF($W1839=AC$3,$AB1839,IF(NOT($W1839=0),"",SUMIFS('Val-Vol (2)'!AC$4:AC$1858,'Val-Vol (2)'!$A$4:$A$1858,$D1839,'Val-Vol (2)'!$V$4:$V$1858,$V1839)/SUMIFS('Comp2016-2017 (3)'!$G$5:$G$289,'Comp2016-2017 (3)'!$A$5:$A$289,$D1839,'Comp2016-2017 (3)'!$R$5:$R$289,$V1839)*$AB1839))</f>
        <v>0</v>
      </c>
      <c r="AD1839" s="205">
        <f>IF($W1839=AD$3,$AB1839,IF(NOT($W1839=0),"",SUMIFS('Val-Vol (2)'!AD$4:AD$1858,'Val-Vol (2)'!$A$4:$A$1858,$D1839,'Val-Vol (2)'!$V$4:$V$1858,$V1839)/SUMIFS('Comp2016-2017 (3)'!$G$5:$G$289,'Comp2016-2017 (3)'!$A$5:$A$289,$D1839,'Comp2016-2017 (3)'!$R$5:$R$289,$V1839)*$AB1839))</f>
        <v>0</v>
      </c>
      <c r="AE1839" s="205">
        <f>IF($W1839=AE$3,$AB1839,IF(NOT($W1839=0),"",SUMIFS('Val-Vol (2)'!AE$4:AE$1858,'Val-Vol (2)'!$A$4:$A$1858,$D1839,'Val-Vol (2)'!$V$4:$V$1858,$V1839)/SUMIFS('Comp2016-2017 (3)'!$G$5:$G$289,'Comp2016-2017 (3)'!$A$5:$A$289,$D1839,'Comp2016-2017 (3)'!$R$5:$R$289,$V1839)*$AB1839))</f>
        <v>0</v>
      </c>
      <c r="AF1839" s="205">
        <f>IF($W1839=AF$3,$AB1839,IF(NOT($W1839=0),"",SUMIFS('Val-Vol (2)'!AF$4:AF$1858,'Val-Vol (2)'!$A$4:$A$1858,$D1839,'Val-Vol (2)'!$V$4:$V$1858,$V1839)/SUMIFS('Comp2016-2017 (3)'!$G$5:$G$289,'Comp2016-2017 (3)'!$A$5:$A$289,$D1839,'Comp2016-2017 (3)'!$R$5:$R$289,$V1839)*$AB1839))</f>
        <v>0</v>
      </c>
      <c r="AG1839" s="205">
        <f>IF($W1839=AG$3,$AB1839,IF(NOT($W1839=0),"",SUMIFS('Val-Vol (2)'!AG$4:AG$1858,'Val-Vol (2)'!$A$4:$A$1858,$D1839,'Val-Vol (2)'!$V$4:$V$1858,$V1839)/SUMIFS('Comp2016-2017 (3)'!$G$5:$G$289,'Comp2016-2017 (3)'!$A$5:$A$289,$D1839,'Comp2016-2017 (3)'!$R$5:$R$289,$V1839)*$AB1839))</f>
        <v>0</v>
      </c>
      <c r="AH1839" s="205">
        <f>IF($W1839=AH$3,$AB1839,IF(NOT($W1839=0),"",SUMIFS('Val-Vol (2)'!AH$4:AH$1858,'Val-Vol (2)'!$A$4:$A$1858,$D1839,'Val-Vol (2)'!$V$4:$V$1858,$V1839)/SUMIFS('Comp2016-2017 (3)'!$G$5:$G$289,'Comp2016-2017 (3)'!$A$5:$A$289,$D1839,'Comp2016-2017 (3)'!$R$5:$R$289,$V1839)*$AB1839))</f>
        <v>0</v>
      </c>
      <c r="AI1839" s="205">
        <f>IF($W1839=AI$3,$AB1839,IF(NOT($W1839=0),"",SUMIFS('Val-Vol (2)'!AI$4:AI$1858,'Val-Vol (2)'!$A$4:$A$1858,$D1839,'Val-Vol (2)'!$V$4:$V$1858,$V1839)/SUMIFS('Comp2016-2017 (3)'!$G$5:$G$289,'Comp2016-2017 (3)'!$A$5:$A$289,$D1839,'Comp2016-2017 (3)'!$R$5:$R$289,$V1839)*$AB1839))</f>
        <v>0</v>
      </c>
      <c r="AJ1839" s="205">
        <f>IF($W1839=AJ$3,$AB1839,IF(NOT($W1839=0),"",SUMIFS('Val-Vol (2)'!AJ$4:AJ$1858,'Val-Vol (2)'!$A$4:$A$1858,$D1839,'Val-Vol (2)'!$V$4:$V$1858,$V1839)/SUMIFS('Comp2016-2017 (3)'!$G$5:$G$289,'Comp2016-2017 (3)'!$A$5:$A$289,$D1839,'Comp2016-2017 (3)'!$R$5:$R$289,$V1839)*$AB1839))</f>
        <v>0</v>
      </c>
      <c r="AK1839" s="205">
        <f t="shared" si="206"/>
        <v>0</v>
      </c>
      <c r="AL1839" s="218" t="str">
        <f t="shared" si="207"/>
        <v/>
      </c>
      <c r="AM1839" s="218" t="str">
        <f>VLOOKUP(A1839,'Table corresp.'!$M$4:$U$63,8,FALSE)</f>
        <v>Importation</v>
      </c>
      <c r="AN1839" s="218" t="str">
        <f>VLOOKUP(D1839,'Table corresp.'!$M$4:$U$63,9,FALSE)</f>
        <v>Production intermédiaire</v>
      </c>
    </row>
    <row r="1840" spans="1:40" x14ac:dyDescent="0.25">
      <c r="A1840" t="s">
        <v>52</v>
      </c>
      <c r="B1840" t="str">
        <f>VLOOKUP(LEFT(A1840,3),'Table corresp.'!$A$4:$D$63,3,FALSE)</f>
        <v>Importation</v>
      </c>
      <c r="C1840" t="str">
        <f>VLOOKUP(A1840,'Table corresp.'!$M$4:$P$63,4,FALSE)</f>
        <v>Importation</v>
      </c>
      <c r="D1840" t="s">
        <v>85</v>
      </c>
      <c r="E1840" t="str">
        <f>VLOOKUP(LEFT(D1840,3),'Table corresp.'!$A$4:$D$63,4,FALSE)</f>
        <v>Transformation</v>
      </c>
      <c r="F1840" t="str">
        <f t="shared" si="208"/>
        <v xml:space="preserve">Imp - 29 </v>
      </c>
      <c r="G1840" s="238">
        <v>0</v>
      </c>
      <c r="H1840" s="238">
        <v>19650.199999999975</v>
      </c>
      <c r="I1840" s="238">
        <v>19650.199999999975</v>
      </c>
      <c r="J1840" s="238">
        <v>0</v>
      </c>
      <c r="K1840" s="238">
        <v>686.58209501529984</v>
      </c>
      <c r="L1840" s="238">
        <v>686.58209501529984</v>
      </c>
      <c r="M1840" s="238"/>
      <c r="N1840" s="238"/>
      <c r="O1840" s="238"/>
      <c r="P1840" s="238"/>
      <c r="Q1840" s="238"/>
      <c r="R1840" s="238"/>
      <c r="S1840" s="238"/>
      <c r="T1840" s="218">
        <f>VLOOKUP(A1840,'Groupe de branches'!$Z$27:$AM$86,14,FALSE)</f>
        <v>0</v>
      </c>
      <c r="U1840" s="218">
        <f>VLOOKUP(D1840,'Groupe de branches'!$Z$27:$AM$86,14,FALSE)</f>
        <v>0</v>
      </c>
      <c r="V1840" s="218">
        <v>2020</v>
      </c>
      <c r="W1840" s="218" t="str">
        <f>VLOOKUP(D1840,'Table corresp.'!$M$4:$S$63,7,FALSE)</f>
        <v>Construction</v>
      </c>
      <c r="X1840" s="240">
        <f>IFERROR(G1840/SUMIFS('Comp2016-2017 (3)'!$I$5:$I$289,'Comp2016-2017 (3)'!$A$5:$A$289,A1840,'Comp2016-2017 (3)'!$R$5:$R$289,V1840),0)</f>
        <v>0</v>
      </c>
      <c r="Y1840" s="219">
        <f>IFERROR(IF(RIGHT(F1840,3)="Exp",VLOOKUP(F1840,#REF!,2,FALSE),VLOOKUP(F1840,#REF!,9,FALSE)),0)</f>
        <v>0</v>
      </c>
      <c r="Z1840" s="226">
        <f t="shared" si="204"/>
        <v>0</v>
      </c>
      <c r="AA1840" s="226">
        <f t="shared" si="205"/>
        <v>0</v>
      </c>
      <c r="AB1840" s="205">
        <f>IFERROR(SUMIFS('Comp2016-2017 (3)'!$G$5:$G$289,'Comp2016-2017 (3)'!$A$5:$A$289,A1840,'Comp2016-2017 (3)'!$R$5:$R$289,V1840)*AA1840/SUMIFS($AA$4:$AA$1858,$A$4:$A$1858,A1840,$V$4:$V$1858,V1840),0)</f>
        <v>0</v>
      </c>
      <c r="AC1840" s="205" t="str">
        <f>IF($W1840=AC$3,$AB1840,IF(NOT($W1840=0),"",SUMIFS('Val-Vol (2)'!AC$4:AC$1858,'Val-Vol (2)'!$A$4:$A$1858,$D1840,'Val-Vol (2)'!$V$4:$V$1858,$V1840)/SUMIFS('Comp2016-2017 (3)'!$G$5:$G$289,'Comp2016-2017 (3)'!$A$5:$A$289,$D1840,'Comp2016-2017 (3)'!$R$5:$R$289,$V1840)*$AB1840))</f>
        <v/>
      </c>
      <c r="AD1840" s="205">
        <f>IF($W1840=AD$3,$AB1840,IF(NOT($W1840=0),"",SUMIFS('Val-Vol (2)'!AD$4:AD$1858,'Val-Vol (2)'!$A$4:$A$1858,$D1840,'Val-Vol (2)'!$V$4:$V$1858,$V1840)/SUMIFS('Comp2016-2017 (3)'!$G$5:$G$289,'Comp2016-2017 (3)'!$A$5:$A$289,$D1840,'Comp2016-2017 (3)'!$R$5:$R$289,$V1840)*$AB1840))</f>
        <v>0</v>
      </c>
      <c r="AE1840" s="205" t="str">
        <f>IF($W1840=AE$3,$AB1840,IF(NOT($W1840=0),"",SUMIFS('Val-Vol (2)'!AE$4:AE$1858,'Val-Vol (2)'!$A$4:$A$1858,$D1840,'Val-Vol (2)'!$V$4:$V$1858,$V1840)/SUMIFS('Comp2016-2017 (3)'!$G$5:$G$289,'Comp2016-2017 (3)'!$A$5:$A$289,$D1840,'Comp2016-2017 (3)'!$R$5:$R$289,$V1840)*$AB1840))</f>
        <v/>
      </c>
      <c r="AF1840" s="205" t="str">
        <f>IF($W1840=AF$3,$AB1840,IF(NOT($W1840=0),"",SUMIFS('Val-Vol (2)'!AF$4:AF$1858,'Val-Vol (2)'!$A$4:$A$1858,$D1840,'Val-Vol (2)'!$V$4:$V$1858,$V1840)/SUMIFS('Comp2016-2017 (3)'!$G$5:$G$289,'Comp2016-2017 (3)'!$A$5:$A$289,$D1840,'Comp2016-2017 (3)'!$R$5:$R$289,$V1840)*$AB1840))</f>
        <v/>
      </c>
      <c r="AG1840" s="205" t="str">
        <f>IF($W1840=AG$3,$AB1840,IF(NOT($W1840=0),"",SUMIFS('Val-Vol (2)'!AG$4:AG$1858,'Val-Vol (2)'!$A$4:$A$1858,$D1840,'Val-Vol (2)'!$V$4:$V$1858,$V1840)/SUMIFS('Comp2016-2017 (3)'!$G$5:$G$289,'Comp2016-2017 (3)'!$A$5:$A$289,$D1840,'Comp2016-2017 (3)'!$R$5:$R$289,$V1840)*$AB1840))</f>
        <v/>
      </c>
      <c r="AH1840" s="205" t="str">
        <f>IF($W1840=AH$3,$AB1840,IF(NOT($W1840=0),"",SUMIFS('Val-Vol (2)'!AH$4:AH$1858,'Val-Vol (2)'!$A$4:$A$1858,$D1840,'Val-Vol (2)'!$V$4:$V$1858,$V1840)/SUMIFS('Comp2016-2017 (3)'!$G$5:$G$289,'Comp2016-2017 (3)'!$A$5:$A$289,$D1840,'Comp2016-2017 (3)'!$R$5:$R$289,$V1840)*$AB1840))</f>
        <v/>
      </c>
      <c r="AI1840" s="205" t="str">
        <f>IF($W1840=AI$3,$AB1840,IF(NOT($W1840=0),"",SUMIFS('Val-Vol (2)'!AI$4:AI$1858,'Val-Vol (2)'!$A$4:$A$1858,$D1840,'Val-Vol (2)'!$V$4:$V$1858,$V1840)/SUMIFS('Comp2016-2017 (3)'!$G$5:$G$289,'Comp2016-2017 (3)'!$A$5:$A$289,$D1840,'Comp2016-2017 (3)'!$R$5:$R$289,$V1840)*$AB1840))</f>
        <v/>
      </c>
      <c r="AJ1840" s="205" t="str">
        <f>IF($W1840=AJ$3,$AB1840,IF(NOT($W1840=0),"",SUMIFS('Val-Vol (2)'!AJ$4:AJ$1858,'Val-Vol (2)'!$A$4:$A$1858,$D1840,'Val-Vol (2)'!$V$4:$V$1858,$V1840)/SUMIFS('Comp2016-2017 (3)'!$G$5:$G$289,'Comp2016-2017 (3)'!$A$5:$A$289,$D1840,'Comp2016-2017 (3)'!$R$5:$R$289,$V1840)*$AB1840))</f>
        <v/>
      </c>
      <c r="AK1840" s="205">
        <f t="shared" si="206"/>
        <v>0</v>
      </c>
      <c r="AL1840" s="218" t="str">
        <f t="shared" si="207"/>
        <v/>
      </c>
      <c r="AM1840" s="218" t="str">
        <f>VLOOKUP(A1840,'Table corresp.'!$M$4:$U$63,8,FALSE)</f>
        <v>Importation</v>
      </c>
      <c r="AN1840" s="218" t="str">
        <f>VLOOKUP(D1840,'Table corresp.'!$M$4:$U$63,9,FALSE)</f>
        <v>Production intermédiaire</v>
      </c>
    </row>
    <row r="1841" spans="1:40" x14ac:dyDescent="0.25">
      <c r="A1841" t="s">
        <v>52</v>
      </c>
      <c r="B1841" t="str">
        <f>VLOOKUP(LEFT(A1841,3),'Table corresp.'!$A$4:$D$63,3,FALSE)</f>
        <v>Importation</v>
      </c>
      <c r="C1841" t="str">
        <f>VLOOKUP(A1841,'Table corresp.'!$M$4:$P$63,4,FALSE)</f>
        <v>Importation</v>
      </c>
      <c r="D1841" t="s">
        <v>86</v>
      </c>
      <c r="E1841" t="str">
        <f>VLOOKUP(LEFT(D1841,3),'Table corresp.'!$A$4:$D$63,4,FALSE)</f>
        <v>Transformation</v>
      </c>
      <c r="F1841" t="str">
        <f t="shared" si="208"/>
        <v xml:space="preserve">Imp - 30 </v>
      </c>
      <c r="G1841" s="238">
        <v>0</v>
      </c>
      <c r="H1841" s="238">
        <v>147758.5910000001</v>
      </c>
      <c r="I1841" s="238">
        <v>147758.5910000001</v>
      </c>
      <c r="J1841" s="238"/>
      <c r="K1841" s="238"/>
      <c r="L1841" s="238"/>
      <c r="M1841" s="238"/>
      <c r="N1841" s="238"/>
      <c r="O1841" s="238"/>
      <c r="P1841" s="238">
        <v>0</v>
      </c>
      <c r="Q1841" s="238">
        <v>1651.013637937122</v>
      </c>
      <c r="R1841" s="238">
        <v>1651.013637937122</v>
      </c>
      <c r="S1841" s="238" t="s">
        <v>198</v>
      </c>
      <c r="T1841" s="218">
        <f>VLOOKUP(A1841,'Groupe de branches'!$Z$27:$AM$86,14,FALSE)</f>
        <v>0</v>
      </c>
      <c r="U1841" s="218">
        <f>VLOOKUP(D1841,'Groupe de branches'!$Z$27:$AM$86,14,FALSE)</f>
        <v>1</v>
      </c>
      <c r="V1841" s="218">
        <v>2020</v>
      </c>
      <c r="W1841" s="218" t="str">
        <f>VLOOKUP(D1841,'Table corresp.'!$M$4:$S$63,7,FALSE)</f>
        <v>Energie</v>
      </c>
      <c r="X1841" s="240">
        <f>IFERROR(G1841/SUMIFS('Comp2016-2017 (3)'!$I$5:$I$289,'Comp2016-2017 (3)'!$A$5:$A$289,A1841,'Comp2016-2017 (3)'!$R$5:$R$289,V1841),0)</f>
        <v>0</v>
      </c>
      <c r="Y1841" s="219">
        <f>IFERROR(IF(RIGHT(F1841,3)="Exp",VLOOKUP(F1841,#REF!,2,FALSE),VLOOKUP(F1841,#REF!,9,FALSE)),0)</f>
        <v>0</v>
      </c>
      <c r="Z1841" s="226">
        <f t="shared" si="204"/>
        <v>0</v>
      </c>
      <c r="AA1841" s="226">
        <f t="shared" si="205"/>
        <v>0</v>
      </c>
      <c r="AB1841" s="205">
        <f>IFERROR(SUMIFS('Comp2016-2017 (3)'!$G$5:$G$289,'Comp2016-2017 (3)'!$A$5:$A$289,A1841,'Comp2016-2017 (3)'!$R$5:$R$289,V1841)*AA1841/SUMIFS($AA$4:$AA$1858,$A$4:$A$1858,A1841,$V$4:$V$1858,V1841),0)</f>
        <v>0</v>
      </c>
      <c r="AC1841" s="205" t="str">
        <f>IF($W1841=AC$3,$AB1841,IF(NOT($W1841=0),"",SUMIFS('Val-Vol (2)'!AC$4:AC$1858,'Val-Vol (2)'!$A$4:$A$1858,$D1841,'Val-Vol (2)'!$V$4:$V$1858,$V1841)/SUMIFS('Comp2016-2017 (3)'!$G$5:$G$289,'Comp2016-2017 (3)'!$A$5:$A$289,$D1841,'Comp2016-2017 (3)'!$R$5:$R$289,$V1841)*$AB1841))</f>
        <v/>
      </c>
      <c r="AD1841" s="205" t="str">
        <f>IF($W1841=AD$3,$AB1841,IF(NOT($W1841=0),"",SUMIFS('Val-Vol (2)'!AD$4:AD$1858,'Val-Vol (2)'!$A$4:$A$1858,$D1841,'Val-Vol (2)'!$V$4:$V$1858,$V1841)/SUMIFS('Comp2016-2017 (3)'!$G$5:$G$289,'Comp2016-2017 (3)'!$A$5:$A$289,$D1841,'Comp2016-2017 (3)'!$R$5:$R$289,$V1841)*$AB1841))</f>
        <v/>
      </c>
      <c r="AE1841" s="205" t="str">
        <f>IF($W1841=AE$3,$AB1841,IF(NOT($W1841=0),"",SUMIFS('Val-Vol (2)'!AE$4:AE$1858,'Val-Vol (2)'!$A$4:$A$1858,$D1841,'Val-Vol (2)'!$V$4:$V$1858,$V1841)/SUMIFS('Comp2016-2017 (3)'!$G$5:$G$289,'Comp2016-2017 (3)'!$A$5:$A$289,$D1841,'Comp2016-2017 (3)'!$R$5:$R$289,$V1841)*$AB1841))</f>
        <v/>
      </c>
      <c r="AF1841" s="205" t="str">
        <f>IF($W1841=AF$3,$AB1841,IF(NOT($W1841=0),"",SUMIFS('Val-Vol (2)'!AF$4:AF$1858,'Val-Vol (2)'!$A$4:$A$1858,$D1841,'Val-Vol (2)'!$V$4:$V$1858,$V1841)/SUMIFS('Comp2016-2017 (3)'!$G$5:$G$289,'Comp2016-2017 (3)'!$A$5:$A$289,$D1841,'Comp2016-2017 (3)'!$R$5:$R$289,$V1841)*$AB1841))</f>
        <v/>
      </c>
      <c r="AG1841" s="205" t="str">
        <f>IF($W1841=AG$3,$AB1841,IF(NOT($W1841=0),"",SUMIFS('Val-Vol (2)'!AG$4:AG$1858,'Val-Vol (2)'!$A$4:$A$1858,$D1841,'Val-Vol (2)'!$V$4:$V$1858,$V1841)/SUMIFS('Comp2016-2017 (3)'!$G$5:$G$289,'Comp2016-2017 (3)'!$A$5:$A$289,$D1841,'Comp2016-2017 (3)'!$R$5:$R$289,$V1841)*$AB1841))</f>
        <v/>
      </c>
      <c r="AH1841" s="205">
        <f>IF($W1841=AH$3,$AB1841,IF(NOT($W1841=0),"",SUMIFS('Val-Vol (2)'!AH$4:AH$1858,'Val-Vol (2)'!$A$4:$A$1858,$D1841,'Val-Vol (2)'!$V$4:$V$1858,$V1841)/SUMIFS('Comp2016-2017 (3)'!$G$5:$G$289,'Comp2016-2017 (3)'!$A$5:$A$289,$D1841,'Comp2016-2017 (3)'!$R$5:$R$289,$V1841)*$AB1841))</f>
        <v>0</v>
      </c>
      <c r="AI1841" s="205" t="str">
        <f>IF($W1841=AI$3,$AB1841,IF(NOT($W1841=0),"",SUMIFS('Val-Vol (2)'!AI$4:AI$1858,'Val-Vol (2)'!$A$4:$A$1858,$D1841,'Val-Vol (2)'!$V$4:$V$1858,$V1841)/SUMIFS('Comp2016-2017 (3)'!$G$5:$G$289,'Comp2016-2017 (3)'!$A$5:$A$289,$D1841,'Comp2016-2017 (3)'!$R$5:$R$289,$V1841)*$AB1841))</f>
        <v/>
      </c>
      <c r="AJ1841" s="205" t="str">
        <f>IF($W1841=AJ$3,$AB1841,IF(NOT($W1841=0),"",SUMIFS('Val-Vol (2)'!AJ$4:AJ$1858,'Val-Vol (2)'!$A$4:$A$1858,$D1841,'Val-Vol (2)'!$V$4:$V$1858,$V1841)/SUMIFS('Comp2016-2017 (3)'!$G$5:$G$289,'Comp2016-2017 (3)'!$A$5:$A$289,$D1841,'Comp2016-2017 (3)'!$R$5:$R$289,$V1841)*$AB1841))</f>
        <v/>
      </c>
      <c r="AK1841" s="205">
        <f t="shared" si="206"/>
        <v>0</v>
      </c>
      <c r="AL1841" s="218" t="str">
        <f t="shared" si="207"/>
        <v/>
      </c>
      <c r="AM1841" s="218" t="str">
        <f>VLOOKUP(A1841,'Table corresp.'!$M$4:$U$63,8,FALSE)</f>
        <v>Importation</v>
      </c>
      <c r="AN1841" s="218" t="str">
        <f>VLOOKUP(D1841,'Table corresp.'!$M$4:$U$63,9,FALSE)</f>
        <v>Production intermédiaire</v>
      </c>
    </row>
    <row r="1842" spans="1:40" x14ac:dyDescent="0.25">
      <c r="A1842" t="s">
        <v>52</v>
      </c>
      <c r="B1842" t="str">
        <f>VLOOKUP(LEFT(A1842,3),'Table corresp.'!$A$4:$D$63,3,FALSE)</f>
        <v>Importation</v>
      </c>
      <c r="C1842" t="str">
        <f>VLOOKUP(A1842,'Table corresp.'!$M$4:$P$63,4,FALSE)</f>
        <v>Importation</v>
      </c>
      <c r="D1842" t="s">
        <v>87</v>
      </c>
      <c r="E1842" t="str">
        <f>VLOOKUP(LEFT(D1842,3),'Table corresp.'!$A$4:$D$63,4,FALSE)</f>
        <v>Transformation</v>
      </c>
      <c r="F1842" t="str">
        <f t="shared" si="208"/>
        <v xml:space="preserve">Imp - 31 </v>
      </c>
      <c r="G1842" s="238">
        <v>0</v>
      </c>
      <c r="H1842" s="238">
        <v>1026232.7400000012</v>
      </c>
      <c r="I1842" s="238">
        <v>1026232.7400000012</v>
      </c>
      <c r="J1842" s="238">
        <v>0</v>
      </c>
      <c r="K1842" s="238">
        <v>150.11340182432494</v>
      </c>
      <c r="L1842" s="238">
        <v>150.11340182432494</v>
      </c>
      <c r="M1842" s="238">
        <v>0</v>
      </c>
      <c r="N1842" s="238">
        <v>1933.8922781805938</v>
      </c>
      <c r="O1842" s="238">
        <v>1933.8922781805938</v>
      </c>
      <c r="P1842" s="238">
        <v>0</v>
      </c>
      <c r="Q1842" s="238">
        <v>579.95365290414952</v>
      </c>
      <c r="R1842" s="238">
        <v>579.95365290414952</v>
      </c>
      <c r="S1842" s="238" t="s">
        <v>192</v>
      </c>
      <c r="T1842" s="218">
        <f>VLOOKUP(A1842,'Groupe de branches'!$Z$27:$AM$86,14,FALSE)</f>
        <v>0</v>
      </c>
      <c r="U1842" s="218">
        <f>VLOOKUP(D1842,'Groupe de branches'!$Z$27:$AM$86,14,FALSE)</f>
        <v>0</v>
      </c>
      <c r="V1842" s="218">
        <v>2020</v>
      </c>
      <c r="W1842" s="218">
        <f>VLOOKUP(D1842,'Table corresp.'!$M$4:$S$63,7,FALSE)</f>
        <v>0</v>
      </c>
      <c r="X1842" s="240">
        <f>IFERROR(G1842/SUMIFS('Comp2016-2017 (3)'!$I$5:$I$289,'Comp2016-2017 (3)'!$A$5:$A$289,A1842,'Comp2016-2017 (3)'!$R$5:$R$289,V1842),0)</f>
        <v>0</v>
      </c>
      <c r="Y1842" s="219">
        <f>IFERROR(IF(RIGHT(F1842,3)="Exp",VLOOKUP(F1842,#REF!,2,FALSE),VLOOKUP(F1842,#REF!,9,FALSE)),0)</f>
        <v>0</v>
      </c>
      <c r="Z1842" s="226">
        <f t="shared" si="204"/>
        <v>0</v>
      </c>
      <c r="AA1842" s="226">
        <f t="shared" si="205"/>
        <v>0</v>
      </c>
      <c r="AB1842" s="205">
        <f>IFERROR(SUMIFS('Comp2016-2017 (3)'!$G$5:$G$289,'Comp2016-2017 (3)'!$A$5:$A$289,A1842,'Comp2016-2017 (3)'!$R$5:$R$289,V1842)*AA1842/SUMIFS($AA$4:$AA$1858,$A$4:$A$1858,A1842,$V$4:$V$1858,V1842),0)</f>
        <v>0</v>
      </c>
      <c r="AC1842" s="205">
        <f>IF($W1842=AC$3,$AB1842,IF(NOT($W1842=0),"",SUMIFS('Val-Vol (2)'!AC$4:AC$1858,'Val-Vol (2)'!$A$4:$A$1858,$D1842,'Val-Vol (2)'!$V$4:$V$1858,$V1842)/SUMIFS('Comp2016-2017 (3)'!$G$5:$G$289,'Comp2016-2017 (3)'!$A$5:$A$289,$D1842,'Comp2016-2017 (3)'!$R$5:$R$289,$V1842)*$AB1842))</f>
        <v>0</v>
      </c>
      <c r="AD1842" s="205">
        <f>IF($W1842=AD$3,$AB1842,IF(NOT($W1842=0),"",SUMIFS('Val-Vol (2)'!AD$4:AD$1858,'Val-Vol (2)'!$A$4:$A$1858,$D1842,'Val-Vol (2)'!$V$4:$V$1858,$V1842)/SUMIFS('Comp2016-2017 (3)'!$G$5:$G$289,'Comp2016-2017 (3)'!$A$5:$A$289,$D1842,'Comp2016-2017 (3)'!$R$5:$R$289,$V1842)*$AB1842))</f>
        <v>0</v>
      </c>
      <c r="AE1842" s="205">
        <f>IF($W1842=AE$3,$AB1842,IF(NOT($W1842=0),"",SUMIFS('Val-Vol (2)'!AE$4:AE$1858,'Val-Vol (2)'!$A$4:$A$1858,$D1842,'Val-Vol (2)'!$V$4:$V$1858,$V1842)/SUMIFS('Comp2016-2017 (3)'!$G$5:$G$289,'Comp2016-2017 (3)'!$A$5:$A$289,$D1842,'Comp2016-2017 (3)'!$R$5:$R$289,$V1842)*$AB1842))</f>
        <v>0</v>
      </c>
      <c r="AF1842" s="205">
        <f>IF($W1842=AF$3,$AB1842,IF(NOT($W1842=0),"",SUMIFS('Val-Vol (2)'!AF$4:AF$1858,'Val-Vol (2)'!$A$4:$A$1858,$D1842,'Val-Vol (2)'!$V$4:$V$1858,$V1842)/SUMIFS('Comp2016-2017 (3)'!$G$5:$G$289,'Comp2016-2017 (3)'!$A$5:$A$289,$D1842,'Comp2016-2017 (3)'!$R$5:$R$289,$V1842)*$AB1842))</f>
        <v>0</v>
      </c>
      <c r="AG1842" s="205">
        <f>IF($W1842=AG$3,$AB1842,IF(NOT($W1842=0),"",SUMIFS('Val-Vol (2)'!AG$4:AG$1858,'Val-Vol (2)'!$A$4:$A$1858,$D1842,'Val-Vol (2)'!$V$4:$V$1858,$V1842)/SUMIFS('Comp2016-2017 (3)'!$G$5:$G$289,'Comp2016-2017 (3)'!$A$5:$A$289,$D1842,'Comp2016-2017 (3)'!$R$5:$R$289,$V1842)*$AB1842))</f>
        <v>0</v>
      </c>
      <c r="AH1842" s="205">
        <f>IF($W1842=AH$3,$AB1842,IF(NOT($W1842=0),"",SUMIFS('Val-Vol (2)'!AH$4:AH$1858,'Val-Vol (2)'!$A$4:$A$1858,$D1842,'Val-Vol (2)'!$V$4:$V$1858,$V1842)/SUMIFS('Comp2016-2017 (3)'!$G$5:$G$289,'Comp2016-2017 (3)'!$A$5:$A$289,$D1842,'Comp2016-2017 (3)'!$R$5:$R$289,$V1842)*$AB1842))</f>
        <v>0</v>
      </c>
      <c r="AI1842" s="205">
        <f>IF($W1842=AI$3,$AB1842,IF(NOT($W1842=0),"",SUMIFS('Val-Vol (2)'!AI$4:AI$1858,'Val-Vol (2)'!$A$4:$A$1858,$D1842,'Val-Vol (2)'!$V$4:$V$1858,$V1842)/SUMIFS('Comp2016-2017 (3)'!$G$5:$G$289,'Comp2016-2017 (3)'!$A$5:$A$289,$D1842,'Comp2016-2017 (3)'!$R$5:$R$289,$V1842)*$AB1842))</f>
        <v>0</v>
      </c>
      <c r="AJ1842" s="205">
        <f>IF($W1842=AJ$3,$AB1842,IF(NOT($W1842=0),"",SUMIFS('Val-Vol (2)'!AJ$4:AJ$1858,'Val-Vol (2)'!$A$4:$A$1858,$D1842,'Val-Vol (2)'!$V$4:$V$1858,$V1842)/SUMIFS('Comp2016-2017 (3)'!$G$5:$G$289,'Comp2016-2017 (3)'!$A$5:$A$289,$D1842,'Comp2016-2017 (3)'!$R$5:$R$289,$V1842)*$AB1842))</f>
        <v>0</v>
      </c>
      <c r="AK1842" s="205">
        <f t="shared" si="206"/>
        <v>0</v>
      </c>
      <c r="AL1842" s="218" t="str">
        <f t="shared" si="207"/>
        <v/>
      </c>
      <c r="AM1842" s="218" t="str">
        <f>VLOOKUP(A1842,'Table corresp.'!$M$4:$U$63,8,FALSE)</f>
        <v>Importation</v>
      </c>
      <c r="AN1842" s="218" t="str">
        <f>VLOOKUP(D1842,'Table corresp.'!$M$4:$U$63,9,FALSE)</f>
        <v>Production intermédiaire</v>
      </c>
    </row>
    <row r="1843" spans="1:40" x14ac:dyDescent="0.25">
      <c r="A1843" t="s">
        <v>52</v>
      </c>
      <c r="B1843" t="str">
        <f>VLOOKUP(LEFT(A1843,3),'Table corresp.'!$A$4:$D$63,3,FALSE)</f>
        <v>Importation</v>
      </c>
      <c r="C1843" t="str">
        <f>VLOOKUP(A1843,'Table corresp.'!$M$4:$P$63,4,FALSE)</f>
        <v>Importation</v>
      </c>
      <c r="D1843" t="s">
        <v>89</v>
      </c>
      <c r="E1843" t="str">
        <f>VLOOKUP(LEFT(D1843,3),'Table corresp.'!$A$4:$D$63,4,FALSE)</f>
        <v>Transformation</v>
      </c>
      <c r="F1843" t="str">
        <f t="shared" si="208"/>
        <v xml:space="preserve">Imp - 33 </v>
      </c>
      <c r="G1843" s="238">
        <v>0</v>
      </c>
      <c r="H1843" s="238">
        <v>117266.83600000007</v>
      </c>
      <c r="I1843" s="238">
        <v>117266.83600000007</v>
      </c>
      <c r="J1843" s="238">
        <v>0</v>
      </c>
      <c r="K1843" s="238">
        <v>34.48388538105759</v>
      </c>
      <c r="L1843" s="238">
        <v>34.48388538105759</v>
      </c>
      <c r="M1843" s="238">
        <v>0</v>
      </c>
      <c r="N1843" s="238">
        <v>35.276343481498387</v>
      </c>
      <c r="O1843" s="238">
        <v>35.276343481498387</v>
      </c>
      <c r="P1843" s="238">
        <v>0</v>
      </c>
      <c r="Q1843" s="238">
        <v>9.7113949841577831</v>
      </c>
      <c r="R1843" s="238">
        <v>9.7113949841577831</v>
      </c>
      <c r="S1843" s="238" t="s">
        <v>192</v>
      </c>
      <c r="T1843" s="218">
        <f>VLOOKUP(A1843,'Groupe de branches'!$Z$27:$AM$86,14,FALSE)</f>
        <v>0</v>
      </c>
      <c r="U1843" s="218">
        <f>VLOOKUP(D1843,'Groupe de branches'!$Z$27:$AM$86,14,FALSE)</f>
        <v>0</v>
      </c>
      <c r="V1843" s="218">
        <v>2020</v>
      </c>
      <c r="W1843" s="218" t="str">
        <f>VLOOKUP(D1843,'Table corresp.'!$M$4:$S$63,7,FALSE)</f>
        <v>Construction</v>
      </c>
      <c r="X1843" s="240">
        <f>IFERROR(G1843/SUMIFS('Comp2016-2017 (3)'!$I$5:$I$289,'Comp2016-2017 (3)'!$A$5:$A$289,A1843,'Comp2016-2017 (3)'!$R$5:$R$289,V1843),0)</f>
        <v>0</v>
      </c>
      <c r="Y1843" s="219">
        <f>IFERROR(IF(RIGHT(F1843,3)="Exp",VLOOKUP(F1843,#REF!,2,FALSE),VLOOKUP(F1843,#REF!,9,FALSE)),0)</f>
        <v>0</v>
      </c>
      <c r="Z1843" s="226">
        <f t="shared" si="204"/>
        <v>0</v>
      </c>
      <c r="AA1843" s="226">
        <f t="shared" si="205"/>
        <v>0</v>
      </c>
      <c r="AB1843" s="205">
        <f>IFERROR(SUMIFS('Comp2016-2017 (3)'!$G$5:$G$289,'Comp2016-2017 (3)'!$A$5:$A$289,A1843,'Comp2016-2017 (3)'!$R$5:$R$289,V1843)*AA1843/SUMIFS($AA$4:$AA$1858,$A$4:$A$1858,A1843,$V$4:$V$1858,V1843),0)</f>
        <v>0</v>
      </c>
      <c r="AC1843" s="205" t="str">
        <f>IF($W1843=AC$3,$AB1843,IF(NOT($W1843=0),"",SUMIFS('Val-Vol (2)'!AC$4:AC$1858,'Val-Vol (2)'!$A$4:$A$1858,$D1843,'Val-Vol (2)'!$V$4:$V$1858,$V1843)/SUMIFS('Comp2016-2017 (3)'!$G$5:$G$289,'Comp2016-2017 (3)'!$A$5:$A$289,$D1843,'Comp2016-2017 (3)'!$R$5:$R$289,$V1843)*$AB1843))</f>
        <v/>
      </c>
      <c r="AD1843" s="205">
        <f>IF($W1843=AD$3,$AB1843,IF(NOT($W1843=0),"",SUMIFS('Val-Vol (2)'!AD$4:AD$1858,'Val-Vol (2)'!$A$4:$A$1858,$D1843,'Val-Vol (2)'!$V$4:$V$1858,$V1843)/SUMIFS('Comp2016-2017 (3)'!$G$5:$G$289,'Comp2016-2017 (3)'!$A$5:$A$289,$D1843,'Comp2016-2017 (3)'!$R$5:$R$289,$V1843)*$AB1843))</f>
        <v>0</v>
      </c>
      <c r="AE1843" s="205" t="str">
        <f>IF($W1843=AE$3,$AB1843,IF(NOT($W1843=0),"",SUMIFS('Val-Vol (2)'!AE$4:AE$1858,'Val-Vol (2)'!$A$4:$A$1858,$D1843,'Val-Vol (2)'!$V$4:$V$1858,$V1843)/SUMIFS('Comp2016-2017 (3)'!$G$5:$G$289,'Comp2016-2017 (3)'!$A$5:$A$289,$D1843,'Comp2016-2017 (3)'!$R$5:$R$289,$V1843)*$AB1843))</f>
        <v/>
      </c>
      <c r="AF1843" s="205" t="str">
        <f>IF($W1843=AF$3,$AB1843,IF(NOT($W1843=0),"",SUMIFS('Val-Vol (2)'!AF$4:AF$1858,'Val-Vol (2)'!$A$4:$A$1858,$D1843,'Val-Vol (2)'!$V$4:$V$1858,$V1843)/SUMIFS('Comp2016-2017 (3)'!$G$5:$G$289,'Comp2016-2017 (3)'!$A$5:$A$289,$D1843,'Comp2016-2017 (3)'!$R$5:$R$289,$V1843)*$AB1843))</f>
        <v/>
      </c>
      <c r="AG1843" s="205" t="str">
        <f>IF($W1843=AG$3,$AB1843,IF(NOT($W1843=0),"",SUMIFS('Val-Vol (2)'!AG$4:AG$1858,'Val-Vol (2)'!$A$4:$A$1858,$D1843,'Val-Vol (2)'!$V$4:$V$1858,$V1843)/SUMIFS('Comp2016-2017 (3)'!$G$5:$G$289,'Comp2016-2017 (3)'!$A$5:$A$289,$D1843,'Comp2016-2017 (3)'!$R$5:$R$289,$V1843)*$AB1843))</f>
        <v/>
      </c>
      <c r="AH1843" s="205" t="str">
        <f>IF($W1843=AH$3,$AB1843,IF(NOT($W1843=0),"",SUMIFS('Val-Vol (2)'!AH$4:AH$1858,'Val-Vol (2)'!$A$4:$A$1858,$D1843,'Val-Vol (2)'!$V$4:$V$1858,$V1843)/SUMIFS('Comp2016-2017 (3)'!$G$5:$G$289,'Comp2016-2017 (3)'!$A$5:$A$289,$D1843,'Comp2016-2017 (3)'!$R$5:$R$289,$V1843)*$AB1843))</f>
        <v/>
      </c>
      <c r="AI1843" s="205" t="str">
        <f>IF($W1843=AI$3,$AB1843,IF(NOT($W1843=0),"",SUMIFS('Val-Vol (2)'!AI$4:AI$1858,'Val-Vol (2)'!$A$4:$A$1858,$D1843,'Val-Vol (2)'!$V$4:$V$1858,$V1843)/SUMIFS('Comp2016-2017 (3)'!$G$5:$G$289,'Comp2016-2017 (3)'!$A$5:$A$289,$D1843,'Comp2016-2017 (3)'!$R$5:$R$289,$V1843)*$AB1843))</f>
        <v/>
      </c>
      <c r="AJ1843" s="205" t="str">
        <f>IF($W1843=AJ$3,$AB1843,IF(NOT($W1843=0),"",SUMIFS('Val-Vol (2)'!AJ$4:AJ$1858,'Val-Vol (2)'!$A$4:$A$1858,$D1843,'Val-Vol (2)'!$V$4:$V$1858,$V1843)/SUMIFS('Comp2016-2017 (3)'!$G$5:$G$289,'Comp2016-2017 (3)'!$A$5:$A$289,$D1843,'Comp2016-2017 (3)'!$R$5:$R$289,$V1843)*$AB1843))</f>
        <v/>
      </c>
      <c r="AK1843" s="205">
        <f t="shared" si="206"/>
        <v>0</v>
      </c>
      <c r="AL1843" s="218" t="str">
        <f t="shared" si="207"/>
        <v/>
      </c>
      <c r="AM1843" s="218" t="str">
        <f>VLOOKUP(A1843,'Table corresp.'!$M$4:$U$63,8,FALSE)</f>
        <v>Importation</v>
      </c>
      <c r="AN1843" s="218" t="str">
        <f>VLOOKUP(D1843,'Table corresp.'!$M$4:$U$63,9,FALSE)</f>
        <v>Production finale</v>
      </c>
    </row>
    <row r="1844" spans="1:40" x14ac:dyDescent="0.25">
      <c r="A1844" t="s">
        <v>52</v>
      </c>
      <c r="B1844" t="str">
        <f>VLOOKUP(LEFT(A1844,3),'Table corresp.'!$A$4:$D$63,3,FALSE)</f>
        <v>Importation</v>
      </c>
      <c r="C1844" t="str">
        <f>VLOOKUP(A1844,'Table corresp.'!$M$4:$P$63,4,FALSE)</f>
        <v>Importation</v>
      </c>
      <c r="D1844" t="s">
        <v>90</v>
      </c>
      <c r="E1844" t="str">
        <f>VLOOKUP(LEFT(D1844,3),'Table corresp.'!$A$4:$D$63,4,FALSE)</f>
        <v>Transformation</v>
      </c>
      <c r="F1844" t="str">
        <f t="shared" si="208"/>
        <v xml:space="preserve">Imp - 34 </v>
      </c>
      <c r="G1844" s="238">
        <v>0</v>
      </c>
      <c r="H1844" s="238">
        <v>184216.92799999984</v>
      </c>
      <c r="I1844" s="238">
        <v>184216.92799999984</v>
      </c>
      <c r="J1844" s="238">
        <v>0</v>
      </c>
      <c r="K1844" s="238">
        <v>295.81121954225091</v>
      </c>
      <c r="L1844" s="238">
        <v>295.81121954225091</v>
      </c>
      <c r="M1844" s="238">
        <v>0</v>
      </c>
      <c r="N1844" s="238">
        <v>33.288803852537775</v>
      </c>
      <c r="O1844" s="238">
        <v>33.288803852537775</v>
      </c>
      <c r="P1844" s="238">
        <v>0</v>
      </c>
      <c r="Q1844" s="238">
        <v>6.0840655550668403</v>
      </c>
      <c r="R1844" s="238">
        <v>6.0840655550668403</v>
      </c>
      <c r="S1844" s="238" t="s">
        <v>192</v>
      </c>
      <c r="T1844" s="218">
        <f>VLOOKUP(A1844,'Groupe de branches'!$Z$27:$AM$86,14,FALSE)</f>
        <v>0</v>
      </c>
      <c r="U1844" s="218">
        <f>VLOOKUP(D1844,'Groupe de branches'!$Z$27:$AM$86,14,FALSE)</f>
        <v>0</v>
      </c>
      <c r="V1844" s="218">
        <v>2020</v>
      </c>
      <c r="W1844" s="218" t="str">
        <f>VLOOKUP(D1844,'Table corresp.'!$M$4:$S$63,7,FALSE)</f>
        <v>Construction</v>
      </c>
      <c r="X1844" s="240">
        <f>IFERROR(G1844/SUMIFS('Comp2016-2017 (3)'!$I$5:$I$289,'Comp2016-2017 (3)'!$A$5:$A$289,A1844,'Comp2016-2017 (3)'!$R$5:$R$289,V1844),0)</f>
        <v>0</v>
      </c>
      <c r="Y1844" s="219">
        <f>IFERROR(IF(RIGHT(F1844,3)="Exp",VLOOKUP(F1844,#REF!,2,FALSE),VLOOKUP(F1844,#REF!,9,FALSE)),0)</f>
        <v>0</v>
      </c>
      <c r="Z1844" s="226">
        <f t="shared" si="204"/>
        <v>0</v>
      </c>
      <c r="AA1844" s="226">
        <f t="shared" si="205"/>
        <v>0</v>
      </c>
      <c r="AB1844" s="205">
        <f>IFERROR(SUMIFS('Comp2016-2017 (3)'!$G$5:$G$289,'Comp2016-2017 (3)'!$A$5:$A$289,A1844,'Comp2016-2017 (3)'!$R$5:$R$289,V1844)*AA1844/SUMIFS($AA$4:$AA$1858,$A$4:$A$1858,A1844,$V$4:$V$1858,V1844),0)</f>
        <v>0</v>
      </c>
      <c r="AC1844" s="205" t="str">
        <f>IF($W1844=AC$3,$AB1844,IF(NOT($W1844=0),"",SUMIFS('Val-Vol (2)'!AC$4:AC$1858,'Val-Vol (2)'!$A$4:$A$1858,$D1844,'Val-Vol (2)'!$V$4:$V$1858,$V1844)/SUMIFS('Comp2016-2017 (3)'!$G$5:$G$289,'Comp2016-2017 (3)'!$A$5:$A$289,$D1844,'Comp2016-2017 (3)'!$R$5:$R$289,$V1844)*$AB1844))</f>
        <v/>
      </c>
      <c r="AD1844" s="205">
        <f>IF($W1844=AD$3,$AB1844,IF(NOT($W1844=0),"",SUMIFS('Val-Vol (2)'!AD$4:AD$1858,'Val-Vol (2)'!$A$4:$A$1858,$D1844,'Val-Vol (2)'!$V$4:$V$1858,$V1844)/SUMIFS('Comp2016-2017 (3)'!$G$5:$G$289,'Comp2016-2017 (3)'!$A$5:$A$289,$D1844,'Comp2016-2017 (3)'!$R$5:$R$289,$V1844)*$AB1844))</f>
        <v>0</v>
      </c>
      <c r="AE1844" s="205" t="str">
        <f>IF($W1844=AE$3,$AB1844,IF(NOT($W1844=0),"",SUMIFS('Val-Vol (2)'!AE$4:AE$1858,'Val-Vol (2)'!$A$4:$A$1858,$D1844,'Val-Vol (2)'!$V$4:$V$1858,$V1844)/SUMIFS('Comp2016-2017 (3)'!$G$5:$G$289,'Comp2016-2017 (3)'!$A$5:$A$289,$D1844,'Comp2016-2017 (3)'!$R$5:$R$289,$V1844)*$AB1844))</f>
        <v/>
      </c>
      <c r="AF1844" s="205" t="str">
        <f>IF($W1844=AF$3,$AB1844,IF(NOT($W1844=0),"",SUMIFS('Val-Vol (2)'!AF$4:AF$1858,'Val-Vol (2)'!$A$4:$A$1858,$D1844,'Val-Vol (2)'!$V$4:$V$1858,$V1844)/SUMIFS('Comp2016-2017 (3)'!$G$5:$G$289,'Comp2016-2017 (3)'!$A$5:$A$289,$D1844,'Comp2016-2017 (3)'!$R$5:$R$289,$V1844)*$AB1844))</f>
        <v/>
      </c>
      <c r="AG1844" s="205" t="str">
        <f>IF($W1844=AG$3,$AB1844,IF(NOT($W1844=0),"",SUMIFS('Val-Vol (2)'!AG$4:AG$1858,'Val-Vol (2)'!$A$4:$A$1858,$D1844,'Val-Vol (2)'!$V$4:$V$1858,$V1844)/SUMIFS('Comp2016-2017 (3)'!$G$5:$G$289,'Comp2016-2017 (3)'!$A$5:$A$289,$D1844,'Comp2016-2017 (3)'!$R$5:$R$289,$V1844)*$AB1844))</f>
        <v/>
      </c>
      <c r="AH1844" s="205" t="str">
        <f>IF($W1844=AH$3,$AB1844,IF(NOT($W1844=0),"",SUMIFS('Val-Vol (2)'!AH$4:AH$1858,'Val-Vol (2)'!$A$4:$A$1858,$D1844,'Val-Vol (2)'!$V$4:$V$1858,$V1844)/SUMIFS('Comp2016-2017 (3)'!$G$5:$G$289,'Comp2016-2017 (3)'!$A$5:$A$289,$D1844,'Comp2016-2017 (3)'!$R$5:$R$289,$V1844)*$AB1844))</f>
        <v/>
      </c>
      <c r="AI1844" s="205" t="str">
        <f>IF($W1844=AI$3,$AB1844,IF(NOT($W1844=0),"",SUMIFS('Val-Vol (2)'!AI$4:AI$1858,'Val-Vol (2)'!$A$4:$A$1858,$D1844,'Val-Vol (2)'!$V$4:$V$1858,$V1844)/SUMIFS('Comp2016-2017 (3)'!$G$5:$G$289,'Comp2016-2017 (3)'!$A$5:$A$289,$D1844,'Comp2016-2017 (3)'!$R$5:$R$289,$V1844)*$AB1844))</f>
        <v/>
      </c>
      <c r="AJ1844" s="205" t="str">
        <f>IF($W1844=AJ$3,$AB1844,IF(NOT($W1844=0),"",SUMIFS('Val-Vol (2)'!AJ$4:AJ$1858,'Val-Vol (2)'!$A$4:$A$1858,$D1844,'Val-Vol (2)'!$V$4:$V$1858,$V1844)/SUMIFS('Comp2016-2017 (3)'!$G$5:$G$289,'Comp2016-2017 (3)'!$A$5:$A$289,$D1844,'Comp2016-2017 (3)'!$R$5:$R$289,$V1844)*$AB1844))</f>
        <v/>
      </c>
      <c r="AK1844" s="205">
        <f t="shared" si="206"/>
        <v>0</v>
      </c>
      <c r="AL1844" s="218" t="str">
        <f t="shared" si="207"/>
        <v/>
      </c>
      <c r="AM1844" s="218" t="str">
        <f>VLOOKUP(A1844,'Table corresp.'!$M$4:$U$63,8,FALSE)</f>
        <v>Importation</v>
      </c>
      <c r="AN1844" s="218" t="str">
        <f>VLOOKUP(D1844,'Table corresp.'!$M$4:$U$63,9,FALSE)</f>
        <v>Production finale</v>
      </c>
    </row>
    <row r="1845" spans="1:40" x14ac:dyDescent="0.25">
      <c r="A1845" t="s">
        <v>52</v>
      </c>
      <c r="B1845" t="str">
        <f>VLOOKUP(LEFT(A1845,3),'Table corresp.'!$A$4:$D$63,3,FALSE)</f>
        <v>Importation</v>
      </c>
      <c r="C1845" t="str">
        <f>VLOOKUP(A1845,'Table corresp.'!$M$4:$P$63,4,FALSE)</f>
        <v>Importation</v>
      </c>
      <c r="D1845" t="s">
        <v>15</v>
      </c>
      <c r="E1845" t="str">
        <f>VLOOKUP(LEFT(D1845,3),'Table corresp.'!$A$4:$D$63,4,FALSE)</f>
        <v>Transformation</v>
      </c>
      <c r="F1845" t="str">
        <f t="shared" si="208"/>
        <v xml:space="preserve">Imp - 35 </v>
      </c>
      <c r="G1845" s="238">
        <v>0</v>
      </c>
      <c r="H1845" s="238">
        <v>73878.06000000007</v>
      </c>
      <c r="I1845" s="238">
        <v>73878.06000000007</v>
      </c>
      <c r="J1845" s="238">
        <v>0</v>
      </c>
      <c r="K1845" s="238">
        <v>72.094198043814387</v>
      </c>
      <c r="L1845" s="238">
        <v>72.094198043814387</v>
      </c>
      <c r="M1845" s="238">
        <v>0</v>
      </c>
      <c r="N1845" s="238">
        <v>3.7617001284087297</v>
      </c>
      <c r="O1845" s="238">
        <v>3.7617001284087297</v>
      </c>
      <c r="P1845" s="238">
        <v>0</v>
      </c>
      <c r="Q1845" s="238">
        <v>1.4932614419847321</v>
      </c>
      <c r="R1845" s="238">
        <v>1.4932614419847321</v>
      </c>
      <c r="S1845" s="238" t="s">
        <v>192</v>
      </c>
      <c r="T1845" s="218">
        <f>VLOOKUP(A1845,'Groupe de branches'!$Z$27:$AM$86,14,FALSE)</f>
        <v>0</v>
      </c>
      <c r="U1845" s="218">
        <f>VLOOKUP(D1845,'Groupe de branches'!$Z$27:$AM$86,14,FALSE)</f>
        <v>0</v>
      </c>
      <c r="V1845" s="218">
        <v>2020</v>
      </c>
      <c r="W1845" s="218" t="str">
        <f>VLOOKUP(D1845,'Table corresp.'!$M$4:$S$63,7,FALSE)</f>
        <v>Construction</v>
      </c>
      <c r="X1845" s="240">
        <f>IFERROR(G1845/SUMIFS('Comp2016-2017 (3)'!$I$5:$I$289,'Comp2016-2017 (3)'!$A$5:$A$289,A1845,'Comp2016-2017 (3)'!$R$5:$R$289,V1845),0)</f>
        <v>0</v>
      </c>
      <c r="Y1845" s="219">
        <f>IFERROR(IF(RIGHT(F1845,3)="Exp",VLOOKUP(F1845,#REF!,2,FALSE),VLOOKUP(F1845,#REF!,9,FALSE)),0)</f>
        <v>0</v>
      </c>
      <c r="Z1845" s="226">
        <f t="shared" si="204"/>
        <v>0</v>
      </c>
      <c r="AA1845" s="226">
        <f t="shared" si="205"/>
        <v>0</v>
      </c>
      <c r="AB1845" s="205">
        <f>IFERROR(SUMIFS('Comp2016-2017 (3)'!$G$5:$G$289,'Comp2016-2017 (3)'!$A$5:$A$289,A1845,'Comp2016-2017 (3)'!$R$5:$R$289,V1845)*AA1845/SUMIFS($AA$4:$AA$1858,$A$4:$A$1858,A1845,$V$4:$V$1858,V1845),0)</f>
        <v>0</v>
      </c>
      <c r="AC1845" s="205" t="str">
        <f>IF($W1845=AC$3,$AB1845,IF(NOT($W1845=0),"",SUMIFS('Val-Vol (2)'!AC$4:AC$1858,'Val-Vol (2)'!$A$4:$A$1858,$D1845,'Val-Vol (2)'!$V$4:$V$1858,$V1845)/SUMIFS('Comp2016-2017 (3)'!$G$5:$G$289,'Comp2016-2017 (3)'!$A$5:$A$289,$D1845,'Comp2016-2017 (3)'!$R$5:$R$289,$V1845)*$AB1845))</f>
        <v/>
      </c>
      <c r="AD1845" s="205">
        <f>IF($W1845=AD$3,$AB1845,IF(NOT($W1845=0),"",SUMIFS('Val-Vol (2)'!AD$4:AD$1858,'Val-Vol (2)'!$A$4:$A$1858,$D1845,'Val-Vol (2)'!$V$4:$V$1858,$V1845)/SUMIFS('Comp2016-2017 (3)'!$G$5:$G$289,'Comp2016-2017 (3)'!$A$5:$A$289,$D1845,'Comp2016-2017 (3)'!$R$5:$R$289,$V1845)*$AB1845))</f>
        <v>0</v>
      </c>
      <c r="AE1845" s="205" t="str">
        <f>IF($W1845=AE$3,$AB1845,IF(NOT($W1845=0),"",SUMIFS('Val-Vol (2)'!AE$4:AE$1858,'Val-Vol (2)'!$A$4:$A$1858,$D1845,'Val-Vol (2)'!$V$4:$V$1858,$V1845)/SUMIFS('Comp2016-2017 (3)'!$G$5:$G$289,'Comp2016-2017 (3)'!$A$5:$A$289,$D1845,'Comp2016-2017 (3)'!$R$5:$R$289,$V1845)*$AB1845))</f>
        <v/>
      </c>
      <c r="AF1845" s="205" t="str">
        <f>IF($W1845=AF$3,$AB1845,IF(NOT($W1845=0),"",SUMIFS('Val-Vol (2)'!AF$4:AF$1858,'Val-Vol (2)'!$A$4:$A$1858,$D1845,'Val-Vol (2)'!$V$4:$V$1858,$V1845)/SUMIFS('Comp2016-2017 (3)'!$G$5:$G$289,'Comp2016-2017 (3)'!$A$5:$A$289,$D1845,'Comp2016-2017 (3)'!$R$5:$R$289,$V1845)*$AB1845))</f>
        <v/>
      </c>
      <c r="AG1845" s="205" t="str">
        <f>IF($W1845=AG$3,$AB1845,IF(NOT($W1845=0),"",SUMIFS('Val-Vol (2)'!AG$4:AG$1858,'Val-Vol (2)'!$A$4:$A$1858,$D1845,'Val-Vol (2)'!$V$4:$V$1858,$V1845)/SUMIFS('Comp2016-2017 (3)'!$G$5:$G$289,'Comp2016-2017 (3)'!$A$5:$A$289,$D1845,'Comp2016-2017 (3)'!$R$5:$R$289,$V1845)*$AB1845))</f>
        <v/>
      </c>
      <c r="AH1845" s="205" t="str">
        <f>IF($W1845=AH$3,$AB1845,IF(NOT($W1845=0),"",SUMIFS('Val-Vol (2)'!AH$4:AH$1858,'Val-Vol (2)'!$A$4:$A$1858,$D1845,'Val-Vol (2)'!$V$4:$V$1858,$V1845)/SUMIFS('Comp2016-2017 (3)'!$G$5:$G$289,'Comp2016-2017 (3)'!$A$5:$A$289,$D1845,'Comp2016-2017 (3)'!$R$5:$R$289,$V1845)*$AB1845))</f>
        <v/>
      </c>
      <c r="AI1845" s="205" t="str">
        <f>IF($W1845=AI$3,$AB1845,IF(NOT($W1845=0),"",SUMIFS('Val-Vol (2)'!AI$4:AI$1858,'Val-Vol (2)'!$A$4:$A$1858,$D1845,'Val-Vol (2)'!$V$4:$V$1858,$V1845)/SUMIFS('Comp2016-2017 (3)'!$G$5:$G$289,'Comp2016-2017 (3)'!$A$5:$A$289,$D1845,'Comp2016-2017 (3)'!$R$5:$R$289,$V1845)*$AB1845))</f>
        <v/>
      </c>
      <c r="AJ1845" s="205" t="str">
        <f>IF($W1845=AJ$3,$AB1845,IF(NOT($W1845=0),"",SUMIFS('Val-Vol (2)'!AJ$4:AJ$1858,'Val-Vol (2)'!$A$4:$A$1858,$D1845,'Val-Vol (2)'!$V$4:$V$1858,$V1845)/SUMIFS('Comp2016-2017 (3)'!$G$5:$G$289,'Comp2016-2017 (3)'!$A$5:$A$289,$D1845,'Comp2016-2017 (3)'!$R$5:$R$289,$V1845)*$AB1845))</f>
        <v/>
      </c>
      <c r="AK1845" s="205">
        <f t="shared" si="206"/>
        <v>0</v>
      </c>
      <c r="AL1845" s="218" t="str">
        <f t="shared" si="207"/>
        <v/>
      </c>
      <c r="AM1845" s="218" t="str">
        <f>VLOOKUP(A1845,'Table corresp.'!$M$4:$U$63,8,FALSE)</f>
        <v>Importation</v>
      </c>
      <c r="AN1845" s="218" t="str">
        <f>VLOOKUP(D1845,'Table corresp.'!$M$4:$U$63,9,FALSE)</f>
        <v>Production finale</v>
      </c>
    </row>
    <row r="1846" spans="1:40" x14ac:dyDescent="0.25">
      <c r="A1846" t="s">
        <v>52</v>
      </c>
      <c r="B1846" t="str">
        <f>VLOOKUP(LEFT(A1846,3),'Table corresp.'!$A$4:$D$63,3,FALSE)</f>
        <v>Importation</v>
      </c>
      <c r="C1846" t="str">
        <f>VLOOKUP(A1846,'Table corresp.'!$M$4:$P$63,4,FALSE)</f>
        <v>Importation</v>
      </c>
      <c r="D1846" t="s">
        <v>16</v>
      </c>
      <c r="E1846" t="str">
        <f>VLOOKUP(LEFT(D1846,3),'Table corresp.'!$A$4:$D$63,4,FALSE)</f>
        <v>Transformation</v>
      </c>
      <c r="F1846" t="str">
        <f t="shared" si="208"/>
        <v xml:space="preserve">Imp - 36 </v>
      </c>
      <c r="G1846" s="238">
        <v>0</v>
      </c>
      <c r="H1846" s="238">
        <v>88744.745999999926</v>
      </c>
      <c r="I1846" s="238">
        <v>88744.745999999926</v>
      </c>
      <c r="J1846" s="238">
        <v>0</v>
      </c>
      <c r="K1846" s="238">
        <v>49.050791476663619</v>
      </c>
      <c r="L1846" s="238">
        <v>49.050791476663619</v>
      </c>
      <c r="M1846" s="238">
        <v>0</v>
      </c>
      <c r="N1846" s="238">
        <v>33.446261830321781</v>
      </c>
      <c r="O1846" s="238">
        <v>33.446261830321781</v>
      </c>
      <c r="P1846" s="238">
        <v>0</v>
      </c>
      <c r="Q1846" s="238">
        <v>12.763774976792826</v>
      </c>
      <c r="R1846" s="238">
        <v>12.763774976792826</v>
      </c>
      <c r="S1846" s="238" t="s">
        <v>192</v>
      </c>
      <c r="T1846" s="218">
        <f>VLOOKUP(A1846,'Groupe de branches'!$Z$27:$AM$86,14,FALSE)</f>
        <v>0</v>
      </c>
      <c r="U1846" s="218">
        <f>VLOOKUP(D1846,'Groupe de branches'!$Z$27:$AM$86,14,FALSE)</f>
        <v>0</v>
      </c>
      <c r="V1846" s="218">
        <v>2020</v>
      </c>
      <c r="W1846" s="218" t="str">
        <f>VLOOKUP(D1846,'Table corresp.'!$M$4:$S$63,7,FALSE)</f>
        <v>Construction</v>
      </c>
      <c r="X1846" s="240">
        <f>IFERROR(G1846/SUMIFS('Comp2016-2017 (3)'!$I$5:$I$289,'Comp2016-2017 (3)'!$A$5:$A$289,A1846,'Comp2016-2017 (3)'!$R$5:$R$289,V1846),0)</f>
        <v>0</v>
      </c>
      <c r="Y1846" s="219">
        <f>IFERROR(IF(RIGHT(F1846,3)="Exp",VLOOKUP(F1846,#REF!,2,FALSE),VLOOKUP(F1846,#REF!,9,FALSE)),0)</f>
        <v>0</v>
      </c>
      <c r="Z1846" s="226">
        <f t="shared" si="204"/>
        <v>0</v>
      </c>
      <c r="AA1846" s="226">
        <f t="shared" si="205"/>
        <v>0</v>
      </c>
      <c r="AB1846" s="205">
        <f>IFERROR(SUMIFS('Comp2016-2017 (3)'!$G$5:$G$289,'Comp2016-2017 (3)'!$A$5:$A$289,A1846,'Comp2016-2017 (3)'!$R$5:$R$289,V1846)*AA1846/SUMIFS($AA$4:$AA$1858,$A$4:$A$1858,A1846,$V$4:$V$1858,V1846),0)</f>
        <v>0</v>
      </c>
      <c r="AC1846" s="205" t="str">
        <f>IF($W1846=AC$3,$AB1846,IF(NOT($W1846=0),"",SUMIFS('Val-Vol (2)'!AC$4:AC$1858,'Val-Vol (2)'!$A$4:$A$1858,$D1846,'Val-Vol (2)'!$V$4:$V$1858,$V1846)/SUMIFS('Comp2016-2017 (3)'!$G$5:$G$289,'Comp2016-2017 (3)'!$A$5:$A$289,$D1846,'Comp2016-2017 (3)'!$R$5:$R$289,$V1846)*$AB1846))</f>
        <v/>
      </c>
      <c r="AD1846" s="205">
        <f>IF($W1846=AD$3,$AB1846,IF(NOT($W1846=0),"",SUMIFS('Val-Vol (2)'!AD$4:AD$1858,'Val-Vol (2)'!$A$4:$A$1858,$D1846,'Val-Vol (2)'!$V$4:$V$1858,$V1846)/SUMIFS('Comp2016-2017 (3)'!$G$5:$G$289,'Comp2016-2017 (3)'!$A$5:$A$289,$D1846,'Comp2016-2017 (3)'!$R$5:$R$289,$V1846)*$AB1846))</f>
        <v>0</v>
      </c>
      <c r="AE1846" s="205" t="str">
        <f>IF($W1846=AE$3,$AB1846,IF(NOT($W1846=0),"",SUMIFS('Val-Vol (2)'!AE$4:AE$1858,'Val-Vol (2)'!$A$4:$A$1858,$D1846,'Val-Vol (2)'!$V$4:$V$1858,$V1846)/SUMIFS('Comp2016-2017 (3)'!$G$5:$G$289,'Comp2016-2017 (3)'!$A$5:$A$289,$D1846,'Comp2016-2017 (3)'!$R$5:$R$289,$V1846)*$AB1846))</f>
        <v/>
      </c>
      <c r="AF1846" s="205" t="str">
        <f>IF($W1846=AF$3,$AB1846,IF(NOT($W1846=0),"",SUMIFS('Val-Vol (2)'!AF$4:AF$1858,'Val-Vol (2)'!$A$4:$A$1858,$D1846,'Val-Vol (2)'!$V$4:$V$1858,$V1846)/SUMIFS('Comp2016-2017 (3)'!$G$5:$G$289,'Comp2016-2017 (3)'!$A$5:$A$289,$D1846,'Comp2016-2017 (3)'!$R$5:$R$289,$V1846)*$AB1846))</f>
        <v/>
      </c>
      <c r="AG1846" s="205" t="str">
        <f>IF($W1846=AG$3,$AB1846,IF(NOT($W1846=0),"",SUMIFS('Val-Vol (2)'!AG$4:AG$1858,'Val-Vol (2)'!$A$4:$A$1858,$D1846,'Val-Vol (2)'!$V$4:$V$1858,$V1846)/SUMIFS('Comp2016-2017 (3)'!$G$5:$G$289,'Comp2016-2017 (3)'!$A$5:$A$289,$D1846,'Comp2016-2017 (3)'!$R$5:$R$289,$V1846)*$AB1846))</f>
        <v/>
      </c>
      <c r="AH1846" s="205" t="str">
        <f>IF($W1846=AH$3,$AB1846,IF(NOT($W1846=0),"",SUMIFS('Val-Vol (2)'!AH$4:AH$1858,'Val-Vol (2)'!$A$4:$A$1858,$D1846,'Val-Vol (2)'!$V$4:$V$1858,$V1846)/SUMIFS('Comp2016-2017 (3)'!$G$5:$G$289,'Comp2016-2017 (3)'!$A$5:$A$289,$D1846,'Comp2016-2017 (3)'!$R$5:$R$289,$V1846)*$AB1846))</f>
        <v/>
      </c>
      <c r="AI1846" s="205" t="str">
        <f>IF($W1846=AI$3,$AB1846,IF(NOT($W1846=0),"",SUMIFS('Val-Vol (2)'!AI$4:AI$1858,'Val-Vol (2)'!$A$4:$A$1858,$D1846,'Val-Vol (2)'!$V$4:$V$1858,$V1846)/SUMIFS('Comp2016-2017 (3)'!$G$5:$G$289,'Comp2016-2017 (3)'!$A$5:$A$289,$D1846,'Comp2016-2017 (3)'!$R$5:$R$289,$V1846)*$AB1846))</f>
        <v/>
      </c>
      <c r="AJ1846" s="205" t="str">
        <f>IF($W1846=AJ$3,$AB1846,IF(NOT($W1846=0),"",SUMIFS('Val-Vol (2)'!AJ$4:AJ$1858,'Val-Vol (2)'!$A$4:$A$1858,$D1846,'Val-Vol (2)'!$V$4:$V$1858,$V1846)/SUMIFS('Comp2016-2017 (3)'!$G$5:$G$289,'Comp2016-2017 (3)'!$A$5:$A$289,$D1846,'Comp2016-2017 (3)'!$R$5:$R$289,$V1846)*$AB1846))</f>
        <v/>
      </c>
      <c r="AK1846" s="205">
        <f t="shared" si="206"/>
        <v>0</v>
      </c>
      <c r="AL1846" s="218" t="str">
        <f t="shared" si="207"/>
        <v/>
      </c>
      <c r="AM1846" s="218" t="str">
        <f>VLOOKUP(A1846,'Table corresp.'!$M$4:$U$63,8,FALSE)</f>
        <v>Importation</v>
      </c>
      <c r="AN1846" s="218" t="str">
        <f>VLOOKUP(D1846,'Table corresp.'!$M$4:$U$63,9,FALSE)</f>
        <v>Production finale</v>
      </c>
    </row>
    <row r="1847" spans="1:40" x14ac:dyDescent="0.25">
      <c r="A1847" t="s">
        <v>52</v>
      </c>
      <c r="B1847" t="str">
        <f>VLOOKUP(LEFT(A1847,3),'Table corresp.'!$A$4:$D$63,3,FALSE)</f>
        <v>Importation</v>
      </c>
      <c r="C1847" t="str">
        <f>VLOOKUP(A1847,'Table corresp.'!$M$4:$P$63,4,FALSE)</f>
        <v>Importation</v>
      </c>
      <c r="D1847" t="s">
        <v>91</v>
      </c>
      <c r="E1847" t="str">
        <f>VLOOKUP(LEFT(D1847,3),'Table corresp.'!$A$4:$D$63,4,FALSE)</f>
        <v>Transformation</v>
      </c>
      <c r="F1847" t="str">
        <f t="shared" si="208"/>
        <v xml:space="preserve">Imp - 37 </v>
      </c>
      <c r="G1847" s="238">
        <v>0</v>
      </c>
      <c r="H1847" s="238">
        <v>229038.72899999993</v>
      </c>
      <c r="I1847" s="238">
        <v>229038.72899999993</v>
      </c>
      <c r="J1847" s="238">
        <v>0</v>
      </c>
      <c r="K1847" s="238">
        <v>902.53194004609668</v>
      </c>
      <c r="L1847" s="238">
        <v>902.53194004609668</v>
      </c>
      <c r="M1847" s="238">
        <v>0</v>
      </c>
      <c r="N1847" s="238">
        <v>88.315559795961804</v>
      </c>
      <c r="O1847" s="238">
        <v>88.315559795961804</v>
      </c>
      <c r="P1847" s="238">
        <v>0</v>
      </c>
      <c r="Q1847" s="238">
        <v>4.6618808401838836E-4</v>
      </c>
      <c r="R1847" s="238">
        <v>4.6618808401838836E-4</v>
      </c>
      <c r="S1847" s="238"/>
      <c r="T1847" s="218">
        <f>VLOOKUP(A1847,'Groupe de branches'!$Z$27:$AM$86,14,FALSE)</f>
        <v>0</v>
      </c>
      <c r="U1847" s="218">
        <f>VLOOKUP(D1847,'Groupe de branches'!$Z$27:$AM$86,14,FALSE)</f>
        <v>0</v>
      </c>
      <c r="V1847" s="218">
        <v>2020</v>
      </c>
      <c r="W1847" s="218" t="str">
        <f>VLOOKUP(D1847,'Table corresp.'!$M$4:$S$63,7,FALSE)</f>
        <v>Emballage bois et carton</v>
      </c>
      <c r="X1847" s="240">
        <f>IFERROR(G1847/SUMIFS('Comp2016-2017 (3)'!$I$5:$I$289,'Comp2016-2017 (3)'!$A$5:$A$289,A1847,'Comp2016-2017 (3)'!$R$5:$R$289,V1847),0)</f>
        <v>0</v>
      </c>
      <c r="Y1847" s="219">
        <f>IFERROR(IF(RIGHT(F1847,3)="Exp",VLOOKUP(F1847,#REF!,2,FALSE),VLOOKUP(F1847,#REF!,9,FALSE)),0)</f>
        <v>0</v>
      </c>
      <c r="Z1847" s="226">
        <f t="shared" si="204"/>
        <v>0</v>
      </c>
      <c r="AA1847" s="226">
        <f t="shared" si="205"/>
        <v>0</v>
      </c>
      <c r="AB1847" s="205">
        <f>IFERROR(SUMIFS('Comp2016-2017 (3)'!$G$5:$G$289,'Comp2016-2017 (3)'!$A$5:$A$289,A1847,'Comp2016-2017 (3)'!$R$5:$R$289,V1847)*AA1847/SUMIFS($AA$4:$AA$1858,$A$4:$A$1858,A1847,$V$4:$V$1858,V1847),0)</f>
        <v>0</v>
      </c>
      <c r="AC1847" s="205" t="str">
        <f>IF($W1847=AC$3,$AB1847,IF(NOT($W1847=0),"",SUMIFS('Val-Vol (2)'!AC$4:AC$1858,'Val-Vol (2)'!$A$4:$A$1858,$D1847,'Val-Vol (2)'!$V$4:$V$1858,$V1847)/SUMIFS('Comp2016-2017 (3)'!$G$5:$G$289,'Comp2016-2017 (3)'!$A$5:$A$289,$D1847,'Comp2016-2017 (3)'!$R$5:$R$289,$V1847)*$AB1847))</f>
        <v/>
      </c>
      <c r="AD1847" s="205" t="str">
        <f>IF($W1847=AD$3,$AB1847,IF(NOT($W1847=0),"",SUMIFS('Val-Vol (2)'!AD$4:AD$1858,'Val-Vol (2)'!$A$4:$A$1858,$D1847,'Val-Vol (2)'!$V$4:$V$1858,$V1847)/SUMIFS('Comp2016-2017 (3)'!$G$5:$G$289,'Comp2016-2017 (3)'!$A$5:$A$289,$D1847,'Comp2016-2017 (3)'!$R$5:$R$289,$V1847)*$AB1847))</f>
        <v/>
      </c>
      <c r="AE1847" s="205" t="str">
        <f>IF($W1847=AE$3,$AB1847,IF(NOT($W1847=0),"",SUMIFS('Val-Vol (2)'!AE$4:AE$1858,'Val-Vol (2)'!$A$4:$A$1858,$D1847,'Val-Vol (2)'!$V$4:$V$1858,$V1847)/SUMIFS('Comp2016-2017 (3)'!$G$5:$G$289,'Comp2016-2017 (3)'!$A$5:$A$289,$D1847,'Comp2016-2017 (3)'!$R$5:$R$289,$V1847)*$AB1847))</f>
        <v/>
      </c>
      <c r="AF1847" s="205" t="str">
        <f>IF($W1847=AF$3,$AB1847,IF(NOT($W1847=0),"",SUMIFS('Val-Vol (2)'!AF$4:AF$1858,'Val-Vol (2)'!$A$4:$A$1858,$D1847,'Val-Vol (2)'!$V$4:$V$1858,$V1847)/SUMIFS('Comp2016-2017 (3)'!$G$5:$G$289,'Comp2016-2017 (3)'!$A$5:$A$289,$D1847,'Comp2016-2017 (3)'!$R$5:$R$289,$V1847)*$AB1847))</f>
        <v/>
      </c>
      <c r="AG1847" s="205">
        <f>IF($W1847=AG$3,$AB1847,IF(NOT($W1847=0),"",SUMIFS('Val-Vol (2)'!AG$4:AG$1858,'Val-Vol (2)'!$A$4:$A$1858,$D1847,'Val-Vol (2)'!$V$4:$V$1858,$V1847)/SUMIFS('Comp2016-2017 (3)'!$G$5:$G$289,'Comp2016-2017 (3)'!$A$5:$A$289,$D1847,'Comp2016-2017 (3)'!$R$5:$R$289,$V1847)*$AB1847))</f>
        <v>0</v>
      </c>
      <c r="AH1847" s="205" t="str">
        <f>IF($W1847=AH$3,$AB1847,IF(NOT($W1847=0),"",SUMIFS('Val-Vol (2)'!AH$4:AH$1858,'Val-Vol (2)'!$A$4:$A$1858,$D1847,'Val-Vol (2)'!$V$4:$V$1858,$V1847)/SUMIFS('Comp2016-2017 (3)'!$G$5:$G$289,'Comp2016-2017 (3)'!$A$5:$A$289,$D1847,'Comp2016-2017 (3)'!$R$5:$R$289,$V1847)*$AB1847))</f>
        <v/>
      </c>
      <c r="AI1847" s="205" t="str">
        <f>IF($W1847=AI$3,$AB1847,IF(NOT($W1847=0),"",SUMIFS('Val-Vol (2)'!AI$4:AI$1858,'Val-Vol (2)'!$A$4:$A$1858,$D1847,'Val-Vol (2)'!$V$4:$V$1858,$V1847)/SUMIFS('Comp2016-2017 (3)'!$G$5:$G$289,'Comp2016-2017 (3)'!$A$5:$A$289,$D1847,'Comp2016-2017 (3)'!$R$5:$R$289,$V1847)*$AB1847))</f>
        <v/>
      </c>
      <c r="AJ1847" s="205" t="str">
        <f>IF($W1847=AJ$3,$AB1847,IF(NOT($W1847=0),"",SUMIFS('Val-Vol (2)'!AJ$4:AJ$1858,'Val-Vol (2)'!$A$4:$A$1858,$D1847,'Val-Vol (2)'!$V$4:$V$1858,$V1847)/SUMIFS('Comp2016-2017 (3)'!$G$5:$G$289,'Comp2016-2017 (3)'!$A$5:$A$289,$D1847,'Comp2016-2017 (3)'!$R$5:$R$289,$V1847)*$AB1847))</f>
        <v/>
      </c>
      <c r="AK1847" s="205">
        <f t="shared" si="206"/>
        <v>0</v>
      </c>
      <c r="AL1847" s="218" t="str">
        <f t="shared" si="207"/>
        <v/>
      </c>
      <c r="AM1847" s="218" t="str">
        <f>VLOOKUP(A1847,'Table corresp.'!$M$4:$U$63,8,FALSE)</f>
        <v>Importation</v>
      </c>
      <c r="AN1847" s="218" t="str">
        <f>VLOOKUP(D1847,'Table corresp.'!$M$4:$U$63,9,FALSE)</f>
        <v>Production finale</v>
      </c>
    </row>
    <row r="1848" spans="1:40" x14ac:dyDescent="0.25">
      <c r="A1848" t="s">
        <v>52</v>
      </c>
      <c r="B1848" t="str">
        <f>VLOOKUP(LEFT(A1848,3),'Table corresp.'!$A$4:$D$63,3,FALSE)</f>
        <v>Importation</v>
      </c>
      <c r="C1848" t="str">
        <f>VLOOKUP(A1848,'Table corresp.'!$M$4:$P$63,4,FALSE)</f>
        <v>Importation</v>
      </c>
      <c r="D1848" t="s">
        <v>17</v>
      </c>
      <c r="E1848" t="str">
        <f>VLOOKUP(LEFT(D1848,3),'Table corresp.'!$A$4:$D$63,4,FALSE)</f>
        <v>Transformation</v>
      </c>
      <c r="F1848" t="str">
        <f t="shared" si="208"/>
        <v xml:space="preserve">Imp - 38 </v>
      </c>
      <c r="G1848" s="238">
        <v>0</v>
      </c>
      <c r="H1848" s="238">
        <v>31146.095999999998</v>
      </c>
      <c r="I1848" s="238">
        <v>31146.095999999998</v>
      </c>
      <c r="J1848" s="238">
        <v>0</v>
      </c>
      <c r="K1848" s="238">
        <v>43.548200191352009</v>
      </c>
      <c r="L1848" s="238">
        <v>43.548200191352009</v>
      </c>
      <c r="M1848" s="238"/>
      <c r="N1848" s="238"/>
      <c r="O1848" s="238"/>
      <c r="P1848" s="238"/>
      <c r="Q1848" s="238"/>
      <c r="R1848" s="238"/>
      <c r="S1848" s="238"/>
      <c r="T1848" s="218">
        <f>VLOOKUP(A1848,'Groupe de branches'!$Z$27:$AM$86,14,FALSE)</f>
        <v>0</v>
      </c>
      <c r="U1848" s="218">
        <f>VLOOKUP(D1848,'Groupe de branches'!$Z$27:$AM$86,14,FALSE)</f>
        <v>0</v>
      </c>
      <c r="V1848" s="218">
        <v>2020</v>
      </c>
      <c r="W1848" s="218" t="str">
        <f>VLOOKUP(D1848,'Table corresp.'!$M$4:$S$63,7,FALSE)</f>
        <v>Emballage bois et carton</v>
      </c>
      <c r="X1848" s="240">
        <f>IFERROR(G1848/SUMIFS('Comp2016-2017 (3)'!$I$5:$I$289,'Comp2016-2017 (3)'!$A$5:$A$289,A1848,'Comp2016-2017 (3)'!$R$5:$R$289,V1848),0)</f>
        <v>0</v>
      </c>
      <c r="Y1848" s="219">
        <f>IFERROR(IF(RIGHT(F1848,3)="Exp",VLOOKUP(F1848,#REF!,2,FALSE),VLOOKUP(F1848,#REF!,9,FALSE)),0)</f>
        <v>0</v>
      </c>
      <c r="Z1848" s="226">
        <f t="shared" si="204"/>
        <v>0</v>
      </c>
      <c r="AA1848" s="226">
        <f t="shared" si="205"/>
        <v>0</v>
      </c>
      <c r="AB1848" s="205">
        <f>IFERROR(SUMIFS('Comp2016-2017 (3)'!$G$5:$G$289,'Comp2016-2017 (3)'!$A$5:$A$289,A1848,'Comp2016-2017 (3)'!$R$5:$R$289,V1848)*AA1848/SUMIFS($AA$4:$AA$1858,$A$4:$A$1858,A1848,$V$4:$V$1858,V1848),0)</f>
        <v>0</v>
      </c>
      <c r="AC1848" s="205" t="str">
        <f>IF($W1848=AC$3,$AB1848,IF(NOT($W1848=0),"",SUMIFS('Val-Vol (2)'!AC$4:AC$1858,'Val-Vol (2)'!$A$4:$A$1858,$D1848,'Val-Vol (2)'!$V$4:$V$1858,$V1848)/SUMIFS('Comp2016-2017 (3)'!$G$5:$G$289,'Comp2016-2017 (3)'!$A$5:$A$289,$D1848,'Comp2016-2017 (3)'!$R$5:$R$289,$V1848)*$AB1848))</f>
        <v/>
      </c>
      <c r="AD1848" s="205" t="str">
        <f>IF($W1848=AD$3,$AB1848,IF(NOT($W1848=0),"",SUMIFS('Val-Vol (2)'!AD$4:AD$1858,'Val-Vol (2)'!$A$4:$A$1858,$D1848,'Val-Vol (2)'!$V$4:$V$1858,$V1848)/SUMIFS('Comp2016-2017 (3)'!$G$5:$G$289,'Comp2016-2017 (3)'!$A$5:$A$289,$D1848,'Comp2016-2017 (3)'!$R$5:$R$289,$V1848)*$AB1848))</f>
        <v/>
      </c>
      <c r="AE1848" s="205" t="str">
        <f>IF($W1848=AE$3,$AB1848,IF(NOT($W1848=0),"",SUMIFS('Val-Vol (2)'!AE$4:AE$1858,'Val-Vol (2)'!$A$4:$A$1858,$D1848,'Val-Vol (2)'!$V$4:$V$1858,$V1848)/SUMIFS('Comp2016-2017 (3)'!$G$5:$G$289,'Comp2016-2017 (3)'!$A$5:$A$289,$D1848,'Comp2016-2017 (3)'!$R$5:$R$289,$V1848)*$AB1848))</f>
        <v/>
      </c>
      <c r="AF1848" s="205" t="str">
        <f>IF($W1848=AF$3,$AB1848,IF(NOT($W1848=0),"",SUMIFS('Val-Vol (2)'!AF$4:AF$1858,'Val-Vol (2)'!$A$4:$A$1858,$D1848,'Val-Vol (2)'!$V$4:$V$1858,$V1848)/SUMIFS('Comp2016-2017 (3)'!$G$5:$G$289,'Comp2016-2017 (3)'!$A$5:$A$289,$D1848,'Comp2016-2017 (3)'!$R$5:$R$289,$V1848)*$AB1848))</f>
        <v/>
      </c>
      <c r="AG1848" s="205">
        <f>IF($W1848=AG$3,$AB1848,IF(NOT($W1848=0),"",SUMIFS('Val-Vol (2)'!AG$4:AG$1858,'Val-Vol (2)'!$A$4:$A$1858,$D1848,'Val-Vol (2)'!$V$4:$V$1858,$V1848)/SUMIFS('Comp2016-2017 (3)'!$G$5:$G$289,'Comp2016-2017 (3)'!$A$5:$A$289,$D1848,'Comp2016-2017 (3)'!$R$5:$R$289,$V1848)*$AB1848))</f>
        <v>0</v>
      </c>
      <c r="AH1848" s="205" t="str">
        <f>IF($W1848=AH$3,$AB1848,IF(NOT($W1848=0),"",SUMIFS('Val-Vol (2)'!AH$4:AH$1858,'Val-Vol (2)'!$A$4:$A$1858,$D1848,'Val-Vol (2)'!$V$4:$V$1858,$V1848)/SUMIFS('Comp2016-2017 (3)'!$G$5:$G$289,'Comp2016-2017 (3)'!$A$5:$A$289,$D1848,'Comp2016-2017 (3)'!$R$5:$R$289,$V1848)*$AB1848))</f>
        <v/>
      </c>
      <c r="AI1848" s="205" t="str">
        <f>IF($W1848=AI$3,$AB1848,IF(NOT($W1848=0),"",SUMIFS('Val-Vol (2)'!AI$4:AI$1858,'Val-Vol (2)'!$A$4:$A$1858,$D1848,'Val-Vol (2)'!$V$4:$V$1858,$V1848)/SUMIFS('Comp2016-2017 (3)'!$G$5:$G$289,'Comp2016-2017 (3)'!$A$5:$A$289,$D1848,'Comp2016-2017 (3)'!$R$5:$R$289,$V1848)*$AB1848))</f>
        <v/>
      </c>
      <c r="AJ1848" s="205" t="str">
        <f>IF($W1848=AJ$3,$AB1848,IF(NOT($W1848=0),"",SUMIFS('Val-Vol (2)'!AJ$4:AJ$1858,'Val-Vol (2)'!$A$4:$A$1858,$D1848,'Val-Vol (2)'!$V$4:$V$1858,$V1848)/SUMIFS('Comp2016-2017 (3)'!$G$5:$G$289,'Comp2016-2017 (3)'!$A$5:$A$289,$D1848,'Comp2016-2017 (3)'!$R$5:$R$289,$V1848)*$AB1848))</f>
        <v/>
      </c>
      <c r="AK1848" s="205">
        <f t="shared" si="206"/>
        <v>0</v>
      </c>
      <c r="AL1848" s="218" t="str">
        <f t="shared" si="207"/>
        <v/>
      </c>
      <c r="AM1848" s="218" t="str">
        <f>VLOOKUP(A1848,'Table corresp.'!$M$4:$U$63,8,FALSE)</f>
        <v>Importation</v>
      </c>
      <c r="AN1848" s="218" t="str">
        <f>VLOOKUP(D1848,'Table corresp.'!$M$4:$U$63,9,FALSE)</f>
        <v>Production finale</v>
      </c>
    </row>
    <row r="1849" spans="1:40" x14ac:dyDescent="0.25">
      <c r="A1849" t="s">
        <v>52</v>
      </c>
      <c r="B1849" t="str">
        <f>VLOOKUP(LEFT(A1849,3),'Table corresp.'!$A$4:$D$63,3,FALSE)</f>
        <v>Importation</v>
      </c>
      <c r="C1849" t="str">
        <f>VLOOKUP(A1849,'Table corresp.'!$M$4:$P$63,4,FALSE)</f>
        <v>Importation</v>
      </c>
      <c r="D1849" t="s">
        <v>18</v>
      </c>
      <c r="E1849" t="str">
        <f>VLOOKUP(LEFT(D1849,3),'Table corresp.'!$A$4:$D$63,4,FALSE)</f>
        <v>Transformation</v>
      </c>
      <c r="F1849" t="str">
        <f t="shared" si="208"/>
        <v xml:space="preserve">Imp - 39 </v>
      </c>
      <c r="G1849" s="238">
        <v>0</v>
      </c>
      <c r="H1849" s="238">
        <v>14982.660999999989</v>
      </c>
      <c r="I1849" s="238">
        <v>14982.660999999989</v>
      </c>
      <c r="J1849" s="238">
        <v>0</v>
      </c>
      <c r="K1849" s="238">
        <v>23.780073180222796</v>
      </c>
      <c r="L1849" s="238">
        <v>23.780073180222796</v>
      </c>
      <c r="M1849" s="238">
        <v>0</v>
      </c>
      <c r="N1849" s="238">
        <v>6.923512298219876</v>
      </c>
      <c r="O1849" s="238">
        <v>6.923512298219876</v>
      </c>
      <c r="P1849" s="238">
        <v>0</v>
      </c>
      <c r="Q1849" s="238">
        <v>2.5669253630967801</v>
      </c>
      <c r="R1849" s="238">
        <v>2.5669253630967801</v>
      </c>
      <c r="S1849" s="238" t="s">
        <v>192</v>
      </c>
      <c r="T1849" s="218">
        <f>VLOOKUP(A1849,'Groupe de branches'!$Z$27:$AM$86,14,FALSE)</f>
        <v>0</v>
      </c>
      <c r="U1849" s="218">
        <f>VLOOKUP(D1849,'Groupe de branches'!$Z$27:$AM$86,14,FALSE)</f>
        <v>0</v>
      </c>
      <c r="V1849" s="218">
        <v>2020</v>
      </c>
      <c r="W1849" s="218" t="str">
        <f>VLOOKUP(D1849,'Table corresp.'!$M$4:$S$63,7,FALSE)</f>
        <v>Construction</v>
      </c>
      <c r="X1849" s="240">
        <f>IFERROR(G1849/SUMIFS('Comp2016-2017 (3)'!$I$5:$I$289,'Comp2016-2017 (3)'!$A$5:$A$289,A1849,'Comp2016-2017 (3)'!$R$5:$R$289,V1849),0)</f>
        <v>0</v>
      </c>
      <c r="Y1849" s="219">
        <f>IFERROR(IF(RIGHT(F1849,3)="Exp",VLOOKUP(F1849,#REF!,2,FALSE),VLOOKUP(F1849,#REF!,9,FALSE)),0)</f>
        <v>0</v>
      </c>
      <c r="Z1849" s="226">
        <f t="shared" si="204"/>
        <v>0</v>
      </c>
      <c r="AA1849" s="226">
        <f t="shared" si="205"/>
        <v>0</v>
      </c>
      <c r="AB1849" s="205">
        <f>IFERROR(SUMIFS('Comp2016-2017 (3)'!$G$5:$G$289,'Comp2016-2017 (3)'!$A$5:$A$289,A1849,'Comp2016-2017 (3)'!$R$5:$R$289,V1849)*AA1849/SUMIFS($AA$4:$AA$1858,$A$4:$A$1858,A1849,$V$4:$V$1858,V1849),0)</f>
        <v>0</v>
      </c>
      <c r="AC1849" s="205" t="str">
        <f>IF($W1849=AC$3,$AB1849,IF(NOT($W1849=0),"",SUMIFS('Val-Vol (2)'!AC$4:AC$1858,'Val-Vol (2)'!$A$4:$A$1858,$D1849,'Val-Vol (2)'!$V$4:$V$1858,$V1849)/SUMIFS('Comp2016-2017 (3)'!$G$5:$G$289,'Comp2016-2017 (3)'!$A$5:$A$289,$D1849,'Comp2016-2017 (3)'!$R$5:$R$289,$V1849)*$AB1849))</f>
        <v/>
      </c>
      <c r="AD1849" s="205">
        <f>IF($W1849=AD$3,$AB1849,IF(NOT($W1849=0),"",SUMIFS('Val-Vol (2)'!AD$4:AD$1858,'Val-Vol (2)'!$A$4:$A$1858,$D1849,'Val-Vol (2)'!$V$4:$V$1858,$V1849)/SUMIFS('Comp2016-2017 (3)'!$G$5:$G$289,'Comp2016-2017 (3)'!$A$5:$A$289,$D1849,'Comp2016-2017 (3)'!$R$5:$R$289,$V1849)*$AB1849))</f>
        <v>0</v>
      </c>
      <c r="AE1849" s="205" t="str">
        <f>IF($W1849=AE$3,$AB1849,IF(NOT($W1849=0),"",SUMIFS('Val-Vol (2)'!AE$4:AE$1858,'Val-Vol (2)'!$A$4:$A$1858,$D1849,'Val-Vol (2)'!$V$4:$V$1858,$V1849)/SUMIFS('Comp2016-2017 (3)'!$G$5:$G$289,'Comp2016-2017 (3)'!$A$5:$A$289,$D1849,'Comp2016-2017 (3)'!$R$5:$R$289,$V1849)*$AB1849))</f>
        <v/>
      </c>
      <c r="AF1849" s="205" t="str">
        <f>IF($W1849=AF$3,$AB1849,IF(NOT($W1849=0),"",SUMIFS('Val-Vol (2)'!AF$4:AF$1858,'Val-Vol (2)'!$A$4:$A$1858,$D1849,'Val-Vol (2)'!$V$4:$V$1858,$V1849)/SUMIFS('Comp2016-2017 (3)'!$G$5:$G$289,'Comp2016-2017 (3)'!$A$5:$A$289,$D1849,'Comp2016-2017 (3)'!$R$5:$R$289,$V1849)*$AB1849))</f>
        <v/>
      </c>
      <c r="AG1849" s="205" t="str">
        <f>IF($W1849=AG$3,$AB1849,IF(NOT($W1849=0),"",SUMIFS('Val-Vol (2)'!AG$4:AG$1858,'Val-Vol (2)'!$A$4:$A$1858,$D1849,'Val-Vol (2)'!$V$4:$V$1858,$V1849)/SUMIFS('Comp2016-2017 (3)'!$G$5:$G$289,'Comp2016-2017 (3)'!$A$5:$A$289,$D1849,'Comp2016-2017 (3)'!$R$5:$R$289,$V1849)*$AB1849))</f>
        <v/>
      </c>
      <c r="AH1849" s="205" t="str">
        <f>IF($W1849=AH$3,$AB1849,IF(NOT($W1849=0),"",SUMIFS('Val-Vol (2)'!AH$4:AH$1858,'Val-Vol (2)'!$A$4:$A$1858,$D1849,'Val-Vol (2)'!$V$4:$V$1858,$V1849)/SUMIFS('Comp2016-2017 (3)'!$G$5:$G$289,'Comp2016-2017 (3)'!$A$5:$A$289,$D1849,'Comp2016-2017 (3)'!$R$5:$R$289,$V1849)*$AB1849))</f>
        <v/>
      </c>
      <c r="AI1849" s="205" t="str">
        <f>IF($W1849=AI$3,$AB1849,IF(NOT($W1849=0),"",SUMIFS('Val-Vol (2)'!AI$4:AI$1858,'Val-Vol (2)'!$A$4:$A$1858,$D1849,'Val-Vol (2)'!$V$4:$V$1858,$V1849)/SUMIFS('Comp2016-2017 (3)'!$G$5:$G$289,'Comp2016-2017 (3)'!$A$5:$A$289,$D1849,'Comp2016-2017 (3)'!$R$5:$R$289,$V1849)*$AB1849))</f>
        <v/>
      </c>
      <c r="AJ1849" s="205" t="str">
        <f>IF($W1849=AJ$3,$AB1849,IF(NOT($W1849=0),"",SUMIFS('Val-Vol (2)'!AJ$4:AJ$1858,'Val-Vol (2)'!$A$4:$A$1858,$D1849,'Val-Vol (2)'!$V$4:$V$1858,$V1849)/SUMIFS('Comp2016-2017 (3)'!$G$5:$G$289,'Comp2016-2017 (3)'!$A$5:$A$289,$D1849,'Comp2016-2017 (3)'!$R$5:$R$289,$V1849)*$AB1849))</f>
        <v/>
      </c>
      <c r="AK1849" s="205">
        <f t="shared" si="206"/>
        <v>0</v>
      </c>
      <c r="AL1849" s="218" t="str">
        <f t="shared" si="207"/>
        <v/>
      </c>
      <c r="AM1849" s="218" t="str">
        <f>VLOOKUP(A1849,'Table corresp.'!$M$4:$U$63,8,FALSE)</f>
        <v>Importation</v>
      </c>
      <c r="AN1849" s="218" t="str">
        <f>VLOOKUP(D1849,'Table corresp.'!$M$4:$U$63,9,FALSE)</f>
        <v>Production finale</v>
      </c>
    </row>
    <row r="1850" spans="1:40" x14ac:dyDescent="0.25">
      <c r="A1850" t="s">
        <v>52</v>
      </c>
      <c r="B1850" t="str">
        <f>VLOOKUP(LEFT(A1850,3),'Table corresp.'!$A$4:$D$63,3,FALSE)</f>
        <v>Importation</v>
      </c>
      <c r="C1850" t="str">
        <f>VLOOKUP(A1850,'Table corresp.'!$M$4:$P$63,4,FALSE)</f>
        <v>Importation</v>
      </c>
      <c r="D1850" t="s">
        <v>92</v>
      </c>
      <c r="E1850" t="str">
        <f>VLOOKUP(LEFT(D1850,3),'Table corresp.'!$A$4:$D$63,4,FALSE)</f>
        <v>Transformation</v>
      </c>
      <c r="F1850" t="str">
        <f t="shared" si="208"/>
        <v xml:space="preserve">Imp - 40 </v>
      </c>
      <c r="G1850" s="238">
        <v>0</v>
      </c>
      <c r="H1850" s="238">
        <v>28676.149000000009</v>
      </c>
      <c r="I1850" s="238">
        <v>28676.149000000009</v>
      </c>
      <c r="J1850" s="238">
        <v>0</v>
      </c>
      <c r="K1850" s="238">
        <v>67.078923549804315</v>
      </c>
      <c r="L1850" s="238">
        <v>67.078923549804315</v>
      </c>
      <c r="M1850" s="238"/>
      <c r="N1850" s="238"/>
      <c r="O1850" s="238"/>
      <c r="P1850" s="238"/>
      <c r="Q1850" s="238"/>
      <c r="R1850" s="238"/>
      <c r="S1850" s="238"/>
      <c r="T1850" s="218">
        <f>VLOOKUP(A1850,'Groupe de branches'!$Z$27:$AM$86,14,FALSE)</f>
        <v>0</v>
      </c>
      <c r="U1850" s="218">
        <f>VLOOKUP(D1850,'Groupe de branches'!$Z$27:$AM$86,14,FALSE)</f>
        <v>0</v>
      </c>
      <c r="V1850" s="218">
        <v>2020</v>
      </c>
      <c r="W1850" s="218" t="str">
        <f>VLOOKUP(D1850,'Table corresp.'!$M$4:$S$63,7,FALSE)</f>
        <v>Construction</v>
      </c>
      <c r="X1850" s="240">
        <f>IFERROR(G1850/SUMIFS('Comp2016-2017 (3)'!$I$5:$I$289,'Comp2016-2017 (3)'!$A$5:$A$289,A1850,'Comp2016-2017 (3)'!$R$5:$R$289,V1850),0)</f>
        <v>0</v>
      </c>
      <c r="Y1850" s="219">
        <f>IFERROR(IF(RIGHT(F1850,3)="Exp",VLOOKUP(F1850,#REF!,2,FALSE),VLOOKUP(F1850,#REF!,9,FALSE)),0)</f>
        <v>0</v>
      </c>
      <c r="Z1850" s="226">
        <f t="shared" si="204"/>
        <v>0</v>
      </c>
      <c r="AA1850" s="226">
        <f t="shared" si="205"/>
        <v>0</v>
      </c>
      <c r="AB1850" s="205">
        <f>IFERROR(SUMIFS('Comp2016-2017 (3)'!$G$5:$G$289,'Comp2016-2017 (3)'!$A$5:$A$289,A1850,'Comp2016-2017 (3)'!$R$5:$R$289,V1850)*AA1850/SUMIFS($AA$4:$AA$1858,$A$4:$A$1858,A1850,$V$4:$V$1858,V1850),0)</f>
        <v>0</v>
      </c>
      <c r="AC1850" s="205" t="str">
        <f>IF($W1850=AC$3,$AB1850,IF(NOT($W1850=0),"",SUMIFS('Val-Vol (2)'!AC$4:AC$1858,'Val-Vol (2)'!$A$4:$A$1858,$D1850,'Val-Vol (2)'!$V$4:$V$1858,$V1850)/SUMIFS('Comp2016-2017 (3)'!$G$5:$G$289,'Comp2016-2017 (3)'!$A$5:$A$289,$D1850,'Comp2016-2017 (3)'!$R$5:$R$289,$V1850)*$AB1850))</f>
        <v/>
      </c>
      <c r="AD1850" s="205">
        <f>IF($W1850=AD$3,$AB1850,IF(NOT($W1850=0),"",SUMIFS('Val-Vol (2)'!AD$4:AD$1858,'Val-Vol (2)'!$A$4:$A$1858,$D1850,'Val-Vol (2)'!$V$4:$V$1858,$V1850)/SUMIFS('Comp2016-2017 (3)'!$G$5:$G$289,'Comp2016-2017 (3)'!$A$5:$A$289,$D1850,'Comp2016-2017 (3)'!$R$5:$R$289,$V1850)*$AB1850))</f>
        <v>0</v>
      </c>
      <c r="AE1850" s="205" t="str">
        <f>IF($W1850=AE$3,$AB1850,IF(NOT($W1850=0),"",SUMIFS('Val-Vol (2)'!AE$4:AE$1858,'Val-Vol (2)'!$A$4:$A$1858,$D1850,'Val-Vol (2)'!$V$4:$V$1858,$V1850)/SUMIFS('Comp2016-2017 (3)'!$G$5:$G$289,'Comp2016-2017 (3)'!$A$5:$A$289,$D1850,'Comp2016-2017 (3)'!$R$5:$R$289,$V1850)*$AB1850))</f>
        <v/>
      </c>
      <c r="AF1850" s="205" t="str">
        <f>IF($W1850=AF$3,$AB1850,IF(NOT($W1850=0),"",SUMIFS('Val-Vol (2)'!AF$4:AF$1858,'Val-Vol (2)'!$A$4:$A$1858,$D1850,'Val-Vol (2)'!$V$4:$V$1858,$V1850)/SUMIFS('Comp2016-2017 (3)'!$G$5:$G$289,'Comp2016-2017 (3)'!$A$5:$A$289,$D1850,'Comp2016-2017 (3)'!$R$5:$R$289,$V1850)*$AB1850))</f>
        <v/>
      </c>
      <c r="AG1850" s="205" t="str">
        <f>IF($W1850=AG$3,$AB1850,IF(NOT($W1850=0),"",SUMIFS('Val-Vol (2)'!AG$4:AG$1858,'Val-Vol (2)'!$A$4:$A$1858,$D1850,'Val-Vol (2)'!$V$4:$V$1858,$V1850)/SUMIFS('Comp2016-2017 (3)'!$G$5:$G$289,'Comp2016-2017 (3)'!$A$5:$A$289,$D1850,'Comp2016-2017 (3)'!$R$5:$R$289,$V1850)*$AB1850))</f>
        <v/>
      </c>
      <c r="AH1850" s="205" t="str">
        <f>IF($W1850=AH$3,$AB1850,IF(NOT($W1850=0),"",SUMIFS('Val-Vol (2)'!AH$4:AH$1858,'Val-Vol (2)'!$A$4:$A$1858,$D1850,'Val-Vol (2)'!$V$4:$V$1858,$V1850)/SUMIFS('Comp2016-2017 (3)'!$G$5:$G$289,'Comp2016-2017 (3)'!$A$5:$A$289,$D1850,'Comp2016-2017 (3)'!$R$5:$R$289,$V1850)*$AB1850))</f>
        <v/>
      </c>
      <c r="AI1850" s="205" t="str">
        <f>IF($W1850=AI$3,$AB1850,IF(NOT($W1850=0),"",SUMIFS('Val-Vol (2)'!AI$4:AI$1858,'Val-Vol (2)'!$A$4:$A$1858,$D1850,'Val-Vol (2)'!$V$4:$V$1858,$V1850)/SUMIFS('Comp2016-2017 (3)'!$G$5:$G$289,'Comp2016-2017 (3)'!$A$5:$A$289,$D1850,'Comp2016-2017 (3)'!$R$5:$R$289,$V1850)*$AB1850))</f>
        <v/>
      </c>
      <c r="AJ1850" s="205" t="str">
        <f>IF($W1850=AJ$3,$AB1850,IF(NOT($W1850=0),"",SUMIFS('Val-Vol (2)'!AJ$4:AJ$1858,'Val-Vol (2)'!$A$4:$A$1858,$D1850,'Val-Vol (2)'!$V$4:$V$1858,$V1850)/SUMIFS('Comp2016-2017 (3)'!$G$5:$G$289,'Comp2016-2017 (3)'!$A$5:$A$289,$D1850,'Comp2016-2017 (3)'!$R$5:$R$289,$V1850)*$AB1850))</f>
        <v/>
      </c>
      <c r="AK1850" s="205">
        <f t="shared" si="206"/>
        <v>0</v>
      </c>
      <c r="AL1850" s="218" t="str">
        <f t="shared" si="207"/>
        <v/>
      </c>
      <c r="AM1850" s="218" t="str">
        <f>VLOOKUP(A1850,'Table corresp.'!$M$4:$U$63,8,FALSE)</f>
        <v>Importation</v>
      </c>
      <c r="AN1850" s="218" t="str">
        <f>VLOOKUP(D1850,'Table corresp.'!$M$4:$U$63,9,FALSE)</f>
        <v>Production finale</v>
      </c>
    </row>
    <row r="1851" spans="1:40" x14ac:dyDescent="0.25">
      <c r="A1851" t="s">
        <v>52</v>
      </c>
      <c r="B1851" t="str">
        <f>VLOOKUP(LEFT(A1851,3),'Table corresp.'!$A$4:$D$63,3,FALSE)</f>
        <v>Importation</v>
      </c>
      <c r="C1851" t="str">
        <f>VLOOKUP(A1851,'Table corresp.'!$M$4:$P$63,4,FALSE)</f>
        <v>Importation</v>
      </c>
      <c r="D1851" t="s">
        <v>93</v>
      </c>
      <c r="E1851" t="str">
        <f>VLOOKUP(LEFT(D1851,3),'Table corresp.'!$A$4:$D$63,4,FALSE)</f>
        <v>Transformation</v>
      </c>
      <c r="F1851" t="str">
        <f t="shared" si="208"/>
        <v xml:space="preserve">Imp - 41 </v>
      </c>
      <c r="G1851" s="238">
        <v>0</v>
      </c>
      <c r="H1851" s="238">
        <v>198336.40800000011</v>
      </c>
      <c r="I1851" s="238">
        <v>198336.40800000011</v>
      </c>
      <c r="J1851" s="238">
        <v>0</v>
      </c>
      <c r="K1851" s="238">
        <v>554.10759438939306</v>
      </c>
      <c r="L1851" s="238">
        <v>554.10759438939306</v>
      </c>
      <c r="M1851" s="238"/>
      <c r="N1851" s="238"/>
      <c r="O1851" s="238"/>
      <c r="P1851" s="238"/>
      <c r="Q1851" s="238"/>
      <c r="R1851" s="238"/>
      <c r="S1851" s="238"/>
      <c r="T1851" s="218">
        <f>VLOOKUP(A1851,'Groupe de branches'!$Z$27:$AM$86,14,FALSE)</f>
        <v>0</v>
      </c>
      <c r="U1851" s="218">
        <f>VLOOKUP(D1851,'Groupe de branches'!$Z$27:$AM$86,14,FALSE)</f>
        <v>0</v>
      </c>
      <c r="V1851" s="218">
        <v>2020</v>
      </c>
      <c r="W1851" s="218" t="str">
        <f>VLOOKUP(D1851,'Table corresp.'!$M$4:$S$63,7,FALSE)</f>
        <v>Produits de consommation courante</v>
      </c>
      <c r="X1851" s="240">
        <f>IFERROR(G1851/SUMIFS('Comp2016-2017 (3)'!$I$5:$I$289,'Comp2016-2017 (3)'!$A$5:$A$289,A1851,'Comp2016-2017 (3)'!$R$5:$R$289,V1851),0)</f>
        <v>0</v>
      </c>
      <c r="Y1851" s="219">
        <f>IFERROR(IF(RIGHT(F1851,3)="Exp",VLOOKUP(F1851,#REF!,2,FALSE),VLOOKUP(F1851,#REF!,9,FALSE)),0)</f>
        <v>0</v>
      </c>
      <c r="Z1851" s="226">
        <f t="shared" si="204"/>
        <v>0</v>
      </c>
      <c r="AA1851" s="226">
        <f t="shared" si="205"/>
        <v>0</v>
      </c>
      <c r="AB1851" s="205">
        <f>IFERROR(SUMIFS('Comp2016-2017 (3)'!$G$5:$G$289,'Comp2016-2017 (3)'!$A$5:$A$289,A1851,'Comp2016-2017 (3)'!$R$5:$R$289,V1851)*AA1851/SUMIFS($AA$4:$AA$1858,$A$4:$A$1858,A1851,$V$4:$V$1858,V1851),0)</f>
        <v>0</v>
      </c>
      <c r="AC1851" s="205" t="str">
        <f>IF($W1851=AC$3,$AB1851,IF(NOT($W1851=0),"",SUMIFS('Val-Vol (2)'!AC$4:AC$1858,'Val-Vol (2)'!$A$4:$A$1858,$D1851,'Val-Vol (2)'!$V$4:$V$1858,$V1851)/SUMIFS('Comp2016-2017 (3)'!$G$5:$G$289,'Comp2016-2017 (3)'!$A$5:$A$289,$D1851,'Comp2016-2017 (3)'!$R$5:$R$289,$V1851)*$AB1851))</f>
        <v/>
      </c>
      <c r="AD1851" s="205" t="str">
        <f>IF($W1851=AD$3,$AB1851,IF(NOT($W1851=0),"",SUMIFS('Val-Vol (2)'!AD$4:AD$1858,'Val-Vol (2)'!$A$4:$A$1858,$D1851,'Val-Vol (2)'!$V$4:$V$1858,$V1851)/SUMIFS('Comp2016-2017 (3)'!$G$5:$G$289,'Comp2016-2017 (3)'!$A$5:$A$289,$D1851,'Comp2016-2017 (3)'!$R$5:$R$289,$V1851)*$AB1851))</f>
        <v/>
      </c>
      <c r="AE1851" s="205" t="str">
        <f>IF($W1851=AE$3,$AB1851,IF(NOT($W1851=0),"",SUMIFS('Val-Vol (2)'!AE$4:AE$1858,'Val-Vol (2)'!$A$4:$A$1858,$D1851,'Val-Vol (2)'!$V$4:$V$1858,$V1851)/SUMIFS('Comp2016-2017 (3)'!$G$5:$G$289,'Comp2016-2017 (3)'!$A$5:$A$289,$D1851,'Comp2016-2017 (3)'!$R$5:$R$289,$V1851)*$AB1851))</f>
        <v/>
      </c>
      <c r="AF1851" s="205" t="str">
        <f>IF($W1851=AF$3,$AB1851,IF(NOT($W1851=0),"",SUMIFS('Val-Vol (2)'!AF$4:AF$1858,'Val-Vol (2)'!$A$4:$A$1858,$D1851,'Val-Vol (2)'!$V$4:$V$1858,$V1851)/SUMIFS('Comp2016-2017 (3)'!$G$5:$G$289,'Comp2016-2017 (3)'!$A$5:$A$289,$D1851,'Comp2016-2017 (3)'!$R$5:$R$289,$V1851)*$AB1851))</f>
        <v/>
      </c>
      <c r="AG1851" s="205" t="str">
        <f>IF($W1851=AG$3,$AB1851,IF(NOT($W1851=0),"",SUMIFS('Val-Vol (2)'!AG$4:AG$1858,'Val-Vol (2)'!$A$4:$A$1858,$D1851,'Val-Vol (2)'!$V$4:$V$1858,$V1851)/SUMIFS('Comp2016-2017 (3)'!$G$5:$G$289,'Comp2016-2017 (3)'!$A$5:$A$289,$D1851,'Comp2016-2017 (3)'!$R$5:$R$289,$V1851)*$AB1851))</f>
        <v/>
      </c>
      <c r="AH1851" s="205" t="str">
        <f>IF($W1851=AH$3,$AB1851,IF(NOT($W1851=0),"",SUMIFS('Val-Vol (2)'!AH$4:AH$1858,'Val-Vol (2)'!$A$4:$A$1858,$D1851,'Val-Vol (2)'!$V$4:$V$1858,$V1851)/SUMIFS('Comp2016-2017 (3)'!$G$5:$G$289,'Comp2016-2017 (3)'!$A$5:$A$289,$D1851,'Comp2016-2017 (3)'!$R$5:$R$289,$V1851)*$AB1851))</f>
        <v/>
      </c>
      <c r="AI1851" s="205">
        <f>IF($W1851=AI$3,$AB1851,IF(NOT($W1851=0),"",SUMIFS('Val-Vol (2)'!AI$4:AI$1858,'Val-Vol (2)'!$A$4:$A$1858,$D1851,'Val-Vol (2)'!$V$4:$V$1858,$V1851)/SUMIFS('Comp2016-2017 (3)'!$G$5:$G$289,'Comp2016-2017 (3)'!$A$5:$A$289,$D1851,'Comp2016-2017 (3)'!$R$5:$R$289,$V1851)*$AB1851))</f>
        <v>0</v>
      </c>
      <c r="AJ1851" s="205" t="str">
        <f>IF($W1851=AJ$3,$AB1851,IF(NOT($W1851=0),"",SUMIFS('Val-Vol (2)'!AJ$4:AJ$1858,'Val-Vol (2)'!$A$4:$A$1858,$D1851,'Val-Vol (2)'!$V$4:$V$1858,$V1851)/SUMIFS('Comp2016-2017 (3)'!$G$5:$G$289,'Comp2016-2017 (3)'!$A$5:$A$289,$D1851,'Comp2016-2017 (3)'!$R$5:$R$289,$V1851)*$AB1851))</f>
        <v/>
      </c>
      <c r="AK1851" s="205">
        <f t="shared" si="206"/>
        <v>0</v>
      </c>
      <c r="AL1851" s="218" t="str">
        <f t="shared" si="207"/>
        <v/>
      </c>
      <c r="AM1851" s="218" t="str">
        <f>VLOOKUP(A1851,'Table corresp.'!$M$4:$U$63,8,FALSE)</f>
        <v>Importation</v>
      </c>
      <c r="AN1851" s="218" t="str">
        <f>VLOOKUP(D1851,'Table corresp.'!$M$4:$U$63,9,FALSE)</f>
        <v>Production finale</v>
      </c>
    </row>
    <row r="1852" spans="1:40" x14ac:dyDescent="0.25">
      <c r="A1852" t="s">
        <v>52</v>
      </c>
      <c r="B1852" t="str">
        <f>VLOOKUP(LEFT(A1852,3),'Table corresp.'!$A$4:$D$63,3,FALSE)</f>
        <v>Importation</v>
      </c>
      <c r="C1852" t="str">
        <f>VLOOKUP(A1852,'Table corresp.'!$M$4:$P$63,4,FALSE)</f>
        <v>Importation</v>
      </c>
      <c r="D1852" t="s">
        <v>94</v>
      </c>
      <c r="E1852" t="str">
        <f>VLOOKUP(LEFT(D1852,3),'Table corresp.'!$A$4:$D$63,4,FALSE)</f>
        <v>Transformation</v>
      </c>
      <c r="F1852" t="str">
        <f t="shared" si="208"/>
        <v xml:space="preserve">Imp - 42 </v>
      </c>
      <c r="G1852" s="238">
        <v>0</v>
      </c>
      <c r="H1852" s="238">
        <v>256448.17199999999</v>
      </c>
      <c r="I1852" s="238">
        <v>256448.17199999999</v>
      </c>
      <c r="J1852" s="238">
        <v>0</v>
      </c>
      <c r="K1852" s="238">
        <v>28.67389982757966</v>
      </c>
      <c r="L1852" s="238">
        <v>28.67389982757966</v>
      </c>
      <c r="M1852" s="238"/>
      <c r="N1852" s="238"/>
      <c r="O1852" s="238"/>
      <c r="P1852" s="238"/>
      <c r="Q1852" s="238"/>
      <c r="R1852" s="238"/>
      <c r="S1852" s="238"/>
      <c r="T1852" s="218">
        <f>VLOOKUP(A1852,'Groupe de branches'!$Z$27:$AM$86,14,FALSE)</f>
        <v>0</v>
      </c>
      <c r="U1852" s="218">
        <f>VLOOKUP(D1852,'Groupe de branches'!$Z$27:$AM$86,14,FALSE)</f>
        <v>0</v>
      </c>
      <c r="V1852" s="218">
        <v>2020</v>
      </c>
      <c r="W1852" s="218" t="str">
        <f>VLOOKUP(D1852,'Table corresp.'!$M$4:$S$63,7,FALSE)</f>
        <v>Produits de consommation courante</v>
      </c>
      <c r="X1852" s="240">
        <f>IFERROR(G1852/SUMIFS('Comp2016-2017 (3)'!$I$5:$I$289,'Comp2016-2017 (3)'!$A$5:$A$289,A1852,'Comp2016-2017 (3)'!$R$5:$R$289,V1852),0)</f>
        <v>0</v>
      </c>
      <c r="Y1852" s="219">
        <f>IFERROR(IF(RIGHT(F1852,3)="Exp",VLOOKUP(F1852,#REF!,2,FALSE),VLOOKUP(F1852,#REF!,9,FALSE)),0)</f>
        <v>0</v>
      </c>
      <c r="Z1852" s="226">
        <f t="shared" si="204"/>
        <v>0</v>
      </c>
      <c r="AA1852" s="226">
        <f t="shared" si="205"/>
        <v>0</v>
      </c>
      <c r="AB1852" s="205">
        <f>IFERROR(SUMIFS('Comp2016-2017 (3)'!$G$5:$G$289,'Comp2016-2017 (3)'!$A$5:$A$289,A1852,'Comp2016-2017 (3)'!$R$5:$R$289,V1852)*AA1852/SUMIFS($AA$4:$AA$1858,$A$4:$A$1858,A1852,$V$4:$V$1858,V1852),0)</f>
        <v>0</v>
      </c>
      <c r="AC1852" s="205" t="str">
        <f>IF($W1852=AC$3,$AB1852,IF(NOT($W1852=0),"",SUMIFS('Val-Vol (2)'!AC$4:AC$1858,'Val-Vol (2)'!$A$4:$A$1858,$D1852,'Val-Vol (2)'!$V$4:$V$1858,$V1852)/SUMIFS('Comp2016-2017 (3)'!$G$5:$G$289,'Comp2016-2017 (3)'!$A$5:$A$289,$D1852,'Comp2016-2017 (3)'!$R$5:$R$289,$V1852)*$AB1852))</f>
        <v/>
      </c>
      <c r="AD1852" s="205" t="str">
        <f>IF($W1852=AD$3,$AB1852,IF(NOT($W1852=0),"",SUMIFS('Val-Vol (2)'!AD$4:AD$1858,'Val-Vol (2)'!$A$4:$A$1858,$D1852,'Val-Vol (2)'!$V$4:$V$1858,$V1852)/SUMIFS('Comp2016-2017 (3)'!$G$5:$G$289,'Comp2016-2017 (3)'!$A$5:$A$289,$D1852,'Comp2016-2017 (3)'!$R$5:$R$289,$V1852)*$AB1852))</f>
        <v/>
      </c>
      <c r="AE1852" s="205" t="str">
        <f>IF($W1852=AE$3,$AB1852,IF(NOT($W1852=0),"",SUMIFS('Val-Vol (2)'!AE$4:AE$1858,'Val-Vol (2)'!$A$4:$A$1858,$D1852,'Val-Vol (2)'!$V$4:$V$1858,$V1852)/SUMIFS('Comp2016-2017 (3)'!$G$5:$G$289,'Comp2016-2017 (3)'!$A$5:$A$289,$D1852,'Comp2016-2017 (3)'!$R$5:$R$289,$V1852)*$AB1852))</f>
        <v/>
      </c>
      <c r="AF1852" s="205" t="str">
        <f>IF($W1852=AF$3,$AB1852,IF(NOT($W1852=0),"",SUMIFS('Val-Vol (2)'!AF$4:AF$1858,'Val-Vol (2)'!$A$4:$A$1858,$D1852,'Val-Vol (2)'!$V$4:$V$1858,$V1852)/SUMIFS('Comp2016-2017 (3)'!$G$5:$G$289,'Comp2016-2017 (3)'!$A$5:$A$289,$D1852,'Comp2016-2017 (3)'!$R$5:$R$289,$V1852)*$AB1852))</f>
        <v/>
      </c>
      <c r="AG1852" s="205" t="str">
        <f>IF($W1852=AG$3,$AB1852,IF(NOT($W1852=0),"",SUMIFS('Val-Vol (2)'!AG$4:AG$1858,'Val-Vol (2)'!$A$4:$A$1858,$D1852,'Val-Vol (2)'!$V$4:$V$1858,$V1852)/SUMIFS('Comp2016-2017 (3)'!$G$5:$G$289,'Comp2016-2017 (3)'!$A$5:$A$289,$D1852,'Comp2016-2017 (3)'!$R$5:$R$289,$V1852)*$AB1852))</f>
        <v/>
      </c>
      <c r="AH1852" s="205" t="str">
        <f>IF($W1852=AH$3,$AB1852,IF(NOT($W1852=0),"",SUMIFS('Val-Vol (2)'!AH$4:AH$1858,'Val-Vol (2)'!$A$4:$A$1858,$D1852,'Val-Vol (2)'!$V$4:$V$1858,$V1852)/SUMIFS('Comp2016-2017 (3)'!$G$5:$G$289,'Comp2016-2017 (3)'!$A$5:$A$289,$D1852,'Comp2016-2017 (3)'!$R$5:$R$289,$V1852)*$AB1852))</f>
        <v/>
      </c>
      <c r="AI1852" s="205">
        <f>IF($W1852=AI$3,$AB1852,IF(NOT($W1852=0),"",SUMIFS('Val-Vol (2)'!AI$4:AI$1858,'Val-Vol (2)'!$A$4:$A$1858,$D1852,'Val-Vol (2)'!$V$4:$V$1858,$V1852)/SUMIFS('Comp2016-2017 (3)'!$G$5:$G$289,'Comp2016-2017 (3)'!$A$5:$A$289,$D1852,'Comp2016-2017 (3)'!$R$5:$R$289,$V1852)*$AB1852))</f>
        <v>0</v>
      </c>
      <c r="AJ1852" s="205" t="str">
        <f>IF($W1852=AJ$3,$AB1852,IF(NOT($W1852=0),"",SUMIFS('Val-Vol (2)'!AJ$4:AJ$1858,'Val-Vol (2)'!$A$4:$A$1858,$D1852,'Val-Vol (2)'!$V$4:$V$1858,$V1852)/SUMIFS('Comp2016-2017 (3)'!$G$5:$G$289,'Comp2016-2017 (3)'!$A$5:$A$289,$D1852,'Comp2016-2017 (3)'!$R$5:$R$289,$V1852)*$AB1852))</f>
        <v/>
      </c>
      <c r="AK1852" s="205">
        <f t="shared" si="206"/>
        <v>0</v>
      </c>
      <c r="AL1852" s="218" t="str">
        <f t="shared" si="207"/>
        <v/>
      </c>
      <c r="AM1852" s="218" t="str">
        <f>VLOOKUP(A1852,'Table corresp.'!$M$4:$U$63,8,FALSE)</f>
        <v>Importation</v>
      </c>
      <c r="AN1852" s="218" t="str">
        <f>VLOOKUP(D1852,'Table corresp.'!$M$4:$U$63,9,FALSE)</f>
        <v>Production finale</v>
      </c>
    </row>
    <row r="1853" spans="1:40" x14ac:dyDescent="0.25">
      <c r="A1853" t="s">
        <v>52</v>
      </c>
      <c r="B1853" t="str">
        <f>VLOOKUP(LEFT(A1853,3),'Table corresp.'!$A$4:$D$63,3,FALSE)</f>
        <v>Importation</v>
      </c>
      <c r="C1853" t="str">
        <f>VLOOKUP(A1853,'Table corresp.'!$M$4:$P$63,4,FALSE)</f>
        <v>Importation</v>
      </c>
      <c r="D1853" t="s">
        <v>95</v>
      </c>
      <c r="E1853" t="str">
        <f>VLOOKUP(LEFT(D1853,3),'Table corresp.'!$A$4:$D$63,4,FALSE)</f>
        <v>Transformation</v>
      </c>
      <c r="F1853" t="str">
        <f t="shared" si="208"/>
        <v xml:space="preserve">Imp - 43 </v>
      </c>
      <c r="G1853" s="238">
        <v>0</v>
      </c>
      <c r="H1853" s="238">
        <v>825976.24400000053</v>
      </c>
      <c r="I1853" s="238">
        <v>825976.24400000053</v>
      </c>
      <c r="J1853" s="238"/>
      <c r="K1853" s="238"/>
      <c r="L1853" s="238"/>
      <c r="M1853" s="238">
        <v>0</v>
      </c>
      <c r="N1853" s="238">
        <v>6664.4296409140898</v>
      </c>
      <c r="O1853" s="238">
        <v>6664.4296409140898</v>
      </c>
      <c r="P1853" s="238"/>
      <c r="Q1853" s="238"/>
      <c r="R1853" s="238"/>
      <c r="S1853" s="238"/>
      <c r="T1853" s="218">
        <f>VLOOKUP(A1853,'Groupe de branches'!$Z$27:$AM$86,14,FALSE)</f>
        <v>0</v>
      </c>
      <c r="U1853" s="218">
        <f>VLOOKUP(D1853,'Groupe de branches'!$Z$27:$AM$86,14,FALSE)</f>
        <v>0</v>
      </c>
      <c r="V1853" s="218">
        <v>2020</v>
      </c>
      <c r="W1853" s="218" t="str">
        <f>VLOOKUP(D1853,'Table corresp.'!$M$4:$S$63,7,FALSE)</f>
        <v>Pate &amp; papier &amp; carton</v>
      </c>
      <c r="X1853" s="240">
        <f>IFERROR(G1853/SUMIFS('Comp2016-2017 (3)'!$I$5:$I$289,'Comp2016-2017 (3)'!$A$5:$A$289,A1853,'Comp2016-2017 (3)'!$R$5:$R$289,V1853),0)</f>
        <v>0</v>
      </c>
      <c r="Y1853" s="219">
        <f>IFERROR(IF(RIGHT(F1853,3)="Exp",VLOOKUP(F1853,#REF!,2,FALSE),VLOOKUP(F1853,#REF!,9,FALSE)),0)</f>
        <v>0</v>
      </c>
      <c r="Z1853" s="226">
        <f t="shared" si="204"/>
        <v>0</v>
      </c>
      <c r="AA1853" s="226">
        <f t="shared" si="205"/>
        <v>0</v>
      </c>
      <c r="AB1853" s="205">
        <f>IFERROR(SUMIFS('Comp2016-2017 (3)'!$G$5:$G$289,'Comp2016-2017 (3)'!$A$5:$A$289,A1853,'Comp2016-2017 (3)'!$R$5:$R$289,V1853)*AA1853/SUMIFS($AA$4:$AA$1858,$A$4:$A$1858,A1853,$V$4:$V$1858,V1853),0)</f>
        <v>0</v>
      </c>
      <c r="AC1853" s="205" t="str">
        <f>IF($W1853=AC$3,$AB1853,IF(NOT($W1853=0),"",SUMIFS('Val-Vol (2)'!AC$4:AC$1858,'Val-Vol (2)'!$A$4:$A$1858,$D1853,'Val-Vol (2)'!$V$4:$V$1858,$V1853)/SUMIFS('Comp2016-2017 (3)'!$G$5:$G$289,'Comp2016-2017 (3)'!$A$5:$A$289,$D1853,'Comp2016-2017 (3)'!$R$5:$R$289,$V1853)*$AB1853))</f>
        <v/>
      </c>
      <c r="AD1853" s="205" t="str">
        <f>IF($W1853=AD$3,$AB1853,IF(NOT($W1853=0),"",SUMIFS('Val-Vol (2)'!AD$4:AD$1858,'Val-Vol (2)'!$A$4:$A$1858,$D1853,'Val-Vol (2)'!$V$4:$V$1858,$V1853)/SUMIFS('Comp2016-2017 (3)'!$G$5:$G$289,'Comp2016-2017 (3)'!$A$5:$A$289,$D1853,'Comp2016-2017 (3)'!$R$5:$R$289,$V1853)*$AB1853))</f>
        <v/>
      </c>
      <c r="AE1853" s="205" t="str">
        <f>IF($W1853=AE$3,$AB1853,IF(NOT($W1853=0),"",SUMIFS('Val-Vol (2)'!AE$4:AE$1858,'Val-Vol (2)'!$A$4:$A$1858,$D1853,'Val-Vol (2)'!$V$4:$V$1858,$V1853)/SUMIFS('Comp2016-2017 (3)'!$G$5:$G$289,'Comp2016-2017 (3)'!$A$5:$A$289,$D1853,'Comp2016-2017 (3)'!$R$5:$R$289,$V1853)*$AB1853))</f>
        <v/>
      </c>
      <c r="AF1853" s="205">
        <f>IF($W1853=AF$3,$AB1853,IF(NOT($W1853=0),"",SUMIFS('Val-Vol (2)'!AF$4:AF$1858,'Val-Vol (2)'!$A$4:$A$1858,$D1853,'Val-Vol (2)'!$V$4:$V$1858,$V1853)/SUMIFS('Comp2016-2017 (3)'!$G$5:$G$289,'Comp2016-2017 (3)'!$A$5:$A$289,$D1853,'Comp2016-2017 (3)'!$R$5:$R$289,$V1853)*$AB1853))</f>
        <v>0</v>
      </c>
      <c r="AG1853" s="205" t="str">
        <f>IF($W1853=AG$3,$AB1853,IF(NOT($W1853=0),"",SUMIFS('Val-Vol (2)'!AG$4:AG$1858,'Val-Vol (2)'!$A$4:$A$1858,$D1853,'Val-Vol (2)'!$V$4:$V$1858,$V1853)/SUMIFS('Comp2016-2017 (3)'!$G$5:$G$289,'Comp2016-2017 (3)'!$A$5:$A$289,$D1853,'Comp2016-2017 (3)'!$R$5:$R$289,$V1853)*$AB1853))</f>
        <v/>
      </c>
      <c r="AH1853" s="205" t="str">
        <f>IF($W1853=AH$3,$AB1853,IF(NOT($W1853=0),"",SUMIFS('Val-Vol (2)'!AH$4:AH$1858,'Val-Vol (2)'!$A$4:$A$1858,$D1853,'Val-Vol (2)'!$V$4:$V$1858,$V1853)/SUMIFS('Comp2016-2017 (3)'!$G$5:$G$289,'Comp2016-2017 (3)'!$A$5:$A$289,$D1853,'Comp2016-2017 (3)'!$R$5:$R$289,$V1853)*$AB1853))</f>
        <v/>
      </c>
      <c r="AI1853" s="205" t="str">
        <f>IF($W1853=AI$3,$AB1853,IF(NOT($W1853=0),"",SUMIFS('Val-Vol (2)'!AI$4:AI$1858,'Val-Vol (2)'!$A$4:$A$1858,$D1853,'Val-Vol (2)'!$V$4:$V$1858,$V1853)/SUMIFS('Comp2016-2017 (3)'!$G$5:$G$289,'Comp2016-2017 (3)'!$A$5:$A$289,$D1853,'Comp2016-2017 (3)'!$R$5:$R$289,$V1853)*$AB1853))</f>
        <v/>
      </c>
      <c r="AJ1853" s="205" t="str">
        <f>IF($W1853=AJ$3,$AB1853,IF(NOT($W1853=0),"",SUMIFS('Val-Vol (2)'!AJ$4:AJ$1858,'Val-Vol (2)'!$A$4:$A$1858,$D1853,'Val-Vol (2)'!$V$4:$V$1858,$V1853)/SUMIFS('Comp2016-2017 (3)'!$G$5:$G$289,'Comp2016-2017 (3)'!$A$5:$A$289,$D1853,'Comp2016-2017 (3)'!$R$5:$R$289,$V1853)*$AB1853))</f>
        <v/>
      </c>
      <c r="AK1853" s="205">
        <f t="shared" si="206"/>
        <v>0</v>
      </c>
      <c r="AL1853" s="218" t="str">
        <f t="shared" si="207"/>
        <v/>
      </c>
      <c r="AM1853" s="218" t="str">
        <f>VLOOKUP(A1853,'Table corresp.'!$M$4:$U$63,8,FALSE)</f>
        <v>Importation</v>
      </c>
      <c r="AN1853" s="218" t="str">
        <f>VLOOKUP(D1853,'Table corresp.'!$M$4:$U$63,9,FALSE)</f>
        <v>Production intermédiaire</v>
      </c>
    </row>
    <row r="1854" spans="1:40" x14ac:dyDescent="0.25">
      <c r="A1854" t="s">
        <v>52</v>
      </c>
      <c r="B1854" t="str">
        <f>VLOOKUP(LEFT(A1854,3),'Table corresp.'!$A$4:$D$63,3,FALSE)</f>
        <v>Importation</v>
      </c>
      <c r="C1854" t="str">
        <f>VLOOKUP(A1854,'Table corresp.'!$M$4:$P$63,4,FALSE)</f>
        <v>Importation</v>
      </c>
      <c r="D1854" t="s">
        <v>96</v>
      </c>
      <c r="E1854" t="str">
        <f>VLOOKUP(LEFT(D1854,3),'Table corresp.'!$A$4:$D$63,4,FALSE)</f>
        <v>Transformation</v>
      </c>
      <c r="F1854" t="str">
        <f t="shared" si="208"/>
        <v xml:space="preserve">Imp - 44 </v>
      </c>
      <c r="G1854" s="238">
        <v>0</v>
      </c>
      <c r="H1854" s="238">
        <v>3665435.5650000055</v>
      </c>
      <c r="I1854" s="238">
        <v>3665435.5650000055</v>
      </c>
      <c r="J1854" s="238"/>
      <c r="K1854" s="238"/>
      <c r="L1854" s="238"/>
      <c r="M1854" s="238">
        <v>0</v>
      </c>
      <c r="N1854" s="238">
        <v>6169.1542133492458</v>
      </c>
      <c r="O1854" s="238">
        <v>6169.1542133492458</v>
      </c>
      <c r="P1854" s="238"/>
      <c r="Q1854" s="238"/>
      <c r="R1854" s="238"/>
      <c r="S1854" s="238"/>
      <c r="T1854" s="218">
        <f>VLOOKUP(A1854,'Groupe de branches'!$Z$27:$AM$86,14,FALSE)</f>
        <v>0</v>
      </c>
      <c r="U1854" s="218">
        <f>VLOOKUP(D1854,'Groupe de branches'!$Z$27:$AM$86,14,FALSE)</f>
        <v>0</v>
      </c>
      <c r="V1854" s="218">
        <v>2020</v>
      </c>
      <c r="W1854" s="218" t="str">
        <f>VLOOKUP(D1854,'Table corresp.'!$M$4:$S$63,7,FALSE)</f>
        <v>Pate &amp; papier &amp; carton</v>
      </c>
      <c r="X1854" s="240">
        <f>IFERROR(G1854/SUMIFS('Comp2016-2017 (3)'!$I$5:$I$289,'Comp2016-2017 (3)'!$A$5:$A$289,A1854,'Comp2016-2017 (3)'!$R$5:$R$289,V1854),0)</f>
        <v>0</v>
      </c>
      <c r="Y1854" s="219">
        <f>IFERROR(IF(RIGHT(F1854,3)="Exp",VLOOKUP(F1854,#REF!,2,FALSE),VLOOKUP(F1854,#REF!,9,FALSE)),0)</f>
        <v>0</v>
      </c>
      <c r="Z1854" s="226">
        <f t="shared" si="204"/>
        <v>0</v>
      </c>
      <c r="AA1854" s="226">
        <f t="shared" si="205"/>
        <v>0</v>
      </c>
      <c r="AB1854" s="205">
        <f>IFERROR(SUMIFS('Comp2016-2017 (3)'!$G$5:$G$289,'Comp2016-2017 (3)'!$A$5:$A$289,A1854,'Comp2016-2017 (3)'!$R$5:$R$289,V1854)*AA1854/SUMIFS($AA$4:$AA$1858,$A$4:$A$1858,A1854,$V$4:$V$1858,V1854),0)</f>
        <v>0</v>
      </c>
      <c r="AC1854" s="205" t="str">
        <f>IF($W1854=AC$3,$AB1854,IF(NOT($W1854=0),"",SUMIFS('Val-Vol (2)'!AC$4:AC$1858,'Val-Vol (2)'!$A$4:$A$1858,$D1854,'Val-Vol (2)'!$V$4:$V$1858,$V1854)/SUMIFS('Comp2016-2017 (3)'!$G$5:$G$289,'Comp2016-2017 (3)'!$A$5:$A$289,$D1854,'Comp2016-2017 (3)'!$R$5:$R$289,$V1854)*$AB1854))</f>
        <v/>
      </c>
      <c r="AD1854" s="205" t="str">
        <f>IF($W1854=AD$3,$AB1854,IF(NOT($W1854=0),"",SUMIFS('Val-Vol (2)'!AD$4:AD$1858,'Val-Vol (2)'!$A$4:$A$1858,$D1854,'Val-Vol (2)'!$V$4:$V$1858,$V1854)/SUMIFS('Comp2016-2017 (3)'!$G$5:$G$289,'Comp2016-2017 (3)'!$A$5:$A$289,$D1854,'Comp2016-2017 (3)'!$R$5:$R$289,$V1854)*$AB1854))</f>
        <v/>
      </c>
      <c r="AE1854" s="205" t="str">
        <f>IF($W1854=AE$3,$AB1854,IF(NOT($W1854=0),"",SUMIFS('Val-Vol (2)'!AE$4:AE$1858,'Val-Vol (2)'!$A$4:$A$1858,$D1854,'Val-Vol (2)'!$V$4:$V$1858,$V1854)/SUMIFS('Comp2016-2017 (3)'!$G$5:$G$289,'Comp2016-2017 (3)'!$A$5:$A$289,$D1854,'Comp2016-2017 (3)'!$R$5:$R$289,$V1854)*$AB1854))</f>
        <v/>
      </c>
      <c r="AF1854" s="205">
        <f>IF($W1854=AF$3,$AB1854,IF(NOT($W1854=0),"",SUMIFS('Val-Vol (2)'!AF$4:AF$1858,'Val-Vol (2)'!$A$4:$A$1858,$D1854,'Val-Vol (2)'!$V$4:$V$1858,$V1854)/SUMIFS('Comp2016-2017 (3)'!$G$5:$G$289,'Comp2016-2017 (3)'!$A$5:$A$289,$D1854,'Comp2016-2017 (3)'!$R$5:$R$289,$V1854)*$AB1854))</f>
        <v>0</v>
      </c>
      <c r="AG1854" s="205" t="str">
        <f>IF($W1854=AG$3,$AB1854,IF(NOT($W1854=0),"",SUMIFS('Val-Vol (2)'!AG$4:AG$1858,'Val-Vol (2)'!$A$4:$A$1858,$D1854,'Val-Vol (2)'!$V$4:$V$1858,$V1854)/SUMIFS('Comp2016-2017 (3)'!$G$5:$G$289,'Comp2016-2017 (3)'!$A$5:$A$289,$D1854,'Comp2016-2017 (3)'!$R$5:$R$289,$V1854)*$AB1854))</f>
        <v/>
      </c>
      <c r="AH1854" s="205" t="str">
        <f>IF($W1854=AH$3,$AB1854,IF(NOT($W1854=0),"",SUMIFS('Val-Vol (2)'!AH$4:AH$1858,'Val-Vol (2)'!$A$4:$A$1858,$D1854,'Val-Vol (2)'!$V$4:$V$1858,$V1854)/SUMIFS('Comp2016-2017 (3)'!$G$5:$G$289,'Comp2016-2017 (3)'!$A$5:$A$289,$D1854,'Comp2016-2017 (3)'!$R$5:$R$289,$V1854)*$AB1854))</f>
        <v/>
      </c>
      <c r="AI1854" s="205" t="str">
        <f>IF($W1854=AI$3,$AB1854,IF(NOT($W1854=0),"",SUMIFS('Val-Vol (2)'!AI$4:AI$1858,'Val-Vol (2)'!$A$4:$A$1858,$D1854,'Val-Vol (2)'!$V$4:$V$1858,$V1854)/SUMIFS('Comp2016-2017 (3)'!$G$5:$G$289,'Comp2016-2017 (3)'!$A$5:$A$289,$D1854,'Comp2016-2017 (3)'!$R$5:$R$289,$V1854)*$AB1854))</f>
        <v/>
      </c>
      <c r="AJ1854" s="205" t="str">
        <f>IF($W1854=AJ$3,$AB1854,IF(NOT($W1854=0),"",SUMIFS('Val-Vol (2)'!AJ$4:AJ$1858,'Val-Vol (2)'!$A$4:$A$1858,$D1854,'Val-Vol (2)'!$V$4:$V$1858,$V1854)/SUMIFS('Comp2016-2017 (3)'!$G$5:$G$289,'Comp2016-2017 (3)'!$A$5:$A$289,$D1854,'Comp2016-2017 (3)'!$R$5:$R$289,$V1854)*$AB1854))</f>
        <v/>
      </c>
      <c r="AK1854" s="205">
        <f t="shared" si="206"/>
        <v>0</v>
      </c>
      <c r="AL1854" s="218" t="str">
        <f t="shared" si="207"/>
        <v/>
      </c>
      <c r="AM1854" s="218" t="str">
        <f>VLOOKUP(A1854,'Table corresp.'!$M$4:$U$63,8,FALSE)</f>
        <v>Importation</v>
      </c>
      <c r="AN1854" s="218" t="str">
        <f>VLOOKUP(D1854,'Table corresp.'!$M$4:$U$63,9,FALSE)</f>
        <v>Production intermédiaire</v>
      </c>
    </row>
    <row r="1855" spans="1:40" x14ac:dyDescent="0.25">
      <c r="A1855" t="s">
        <v>52</v>
      </c>
      <c r="B1855" t="str">
        <f>VLOOKUP(LEFT(A1855,3),'Table corresp.'!$A$4:$D$63,3,FALSE)</f>
        <v>Importation</v>
      </c>
      <c r="C1855" t="str">
        <f>VLOOKUP(A1855,'Table corresp.'!$M$4:$P$63,4,FALSE)</f>
        <v>Importation</v>
      </c>
      <c r="D1855" t="s">
        <v>97</v>
      </c>
      <c r="E1855" t="str">
        <f>VLOOKUP(LEFT(D1855,3),'Table corresp.'!$A$4:$D$63,4,FALSE)</f>
        <v>Transformation</v>
      </c>
      <c r="F1855" t="str">
        <f t="shared" si="208"/>
        <v xml:space="preserve">Imp - 45 </v>
      </c>
      <c r="G1855" s="238">
        <v>0</v>
      </c>
      <c r="H1855" s="238">
        <v>3980430.2779999869</v>
      </c>
      <c r="I1855" s="238">
        <v>3980430.2779999869</v>
      </c>
      <c r="J1855" s="238"/>
      <c r="K1855" s="238"/>
      <c r="L1855" s="238"/>
      <c r="M1855" s="238">
        <v>0</v>
      </c>
      <c r="N1855" s="238">
        <v>1873.4209919779842</v>
      </c>
      <c r="O1855" s="238">
        <v>1873.4209919779842</v>
      </c>
      <c r="P1855" s="238"/>
      <c r="Q1855" s="238"/>
      <c r="R1855" s="238"/>
      <c r="S1855" s="238"/>
      <c r="T1855" s="218">
        <f>VLOOKUP(A1855,'Groupe de branches'!$Z$27:$AM$86,14,FALSE)</f>
        <v>0</v>
      </c>
      <c r="U1855" s="218">
        <f>VLOOKUP(D1855,'Groupe de branches'!$Z$27:$AM$86,14,FALSE)</f>
        <v>0</v>
      </c>
      <c r="V1855" s="218">
        <v>2020</v>
      </c>
      <c r="W1855" s="218" t="str">
        <f>VLOOKUP(D1855,'Table corresp.'!$M$4:$S$63,7,FALSE)</f>
        <v>Pate &amp; papier &amp; carton</v>
      </c>
      <c r="X1855" s="240">
        <f>IFERROR(G1855/SUMIFS('Comp2016-2017 (3)'!$I$5:$I$289,'Comp2016-2017 (3)'!$A$5:$A$289,A1855,'Comp2016-2017 (3)'!$R$5:$R$289,V1855),0)</f>
        <v>0</v>
      </c>
      <c r="Y1855" s="219">
        <f>IFERROR(IF(RIGHT(F1855,3)="Exp",VLOOKUP(F1855,#REF!,2,FALSE),VLOOKUP(F1855,#REF!,9,FALSE)),0)</f>
        <v>0</v>
      </c>
      <c r="Z1855" s="226">
        <f t="shared" si="204"/>
        <v>0</v>
      </c>
      <c r="AA1855" s="226">
        <f t="shared" si="205"/>
        <v>0</v>
      </c>
      <c r="AB1855" s="205">
        <f>IFERROR(SUMIFS('Comp2016-2017 (3)'!$G$5:$G$289,'Comp2016-2017 (3)'!$A$5:$A$289,A1855,'Comp2016-2017 (3)'!$R$5:$R$289,V1855)*AA1855/SUMIFS($AA$4:$AA$1858,$A$4:$A$1858,A1855,$V$4:$V$1858,V1855),0)</f>
        <v>0</v>
      </c>
      <c r="AC1855" s="205" t="str">
        <f>IF($W1855=AC$3,$AB1855,IF(NOT($W1855=0),"",SUMIFS('Val-Vol (2)'!AC$4:AC$1858,'Val-Vol (2)'!$A$4:$A$1858,$D1855,'Val-Vol (2)'!$V$4:$V$1858,$V1855)/SUMIFS('Comp2016-2017 (3)'!$G$5:$G$289,'Comp2016-2017 (3)'!$A$5:$A$289,$D1855,'Comp2016-2017 (3)'!$R$5:$R$289,$V1855)*$AB1855))</f>
        <v/>
      </c>
      <c r="AD1855" s="205" t="str">
        <f>IF($W1855=AD$3,$AB1855,IF(NOT($W1855=0),"",SUMIFS('Val-Vol (2)'!AD$4:AD$1858,'Val-Vol (2)'!$A$4:$A$1858,$D1855,'Val-Vol (2)'!$V$4:$V$1858,$V1855)/SUMIFS('Comp2016-2017 (3)'!$G$5:$G$289,'Comp2016-2017 (3)'!$A$5:$A$289,$D1855,'Comp2016-2017 (3)'!$R$5:$R$289,$V1855)*$AB1855))</f>
        <v/>
      </c>
      <c r="AE1855" s="205" t="str">
        <f>IF($W1855=AE$3,$AB1855,IF(NOT($W1855=0),"",SUMIFS('Val-Vol (2)'!AE$4:AE$1858,'Val-Vol (2)'!$A$4:$A$1858,$D1855,'Val-Vol (2)'!$V$4:$V$1858,$V1855)/SUMIFS('Comp2016-2017 (3)'!$G$5:$G$289,'Comp2016-2017 (3)'!$A$5:$A$289,$D1855,'Comp2016-2017 (3)'!$R$5:$R$289,$V1855)*$AB1855))</f>
        <v/>
      </c>
      <c r="AF1855" s="205">
        <f>IF($W1855=AF$3,$AB1855,IF(NOT($W1855=0),"",SUMIFS('Val-Vol (2)'!AF$4:AF$1858,'Val-Vol (2)'!$A$4:$A$1858,$D1855,'Val-Vol (2)'!$V$4:$V$1858,$V1855)/SUMIFS('Comp2016-2017 (3)'!$G$5:$G$289,'Comp2016-2017 (3)'!$A$5:$A$289,$D1855,'Comp2016-2017 (3)'!$R$5:$R$289,$V1855)*$AB1855))</f>
        <v>0</v>
      </c>
      <c r="AG1855" s="205" t="str">
        <f>IF($W1855=AG$3,$AB1855,IF(NOT($W1855=0),"",SUMIFS('Val-Vol (2)'!AG$4:AG$1858,'Val-Vol (2)'!$A$4:$A$1858,$D1855,'Val-Vol (2)'!$V$4:$V$1858,$V1855)/SUMIFS('Comp2016-2017 (3)'!$G$5:$G$289,'Comp2016-2017 (3)'!$A$5:$A$289,$D1855,'Comp2016-2017 (3)'!$R$5:$R$289,$V1855)*$AB1855))</f>
        <v/>
      </c>
      <c r="AH1855" s="205" t="str">
        <f>IF($W1855=AH$3,$AB1855,IF(NOT($W1855=0),"",SUMIFS('Val-Vol (2)'!AH$4:AH$1858,'Val-Vol (2)'!$A$4:$A$1858,$D1855,'Val-Vol (2)'!$V$4:$V$1858,$V1855)/SUMIFS('Comp2016-2017 (3)'!$G$5:$G$289,'Comp2016-2017 (3)'!$A$5:$A$289,$D1855,'Comp2016-2017 (3)'!$R$5:$R$289,$V1855)*$AB1855))</f>
        <v/>
      </c>
      <c r="AI1855" s="205" t="str">
        <f>IF($W1855=AI$3,$AB1855,IF(NOT($W1855=0),"",SUMIFS('Val-Vol (2)'!AI$4:AI$1858,'Val-Vol (2)'!$A$4:$A$1858,$D1855,'Val-Vol (2)'!$V$4:$V$1858,$V1855)/SUMIFS('Comp2016-2017 (3)'!$G$5:$G$289,'Comp2016-2017 (3)'!$A$5:$A$289,$D1855,'Comp2016-2017 (3)'!$R$5:$R$289,$V1855)*$AB1855))</f>
        <v/>
      </c>
      <c r="AJ1855" s="205" t="str">
        <f>IF($W1855=AJ$3,$AB1855,IF(NOT($W1855=0),"",SUMIFS('Val-Vol (2)'!AJ$4:AJ$1858,'Val-Vol (2)'!$A$4:$A$1858,$D1855,'Val-Vol (2)'!$V$4:$V$1858,$V1855)/SUMIFS('Comp2016-2017 (3)'!$G$5:$G$289,'Comp2016-2017 (3)'!$A$5:$A$289,$D1855,'Comp2016-2017 (3)'!$R$5:$R$289,$V1855)*$AB1855))</f>
        <v/>
      </c>
      <c r="AK1855" s="205">
        <f t="shared" si="206"/>
        <v>0</v>
      </c>
      <c r="AL1855" s="218" t="str">
        <f t="shared" si="207"/>
        <v/>
      </c>
      <c r="AM1855" s="218" t="str">
        <f>VLOOKUP(A1855,'Table corresp.'!$M$4:$U$63,8,FALSE)</f>
        <v>Importation</v>
      </c>
      <c r="AN1855" s="218" t="str">
        <f>VLOOKUP(D1855,'Table corresp.'!$M$4:$U$63,9,FALSE)</f>
        <v>Production finale</v>
      </c>
    </row>
    <row r="1856" spans="1:40" x14ac:dyDescent="0.25">
      <c r="A1856" t="s">
        <v>52</v>
      </c>
      <c r="B1856" t="str">
        <f>VLOOKUP(LEFT(A1856,3),'Table corresp.'!$A$4:$D$63,3,FALSE)</f>
        <v>Importation</v>
      </c>
      <c r="C1856" t="str">
        <f>VLOOKUP(A1856,'Table corresp.'!$M$4:$P$63,4,FALSE)</f>
        <v>Importation</v>
      </c>
      <c r="D1856" t="s">
        <v>98</v>
      </c>
      <c r="E1856" t="str">
        <f>VLOOKUP(LEFT(D1856,3),'Table corresp.'!$A$4:$D$63,4,FALSE)</f>
        <v>Transformation</v>
      </c>
      <c r="F1856" t="str">
        <f t="shared" si="208"/>
        <v xml:space="preserve">Imp - 46 </v>
      </c>
      <c r="G1856" s="238">
        <v>0</v>
      </c>
      <c r="H1856" s="238">
        <v>26132.99003717197</v>
      </c>
      <c r="I1856" s="238">
        <v>26132.99003717197</v>
      </c>
      <c r="J1856" s="238"/>
      <c r="K1856" s="238"/>
      <c r="L1856" s="238"/>
      <c r="M1856" s="238">
        <v>0</v>
      </c>
      <c r="N1856" s="238">
        <v>119.35238282390438</v>
      </c>
      <c r="O1856" s="238">
        <v>119.35238282390438</v>
      </c>
      <c r="P1856" s="238"/>
      <c r="Q1856" s="238"/>
      <c r="R1856" s="238"/>
      <c r="S1856" s="238"/>
      <c r="T1856" s="218">
        <f>VLOOKUP(A1856,'Groupe de branches'!$Z$27:$AM$86,14,FALSE)</f>
        <v>0</v>
      </c>
      <c r="U1856" s="218">
        <f>VLOOKUP(D1856,'Groupe de branches'!$Z$27:$AM$86,14,FALSE)</f>
        <v>0</v>
      </c>
      <c r="V1856" s="218">
        <v>2020</v>
      </c>
      <c r="W1856" s="218" t="str">
        <f>VLOOKUP(D1856,'Table corresp.'!$M$4:$S$63,7,FALSE)</f>
        <v>Produits de consommation courante</v>
      </c>
      <c r="X1856" s="240">
        <f>IFERROR(G1856/SUMIFS('Comp2016-2017 (3)'!$I$5:$I$289,'Comp2016-2017 (3)'!$A$5:$A$289,A1856,'Comp2016-2017 (3)'!$R$5:$R$289,V1856),0)</f>
        <v>0</v>
      </c>
      <c r="Y1856" s="219">
        <f>IFERROR(IF(RIGHT(F1856,3)="Exp",VLOOKUP(F1856,#REF!,2,FALSE),VLOOKUP(F1856,#REF!,9,FALSE)),0)</f>
        <v>0</v>
      </c>
      <c r="Z1856" s="226">
        <f t="shared" si="204"/>
        <v>0</v>
      </c>
      <c r="AA1856" s="226">
        <f t="shared" si="205"/>
        <v>0</v>
      </c>
      <c r="AB1856" s="205">
        <f>IFERROR(SUMIFS('Comp2016-2017 (3)'!$G$5:$G$289,'Comp2016-2017 (3)'!$A$5:$A$289,A1856,'Comp2016-2017 (3)'!$R$5:$R$289,V1856)*AA1856/SUMIFS($AA$4:$AA$1858,$A$4:$A$1858,A1856,$V$4:$V$1858,V1856),0)</f>
        <v>0</v>
      </c>
      <c r="AC1856" s="205" t="str">
        <f>IF($W1856=AC$3,$AB1856,IF(NOT($W1856=0),"",SUMIFS('Val-Vol (2)'!AC$4:AC$1858,'Val-Vol (2)'!$A$4:$A$1858,$D1856,'Val-Vol (2)'!$V$4:$V$1858,$V1856)/SUMIFS('Comp2016-2017 (3)'!$G$5:$G$289,'Comp2016-2017 (3)'!$A$5:$A$289,$D1856,'Comp2016-2017 (3)'!$R$5:$R$289,$V1856)*$AB1856))</f>
        <v/>
      </c>
      <c r="AD1856" s="205" t="str">
        <f>IF($W1856=AD$3,$AB1856,IF(NOT($W1856=0),"",SUMIFS('Val-Vol (2)'!AD$4:AD$1858,'Val-Vol (2)'!$A$4:$A$1858,$D1856,'Val-Vol (2)'!$V$4:$V$1858,$V1856)/SUMIFS('Comp2016-2017 (3)'!$G$5:$G$289,'Comp2016-2017 (3)'!$A$5:$A$289,$D1856,'Comp2016-2017 (3)'!$R$5:$R$289,$V1856)*$AB1856))</f>
        <v/>
      </c>
      <c r="AE1856" s="205" t="str">
        <f>IF($W1856=AE$3,$AB1856,IF(NOT($W1856=0),"",SUMIFS('Val-Vol (2)'!AE$4:AE$1858,'Val-Vol (2)'!$A$4:$A$1858,$D1856,'Val-Vol (2)'!$V$4:$V$1858,$V1856)/SUMIFS('Comp2016-2017 (3)'!$G$5:$G$289,'Comp2016-2017 (3)'!$A$5:$A$289,$D1856,'Comp2016-2017 (3)'!$R$5:$R$289,$V1856)*$AB1856))</f>
        <v/>
      </c>
      <c r="AF1856" s="205" t="str">
        <f>IF($W1856=AF$3,$AB1856,IF(NOT($W1856=0),"",SUMIFS('Val-Vol (2)'!AF$4:AF$1858,'Val-Vol (2)'!$A$4:$A$1858,$D1856,'Val-Vol (2)'!$V$4:$V$1858,$V1856)/SUMIFS('Comp2016-2017 (3)'!$G$5:$G$289,'Comp2016-2017 (3)'!$A$5:$A$289,$D1856,'Comp2016-2017 (3)'!$R$5:$R$289,$V1856)*$AB1856))</f>
        <v/>
      </c>
      <c r="AG1856" s="205" t="str">
        <f>IF($W1856=AG$3,$AB1856,IF(NOT($W1856=0),"",SUMIFS('Val-Vol (2)'!AG$4:AG$1858,'Val-Vol (2)'!$A$4:$A$1858,$D1856,'Val-Vol (2)'!$V$4:$V$1858,$V1856)/SUMIFS('Comp2016-2017 (3)'!$G$5:$G$289,'Comp2016-2017 (3)'!$A$5:$A$289,$D1856,'Comp2016-2017 (3)'!$R$5:$R$289,$V1856)*$AB1856))</f>
        <v/>
      </c>
      <c r="AH1856" s="205" t="str">
        <f>IF($W1856=AH$3,$AB1856,IF(NOT($W1856=0),"",SUMIFS('Val-Vol (2)'!AH$4:AH$1858,'Val-Vol (2)'!$A$4:$A$1858,$D1856,'Val-Vol (2)'!$V$4:$V$1858,$V1856)/SUMIFS('Comp2016-2017 (3)'!$G$5:$G$289,'Comp2016-2017 (3)'!$A$5:$A$289,$D1856,'Comp2016-2017 (3)'!$R$5:$R$289,$V1856)*$AB1856))</f>
        <v/>
      </c>
      <c r="AI1856" s="205">
        <f>IF($W1856=AI$3,$AB1856,IF(NOT($W1856=0),"",SUMIFS('Val-Vol (2)'!AI$4:AI$1858,'Val-Vol (2)'!$A$4:$A$1858,$D1856,'Val-Vol (2)'!$V$4:$V$1858,$V1856)/SUMIFS('Comp2016-2017 (3)'!$G$5:$G$289,'Comp2016-2017 (3)'!$A$5:$A$289,$D1856,'Comp2016-2017 (3)'!$R$5:$R$289,$V1856)*$AB1856))</f>
        <v>0</v>
      </c>
      <c r="AJ1856" s="205" t="str">
        <f>IF($W1856=AJ$3,$AB1856,IF(NOT($W1856=0),"",SUMIFS('Val-Vol (2)'!AJ$4:AJ$1858,'Val-Vol (2)'!$A$4:$A$1858,$D1856,'Val-Vol (2)'!$V$4:$V$1858,$V1856)/SUMIFS('Comp2016-2017 (3)'!$G$5:$G$289,'Comp2016-2017 (3)'!$A$5:$A$289,$D1856,'Comp2016-2017 (3)'!$R$5:$R$289,$V1856)*$AB1856))</f>
        <v/>
      </c>
      <c r="AK1856" s="205">
        <f t="shared" si="206"/>
        <v>0</v>
      </c>
      <c r="AL1856" s="218" t="str">
        <f t="shared" si="207"/>
        <v/>
      </c>
      <c r="AM1856" s="218" t="str">
        <f>VLOOKUP(A1856,'Table corresp.'!$M$4:$U$63,8,FALSE)</f>
        <v>Importation</v>
      </c>
      <c r="AN1856" s="218" t="str">
        <f>VLOOKUP(D1856,'Table corresp.'!$M$4:$U$63,9,FALSE)</f>
        <v>Production intermédiaire</v>
      </c>
    </row>
    <row r="1857" spans="1:40" x14ac:dyDescent="0.25">
      <c r="A1857" t="s">
        <v>52</v>
      </c>
      <c r="B1857" t="str">
        <f>VLOOKUP(LEFT(A1857,3),'Table corresp.'!$A$4:$D$63,3,FALSE)</f>
        <v>Importation</v>
      </c>
      <c r="C1857" t="str">
        <f>VLOOKUP(A1857,'Table corresp.'!$M$4:$P$63,4,FALSE)</f>
        <v>Importation</v>
      </c>
      <c r="D1857" t="s">
        <v>99</v>
      </c>
      <c r="E1857" t="str">
        <f>VLOOKUP(LEFT(D1857,3),'Table corresp.'!$A$4:$D$63,4,FALSE)</f>
        <v>Transformation</v>
      </c>
      <c r="F1857" t="str">
        <f t="shared" si="208"/>
        <v xml:space="preserve">Imp - 47 </v>
      </c>
      <c r="G1857" s="238">
        <v>0</v>
      </c>
      <c r="H1857" s="238">
        <v>3530305.1120000039</v>
      </c>
      <c r="I1857" s="238">
        <v>3530305.1120000039</v>
      </c>
      <c r="J1857" s="238">
        <v>0</v>
      </c>
      <c r="K1857" s="238">
        <v>819.23025032578505</v>
      </c>
      <c r="L1857" s="238">
        <v>819.23025032578505</v>
      </c>
      <c r="M1857" s="238">
        <v>0</v>
      </c>
      <c r="N1857" s="238">
        <v>1597.6517345391244</v>
      </c>
      <c r="O1857" s="238">
        <v>1597.6517345391244</v>
      </c>
      <c r="P1857" s="238">
        <v>0</v>
      </c>
      <c r="Q1857" s="238">
        <v>397.25413852913977</v>
      </c>
      <c r="R1857" s="238">
        <v>397.25413852913977</v>
      </c>
      <c r="S1857" s="238" t="s">
        <v>192</v>
      </c>
      <c r="T1857" s="218">
        <f>VLOOKUP(A1857,'Groupe de branches'!$Z$27:$AM$86,14,FALSE)</f>
        <v>0</v>
      </c>
      <c r="U1857" s="218">
        <f>VLOOKUP(D1857,'Groupe de branches'!$Z$27:$AM$86,14,FALSE)</f>
        <v>0</v>
      </c>
      <c r="V1857" s="218">
        <v>2020</v>
      </c>
      <c r="W1857" s="218" t="str">
        <f>VLOOKUP(D1857,'Table corresp.'!$M$4:$S$63,7,FALSE)</f>
        <v>Meuble</v>
      </c>
      <c r="X1857" s="240">
        <f>IFERROR(G1857/SUMIFS('Comp2016-2017 (3)'!$I$5:$I$289,'Comp2016-2017 (3)'!$A$5:$A$289,A1857,'Comp2016-2017 (3)'!$R$5:$R$289,V1857),0)</f>
        <v>0</v>
      </c>
      <c r="Y1857" s="219">
        <f>IFERROR(IF(RIGHT(F1857,3)="Exp",VLOOKUP(F1857,#REF!,2,FALSE),VLOOKUP(F1857,#REF!,9,FALSE)),0)</f>
        <v>0</v>
      </c>
      <c r="Z1857" s="226">
        <f t="shared" si="204"/>
        <v>0</v>
      </c>
      <c r="AA1857" s="226">
        <f t="shared" si="205"/>
        <v>0</v>
      </c>
      <c r="AB1857" s="205">
        <f>IFERROR(SUMIFS('Comp2016-2017 (3)'!$G$5:$G$289,'Comp2016-2017 (3)'!$A$5:$A$289,A1857,'Comp2016-2017 (3)'!$R$5:$R$289,V1857)*AA1857/SUMIFS($AA$4:$AA$1858,$A$4:$A$1858,A1857,$V$4:$V$1858,V1857),0)</f>
        <v>0</v>
      </c>
      <c r="AC1857" s="205" t="str">
        <f>IF($W1857=AC$3,$AB1857,IF(NOT($W1857=0),"",SUMIFS('Val-Vol (2)'!AC$4:AC$1858,'Val-Vol (2)'!$A$4:$A$1858,$D1857,'Val-Vol (2)'!$V$4:$V$1858,$V1857)/SUMIFS('Comp2016-2017 (3)'!$G$5:$G$289,'Comp2016-2017 (3)'!$A$5:$A$289,$D1857,'Comp2016-2017 (3)'!$R$5:$R$289,$V1857)*$AB1857))</f>
        <v/>
      </c>
      <c r="AD1857" s="205" t="str">
        <f>IF($W1857=AD$3,$AB1857,IF(NOT($W1857=0),"",SUMIFS('Val-Vol (2)'!AD$4:AD$1858,'Val-Vol (2)'!$A$4:$A$1858,$D1857,'Val-Vol (2)'!$V$4:$V$1858,$V1857)/SUMIFS('Comp2016-2017 (3)'!$G$5:$G$289,'Comp2016-2017 (3)'!$A$5:$A$289,$D1857,'Comp2016-2017 (3)'!$R$5:$R$289,$V1857)*$AB1857))</f>
        <v/>
      </c>
      <c r="AE1857" s="205">
        <f>IF($W1857=AE$3,$AB1857,IF(NOT($W1857=0),"",SUMIFS('Val-Vol (2)'!AE$4:AE$1858,'Val-Vol (2)'!$A$4:$A$1858,$D1857,'Val-Vol (2)'!$V$4:$V$1858,$V1857)/SUMIFS('Comp2016-2017 (3)'!$G$5:$G$289,'Comp2016-2017 (3)'!$A$5:$A$289,$D1857,'Comp2016-2017 (3)'!$R$5:$R$289,$V1857)*$AB1857))</f>
        <v>0</v>
      </c>
      <c r="AF1857" s="205" t="str">
        <f>IF($W1857=AF$3,$AB1857,IF(NOT($W1857=0),"",SUMIFS('Val-Vol (2)'!AF$4:AF$1858,'Val-Vol (2)'!$A$4:$A$1858,$D1857,'Val-Vol (2)'!$V$4:$V$1858,$V1857)/SUMIFS('Comp2016-2017 (3)'!$G$5:$G$289,'Comp2016-2017 (3)'!$A$5:$A$289,$D1857,'Comp2016-2017 (3)'!$R$5:$R$289,$V1857)*$AB1857))</f>
        <v/>
      </c>
      <c r="AG1857" s="205" t="str">
        <f>IF($W1857=AG$3,$AB1857,IF(NOT($W1857=0),"",SUMIFS('Val-Vol (2)'!AG$4:AG$1858,'Val-Vol (2)'!$A$4:$A$1858,$D1857,'Val-Vol (2)'!$V$4:$V$1858,$V1857)/SUMIFS('Comp2016-2017 (3)'!$G$5:$G$289,'Comp2016-2017 (3)'!$A$5:$A$289,$D1857,'Comp2016-2017 (3)'!$R$5:$R$289,$V1857)*$AB1857))</f>
        <v/>
      </c>
      <c r="AH1857" s="205" t="str">
        <f>IF($W1857=AH$3,$AB1857,IF(NOT($W1857=0),"",SUMIFS('Val-Vol (2)'!AH$4:AH$1858,'Val-Vol (2)'!$A$4:$A$1858,$D1857,'Val-Vol (2)'!$V$4:$V$1858,$V1857)/SUMIFS('Comp2016-2017 (3)'!$G$5:$G$289,'Comp2016-2017 (3)'!$A$5:$A$289,$D1857,'Comp2016-2017 (3)'!$R$5:$R$289,$V1857)*$AB1857))</f>
        <v/>
      </c>
      <c r="AI1857" s="205" t="str">
        <f>IF($W1857=AI$3,$AB1857,IF(NOT($W1857=0),"",SUMIFS('Val-Vol (2)'!AI$4:AI$1858,'Val-Vol (2)'!$A$4:$A$1858,$D1857,'Val-Vol (2)'!$V$4:$V$1858,$V1857)/SUMIFS('Comp2016-2017 (3)'!$G$5:$G$289,'Comp2016-2017 (3)'!$A$5:$A$289,$D1857,'Comp2016-2017 (3)'!$R$5:$R$289,$V1857)*$AB1857))</f>
        <v/>
      </c>
      <c r="AJ1857" s="205" t="str">
        <f>IF($W1857=AJ$3,$AB1857,IF(NOT($W1857=0),"",SUMIFS('Val-Vol (2)'!AJ$4:AJ$1858,'Val-Vol (2)'!$A$4:$A$1858,$D1857,'Val-Vol (2)'!$V$4:$V$1858,$V1857)/SUMIFS('Comp2016-2017 (3)'!$G$5:$G$289,'Comp2016-2017 (3)'!$A$5:$A$289,$D1857,'Comp2016-2017 (3)'!$R$5:$R$289,$V1857)*$AB1857))</f>
        <v/>
      </c>
      <c r="AK1857" s="205">
        <f t="shared" si="206"/>
        <v>0</v>
      </c>
      <c r="AL1857" s="218" t="str">
        <f t="shared" si="207"/>
        <v/>
      </c>
      <c r="AM1857" s="218" t="str">
        <f>VLOOKUP(A1857,'Table corresp.'!$M$4:$U$63,8,FALSE)</f>
        <v>Importation</v>
      </c>
      <c r="AN1857" s="218" t="str">
        <f>VLOOKUP(D1857,'Table corresp.'!$M$4:$U$63,9,FALSE)</f>
        <v>Production finale</v>
      </c>
    </row>
    <row r="1858" spans="1:40" x14ac:dyDescent="0.25">
      <c r="A1858" t="s">
        <v>52</v>
      </c>
      <c r="B1858" t="str">
        <f>VLOOKUP(LEFT(A1858,3),'Table corresp.'!$A$4:$D$63,3,FALSE)</f>
        <v>Importation</v>
      </c>
      <c r="C1858" t="str">
        <f>VLOOKUP(A1858,'Table corresp.'!$M$4:$P$63,4,FALSE)</f>
        <v>Importation</v>
      </c>
      <c r="D1858" t="s">
        <v>100</v>
      </c>
      <c r="E1858" t="str">
        <f>VLOOKUP(LEFT(D1858,3),'Table corresp.'!$A$4:$D$63,4,FALSE)</f>
        <v>Transformation</v>
      </c>
      <c r="F1858" t="str">
        <f t="shared" si="208"/>
        <v xml:space="preserve">Imp - 48 </v>
      </c>
      <c r="G1858" s="238">
        <v>0</v>
      </c>
      <c r="H1858" s="238">
        <v>413599.23000000068</v>
      </c>
      <c r="I1858" s="238">
        <v>413599.23000000068</v>
      </c>
      <c r="J1858" s="238">
        <v>0</v>
      </c>
      <c r="K1858" s="238">
        <v>432.41094411779886</v>
      </c>
      <c r="L1858" s="238">
        <v>432.41094411779886</v>
      </c>
      <c r="M1858" s="238"/>
      <c r="N1858" s="238"/>
      <c r="O1858" s="238"/>
      <c r="P1858" s="238"/>
      <c r="Q1858" s="238"/>
      <c r="R1858" s="238"/>
      <c r="S1858" s="238"/>
      <c r="T1858" s="218">
        <f>VLOOKUP(A1858,'Groupe de branches'!$Z$27:$AM$86,14,FALSE)</f>
        <v>0</v>
      </c>
      <c r="U1858" s="218">
        <f>VLOOKUP(D1858,'Groupe de branches'!$Z$27:$AM$86,14,FALSE)</f>
        <v>0</v>
      </c>
      <c r="V1858" s="218">
        <v>2020</v>
      </c>
      <c r="W1858" s="218" t="str">
        <f>VLOOKUP(D1858,'Table corresp.'!$M$4:$S$63,7,FALSE)</f>
        <v>Produits de consommation courante</v>
      </c>
      <c r="X1858" s="240">
        <f>IFERROR(G1858/SUMIFS('Comp2016-2017 (3)'!$I$5:$I$289,'Comp2016-2017 (3)'!$A$5:$A$289,A1858,'Comp2016-2017 (3)'!$R$5:$R$289,V1858),0)</f>
        <v>0</v>
      </c>
      <c r="Y1858" s="219">
        <f>IFERROR(IF(RIGHT(F1858,3)="Exp",VLOOKUP(F1858,#REF!,2,FALSE),VLOOKUP(F1858,#REF!,9,FALSE)),0)</f>
        <v>0</v>
      </c>
      <c r="Z1858" s="226">
        <f t="shared" si="204"/>
        <v>0</v>
      </c>
      <c r="AA1858" s="226">
        <f t="shared" si="205"/>
        <v>0</v>
      </c>
      <c r="AB1858" s="205">
        <f>IFERROR(SUMIFS('Comp2016-2017 (3)'!$G$5:$G$289,'Comp2016-2017 (3)'!$A$5:$A$289,A1858,'Comp2016-2017 (3)'!$R$5:$R$289,V1858)*AA1858/SUMIFS($AA$4:$AA$1858,$A$4:$A$1858,A1858,$V$4:$V$1858,V1858),0)</f>
        <v>0</v>
      </c>
      <c r="AC1858" s="205" t="str">
        <f>IF($W1858=AC$3,$AB1858,IF(NOT($W1858=0),"",SUMIFS('Val-Vol (2)'!AC$4:AC$1858,'Val-Vol (2)'!$A$4:$A$1858,$D1858,'Val-Vol (2)'!$V$4:$V$1858,$V1858)/SUMIFS('Comp2016-2017 (3)'!$G$5:$G$289,'Comp2016-2017 (3)'!$A$5:$A$289,$D1858,'Comp2016-2017 (3)'!$R$5:$R$289,$V1858)*$AB1858))</f>
        <v/>
      </c>
      <c r="AD1858" s="205" t="str">
        <f>IF($W1858=AD$3,$AB1858,IF(NOT($W1858=0),"",SUMIFS('Val-Vol (2)'!AD$4:AD$1858,'Val-Vol (2)'!$A$4:$A$1858,$D1858,'Val-Vol (2)'!$V$4:$V$1858,$V1858)/SUMIFS('Comp2016-2017 (3)'!$G$5:$G$289,'Comp2016-2017 (3)'!$A$5:$A$289,$D1858,'Comp2016-2017 (3)'!$R$5:$R$289,$V1858)*$AB1858))</f>
        <v/>
      </c>
      <c r="AE1858" s="205" t="str">
        <f>IF($W1858=AE$3,$AB1858,IF(NOT($W1858=0),"",SUMIFS('Val-Vol (2)'!AE$4:AE$1858,'Val-Vol (2)'!$A$4:$A$1858,$D1858,'Val-Vol (2)'!$V$4:$V$1858,$V1858)/SUMIFS('Comp2016-2017 (3)'!$G$5:$G$289,'Comp2016-2017 (3)'!$A$5:$A$289,$D1858,'Comp2016-2017 (3)'!$R$5:$R$289,$V1858)*$AB1858))</f>
        <v/>
      </c>
      <c r="AF1858" s="205" t="str">
        <f>IF($W1858=AF$3,$AB1858,IF(NOT($W1858=0),"",SUMIFS('Val-Vol (2)'!AF$4:AF$1858,'Val-Vol (2)'!$A$4:$A$1858,$D1858,'Val-Vol (2)'!$V$4:$V$1858,$V1858)/SUMIFS('Comp2016-2017 (3)'!$G$5:$G$289,'Comp2016-2017 (3)'!$A$5:$A$289,$D1858,'Comp2016-2017 (3)'!$R$5:$R$289,$V1858)*$AB1858))</f>
        <v/>
      </c>
      <c r="AG1858" s="205" t="str">
        <f>IF($W1858=AG$3,$AB1858,IF(NOT($W1858=0),"",SUMIFS('Val-Vol (2)'!AG$4:AG$1858,'Val-Vol (2)'!$A$4:$A$1858,$D1858,'Val-Vol (2)'!$V$4:$V$1858,$V1858)/SUMIFS('Comp2016-2017 (3)'!$G$5:$G$289,'Comp2016-2017 (3)'!$A$5:$A$289,$D1858,'Comp2016-2017 (3)'!$R$5:$R$289,$V1858)*$AB1858))</f>
        <v/>
      </c>
      <c r="AH1858" s="205" t="str">
        <f>IF($W1858=AH$3,$AB1858,IF(NOT($W1858=0),"",SUMIFS('Val-Vol (2)'!AH$4:AH$1858,'Val-Vol (2)'!$A$4:$A$1858,$D1858,'Val-Vol (2)'!$V$4:$V$1858,$V1858)/SUMIFS('Comp2016-2017 (3)'!$G$5:$G$289,'Comp2016-2017 (3)'!$A$5:$A$289,$D1858,'Comp2016-2017 (3)'!$R$5:$R$289,$V1858)*$AB1858))</f>
        <v/>
      </c>
      <c r="AI1858" s="205">
        <f>IF($W1858=AI$3,$AB1858,IF(NOT($W1858=0),"",SUMIFS('Val-Vol (2)'!AI$4:AI$1858,'Val-Vol (2)'!$A$4:$A$1858,$D1858,'Val-Vol (2)'!$V$4:$V$1858,$V1858)/SUMIFS('Comp2016-2017 (3)'!$G$5:$G$289,'Comp2016-2017 (3)'!$A$5:$A$289,$D1858,'Comp2016-2017 (3)'!$R$5:$R$289,$V1858)*$AB1858))</f>
        <v>0</v>
      </c>
      <c r="AJ1858" s="205" t="str">
        <f>IF($W1858=AJ$3,$AB1858,IF(NOT($W1858=0),"",SUMIFS('Val-Vol (2)'!AJ$4:AJ$1858,'Val-Vol (2)'!$A$4:$A$1858,$D1858,'Val-Vol (2)'!$V$4:$V$1858,$V1858)/SUMIFS('Comp2016-2017 (3)'!$G$5:$G$289,'Comp2016-2017 (3)'!$A$5:$A$289,$D1858,'Comp2016-2017 (3)'!$R$5:$R$289,$V1858)*$AB1858))</f>
        <v/>
      </c>
      <c r="AK1858" s="205">
        <f t="shared" si="206"/>
        <v>0</v>
      </c>
      <c r="AL1858" s="218" t="str">
        <f t="shared" si="207"/>
        <v/>
      </c>
      <c r="AM1858" s="218" t="str">
        <f>VLOOKUP(A1858,'Table corresp.'!$M$4:$U$63,8,FALSE)</f>
        <v>Importation</v>
      </c>
      <c r="AN1858" s="218" t="str">
        <f>VLOOKUP(D1858,'Table corresp.'!$M$4:$U$63,9,FALSE)</f>
        <v>Production finale</v>
      </c>
    </row>
    <row r="1859" spans="1:40" hidden="1" x14ac:dyDescent="0.25"/>
    <row r="1860" spans="1:40" hidden="1" x14ac:dyDescent="0.25"/>
    <row r="1861" spans="1:40" hidden="1" x14ac:dyDescent="0.25"/>
    <row r="1862" spans="1:40" hidden="1" x14ac:dyDescent="0.25"/>
    <row r="1863" spans="1:40" hidden="1" x14ac:dyDescent="0.25"/>
    <row r="1864" spans="1:40" hidden="1" x14ac:dyDescent="0.25">
      <c r="D1864" s="126" t="s">
        <v>301</v>
      </c>
      <c r="AJ1864" s="227"/>
    </row>
    <row r="1865" spans="1:40" hidden="1" x14ac:dyDescent="0.25">
      <c r="D1865" t="s">
        <v>53</v>
      </c>
      <c r="G1865" s="2">
        <f>SUMIFS(G$4:G$1487,$W$4:$W$1487,$D1865,$AN$4:$AN$1487,$D$1865,$V$4:$V$1487,2019)</f>
        <v>9868250.6595388073</v>
      </c>
      <c r="H1865" s="2">
        <f>SUMIFS(H$4:H$1487,$W$4:$W$1487,$D1865,$AN$4:$AN$1487,$D$1865,$V$4:$V$1487,2019)</f>
        <v>0</v>
      </c>
      <c r="I1865" s="2">
        <f t="shared" ref="I1865:R1865" si="209">SUMIFS(I$4:I$1487,$W$4:$W$1487,$D1865,$AN$4:$AN$1487,$D$1865,$V$4:$V$1487,2019)</f>
        <v>9868250.7538511865</v>
      </c>
      <c r="J1865" s="2">
        <f t="shared" si="209"/>
        <v>5806.063919428394</v>
      </c>
      <c r="K1865" s="2">
        <f t="shared" si="209"/>
        <v>0</v>
      </c>
      <c r="L1865" s="2">
        <f t="shared" si="209"/>
        <v>5806.063919428394</v>
      </c>
      <c r="M1865" s="2">
        <f t="shared" si="209"/>
        <v>14947.319666696072</v>
      </c>
      <c r="N1865" s="2">
        <f t="shared" si="209"/>
        <v>0</v>
      </c>
      <c r="O1865" s="2">
        <f t="shared" si="209"/>
        <v>14947.319666696072</v>
      </c>
      <c r="P1865" s="2">
        <f t="shared" si="209"/>
        <v>3085.1466635606275</v>
      </c>
      <c r="Q1865" s="2">
        <f t="shared" si="209"/>
        <v>0</v>
      </c>
      <c r="R1865" s="2">
        <f t="shared" si="209"/>
        <v>3085.1466635606275</v>
      </c>
    </row>
    <row r="1866" spans="1:40" hidden="1" x14ac:dyDescent="0.25">
      <c r="A1866" t="s">
        <v>143</v>
      </c>
      <c r="D1866" t="s">
        <v>269</v>
      </c>
      <c r="G1866" s="2">
        <f t="shared" ref="G1866:H1871" si="210">SUMIFS(G$4:G$1487,$W$4:$W$1487,$D1866,$AN$4:$AN$1487,$A$1866,$V$4:$V$1487,2019)</f>
        <v>226342.75758755938</v>
      </c>
      <c r="H1866" s="2">
        <f t="shared" si="210"/>
        <v>899026.99970157514</v>
      </c>
      <c r="I1866" s="2">
        <f t="shared" ref="I1866:R1871" si="211">SUMIFS(I$4:I$1487,$W$4:$W$1487,$D1866,$AN$4:$AN$1487,$A$1866,$V$4:$V$1487,2019)</f>
        <v>1125369.5792466311</v>
      </c>
      <c r="J1866" s="2">
        <f t="shared" si="211"/>
        <v>919.16344013246191</v>
      </c>
      <c r="K1866" s="2">
        <f t="shared" si="211"/>
        <v>1692.9328046209248</v>
      </c>
      <c r="L1866" s="2">
        <f t="shared" si="211"/>
        <v>2612.0962447533866</v>
      </c>
      <c r="M1866" s="2">
        <f t="shared" si="211"/>
        <v>157.07275739810149</v>
      </c>
      <c r="N1866" s="2">
        <f t="shared" si="211"/>
        <v>276.01262678297837</v>
      </c>
      <c r="O1866" s="2">
        <f t="shared" si="211"/>
        <v>433.08538418107986</v>
      </c>
      <c r="P1866" s="2">
        <f t="shared" si="211"/>
        <v>44.690588241103953</v>
      </c>
      <c r="Q1866" s="2">
        <f t="shared" si="211"/>
        <v>104.02783859324273</v>
      </c>
      <c r="R1866" s="2">
        <f t="shared" si="211"/>
        <v>148.71842683434667</v>
      </c>
    </row>
    <row r="1867" spans="1:40" hidden="1" x14ac:dyDescent="0.25">
      <c r="D1867" t="s">
        <v>270</v>
      </c>
      <c r="G1867" s="2">
        <f t="shared" si="210"/>
        <v>315832.61517043458</v>
      </c>
      <c r="H1867" s="2">
        <f t="shared" si="210"/>
        <v>4119711.0566744027</v>
      </c>
      <c r="I1867" s="2">
        <f t="shared" si="211"/>
        <v>4435543.6140901083</v>
      </c>
      <c r="J1867" s="2">
        <f t="shared" si="211"/>
        <v>335.63883106019784</v>
      </c>
      <c r="K1867" s="2">
        <f t="shared" si="211"/>
        <v>1077.5877156589418</v>
      </c>
      <c r="L1867" s="2">
        <f t="shared" si="211"/>
        <v>1413.2265467191396</v>
      </c>
      <c r="M1867" s="2">
        <f t="shared" si="211"/>
        <v>630.45248620106224</v>
      </c>
      <c r="N1867" s="2">
        <f t="shared" si="211"/>
        <v>2193.9956816724543</v>
      </c>
      <c r="O1867" s="2">
        <f t="shared" si="211"/>
        <v>2824.4481678735169</v>
      </c>
      <c r="P1867" s="2">
        <f t="shared" si="211"/>
        <v>138.97653708890158</v>
      </c>
      <c r="Q1867" s="2">
        <f t="shared" si="211"/>
        <v>620.5047135819807</v>
      </c>
      <c r="R1867" s="2">
        <f t="shared" si="211"/>
        <v>759.48125067088222</v>
      </c>
    </row>
    <row r="1868" spans="1:40" hidden="1" x14ac:dyDescent="0.25">
      <c r="D1868" t="s">
        <v>271</v>
      </c>
      <c r="G1868" s="2">
        <f t="shared" si="210"/>
        <v>1053906.6908328114</v>
      </c>
      <c r="H1868" s="2">
        <f t="shared" si="210"/>
        <v>6691917.1315403227</v>
      </c>
      <c r="I1868" s="2">
        <f t="shared" si="211"/>
        <v>7745823.8223731332</v>
      </c>
      <c r="J1868" s="2">
        <f t="shared" si="211"/>
        <v>0</v>
      </c>
      <c r="K1868" s="2">
        <f t="shared" si="211"/>
        <v>0</v>
      </c>
      <c r="L1868" s="2">
        <f t="shared" si="211"/>
        <v>0</v>
      </c>
      <c r="M1868" s="2">
        <f t="shared" si="211"/>
        <v>1250.9670677177853</v>
      </c>
      <c r="N1868" s="2">
        <f t="shared" si="211"/>
        <v>4519.2134741033587</v>
      </c>
      <c r="O1868" s="2">
        <f t="shared" si="211"/>
        <v>5770.1805418211443</v>
      </c>
      <c r="P1868" s="2">
        <f t="shared" si="211"/>
        <v>0</v>
      </c>
      <c r="Q1868" s="2">
        <f t="shared" si="211"/>
        <v>0</v>
      </c>
      <c r="R1868" s="2">
        <f t="shared" si="211"/>
        <v>0</v>
      </c>
    </row>
    <row r="1869" spans="1:40" hidden="1" x14ac:dyDescent="0.25">
      <c r="D1869" t="s">
        <v>272</v>
      </c>
      <c r="G1869" s="2">
        <f t="shared" si="210"/>
        <v>734006.01094315865</v>
      </c>
      <c r="H1869" s="2">
        <f t="shared" si="210"/>
        <v>427757.30303632561</v>
      </c>
      <c r="I1869" s="2">
        <f t="shared" si="211"/>
        <v>1161763.3139788564</v>
      </c>
      <c r="J1869" s="2">
        <f t="shared" si="211"/>
        <v>5670.8239219517527</v>
      </c>
      <c r="K1869" s="2">
        <f t="shared" si="211"/>
        <v>1685.9868217961614</v>
      </c>
      <c r="L1869" s="2">
        <f t="shared" si="211"/>
        <v>7356.8107437479121</v>
      </c>
      <c r="M1869" s="2">
        <f t="shared" si="211"/>
        <v>400.33012547149696</v>
      </c>
      <c r="N1869" s="2">
        <f t="shared" si="211"/>
        <v>269.22361438183805</v>
      </c>
      <c r="O1869" s="2">
        <f t="shared" si="211"/>
        <v>669.55373985333495</v>
      </c>
      <c r="P1869" s="2">
        <f t="shared" si="211"/>
        <v>2.0174320557365274E-3</v>
      </c>
      <c r="Q1869" s="2">
        <f t="shared" si="211"/>
        <v>1.8107899237353421E-3</v>
      </c>
      <c r="R1869" s="2">
        <f t="shared" si="211"/>
        <v>3.8282219794718696E-3</v>
      </c>
    </row>
    <row r="1870" spans="1:40" hidden="1" x14ac:dyDescent="0.25">
      <c r="D1870" t="s">
        <v>273</v>
      </c>
      <c r="G1870" s="2">
        <f t="shared" si="210"/>
        <v>272851.21688431175</v>
      </c>
      <c r="H1870" s="2">
        <f t="shared" si="210"/>
        <v>69633.662613313005</v>
      </c>
      <c r="I1870" s="2">
        <f t="shared" si="211"/>
        <v>342484.87949762476</v>
      </c>
      <c r="J1870" s="2">
        <f t="shared" si="211"/>
        <v>0</v>
      </c>
      <c r="K1870" s="2">
        <f t="shared" si="211"/>
        <v>0</v>
      </c>
      <c r="L1870" s="2">
        <f t="shared" si="211"/>
        <v>0</v>
      </c>
      <c r="M1870" s="2">
        <f t="shared" si="211"/>
        <v>0</v>
      </c>
      <c r="N1870" s="2">
        <f t="shared" si="211"/>
        <v>0</v>
      </c>
      <c r="O1870" s="2">
        <f t="shared" si="211"/>
        <v>0</v>
      </c>
      <c r="P1870" s="2">
        <f t="shared" si="211"/>
        <v>4316.7208337295033</v>
      </c>
      <c r="Q1870" s="2">
        <f t="shared" si="211"/>
        <v>811.60145307726941</v>
      </c>
      <c r="R1870" s="2">
        <f t="shared" si="211"/>
        <v>5128.3222868067733</v>
      </c>
    </row>
    <row r="1871" spans="1:40" hidden="1" x14ac:dyDescent="0.25">
      <c r="D1871" t="s">
        <v>274</v>
      </c>
      <c r="G1871" s="2">
        <f t="shared" si="210"/>
        <v>144706.29015617885</v>
      </c>
      <c r="H1871" s="2">
        <f t="shared" si="210"/>
        <v>941562.50878926669</v>
      </c>
      <c r="I1871" s="2">
        <f t="shared" si="211"/>
        <v>1086269.0610954731</v>
      </c>
      <c r="J1871" s="2">
        <f t="shared" si="211"/>
        <v>512.94224653974788</v>
      </c>
      <c r="K1871" s="2">
        <f t="shared" si="211"/>
        <v>1194.9266389960057</v>
      </c>
      <c r="L1871" s="2">
        <f t="shared" si="211"/>
        <v>1707.8688855357541</v>
      </c>
      <c r="M1871" s="2">
        <f t="shared" si="211"/>
        <v>0</v>
      </c>
      <c r="N1871" s="2">
        <f t="shared" si="211"/>
        <v>0</v>
      </c>
      <c r="O1871" s="2">
        <f t="shared" si="211"/>
        <v>0</v>
      </c>
      <c r="P1871" s="2">
        <f t="shared" si="211"/>
        <v>0</v>
      </c>
      <c r="Q1871" s="2">
        <f t="shared" si="211"/>
        <v>0</v>
      </c>
      <c r="R1871" s="2">
        <f t="shared" si="211"/>
        <v>0</v>
      </c>
    </row>
    <row r="1872" spans="1:40" hidden="1" x14ac:dyDescent="0.25">
      <c r="A1872" t="s">
        <v>54</v>
      </c>
      <c r="D1872" t="s">
        <v>286</v>
      </c>
      <c r="G1872" s="2">
        <f>SUMIFS(G$4:G$1487,$W$4:$W$1487,$A1872,$AN$4:$AN$1487,$D$1872,$V$4:$V$1487,2019)</f>
        <v>49325960.961819418</v>
      </c>
      <c r="H1872" s="2">
        <f>SUMIFS(H$4:H$1487,$W$4:$W$1487,$A1872,$AN$4:$AN$1487,$D$1872,$V$4:$V$1487,2019)</f>
        <v>11407492.494018689</v>
      </c>
      <c r="I1872" s="2">
        <f t="shared" ref="I1872:R1872" si="212">SUMIFS(I$4:I$1487,$W$4:$W$1487,$A1872,$AN$4:$AN$1487,$D$1872,$V$4:$V$1487,2019)</f>
        <v>60733453.429869033</v>
      </c>
      <c r="J1872" s="2">
        <f t="shared" si="212"/>
        <v>20686.490367913015</v>
      </c>
      <c r="K1872" s="2">
        <f t="shared" si="212"/>
        <v>4417.1256718358336</v>
      </c>
      <c r="L1872" s="2">
        <f t="shared" si="212"/>
        <v>25103.616039748849</v>
      </c>
      <c r="M1872" s="2">
        <f t="shared" si="212"/>
        <v>9041.1117468920293</v>
      </c>
      <c r="N1872" s="2">
        <f t="shared" si="212"/>
        <v>6984.9877282754924</v>
      </c>
      <c r="O1872" s="2">
        <f t="shared" si="212"/>
        <v>16026.099475167523</v>
      </c>
      <c r="P1872" s="2">
        <f t="shared" si="212"/>
        <v>16128.327181801207</v>
      </c>
      <c r="Q1872" s="2">
        <f t="shared" si="212"/>
        <v>1939.4869816642631</v>
      </c>
      <c r="R1872" s="2">
        <f t="shared" si="212"/>
        <v>18067.814163465471</v>
      </c>
    </row>
    <row r="1873" spans="1:18" hidden="1" x14ac:dyDescent="0.25">
      <c r="A1873" t="s">
        <v>142</v>
      </c>
      <c r="D1873" t="s">
        <v>142</v>
      </c>
      <c r="G1873" s="2">
        <f>SUMIFS(G$4:G$1487,$AN$4:$AN$1487,$D$1873,$V$4:$V$1487,2019)</f>
        <v>3489244.1996848215</v>
      </c>
      <c r="H1873" s="2">
        <f>SUMIFS(H$4:H$1487,$AN$4:$AN$1487,$D$1873,$V$4:$V$1487,2019)</f>
        <v>9802128.0292199999</v>
      </c>
      <c r="I1873" s="2">
        <f t="shared" ref="I1873:R1873" si="213">SUMIFS(I$4:I$1487,$AN$4:$AN$1487,$D$1873,$V$4:$V$1487,2019)</f>
        <v>13291372.216781653</v>
      </c>
      <c r="J1873" s="2">
        <f t="shared" si="213"/>
        <v>18797.000445784532</v>
      </c>
      <c r="K1873" s="2">
        <f t="shared" si="213"/>
        <v>9547.003110605121</v>
      </c>
      <c r="L1873" s="2">
        <f t="shared" si="213"/>
        <v>28344.003556389649</v>
      </c>
      <c r="M1873" s="2">
        <f t="shared" si="213"/>
        <v>10251.283544592116</v>
      </c>
      <c r="N1873" s="2">
        <f t="shared" si="213"/>
        <v>23446.737691749819</v>
      </c>
      <c r="O1873" s="2">
        <f t="shared" si="213"/>
        <v>33698.021236341934</v>
      </c>
      <c r="P1873" s="2">
        <f t="shared" si="213"/>
        <v>6388.5921173144234</v>
      </c>
      <c r="Q1873" s="2">
        <f t="shared" si="213"/>
        <v>3186.6615881037733</v>
      </c>
      <c r="R1873" s="2">
        <f t="shared" si="213"/>
        <v>9575.2537054181958</v>
      </c>
    </row>
    <row r="1874" spans="1:18" hidden="1" x14ac:dyDescent="0.25">
      <c r="A1874" t="s">
        <v>144</v>
      </c>
      <c r="D1874" t="s">
        <v>269</v>
      </c>
      <c r="G1874" s="2">
        <f>SUMIFS(G$4:G$1487,$W$4:$W$1487,$D1874,$AN$4:$AN$1487,$A$1874,$V$4:$V$1487,2019)</f>
        <v>4433219.2030536011</v>
      </c>
      <c r="H1874" s="2">
        <f>SUMIFS(H$4:H$1487,$W$4:$W$1487,$D1874,$AN$4:$AN$1487,$A$1874,$V$4:$V$1487,2019)</f>
        <v>1297804.3983871934</v>
      </c>
      <c r="I1874" s="2">
        <f t="shared" ref="I1874:R1874" si="214">SUMIFS(I$4:I$1487,$W$4:$W$1487,$D1874,$AN$4:$AN$1487,$A$1874,$V$4:$V$1487,2019)</f>
        <v>5731023.5188684715</v>
      </c>
      <c r="J1874" s="2">
        <f t="shared" si="214"/>
        <v>7542.3695091063482</v>
      </c>
      <c r="K1874" s="2">
        <f t="shared" si="214"/>
        <v>3111.1573365190588</v>
      </c>
      <c r="L1874" s="2">
        <f t="shared" si="214"/>
        <v>10653.526845625409</v>
      </c>
      <c r="M1874" s="2">
        <f t="shared" si="214"/>
        <v>754.35717274292062</v>
      </c>
      <c r="N1874" s="2">
        <f t="shared" si="214"/>
        <v>827.98754744577161</v>
      </c>
      <c r="O1874" s="2">
        <f t="shared" si="214"/>
        <v>1582.344720188692</v>
      </c>
      <c r="P1874" s="2">
        <f t="shared" si="214"/>
        <v>199.71407005818699</v>
      </c>
      <c r="Q1874" s="2">
        <f t="shared" si="214"/>
        <v>281.4411159773</v>
      </c>
      <c r="R1874" s="2">
        <f t="shared" si="214"/>
        <v>481.15518603548702</v>
      </c>
    </row>
    <row r="1875" spans="1:18" hidden="1" x14ac:dyDescent="0.25">
      <c r="M1875" s="2"/>
      <c r="N1875" s="2"/>
      <c r="O1875" s="2"/>
      <c r="P1875" s="2"/>
      <c r="Q1875" s="2"/>
      <c r="R1875" s="2"/>
    </row>
    <row r="1876" spans="1:18" hidden="1" x14ac:dyDescent="0.25">
      <c r="G1876" s="2">
        <f>SUM(G1865:G1874)</f>
        <v>69864320.605671108</v>
      </c>
      <c r="H1876" s="2">
        <f>SUM(H1865:H1874)</f>
        <v>35657033.583981089</v>
      </c>
      <c r="I1876" s="2">
        <f t="shared" ref="I1876:R1876" si="215">SUM(I1865:I1874)</f>
        <v>105521354.18965217</v>
      </c>
      <c r="J1876" s="2">
        <f t="shared" si="215"/>
        <v>60270.492681916447</v>
      </c>
      <c r="K1876" s="2">
        <f t="shared" si="215"/>
        <v>22726.720100032049</v>
      </c>
      <c r="L1876" s="2">
        <f t="shared" si="215"/>
        <v>82997.212781948503</v>
      </c>
      <c r="M1876" s="2">
        <f t="shared" si="215"/>
        <v>37432.894567711584</v>
      </c>
      <c r="N1876" s="2">
        <f t="shared" si="215"/>
        <v>38518.158364411713</v>
      </c>
      <c r="O1876" s="2">
        <f t="shared" si="215"/>
        <v>75951.05293212329</v>
      </c>
      <c r="P1876" s="2">
        <f t="shared" si="215"/>
        <v>30302.170009226011</v>
      </c>
      <c r="Q1876" s="2">
        <f t="shared" si="215"/>
        <v>6943.7255017877533</v>
      </c>
      <c r="R1876" s="2">
        <f t="shared" si="215"/>
        <v>37245.895511013769</v>
      </c>
    </row>
    <row r="1877" spans="1:18" hidden="1" x14ac:dyDescent="0.25">
      <c r="G1877" s="2">
        <f>SUMIFS(G$4:G$1487,$V$4:$V$1487,2019)</f>
        <v>69864320.605671108</v>
      </c>
      <c r="H1877" s="2">
        <f>SUMIFS(H$4:H$1487,$V$4:$V$1487,2019)</f>
        <v>35657033.583981082</v>
      </c>
      <c r="I1877" s="2">
        <f t="shared" ref="I1877:R1877" si="216">SUMIFS(I$4:I$1487,$V$4:$V$1487,2019)</f>
        <v>105521354.18965216</v>
      </c>
      <c r="J1877" s="2">
        <f t="shared" si="216"/>
        <v>60270.492681916461</v>
      </c>
      <c r="K1877" s="2">
        <f t="shared" si="216"/>
        <v>22726.720100032046</v>
      </c>
      <c r="L1877" s="2">
        <f t="shared" si="216"/>
        <v>82997.212781948459</v>
      </c>
      <c r="M1877" s="2">
        <f t="shared" si="216"/>
        <v>37432.894567711592</v>
      </c>
      <c r="N1877" s="2">
        <f t="shared" si="216"/>
        <v>38518.158364411705</v>
      </c>
      <c r="O1877" s="2">
        <f t="shared" si="216"/>
        <v>75951.052932123304</v>
      </c>
      <c r="P1877" s="2">
        <f t="shared" si="216"/>
        <v>30302.170009225996</v>
      </c>
      <c r="Q1877" s="2">
        <f t="shared" si="216"/>
        <v>6943.7255017877524</v>
      </c>
      <c r="R1877" s="2">
        <f t="shared" si="216"/>
        <v>37245.895511013761</v>
      </c>
    </row>
    <row r="1878" spans="1:18" hidden="1" x14ac:dyDescent="0.25">
      <c r="G1878" s="2">
        <f>G1876-G1877</f>
        <v>0</v>
      </c>
      <c r="H1878" s="2">
        <f>H1876-H1877</f>
        <v>0</v>
      </c>
      <c r="I1878" s="2">
        <f t="shared" ref="I1878:R1878" si="217">I1876-I1877</f>
        <v>0</v>
      </c>
      <c r="J1878" s="2">
        <f t="shared" si="217"/>
        <v>0</v>
      </c>
      <c r="K1878" s="2">
        <f t="shared" si="217"/>
        <v>0</v>
      </c>
      <c r="L1878" s="2">
        <f t="shared" si="217"/>
        <v>0</v>
      </c>
      <c r="M1878" s="2">
        <f t="shared" si="217"/>
        <v>0</v>
      </c>
      <c r="N1878" s="2">
        <f t="shared" si="217"/>
        <v>0</v>
      </c>
      <c r="O1878" s="2">
        <f t="shared" si="217"/>
        <v>0</v>
      </c>
      <c r="P1878" s="2">
        <f t="shared" si="217"/>
        <v>0</v>
      </c>
      <c r="Q1878" s="2">
        <f t="shared" si="217"/>
        <v>0</v>
      </c>
      <c r="R1878" s="2">
        <f t="shared" si="217"/>
        <v>0</v>
      </c>
    </row>
  </sheetData>
  <mergeCells count="4">
    <mergeCell ref="G1:I1"/>
    <mergeCell ref="J1:L1"/>
    <mergeCell ref="M1:O1"/>
    <mergeCell ref="P1:R1"/>
  </mergeCells>
  <phoneticPr fontId="29"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6"/>
  <dimension ref="A1:AE349"/>
  <sheetViews>
    <sheetView topLeftCell="A2" zoomScale="70" zoomScaleNormal="70" workbookViewId="0">
      <pane xSplit="3" ySplit="3" topLeftCell="D221" activePane="bottomRight" state="frozen"/>
      <selection activeCell="X30" sqref="X30"/>
      <selection pane="topRight" activeCell="X30" sqref="X30"/>
      <selection pane="bottomLeft" activeCell="X30" sqref="X30"/>
      <selection pane="bottomRight" activeCell="X30" sqref="X30"/>
    </sheetView>
  </sheetViews>
  <sheetFormatPr baseColWidth="10" defaultRowHeight="15" x14ac:dyDescent="0.25"/>
  <cols>
    <col min="1" max="1" width="55.85546875" customWidth="1"/>
    <col min="2" max="2" width="16.28515625" customWidth="1"/>
    <col min="3" max="3" width="17" customWidth="1"/>
    <col min="4" max="5" width="15.7109375" style="2" customWidth="1"/>
    <col min="6" max="6" width="15.7109375" style="167" customWidth="1"/>
    <col min="7" max="7" width="15.7109375" style="2" customWidth="1"/>
    <col min="8" max="8" width="11.42578125" style="167" customWidth="1"/>
    <col min="9" max="16" width="15.7109375" style="2" customWidth="1"/>
    <col min="17" max="17" width="11.42578125" style="2" customWidth="1"/>
    <col min="18" max="18" width="15.7109375" style="67" customWidth="1"/>
    <col min="25" max="25" width="13.5703125" bestFit="1" customWidth="1"/>
  </cols>
  <sheetData>
    <row r="1" spans="1:25" ht="30" x14ac:dyDescent="0.25">
      <c r="I1" s="116" t="s">
        <v>33</v>
      </c>
      <c r="J1" s="2" t="s">
        <v>221</v>
      </c>
    </row>
    <row r="2" spans="1:25" x14ac:dyDescent="0.25">
      <c r="P2" s="2" t="s">
        <v>138</v>
      </c>
    </row>
    <row r="3" spans="1:25" ht="15" customHeight="1" x14ac:dyDescent="0.25">
      <c r="D3" s="119"/>
      <c r="E3" s="119"/>
      <c r="F3" s="168"/>
      <c r="G3" s="119"/>
      <c r="H3" s="168"/>
      <c r="I3" s="119"/>
      <c r="J3" s="119"/>
      <c r="K3" s="119"/>
      <c r="L3" s="119"/>
      <c r="M3" s="119"/>
      <c r="N3" s="119"/>
      <c r="O3" s="108"/>
      <c r="T3" s="120"/>
      <c r="U3" s="120"/>
    </row>
    <row r="4" spans="1:25" s="115" customFormat="1" ht="105.75" thickBot="1" x14ac:dyDescent="0.3">
      <c r="A4" s="115" t="s">
        <v>74</v>
      </c>
      <c r="B4" s="115" t="s">
        <v>108</v>
      </c>
      <c r="C4" s="115" t="s">
        <v>127</v>
      </c>
      <c r="D4" s="116" t="s">
        <v>28</v>
      </c>
      <c r="E4" s="116" t="s">
        <v>29</v>
      </c>
      <c r="F4" s="169" t="s">
        <v>30</v>
      </c>
      <c r="G4" s="116" t="s">
        <v>31</v>
      </c>
      <c r="H4" s="169" t="s">
        <v>32</v>
      </c>
      <c r="I4" s="116" t="s">
        <v>33</v>
      </c>
      <c r="J4" s="116" t="s">
        <v>34</v>
      </c>
      <c r="K4" s="116" t="s">
        <v>35</v>
      </c>
      <c r="L4" s="116" t="s">
        <v>36</v>
      </c>
      <c r="M4" s="116" t="s">
        <v>37</v>
      </c>
      <c r="N4" s="116" t="s">
        <v>38</v>
      </c>
      <c r="O4" s="116" t="s">
        <v>40</v>
      </c>
      <c r="P4" s="216" t="s">
        <v>258</v>
      </c>
      <c r="Q4" s="216" t="s">
        <v>219</v>
      </c>
      <c r="R4" s="166" t="s">
        <v>218</v>
      </c>
      <c r="S4" s="118" t="s">
        <v>220</v>
      </c>
      <c r="T4" s="107" t="s">
        <v>75</v>
      </c>
      <c r="U4" s="107" t="s">
        <v>76</v>
      </c>
      <c r="Y4" s="115" t="s">
        <v>299</v>
      </c>
    </row>
    <row r="5" spans="1:25" x14ac:dyDescent="0.25">
      <c r="A5" s="24" t="s">
        <v>80</v>
      </c>
      <c r="B5" t="s">
        <v>125</v>
      </c>
      <c r="D5" s="58">
        <v>0</v>
      </c>
      <c r="E5" s="58">
        <v>12456.48480515703</v>
      </c>
      <c r="F5" s="170">
        <v>0.48</v>
      </c>
      <c r="G5" s="58">
        <v>13494.525205586782</v>
      </c>
      <c r="H5" s="170">
        <v>0.40682052352923714</v>
      </c>
      <c r="I5" s="58">
        <v>25951.010010743812</v>
      </c>
      <c r="J5" s="58">
        <v>7219.6989999999996</v>
      </c>
      <c r="K5" s="58">
        <v>33170.709010743813</v>
      </c>
      <c r="L5" s="58">
        <v>901</v>
      </c>
      <c r="M5" s="58">
        <v>2681</v>
      </c>
      <c r="N5" s="58">
        <v>301</v>
      </c>
      <c r="O5" s="58">
        <v>173.98705108365385</v>
      </c>
      <c r="P5" s="2">
        <f>SUMIFS('Val-Vol (2)'!$I$4:$I$745,'Val-Vol (2)'!$V$4:$V$745,2016,'Val-Vol (2)'!$A$4:$A$745,A5,'Val-Vol (2)'!$E$4:$E$745,$P$2)</f>
        <v>29588.221783706871</v>
      </c>
      <c r="Q5" s="2">
        <f>P5+M5+L5</f>
        <v>33170.221783706875</v>
      </c>
      <c r="R5" s="67">
        <v>2016</v>
      </c>
      <c r="S5" s="2">
        <f>K5-Q5</f>
        <v>0.48722703693783842</v>
      </c>
      <c r="T5">
        <f>VLOOKUP(A5,'Groupe de branches'!$Z$27:$AM$86,14,FALSE)</f>
        <v>0</v>
      </c>
      <c r="U5">
        <f>VLOOKUP(A5,'Groupe de branches'!$Z$27:$AM$86,14,FALSE)</f>
        <v>0</v>
      </c>
      <c r="V5" s="2"/>
      <c r="Y5">
        <f>O5/G5</f>
        <v>1.2893158405574921E-2</v>
      </c>
    </row>
    <row r="6" spans="1:25" x14ac:dyDescent="0.25">
      <c r="A6" s="29" t="s">
        <v>0</v>
      </c>
      <c r="B6" t="s">
        <v>125</v>
      </c>
      <c r="D6" s="58">
        <v>445775.10658898944</v>
      </c>
      <c r="E6" s="58">
        <v>0</v>
      </c>
      <c r="F6" s="170">
        <v>0</v>
      </c>
      <c r="G6" s="58">
        <v>640355.96829811973</v>
      </c>
      <c r="H6" s="170">
        <v>0.55782187778398917</v>
      </c>
      <c r="I6" s="58">
        <v>1086131.0748871092</v>
      </c>
      <c r="J6" s="58">
        <v>61826.712000000007</v>
      </c>
      <c r="K6" s="58">
        <v>1147957.7868871093</v>
      </c>
      <c r="L6" s="58">
        <v>486</v>
      </c>
      <c r="M6" s="58">
        <v>162343</v>
      </c>
      <c r="N6" s="58">
        <v>0</v>
      </c>
      <c r="O6" s="58">
        <v>5000</v>
      </c>
      <c r="P6" s="2">
        <f>SUMIFS('Val-Vol (2)'!$I$4:$I$745,'Val-Vol (2)'!$V$4:$V$745,2016,'Val-Vol (2)'!$A$4:$A$745,A6,'Val-Vol (2)'!$E$4:$E$745,$P$2)</f>
        <v>985128.83704470214</v>
      </c>
      <c r="Q6" s="2">
        <f t="shared" ref="Q6:Q61" si="0">P6+M6+L6</f>
        <v>1147957.8370447021</v>
      </c>
      <c r="R6" s="67">
        <v>2016</v>
      </c>
      <c r="S6" s="2">
        <f t="shared" ref="S6:S69" si="1">K6-Q6</f>
        <v>-5.0157592864707112E-2</v>
      </c>
      <c r="T6">
        <f>VLOOKUP(A6,'Groupe de branches'!$Z$27:$AM$86,14,FALSE)</f>
        <v>0</v>
      </c>
      <c r="U6">
        <f>VLOOKUP(A6,'Groupe de branches'!$Z$27:$AM$86,14,FALSE)</f>
        <v>0</v>
      </c>
      <c r="V6" s="2"/>
      <c r="Y6">
        <f t="shared" ref="Y6:Y61" si="2">O6/G6</f>
        <v>7.8081570993841888E-3</v>
      </c>
    </row>
    <row r="7" spans="1:25" x14ac:dyDescent="0.25">
      <c r="A7" s="29" t="s">
        <v>1</v>
      </c>
      <c r="B7" t="s">
        <v>125</v>
      </c>
      <c r="D7" s="58">
        <v>0</v>
      </c>
      <c r="E7" s="58">
        <v>0</v>
      </c>
      <c r="F7" s="170">
        <v>0</v>
      </c>
      <c r="G7" s="58">
        <v>194638.19011890405</v>
      </c>
      <c r="H7" s="170">
        <v>0.78970938256098544</v>
      </c>
      <c r="I7" s="58">
        <v>194638.19011890405</v>
      </c>
      <c r="J7" s="58">
        <v>51829.933999999994</v>
      </c>
      <c r="K7" s="58">
        <v>246468.12411890406</v>
      </c>
      <c r="L7" s="58">
        <v>0</v>
      </c>
      <c r="M7" s="58">
        <v>100386</v>
      </c>
      <c r="N7" s="58">
        <v>0</v>
      </c>
      <c r="O7" s="58">
        <v>0</v>
      </c>
      <c r="P7" s="2">
        <f>SUMIFS('Val-Vol (2)'!$I$4:$I$745,'Val-Vol (2)'!$V$4:$V$745,2016,'Val-Vol (2)'!$A$4:$A$745,A7,'Val-Vol (2)'!$E$4:$E$745,$P$2)</f>
        <v>146082.46522989043</v>
      </c>
      <c r="Q7" s="2">
        <f t="shared" si="0"/>
        <v>246468.46522989043</v>
      </c>
      <c r="R7" s="67">
        <v>2016</v>
      </c>
      <c r="S7" s="2">
        <f t="shared" si="1"/>
        <v>-0.34111098636640236</v>
      </c>
      <c r="T7">
        <f>VLOOKUP(A7,'Groupe de branches'!$Z$27:$AM$86,14,FALSE)</f>
        <v>0</v>
      </c>
      <c r="U7">
        <f>VLOOKUP(A7,'Groupe de branches'!$Z$27:$AM$86,14,FALSE)</f>
        <v>0</v>
      </c>
      <c r="V7" s="2"/>
      <c r="Y7">
        <f t="shared" si="2"/>
        <v>0</v>
      </c>
    </row>
    <row r="8" spans="1:25" x14ac:dyDescent="0.25">
      <c r="A8" s="29" t="s">
        <v>2</v>
      </c>
      <c r="B8" t="s">
        <v>125</v>
      </c>
      <c r="D8" s="58">
        <v>143099.87521</v>
      </c>
      <c r="E8" s="58">
        <v>0</v>
      </c>
      <c r="F8" s="170">
        <v>0</v>
      </c>
      <c r="G8" s="58">
        <v>131061.84250570802</v>
      </c>
      <c r="H8" s="170">
        <v>0.45415339700967022</v>
      </c>
      <c r="I8" s="58">
        <v>274161.71771570802</v>
      </c>
      <c r="J8" s="58">
        <v>14423.248</v>
      </c>
      <c r="K8" s="58">
        <v>288584.96571570804</v>
      </c>
      <c r="L8" s="58">
        <v>211795</v>
      </c>
      <c r="M8" s="58">
        <v>20658</v>
      </c>
      <c r="N8" s="58">
        <v>14423.248</v>
      </c>
      <c r="O8" s="58">
        <v>3541.4340004319647</v>
      </c>
      <c r="P8" s="2">
        <f>SUMIFS('Val-Vol (2)'!$I$4:$I$745,'Val-Vol (2)'!$V$4:$V$745,2016,'Val-Vol (2)'!$A$4:$A$745,A8,'Val-Vol (2)'!$E$4:$E$745,$P$2)</f>
        <v>56131.391631637191</v>
      </c>
      <c r="Q8" s="2">
        <f t="shared" si="0"/>
        <v>288584.39163163718</v>
      </c>
      <c r="R8" s="67">
        <v>2016</v>
      </c>
      <c r="S8" s="2">
        <f t="shared" si="1"/>
        <v>0.57408407086040825</v>
      </c>
      <c r="T8">
        <f>VLOOKUP(A8,'Groupe de branches'!$Z$27:$AM$86,14,FALSE)</f>
        <v>0</v>
      </c>
      <c r="U8">
        <f>VLOOKUP(A8,'Groupe de branches'!$Z$27:$AM$86,14,FALSE)</f>
        <v>0</v>
      </c>
      <c r="V8" s="2"/>
      <c r="Y8">
        <f t="shared" si="2"/>
        <v>2.7021091209500796E-2</v>
      </c>
    </row>
    <row r="9" spans="1:25" x14ac:dyDescent="0.25">
      <c r="A9" s="29" t="s">
        <v>81</v>
      </c>
      <c r="B9" t="s">
        <v>125</v>
      </c>
      <c r="D9" s="58">
        <v>17121.626313701829</v>
      </c>
      <c r="E9" s="58">
        <v>295647.38418858865</v>
      </c>
      <c r="F9" s="170">
        <v>0.25954838837784128</v>
      </c>
      <c r="G9" s="58">
        <v>826314.86528812954</v>
      </c>
      <c r="H9" s="170">
        <v>0.72542056195356341</v>
      </c>
      <c r="I9" s="58">
        <v>1139083.87579042</v>
      </c>
      <c r="J9" s="58">
        <v>0</v>
      </c>
      <c r="K9" s="58">
        <v>1139083.87579042</v>
      </c>
      <c r="L9" s="58">
        <v>26</v>
      </c>
      <c r="M9" s="58">
        <v>67747</v>
      </c>
      <c r="N9" s="58">
        <v>0</v>
      </c>
      <c r="O9" s="58">
        <v>21920.596370463078</v>
      </c>
      <c r="P9" s="2">
        <f>SUMIFS('Val-Vol (2)'!$I$4:$I$745,'Val-Vol (2)'!$V$4:$V$745,2016,'Val-Vol (2)'!$A$4:$A$745,A9,'Val-Vol (2)'!$E$4:$E$745,$P$2)</f>
        <v>1071310.8399606827</v>
      </c>
      <c r="Q9" s="2">
        <f t="shared" si="0"/>
        <v>1139083.8399606827</v>
      </c>
      <c r="R9" s="67">
        <v>2016</v>
      </c>
      <c r="S9" s="2">
        <f t="shared" si="1"/>
        <v>3.5829737316817045E-2</v>
      </c>
      <c r="T9">
        <f>VLOOKUP(A9,'Groupe de branches'!$Z$27:$AM$86,14,FALSE)</f>
        <v>0</v>
      </c>
      <c r="U9">
        <f>VLOOKUP(A9,'Groupe de branches'!$Z$27:$AM$86,14,FALSE)</f>
        <v>0</v>
      </c>
      <c r="V9" s="2"/>
      <c r="Y9">
        <f t="shared" si="2"/>
        <v>2.6528139927410765E-2</v>
      </c>
    </row>
    <row r="10" spans="1:25" x14ac:dyDescent="0.25">
      <c r="A10" s="29" t="s">
        <v>3</v>
      </c>
      <c r="B10" t="s">
        <v>125</v>
      </c>
      <c r="D10" s="58">
        <v>198467</v>
      </c>
      <c r="E10" s="58">
        <v>13744.877176912676</v>
      </c>
      <c r="F10" s="170">
        <v>5.3023647921599144E-2</v>
      </c>
      <c r="G10" s="58">
        <v>47009.766668412245</v>
      </c>
      <c r="H10" s="170">
        <v>0.18134969739047918</v>
      </c>
      <c r="I10" s="58">
        <v>246820.32795571222</v>
      </c>
      <c r="J10" s="58">
        <v>0</v>
      </c>
      <c r="K10" s="58">
        <v>246820.32795571222</v>
      </c>
      <c r="L10" s="58">
        <v>0</v>
      </c>
      <c r="M10" s="58">
        <v>16937</v>
      </c>
      <c r="N10" s="58">
        <v>0</v>
      </c>
      <c r="O10" s="58">
        <v>967</v>
      </c>
      <c r="P10" s="2">
        <f>SUMIFS('Val-Vol (2)'!$I$4:$I$745,'Val-Vol (2)'!$V$4:$V$745,2016,'Val-Vol (2)'!$A$4:$A$745,A10,'Val-Vol (2)'!$E$4:$E$745,$P$2)</f>
        <v>229883.55646170711</v>
      </c>
      <c r="Q10" s="2">
        <f t="shared" si="0"/>
        <v>246820.55646170711</v>
      </c>
      <c r="R10" s="67">
        <v>2016</v>
      </c>
      <c r="S10" s="191">
        <f t="shared" si="1"/>
        <v>-0.22850599489174783</v>
      </c>
      <c r="T10">
        <f>VLOOKUP(A10,'Groupe de branches'!$Z$27:$AM$86,14,FALSE)</f>
        <v>0</v>
      </c>
      <c r="U10">
        <f>VLOOKUP(A10,'Groupe de branches'!$Z$27:$AM$86,14,FALSE)</f>
        <v>0</v>
      </c>
      <c r="V10" s="117"/>
      <c r="Y10">
        <f t="shared" si="2"/>
        <v>2.05701935689412E-2</v>
      </c>
    </row>
    <row r="11" spans="1:25" x14ac:dyDescent="0.25">
      <c r="A11" s="29" t="s">
        <v>59</v>
      </c>
      <c r="B11" t="s">
        <v>125</v>
      </c>
      <c r="D11" s="58">
        <v>0</v>
      </c>
      <c r="E11" s="58">
        <v>0</v>
      </c>
      <c r="F11" s="170">
        <v>0.33333333333333331</v>
      </c>
      <c r="G11" s="58">
        <v>0</v>
      </c>
      <c r="H11" s="170">
        <v>1.7111657018601087E-5</v>
      </c>
      <c r="I11" s="58">
        <v>0</v>
      </c>
      <c r="J11" s="58">
        <v>58436.694000000003</v>
      </c>
      <c r="K11" s="58">
        <v>58439.694000000003</v>
      </c>
      <c r="L11" s="58">
        <v>58440</v>
      </c>
      <c r="M11" s="58">
        <v>0</v>
      </c>
      <c r="N11" s="58">
        <v>58436.694000000003</v>
      </c>
      <c r="O11" s="58">
        <v>0</v>
      </c>
      <c r="P11" s="2">
        <f>SUMIFS('Val-Vol (2)'!$I$4:$I$745,'Val-Vol (2)'!$V$4:$V$745,2016,'Val-Vol (2)'!$A$4:$A$745,A11,'Val-Vol (2)'!$E$4:$E$745,$P$2)</f>
        <v>0</v>
      </c>
      <c r="Q11" s="2">
        <f t="shared" si="0"/>
        <v>58440</v>
      </c>
      <c r="R11" s="67">
        <v>2016</v>
      </c>
      <c r="S11" s="2">
        <f t="shared" si="1"/>
        <v>-0.30599999999685679</v>
      </c>
      <c r="T11">
        <f>VLOOKUP(A11,'Groupe de branches'!$Z$27:$AM$86,14,FALSE)</f>
        <v>0</v>
      </c>
      <c r="U11">
        <f>VLOOKUP(A11,'Groupe de branches'!$Z$27:$AM$86,14,FALSE)</f>
        <v>0</v>
      </c>
      <c r="V11" s="2"/>
      <c r="Y11" t="e">
        <f t="shared" si="2"/>
        <v>#DIV/0!</v>
      </c>
    </row>
    <row r="12" spans="1:25" x14ac:dyDescent="0.25">
      <c r="A12" s="29" t="s">
        <v>4</v>
      </c>
      <c r="B12" t="s">
        <v>125</v>
      </c>
      <c r="D12" s="58">
        <v>241999.29289434309</v>
      </c>
      <c r="E12" s="58">
        <v>61680.229525116098</v>
      </c>
      <c r="F12" s="170">
        <v>0.15083558663786767</v>
      </c>
      <c r="G12" s="58">
        <v>105244.06716554076</v>
      </c>
      <c r="H12" s="170">
        <v>0.24294371581760896</v>
      </c>
      <c r="I12" s="58">
        <v>408923.58958499995</v>
      </c>
      <c r="J12" s="58">
        <v>24279.906999999999</v>
      </c>
      <c r="K12" s="58">
        <v>433203.49658499996</v>
      </c>
      <c r="L12" s="58">
        <v>51960</v>
      </c>
      <c r="M12" s="58">
        <v>113544</v>
      </c>
      <c r="N12" s="58">
        <v>750</v>
      </c>
      <c r="O12" s="58">
        <v>1661.748428929591</v>
      </c>
      <c r="P12" s="2">
        <f>SUMIFS('Val-Vol (2)'!$I$4:$I$745,'Val-Vol (2)'!$V$4:$V$745,2016,'Val-Vol (2)'!$A$4:$A$745,A12,'Val-Vol (2)'!$E$4:$E$745,$P$2)</f>
        <v>267699.42132818978</v>
      </c>
      <c r="Q12" s="2">
        <f t="shared" si="0"/>
        <v>433203.42132818978</v>
      </c>
      <c r="R12" s="67">
        <v>2016</v>
      </c>
      <c r="S12" s="2">
        <f t="shared" si="1"/>
        <v>7.5256810174323618E-2</v>
      </c>
      <c r="T12">
        <f>VLOOKUP(A12,'Groupe de branches'!$Z$27:$AM$86,14,FALSE)</f>
        <v>0</v>
      </c>
      <c r="U12">
        <f>VLOOKUP(A12,'Groupe de branches'!$Z$27:$AM$86,14,FALSE)</f>
        <v>0</v>
      </c>
      <c r="V12" s="2"/>
      <c r="Y12">
        <f t="shared" si="2"/>
        <v>1.5789473684210527E-2</v>
      </c>
    </row>
    <row r="13" spans="1:25" x14ac:dyDescent="0.25">
      <c r="A13" s="29" t="s">
        <v>5</v>
      </c>
      <c r="B13" t="s">
        <v>125</v>
      </c>
      <c r="D13" s="58">
        <v>56852.466739218115</v>
      </c>
      <c r="E13" s="58">
        <v>16572.71517622831</v>
      </c>
      <c r="F13" s="170">
        <v>0.16770169381558239</v>
      </c>
      <c r="G13" s="58">
        <v>25397.404780982142</v>
      </c>
      <c r="H13" s="170">
        <v>0.211163629533102</v>
      </c>
      <c r="I13" s="58">
        <v>98822.586696428567</v>
      </c>
      <c r="J13" s="58">
        <v>21450.989000000001</v>
      </c>
      <c r="K13" s="58">
        <v>120273.57569642857</v>
      </c>
      <c r="L13" s="58">
        <v>2891</v>
      </c>
      <c r="M13" s="58">
        <v>30911</v>
      </c>
      <c r="N13" s="58">
        <v>696.255</v>
      </c>
      <c r="O13" s="58">
        <v>401.01165443656015</v>
      </c>
      <c r="P13" s="2">
        <f>SUMIFS('Val-Vol (2)'!$I$4:$I$745,'Val-Vol (2)'!$V$4:$V$745,2016,'Val-Vol (2)'!$A$4:$A$745,A13,'Val-Vol (2)'!$E$4:$E$745,$P$2)</f>
        <v>86470.80610922871</v>
      </c>
      <c r="Q13" s="2">
        <f t="shared" si="0"/>
        <v>120272.80610922871</v>
      </c>
      <c r="R13" s="67">
        <v>2016</v>
      </c>
      <c r="S13" s="2">
        <f t="shared" si="1"/>
        <v>0.76958719985850621</v>
      </c>
      <c r="T13">
        <f>VLOOKUP(A13,'Groupe de branches'!$Z$27:$AM$86,14,FALSE)</f>
        <v>0</v>
      </c>
      <c r="U13">
        <f>VLOOKUP(A13,'Groupe de branches'!$Z$27:$AM$86,14,FALSE)</f>
        <v>0</v>
      </c>
      <c r="V13" s="2"/>
      <c r="Y13">
        <f t="shared" si="2"/>
        <v>1.5789473684210527E-2</v>
      </c>
    </row>
    <row r="14" spans="1:25" x14ac:dyDescent="0.25">
      <c r="A14" s="29" t="s">
        <v>82</v>
      </c>
      <c r="B14" t="s">
        <v>125</v>
      </c>
      <c r="D14" s="58">
        <v>46829.830298184184</v>
      </c>
      <c r="E14" s="58">
        <v>8388.3833666666669</v>
      </c>
      <c r="F14" s="170">
        <v>0.10000000000000002</v>
      </c>
      <c r="G14" s="58">
        <v>28665.620001815805</v>
      </c>
      <c r="H14" s="170">
        <v>0.29351015023127491</v>
      </c>
      <c r="I14" s="58">
        <v>83883.833666666658</v>
      </c>
      <c r="J14" s="58">
        <v>13781</v>
      </c>
      <c r="K14" s="58">
        <v>97664.833666666658</v>
      </c>
      <c r="L14" s="58">
        <v>1551</v>
      </c>
      <c r="M14" s="58">
        <v>16023</v>
      </c>
      <c r="N14" s="58">
        <v>0</v>
      </c>
      <c r="O14" s="58">
        <v>452.61505266024955</v>
      </c>
      <c r="P14" s="2">
        <f>SUMIFS('Val-Vol (2)'!$I$4:$I$745,'Val-Vol (2)'!$V$4:$V$745,2016,'Val-Vol (2)'!$A$4:$A$745,A14,'Val-Vol (2)'!$E$4:$E$745,$P$2)</f>
        <v>80090.731765257719</v>
      </c>
      <c r="Q14" s="2">
        <f t="shared" si="0"/>
        <v>97664.731765257719</v>
      </c>
      <c r="R14" s="67">
        <v>2016</v>
      </c>
      <c r="S14" s="2">
        <f t="shared" si="1"/>
        <v>0.10190140893973876</v>
      </c>
      <c r="T14">
        <f>VLOOKUP(A14,'Groupe de branches'!$Z$27:$AM$86,14,FALSE)</f>
        <v>0</v>
      </c>
      <c r="U14">
        <f>VLOOKUP(A14,'Groupe de branches'!$Z$27:$AM$86,14,FALSE)</f>
        <v>0</v>
      </c>
      <c r="V14" s="2"/>
      <c r="Y14">
        <f t="shared" si="2"/>
        <v>1.5789473684210527E-2</v>
      </c>
    </row>
    <row r="15" spans="1:25" x14ac:dyDescent="0.25">
      <c r="A15" s="29" t="s">
        <v>6</v>
      </c>
      <c r="B15" t="s">
        <v>125</v>
      </c>
      <c r="D15" s="58">
        <v>13588.276524819157</v>
      </c>
      <c r="E15" s="58">
        <v>2668.8177024551364</v>
      </c>
      <c r="F15" s="170">
        <v>0.11995184979398635</v>
      </c>
      <c r="G15" s="58">
        <v>5991.9807727257057</v>
      </c>
      <c r="H15" s="170">
        <v>6.0028943949093146E-2</v>
      </c>
      <c r="I15" s="58">
        <v>22249.074999999997</v>
      </c>
      <c r="J15" s="58">
        <v>77569.119000000006</v>
      </c>
      <c r="K15" s="58">
        <v>99818.194000000003</v>
      </c>
      <c r="L15" s="58">
        <v>13879</v>
      </c>
      <c r="M15" s="58">
        <v>2982</v>
      </c>
      <c r="N15" s="58">
        <v>11000.229835610808</v>
      </c>
      <c r="O15" s="58">
        <v>94.610222727247987</v>
      </c>
      <c r="P15" s="2">
        <f>SUMIFS('Val-Vol (2)'!$I$4:$I$745,'Val-Vol (2)'!$V$4:$V$745,2016,'Val-Vol (2)'!$A$4:$A$745,A15,'Val-Vol (2)'!$E$4:$E$745,$P$2)</f>
        <v>82958.006570389189</v>
      </c>
      <c r="Q15" s="2">
        <f t="shared" si="0"/>
        <v>99819.006570389189</v>
      </c>
      <c r="R15" s="67">
        <v>2016</v>
      </c>
      <c r="S15" s="2">
        <f t="shared" si="1"/>
        <v>-0.81257038918556646</v>
      </c>
      <c r="T15">
        <f>VLOOKUP(A15,'Groupe de branches'!$Z$27:$AM$86,14,FALSE)</f>
        <v>0</v>
      </c>
      <c r="U15">
        <f>VLOOKUP(A15,'Groupe de branches'!$Z$27:$AM$86,14,FALSE)</f>
        <v>0</v>
      </c>
      <c r="V15" s="2"/>
      <c r="Y15">
        <f t="shared" si="2"/>
        <v>1.5789473684210527E-2</v>
      </c>
    </row>
    <row r="16" spans="1:25" x14ac:dyDescent="0.25">
      <c r="A16" s="29" t="s">
        <v>7</v>
      </c>
      <c r="B16" t="s">
        <v>125</v>
      </c>
      <c r="D16" s="58">
        <v>438446.14551587531</v>
      </c>
      <c r="E16" s="58">
        <v>53708.222484124708</v>
      </c>
      <c r="F16" s="170">
        <v>8.3810929151009336E-2</v>
      </c>
      <c r="G16" s="58">
        <v>148671.63200000001</v>
      </c>
      <c r="H16" s="170">
        <v>0.15803979316882061</v>
      </c>
      <c r="I16" s="58">
        <v>640826</v>
      </c>
      <c r="J16" s="58">
        <v>299896.77</v>
      </c>
      <c r="K16" s="58">
        <v>940722.77</v>
      </c>
      <c r="L16" s="58">
        <v>77900</v>
      </c>
      <c r="M16" s="58">
        <v>34128</v>
      </c>
      <c r="N16" s="58">
        <v>9683.6818600000006</v>
      </c>
      <c r="O16" s="58">
        <v>2703.120581818182</v>
      </c>
      <c r="P16" s="2">
        <f>SUMIFS('Val-Vol (2)'!$I$4:$I$745,'Val-Vol (2)'!$V$4:$V$745,2016,'Val-Vol (2)'!$A$4:$A$745,A16,'Val-Vol (2)'!$E$4:$E$745,$P$2)</f>
        <v>828694.12169864529</v>
      </c>
      <c r="Q16" s="2">
        <f t="shared" si="0"/>
        <v>940722.12169864529</v>
      </c>
      <c r="R16" s="67">
        <v>2016</v>
      </c>
      <c r="S16" s="2">
        <f t="shared" si="1"/>
        <v>0.64830135472584516</v>
      </c>
      <c r="T16">
        <f>VLOOKUP(A16,'Groupe de branches'!$Z$27:$AM$86,14,FALSE)</f>
        <v>0</v>
      </c>
      <c r="U16">
        <f>VLOOKUP(A16,'Groupe de branches'!$Z$27:$AM$86,14,FALSE)</f>
        <v>0</v>
      </c>
      <c r="V16" s="2"/>
      <c r="Y16">
        <f t="shared" si="2"/>
        <v>1.8181818181818181E-2</v>
      </c>
    </row>
    <row r="17" spans="1:25" x14ac:dyDescent="0.25">
      <c r="A17" s="29" t="s">
        <v>8</v>
      </c>
      <c r="B17" t="s">
        <v>125</v>
      </c>
      <c r="D17" s="58">
        <v>119013.20479999998</v>
      </c>
      <c r="E17" s="58">
        <v>17418.666149999997</v>
      </c>
      <c r="F17" s="170">
        <v>0.09</v>
      </c>
      <c r="G17" s="58">
        <v>57108.864050000011</v>
      </c>
      <c r="H17" s="170">
        <v>0.29507413025996837</v>
      </c>
      <c r="I17" s="58">
        <v>193540.73499999999</v>
      </c>
      <c r="J17" s="58">
        <v>0</v>
      </c>
      <c r="K17" s="58">
        <v>193540.73499999999</v>
      </c>
      <c r="L17" s="58">
        <v>34392</v>
      </c>
      <c r="M17" s="58">
        <v>20080</v>
      </c>
      <c r="N17" s="58">
        <v>0</v>
      </c>
      <c r="O17" s="58">
        <v>1038.342982727273</v>
      </c>
      <c r="P17" s="2">
        <f>SUMIFS('Val-Vol (2)'!$I$4:$I$745,'Val-Vol (2)'!$V$4:$V$745,2016,'Val-Vol (2)'!$A$4:$A$745,A17,'Val-Vol (2)'!$E$4:$E$745,$P$2)</f>
        <v>139068.90395418071</v>
      </c>
      <c r="Q17" s="2">
        <f t="shared" si="0"/>
        <v>193540.90395418071</v>
      </c>
      <c r="R17" s="67">
        <v>2016</v>
      </c>
      <c r="S17" s="2">
        <f t="shared" si="1"/>
        <v>-0.16895418072817847</v>
      </c>
      <c r="T17">
        <f>VLOOKUP(A17,'Groupe de branches'!$Z$27:$AM$86,14,FALSE)</f>
        <v>0</v>
      </c>
      <c r="U17">
        <f>VLOOKUP(A17,'Groupe de branches'!$Z$27:$AM$86,14,FALSE)</f>
        <v>0</v>
      </c>
      <c r="V17" s="2"/>
      <c r="Y17">
        <f t="shared" si="2"/>
        <v>1.8181818181818184E-2</v>
      </c>
    </row>
    <row r="18" spans="1:25" x14ac:dyDescent="0.25">
      <c r="A18" s="29" t="s">
        <v>83</v>
      </c>
      <c r="B18" t="s">
        <v>125</v>
      </c>
      <c r="D18" s="58">
        <v>82879.840352827916</v>
      </c>
      <c r="E18" s="58">
        <v>18737.009282009403</v>
      </c>
      <c r="F18" s="170">
        <v>0.14161060080384433</v>
      </c>
      <c r="G18" s="58">
        <v>30696.756660523777</v>
      </c>
      <c r="H18" s="170">
        <v>0.1333795987134363</v>
      </c>
      <c r="I18" s="58">
        <v>132313.6062953611</v>
      </c>
      <c r="J18" s="58">
        <v>97832.210280944695</v>
      </c>
      <c r="K18" s="58">
        <v>230145.81657630578</v>
      </c>
      <c r="L18" s="58">
        <v>1069</v>
      </c>
      <c r="M18" s="58">
        <v>82432</v>
      </c>
      <c r="N18" s="58">
        <v>471</v>
      </c>
      <c r="O18" s="58">
        <v>558.12284837315963</v>
      </c>
      <c r="P18" s="2">
        <f>SUMIFS('Val-Vol (2)'!$I$4:$I$745,'Val-Vol (2)'!$V$4:$V$745,2016,'Val-Vol (2)'!$A$4:$A$745,A18,'Val-Vol (2)'!$E$4:$E$745,$P$2)</f>
        <v>146644.59822850508</v>
      </c>
      <c r="Q18" s="2">
        <f t="shared" si="0"/>
        <v>230145.59822850508</v>
      </c>
      <c r="R18" s="67">
        <v>2016</v>
      </c>
      <c r="S18" s="2">
        <f t="shared" si="1"/>
        <v>0.2183478006918449</v>
      </c>
      <c r="T18">
        <f>VLOOKUP(A18,'Groupe de branches'!$Z$27:$AM$86,14,FALSE)</f>
        <v>0</v>
      </c>
      <c r="U18">
        <f>VLOOKUP(A18,'Groupe de branches'!$Z$27:$AM$86,14,FALSE)</f>
        <v>0</v>
      </c>
      <c r="V18" s="2"/>
      <c r="Y18">
        <f t="shared" si="2"/>
        <v>1.8181818181818184E-2</v>
      </c>
    </row>
    <row r="19" spans="1:25" x14ac:dyDescent="0.25">
      <c r="A19" s="29" t="s">
        <v>9</v>
      </c>
      <c r="B19" t="s">
        <v>125</v>
      </c>
      <c r="D19" s="58">
        <v>184298.63383698685</v>
      </c>
      <c r="E19" s="58">
        <v>23628.042049499996</v>
      </c>
      <c r="F19" s="170">
        <v>0.09</v>
      </c>
      <c r="G19" s="58">
        <v>54607.124663513139</v>
      </c>
      <c r="H19" s="170">
        <v>0.20800035861711119</v>
      </c>
      <c r="I19" s="58">
        <v>262533.80054999999</v>
      </c>
      <c r="J19" s="58">
        <v>0</v>
      </c>
      <c r="K19" s="58">
        <v>262533.80054999999</v>
      </c>
      <c r="L19" s="58">
        <v>61348</v>
      </c>
      <c r="M19" s="58">
        <v>0</v>
      </c>
      <c r="N19" s="58">
        <v>0</v>
      </c>
      <c r="O19" s="58">
        <v>992.85681206387528</v>
      </c>
      <c r="P19" s="2">
        <f>SUMIFS('Val-Vol (2)'!$I$4:$I$745,'Val-Vol (2)'!$V$4:$V$745,2016,'Val-Vol (2)'!$A$4:$A$745,A19,'Val-Vol (2)'!$E$4:$E$745,$P$2)</f>
        <v>201185.48988639106</v>
      </c>
      <c r="Q19" s="2">
        <f t="shared" si="0"/>
        <v>262533.48988639109</v>
      </c>
      <c r="R19" s="67">
        <v>2016</v>
      </c>
      <c r="S19" s="2">
        <f t="shared" si="1"/>
        <v>0.31066360889235511</v>
      </c>
      <c r="T19">
        <f>VLOOKUP(A19,'Groupe de branches'!$Z$27:$AM$86,14,FALSE)</f>
        <v>0</v>
      </c>
      <c r="U19">
        <f>VLOOKUP(A19,'Groupe de branches'!$Z$27:$AM$86,14,FALSE)</f>
        <v>0</v>
      </c>
      <c r="V19" s="2"/>
      <c r="Y19">
        <f t="shared" si="2"/>
        <v>1.8181818181818181E-2</v>
      </c>
    </row>
    <row r="20" spans="1:25" x14ac:dyDescent="0.25">
      <c r="A20" s="29" t="s">
        <v>10</v>
      </c>
      <c r="B20" t="s">
        <v>125</v>
      </c>
      <c r="D20" s="58">
        <v>124355.32587623937</v>
      </c>
      <c r="E20" s="58">
        <v>41451.775292079779</v>
      </c>
      <c r="F20" s="170">
        <v>0.19200472240092256</v>
      </c>
      <c r="G20" s="58">
        <v>50082.251831680856</v>
      </c>
      <c r="H20" s="170">
        <v>0.23198111039630961</v>
      </c>
      <c r="I20" s="58">
        <v>215889.353</v>
      </c>
      <c r="J20" s="58">
        <v>0</v>
      </c>
      <c r="K20" s="58">
        <v>215889.353</v>
      </c>
      <c r="L20" s="58">
        <v>0</v>
      </c>
      <c r="M20" s="58">
        <v>36820</v>
      </c>
      <c r="N20" s="58">
        <v>0</v>
      </c>
      <c r="O20" s="58">
        <v>828.78430927131444</v>
      </c>
      <c r="P20" s="2">
        <f>SUMIFS('Val-Vol (2)'!$I$4:$I$745,'Val-Vol (2)'!$V$4:$V$745,2016,'Val-Vol (2)'!$A$4:$A$745,A20,'Val-Vol (2)'!$E$4:$E$745,$P$2)</f>
        <v>179069.353</v>
      </c>
      <c r="Q20" s="2">
        <f t="shared" si="0"/>
        <v>215889.353</v>
      </c>
      <c r="R20" s="67">
        <v>2016</v>
      </c>
      <c r="S20" s="2">
        <f t="shared" si="1"/>
        <v>0</v>
      </c>
      <c r="T20">
        <f>VLOOKUP(A20,'Groupe de branches'!$Z$27:$AM$86,14,FALSE)</f>
        <v>0</v>
      </c>
      <c r="U20">
        <f>VLOOKUP(A20,'Groupe de branches'!$Z$27:$AM$86,14,FALSE)</f>
        <v>0</v>
      </c>
      <c r="V20" s="2"/>
      <c r="Y20">
        <f t="shared" si="2"/>
        <v>1.6548463356973995E-2</v>
      </c>
    </row>
    <row r="21" spans="1:25" x14ac:dyDescent="0.25">
      <c r="A21" s="29" t="s">
        <v>84</v>
      </c>
      <c r="B21" t="s">
        <v>125</v>
      </c>
      <c r="D21" s="58">
        <v>29222.378814</v>
      </c>
      <c r="E21" s="58">
        <v>8998.6163059999926</v>
      </c>
      <c r="F21" s="170">
        <v>0.18128608462091753</v>
      </c>
      <c r="G21" s="58">
        <v>11416.660879999998</v>
      </c>
      <c r="H21" s="170">
        <v>0.19663629951906642</v>
      </c>
      <c r="I21" s="58">
        <v>49637.655999999988</v>
      </c>
      <c r="J21" s="58">
        <v>8422.1270000000004</v>
      </c>
      <c r="K21" s="58">
        <v>58059.782999999989</v>
      </c>
      <c r="L21" s="58">
        <v>0</v>
      </c>
      <c r="M21" s="58">
        <v>24358</v>
      </c>
      <c r="N21" s="58">
        <v>0</v>
      </c>
      <c r="O21" s="58">
        <v>180.26306652631575</v>
      </c>
      <c r="P21" s="2">
        <f>SUMIFS('Val-Vol (2)'!$I$4:$I$745,'Val-Vol (2)'!$V$4:$V$745,2016,'Val-Vol (2)'!$A$4:$A$745,A21,'Val-Vol (2)'!$E$4:$E$745,$P$2)</f>
        <v>33702.255999999994</v>
      </c>
      <c r="Q21" s="2">
        <f t="shared" si="0"/>
        <v>58060.255999999994</v>
      </c>
      <c r="R21" s="67">
        <v>2016</v>
      </c>
      <c r="S21" s="2">
        <f t="shared" si="1"/>
        <v>-0.47300000000541331</v>
      </c>
      <c r="T21">
        <f>VLOOKUP(A21,'Groupe de branches'!$Z$27:$AM$86,14,FALSE)</f>
        <v>0</v>
      </c>
      <c r="U21">
        <f>VLOOKUP(A21,'Groupe de branches'!$Z$27:$AM$86,14,FALSE)</f>
        <v>0</v>
      </c>
      <c r="V21" s="2"/>
      <c r="Y21">
        <f t="shared" si="2"/>
        <v>1.5789473684210527E-2</v>
      </c>
    </row>
    <row r="22" spans="1:25" x14ac:dyDescent="0.25">
      <c r="A22" s="29" t="s">
        <v>11</v>
      </c>
      <c r="B22" t="s">
        <v>125</v>
      </c>
      <c r="D22" s="58">
        <v>0</v>
      </c>
      <c r="E22" s="58">
        <v>0</v>
      </c>
      <c r="F22" s="170">
        <v>0</v>
      </c>
      <c r="G22" s="58">
        <v>94425.617100000003</v>
      </c>
      <c r="H22" s="170">
        <v>0.83093433444879683</v>
      </c>
      <c r="I22" s="58">
        <v>94425.617100000003</v>
      </c>
      <c r="J22" s="58">
        <v>19212.263999999999</v>
      </c>
      <c r="K22" s="58">
        <v>113637.8811</v>
      </c>
      <c r="L22" s="58">
        <v>0</v>
      </c>
      <c r="M22" s="58">
        <v>8689</v>
      </c>
      <c r="N22" s="58">
        <v>0</v>
      </c>
      <c r="O22" s="58">
        <v>1739.4192623684212</v>
      </c>
      <c r="P22" s="2">
        <f>SUMIFS('Val-Vol (2)'!$I$4:$I$745,'Val-Vol (2)'!$V$4:$V$745,2016,'Val-Vol (2)'!$A$4:$A$745,A22,'Val-Vol (2)'!$E$4:$E$745,$P$2)</f>
        <v>104948.70966445809</v>
      </c>
      <c r="Q22" s="2">
        <f t="shared" si="0"/>
        <v>113637.70966445809</v>
      </c>
      <c r="R22" s="67">
        <v>2016</v>
      </c>
      <c r="S22" s="2">
        <f t="shared" si="1"/>
        <v>0.17143554190988652</v>
      </c>
      <c r="T22">
        <f>VLOOKUP(A22,'Groupe de branches'!$Z$27:$AM$86,14,FALSE)</f>
        <v>0</v>
      </c>
      <c r="U22">
        <f>VLOOKUP(A22,'Groupe de branches'!$Z$27:$AM$86,14,FALSE)</f>
        <v>0</v>
      </c>
      <c r="V22" s="2"/>
      <c r="Y22">
        <f t="shared" si="2"/>
        <v>1.8421052631578949E-2</v>
      </c>
    </row>
    <row r="23" spans="1:25" x14ac:dyDescent="0.25">
      <c r="A23" s="29" t="s">
        <v>12</v>
      </c>
      <c r="B23" t="s">
        <v>125</v>
      </c>
      <c r="D23" s="58">
        <v>0</v>
      </c>
      <c r="E23" s="58">
        <v>0</v>
      </c>
      <c r="F23" s="170">
        <v>0</v>
      </c>
      <c r="G23" s="58">
        <v>137936.454</v>
      </c>
      <c r="H23" s="170">
        <v>0.7377476034780992</v>
      </c>
      <c r="I23" s="58">
        <v>137936.454</v>
      </c>
      <c r="J23" s="58">
        <v>49033.254000000008</v>
      </c>
      <c r="K23" s="58">
        <v>186969.70800000001</v>
      </c>
      <c r="L23" s="58">
        <v>24202</v>
      </c>
      <c r="M23" s="58">
        <v>35345</v>
      </c>
      <c r="N23" s="58">
        <v>8879.1540000000005</v>
      </c>
      <c r="O23" s="58">
        <v>2540.934678947368</v>
      </c>
      <c r="P23" s="2">
        <f>SUMIFS('Val-Vol (2)'!$I$4:$I$745,'Val-Vol (2)'!$V$4:$V$745,2016,'Val-Vol (2)'!$A$4:$A$745,A23,'Val-Vol (2)'!$E$4:$E$745,$P$2)</f>
        <v>127423.24272923992</v>
      </c>
      <c r="Q23" s="2">
        <f t="shared" si="0"/>
        <v>186970.24272923992</v>
      </c>
      <c r="R23" s="67">
        <v>2016</v>
      </c>
      <c r="S23" s="2">
        <f t="shared" si="1"/>
        <v>-0.53472923990921117</v>
      </c>
      <c r="T23">
        <f>VLOOKUP(A23,'Groupe de branches'!$Z$27:$AM$86,14,FALSE)</f>
        <v>0</v>
      </c>
      <c r="U23">
        <f>VLOOKUP(A23,'Groupe de branches'!$Z$27:$AM$86,14,FALSE)</f>
        <v>0</v>
      </c>
      <c r="V23" s="2"/>
      <c r="Y23">
        <f t="shared" si="2"/>
        <v>1.8421052631578946E-2</v>
      </c>
    </row>
    <row r="24" spans="1:25" x14ac:dyDescent="0.25">
      <c r="A24" s="29" t="s">
        <v>13</v>
      </c>
      <c r="B24" t="s">
        <v>125</v>
      </c>
      <c r="D24" s="58">
        <v>367350</v>
      </c>
      <c r="E24" s="58">
        <v>194096.06441078769</v>
      </c>
      <c r="F24" s="170">
        <v>0.27963703271976326</v>
      </c>
      <c r="G24" s="58">
        <v>132653.93558921234</v>
      </c>
      <c r="H24" s="170">
        <v>0.13130645509119515</v>
      </c>
      <c r="I24" s="58">
        <v>694100</v>
      </c>
      <c r="J24" s="58">
        <v>316162.10399999999</v>
      </c>
      <c r="K24" s="58">
        <v>1010262.1040000001</v>
      </c>
      <c r="L24" s="58">
        <v>427523</v>
      </c>
      <c r="M24" s="58">
        <v>78653</v>
      </c>
      <c r="N24" s="58">
        <v>185977.70823529409</v>
      </c>
      <c r="O24" s="58">
        <v>1741.0193637557202</v>
      </c>
      <c r="P24" s="2">
        <f>SUMIFS('Val-Vol (2)'!$I$4:$I$745,'Val-Vol (2)'!$V$4:$V$745,2016,'Val-Vol (2)'!$A$4:$A$745,A24,'Val-Vol (2)'!$E$4:$E$745,$P$2)</f>
        <v>504086.93050403969</v>
      </c>
      <c r="Q24" s="2">
        <f t="shared" si="0"/>
        <v>1010262.9305040396</v>
      </c>
      <c r="R24" s="67">
        <v>2016</v>
      </c>
      <c r="S24" s="2">
        <f t="shared" si="1"/>
        <v>-0.82650403957813978</v>
      </c>
      <c r="T24">
        <f>VLOOKUP(A24,'Groupe de branches'!$Z$27:$AM$86,14,FALSE)</f>
        <v>0</v>
      </c>
      <c r="U24">
        <f>VLOOKUP(A24,'Groupe de branches'!$Z$27:$AM$86,14,FALSE)</f>
        <v>0</v>
      </c>
      <c r="V24" s="2"/>
      <c r="Y24">
        <f t="shared" si="2"/>
        <v>1.3124521002883107E-2</v>
      </c>
    </row>
    <row r="25" spans="1:25" x14ac:dyDescent="0.25">
      <c r="A25" s="29" t="s">
        <v>14</v>
      </c>
      <c r="B25" t="s">
        <v>125</v>
      </c>
      <c r="D25" s="58">
        <v>68589.037698412707</v>
      </c>
      <c r="E25" s="58">
        <v>51073.619172177801</v>
      </c>
      <c r="F25" s="170">
        <v>0.31030815463987971</v>
      </c>
      <c r="G25" s="58">
        <v>44927.343129409492</v>
      </c>
      <c r="H25" s="170">
        <v>9.5267802814753264E-2</v>
      </c>
      <c r="I25" s="58">
        <v>164590</v>
      </c>
      <c r="J25" s="58">
        <v>307000</v>
      </c>
      <c r="K25" s="58">
        <v>471590</v>
      </c>
      <c r="L25" s="58">
        <v>39860</v>
      </c>
      <c r="M25" s="58">
        <v>42000</v>
      </c>
      <c r="N25" s="58">
        <v>39860</v>
      </c>
      <c r="O25" s="58">
        <v>608.68618728992215</v>
      </c>
      <c r="P25" s="2">
        <f>SUMIFS('Val-Vol (2)'!$I$4:$I$745,'Val-Vol (2)'!$V$4:$V$745,2016,'Val-Vol (2)'!$A$4:$A$745,A25,'Val-Vol (2)'!$E$4:$E$745,$P$2)</f>
        <v>389730.08657129225</v>
      </c>
      <c r="Q25" s="2">
        <f t="shared" si="0"/>
        <v>471590.08657129225</v>
      </c>
      <c r="R25" s="67">
        <v>2016</v>
      </c>
      <c r="S25" s="2">
        <f t="shared" si="1"/>
        <v>-8.6571292253211141E-2</v>
      </c>
      <c r="T25">
        <f>VLOOKUP(A25,'Groupe de branches'!$Z$27:$AM$86,14,FALSE)</f>
        <v>0</v>
      </c>
      <c r="U25">
        <f>VLOOKUP(A25,'Groupe de branches'!$Z$27:$AM$86,14,FALSE)</f>
        <v>0</v>
      </c>
      <c r="V25" s="2"/>
      <c r="Y25">
        <f t="shared" si="2"/>
        <v>1.3548234658271511E-2</v>
      </c>
    </row>
    <row r="26" spans="1:25" x14ac:dyDescent="0.25">
      <c r="A26" s="29" t="s">
        <v>85</v>
      </c>
      <c r="B26" t="s">
        <v>125</v>
      </c>
      <c r="D26" s="58">
        <v>203480.7175384615</v>
      </c>
      <c r="E26" s="58">
        <v>57818.000000000029</v>
      </c>
      <c r="F26" s="170">
        <v>0.21188638464253026</v>
      </c>
      <c r="G26" s="58">
        <v>11573.935876923055</v>
      </c>
      <c r="H26" s="170">
        <v>2.4748471558285672E-2</v>
      </c>
      <c r="I26" s="58">
        <v>272872.65341538459</v>
      </c>
      <c r="J26" s="58">
        <v>194790</v>
      </c>
      <c r="K26" s="58">
        <v>467662.65341538459</v>
      </c>
      <c r="L26" s="58">
        <v>120797</v>
      </c>
      <c r="M26" s="58">
        <v>12450</v>
      </c>
      <c r="N26" s="58">
        <v>38958</v>
      </c>
      <c r="O26" s="58">
        <v>178.6985611308736</v>
      </c>
      <c r="P26" s="2">
        <f>SUMIFS('Val-Vol (2)'!$I$4:$I$745,'Val-Vol (2)'!$V$4:$V$745,2016,'Val-Vol (2)'!$A$4:$A$745,A26,'Val-Vol (2)'!$E$4:$E$745,$P$2)</f>
        <v>334415.26956773235</v>
      </c>
      <c r="Q26" s="2">
        <f t="shared" si="0"/>
        <v>467662.26956773235</v>
      </c>
      <c r="R26" s="67">
        <v>2016</v>
      </c>
      <c r="S26" s="2">
        <f t="shared" si="1"/>
        <v>0.3838476522359997</v>
      </c>
      <c r="T26">
        <f>VLOOKUP(A26,'Groupe de branches'!$Z$27:$AM$86,14,FALSE)</f>
        <v>0</v>
      </c>
      <c r="U26">
        <f>VLOOKUP(A26,'Groupe de branches'!$Z$27:$AM$86,14,FALSE)</f>
        <v>0</v>
      </c>
      <c r="V26" s="2"/>
      <c r="Y26">
        <f t="shared" si="2"/>
        <v>1.543974003581406E-2</v>
      </c>
    </row>
    <row r="27" spans="1:25" x14ac:dyDescent="0.25">
      <c r="A27" s="29" t="s">
        <v>86</v>
      </c>
      <c r="B27" t="s">
        <v>125</v>
      </c>
      <c r="D27" s="58">
        <v>248560.09333599277</v>
      </c>
      <c r="E27" s="58">
        <v>101868.54832985211</v>
      </c>
      <c r="F27" s="170">
        <v>0.23837152475148363</v>
      </c>
      <c r="G27" s="58">
        <v>76923.360365673259</v>
      </c>
      <c r="H27" s="170">
        <v>0.14666890049428319</v>
      </c>
      <c r="I27" s="58">
        <v>427352.00203151815</v>
      </c>
      <c r="J27" s="58">
        <v>97117.467000000004</v>
      </c>
      <c r="K27" s="58">
        <v>524469.46903151809</v>
      </c>
      <c r="L27" s="58">
        <v>281140</v>
      </c>
      <c r="M27" s="58">
        <v>46087</v>
      </c>
      <c r="N27" s="58">
        <v>72156.608999999997</v>
      </c>
      <c r="O27" s="58">
        <v>655.53279952395167</v>
      </c>
      <c r="P27" s="2">
        <f>SUMIFS('Val-Vol (2)'!$I$4:$I$745,'Val-Vol (2)'!$V$4:$V$745,2016,'Val-Vol (2)'!$A$4:$A$745,A27,'Val-Vol (2)'!$E$4:$E$745,$P$2)</f>
        <v>197242.06980000003</v>
      </c>
      <c r="Q27" s="2">
        <f t="shared" si="0"/>
        <v>524469.06980000006</v>
      </c>
      <c r="R27" s="67">
        <v>2016</v>
      </c>
      <c r="S27" s="2">
        <f t="shared" si="1"/>
        <v>0.39923151803668588</v>
      </c>
      <c r="T27">
        <f>VLOOKUP(A27,'Groupe de branches'!$Z$27:$AM$86,14,FALSE)</f>
        <v>1</v>
      </c>
      <c r="U27">
        <f>VLOOKUP(A27,'Groupe de branches'!$Z$27:$AM$86,14,FALSE)</f>
        <v>1</v>
      </c>
      <c r="V27" s="2"/>
      <c r="Y27">
        <f t="shared" si="2"/>
        <v>8.5218949927268195E-3</v>
      </c>
    </row>
    <row r="28" spans="1:25" x14ac:dyDescent="0.25">
      <c r="A28" s="29" t="s">
        <v>87</v>
      </c>
      <c r="B28" t="s">
        <v>125</v>
      </c>
      <c r="D28" s="58">
        <v>310581.57238970965</v>
      </c>
      <c r="E28" s="58">
        <v>879022.40839029022</v>
      </c>
      <c r="F28" s="170">
        <v>0.546800946128568</v>
      </c>
      <c r="G28" s="58">
        <v>417968.96622</v>
      </c>
      <c r="H28" s="170">
        <v>0.16254989165416434</v>
      </c>
      <c r="I28" s="58">
        <v>1607572.9469999997</v>
      </c>
      <c r="J28" s="58">
        <v>963754.30499999993</v>
      </c>
      <c r="K28" s="58">
        <v>2571327.2519999994</v>
      </c>
      <c r="L28" s="58">
        <v>196462</v>
      </c>
      <c r="M28" s="58">
        <v>882027</v>
      </c>
      <c r="N28" s="58">
        <v>150151.46797576101</v>
      </c>
      <c r="O28" s="58">
        <v>4193.94908910295</v>
      </c>
      <c r="P28" s="2">
        <f>SUMIFS('Val-Vol (2)'!$I$4:$I$745,'Val-Vol (2)'!$V$4:$V$745,2016,'Val-Vol (2)'!$A$4:$A$745,A28,'Val-Vol (2)'!$E$4:$E$745,$P$2)</f>
        <v>1492838.7438143096</v>
      </c>
      <c r="Q28" s="2">
        <f t="shared" si="0"/>
        <v>2571327.7438143096</v>
      </c>
      <c r="R28" s="67">
        <v>2016</v>
      </c>
      <c r="S28" s="2">
        <f t="shared" si="1"/>
        <v>-0.49181431019678712</v>
      </c>
      <c r="T28">
        <f>VLOOKUP(A28,'Groupe de branches'!$Z$27:$AM$86,14,FALSE)</f>
        <v>0</v>
      </c>
      <c r="U28">
        <f>VLOOKUP(A28,'Groupe de branches'!$Z$27:$AM$86,14,FALSE)</f>
        <v>0</v>
      </c>
      <c r="V28" s="2"/>
      <c r="Y28">
        <f t="shared" si="2"/>
        <v>1.0034115994380895E-2</v>
      </c>
    </row>
    <row r="29" spans="1:25" x14ac:dyDescent="0.25">
      <c r="A29" s="29" t="s">
        <v>88</v>
      </c>
      <c r="B29" t="s">
        <v>125</v>
      </c>
      <c r="D29" s="58">
        <v>0.3</v>
      </c>
      <c r="E29" s="58">
        <v>0.2</v>
      </c>
      <c r="F29" s="170">
        <v>0.2</v>
      </c>
      <c r="G29" s="58">
        <v>0</v>
      </c>
      <c r="H29" s="170">
        <v>0.5</v>
      </c>
      <c r="I29" s="58">
        <v>1</v>
      </c>
      <c r="J29" s="58">
        <v>0</v>
      </c>
      <c r="K29" s="58">
        <v>0</v>
      </c>
      <c r="L29" s="58">
        <v>1</v>
      </c>
      <c r="M29" s="58">
        <v>0</v>
      </c>
      <c r="N29" s="58">
        <v>0</v>
      </c>
      <c r="O29" s="58">
        <v>0</v>
      </c>
      <c r="P29" s="2">
        <f>SUMIFS('Val-Vol (2)'!$I$4:$I$745,'Val-Vol (2)'!$V$4:$V$745,2016,'Val-Vol (2)'!$A$4:$A$745,A29,'Val-Vol (2)'!$E$4:$E$745,$P$2)</f>
        <v>0</v>
      </c>
      <c r="Q29" s="2">
        <f t="shared" si="0"/>
        <v>1</v>
      </c>
      <c r="R29" s="67">
        <v>2016</v>
      </c>
      <c r="S29" s="2">
        <f t="shared" si="1"/>
        <v>-1</v>
      </c>
      <c r="T29">
        <f>VLOOKUP(A29,'Groupe de branches'!$Z$27:$AM$86,14,FALSE)</f>
        <v>0</v>
      </c>
      <c r="U29">
        <f>VLOOKUP(A29,'Groupe de branches'!$Z$27:$AM$86,14,FALSE)</f>
        <v>0</v>
      </c>
      <c r="V29" s="2"/>
      <c r="Y29" t="e">
        <f t="shared" si="2"/>
        <v>#DIV/0!</v>
      </c>
    </row>
    <row r="30" spans="1:25" x14ac:dyDescent="0.25">
      <c r="A30" s="29" t="s">
        <v>89</v>
      </c>
      <c r="B30" t="s">
        <v>125</v>
      </c>
      <c r="D30" s="58">
        <v>16572.524022872374</v>
      </c>
      <c r="E30" s="58">
        <v>43800.969685223718</v>
      </c>
      <c r="F30" s="170">
        <v>0.53687000000000007</v>
      </c>
      <c r="G30" s="58">
        <v>21212.308600141867</v>
      </c>
      <c r="H30" s="170">
        <v>0.129129335053738</v>
      </c>
      <c r="I30" s="58">
        <v>81585.802308237951</v>
      </c>
      <c r="J30" s="58">
        <v>82686</v>
      </c>
      <c r="K30" s="58">
        <v>164271.80230823794</v>
      </c>
      <c r="L30" s="58">
        <v>90920</v>
      </c>
      <c r="M30" s="58">
        <v>20563</v>
      </c>
      <c r="N30" s="58">
        <v>57880.2</v>
      </c>
      <c r="O30" s="58">
        <v>556.12794082768937</v>
      </c>
      <c r="P30" s="2">
        <f>SUMIFS('Val-Vol (2)'!$I$4:$I$745,'Val-Vol (2)'!$V$4:$V$745,2016,'Val-Vol (2)'!$A$4:$A$745,A30,'Val-Vol (2)'!$E$4:$E$745,$P$2)</f>
        <v>52789</v>
      </c>
      <c r="Q30" s="2">
        <f t="shared" si="0"/>
        <v>164272</v>
      </c>
      <c r="R30" s="67">
        <v>2016</v>
      </c>
      <c r="S30" s="2">
        <f t="shared" si="1"/>
        <v>-0.19769176206318662</v>
      </c>
      <c r="T30">
        <f>VLOOKUP(A30,'Groupe de branches'!$Z$27:$AM$86,14,FALSE)</f>
        <v>0</v>
      </c>
      <c r="U30">
        <f>VLOOKUP(A30,'Groupe de branches'!$Z$27:$AM$86,14,FALSE)</f>
        <v>0</v>
      </c>
      <c r="V30" s="2"/>
      <c r="Y30">
        <f t="shared" si="2"/>
        <v>2.6217228464419474E-2</v>
      </c>
    </row>
    <row r="31" spans="1:25" x14ac:dyDescent="0.25">
      <c r="A31" s="29" t="s">
        <v>90</v>
      </c>
      <c r="B31" t="s">
        <v>125</v>
      </c>
      <c r="D31" s="58">
        <v>92103.450276953256</v>
      </c>
      <c r="E31" s="58">
        <v>416015.89416749118</v>
      </c>
      <c r="F31" s="170">
        <v>0.5731156058143021</v>
      </c>
      <c r="G31" s="58">
        <v>217765.43333333332</v>
      </c>
      <c r="H31" s="170">
        <v>0.24609932180220509</v>
      </c>
      <c r="I31" s="58">
        <v>725884.77777777775</v>
      </c>
      <c r="J31" s="58">
        <v>158983.29800000001</v>
      </c>
      <c r="K31" s="58">
        <v>884868.0757777777</v>
      </c>
      <c r="L31" s="58">
        <v>304764</v>
      </c>
      <c r="M31" s="58">
        <v>36605</v>
      </c>
      <c r="N31" s="58">
        <v>111288.3086</v>
      </c>
      <c r="O31" s="58">
        <v>4146.1580283477888</v>
      </c>
      <c r="P31" s="2">
        <f>SUMIFS('Val-Vol (2)'!$I$4:$I$745,'Val-Vol (2)'!$V$4:$V$745,2016,'Val-Vol (2)'!$A$4:$A$745,A31,'Val-Vol (2)'!$E$4:$E$745,$P$2)</f>
        <v>543498.55000000005</v>
      </c>
      <c r="Q31" s="2">
        <f t="shared" si="0"/>
        <v>884867.55</v>
      </c>
      <c r="R31" s="67">
        <v>2016</v>
      </c>
      <c r="S31" s="2">
        <f t="shared" si="1"/>
        <v>0.5257777776569128</v>
      </c>
      <c r="T31">
        <f>VLOOKUP(A31,'Groupe de branches'!$Z$27:$AM$86,14,FALSE)</f>
        <v>0</v>
      </c>
      <c r="U31">
        <f>VLOOKUP(A31,'Groupe de branches'!$Z$27:$AM$86,14,FALSE)</f>
        <v>0</v>
      </c>
      <c r="V31" s="2"/>
      <c r="Y31">
        <f t="shared" si="2"/>
        <v>1.9039559974613918E-2</v>
      </c>
    </row>
    <row r="32" spans="1:25" x14ac:dyDescent="0.25">
      <c r="A32" s="29" t="s">
        <v>15</v>
      </c>
      <c r="B32" t="s">
        <v>125</v>
      </c>
      <c r="D32" s="58">
        <v>179752.66319999998</v>
      </c>
      <c r="E32" s="58">
        <v>191637.13679999998</v>
      </c>
      <c r="F32" s="170">
        <v>0.30959999999999999</v>
      </c>
      <c r="G32" s="58">
        <v>247593.2</v>
      </c>
      <c r="H32" s="170">
        <v>0.35819524629823513</v>
      </c>
      <c r="I32" s="58">
        <v>618983</v>
      </c>
      <c r="J32" s="58">
        <v>72241.137000000002</v>
      </c>
      <c r="K32" s="58">
        <v>691224.13699999999</v>
      </c>
      <c r="L32" s="58">
        <v>76728</v>
      </c>
      <c r="M32" s="58">
        <v>6892</v>
      </c>
      <c r="N32" s="58">
        <v>18060.284250000001</v>
      </c>
      <c r="O32" s="58">
        <v>4676.7604444444441</v>
      </c>
      <c r="P32" s="2">
        <f>SUMIFS('Val-Vol (2)'!$I$4:$I$745,'Val-Vol (2)'!$V$4:$V$745,2016,'Val-Vol (2)'!$A$4:$A$745,A32,'Val-Vol (2)'!$E$4:$E$745,$P$2)</f>
        <v>607604</v>
      </c>
      <c r="Q32" s="2">
        <f t="shared" si="0"/>
        <v>691224</v>
      </c>
      <c r="R32" s="67">
        <v>2016</v>
      </c>
      <c r="S32" s="2">
        <f t="shared" si="1"/>
        <v>0.13699999998789281</v>
      </c>
      <c r="T32">
        <f>VLOOKUP(A32,'Groupe de branches'!$Z$27:$AM$86,14,FALSE)</f>
        <v>0</v>
      </c>
      <c r="U32">
        <f>VLOOKUP(A32,'Groupe de branches'!$Z$27:$AM$86,14,FALSE)</f>
        <v>0</v>
      </c>
      <c r="V32" s="2"/>
      <c r="Y32">
        <f t="shared" si="2"/>
        <v>1.8888888888888886E-2</v>
      </c>
    </row>
    <row r="33" spans="1:25" x14ac:dyDescent="0.25">
      <c r="A33" s="29" t="s">
        <v>16</v>
      </c>
      <c r="B33" t="s">
        <v>125</v>
      </c>
      <c r="D33" s="58">
        <v>151815.0816</v>
      </c>
      <c r="E33" s="58">
        <v>164466.33840000004</v>
      </c>
      <c r="F33" s="170">
        <v>0.32760000000000006</v>
      </c>
      <c r="G33" s="58">
        <v>185752.58</v>
      </c>
      <c r="H33" s="170">
        <v>0.29381426728092497</v>
      </c>
      <c r="I33" s="58">
        <v>502034</v>
      </c>
      <c r="J33" s="58">
        <v>130176.89200000001</v>
      </c>
      <c r="K33" s="58">
        <v>632210.89199999999</v>
      </c>
      <c r="L33" s="58">
        <v>143888</v>
      </c>
      <c r="M33" s="58">
        <v>32157</v>
      </c>
      <c r="N33" s="58">
        <v>34493.79595</v>
      </c>
      <c r="O33" s="58">
        <v>3753.0233658188731</v>
      </c>
      <c r="P33" s="2">
        <f>SUMIFS('Val-Vol (2)'!$I$4:$I$745,'Val-Vol (2)'!$V$4:$V$745,2016,'Val-Vol (2)'!$A$4:$A$745,A33,'Val-Vol (2)'!$E$4:$E$745,$P$2)</f>
        <v>456165.6</v>
      </c>
      <c r="Q33" s="2">
        <f t="shared" si="0"/>
        <v>632210.6</v>
      </c>
      <c r="R33" s="67">
        <v>2016</v>
      </c>
      <c r="S33" s="2">
        <f t="shared" si="1"/>
        <v>0.29200000001583248</v>
      </c>
      <c r="T33">
        <f>VLOOKUP(A33,'Groupe de branches'!$Z$27:$AM$86,14,FALSE)</f>
        <v>0</v>
      </c>
      <c r="U33">
        <f>VLOOKUP(A33,'Groupe de branches'!$Z$27:$AM$86,14,FALSE)</f>
        <v>0</v>
      </c>
      <c r="V33" s="2"/>
      <c r="Y33">
        <f t="shared" si="2"/>
        <v>2.0204421202757311E-2</v>
      </c>
    </row>
    <row r="34" spans="1:25" x14ac:dyDescent="0.25">
      <c r="A34" s="29" t="s">
        <v>91</v>
      </c>
      <c r="B34" t="s">
        <v>125</v>
      </c>
      <c r="D34" s="58">
        <v>581282.57558356028</v>
      </c>
      <c r="E34" s="58">
        <v>255441.28056643973</v>
      </c>
      <c r="F34" s="170">
        <v>0.19233108459143464</v>
      </c>
      <c r="G34" s="58">
        <v>491409.24884999997</v>
      </c>
      <c r="H34" s="170">
        <v>0.32013440767332696</v>
      </c>
      <c r="I34" s="58">
        <v>1328133.105</v>
      </c>
      <c r="J34" s="58">
        <v>206876.057</v>
      </c>
      <c r="K34" s="58">
        <v>1535009.162</v>
      </c>
      <c r="L34" s="58">
        <v>1415027</v>
      </c>
      <c r="M34" s="58">
        <v>99982</v>
      </c>
      <c r="N34" s="58">
        <v>196537.5287</v>
      </c>
      <c r="O34" s="58">
        <v>9803.6757875311723</v>
      </c>
      <c r="P34" s="2">
        <f>SUMIFS('Val-Vol (2)'!$I$4:$I$745,'Val-Vol (2)'!$V$4:$V$745,2016,'Val-Vol (2)'!$A$4:$A$745,A34,'Val-Vol (2)'!$E$4:$E$745,$P$2)</f>
        <v>20000</v>
      </c>
      <c r="Q34" s="2">
        <f t="shared" si="0"/>
        <v>1535009</v>
      </c>
      <c r="R34" s="67">
        <v>2016</v>
      </c>
      <c r="S34" s="2">
        <f t="shared" si="1"/>
        <v>0.16200000001117587</v>
      </c>
      <c r="T34">
        <f>VLOOKUP(A34,'Groupe de branches'!$Z$27:$AM$86,14,FALSE)</f>
        <v>0</v>
      </c>
      <c r="U34">
        <f>VLOOKUP(A34,'Groupe de branches'!$Z$27:$AM$86,14,FALSE)</f>
        <v>0</v>
      </c>
      <c r="V34" s="2"/>
      <c r="Y34">
        <f t="shared" si="2"/>
        <v>1.9950124688279305E-2</v>
      </c>
    </row>
    <row r="35" spans="1:25" x14ac:dyDescent="0.25">
      <c r="A35" s="29" t="s">
        <v>17</v>
      </c>
      <c r="B35" t="s">
        <v>125</v>
      </c>
      <c r="D35" s="58">
        <v>182069.353</v>
      </c>
      <c r="E35" s="58">
        <v>292056.04700000002</v>
      </c>
      <c r="F35" s="170">
        <v>0.43119232359202864</v>
      </c>
      <c r="G35" s="58">
        <v>203196.6</v>
      </c>
      <c r="H35" s="170">
        <v>0.28526348004806884</v>
      </c>
      <c r="I35" s="58">
        <v>677322</v>
      </c>
      <c r="J35" s="58">
        <v>34990</v>
      </c>
      <c r="K35" s="58">
        <v>712312</v>
      </c>
      <c r="L35" s="58">
        <v>379426</v>
      </c>
      <c r="M35" s="58">
        <v>329886</v>
      </c>
      <c r="N35" s="58">
        <v>33240.5</v>
      </c>
      <c r="O35" s="58">
        <v>2262.9585627232609</v>
      </c>
      <c r="P35" s="2">
        <f>SUMIFS('Val-Vol (2)'!$I$4:$I$745,'Val-Vol (2)'!$V$4:$V$745,2016,'Val-Vol (2)'!$A$4:$A$745,A35,'Val-Vol (2)'!$E$4:$E$745,$P$2)</f>
        <v>3000</v>
      </c>
      <c r="Q35" s="2">
        <f t="shared" si="0"/>
        <v>712312</v>
      </c>
      <c r="R35" s="67">
        <v>2016</v>
      </c>
      <c r="S35" s="2">
        <f t="shared" si="1"/>
        <v>0</v>
      </c>
      <c r="T35">
        <f>VLOOKUP(A35,'Groupe de branches'!$Z$27:$AM$86,14,FALSE)</f>
        <v>0</v>
      </c>
      <c r="U35">
        <f>VLOOKUP(A35,'Groupe de branches'!$Z$27:$AM$86,14,FALSE)</f>
        <v>0</v>
      </c>
      <c r="V35" s="2"/>
      <c r="Y35">
        <f t="shared" si="2"/>
        <v>1.1136793444000839E-2</v>
      </c>
    </row>
    <row r="36" spans="1:25" x14ac:dyDescent="0.25">
      <c r="A36" s="29" t="s">
        <v>18</v>
      </c>
      <c r="B36" t="s">
        <v>125</v>
      </c>
      <c r="D36" s="58">
        <v>4499.60034</v>
      </c>
      <c r="E36" s="58">
        <v>10499.067459999998</v>
      </c>
      <c r="F36" s="170">
        <v>0.42699999999999994</v>
      </c>
      <c r="G36" s="58">
        <v>9589.3122000000003</v>
      </c>
      <c r="H36" s="170">
        <v>0.25359864033875379</v>
      </c>
      <c r="I36" s="58">
        <v>24587.98</v>
      </c>
      <c r="J36" s="58">
        <v>13224.968000000001</v>
      </c>
      <c r="K36" s="58">
        <v>37812.948000000004</v>
      </c>
      <c r="L36" s="58">
        <v>613</v>
      </c>
      <c r="M36" s="58">
        <v>2200</v>
      </c>
      <c r="N36" s="58">
        <v>0</v>
      </c>
      <c r="O36" s="58">
        <v>179.16337019108281</v>
      </c>
      <c r="P36" s="2">
        <f>SUMIFS('Val-Vol (2)'!$I$4:$I$745,'Val-Vol (2)'!$V$4:$V$745,2016,'Val-Vol (2)'!$A$4:$A$745,A36,'Val-Vol (2)'!$E$4:$E$745,$P$2)</f>
        <v>35000</v>
      </c>
      <c r="Q36" s="2">
        <f t="shared" si="0"/>
        <v>37813</v>
      </c>
      <c r="R36" s="67">
        <v>2016</v>
      </c>
      <c r="S36" s="2">
        <f t="shared" si="1"/>
        <v>-5.1999999996041879E-2</v>
      </c>
      <c r="T36">
        <f>VLOOKUP(A36,'Groupe de branches'!$Z$27:$AM$86,14,FALSE)</f>
        <v>0</v>
      </c>
      <c r="U36">
        <f>VLOOKUP(A36,'Groupe de branches'!$Z$27:$AM$86,14,FALSE)</f>
        <v>0</v>
      </c>
      <c r="V36" s="2"/>
      <c r="Y36">
        <f t="shared" si="2"/>
        <v>1.8683651804670912E-2</v>
      </c>
    </row>
    <row r="37" spans="1:25" x14ac:dyDescent="0.25">
      <c r="A37" s="29" t="s">
        <v>92</v>
      </c>
      <c r="B37" t="s">
        <v>125</v>
      </c>
      <c r="D37" s="58">
        <v>46029.594375295543</v>
      </c>
      <c r="E37" s="58">
        <v>65350.518120330926</v>
      </c>
      <c r="F37" s="170">
        <v>0.3892892408700232</v>
      </c>
      <c r="G37" s="58">
        <v>56491.25732255535</v>
      </c>
      <c r="H37" s="170">
        <v>0.1507502289983168</v>
      </c>
      <c r="I37" s="58">
        <v>167871.36981818182</v>
      </c>
      <c r="J37" s="58">
        <v>206862.76954545453</v>
      </c>
      <c r="K37" s="58">
        <v>374734.13936363638</v>
      </c>
      <c r="L37" s="58">
        <v>367293</v>
      </c>
      <c r="M37" s="58">
        <v>7441</v>
      </c>
      <c r="N37" s="58">
        <v>206862.76954545453</v>
      </c>
      <c r="O37" s="58">
        <v>807.34168024394648</v>
      </c>
      <c r="P37" s="2">
        <f>SUMIFS('Val-Vol (2)'!$I$4:$I$745,'Val-Vol (2)'!$V$4:$V$745,2016,'Val-Vol (2)'!$A$4:$A$745,A37,'Val-Vol (2)'!$E$4:$E$745,$P$2)</f>
        <v>0</v>
      </c>
      <c r="Q37" s="2">
        <f t="shared" si="0"/>
        <v>374734</v>
      </c>
      <c r="R37" s="67">
        <v>2016</v>
      </c>
      <c r="S37" s="2">
        <f t="shared" si="1"/>
        <v>0.13936363637913018</v>
      </c>
      <c r="T37">
        <f>VLOOKUP(A37,'Groupe de branches'!$Z$27:$AM$86,14,FALSE)</f>
        <v>0</v>
      </c>
      <c r="U37">
        <f>VLOOKUP(A37,'Groupe de branches'!$Z$27:$AM$86,14,FALSE)</f>
        <v>0</v>
      </c>
      <c r="V37" s="2"/>
      <c r="Y37">
        <f t="shared" si="2"/>
        <v>1.4291444703277969E-2</v>
      </c>
    </row>
    <row r="38" spans="1:25" x14ac:dyDescent="0.25">
      <c r="A38" s="29" t="s">
        <v>93</v>
      </c>
      <c r="B38" t="s">
        <v>125</v>
      </c>
      <c r="D38" s="58">
        <v>45619.767599999999</v>
      </c>
      <c r="E38" s="58">
        <v>92621.952400000009</v>
      </c>
      <c r="F38" s="170">
        <v>0.39530000000000004</v>
      </c>
      <c r="G38" s="58">
        <v>96066.28</v>
      </c>
      <c r="H38" s="170">
        <v>0.23110502526749091</v>
      </c>
      <c r="I38" s="58">
        <v>234308</v>
      </c>
      <c r="J38" s="58">
        <v>181374.35</v>
      </c>
      <c r="K38" s="58">
        <v>415682.35</v>
      </c>
      <c r="L38" s="58">
        <v>357636</v>
      </c>
      <c r="M38" s="58">
        <v>58047</v>
      </c>
      <c r="N38" s="58">
        <v>181374.35</v>
      </c>
      <c r="O38" s="58">
        <v>1877.1571954022988</v>
      </c>
      <c r="P38" s="2">
        <f>SUMIFS('Val-Vol (2)'!$I$4:$I$745,'Val-Vol (2)'!$V$4:$V$745,2016,'Val-Vol (2)'!$A$4:$A$745,A38,'Val-Vol (2)'!$E$4:$E$745,$P$2)</f>
        <v>0</v>
      </c>
      <c r="Q38" s="2">
        <f t="shared" si="0"/>
        <v>415683</v>
      </c>
      <c r="R38" s="67">
        <v>2016</v>
      </c>
      <c r="S38" s="2">
        <f t="shared" si="1"/>
        <v>-0.65000000002328306</v>
      </c>
      <c r="T38">
        <f>VLOOKUP(A38,'Groupe de branches'!$Z$27:$AM$86,14,FALSE)</f>
        <v>0</v>
      </c>
      <c r="U38">
        <f>VLOOKUP(A38,'Groupe de branches'!$Z$27:$AM$86,14,FALSE)</f>
        <v>0</v>
      </c>
      <c r="V38" s="2"/>
      <c r="Y38">
        <f t="shared" si="2"/>
        <v>1.9540229885057471E-2</v>
      </c>
    </row>
    <row r="39" spans="1:25" x14ac:dyDescent="0.25">
      <c r="A39" s="29" t="s">
        <v>94</v>
      </c>
      <c r="B39" t="s">
        <v>125</v>
      </c>
      <c r="D39" s="58">
        <v>19807.886693096872</v>
      </c>
      <c r="E39" s="58">
        <v>217258.11330690313</v>
      </c>
      <c r="F39" s="170">
        <v>0.72419371102301033</v>
      </c>
      <c r="G39" s="58">
        <v>62934</v>
      </c>
      <c r="H39" s="170">
        <v>0.11687767156010774</v>
      </c>
      <c r="I39" s="58">
        <v>300000.00000000006</v>
      </c>
      <c r="J39" s="58">
        <v>238460.41899999999</v>
      </c>
      <c r="K39" s="58">
        <v>538460.41899999999</v>
      </c>
      <c r="L39" s="58">
        <v>472069</v>
      </c>
      <c r="M39" s="58">
        <v>65391</v>
      </c>
      <c r="N39" s="58">
        <v>237960.41899999999</v>
      </c>
      <c r="O39" s="58">
        <v>1019.4492440604753</v>
      </c>
      <c r="P39" s="2">
        <f>SUMIFS('Val-Vol (2)'!$I$4:$I$745,'Val-Vol (2)'!$V$4:$V$745,2016,'Val-Vol (2)'!$A$4:$A$745,A39,'Val-Vol (2)'!$E$4:$E$745,$P$2)</f>
        <v>1000</v>
      </c>
      <c r="Q39" s="2">
        <f t="shared" si="0"/>
        <v>538460</v>
      </c>
      <c r="R39" s="67">
        <v>2016</v>
      </c>
      <c r="S39" s="2">
        <f t="shared" si="1"/>
        <v>0.41899999999441206</v>
      </c>
      <c r="T39">
        <f>VLOOKUP(A39,'Groupe de branches'!$Z$27:$AM$86,14,FALSE)</f>
        <v>0</v>
      </c>
      <c r="U39">
        <f>VLOOKUP(A39,'Groupe de branches'!$Z$27:$AM$86,14,FALSE)</f>
        <v>0</v>
      </c>
      <c r="V39" s="2"/>
      <c r="Y39">
        <f t="shared" si="2"/>
        <v>1.6198704103671708E-2</v>
      </c>
    </row>
    <row r="40" spans="1:25" x14ac:dyDescent="0.25">
      <c r="A40" s="29" t="s">
        <v>95</v>
      </c>
      <c r="B40" t="s">
        <v>125</v>
      </c>
      <c r="D40" s="58">
        <v>280249.95736961445</v>
      </c>
      <c r="E40" s="58">
        <v>322330.04263038555</v>
      </c>
      <c r="F40" s="170">
        <v>0.44398077497298283</v>
      </c>
      <c r="G40" s="58">
        <v>123420.00000000001</v>
      </c>
      <c r="H40" s="170">
        <v>6.9977105256746663E-2</v>
      </c>
      <c r="I40" s="58">
        <v>726000</v>
      </c>
      <c r="J40" s="58">
        <v>1037719.7130000001</v>
      </c>
      <c r="K40" s="58">
        <v>1763719.713</v>
      </c>
      <c r="L40" s="58">
        <v>0</v>
      </c>
      <c r="M40" s="58">
        <v>377996</v>
      </c>
      <c r="N40" s="58">
        <v>0</v>
      </c>
      <c r="O40" s="58">
        <v>1091.8420005013049</v>
      </c>
      <c r="P40" s="2">
        <f>SUMIFS('Val-Vol (2)'!$I$4:$I$745,'Val-Vol (2)'!$V$4:$V$745,2016,'Val-Vol (2)'!$A$4:$A$745,A40,'Val-Vol (2)'!$E$4:$E$745,$P$2)</f>
        <v>1385723.307</v>
      </c>
      <c r="Q40" s="2">
        <f t="shared" si="0"/>
        <v>1763719.307</v>
      </c>
      <c r="R40" s="67">
        <v>2016</v>
      </c>
      <c r="S40" s="2">
        <f t="shared" si="1"/>
        <v>0.40599999995902181</v>
      </c>
      <c r="T40">
        <f>VLOOKUP(A40,'Groupe de branches'!$Z$27:$AM$86,14,FALSE)</f>
        <v>0</v>
      </c>
      <c r="U40">
        <f>VLOOKUP(A40,'Groupe de branches'!$Z$27:$AM$86,14,FALSE)</f>
        <v>0</v>
      </c>
      <c r="V40" s="2"/>
      <c r="Y40">
        <f t="shared" si="2"/>
        <v>8.8465564778909805E-3</v>
      </c>
    </row>
    <row r="41" spans="1:25" x14ac:dyDescent="0.25">
      <c r="A41" s="29" t="s">
        <v>96</v>
      </c>
      <c r="B41" t="s">
        <v>125</v>
      </c>
      <c r="D41" s="58">
        <v>1385723.307</v>
      </c>
      <c r="E41" s="58">
        <v>2652156.693</v>
      </c>
      <c r="F41" s="170">
        <v>0.49918251326933932</v>
      </c>
      <c r="G41" s="58">
        <v>1275120</v>
      </c>
      <c r="H41" s="170">
        <v>0.13660500943950288</v>
      </c>
      <c r="I41" s="58">
        <v>5313000</v>
      </c>
      <c r="J41" s="58">
        <v>4021357.5410000011</v>
      </c>
      <c r="K41" s="58">
        <v>9334357.5410000011</v>
      </c>
      <c r="L41" s="58">
        <v>3210293</v>
      </c>
      <c r="M41" s="58">
        <v>3614893</v>
      </c>
      <c r="N41" s="58">
        <v>2010678.7705000006</v>
      </c>
      <c r="O41" s="58">
        <v>15701.952459782391</v>
      </c>
      <c r="P41" s="2">
        <f>SUMIFS('Val-Vol (2)'!$I$4:$I$745,'Val-Vol (2)'!$V$4:$V$745,2016,'Val-Vol (2)'!$A$4:$A$745,A41,'Val-Vol (2)'!$E$4:$E$745,$P$2)</f>
        <v>2509171.6622159998</v>
      </c>
      <c r="Q41" s="2">
        <f t="shared" si="0"/>
        <v>9334357.6622160003</v>
      </c>
      <c r="R41" s="67">
        <v>2016</v>
      </c>
      <c r="S41" s="2">
        <f t="shared" si="1"/>
        <v>-0.12121599912643433</v>
      </c>
      <c r="T41">
        <f>VLOOKUP(A41,'Groupe de branches'!$Z$27:$AM$86,14,FALSE)</f>
        <v>0</v>
      </c>
      <c r="U41">
        <f>VLOOKUP(A41,'Groupe de branches'!$Z$27:$AM$86,14,FALSE)</f>
        <v>0</v>
      </c>
      <c r="V41" s="2"/>
      <c r="Y41">
        <f t="shared" si="2"/>
        <v>1.2314097857285896E-2</v>
      </c>
    </row>
    <row r="42" spans="1:25" x14ac:dyDescent="0.25">
      <c r="A42" s="29" t="s">
        <v>97</v>
      </c>
      <c r="B42" t="s">
        <v>125</v>
      </c>
      <c r="D42" s="58">
        <v>3509171.6567904898</v>
      </c>
      <c r="E42" s="58">
        <v>3222097.2752095107</v>
      </c>
      <c r="F42" s="170">
        <v>0.3351404887930578</v>
      </c>
      <c r="G42" s="58">
        <v>2882900</v>
      </c>
      <c r="H42" s="170">
        <v>0.21799131318522608</v>
      </c>
      <c r="I42" s="58">
        <v>9614168.932</v>
      </c>
      <c r="J42" s="58">
        <v>3610669.9750000001</v>
      </c>
      <c r="K42" s="58">
        <v>13224838.907</v>
      </c>
      <c r="L42" s="58">
        <v>10205876</v>
      </c>
      <c r="M42" s="58">
        <v>2018963</v>
      </c>
      <c r="N42" s="58">
        <v>2708002.4812500002</v>
      </c>
      <c r="O42" s="58">
        <v>41377.601235240691</v>
      </c>
      <c r="P42" s="2">
        <f>SUMIFS('Val-Vol (2)'!$I$4:$I$745,'Val-Vol (2)'!$V$4:$V$745,2016,'Val-Vol (2)'!$A$4:$A$745,A42,'Val-Vol (2)'!$E$4:$E$745,$P$2)</f>
        <v>1000000</v>
      </c>
      <c r="Q42" s="2">
        <f t="shared" si="0"/>
        <v>13224839</v>
      </c>
      <c r="R42" s="67">
        <v>2016</v>
      </c>
      <c r="S42" s="2">
        <f t="shared" si="1"/>
        <v>-9.3000000342726707E-2</v>
      </c>
      <c r="T42">
        <f>VLOOKUP(A42,'Groupe de branches'!$Z$27:$AM$86,14,FALSE)</f>
        <v>0</v>
      </c>
      <c r="U42">
        <f>VLOOKUP(A42,'Groupe de branches'!$Z$27:$AM$86,14,FALSE)</f>
        <v>0</v>
      </c>
      <c r="V42" s="2"/>
      <c r="Y42">
        <f t="shared" si="2"/>
        <v>1.4352770208901E-2</v>
      </c>
    </row>
    <row r="43" spans="1:25" x14ac:dyDescent="0.25">
      <c r="A43" s="29" t="s">
        <v>98</v>
      </c>
      <c r="B43" t="s">
        <v>125</v>
      </c>
      <c r="D43" s="58">
        <v>44532.871972318331</v>
      </c>
      <c r="E43" s="58">
        <v>77932.525951557065</v>
      </c>
      <c r="F43" s="170">
        <v>0.41999999999999993</v>
      </c>
      <c r="G43" s="58">
        <v>63088.235294117643</v>
      </c>
      <c r="H43" s="170">
        <v>0.29565217391304355</v>
      </c>
      <c r="I43" s="58">
        <v>185553.63321799305</v>
      </c>
      <c r="J43" s="58">
        <v>27833.044982698957</v>
      </c>
      <c r="K43" s="58">
        <v>213386.678200692</v>
      </c>
      <c r="L43" s="58">
        <v>213387</v>
      </c>
      <c r="M43" s="58">
        <v>0</v>
      </c>
      <c r="N43" s="58">
        <v>27833.044982698957</v>
      </c>
      <c r="O43" s="58">
        <v>330</v>
      </c>
      <c r="P43" s="2">
        <f>SUMIFS('Val-Vol (2)'!$I$4:$I$745,'Val-Vol (2)'!$V$4:$V$745,2016,'Val-Vol (2)'!$A$4:$A$745,A43,'Val-Vol (2)'!$E$4:$E$745,$P$2)</f>
        <v>0</v>
      </c>
      <c r="Q43" s="2">
        <f t="shared" si="0"/>
        <v>213387</v>
      </c>
      <c r="R43" s="67">
        <v>2016</v>
      </c>
      <c r="S43" s="2">
        <f t="shared" si="1"/>
        <v>-0.32179930800339207</v>
      </c>
      <c r="T43">
        <f>VLOOKUP(A43,'Groupe de branches'!$Z$27:$AM$86,14,FALSE)</f>
        <v>0</v>
      </c>
      <c r="U43">
        <f>VLOOKUP(A43,'Groupe de branches'!$Z$27:$AM$86,14,FALSE)</f>
        <v>0</v>
      </c>
      <c r="V43" s="2"/>
      <c r="Y43">
        <f t="shared" si="2"/>
        <v>5.2307692307692307E-3</v>
      </c>
    </row>
    <row r="44" spans="1:25" x14ac:dyDescent="0.25">
      <c r="A44" s="29" t="s">
        <v>99</v>
      </c>
      <c r="B44" t="s">
        <v>125</v>
      </c>
      <c r="D44" s="58">
        <v>654613.67350526119</v>
      </c>
      <c r="E44" s="58">
        <v>1584286.6705747391</v>
      </c>
      <c r="F44" s="170">
        <v>0.48118038788077833</v>
      </c>
      <c r="G44" s="58">
        <v>1053600.1619200001</v>
      </c>
      <c r="H44" s="170">
        <v>0.15792152024767273</v>
      </c>
      <c r="I44" s="58">
        <v>3292500.5060000005</v>
      </c>
      <c r="J44" s="58">
        <v>3379168.8160000001</v>
      </c>
      <c r="K44" s="58">
        <v>6671669.3220000006</v>
      </c>
      <c r="L44" s="58">
        <v>5650985</v>
      </c>
      <c r="M44" s="58">
        <v>965684</v>
      </c>
      <c r="N44" s="58">
        <v>3341998.1278400002</v>
      </c>
      <c r="O44" s="58">
        <v>21018.852118101357</v>
      </c>
      <c r="P44" s="2">
        <f>SUMIFS('Val-Vol (2)'!$I$4:$I$745,'Val-Vol (2)'!$V$4:$V$745,2016,'Val-Vol (2)'!$A$4:$A$745,A44,'Val-Vol (2)'!$E$4:$E$745,$P$2)</f>
        <v>55000</v>
      </c>
      <c r="Q44" s="2">
        <f t="shared" si="0"/>
        <v>6671669</v>
      </c>
      <c r="R44" s="67">
        <v>2016</v>
      </c>
      <c r="S44" s="2">
        <f t="shared" si="1"/>
        <v>0.32200000062584877</v>
      </c>
      <c r="T44">
        <f>VLOOKUP(A44,'Groupe de branches'!$Z$27:$AM$86,14,FALSE)</f>
        <v>0</v>
      </c>
      <c r="U44">
        <f>VLOOKUP(A44,'Groupe de branches'!$Z$27:$AM$86,14,FALSE)</f>
        <v>0</v>
      </c>
      <c r="V44" s="2"/>
      <c r="Y44">
        <f t="shared" si="2"/>
        <v>1.9949552854849808E-2</v>
      </c>
    </row>
    <row r="45" spans="1:25" x14ac:dyDescent="0.25">
      <c r="A45" s="29" t="s">
        <v>100</v>
      </c>
      <c r="B45" t="s">
        <v>125</v>
      </c>
      <c r="D45" s="58">
        <v>80193.509554000004</v>
      </c>
      <c r="E45" s="58">
        <v>193784.855626</v>
      </c>
      <c r="F45" s="170">
        <v>0.43852590480706516</v>
      </c>
      <c r="G45" s="58">
        <v>167922.22382000001</v>
      </c>
      <c r="H45" s="170">
        <v>0.21031934984687098</v>
      </c>
      <c r="I45" s="58">
        <v>441900.58900000004</v>
      </c>
      <c r="J45" s="58">
        <v>356514.88700000005</v>
      </c>
      <c r="K45" s="58">
        <v>798415.47600000002</v>
      </c>
      <c r="L45" s="58">
        <v>696763</v>
      </c>
      <c r="M45" s="58">
        <v>101653</v>
      </c>
      <c r="N45" s="68">
        <v>356514.88700000005</v>
      </c>
      <c r="O45" s="58">
        <v>2216.5733544240006</v>
      </c>
      <c r="P45" s="2">
        <f>SUMIFS('Val-Vol (2)'!$I$4:$I$745,'Val-Vol (2)'!$V$4:$V$745,2016,'Val-Vol (2)'!$A$4:$A$745,A45,'Val-Vol (2)'!$E$4:$E$745,$P$2)</f>
        <v>0</v>
      </c>
      <c r="Q45" s="2">
        <f t="shared" si="0"/>
        <v>798416</v>
      </c>
      <c r="R45" s="67">
        <v>2016</v>
      </c>
      <c r="S45" s="2">
        <f t="shared" si="1"/>
        <v>-0.52399999997578561</v>
      </c>
      <c r="T45">
        <f>VLOOKUP(A45,'Groupe de branches'!$Z$27:$AM$86,14,FALSE)</f>
        <v>0</v>
      </c>
      <c r="U45">
        <f>VLOOKUP(A45,'Groupe de branches'!$Z$27:$AM$86,14,FALSE)</f>
        <v>0</v>
      </c>
      <c r="V45" s="2"/>
      <c r="Y45">
        <f t="shared" si="2"/>
        <v>1.3200000000000003E-2</v>
      </c>
    </row>
    <row r="46" spans="1:25" x14ac:dyDescent="0.25">
      <c r="A46" s="29" t="s">
        <v>101</v>
      </c>
      <c r="B46" t="s">
        <v>125</v>
      </c>
      <c r="D46" s="58">
        <v>311814.72324988438</v>
      </c>
      <c r="E46" s="58">
        <v>1068630.346900966</v>
      </c>
      <c r="F46" s="170">
        <v>0.5728489121412853</v>
      </c>
      <c r="G46" s="58">
        <v>485021.24086381227</v>
      </c>
      <c r="H46" s="170">
        <v>0.26</v>
      </c>
      <c r="I46" s="58">
        <v>1865466.3110146625</v>
      </c>
      <c r="J46" s="58">
        <v>0</v>
      </c>
      <c r="K46" s="58">
        <v>1865466.3110146625</v>
      </c>
      <c r="L46" s="58">
        <v>1865466</v>
      </c>
      <c r="M46" s="58">
        <v>0</v>
      </c>
      <c r="N46" s="58">
        <v>0</v>
      </c>
      <c r="O46" s="58">
        <v>3171.0245652394565</v>
      </c>
      <c r="P46" s="2">
        <f>SUMIFS('Val-Vol (2)'!$I$4:$I$745,'Val-Vol (2)'!$V$4:$V$745,2016,'Val-Vol (2)'!$A$4:$A$745,A46,'Val-Vol (2)'!$E$4:$E$745,$P$2)</f>
        <v>0</v>
      </c>
      <c r="Q46" s="2">
        <f t="shared" si="0"/>
        <v>1865466</v>
      </c>
      <c r="R46" s="67">
        <v>2016</v>
      </c>
      <c r="S46" s="2">
        <f t="shared" si="1"/>
        <v>0.31101466249674559</v>
      </c>
      <c r="T46">
        <f>VLOOKUP(A46,'Groupe de branches'!$Z$27:$AM$86,14,FALSE)</f>
        <v>1</v>
      </c>
      <c r="U46">
        <f>VLOOKUP(A46,'Groupe de branches'!$Z$27:$AM$86,14,FALSE)</f>
        <v>1</v>
      </c>
      <c r="V46" s="2"/>
      <c r="Y46">
        <f t="shared" si="2"/>
        <v>6.5379086482726624E-3</v>
      </c>
    </row>
    <row r="47" spans="1:25" x14ac:dyDescent="0.25">
      <c r="A47" s="29" t="s">
        <v>102</v>
      </c>
      <c r="B47" t="s">
        <v>125</v>
      </c>
      <c r="D47" s="58">
        <v>12000</v>
      </c>
      <c r="E47" s="58">
        <v>103241.93999999999</v>
      </c>
      <c r="F47" s="170">
        <v>0.49272918348996897</v>
      </c>
      <c r="G47" s="58">
        <v>94288.86</v>
      </c>
      <c r="H47" s="170">
        <v>0.45</v>
      </c>
      <c r="I47" s="58">
        <v>209530.8</v>
      </c>
      <c r="J47" s="58">
        <v>0</v>
      </c>
      <c r="K47" s="58">
        <v>209530.8</v>
      </c>
      <c r="L47" s="58">
        <v>78305</v>
      </c>
      <c r="M47" s="58">
        <v>47400</v>
      </c>
      <c r="N47" s="58">
        <v>0</v>
      </c>
      <c r="O47" s="58">
        <v>1860.2937243243241</v>
      </c>
      <c r="P47" s="2">
        <f>SUMIFS('Val-Vol (2)'!$I$4:$I$745,'Val-Vol (2)'!$V$4:$V$745,2016,'Val-Vol (2)'!$A$4:$A$745,A47,'Val-Vol (2)'!$E$4:$E$745,$P$2)</f>
        <v>83826</v>
      </c>
      <c r="Q47" s="2">
        <f t="shared" si="0"/>
        <v>209531</v>
      </c>
      <c r="R47" s="67">
        <v>2016</v>
      </c>
      <c r="S47" s="2">
        <f t="shared" si="1"/>
        <v>-0.20000000001164153</v>
      </c>
      <c r="T47">
        <f>VLOOKUP(A47,'Groupe de branches'!$Z$27:$AM$86,14,FALSE)</f>
        <v>0</v>
      </c>
      <c r="U47">
        <f>VLOOKUP(A47,'Groupe de branches'!$Z$27:$AM$86,14,FALSE)</f>
        <v>0</v>
      </c>
      <c r="V47" s="2"/>
      <c r="Y47">
        <f t="shared" si="2"/>
        <v>1.9729729729729726E-2</v>
      </c>
    </row>
    <row r="48" spans="1:25" x14ac:dyDescent="0.25">
      <c r="A48" s="29" t="s">
        <v>103</v>
      </c>
      <c r="B48" t="s">
        <v>112</v>
      </c>
      <c r="D48" s="58">
        <v>0</v>
      </c>
      <c r="E48" s="58">
        <v>1445555.0000000002</v>
      </c>
      <c r="F48" s="170">
        <v>0.87081888800869889</v>
      </c>
      <c r="G48" s="58">
        <v>214440.00000000003</v>
      </c>
      <c r="H48" s="170">
        <v>0.12918111199130117</v>
      </c>
      <c r="I48" s="58">
        <v>1659995.0000000002</v>
      </c>
      <c r="J48" s="58">
        <v>0</v>
      </c>
      <c r="K48" s="58">
        <v>1659995.0000000002</v>
      </c>
      <c r="L48" s="58">
        <v>1659995</v>
      </c>
      <c r="M48" s="58">
        <v>0</v>
      </c>
      <c r="N48" s="58">
        <v>0</v>
      </c>
      <c r="O48" s="58">
        <v>929.55000000000007</v>
      </c>
      <c r="P48" s="2">
        <f>SUMIFS('Val-Vol (2)'!$I$4:$I$745,'Val-Vol (2)'!$V$4:$V$745,2016,'Val-Vol (2)'!$A$4:$A$745,A48,'Val-Vol (2)'!$E$4:$E$745,$P$2)</f>
        <v>0</v>
      </c>
      <c r="Q48" s="2">
        <f t="shared" si="0"/>
        <v>1659995</v>
      </c>
      <c r="R48" s="67">
        <v>2016</v>
      </c>
      <c r="S48" s="2">
        <f t="shared" si="1"/>
        <v>0</v>
      </c>
      <c r="T48">
        <f>VLOOKUP(A48,'Groupe de branches'!$Z$27:$AM$86,14,FALSE)</f>
        <v>0</v>
      </c>
      <c r="U48">
        <f>VLOOKUP(A48,'Groupe de branches'!$Z$27:$AM$86,14,FALSE)</f>
        <v>0</v>
      </c>
      <c r="V48" s="2"/>
      <c r="Y48">
        <f t="shared" si="2"/>
        <v>4.3347789591494119E-3</v>
      </c>
    </row>
    <row r="49" spans="1:31" x14ac:dyDescent="0.25">
      <c r="A49" s="29" t="s">
        <v>19</v>
      </c>
      <c r="B49" t="s">
        <v>126</v>
      </c>
      <c r="D49" s="58">
        <v>213252.08761460913</v>
      </c>
      <c r="E49" s="58">
        <v>140578.93376600699</v>
      </c>
      <c r="F49" s="170">
        <v>0.28092831356373033</v>
      </c>
      <c r="G49" s="58">
        <v>146577.54186701751</v>
      </c>
      <c r="H49" s="170">
        <v>0.29291573452647279</v>
      </c>
      <c r="I49" s="58">
        <v>500408.56324763363</v>
      </c>
      <c r="J49" s="58">
        <v>0</v>
      </c>
      <c r="K49" s="58">
        <v>500408.56324763363</v>
      </c>
      <c r="L49" s="58">
        <v>500409</v>
      </c>
      <c r="M49" s="58">
        <v>0</v>
      </c>
      <c r="N49" s="58">
        <v>0</v>
      </c>
      <c r="O49" s="58">
        <v>2393.8292011019284</v>
      </c>
      <c r="P49" s="2">
        <f>SUMIFS('Val-Vol (2)'!$I$4:$I$745,'Val-Vol (2)'!$V$4:$V$745,2016,'Val-Vol (2)'!$A$4:$A$745,A49,'Val-Vol (2)'!$E$4:$E$745,$P$2)</f>
        <v>0</v>
      </c>
      <c r="Q49" s="2">
        <f t="shared" si="0"/>
        <v>500409</v>
      </c>
      <c r="R49" s="67">
        <v>2016</v>
      </c>
      <c r="S49" s="2">
        <f t="shared" si="1"/>
        <v>-0.43675236636772752</v>
      </c>
      <c r="T49">
        <f>VLOOKUP(A49,'Groupe de branches'!$Z$27:$AM$86,14,FALSE)</f>
        <v>0</v>
      </c>
      <c r="U49">
        <f>VLOOKUP(A49,'Groupe de branches'!$Z$27:$AM$86,14,FALSE)</f>
        <v>0</v>
      </c>
      <c r="V49" s="2"/>
      <c r="Y49">
        <f t="shared" si="2"/>
        <v>1.6331486874529049E-2</v>
      </c>
    </row>
    <row r="50" spans="1:31" x14ac:dyDescent="0.25">
      <c r="A50" s="29" t="s">
        <v>20</v>
      </c>
      <c r="B50" t="s">
        <v>126</v>
      </c>
      <c r="D50" s="58">
        <v>35755.295885999461</v>
      </c>
      <c r="E50" s="58">
        <v>18619.985214256427</v>
      </c>
      <c r="F50" s="170">
        <v>0.21398840136289646</v>
      </c>
      <c r="G50" s="58">
        <v>32638.711694051482</v>
      </c>
      <c r="H50" s="170">
        <v>0.37509727626459144</v>
      </c>
      <c r="I50" s="58">
        <v>87013.992794307371</v>
      </c>
      <c r="J50" s="58">
        <v>0</v>
      </c>
      <c r="K50" s="58">
        <v>87013.992794307371</v>
      </c>
      <c r="L50" s="58">
        <v>87014</v>
      </c>
      <c r="M50" s="58">
        <v>0</v>
      </c>
      <c r="N50" s="58">
        <v>0</v>
      </c>
      <c r="O50" s="58">
        <v>484.43001443001435</v>
      </c>
      <c r="P50" s="2">
        <f>SUMIFS('Val-Vol (2)'!$I$4:$I$745,'Val-Vol (2)'!$V$4:$V$745,2016,'Val-Vol (2)'!$A$4:$A$745,A50,'Val-Vol (2)'!$E$4:$E$745,$P$2)</f>
        <v>0</v>
      </c>
      <c r="Q50" s="2">
        <f t="shared" si="0"/>
        <v>87014</v>
      </c>
      <c r="R50" s="67">
        <v>2016</v>
      </c>
      <c r="S50" s="2">
        <f t="shared" si="1"/>
        <v>-7.2056926292134449E-3</v>
      </c>
      <c r="T50">
        <f>VLOOKUP(A50,'Groupe de branches'!$Z$27:$AM$86,14,FALSE)</f>
        <v>0</v>
      </c>
      <c r="U50">
        <f>VLOOKUP(A50,'Groupe de branches'!$Z$27:$AM$86,14,FALSE)</f>
        <v>0</v>
      </c>
      <c r="V50" s="2"/>
      <c r="Y50">
        <f t="shared" si="2"/>
        <v>1.4842191657898782E-2</v>
      </c>
    </row>
    <row r="51" spans="1:31" x14ac:dyDescent="0.25">
      <c r="A51" s="29" t="s">
        <v>21</v>
      </c>
      <c r="B51" t="s">
        <v>126</v>
      </c>
      <c r="D51" s="58">
        <v>2269643.9028110448</v>
      </c>
      <c r="E51" s="58">
        <v>6210119.7289873194</v>
      </c>
      <c r="F51" s="170">
        <v>0.46438451698377142</v>
      </c>
      <c r="G51" s="58">
        <v>4893033.0525586652</v>
      </c>
      <c r="H51" s="170">
        <v>0.36589452214452212</v>
      </c>
      <c r="I51" s="58">
        <v>13372796.68435703</v>
      </c>
      <c r="J51" s="58">
        <v>0</v>
      </c>
      <c r="K51" s="58">
        <v>13372796.68435703</v>
      </c>
      <c r="L51" s="58">
        <v>13372797</v>
      </c>
      <c r="M51" s="58">
        <v>0</v>
      </c>
      <c r="N51" s="58">
        <v>0</v>
      </c>
      <c r="O51" s="58">
        <v>74674.522743986105</v>
      </c>
      <c r="P51" s="2">
        <f>SUMIFS('Val-Vol (2)'!$I$4:$I$745,'Val-Vol (2)'!$V$4:$V$745,2016,'Val-Vol (2)'!$A$4:$A$745,A51,'Val-Vol (2)'!$E$4:$E$745,$P$2)</f>
        <v>0</v>
      </c>
      <c r="Q51" s="2">
        <f t="shared" si="0"/>
        <v>13372797</v>
      </c>
      <c r="R51" s="67">
        <v>2016</v>
      </c>
      <c r="S51" s="2">
        <f t="shared" si="1"/>
        <v>-0.31564296968281269</v>
      </c>
      <c r="T51">
        <f>VLOOKUP(A51,'Groupe de branches'!$Z$27:$AM$86,14,FALSE)</f>
        <v>0</v>
      </c>
      <c r="U51">
        <f>VLOOKUP(A51,'Groupe de branches'!$Z$27:$AM$86,14,FALSE)</f>
        <v>0</v>
      </c>
      <c r="V51" s="2"/>
      <c r="Y51">
        <f t="shared" si="2"/>
        <v>1.5261397571172609E-2</v>
      </c>
    </row>
    <row r="52" spans="1:31" x14ac:dyDescent="0.25">
      <c r="A52" s="29" t="s">
        <v>22</v>
      </c>
      <c r="B52" t="s">
        <v>126</v>
      </c>
      <c r="D52" s="58">
        <v>620302.98339434678</v>
      </c>
      <c r="E52" s="58">
        <v>887253.89005521673</v>
      </c>
      <c r="F52" s="170">
        <v>0.44227152713134049</v>
      </c>
      <c r="G52" s="58">
        <v>498572.47385461134</v>
      </c>
      <c r="H52" s="170">
        <v>0.24852459016393447</v>
      </c>
      <c r="I52" s="58">
        <v>2006129.3473041747</v>
      </c>
      <c r="J52" s="58">
        <v>0</v>
      </c>
      <c r="K52" s="58">
        <v>2006129.3473041747</v>
      </c>
      <c r="L52" s="58">
        <v>2006129</v>
      </c>
      <c r="M52" s="58">
        <v>0</v>
      </c>
      <c r="N52" s="58">
        <v>0</v>
      </c>
      <c r="O52" s="58">
        <v>7240.3312353576739</v>
      </c>
      <c r="P52" s="2">
        <f>SUMIFS('Val-Vol (2)'!$I$4:$I$745,'Val-Vol (2)'!$V$4:$V$745,2016,'Val-Vol (2)'!$A$4:$A$745,A52,'Val-Vol (2)'!$E$4:$E$745,$P$2)</f>
        <v>0</v>
      </c>
      <c r="Q52" s="2">
        <f t="shared" si="0"/>
        <v>2006129</v>
      </c>
      <c r="R52" s="67">
        <v>2016</v>
      </c>
      <c r="S52" s="2">
        <f t="shared" si="1"/>
        <v>0.34730417467653751</v>
      </c>
      <c r="T52">
        <f>VLOOKUP(A52,'Groupe de branches'!$Z$27:$AM$86,14,FALSE)</f>
        <v>0</v>
      </c>
      <c r="U52">
        <f>VLOOKUP(A52,'Groupe de branches'!$Z$27:$AM$86,14,FALSE)</f>
        <v>0</v>
      </c>
      <c r="V52" s="2"/>
      <c r="Y52">
        <f t="shared" si="2"/>
        <v>1.4522123893805309E-2</v>
      </c>
      <c r="AE52" s="2"/>
    </row>
    <row r="53" spans="1:31" x14ac:dyDescent="0.25">
      <c r="A53" s="29" t="s">
        <v>23</v>
      </c>
      <c r="B53" t="s">
        <v>126</v>
      </c>
      <c r="D53" s="58">
        <v>153922.4832903202</v>
      </c>
      <c r="E53" s="58">
        <v>79113.699832179584</v>
      </c>
      <c r="F53" s="170">
        <v>0.21541816109750839</v>
      </c>
      <c r="G53" s="58">
        <v>134220.22380768938</v>
      </c>
      <c r="H53" s="170">
        <v>0.36546734454438795</v>
      </c>
      <c r="I53" s="58">
        <v>367256.40693018917</v>
      </c>
      <c r="J53" s="58">
        <v>0</v>
      </c>
      <c r="K53" s="58">
        <v>367256.40693018917</v>
      </c>
      <c r="L53" s="58">
        <v>367256</v>
      </c>
      <c r="M53" s="58">
        <v>0</v>
      </c>
      <c r="N53" s="58">
        <v>0</v>
      </c>
      <c r="O53" s="58">
        <v>2092.2268595041323</v>
      </c>
      <c r="P53" s="2">
        <f>SUMIFS('Val-Vol (2)'!$I$4:$I$745,'Val-Vol (2)'!$V$4:$V$745,2016,'Val-Vol (2)'!$A$4:$A$745,A53,'Val-Vol (2)'!$E$4:$E$745,$P$2)</f>
        <v>0</v>
      </c>
      <c r="Q53" s="2">
        <f t="shared" si="0"/>
        <v>367256</v>
      </c>
      <c r="R53" s="67">
        <v>2016</v>
      </c>
      <c r="S53" s="2">
        <f t="shared" si="1"/>
        <v>0.40693018917227164</v>
      </c>
      <c r="T53">
        <f>VLOOKUP(A53,'Groupe de branches'!$Z$27:$AM$86,14,FALSE)</f>
        <v>0</v>
      </c>
      <c r="U53">
        <f>VLOOKUP(A53,'Groupe de branches'!$Z$27:$AM$86,14,FALSE)</f>
        <v>0</v>
      </c>
      <c r="V53" s="2"/>
      <c r="Y53">
        <f t="shared" si="2"/>
        <v>1.5588014981273412E-2</v>
      </c>
    </row>
    <row r="54" spans="1:31" x14ac:dyDescent="0.25">
      <c r="A54" s="29" t="s">
        <v>24</v>
      </c>
      <c r="B54" t="s">
        <v>126</v>
      </c>
      <c r="D54" s="58">
        <v>1862196.5537474968</v>
      </c>
      <c r="E54" s="58">
        <v>1523123.4458750968</v>
      </c>
      <c r="F54" s="170">
        <v>0.27469835650674324</v>
      </c>
      <c r="G54" s="58">
        <v>2159392.6271444596</v>
      </c>
      <c r="H54" s="170">
        <v>0.3894507745487133</v>
      </c>
      <c r="I54" s="58">
        <v>5544712.6267670533</v>
      </c>
      <c r="J54" s="58">
        <v>0</v>
      </c>
      <c r="K54" s="58">
        <v>5544712.6267670533</v>
      </c>
      <c r="L54" s="58">
        <v>5544713</v>
      </c>
      <c r="M54" s="58">
        <v>0</v>
      </c>
      <c r="N54" s="58">
        <v>0</v>
      </c>
      <c r="O54" s="58">
        <v>36803.376116677078</v>
      </c>
      <c r="P54" s="2">
        <f>SUMIFS('Val-Vol (2)'!$I$4:$I$745,'Val-Vol (2)'!$V$4:$V$745,2016,'Val-Vol (2)'!$A$4:$A$745,A54,'Val-Vol (2)'!$E$4:$E$745,$P$2)</f>
        <v>0</v>
      </c>
      <c r="Q54" s="2">
        <f t="shared" si="0"/>
        <v>5544713</v>
      </c>
      <c r="R54" s="67">
        <v>2016</v>
      </c>
      <c r="S54" s="2">
        <f t="shared" si="1"/>
        <v>-0.37323294673115015</v>
      </c>
      <c r="T54">
        <f>VLOOKUP(A54,'Groupe de branches'!$Z$27:$AM$86,14,FALSE)</f>
        <v>0</v>
      </c>
      <c r="U54">
        <f>VLOOKUP(A54,'Groupe de branches'!$Z$27:$AM$86,14,FALSE)</f>
        <v>0</v>
      </c>
      <c r="V54" s="2"/>
      <c r="Y54">
        <f t="shared" si="2"/>
        <v>1.704339250493097E-2</v>
      </c>
    </row>
    <row r="55" spans="1:31" x14ac:dyDescent="0.25">
      <c r="A55" s="29" t="s">
        <v>25</v>
      </c>
      <c r="B55" t="s">
        <v>126</v>
      </c>
      <c r="D55" s="58">
        <v>155890.85202609014</v>
      </c>
      <c r="E55" s="58">
        <v>321493.67052029102</v>
      </c>
      <c r="F55" s="170">
        <v>0.39636120193551921</v>
      </c>
      <c r="G55" s="58">
        <v>333728.34357261955</v>
      </c>
      <c r="H55" s="170">
        <v>0.41144501278772377</v>
      </c>
      <c r="I55" s="58">
        <v>811112.86611900071</v>
      </c>
      <c r="J55" s="58">
        <v>0</v>
      </c>
      <c r="K55" s="58">
        <v>811112.86611900071</v>
      </c>
      <c r="L55" s="58">
        <v>811113</v>
      </c>
      <c r="M55" s="58">
        <v>0</v>
      </c>
      <c r="N55" s="58">
        <v>0</v>
      </c>
      <c r="O55" s="58">
        <v>5495.0649350649355</v>
      </c>
      <c r="P55" s="2">
        <f>SUMIFS('Val-Vol (2)'!$I$4:$I$745,'Val-Vol (2)'!$V$4:$V$745,2016,'Val-Vol (2)'!$A$4:$A$745,A55,'Val-Vol (2)'!$E$4:$E$745,$P$2)</f>
        <v>0</v>
      </c>
      <c r="Q55" s="2">
        <f t="shared" si="0"/>
        <v>811113</v>
      </c>
      <c r="R55" s="67">
        <v>2016</v>
      </c>
      <c r="S55" s="2">
        <f t="shared" si="1"/>
        <v>-0.13388099928852171</v>
      </c>
      <c r="T55">
        <f>VLOOKUP(A55,'Groupe de branches'!$Z$27:$AM$86,14,FALSE)</f>
        <v>0</v>
      </c>
      <c r="U55">
        <f>VLOOKUP(A55,'Groupe de branches'!$Z$27:$AM$86,14,FALSE)</f>
        <v>0</v>
      </c>
      <c r="V55" s="2"/>
      <c r="Y55">
        <f t="shared" si="2"/>
        <v>1.6465682465682467E-2</v>
      </c>
    </row>
    <row r="56" spans="1:31" x14ac:dyDescent="0.25">
      <c r="A56" s="29" t="s">
        <v>26</v>
      </c>
      <c r="B56" t="s">
        <v>126</v>
      </c>
      <c r="D56" s="58">
        <v>48574.761311897186</v>
      </c>
      <c r="E56" s="58">
        <v>131304.84576720186</v>
      </c>
      <c r="F56" s="170">
        <v>0.47715644453030553</v>
      </c>
      <c r="G56" s="58">
        <v>95302.353203242514</v>
      </c>
      <c r="H56" s="170">
        <v>0.34632485757954701</v>
      </c>
      <c r="I56" s="58">
        <v>275181.96028234158</v>
      </c>
      <c r="J56" s="58">
        <v>0</v>
      </c>
      <c r="K56" s="58">
        <v>275181.96028234158</v>
      </c>
      <c r="L56" s="58">
        <v>275182</v>
      </c>
      <c r="M56" s="58">
        <v>0</v>
      </c>
      <c r="N56" s="58">
        <v>0</v>
      </c>
      <c r="O56" s="58">
        <v>1616.1157024793388</v>
      </c>
      <c r="P56" s="2">
        <f>SUMIFS('Val-Vol (2)'!$I$4:$I$745,'Val-Vol (2)'!$V$4:$V$745,2016,'Val-Vol (2)'!$A$4:$A$745,A56,'Val-Vol (2)'!$E$4:$E$745,$P$2)</f>
        <v>0</v>
      </c>
      <c r="Q56" s="2">
        <f t="shared" si="0"/>
        <v>275182</v>
      </c>
      <c r="R56" s="67">
        <v>2016</v>
      </c>
      <c r="S56" s="2">
        <f t="shared" si="1"/>
        <v>-3.9717658422887325E-2</v>
      </c>
      <c r="T56">
        <f>VLOOKUP(A56,'Groupe de branches'!$Z$27:$AM$86,14,FALSE)</f>
        <v>0</v>
      </c>
      <c r="U56">
        <f>VLOOKUP(A56,'Groupe de branches'!$Z$27:$AM$86,14,FALSE)</f>
        <v>0</v>
      </c>
      <c r="V56" s="2"/>
      <c r="Y56">
        <f t="shared" si="2"/>
        <v>1.6957773319959877E-2</v>
      </c>
    </row>
    <row r="57" spans="1:31" x14ac:dyDescent="0.25">
      <c r="A57" s="29" t="s">
        <v>27</v>
      </c>
      <c r="B57" t="s">
        <v>126</v>
      </c>
      <c r="D57" s="58">
        <v>0</v>
      </c>
      <c r="E57" s="58">
        <v>905975.88304628711</v>
      </c>
      <c r="F57" s="170">
        <v>0.60594936389125109</v>
      </c>
      <c r="G57" s="58">
        <v>589158.75531415746</v>
      </c>
      <c r="H57" s="170">
        <v>0.39405063610874896</v>
      </c>
      <c r="I57" s="58">
        <v>1495134.6383604445</v>
      </c>
      <c r="J57" s="58">
        <v>0</v>
      </c>
      <c r="K57" s="58">
        <v>1495134.6383604445</v>
      </c>
      <c r="L57" s="58">
        <v>1495135</v>
      </c>
      <c r="M57" s="58">
        <v>0</v>
      </c>
      <c r="N57" s="58">
        <v>0</v>
      </c>
      <c r="O57" s="58">
        <v>8712.2507122507104</v>
      </c>
      <c r="P57" s="2">
        <f>SUMIFS('Val-Vol (2)'!$I$4:$I$745,'Val-Vol (2)'!$V$4:$V$745,2016,'Val-Vol (2)'!$A$4:$A$745,A57,'Val-Vol (2)'!$E$4:$E$745,$P$2)</f>
        <v>0</v>
      </c>
      <c r="Q57" s="2">
        <f t="shared" si="0"/>
        <v>1495135</v>
      </c>
      <c r="R57" s="67">
        <v>2016</v>
      </c>
      <c r="S57" s="2">
        <f t="shared" si="1"/>
        <v>-0.36163955554366112</v>
      </c>
      <c r="T57">
        <f>VLOOKUP(A57,'Groupe de branches'!$Z$27:$AM$86,14,FALSE)</f>
        <v>1</v>
      </c>
      <c r="U57">
        <f>VLOOKUP(A57,'Groupe de branches'!$Z$27:$AM$86,14,FALSE)</f>
        <v>1</v>
      </c>
      <c r="V57" s="2"/>
      <c r="Y57">
        <f t="shared" si="2"/>
        <v>1.4787611375825302E-2</v>
      </c>
    </row>
    <row r="58" spans="1:31" x14ac:dyDescent="0.25">
      <c r="A58" s="29" t="s">
        <v>104</v>
      </c>
      <c r="B58" t="s">
        <v>112</v>
      </c>
      <c r="D58" s="58">
        <v>0</v>
      </c>
      <c r="E58" s="58">
        <v>0</v>
      </c>
      <c r="F58" s="170">
        <v>0</v>
      </c>
      <c r="G58" s="58">
        <v>1589234.7</v>
      </c>
      <c r="H58" s="170">
        <v>1</v>
      </c>
      <c r="I58" s="58">
        <v>1589234.7</v>
      </c>
      <c r="J58" s="58">
        <v>0</v>
      </c>
      <c r="K58" s="58">
        <v>1589234.7</v>
      </c>
      <c r="L58" s="58">
        <v>317847</v>
      </c>
      <c r="M58" s="58">
        <v>0</v>
      </c>
      <c r="N58" s="58">
        <v>0</v>
      </c>
      <c r="O58" s="58">
        <v>12986.950665395949</v>
      </c>
      <c r="P58" s="2">
        <f>SUMIFS('Val-Vol (2)'!$I$4:$I$745,'Val-Vol (2)'!$V$4:$V$745,2016,'Val-Vol (2)'!$A$4:$A$745,A58,'Val-Vol (2)'!$E$4:$E$745,$P$2)</f>
        <v>1271387.7599999991</v>
      </c>
      <c r="Q58" s="2">
        <f>P58+M58+L58</f>
        <v>1589234.7599999991</v>
      </c>
      <c r="R58" s="67">
        <v>2016</v>
      </c>
      <c r="S58" s="2">
        <f t="shared" si="1"/>
        <v>-5.999999912455678E-2</v>
      </c>
      <c r="T58">
        <f>VLOOKUP(A58,'Groupe de branches'!$Z$27:$AM$86,14,FALSE)</f>
        <v>0</v>
      </c>
      <c r="U58">
        <f>VLOOKUP(A58,'Groupe de branches'!$Z$27:$AM$86,14,FALSE)</f>
        <v>0</v>
      </c>
      <c r="V58" s="2"/>
      <c r="Y58">
        <f t="shared" si="2"/>
        <v>8.1718267700774151E-3</v>
      </c>
    </row>
    <row r="59" spans="1:31" x14ac:dyDescent="0.25">
      <c r="A59" s="29" t="s">
        <v>105</v>
      </c>
      <c r="B59" t="s">
        <v>112</v>
      </c>
      <c r="D59" s="58">
        <v>0</v>
      </c>
      <c r="E59" s="58">
        <v>0</v>
      </c>
      <c r="F59" s="170">
        <v>0</v>
      </c>
      <c r="G59" s="58">
        <v>2008880</v>
      </c>
      <c r="H59" s="170">
        <v>1</v>
      </c>
      <c r="I59" s="58">
        <v>2008880</v>
      </c>
      <c r="J59" s="58">
        <v>0</v>
      </c>
      <c r="K59" s="58">
        <v>2008880</v>
      </c>
      <c r="L59" s="58">
        <v>1816028</v>
      </c>
      <c r="M59" s="58">
        <v>0</v>
      </c>
      <c r="N59" s="58">
        <v>0</v>
      </c>
      <c r="O59" s="58">
        <v>37522.226870581733</v>
      </c>
      <c r="P59" s="2">
        <f>SUMIFS('Val-Vol (2)'!$I$4:$I$745,'Val-Vol (2)'!$V$4:$V$745,2016,'Val-Vol (2)'!$A$4:$A$745,A59,'Val-Vol (2)'!$E$4:$E$745,$P$2)</f>
        <v>192852.47999999986</v>
      </c>
      <c r="Q59" s="2">
        <f t="shared" si="0"/>
        <v>2008880.48</v>
      </c>
      <c r="R59" s="67">
        <v>2016</v>
      </c>
      <c r="S59" s="2">
        <f t="shared" si="1"/>
        <v>-0.47999999998137355</v>
      </c>
      <c r="T59">
        <f>VLOOKUP(A59,'Groupe de branches'!$Z$27:$AM$86,14,FALSE)</f>
        <v>0</v>
      </c>
      <c r="U59">
        <f>VLOOKUP(A59,'Groupe de branches'!$Z$27:$AM$86,14,FALSE)</f>
        <v>0</v>
      </c>
      <c r="V59" s="2"/>
      <c r="Y59">
        <f t="shared" si="2"/>
        <v>1.8678182305852879E-2</v>
      </c>
    </row>
    <row r="60" spans="1:31" x14ac:dyDescent="0.25">
      <c r="A60" s="29" t="s">
        <v>106</v>
      </c>
      <c r="B60" t="s">
        <v>125</v>
      </c>
      <c r="D60" s="58">
        <v>0</v>
      </c>
      <c r="E60" s="58">
        <v>197911.34574053553</v>
      </c>
      <c r="F60" s="170">
        <v>0.48900000000000005</v>
      </c>
      <c r="G60" s="58">
        <v>206815.33266546758</v>
      </c>
      <c r="H60" s="170">
        <v>0.51100000000000001</v>
      </c>
      <c r="I60" s="58">
        <v>404726.67840600311</v>
      </c>
      <c r="J60" s="58">
        <v>0</v>
      </c>
      <c r="K60" s="58">
        <v>404726.67840600311</v>
      </c>
      <c r="L60" s="58">
        <v>0</v>
      </c>
      <c r="M60" s="58">
        <v>38222</v>
      </c>
      <c r="N60" s="58">
        <v>0</v>
      </c>
      <c r="O60" s="58">
        <v>2731.1085059262923</v>
      </c>
      <c r="P60" s="2">
        <f>SUMIFS('Val-Vol (2)'!$I$4:$I$745,'Val-Vol (2)'!$V$4:$V$745,2016,'Val-Vol (2)'!$A$4:$A$745,A60,'Val-Vol (2)'!$E$4:$E$745,$P$2)</f>
        <v>366489.02931824385</v>
      </c>
      <c r="Q60" s="2">
        <f t="shared" si="0"/>
        <v>404711.02931824385</v>
      </c>
      <c r="R60" s="67">
        <v>2016</v>
      </c>
      <c r="S60" s="2">
        <f t="shared" si="1"/>
        <v>15.649087759258691</v>
      </c>
      <c r="T60">
        <f>VLOOKUP(A60,'Groupe de branches'!$Z$27:$AM$86,14,FALSE)</f>
        <v>0</v>
      </c>
      <c r="U60">
        <f>VLOOKUP(A60,'Groupe de branches'!$Z$27:$AM$86,14,FALSE)</f>
        <v>0</v>
      </c>
      <c r="V60" s="2"/>
      <c r="Y60">
        <f t="shared" si="2"/>
        <v>1.3205541730041719E-2</v>
      </c>
    </row>
    <row r="61" spans="1:31" ht="15.75" thickBot="1" x14ac:dyDescent="0.3">
      <c r="A61" s="29" t="s">
        <v>107</v>
      </c>
      <c r="B61" t="s">
        <v>112</v>
      </c>
      <c r="D61" s="58">
        <v>0</v>
      </c>
      <c r="E61" s="58">
        <v>0</v>
      </c>
      <c r="F61" s="170">
        <v>0</v>
      </c>
      <c r="G61" s="58">
        <v>646496.6960545294</v>
      </c>
      <c r="H61" s="170">
        <v>1</v>
      </c>
      <c r="I61" s="58">
        <v>646496.6960545294</v>
      </c>
      <c r="J61" s="58">
        <v>0</v>
      </c>
      <c r="K61" s="58">
        <v>646496.6960545294</v>
      </c>
      <c r="L61" s="58">
        <v>646497</v>
      </c>
      <c r="M61" s="58">
        <v>0</v>
      </c>
      <c r="N61" s="58">
        <v>0</v>
      </c>
      <c r="O61" s="58">
        <v>10774.944934242158</v>
      </c>
      <c r="P61" s="2">
        <f>SUMIFS('Val-Vol (2)'!$I$4:$I$745,'Val-Vol (2)'!$V$4:$V$745,2016,'Val-Vol (2)'!$A$4:$A$745,A61,'Val-Vol (2)'!$E$4:$E$745,$P$2)</f>
        <v>0</v>
      </c>
      <c r="Q61" s="2">
        <f t="shared" si="0"/>
        <v>646497</v>
      </c>
      <c r="R61" s="67">
        <v>2016</v>
      </c>
      <c r="S61" s="2">
        <f t="shared" si="1"/>
        <v>-0.30394547060132027</v>
      </c>
      <c r="T61">
        <f>VLOOKUP(A61,'Groupe de branches'!$Z$27:$AM$86,14,FALSE)</f>
        <v>0</v>
      </c>
      <c r="U61">
        <f>VLOOKUP(A61,'Groupe de branches'!$Z$27:$AM$86,14,FALSE)</f>
        <v>0</v>
      </c>
      <c r="V61" s="2"/>
      <c r="Y61">
        <f t="shared" si="2"/>
        <v>1.6666666666666666E-2</v>
      </c>
    </row>
    <row r="62" spans="1:31" s="2" customFormat="1" x14ac:dyDescent="0.25">
      <c r="A62" s="24" t="s">
        <v>80</v>
      </c>
      <c r="B62" t="s">
        <v>125</v>
      </c>
      <c r="C62"/>
      <c r="D62" s="51">
        <v>0</v>
      </c>
      <c r="E62" s="51">
        <v>13272.87238283541</v>
      </c>
      <c r="F62" s="171">
        <v>0.48</v>
      </c>
      <c r="G62" s="51">
        <v>14378.945081405031</v>
      </c>
      <c r="H62" s="171">
        <v>0.52</v>
      </c>
      <c r="I62" s="51">
        <v>27651.817464240441</v>
      </c>
      <c r="J62" s="51">
        <v>9136.5720000000001</v>
      </c>
      <c r="K62" s="51">
        <v>36788.389464240441</v>
      </c>
      <c r="L62" s="51">
        <v>2635.5175915322757</v>
      </c>
      <c r="M62" s="51">
        <v>3598.6490000000003</v>
      </c>
      <c r="N62" s="51">
        <v>1377.087598347352</v>
      </c>
      <c r="O62" s="51">
        <v>185.39001663961744</v>
      </c>
      <c r="P62" s="51">
        <v>30554.221424619172</v>
      </c>
      <c r="Q62" s="51">
        <v>36788.388016151446</v>
      </c>
      <c r="R62" s="67">
        <v>2017</v>
      </c>
      <c r="S62" s="2">
        <f t="shared" si="1"/>
        <v>1.4480889949481934E-3</v>
      </c>
      <c r="T62">
        <f>VLOOKUP(A62,'Groupe de branches'!$Z$27:$AM$86,14,FALSE)</f>
        <v>0</v>
      </c>
      <c r="U62">
        <f>VLOOKUP(A62,'Groupe de branches'!$Z$27:$AM$86,14,FALSE)</f>
        <v>0</v>
      </c>
      <c r="V62" s="117"/>
    </row>
    <row r="63" spans="1:31" x14ac:dyDescent="0.25">
      <c r="A63" s="29" t="s">
        <v>0</v>
      </c>
      <c r="B63" t="s">
        <v>125</v>
      </c>
      <c r="D63" s="51">
        <v>459032.42520683142</v>
      </c>
      <c r="E63" s="51">
        <v>0</v>
      </c>
      <c r="F63" s="171">
        <v>0</v>
      </c>
      <c r="G63" s="51">
        <v>699805.07401046879</v>
      </c>
      <c r="H63" s="171">
        <v>0.60388542352411778</v>
      </c>
      <c r="I63" s="51">
        <v>1158837.4992173002</v>
      </c>
      <c r="J63" s="51">
        <v>49226.018000000004</v>
      </c>
      <c r="K63" s="51">
        <v>1208063.5171391212</v>
      </c>
      <c r="L63" s="51">
        <v>497.59579682359538</v>
      </c>
      <c r="M63" s="51">
        <v>153143.18000000002</v>
      </c>
      <c r="N63" s="51">
        <v>0</v>
      </c>
      <c r="O63" s="51">
        <v>5464.1879568199192</v>
      </c>
      <c r="P63" s="51">
        <v>1054422.7523955479</v>
      </c>
      <c r="Q63" s="51">
        <v>1208063.5281923714</v>
      </c>
      <c r="R63" s="67">
        <v>2017</v>
      </c>
      <c r="S63" s="2">
        <f t="shared" si="1"/>
        <v>-1.1053250171244144E-2</v>
      </c>
      <c r="T63">
        <f>VLOOKUP(A63,'Groupe de branches'!$Z$27:$AM$86,14,FALSE)</f>
        <v>0</v>
      </c>
      <c r="U63">
        <f>VLOOKUP(A63,'Groupe de branches'!$Z$27:$AM$86,14,FALSE)</f>
        <v>0</v>
      </c>
      <c r="V63" s="117"/>
      <c r="W63" s="2"/>
      <c r="X63" s="2"/>
    </row>
    <row r="64" spans="1:31" x14ac:dyDescent="0.25">
      <c r="A64" s="29" t="s">
        <v>1</v>
      </c>
      <c r="B64" t="s">
        <v>125</v>
      </c>
      <c r="D64" s="51">
        <v>0</v>
      </c>
      <c r="E64" s="51">
        <v>0</v>
      </c>
      <c r="F64" s="171">
        <v>0</v>
      </c>
      <c r="G64" s="51">
        <v>190963.94280338107</v>
      </c>
      <c r="H64" s="171">
        <v>1</v>
      </c>
      <c r="I64" s="51">
        <v>190963.94280338107</v>
      </c>
      <c r="J64" s="51">
        <v>65973.763000000021</v>
      </c>
      <c r="K64" s="51">
        <v>256937.7058033811</v>
      </c>
      <c r="L64" s="51">
        <v>0</v>
      </c>
      <c r="M64" s="51">
        <v>133606.09099999999</v>
      </c>
      <c r="N64" s="51">
        <v>0</v>
      </c>
      <c r="O64" s="51">
        <v>0</v>
      </c>
      <c r="P64" s="51">
        <v>123331.63587337638</v>
      </c>
      <c r="Q64" s="51">
        <v>256937.72687337635</v>
      </c>
      <c r="R64" s="67">
        <v>2017</v>
      </c>
      <c r="S64" s="2">
        <f t="shared" si="1"/>
        <v>-2.1069995244033635E-2</v>
      </c>
      <c r="T64">
        <f>VLOOKUP(A64,'Groupe de branches'!$Z$27:$AM$86,14,FALSE)</f>
        <v>0</v>
      </c>
      <c r="U64">
        <f>VLOOKUP(A64,'Groupe de branches'!$Z$27:$AM$86,14,FALSE)</f>
        <v>0</v>
      </c>
      <c r="V64" s="117"/>
      <c r="W64" s="2"/>
      <c r="X64" s="2"/>
    </row>
    <row r="65" spans="1:24" x14ac:dyDescent="0.25">
      <c r="A65" s="29" t="s">
        <v>2</v>
      </c>
      <c r="B65" t="s">
        <v>125</v>
      </c>
      <c r="D65" s="51">
        <v>152931.47446512469</v>
      </c>
      <c r="E65" s="51">
        <v>0</v>
      </c>
      <c r="F65" s="171">
        <v>0</v>
      </c>
      <c r="G65" s="51">
        <v>152538.71893272651</v>
      </c>
      <c r="H65" s="171">
        <v>0.49935712953196937</v>
      </c>
      <c r="I65" s="51">
        <v>305470.1933978512</v>
      </c>
      <c r="J65" s="51">
        <v>11746.664000000001</v>
      </c>
      <c r="K65" s="51">
        <v>317216.85731813184</v>
      </c>
      <c r="L65" s="51">
        <v>242761.15671615605</v>
      </c>
      <c r="M65" s="51">
        <v>18624.806</v>
      </c>
      <c r="N65" s="51">
        <v>11746.664000000001</v>
      </c>
      <c r="O65" s="51">
        <v>4121.7626372616087</v>
      </c>
      <c r="P65" s="51">
        <v>55830.895519925849</v>
      </c>
      <c r="Q65" s="51">
        <v>317216.8582360819</v>
      </c>
      <c r="R65" s="67">
        <v>2017</v>
      </c>
      <c r="S65" s="2">
        <f t="shared" si="1"/>
        <v>-9.1795006301254034E-4</v>
      </c>
      <c r="T65">
        <f>VLOOKUP(A65,'Groupe de branches'!$Z$27:$AM$86,14,FALSE)</f>
        <v>0</v>
      </c>
      <c r="U65">
        <f>VLOOKUP(A65,'Groupe de branches'!$Z$27:$AM$86,14,FALSE)</f>
        <v>0</v>
      </c>
      <c r="V65" s="117"/>
      <c r="W65" s="2"/>
      <c r="X65" s="2"/>
    </row>
    <row r="66" spans="1:24" x14ac:dyDescent="0.25">
      <c r="A66" s="29" t="s">
        <v>81</v>
      </c>
      <c r="B66" t="s">
        <v>125</v>
      </c>
      <c r="D66" s="51">
        <v>17469.272455876697</v>
      </c>
      <c r="E66" s="51">
        <v>293154.57260357717</v>
      </c>
      <c r="F66" s="171">
        <v>0.25943537616965312</v>
      </c>
      <c r="G66" s="51">
        <v>819347.62194616348</v>
      </c>
      <c r="H66" s="171">
        <v>0.72510470031372065</v>
      </c>
      <c r="I66" s="51">
        <v>1129971.4670056175</v>
      </c>
      <c r="J66" s="51">
        <v>0</v>
      </c>
      <c r="K66" s="51">
        <v>1129971.4670039797</v>
      </c>
      <c r="L66" s="51">
        <v>23.84581412919044</v>
      </c>
      <c r="M66" s="51">
        <v>73003.324749834894</v>
      </c>
      <c r="N66" s="51">
        <v>0</v>
      </c>
      <c r="O66" s="51">
        <v>21735.768364179079</v>
      </c>
      <c r="P66" s="51">
        <v>1056944.2987793635</v>
      </c>
      <c r="Q66" s="51">
        <v>1129971.4693433275</v>
      </c>
      <c r="R66" s="67">
        <v>2017</v>
      </c>
      <c r="S66" s="2">
        <f t="shared" si="1"/>
        <v>-2.3393477313220501E-3</v>
      </c>
      <c r="T66">
        <f>VLOOKUP(A66,'Groupe de branches'!$Z$27:$AM$86,14,FALSE)</f>
        <v>0</v>
      </c>
      <c r="U66">
        <f>VLOOKUP(A66,'Groupe de branches'!$Z$27:$AM$86,14,FALSE)</f>
        <v>0</v>
      </c>
      <c r="V66" s="117"/>
      <c r="W66" s="2"/>
      <c r="X66" s="2"/>
    </row>
    <row r="67" spans="1:24" x14ac:dyDescent="0.25">
      <c r="A67" s="29" t="s">
        <v>3</v>
      </c>
      <c r="B67" t="s">
        <v>125</v>
      </c>
      <c r="D67" s="51">
        <v>181148.83929039026</v>
      </c>
      <c r="E67" s="51">
        <v>14395.798230446639</v>
      </c>
      <c r="F67" s="171">
        <v>5.8811010985391099E-2</v>
      </c>
      <c r="G67" s="51">
        <v>49236.024964673103</v>
      </c>
      <c r="H67" s="171">
        <v>0.20114344190725308</v>
      </c>
      <c r="I67" s="51">
        <v>244780.66248550999</v>
      </c>
      <c r="J67" s="51">
        <v>0</v>
      </c>
      <c r="K67" s="51">
        <v>244780.66235022453</v>
      </c>
      <c r="L67" s="51">
        <v>0</v>
      </c>
      <c r="M67" s="51">
        <v>18250.831187458727</v>
      </c>
      <c r="N67" s="51">
        <v>0</v>
      </c>
      <c r="O67" s="51">
        <v>1012.7945640885471</v>
      </c>
      <c r="P67" s="51">
        <v>226529.83543159362</v>
      </c>
      <c r="Q67" s="51">
        <v>244780.66661905235</v>
      </c>
      <c r="R67" s="67">
        <v>2017</v>
      </c>
      <c r="S67" s="2">
        <f t="shared" si="1"/>
        <v>-4.2688278190325946E-3</v>
      </c>
      <c r="T67">
        <f>VLOOKUP(A67,'Groupe de branches'!$Z$27:$AM$86,14,FALSE)</f>
        <v>0</v>
      </c>
      <c r="U67">
        <f>VLOOKUP(A67,'Groupe de branches'!$Z$27:$AM$86,14,FALSE)</f>
        <v>0</v>
      </c>
      <c r="V67" s="117"/>
      <c r="W67" s="2"/>
      <c r="X67" s="2"/>
    </row>
    <row r="68" spans="1:24" x14ac:dyDescent="0.25">
      <c r="A68" s="29" t="s">
        <v>59</v>
      </c>
      <c r="B68" t="s">
        <v>125</v>
      </c>
      <c r="D68" s="51">
        <v>0</v>
      </c>
      <c r="E68" s="51">
        <v>0</v>
      </c>
      <c r="F68" s="171">
        <v>0.3333336694878577</v>
      </c>
      <c r="G68" s="51">
        <v>0</v>
      </c>
      <c r="H68" s="171">
        <v>0.3333336694878577</v>
      </c>
      <c r="I68" s="51">
        <v>0</v>
      </c>
      <c r="J68" s="51">
        <v>55189.048999999999</v>
      </c>
      <c r="K68" s="51">
        <v>55192.048999999999</v>
      </c>
      <c r="L68" s="51">
        <v>53731.726999999999</v>
      </c>
      <c r="M68" s="51">
        <v>1460.3220000000001</v>
      </c>
      <c r="N68" s="51">
        <v>53728.726999999999</v>
      </c>
      <c r="O68" s="51">
        <v>0</v>
      </c>
      <c r="P68" s="51">
        <v>0</v>
      </c>
      <c r="Q68" s="51">
        <v>55192.048999999999</v>
      </c>
      <c r="R68" s="67">
        <v>2017</v>
      </c>
      <c r="S68" s="2">
        <f t="shared" si="1"/>
        <v>0</v>
      </c>
      <c r="T68">
        <f>VLOOKUP(A68,'Groupe de branches'!$Z$27:$AM$86,14,FALSE)</f>
        <v>0</v>
      </c>
      <c r="U68">
        <f>VLOOKUP(A68,'Groupe de branches'!$Z$27:$AM$86,14,FALSE)</f>
        <v>0</v>
      </c>
      <c r="V68" s="117"/>
      <c r="W68" s="2"/>
      <c r="X68" s="2"/>
    </row>
    <row r="69" spans="1:24" x14ac:dyDescent="0.25">
      <c r="A69" s="29" t="s">
        <v>4</v>
      </c>
      <c r="B69" t="s">
        <v>125</v>
      </c>
      <c r="D69" s="51">
        <v>281293.7927771199</v>
      </c>
      <c r="E69" s="51">
        <v>74856.467014852606</v>
      </c>
      <c r="F69" s="171">
        <v>0.15470151746669619</v>
      </c>
      <c r="G69" s="51">
        <v>127726.48712466675</v>
      </c>
      <c r="H69" s="171">
        <v>0.26396492069223376</v>
      </c>
      <c r="I69" s="51">
        <v>483876.74691663927</v>
      </c>
      <c r="J69" s="51">
        <v>29925.383000000002</v>
      </c>
      <c r="K69" s="51">
        <v>513802.12934971147</v>
      </c>
      <c r="L69" s="51">
        <v>86720.397165084243</v>
      </c>
      <c r="M69" s="51">
        <v>126611.693</v>
      </c>
      <c r="N69" s="51">
        <v>1419.1748304187736</v>
      </c>
      <c r="O69" s="51">
        <v>2016.7340072315803</v>
      </c>
      <c r="P69" s="51">
        <v>300470.04832916666</v>
      </c>
      <c r="Q69" s="51">
        <v>513802.13849425095</v>
      </c>
      <c r="R69" s="67">
        <v>2017</v>
      </c>
      <c r="S69" s="2">
        <f t="shared" si="1"/>
        <v>-9.1445394791662693E-3</v>
      </c>
      <c r="T69">
        <f>VLOOKUP(A69,'Groupe de branches'!$Z$27:$AM$86,14,FALSE)</f>
        <v>0</v>
      </c>
      <c r="U69">
        <f>VLOOKUP(A69,'Groupe de branches'!$Z$27:$AM$86,14,FALSE)</f>
        <v>0</v>
      </c>
      <c r="V69" s="117"/>
      <c r="W69" s="2"/>
      <c r="X69" s="2"/>
    </row>
    <row r="70" spans="1:24" x14ac:dyDescent="0.25">
      <c r="A70" s="29" t="s">
        <v>5</v>
      </c>
      <c r="B70" t="s">
        <v>125</v>
      </c>
      <c r="D70" s="51">
        <v>53930.203664430788</v>
      </c>
      <c r="E70" s="51">
        <v>16860.497931972423</v>
      </c>
      <c r="F70" s="171">
        <v>0.1744867017015837</v>
      </c>
      <c r="G70" s="51">
        <v>25838.426970701748</v>
      </c>
      <c r="H70" s="171">
        <v>0.26739790944878516</v>
      </c>
      <c r="I70" s="51">
        <v>96629.128567104955</v>
      </c>
      <c r="J70" s="51">
        <v>24675.313999999998</v>
      </c>
      <c r="K70" s="51">
        <v>121304.44241642718</v>
      </c>
      <c r="L70" s="51">
        <v>1636.0804640023414</v>
      </c>
      <c r="M70" s="51">
        <v>35430.048999999999</v>
      </c>
      <c r="N70" s="51">
        <v>736.26297852760524</v>
      </c>
      <c r="O70" s="51">
        <v>407.97516269529075</v>
      </c>
      <c r="P70" s="51">
        <v>84238.337869080045</v>
      </c>
      <c r="Q70" s="51">
        <v>121304.46733308239</v>
      </c>
      <c r="R70" s="67">
        <v>2017</v>
      </c>
      <c r="S70" s="2">
        <f t="shared" ref="S70:S133" si="3">K70-Q70</f>
        <v>-2.4916655209381133E-2</v>
      </c>
      <c r="T70">
        <f>VLOOKUP(A70,'Groupe de branches'!$Z$27:$AM$86,14,FALSE)</f>
        <v>0</v>
      </c>
      <c r="U70">
        <f>VLOOKUP(A70,'Groupe de branches'!$Z$27:$AM$86,14,FALSE)</f>
        <v>0</v>
      </c>
      <c r="V70" s="117"/>
      <c r="W70" s="2"/>
      <c r="X70" s="2"/>
    </row>
    <row r="71" spans="1:24" x14ac:dyDescent="0.25">
      <c r="A71" s="29" t="s">
        <v>82</v>
      </c>
      <c r="B71" t="s">
        <v>125</v>
      </c>
      <c r="D71" s="51">
        <v>45984.909602922678</v>
      </c>
      <c r="E71" s="51">
        <v>8817.0395708795586</v>
      </c>
      <c r="F71" s="171">
        <v>0.10381241929710308</v>
      </c>
      <c r="G71" s="51">
        <v>30130.46672189012</v>
      </c>
      <c r="H71" s="171">
        <v>0.35475814980812631</v>
      </c>
      <c r="I71" s="51">
        <v>84932.415895692364</v>
      </c>
      <c r="J71" s="51">
        <v>14820.455</v>
      </c>
      <c r="K71" s="51">
        <v>99752.87076522097</v>
      </c>
      <c r="L71" s="51">
        <v>1571.8543588619161</v>
      </c>
      <c r="M71" s="51">
        <v>15594.365000000002</v>
      </c>
      <c r="N71" s="51">
        <v>0</v>
      </c>
      <c r="O71" s="51">
        <v>475.74421139826507</v>
      </c>
      <c r="P71" s="51">
        <v>82586.674618160017</v>
      </c>
      <c r="Q71" s="51">
        <v>99752.893977021944</v>
      </c>
      <c r="R71" s="67">
        <v>2017</v>
      </c>
      <c r="S71" s="2">
        <f t="shared" si="3"/>
        <v>-2.3211800973513164E-2</v>
      </c>
      <c r="T71">
        <f>VLOOKUP(A71,'Groupe de branches'!$Z$27:$AM$86,14,FALSE)</f>
        <v>0</v>
      </c>
      <c r="U71">
        <f>VLOOKUP(A71,'Groupe de branches'!$Z$27:$AM$86,14,FALSE)</f>
        <v>0</v>
      </c>
      <c r="V71" s="117"/>
      <c r="W71" s="2"/>
      <c r="X71" s="2"/>
    </row>
    <row r="72" spans="1:24" x14ac:dyDescent="0.25">
      <c r="A72" s="29" t="s">
        <v>6</v>
      </c>
      <c r="B72" t="s">
        <v>125</v>
      </c>
      <c r="D72" s="51">
        <v>9004.7048100962784</v>
      </c>
      <c r="E72" s="51">
        <v>1888.4288862688707</v>
      </c>
      <c r="F72" s="171">
        <v>0.12478880047557162</v>
      </c>
      <c r="G72" s="51">
        <v>4239.8660525870446</v>
      </c>
      <c r="H72" s="171">
        <v>0.28017353617418861</v>
      </c>
      <c r="I72" s="51">
        <v>15132.999748952194</v>
      </c>
      <c r="J72" s="51">
        <v>58005.591999999997</v>
      </c>
      <c r="K72" s="51">
        <v>73138.591701063327</v>
      </c>
      <c r="L72" s="51">
        <v>971.3036122604999</v>
      </c>
      <c r="M72" s="51">
        <v>3809.2260000000001</v>
      </c>
      <c r="N72" s="51">
        <v>572.71222229706416</v>
      </c>
      <c r="O72" s="51">
        <v>66.945253461900705</v>
      </c>
      <c r="P72" s="51">
        <v>68358.51340575052</v>
      </c>
      <c r="Q72" s="51">
        <v>73139.043018011012</v>
      </c>
      <c r="R72" s="67">
        <v>2017</v>
      </c>
      <c r="S72" s="2">
        <f t="shared" si="3"/>
        <v>-0.45131694768497255</v>
      </c>
      <c r="T72">
        <f>VLOOKUP(A72,'Groupe de branches'!$Z$27:$AM$86,14,FALSE)</f>
        <v>0</v>
      </c>
      <c r="U72">
        <f>VLOOKUP(A72,'Groupe de branches'!$Z$27:$AM$86,14,FALSE)</f>
        <v>0</v>
      </c>
      <c r="V72" s="117"/>
      <c r="W72" s="2"/>
      <c r="X72" s="2"/>
    </row>
    <row r="73" spans="1:24" x14ac:dyDescent="0.25">
      <c r="A73" s="29" t="s">
        <v>7</v>
      </c>
      <c r="B73" t="s">
        <v>125</v>
      </c>
      <c r="D73" s="51">
        <v>482749.26341364486</v>
      </c>
      <c r="E73" s="51">
        <v>62131.021754963702</v>
      </c>
      <c r="F73" s="171">
        <v>8.6670177359191983E-2</v>
      </c>
      <c r="G73" s="51">
        <v>171987.0808397785</v>
      </c>
      <c r="H73" s="171">
        <v>0.23991478618621664</v>
      </c>
      <c r="I73" s="51">
        <v>716867.36600838706</v>
      </c>
      <c r="J73" s="51">
        <v>291924.40600000002</v>
      </c>
      <c r="K73" s="51">
        <v>1008791.7713725686</v>
      </c>
      <c r="L73" s="51">
        <v>91435.768376502674</v>
      </c>
      <c r="M73" s="51">
        <v>35365.245999999999</v>
      </c>
      <c r="N73" s="51">
        <v>8993.9744709048027</v>
      </c>
      <c r="O73" s="51">
        <v>3127.0378334505181</v>
      </c>
      <c r="P73" s="51">
        <v>881990.77105137415</v>
      </c>
      <c r="Q73" s="51">
        <v>1008791.7854278769</v>
      </c>
      <c r="R73" s="67">
        <v>2017</v>
      </c>
      <c r="S73" s="2">
        <f t="shared" si="3"/>
        <v>-1.4055308303795755E-2</v>
      </c>
      <c r="T73">
        <f>VLOOKUP(A73,'Groupe de branches'!$Z$27:$AM$86,14,FALSE)</f>
        <v>0</v>
      </c>
      <c r="U73">
        <f>VLOOKUP(A73,'Groupe de branches'!$Z$27:$AM$86,14,FALSE)</f>
        <v>0</v>
      </c>
      <c r="V73" s="117"/>
      <c r="W73" s="2"/>
      <c r="X73" s="2"/>
    </row>
    <row r="74" spans="1:24" x14ac:dyDescent="0.25">
      <c r="A74" s="29" t="s">
        <v>8</v>
      </c>
      <c r="B74" t="s">
        <v>125</v>
      </c>
      <c r="D74" s="51">
        <v>157091.09701261084</v>
      </c>
      <c r="E74" s="51">
        <v>24414.029259514838</v>
      </c>
      <c r="F74" s="171">
        <v>9.3343998455461222E-2</v>
      </c>
      <c r="G74" s="51">
        <v>80043.871665475119</v>
      </c>
      <c r="H74" s="171">
        <v>0.30603776843592279</v>
      </c>
      <c r="I74" s="51">
        <v>261548.9979376008</v>
      </c>
      <c r="J74" s="51">
        <v>0</v>
      </c>
      <c r="K74" s="51">
        <v>261548.99758244076</v>
      </c>
      <c r="L74" s="51">
        <v>76717.634696814668</v>
      </c>
      <c r="M74" s="51">
        <v>27135.909760805655</v>
      </c>
      <c r="N74" s="51">
        <v>0</v>
      </c>
      <c r="O74" s="51">
        <v>1455.3431211904569</v>
      </c>
      <c r="P74" s="51">
        <v>157695.45992955769</v>
      </c>
      <c r="Q74" s="51">
        <v>261549.00438717802</v>
      </c>
      <c r="R74" s="67">
        <v>2017</v>
      </c>
      <c r="S74" s="2">
        <f t="shared" si="3"/>
        <v>-6.8047372624278069E-3</v>
      </c>
      <c r="T74">
        <f>VLOOKUP(A74,'Groupe de branches'!$Z$27:$AM$86,14,FALSE)</f>
        <v>0</v>
      </c>
      <c r="U74">
        <f>VLOOKUP(A74,'Groupe de branches'!$Z$27:$AM$86,14,FALSE)</f>
        <v>0</v>
      </c>
      <c r="V74" s="117"/>
      <c r="W74" s="2"/>
      <c r="X74" s="2"/>
    </row>
    <row r="75" spans="1:24" x14ac:dyDescent="0.25">
      <c r="A75" s="29" t="s">
        <v>83</v>
      </c>
      <c r="B75" t="s">
        <v>125</v>
      </c>
      <c r="D75" s="51">
        <v>81976.968445076709</v>
      </c>
      <c r="E75" s="51">
        <v>19947.380567254633</v>
      </c>
      <c r="F75" s="171">
        <v>0.14819301764901291</v>
      </c>
      <c r="G75" s="51">
        <v>32679.702404577645</v>
      </c>
      <c r="H75" s="171">
        <v>0.24278394342945028</v>
      </c>
      <c r="I75" s="51">
        <v>134604.05141690897</v>
      </c>
      <c r="J75" s="51">
        <v>144206.908</v>
      </c>
      <c r="K75" s="51">
        <v>278810.95918984734</v>
      </c>
      <c r="L75" s="51">
        <v>4340.1455145923728</v>
      </c>
      <c r="M75" s="51">
        <v>71305.457999999999</v>
      </c>
      <c r="N75" s="51">
        <v>2942.6939724218273</v>
      </c>
      <c r="O75" s="51">
        <v>594.17640735595728</v>
      </c>
      <c r="P75" s="51">
        <v>203165.42620848952</v>
      </c>
      <c r="Q75" s="51">
        <v>278811.02972308185</v>
      </c>
      <c r="R75" s="67">
        <v>2017</v>
      </c>
      <c r="S75" s="2">
        <f t="shared" si="3"/>
        <v>-7.0533234509639442E-2</v>
      </c>
      <c r="T75">
        <f>VLOOKUP(A75,'Groupe de branches'!$Z$27:$AM$86,14,FALSE)</f>
        <v>0</v>
      </c>
      <c r="U75">
        <f>VLOOKUP(A75,'Groupe de branches'!$Z$27:$AM$86,14,FALSE)</f>
        <v>0</v>
      </c>
      <c r="V75" s="117"/>
      <c r="W75" s="2"/>
      <c r="X75" s="2"/>
    </row>
    <row r="76" spans="1:24" x14ac:dyDescent="0.25">
      <c r="A76" s="29" t="s">
        <v>9</v>
      </c>
      <c r="B76" t="s">
        <v>125</v>
      </c>
      <c r="D76" s="51">
        <v>171308.31969577353</v>
      </c>
      <c r="E76" s="51">
        <v>23777.466362725198</v>
      </c>
      <c r="F76" s="171">
        <v>9.5095316815346512E-2</v>
      </c>
      <c r="G76" s="51">
        <v>54952.46144947932</v>
      </c>
      <c r="H76" s="171">
        <v>0.21977622222666526</v>
      </c>
      <c r="I76" s="51">
        <v>250038.24750797806</v>
      </c>
      <c r="J76" s="51">
        <v>0</v>
      </c>
      <c r="K76" s="51">
        <v>250038.2470968907</v>
      </c>
      <c r="L76" s="51">
        <v>50371.735949589405</v>
      </c>
      <c r="M76" s="51">
        <v>0</v>
      </c>
      <c r="N76" s="51">
        <v>0</v>
      </c>
      <c r="O76" s="51">
        <v>999.13566271780576</v>
      </c>
      <c r="P76" s="51">
        <v>199666.52216794397</v>
      </c>
      <c r="Q76" s="51">
        <v>250038.25811753338</v>
      </c>
      <c r="R76" s="67">
        <v>2017</v>
      </c>
      <c r="S76" s="2">
        <f t="shared" si="3"/>
        <v>-1.1020642676157877E-2</v>
      </c>
      <c r="T76">
        <f>VLOOKUP(A76,'Groupe de branches'!$Z$27:$AM$86,14,FALSE)</f>
        <v>0</v>
      </c>
      <c r="U76">
        <f>VLOOKUP(A76,'Groupe de branches'!$Z$27:$AM$86,14,FALSE)</f>
        <v>0</v>
      </c>
      <c r="V76" s="117"/>
      <c r="W76" s="2"/>
      <c r="X76" s="2"/>
    </row>
    <row r="77" spans="1:24" x14ac:dyDescent="0.25">
      <c r="A77" s="29" t="s">
        <v>10</v>
      </c>
      <c r="B77" t="s">
        <v>125</v>
      </c>
      <c r="D77" s="51">
        <v>122863.02532824666</v>
      </c>
      <c r="E77" s="51">
        <v>43045.805343114735</v>
      </c>
      <c r="F77" s="171">
        <v>0.19753303206064751</v>
      </c>
      <c r="G77" s="51">
        <v>52008.167281156282</v>
      </c>
      <c r="H77" s="171">
        <v>0.23866044305772069</v>
      </c>
      <c r="I77" s="51">
        <v>217916.99795251768</v>
      </c>
      <c r="J77" s="51">
        <v>0</v>
      </c>
      <c r="K77" s="51">
        <v>217916.99756755869</v>
      </c>
      <c r="L77" s="51">
        <v>0</v>
      </c>
      <c r="M77" s="51">
        <v>44484.257551041082</v>
      </c>
      <c r="N77" s="51">
        <v>0</v>
      </c>
      <c r="O77" s="51">
        <v>860.65525051558859</v>
      </c>
      <c r="P77" s="51">
        <v>173432.74446812639</v>
      </c>
      <c r="Q77" s="51">
        <v>217917.00201916747</v>
      </c>
      <c r="R77" s="67">
        <v>2017</v>
      </c>
      <c r="S77" s="2">
        <f t="shared" si="3"/>
        <v>-4.451608780073002E-3</v>
      </c>
      <c r="T77">
        <f>VLOOKUP(A77,'Groupe de branches'!$Z$27:$AM$86,14,FALSE)</f>
        <v>0</v>
      </c>
      <c r="U77">
        <f>VLOOKUP(A77,'Groupe de branches'!$Z$27:$AM$86,14,FALSE)</f>
        <v>0</v>
      </c>
      <c r="V77" s="117"/>
      <c r="W77" s="2"/>
      <c r="X77" s="2"/>
    </row>
    <row r="78" spans="1:24" x14ac:dyDescent="0.25">
      <c r="A78" s="29" t="s">
        <v>84</v>
      </c>
      <c r="B78" t="s">
        <v>125</v>
      </c>
      <c r="D78" s="51">
        <v>24591.044777767027</v>
      </c>
      <c r="E78" s="51">
        <v>8177.7445094498835</v>
      </c>
      <c r="F78" s="171">
        <v>0.18954535053813057</v>
      </c>
      <c r="G78" s="51">
        <v>10375.210215977324</v>
      </c>
      <c r="H78" s="171">
        <v>0.24047863748026369</v>
      </c>
      <c r="I78" s="51">
        <v>43143.999503194238</v>
      </c>
      <c r="J78" s="51">
        <v>5518.107</v>
      </c>
      <c r="K78" s="51">
        <v>48662.106418905809</v>
      </c>
      <c r="L78" s="51">
        <v>0</v>
      </c>
      <c r="M78" s="51">
        <v>21812.101000000002</v>
      </c>
      <c r="N78" s="51">
        <v>0</v>
      </c>
      <c r="O78" s="51">
        <v>163.81910867332618</v>
      </c>
      <c r="P78" s="51">
        <v>26852.272534169606</v>
      </c>
      <c r="Q78" s="51">
        <v>48664.373534169608</v>
      </c>
      <c r="R78" s="67">
        <v>2017</v>
      </c>
      <c r="S78" s="2">
        <f t="shared" si="3"/>
        <v>-2.2671152637994965</v>
      </c>
      <c r="T78">
        <f>VLOOKUP(A78,'Groupe de branches'!$Z$27:$AM$86,14,FALSE)</f>
        <v>0</v>
      </c>
      <c r="U78">
        <f>VLOOKUP(A78,'Groupe de branches'!$Z$27:$AM$86,14,FALSE)</f>
        <v>0</v>
      </c>
      <c r="V78" s="117"/>
      <c r="W78" s="2"/>
      <c r="X78" s="2"/>
    </row>
    <row r="79" spans="1:24" x14ac:dyDescent="0.25">
      <c r="A79" s="29" t="s">
        <v>11</v>
      </c>
      <c r="B79" t="s">
        <v>125</v>
      </c>
      <c r="D79" s="51">
        <v>0</v>
      </c>
      <c r="E79" s="51">
        <v>0</v>
      </c>
      <c r="F79" s="171">
        <v>0</v>
      </c>
      <c r="G79" s="51">
        <v>91589.65</v>
      </c>
      <c r="H79" s="171">
        <v>1</v>
      </c>
      <c r="I79" s="51">
        <v>91589.65</v>
      </c>
      <c r="J79" s="51">
        <v>17131.52</v>
      </c>
      <c r="K79" s="51">
        <v>108721.17</v>
      </c>
      <c r="L79" s="51">
        <v>0</v>
      </c>
      <c r="M79" s="51">
        <v>7147.5079999999998</v>
      </c>
      <c r="N79" s="51">
        <v>0</v>
      </c>
      <c r="O79" s="51">
        <v>1687.1777631578948</v>
      </c>
      <c r="P79" s="51">
        <v>101573.74763213638</v>
      </c>
      <c r="Q79" s="51">
        <v>108721.25563213638</v>
      </c>
      <c r="R79" s="67">
        <v>2017</v>
      </c>
      <c r="S79" s="2">
        <f t="shared" si="3"/>
        <v>-8.5632136382628232E-2</v>
      </c>
      <c r="T79">
        <f>VLOOKUP(A79,'Groupe de branches'!$Z$27:$AM$86,14,FALSE)</f>
        <v>0</v>
      </c>
      <c r="U79">
        <f>VLOOKUP(A79,'Groupe de branches'!$Z$27:$AM$86,14,FALSE)</f>
        <v>0</v>
      </c>
      <c r="V79" s="117"/>
      <c r="W79" s="2"/>
      <c r="X79" s="2"/>
    </row>
    <row r="80" spans="1:24" x14ac:dyDescent="0.25">
      <c r="A80" s="29" t="s">
        <v>12</v>
      </c>
      <c r="B80" t="s">
        <v>125</v>
      </c>
      <c r="D80" s="51">
        <v>0</v>
      </c>
      <c r="E80" s="51">
        <v>0</v>
      </c>
      <c r="F80" s="171">
        <v>0</v>
      </c>
      <c r="G80" s="51">
        <v>137306.22499999998</v>
      </c>
      <c r="H80" s="171">
        <v>1</v>
      </c>
      <c r="I80" s="51">
        <v>137306.22499999998</v>
      </c>
      <c r="J80" s="51">
        <v>59458.81</v>
      </c>
      <c r="K80" s="51">
        <v>196765.03499999997</v>
      </c>
      <c r="L80" s="51">
        <v>25318.540814841464</v>
      </c>
      <c r="M80" s="51">
        <v>42831.171000000002</v>
      </c>
      <c r="N80" s="51">
        <v>11579.938055493074</v>
      </c>
      <c r="O80" s="51">
        <v>2529.3251973684205</v>
      </c>
      <c r="P80" s="51">
        <v>128615.32345587638</v>
      </c>
      <c r="Q80" s="51">
        <v>196765.03527071784</v>
      </c>
      <c r="R80" s="67">
        <v>2017</v>
      </c>
      <c r="S80" s="2">
        <f t="shared" si="3"/>
        <v>-2.7071786462329328E-4</v>
      </c>
      <c r="T80">
        <f>VLOOKUP(A80,'Groupe de branches'!$Z$27:$AM$86,14,FALSE)</f>
        <v>0</v>
      </c>
      <c r="U80">
        <f>VLOOKUP(A80,'Groupe de branches'!$Z$27:$AM$86,14,FALSE)</f>
        <v>0</v>
      </c>
      <c r="V80" s="117"/>
      <c r="W80" s="2"/>
      <c r="X80" s="2"/>
    </row>
    <row r="81" spans="1:24" x14ac:dyDescent="0.25">
      <c r="A81" s="29" t="s">
        <v>13</v>
      </c>
      <c r="B81" t="s">
        <v>125</v>
      </c>
      <c r="D81" s="51">
        <v>391213.61492142139</v>
      </c>
      <c r="E81" s="51">
        <v>179920.5909631346</v>
      </c>
      <c r="F81" s="171">
        <v>0.25921422549314038</v>
      </c>
      <c r="G81" s="51">
        <v>122965.78272851452</v>
      </c>
      <c r="H81" s="171">
        <v>0.17715860069990927</v>
      </c>
      <c r="I81" s="51">
        <v>694099.98861307045</v>
      </c>
      <c r="J81" s="51">
        <v>274080.46299999999</v>
      </c>
      <c r="K81" s="51">
        <v>968180.44765216683</v>
      </c>
      <c r="L81" s="51">
        <v>392425.95356886945</v>
      </c>
      <c r="M81" s="51">
        <v>77699.887000000002</v>
      </c>
      <c r="N81" s="51">
        <v>156959.36146421079</v>
      </c>
      <c r="O81" s="51">
        <v>1613.8669980563495</v>
      </c>
      <c r="P81" s="51">
        <v>498054.71547070547</v>
      </c>
      <c r="Q81" s="51">
        <v>968180.55603957502</v>
      </c>
      <c r="R81" s="67">
        <v>2017</v>
      </c>
      <c r="S81" s="2">
        <f t="shared" si="3"/>
        <v>-0.10838740819599479</v>
      </c>
      <c r="T81">
        <f>VLOOKUP(A81,'Groupe de branches'!$Z$27:$AM$86,14,FALSE)</f>
        <v>0</v>
      </c>
      <c r="U81">
        <f>VLOOKUP(A81,'Groupe de branches'!$Z$27:$AM$86,14,FALSE)</f>
        <v>0</v>
      </c>
      <c r="V81" s="117"/>
      <c r="W81" s="2"/>
      <c r="X81" s="2"/>
    </row>
    <row r="82" spans="1:24" x14ac:dyDescent="0.25">
      <c r="A82" s="29" t="s">
        <v>14</v>
      </c>
      <c r="B82" t="s">
        <v>125</v>
      </c>
      <c r="D82" s="51">
        <v>83934.643170549694</v>
      </c>
      <c r="E82" s="51">
        <v>52391.169812823318</v>
      </c>
      <c r="F82" s="171">
        <v>0.28721315769285999</v>
      </c>
      <c r="G82" s="51">
        <v>46086.337747024183</v>
      </c>
      <c r="H82" s="171">
        <v>0.25264949490749217</v>
      </c>
      <c r="I82" s="51">
        <v>182412.1507303972</v>
      </c>
      <c r="J82" s="51">
        <v>400640.03696055652</v>
      </c>
      <c r="K82" s="51">
        <f>J82+I82</f>
        <v>583052.18769095372</v>
      </c>
      <c r="L82" s="51">
        <v>79867.608669538429</v>
      </c>
      <c r="M82" s="51">
        <v>54968.84926688116</v>
      </c>
      <c r="N82" s="51">
        <v>79867.602432475556</v>
      </c>
      <c r="O82" s="51">
        <v>624.38851833703961</v>
      </c>
      <c r="P82" s="51">
        <v>448215.76417811762</v>
      </c>
      <c r="Q82" s="51">
        <v>583052.22211453726</v>
      </c>
      <c r="R82" s="67">
        <v>2017</v>
      </c>
      <c r="S82" s="2">
        <f t="shared" si="3"/>
        <v>-3.4423583536408842E-2</v>
      </c>
      <c r="T82">
        <f>VLOOKUP(A82,'Groupe de branches'!$Z$27:$AM$86,14,FALSE)</f>
        <v>0</v>
      </c>
      <c r="U82">
        <f>VLOOKUP(A82,'Groupe de branches'!$Z$27:$AM$86,14,FALSE)</f>
        <v>0</v>
      </c>
      <c r="V82" s="117"/>
      <c r="W82" s="2"/>
      <c r="X82" s="2"/>
    </row>
    <row r="83" spans="1:24" x14ac:dyDescent="0.25">
      <c r="A83" s="29" t="s">
        <v>85</v>
      </c>
      <c r="B83" t="s">
        <v>125</v>
      </c>
      <c r="D83" s="51">
        <v>200520.75200021348</v>
      </c>
      <c r="E83" s="51">
        <v>60283.872689067452</v>
      </c>
      <c r="F83" s="171">
        <v>0.22092348729349146</v>
      </c>
      <c r="G83" s="51">
        <v>12067.551228265591</v>
      </c>
      <c r="H83" s="171">
        <v>4.4224191006971815E-2</v>
      </c>
      <c r="I83" s="51">
        <v>272872.1759175465</v>
      </c>
      <c r="J83" s="51">
        <v>194790</v>
      </c>
      <c r="K83" s="51">
        <v>467662.08768544346</v>
      </c>
      <c r="L83" s="51">
        <v>116155.75961414701</v>
      </c>
      <c r="M83" s="51">
        <v>12450</v>
      </c>
      <c r="N83" s="51">
        <v>36764.73640333012</v>
      </c>
      <c r="O83" s="51">
        <v>186.31985383328939</v>
      </c>
      <c r="P83" s="51">
        <v>339056.89704914385</v>
      </c>
      <c r="Q83" s="51">
        <v>467662.65666329087</v>
      </c>
      <c r="R83" s="67">
        <v>2017</v>
      </c>
      <c r="S83" s="2">
        <f t="shared" si="3"/>
        <v>-0.56897784740431234</v>
      </c>
      <c r="T83">
        <f>VLOOKUP(A83,'Groupe de branches'!$Z$27:$AM$86,14,FALSE)</f>
        <v>0</v>
      </c>
      <c r="U83">
        <f>VLOOKUP(A83,'Groupe de branches'!$Z$27:$AM$86,14,FALSE)</f>
        <v>0</v>
      </c>
      <c r="V83" s="117"/>
      <c r="W83" s="2"/>
      <c r="X83" s="2"/>
    </row>
    <row r="84" spans="1:24" x14ac:dyDescent="0.25">
      <c r="A84" s="29" t="s">
        <v>86</v>
      </c>
      <c r="B84" t="s">
        <v>125</v>
      </c>
      <c r="D84" s="51">
        <v>238498.53606531565</v>
      </c>
      <c r="E84" s="51">
        <v>100943.40235530784</v>
      </c>
      <c r="F84" s="171">
        <v>0.24284697950769457</v>
      </c>
      <c r="G84" s="51">
        <v>76224.760666772258</v>
      </c>
      <c r="H84" s="171">
        <v>0.18337952218478215</v>
      </c>
      <c r="I84" s="51">
        <v>415666.69908739574</v>
      </c>
      <c r="J84" s="51">
        <v>98093.299999999988</v>
      </c>
      <c r="K84" s="51">
        <v>513759.99903764814</v>
      </c>
      <c r="L84" s="51">
        <v>261611.5201931514</v>
      </c>
      <c r="M84" s="51">
        <v>46117.487000000001</v>
      </c>
      <c r="N84" s="51">
        <v>70080.538921612751</v>
      </c>
      <c r="O84" s="51">
        <v>649.57940624796674</v>
      </c>
      <c r="P84" s="51">
        <v>206030.99239177731</v>
      </c>
      <c r="Q84" s="51">
        <v>513759.99958492874</v>
      </c>
      <c r="R84" s="67">
        <v>2017</v>
      </c>
      <c r="S84" s="2">
        <f t="shared" si="3"/>
        <v>-5.4728059330955148E-4</v>
      </c>
      <c r="T84">
        <f>VLOOKUP(A84,'Groupe de branches'!$Z$27:$AM$86,14,FALSE)</f>
        <v>1</v>
      </c>
      <c r="U84">
        <f>VLOOKUP(A84,'Groupe de branches'!$Z$27:$AM$86,14,FALSE)</f>
        <v>1</v>
      </c>
      <c r="V84" s="117"/>
      <c r="W84" s="2"/>
      <c r="X84" s="2"/>
    </row>
    <row r="85" spans="1:24" x14ac:dyDescent="0.25">
      <c r="A85" s="29" t="s">
        <v>87</v>
      </c>
      <c r="B85" t="s">
        <v>125</v>
      </c>
      <c r="D85" s="51">
        <v>300122.4319876933</v>
      </c>
      <c r="E85" s="51">
        <v>856691.69478574139</v>
      </c>
      <c r="F85" s="171">
        <v>0.54769905798411034</v>
      </c>
      <c r="G85" s="51">
        <v>407350.86912581977</v>
      </c>
      <c r="H85" s="171">
        <v>0.26042704586393689</v>
      </c>
      <c r="I85" s="51">
        <v>1564164.9958992545</v>
      </c>
      <c r="J85" s="51">
        <v>1078019.0950000002</v>
      </c>
      <c r="K85" s="51">
        <v>2642184.0907232519</v>
      </c>
      <c r="L85" s="51">
        <v>222557.87036247298</v>
      </c>
      <c r="M85" s="51">
        <v>830369.43700000003</v>
      </c>
      <c r="N85" s="51">
        <v>176799.64533643203</v>
      </c>
      <c r="O85" s="51">
        <v>4087.4058712203469</v>
      </c>
      <c r="P85" s="51">
        <v>1589256.7909801165</v>
      </c>
      <c r="Q85" s="51">
        <v>2642184.0983425896</v>
      </c>
      <c r="R85" s="67">
        <v>2017</v>
      </c>
      <c r="S85" s="2">
        <f t="shared" si="3"/>
        <v>-7.6193376444280148E-3</v>
      </c>
      <c r="T85">
        <f>VLOOKUP(A85,'Groupe de branches'!$Z$27:$AM$86,14,FALSE)</f>
        <v>0</v>
      </c>
      <c r="U85">
        <f>VLOOKUP(A85,'Groupe de branches'!$Z$27:$AM$86,14,FALSE)</f>
        <v>0</v>
      </c>
      <c r="V85" s="117"/>
      <c r="W85" s="2"/>
      <c r="X85" s="2"/>
    </row>
    <row r="86" spans="1:24" x14ac:dyDescent="0.25">
      <c r="A86" s="29" t="s">
        <v>88</v>
      </c>
      <c r="B86" t="s">
        <v>125</v>
      </c>
      <c r="D86" s="51">
        <v>0</v>
      </c>
      <c r="E86" s="51">
        <v>0</v>
      </c>
      <c r="F86" s="171">
        <v>0</v>
      </c>
      <c r="G86" s="51">
        <v>0</v>
      </c>
      <c r="H86" s="171">
        <v>1</v>
      </c>
      <c r="I86" s="51">
        <v>1</v>
      </c>
      <c r="J86" s="51">
        <v>0</v>
      </c>
      <c r="K86" s="51">
        <v>0</v>
      </c>
      <c r="L86" s="51">
        <v>1</v>
      </c>
      <c r="M86" s="51">
        <v>0</v>
      </c>
      <c r="N86" s="51">
        <v>0</v>
      </c>
      <c r="O86" s="51">
        <v>0</v>
      </c>
      <c r="P86" s="51">
        <v>0</v>
      </c>
      <c r="Q86" s="51">
        <v>0</v>
      </c>
      <c r="R86" s="67">
        <v>2017</v>
      </c>
      <c r="S86" s="2">
        <f t="shared" si="3"/>
        <v>0</v>
      </c>
      <c r="T86">
        <f>VLOOKUP(A86,'Groupe de branches'!$Z$27:$AM$86,14,FALSE)</f>
        <v>0</v>
      </c>
      <c r="U86">
        <f>VLOOKUP(A86,'Groupe de branches'!$Z$27:$AM$86,14,FALSE)</f>
        <v>0</v>
      </c>
      <c r="V86" s="117"/>
      <c r="W86" s="2"/>
      <c r="X86" s="2"/>
    </row>
    <row r="87" spans="1:24" x14ac:dyDescent="0.25">
      <c r="A87" s="29" t="s">
        <v>89</v>
      </c>
      <c r="B87" t="s">
        <v>125</v>
      </c>
      <c r="D87" s="51">
        <v>14862.323087452529</v>
      </c>
      <c r="E87" s="51">
        <v>44271.492727427743</v>
      </c>
      <c r="F87" s="171">
        <v>0.54945139108800889</v>
      </c>
      <c r="G87" s="51">
        <v>21440.177527392505</v>
      </c>
      <c r="H87" s="171">
        <v>0.26609302379138772</v>
      </c>
      <c r="I87" s="51">
        <v>80573.993342272777</v>
      </c>
      <c r="J87" s="51">
        <v>92932.911999999997</v>
      </c>
      <c r="K87" s="51">
        <v>173506.9011815355</v>
      </c>
      <c r="L87" s="51">
        <v>100136.18042077258</v>
      </c>
      <c r="M87" s="51">
        <v>20256.78</v>
      </c>
      <c r="N87" s="51">
        <v>66965.806294800612</v>
      </c>
      <c r="O87" s="51">
        <v>562.10203255336148</v>
      </c>
      <c r="P87" s="51">
        <v>53113.952770336677</v>
      </c>
      <c r="Q87" s="51">
        <v>173506.91319110926</v>
      </c>
      <c r="R87" s="67">
        <v>2017</v>
      </c>
      <c r="S87" s="2">
        <f t="shared" si="3"/>
        <v>-1.200957375112921E-2</v>
      </c>
      <c r="T87">
        <f>VLOOKUP(A87,'Groupe de branches'!$Z$27:$AM$86,14,FALSE)</f>
        <v>0</v>
      </c>
      <c r="U87">
        <f>VLOOKUP(A87,'Groupe de branches'!$Z$27:$AM$86,14,FALSE)</f>
        <v>0</v>
      </c>
      <c r="V87" s="117"/>
      <c r="W87" s="2"/>
      <c r="X87" s="2"/>
    </row>
    <row r="88" spans="1:24" x14ac:dyDescent="0.25">
      <c r="A88" s="29" t="s">
        <v>90</v>
      </c>
      <c r="B88" t="s">
        <v>125</v>
      </c>
      <c r="D88" s="51">
        <v>106094.66203941985</v>
      </c>
      <c r="E88" s="51">
        <v>444988.86763622612</v>
      </c>
      <c r="F88" s="171">
        <v>0.5675769826716206</v>
      </c>
      <c r="G88" s="51">
        <v>232931.46956134817</v>
      </c>
      <c r="H88" s="171">
        <v>0.29710078224018394</v>
      </c>
      <c r="I88" s="51">
        <v>784014.99923699419</v>
      </c>
      <c r="J88" s="51">
        <v>171083.84100000001</v>
      </c>
      <c r="K88" s="51">
        <v>955098.83986430813</v>
      </c>
      <c r="L88" s="51">
        <v>372475.08206323854</v>
      </c>
      <c r="M88" s="51">
        <v>18704.260999999999</v>
      </c>
      <c r="N88" s="51">
        <v>127452.48144255923</v>
      </c>
      <c r="O88" s="51">
        <v>4434.9126846882446</v>
      </c>
      <c r="P88" s="51">
        <v>563919.49882565846</v>
      </c>
      <c r="Q88" s="51">
        <v>955098.84188889712</v>
      </c>
      <c r="R88" s="67">
        <v>2017</v>
      </c>
      <c r="S88" s="2">
        <f t="shared" si="3"/>
        <v>-2.0245889900252223E-3</v>
      </c>
      <c r="T88">
        <f>VLOOKUP(A88,'Groupe de branches'!$Z$27:$AM$86,14,FALSE)</f>
        <v>0</v>
      </c>
      <c r="U88">
        <f>VLOOKUP(A88,'Groupe de branches'!$Z$27:$AM$86,14,FALSE)</f>
        <v>0</v>
      </c>
      <c r="V88" s="117"/>
      <c r="W88" s="2"/>
      <c r="X88" s="2"/>
    </row>
    <row r="89" spans="1:24" x14ac:dyDescent="0.25">
      <c r="A89" s="29" t="s">
        <v>15</v>
      </c>
      <c r="B89" t="s">
        <v>125</v>
      </c>
      <c r="D89" s="51">
        <v>201108.69904307666</v>
      </c>
      <c r="E89" s="51">
        <v>182577.29522144853</v>
      </c>
      <c r="F89" s="171">
        <v>0.29468199650021165</v>
      </c>
      <c r="G89" s="51">
        <v>235887.97832228473</v>
      </c>
      <c r="H89" s="171">
        <v>0.38072609366952376</v>
      </c>
      <c r="I89" s="51">
        <v>619573.97258680989</v>
      </c>
      <c r="J89" s="51">
        <v>72558.857000000004</v>
      </c>
      <c r="K89" s="51">
        <f>J89+I89</f>
        <v>692132.82958680985</v>
      </c>
      <c r="L89" s="51">
        <v>76816.860911360563</v>
      </c>
      <c r="M89" s="51">
        <v>6605.9690000000001</v>
      </c>
      <c r="N89" s="51">
        <v>21319.252738389659</v>
      </c>
      <c r="O89" s="51">
        <v>4455.6618127542661</v>
      </c>
      <c r="P89" s="51">
        <v>608710.0283037551</v>
      </c>
      <c r="Q89" s="51">
        <v>692132.85821511573</v>
      </c>
      <c r="R89" s="67">
        <v>2017</v>
      </c>
      <c r="S89" s="2">
        <f t="shared" si="3"/>
        <v>-2.8628305881284177E-2</v>
      </c>
      <c r="T89">
        <f>VLOOKUP(A89,'Groupe de branches'!$Z$27:$AM$86,14,FALSE)</f>
        <v>0</v>
      </c>
      <c r="U89">
        <f>VLOOKUP(A89,'Groupe de branches'!$Z$27:$AM$86,14,FALSE)</f>
        <v>0</v>
      </c>
      <c r="V89" s="117"/>
      <c r="W89" s="2"/>
      <c r="X89" s="2"/>
    </row>
    <row r="90" spans="1:24" x14ac:dyDescent="0.25">
      <c r="A90" s="29" t="s">
        <v>16</v>
      </c>
      <c r="B90" t="s">
        <v>125</v>
      </c>
      <c r="D90" s="51">
        <v>176189.70107337728</v>
      </c>
      <c r="E90" s="51">
        <v>168507.5104503941</v>
      </c>
      <c r="F90" s="171">
        <v>0.31495906919912675</v>
      </c>
      <c r="G90" s="51">
        <v>190316.78530722158</v>
      </c>
      <c r="H90" s="171">
        <v>0.35572300245322602</v>
      </c>
      <c r="I90" s="51">
        <v>535013.99683099298</v>
      </c>
      <c r="J90" s="51">
        <v>92731.948000000004</v>
      </c>
      <c r="K90" s="51">
        <f>J90+I90</f>
        <v>627745.94483099296</v>
      </c>
      <c r="L90" s="51">
        <v>141597.86766091021</v>
      </c>
      <c r="M90" s="51">
        <v>33464.592000000004</v>
      </c>
      <c r="N90" s="51">
        <v>29464.741576710945</v>
      </c>
      <c r="O90" s="51">
        <v>3845.2404923018389</v>
      </c>
      <c r="P90" s="51">
        <v>452683.48882566125</v>
      </c>
      <c r="Q90" s="51">
        <v>627745.94848657143</v>
      </c>
      <c r="R90" s="67">
        <v>2017</v>
      </c>
      <c r="S90" s="2">
        <f t="shared" si="3"/>
        <v>-3.655578475445509E-3</v>
      </c>
      <c r="T90">
        <f>VLOOKUP(A90,'Groupe de branches'!$Z$27:$AM$86,14,FALSE)</f>
        <v>0</v>
      </c>
      <c r="U90">
        <f>VLOOKUP(A90,'Groupe de branches'!$Z$27:$AM$86,14,FALSE)</f>
        <v>0</v>
      </c>
      <c r="W90" s="2"/>
      <c r="X90" s="2"/>
    </row>
    <row r="91" spans="1:24" x14ac:dyDescent="0.25">
      <c r="A91" s="29" t="s">
        <v>91</v>
      </c>
      <c r="B91" t="s">
        <v>125</v>
      </c>
      <c r="D91" s="51">
        <v>634890.76486633997</v>
      </c>
      <c r="E91" s="51">
        <v>267100.45604452386</v>
      </c>
      <c r="F91" s="171">
        <v>0.18865291523503339</v>
      </c>
      <c r="G91" s="51">
        <v>513838.77414517093</v>
      </c>
      <c r="H91" s="171">
        <v>0.36292406287439516</v>
      </c>
      <c r="I91" s="51">
        <v>1415829.9950560348</v>
      </c>
      <c r="J91" s="51">
        <v>230501.60900000003</v>
      </c>
      <c r="K91" s="51">
        <f t="shared" ref="K91:K100" si="4">J91+I91</f>
        <v>1646331.6040560347</v>
      </c>
      <c r="L91" s="51">
        <v>1523492.5591670356</v>
      </c>
      <c r="M91" s="51">
        <v>101593.53099999999</v>
      </c>
      <c r="N91" s="51">
        <v>219399.7746399719</v>
      </c>
      <c r="O91" s="51">
        <v>10251.147613868749</v>
      </c>
      <c r="P91" s="51">
        <v>21245.518871606015</v>
      </c>
      <c r="Q91" s="51">
        <v>1646331.6090386417</v>
      </c>
      <c r="R91" s="67">
        <v>2017</v>
      </c>
      <c r="S91" s="2">
        <f t="shared" si="3"/>
        <v>-4.9826069734990597E-3</v>
      </c>
      <c r="T91">
        <f>VLOOKUP(A91,'Groupe de branches'!$Z$27:$AM$86,14,FALSE)</f>
        <v>0</v>
      </c>
      <c r="U91">
        <f>VLOOKUP(A91,'Groupe de branches'!$Z$27:$AM$86,14,FALSE)</f>
        <v>0</v>
      </c>
      <c r="W91" s="2"/>
      <c r="X91" s="2"/>
    </row>
    <row r="92" spans="1:24" x14ac:dyDescent="0.25">
      <c r="A92" s="29" t="s">
        <v>17</v>
      </c>
      <c r="B92" t="s">
        <v>125</v>
      </c>
      <c r="D92" s="51">
        <v>176565.62396031551</v>
      </c>
      <c r="E92" s="51">
        <v>328558.42227764172</v>
      </c>
      <c r="F92" s="171">
        <v>0.44779993170624194</v>
      </c>
      <c r="G92" s="51">
        <v>228592.95328400124</v>
      </c>
      <c r="H92" s="171">
        <v>0.3115546640365936</v>
      </c>
      <c r="I92" s="51">
        <v>733716.99952195841</v>
      </c>
      <c r="J92" s="51">
        <v>35299.296999999999</v>
      </c>
      <c r="K92" s="51">
        <f t="shared" si="4"/>
        <v>769016.29652195843</v>
      </c>
      <c r="L92" s="51">
        <v>335089.98550945893</v>
      </c>
      <c r="M92" s="51">
        <v>430793.43199999997</v>
      </c>
      <c r="N92" s="51">
        <v>33319.829580337064</v>
      </c>
      <c r="O92" s="51">
        <v>2545.7925034780551</v>
      </c>
      <c r="P92" s="51">
        <v>3132.8794921891285</v>
      </c>
      <c r="Q92" s="51">
        <v>769016.297001648</v>
      </c>
      <c r="R92" s="67">
        <v>2017</v>
      </c>
      <c r="S92" s="2">
        <f t="shared" si="3"/>
        <v>-4.7968956641852856E-4</v>
      </c>
      <c r="T92">
        <f>VLOOKUP(A92,'Groupe de branches'!$Z$27:$AM$86,14,FALSE)</f>
        <v>0</v>
      </c>
      <c r="U92">
        <f>VLOOKUP(A92,'Groupe de branches'!$Z$27:$AM$86,14,FALSE)</f>
        <v>0</v>
      </c>
      <c r="W92" s="2"/>
      <c r="X92" s="2"/>
    </row>
    <row r="93" spans="1:24" x14ac:dyDescent="0.25">
      <c r="A93" s="29" t="s">
        <v>18</v>
      </c>
      <c r="B93" t="s">
        <v>125</v>
      </c>
      <c r="D93" s="51">
        <v>5352.5594271388036</v>
      </c>
      <c r="E93" s="51">
        <v>11126.794506024406</v>
      </c>
      <c r="F93" s="171">
        <v>0.41764111248874347</v>
      </c>
      <c r="G93" s="51">
        <v>10162.646035947357</v>
      </c>
      <c r="H93" s="171">
        <v>0.3814520699545903</v>
      </c>
      <c r="I93" s="51">
        <v>26641.999969110566</v>
      </c>
      <c r="J93" s="51">
        <v>10321.222</v>
      </c>
      <c r="K93" s="51">
        <f t="shared" si="4"/>
        <v>36963.221969110564</v>
      </c>
      <c r="L93" s="51">
        <v>284.14743001899825</v>
      </c>
      <c r="M93" s="51">
        <v>2912.9380000000001</v>
      </c>
      <c r="N93" s="51">
        <v>0</v>
      </c>
      <c r="O93" s="51">
        <v>189.87533994975954</v>
      </c>
      <c r="P93" s="51">
        <v>33766.372647242926</v>
      </c>
      <c r="Q93" s="51">
        <v>36963.458077261923</v>
      </c>
      <c r="R93" s="67">
        <v>2017</v>
      </c>
      <c r="S93" s="2">
        <f t="shared" si="3"/>
        <v>-0.23610815135907615</v>
      </c>
      <c r="T93">
        <f>VLOOKUP(A93,'Groupe de branches'!$Z$27:$AM$86,14,FALSE)</f>
        <v>0</v>
      </c>
      <c r="U93">
        <f>VLOOKUP(A93,'Groupe de branches'!$Z$27:$AM$86,14,FALSE)</f>
        <v>0</v>
      </c>
      <c r="W93" s="2"/>
      <c r="X93" s="2"/>
    </row>
    <row r="94" spans="1:24" x14ac:dyDescent="0.25">
      <c r="A94" s="29" t="s">
        <v>92</v>
      </c>
      <c r="B94" t="s">
        <v>125</v>
      </c>
      <c r="D94" s="51">
        <v>73720.98917709825</v>
      </c>
      <c r="E94" s="51">
        <v>56212.767986116844</v>
      </c>
      <c r="F94" s="171">
        <v>0.31487155830957259</v>
      </c>
      <c r="G94" s="51">
        <v>48592.268775431534</v>
      </c>
      <c r="H94" s="171">
        <v>0.27218590970109341</v>
      </c>
      <c r="I94" s="51">
        <v>178526.02593864664</v>
      </c>
      <c r="J94" s="51">
        <v>206862.76954545453</v>
      </c>
      <c r="K94" s="51">
        <f t="shared" si="4"/>
        <v>385388.79548410117</v>
      </c>
      <c r="L94" s="51">
        <v>377947.70208145271</v>
      </c>
      <c r="M94" s="51">
        <v>7441.1068181818173</v>
      </c>
      <c r="N94" s="51">
        <v>206862.76954545444</v>
      </c>
      <c r="O94" s="51">
        <v>694.45372221090042</v>
      </c>
      <c r="P94" s="51">
        <v>0</v>
      </c>
      <c r="Q94" s="51">
        <v>385388.80889963452</v>
      </c>
      <c r="R94" s="67">
        <v>2017</v>
      </c>
      <c r="S94" s="2">
        <f t="shared" si="3"/>
        <v>-1.3415533350780606E-2</v>
      </c>
      <c r="T94">
        <f>VLOOKUP(A94,'Groupe de branches'!$Z$27:$AM$86,14,FALSE)</f>
        <v>0</v>
      </c>
      <c r="U94">
        <f>VLOOKUP(A94,'Groupe de branches'!$Z$27:$AM$86,14,FALSE)</f>
        <v>0</v>
      </c>
      <c r="W94" s="2"/>
      <c r="X94" s="2"/>
    </row>
    <row r="95" spans="1:24" x14ac:dyDescent="0.25">
      <c r="A95" s="29" t="s">
        <v>93</v>
      </c>
      <c r="B95" t="s">
        <v>125</v>
      </c>
      <c r="D95" s="51">
        <v>44058.376959235829</v>
      </c>
      <c r="E95" s="51">
        <v>97313.412461050815</v>
      </c>
      <c r="F95" s="171">
        <v>0.40161704410095383</v>
      </c>
      <c r="G95" s="51">
        <v>100932.20113592419</v>
      </c>
      <c r="H95" s="171">
        <v>0.41655195568274994</v>
      </c>
      <c r="I95" s="51">
        <v>242303.9905562108</v>
      </c>
      <c r="J95" s="51">
        <v>185878.42599999998</v>
      </c>
      <c r="K95" s="51">
        <f t="shared" si="4"/>
        <v>428182.41655621078</v>
      </c>
      <c r="L95" s="51">
        <v>375928.30299999996</v>
      </c>
      <c r="M95" s="51">
        <v>52254.123</v>
      </c>
      <c r="N95" s="51">
        <v>185878.42599999995</v>
      </c>
      <c r="O95" s="51">
        <v>1972.2384130008174</v>
      </c>
      <c r="P95" s="51">
        <v>0</v>
      </c>
      <c r="Q95" s="51">
        <v>428182.42599999998</v>
      </c>
      <c r="R95" s="67">
        <v>2017</v>
      </c>
      <c r="S95" s="2">
        <f t="shared" si="3"/>
        <v>-9.4437891966663301E-3</v>
      </c>
      <c r="T95">
        <f>VLOOKUP(A95,'Groupe de branches'!$Z$27:$AM$86,14,FALSE)</f>
        <v>0</v>
      </c>
      <c r="U95">
        <f>VLOOKUP(A95,'Groupe de branches'!$Z$27:$AM$86,14,FALSE)</f>
        <v>0</v>
      </c>
      <c r="W95" s="2"/>
      <c r="X95" s="2"/>
    </row>
    <row r="96" spans="1:24" x14ac:dyDescent="0.25">
      <c r="A96" s="29" t="s">
        <v>94</v>
      </c>
      <c r="B96" t="s">
        <v>125</v>
      </c>
      <c r="D96" s="51">
        <v>20600.071612206295</v>
      </c>
      <c r="E96" s="51">
        <v>230906.63430762629</v>
      </c>
      <c r="F96" s="171">
        <v>0.72522220251504921</v>
      </c>
      <c r="G96" s="51">
        <v>66887.619994140958</v>
      </c>
      <c r="H96" s="171">
        <v>0.21007792711800155</v>
      </c>
      <c r="I96" s="51">
        <v>318394.3259139735</v>
      </c>
      <c r="J96" s="51">
        <v>261796.016</v>
      </c>
      <c r="K96" s="51">
        <f t="shared" si="4"/>
        <v>580190.34191397345</v>
      </c>
      <c r="L96" s="51">
        <v>498690.50164635485</v>
      </c>
      <c r="M96" s="51">
        <v>80543.528000000006</v>
      </c>
      <c r="N96" s="51">
        <v>261314.14192026533</v>
      </c>
      <c r="O96" s="51">
        <v>1083.4927644839249</v>
      </c>
      <c r="P96" s="51">
        <v>956.31244422863972</v>
      </c>
      <c r="Q96" s="51">
        <v>580190.34209058352</v>
      </c>
      <c r="R96" s="67">
        <v>2017</v>
      </c>
      <c r="S96" s="2">
        <f t="shared" si="3"/>
        <v>-1.7661007586866617E-4</v>
      </c>
      <c r="T96">
        <f>VLOOKUP(A96,'Groupe de branches'!$Z$27:$AM$86,14,FALSE)</f>
        <v>0</v>
      </c>
      <c r="U96">
        <f>VLOOKUP(A96,'Groupe de branches'!$Z$27:$AM$86,14,FALSE)</f>
        <v>0</v>
      </c>
      <c r="W96" s="2"/>
      <c r="X96" s="2"/>
    </row>
    <row r="97" spans="1:24" x14ac:dyDescent="0.25">
      <c r="A97" s="29" t="s">
        <v>95</v>
      </c>
      <c r="B97" t="s">
        <v>125</v>
      </c>
      <c r="D97" s="51">
        <v>252561.27730129924</v>
      </c>
      <c r="E97" s="51">
        <v>309811.902601971</v>
      </c>
      <c r="F97" s="171">
        <v>0.45493672067454333</v>
      </c>
      <c r="G97" s="51">
        <v>118626.81091436917</v>
      </c>
      <c r="H97" s="171">
        <v>0.17419502571790119</v>
      </c>
      <c r="I97" s="51">
        <v>680999.99081763939</v>
      </c>
      <c r="J97" s="51">
        <v>1115046.423</v>
      </c>
      <c r="K97" s="51">
        <f t="shared" si="4"/>
        <v>1796046.4138176395</v>
      </c>
      <c r="L97" s="51">
        <v>0</v>
      </c>
      <c r="M97" s="51">
        <v>395943.94000000006</v>
      </c>
      <c r="N97" s="51">
        <v>0</v>
      </c>
      <c r="O97" s="51">
        <v>1049.438782546061</v>
      </c>
      <c r="P97" s="51">
        <v>1400102.4837370755</v>
      </c>
      <c r="Q97" s="51">
        <v>1796046.4237370756</v>
      </c>
      <c r="R97" s="67">
        <v>2017</v>
      </c>
      <c r="S97" s="2">
        <f t="shared" si="3"/>
        <v>-9.9194361828267574E-3</v>
      </c>
      <c r="T97">
        <f>VLOOKUP(A97,'Groupe de branches'!$Z$27:$AM$86,14,FALSE)</f>
        <v>0</v>
      </c>
      <c r="U97">
        <f>VLOOKUP(A97,'Groupe de branches'!$Z$27:$AM$86,14,FALSE)</f>
        <v>0</v>
      </c>
      <c r="W97" s="2"/>
      <c r="X97" s="2"/>
    </row>
    <row r="98" spans="1:24" x14ac:dyDescent="0.25">
      <c r="A98" s="29" t="s">
        <v>96</v>
      </c>
      <c r="B98" t="s">
        <v>125</v>
      </c>
      <c r="D98" s="51">
        <v>1400102.4837370755</v>
      </c>
      <c r="E98" s="51">
        <v>2717939.8772720327</v>
      </c>
      <c r="F98" s="171">
        <v>0.50102213677715535</v>
      </c>
      <c r="G98" s="51">
        <v>1306747.6388006574</v>
      </c>
      <c r="H98" s="171">
        <v>0.2408844653611443</v>
      </c>
      <c r="I98" s="51">
        <v>5424789.9998097653</v>
      </c>
      <c r="J98" s="51">
        <v>4088792.9499999988</v>
      </c>
      <c r="K98" s="51">
        <f t="shared" si="4"/>
        <v>9513582.9498097636</v>
      </c>
      <c r="L98" s="51">
        <v>3268876.78039059</v>
      </c>
      <c r="M98" s="51">
        <v>3683202.8530000001</v>
      </c>
      <c r="N98" s="51">
        <v>2010928.2011540649</v>
      </c>
      <c r="O98" s="51">
        <v>16091.41829896858</v>
      </c>
      <c r="P98" s="51">
        <v>2561503.3166094096</v>
      </c>
      <c r="Q98" s="51">
        <v>9513582.9499999993</v>
      </c>
      <c r="R98" s="67">
        <v>2017</v>
      </c>
      <c r="S98" s="2">
        <f t="shared" si="3"/>
        <v>-1.902356743812561E-4</v>
      </c>
      <c r="T98">
        <f>VLOOKUP(A98,'Groupe de branches'!$Z$27:$AM$86,14,FALSE)</f>
        <v>0</v>
      </c>
      <c r="U98">
        <f>VLOOKUP(A98,'Groupe de branches'!$Z$27:$AM$86,14,FALSE)</f>
        <v>0</v>
      </c>
      <c r="W98" s="2"/>
      <c r="X98" s="2"/>
    </row>
    <row r="99" spans="1:24" x14ac:dyDescent="0.25">
      <c r="A99" s="29" t="s">
        <v>97</v>
      </c>
      <c r="B99" t="s">
        <v>125</v>
      </c>
      <c r="D99" s="51">
        <v>3587986.8377526216</v>
      </c>
      <c r="E99" s="51">
        <v>3299048.110675972</v>
      </c>
      <c r="F99" s="171">
        <v>0.33531051960948144</v>
      </c>
      <c r="G99" s="51">
        <v>2951750.0515714055</v>
      </c>
      <c r="H99" s="171">
        <v>0.30001164285746723</v>
      </c>
      <c r="I99" s="51">
        <v>9838785</v>
      </c>
      <c r="J99" s="51">
        <v>3661318.740999999</v>
      </c>
      <c r="K99" s="51">
        <f t="shared" si="4"/>
        <v>13500103.740999999</v>
      </c>
      <c r="L99" s="51">
        <v>10414894.391856788</v>
      </c>
      <c r="M99" s="51">
        <v>2058725.8279999997</v>
      </c>
      <c r="N99" s="51">
        <v>2685749.2550890939</v>
      </c>
      <c r="O99" s="51">
        <v>42365.790204316057</v>
      </c>
      <c r="P99" s="51">
        <v>1026483.5211432119</v>
      </c>
      <c r="Q99" s="51">
        <v>13500103.741</v>
      </c>
      <c r="R99" s="67">
        <v>2017</v>
      </c>
      <c r="S99" s="2">
        <f t="shared" si="3"/>
        <v>0</v>
      </c>
      <c r="T99">
        <f>VLOOKUP(A99,'Groupe de branches'!$Z$27:$AM$86,14,FALSE)</f>
        <v>0</v>
      </c>
      <c r="U99">
        <f>VLOOKUP(A99,'Groupe de branches'!$Z$27:$AM$86,14,FALSE)</f>
        <v>0</v>
      </c>
      <c r="W99" s="2"/>
      <c r="X99" s="2"/>
    </row>
    <row r="100" spans="1:24" x14ac:dyDescent="0.25">
      <c r="A100" s="29" t="s">
        <v>98</v>
      </c>
      <c r="B100" t="s">
        <v>125</v>
      </c>
      <c r="D100" s="51">
        <v>38942.983416861032</v>
      </c>
      <c r="E100" s="51">
        <v>81021.673757036187</v>
      </c>
      <c r="F100" s="171">
        <v>0.43664827924501959</v>
      </c>
      <c r="G100" s="51">
        <v>65588.973993791209</v>
      </c>
      <c r="H100" s="171">
        <v>0.35347717843644449</v>
      </c>
      <c r="I100" s="51">
        <v>185553.63116768844</v>
      </c>
      <c r="J100" s="51">
        <v>27833.044982698957</v>
      </c>
      <c r="K100" s="51">
        <f t="shared" si="4"/>
        <v>213386.67615038739</v>
      </c>
      <c r="L100" s="51">
        <v>213386.678200692</v>
      </c>
      <c r="M100" s="51">
        <v>0</v>
      </c>
      <c r="N100" s="51">
        <v>27833.044982698957</v>
      </c>
      <c r="O100" s="51">
        <v>343.08078704444631</v>
      </c>
      <c r="P100" s="51">
        <v>0</v>
      </c>
      <c r="Q100" s="51">
        <v>213386.678200692</v>
      </c>
      <c r="R100" s="67">
        <v>2017</v>
      </c>
      <c r="S100" s="2">
        <f t="shared" si="3"/>
        <v>-2.050304610747844E-3</v>
      </c>
      <c r="T100">
        <f>VLOOKUP(A100,'Groupe de branches'!$Z$27:$AM$86,14,FALSE)</f>
        <v>0</v>
      </c>
      <c r="U100">
        <f>VLOOKUP(A100,'Groupe de branches'!$Z$27:$AM$86,14,FALSE)</f>
        <v>0</v>
      </c>
      <c r="W100" s="2"/>
      <c r="X100" s="2"/>
    </row>
    <row r="101" spans="1:24" x14ac:dyDescent="0.25">
      <c r="A101" s="29" t="s">
        <v>99</v>
      </c>
      <c r="B101" t="s">
        <v>125</v>
      </c>
      <c r="D101" s="51">
        <v>703926.53798564035</v>
      </c>
      <c r="E101" s="51">
        <v>1643377.228965862</v>
      </c>
      <c r="F101" s="171">
        <v>0.47769802700478725</v>
      </c>
      <c r="G101" s="51">
        <v>1092897.230465204</v>
      </c>
      <c r="H101" s="171">
        <v>0.31768412115625666</v>
      </c>
      <c r="I101" s="51">
        <v>3440200.9974167068</v>
      </c>
      <c r="J101" s="51">
        <v>3360007.767</v>
      </c>
      <c r="K101" s="51">
        <f>J101+I101</f>
        <v>6800208.7644167067</v>
      </c>
      <c r="L101" s="51">
        <v>5883124.9149404103</v>
      </c>
      <c r="M101" s="51">
        <v>860716.21099999989</v>
      </c>
      <c r="N101" s="51">
        <v>3323350.5095478371</v>
      </c>
      <c r="O101" s="51">
        <v>21802.811064084559</v>
      </c>
      <c r="P101" s="51">
        <v>56367.641067287375</v>
      </c>
      <c r="Q101" s="51">
        <v>6800208.7670076974</v>
      </c>
      <c r="R101" s="67">
        <v>2017</v>
      </c>
      <c r="S101" s="2">
        <f t="shared" si="3"/>
        <v>-2.5909906253218651E-3</v>
      </c>
      <c r="T101">
        <f>VLOOKUP(A101,'Groupe de branches'!$Z$27:$AM$86,14,FALSE)</f>
        <v>0</v>
      </c>
      <c r="U101">
        <f>VLOOKUP(A101,'Groupe de branches'!$Z$27:$AM$86,14,FALSE)</f>
        <v>0</v>
      </c>
      <c r="W101" s="2"/>
      <c r="X101" s="2"/>
    </row>
    <row r="102" spans="1:24" x14ac:dyDescent="0.25">
      <c r="A102" s="29" t="s">
        <v>100</v>
      </c>
      <c r="B102" t="s">
        <v>125</v>
      </c>
      <c r="D102" s="51">
        <v>91644.921463271719</v>
      </c>
      <c r="E102" s="51">
        <v>208579.60922411139</v>
      </c>
      <c r="F102" s="171">
        <v>0.43366720081377408</v>
      </c>
      <c r="G102" s="51">
        <v>180742.46158852088</v>
      </c>
      <c r="H102" s="171">
        <v>0.37578974127363607</v>
      </c>
      <c r="I102" s="51">
        <v>480966.99227590399</v>
      </c>
      <c r="J102" s="51">
        <v>390797.07399999996</v>
      </c>
      <c r="K102" s="51">
        <f>J102+I102</f>
        <v>871764.06627590396</v>
      </c>
      <c r="L102" s="51">
        <v>766615.78899999999</v>
      </c>
      <c r="M102" s="51">
        <v>105148.28500000002</v>
      </c>
      <c r="N102" s="51">
        <v>390797.07399999961</v>
      </c>
      <c r="O102" s="51">
        <v>2385.8004929684762</v>
      </c>
      <c r="P102" s="51">
        <v>0</v>
      </c>
      <c r="Q102" s="51">
        <v>871764.07400000002</v>
      </c>
      <c r="R102" s="67">
        <v>2017</v>
      </c>
      <c r="S102" s="2">
        <f t="shared" si="3"/>
        <v>-7.7240960672497749E-3</v>
      </c>
      <c r="T102">
        <f>VLOOKUP(A102,'Groupe de branches'!$Z$27:$AM$86,14,FALSE)</f>
        <v>0</v>
      </c>
      <c r="U102">
        <f>VLOOKUP(A102,'Groupe de branches'!$Z$27:$AM$86,14,FALSE)</f>
        <v>0</v>
      </c>
      <c r="W102" s="2"/>
      <c r="X102" s="2"/>
    </row>
    <row r="103" spans="1:24" x14ac:dyDescent="0.25">
      <c r="A103" s="29" t="s">
        <v>101</v>
      </c>
      <c r="B103" t="s">
        <v>125</v>
      </c>
      <c r="D103" s="51">
        <v>326686.13228702988</v>
      </c>
      <c r="E103" s="51">
        <v>1128277.7386187131</v>
      </c>
      <c r="F103" s="171">
        <v>0.57358659063314243</v>
      </c>
      <c r="G103" s="51">
        <v>512093.51335647533</v>
      </c>
      <c r="H103" s="171">
        <v>0.26033481150756849</v>
      </c>
      <c r="I103" s="51">
        <v>1967057.3842622184</v>
      </c>
      <c r="J103" s="51">
        <v>0</v>
      </c>
      <c r="K103" s="51">
        <f t="shared" ref="K103:K106" si="5">J103+I103</f>
        <v>1967057.3842622184</v>
      </c>
      <c r="L103" s="51">
        <v>1967057.3842723635</v>
      </c>
      <c r="M103" s="51">
        <v>0</v>
      </c>
      <c r="N103" s="51">
        <v>0</v>
      </c>
      <c r="O103" s="51">
        <v>3348.0206096976322</v>
      </c>
      <c r="P103" s="51">
        <v>0</v>
      </c>
      <c r="Q103" s="51">
        <v>1967057.3842723635</v>
      </c>
      <c r="R103" s="67">
        <v>2017</v>
      </c>
      <c r="S103" s="2">
        <f t="shared" si="3"/>
        <v>-1.0145129635930061E-5</v>
      </c>
      <c r="T103">
        <f>VLOOKUP(A103,'Groupe de branches'!$Z$27:$AM$86,14,FALSE)</f>
        <v>1</v>
      </c>
      <c r="U103">
        <f>VLOOKUP(A103,'Groupe de branches'!$Z$27:$AM$86,14,FALSE)</f>
        <v>1</v>
      </c>
      <c r="W103" s="2"/>
      <c r="X103" s="2"/>
    </row>
    <row r="104" spans="1:24" x14ac:dyDescent="0.25">
      <c r="A104" s="29" t="s">
        <v>102</v>
      </c>
      <c r="B104" t="s">
        <v>125</v>
      </c>
      <c r="D104" s="51">
        <v>11957.546071407591</v>
      </c>
      <c r="E104" s="51">
        <v>104585.00172256003</v>
      </c>
      <c r="F104" s="171">
        <v>0.49319055033793813</v>
      </c>
      <c r="G104" s="51">
        <v>95515.452203999812</v>
      </c>
      <c r="H104" s="171">
        <v>0.4504213573876738</v>
      </c>
      <c r="I104" s="51">
        <v>212057.99999796742</v>
      </c>
      <c r="J104" s="51">
        <v>0</v>
      </c>
      <c r="K104" s="51">
        <f t="shared" si="5"/>
        <v>212057.99999796742</v>
      </c>
      <c r="L104" s="51">
        <v>76411.251967729375</v>
      </c>
      <c r="M104" s="51">
        <v>49000</v>
      </c>
      <c r="N104" s="51">
        <v>0</v>
      </c>
      <c r="O104" s="51">
        <v>1884.4940569978337</v>
      </c>
      <c r="P104" s="51">
        <v>86646.748088550681</v>
      </c>
      <c r="Q104" s="51">
        <v>212058.00005628006</v>
      </c>
      <c r="R104" s="67">
        <v>2017</v>
      </c>
      <c r="S104" s="2">
        <f t="shared" si="3"/>
        <v>-5.8312638429924846E-5</v>
      </c>
      <c r="T104">
        <f>VLOOKUP(A104,'Groupe de branches'!$Z$27:$AM$86,14,FALSE)</f>
        <v>0</v>
      </c>
      <c r="U104">
        <f>VLOOKUP(A104,'Groupe de branches'!$Z$27:$AM$86,14,FALSE)</f>
        <v>0</v>
      </c>
      <c r="W104" s="2"/>
      <c r="X104" s="2"/>
    </row>
    <row r="105" spans="1:24" x14ac:dyDescent="0.25">
      <c r="A105" s="29" t="s">
        <v>103</v>
      </c>
      <c r="B105" t="s">
        <v>112</v>
      </c>
      <c r="D105" s="51">
        <v>0</v>
      </c>
      <c r="E105" s="51">
        <v>1532514.9741565487</v>
      </c>
      <c r="F105" s="171">
        <v>0.87081888800869889</v>
      </c>
      <c r="G105" s="51">
        <v>227340.02584345132</v>
      </c>
      <c r="H105" s="171">
        <v>0.12918111199130117</v>
      </c>
      <c r="I105" s="51">
        <v>1759855</v>
      </c>
      <c r="J105" s="51">
        <v>0</v>
      </c>
      <c r="K105" s="51">
        <f t="shared" si="5"/>
        <v>1759855</v>
      </c>
      <c r="L105" s="51">
        <v>1759855</v>
      </c>
      <c r="M105" s="51">
        <v>0</v>
      </c>
      <c r="N105" s="51">
        <v>0</v>
      </c>
      <c r="O105" s="51">
        <v>985.46876059867634</v>
      </c>
      <c r="P105" s="51">
        <v>0</v>
      </c>
      <c r="Q105" s="51">
        <v>1759855</v>
      </c>
      <c r="R105" s="67">
        <v>2017</v>
      </c>
      <c r="S105" s="2">
        <f t="shared" si="3"/>
        <v>0</v>
      </c>
      <c r="T105">
        <f>VLOOKUP(A105,'Groupe de branches'!$Z$27:$AM$86,14,FALSE)</f>
        <v>0</v>
      </c>
      <c r="U105">
        <f>VLOOKUP(A105,'Groupe de branches'!$Z$27:$AM$86,14,FALSE)</f>
        <v>0</v>
      </c>
      <c r="W105" s="2"/>
      <c r="X105" s="2"/>
    </row>
    <row r="106" spans="1:24" x14ac:dyDescent="0.25">
      <c r="A106" s="29" t="s">
        <v>19</v>
      </c>
      <c r="B106" t="s">
        <v>126</v>
      </c>
      <c r="D106" s="51">
        <v>222269.86958329266</v>
      </c>
      <c r="E106" s="51">
        <v>143299.3061454689</v>
      </c>
      <c r="F106" s="171">
        <v>0.27826017316831131</v>
      </c>
      <c r="G106" s="51">
        <v>149413.99456773436</v>
      </c>
      <c r="H106" s="171">
        <v>0.29013374258757019</v>
      </c>
      <c r="I106" s="51">
        <v>514983.1702964959</v>
      </c>
      <c r="J106" s="51">
        <v>0</v>
      </c>
      <c r="K106" s="51">
        <f t="shared" si="5"/>
        <v>514983.1702964959</v>
      </c>
      <c r="L106" s="51">
        <v>514983.17958101881</v>
      </c>
      <c r="M106" s="51">
        <v>0</v>
      </c>
      <c r="N106" s="51">
        <v>0</v>
      </c>
      <c r="O106" s="51">
        <v>2440.1526911539086</v>
      </c>
      <c r="P106" s="51">
        <v>0</v>
      </c>
      <c r="Q106" s="51">
        <v>514983.17958101881</v>
      </c>
      <c r="R106" s="67">
        <v>2017</v>
      </c>
      <c r="S106" s="2">
        <f t="shared" si="3"/>
        <v>-9.2845229082740843E-3</v>
      </c>
      <c r="T106">
        <f>VLOOKUP(A106,'Groupe de branches'!$Z$27:$AM$86,14,FALSE)</f>
        <v>0</v>
      </c>
      <c r="U106">
        <f>VLOOKUP(A106,'Groupe de branches'!$Z$27:$AM$86,14,FALSE)</f>
        <v>0</v>
      </c>
      <c r="W106" s="2"/>
      <c r="X106" s="2"/>
    </row>
    <row r="107" spans="1:24" x14ac:dyDescent="0.25">
      <c r="A107" s="29" t="s">
        <v>20</v>
      </c>
      <c r="B107" t="s">
        <v>126</v>
      </c>
      <c r="D107" s="51">
        <v>38051.065827268372</v>
      </c>
      <c r="E107" s="51">
        <v>17119.939038575132</v>
      </c>
      <c r="F107" s="171">
        <v>0.20098470788367151</v>
      </c>
      <c r="G107" s="51">
        <v>30009.301729840536</v>
      </c>
      <c r="H107" s="171">
        <v>0.35230328381279935</v>
      </c>
      <c r="I107" s="51">
        <v>85180.306595684029</v>
      </c>
      <c r="J107" s="51">
        <v>0</v>
      </c>
      <c r="K107" s="51">
        <v>85180.3063861056</v>
      </c>
      <c r="L107" s="51">
        <v>85180.308066613128</v>
      </c>
      <c r="M107" s="51">
        <v>0</v>
      </c>
      <c r="N107" s="51">
        <v>0</v>
      </c>
      <c r="O107" s="51">
        <v>445.4038077940067</v>
      </c>
      <c r="P107" s="51">
        <v>0</v>
      </c>
      <c r="Q107" s="51">
        <v>85180.308066613128</v>
      </c>
      <c r="R107" s="67">
        <v>2017</v>
      </c>
      <c r="S107" s="2">
        <f t="shared" si="3"/>
        <v>-1.6805075283627957E-3</v>
      </c>
      <c r="T107">
        <f>VLOOKUP(A107,'Groupe de branches'!$Z$27:$AM$86,14,FALSE)</f>
        <v>0</v>
      </c>
      <c r="U107">
        <f>VLOOKUP(A107,'Groupe de branches'!$Z$27:$AM$86,14,FALSE)</f>
        <v>0</v>
      </c>
      <c r="W107" s="2"/>
      <c r="X107" s="2"/>
    </row>
    <row r="108" spans="1:24" x14ac:dyDescent="0.25">
      <c r="A108" s="29" t="s">
        <v>21</v>
      </c>
      <c r="B108" t="s">
        <v>126</v>
      </c>
      <c r="D108" s="51">
        <v>2279275.2716024974</v>
      </c>
      <c r="E108" s="51">
        <v>6220256.3529803948</v>
      </c>
      <c r="F108" s="171">
        <v>0.46417913282554468</v>
      </c>
      <c r="G108" s="51">
        <v>4901019.8287246674</v>
      </c>
      <c r="H108" s="171">
        <v>0.36573269732977931</v>
      </c>
      <c r="I108" s="51">
        <v>13400551.453307558</v>
      </c>
      <c r="J108" s="51">
        <v>0</v>
      </c>
      <c r="K108" s="51">
        <v>13400551.415997349</v>
      </c>
      <c r="L108" s="51">
        <v>13400551.455404084</v>
      </c>
      <c r="M108" s="51">
        <v>0</v>
      </c>
      <c r="N108" s="51">
        <v>0</v>
      </c>
      <c r="O108" s="51">
        <v>74796.412110367441</v>
      </c>
      <c r="P108" s="51">
        <v>0</v>
      </c>
      <c r="Q108" s="51">
        <v>13400551.455404084</v>
      </c>
      <c r="R108" s="67">
        <v>2017</v>
      </c>
      <c r="S108" s="2">
        <f t="shared" si="3"/>
        <v>-3.9406735450029373E-2</v>
      </c>
      <c r="T108">
        <f>VLOOKUP(A108,'Groupe de branches'!$Z$27:$AM$86,14,FALSE)</f>
        <v>0</v>
      </c>
      <c r="U108">
        <f>VLOOKUP(A108,'Groupe de branches'!$Z$27:$AM$86,14,FALSE)</f>
        <v>0</v>
      </c>
      <c r="W108" s="2"/>
      <c r="X108" s="2"/>
    </row>
    <row r="109" spans="1:24" x14ac:dyDescent="0.25">
      <c r="A109" s="29" t="s">
        <v>22</v>
      </c>
      <c r="B109" t="s">
        <v>126</v>
      </c>
      <c r="D109" s="51">
        <v>621214.19312965649</v>
      </c>
      <c r="E109" s="51">
        <v>888360.05458691169</v>
      </c>
      <c r="F109" s="171">
        <v>0.44224117432615112</v>
      </c>
      <c r="G109" s="51">
        <v>499194.05826606194</v>
      </c>
      <c r="H109" s="171">
        <v>0.24850753408411178</v>
      </c>
      <c r="I109" s="51">
        <v>2008768.3059826302</v>
      </c>
      <c r="J109" s="51">
        <v>0</v>
      </c>
      <c r="K109" s="51">
        <v>2008768.3051060056</v>
      </c>
      <c r="L109" s="51">
        <v>2008768.3069934642</v>
      </c>
      <c r="M109" s="51">
        <v>0</v>
      </c>
      <c r="N109" s="51">
        <v>0</v>
      </c>
      <c r="O109" s="51">
        <v>7249.3579611912173</v>
      </c>
      <c r="P109" s="51">
        <v>0</v>
      </c>
      <c r="Q109" s="51">
        <v>2008768.3069934642</v>
      </c>
      <c r="R109" s="67">
        <v>2017</v>
      </c>
      <c r="S109" s="2">
        <f t="shared" si="3"/>
        <v>-1.8874586094170809E-3</v>
      </c>
      <c r="T109">
        <f>VLOOKUP(A109,'Groupe de branches'!$Z$27:$AM$86,14,FALSE)</f>
        <v>0</v>
      </c>
      <c r="U109">
        <f>VLOOKUP(A109,'Groupe de branches'!$Z$27:$AM$86,14,FALSE)</f>
        <v>0</v>
      </c>
      <c r="W109" s="2"/>
      <c r="X109" s="2"/>
    </row>
    <row r="110" spans="1:24" x14ac:dyDescent="0.25">
      <c r="A110" s="29" t="s">
        <v>23</v>
      </c>
      <c r="B110" t="s">
        <v>126</v>
      </c>
      <c r="D110" s="51">
        <v>151693.07132371189</v>
      </c>
      <c r="E110" s="51">
        <v>79018.678674477036</v>
      </c>
      <c r="F110" s="171">
        <v>0.21662557990130044</v>
      </c>
      <c r="G110" s="51">
        <v>134059.01581109245</v>
      </c>
      <c r="H110" s="171">
        <v>0.36751578902895021</v>
      </c>
      <c r="I110" s="51">
        <v>364770.76580928138</v>
      </c>
      <c r="J110" s="51">
        <v>0</v>
      </c>
      <c r="K110" s="51">
        <v>364770.76399735926</v>
      </c>
      <c r="L110" s="51">
        <v>364770.77447860519</v>
      </c>
      <c r="M110" s="51">
        <v>0</v>
      </c>
      <c r="N110" s="51">
        <v>0</v>
      </c>
      <c r="O110" s="51">
        <v>2089.7139468380783</v>
      </c>
      <c r="P110" s="51">
        <v>0</v>
      </c>
      <c r="Q110" s="51">
        <v>364770.77447860519</v>
      </c>
      <c r="R110" s="67">
        <v>2017</v>
      </c>
      <c r="S110" s="2">
        <f t="shared" si="3"/>
        <v>-1.0481245932169259E-2</v>
      </c>
      <c r="T110">
        <f>VLOOKUP(A110,'Groupe de branches'!$Z$27:$AM$86,14,FALSE)</f>
        <v>0</v>
      </c>
      <c r="U110">
        <f>VLOOKUP(A110,'Groupe de branches'!$Z$27:$AM$86,14,FALSE)</f>
        <v>0</v>
      </c>
      <c r="W110" s="2"/>
      <c r="X110" s="2"/>
    </row>
    <row r="111" spans="1:24" x14ac:dyDescent="0.25">
      <c r="A111" s="29" t="s">
        <v>24</v>
      </c>
      <c r="B111" t="s">
        <v>126</v>
      </c>
      <c r="D111" s="51">
        <v>1917392.6897178497</v>
      </c>
      <c r="E111" s="51">
        <v>1548923.2256816525</v>
      </c>
      <c r="F111" s="171">
        <v>0.27355086775980197</v>
      </c>
      <c r="G111" s="51">
        <v>2195970.0000731633</v>
      </c>
      <c r="H111" s="171">
        <v>0.3878239341592577</v>
      </c>
      <c r="I111" s="51">
        <v>5662285.9154726658</v>
      </c>
      <c r="J111" s="51">
        <v>0</v>
      </c>
      <c r="K111" s="51">
        <v>5662285.9133893913</v>
      </c>
      <c r="L111" s="51">
        <v>5662285.9197262954</v>
      </c>
      <c r="M111" s="51">
        <v>0</v>
      </c>
      <c r="N111" s="51">
        <v>0</v>
      </c>
      <c r="O111" s="51">
        <v>37426.77864030021</v>
      </c>
      <c r="P111" s="51">
        <v>0</v>
      </c>
      <c r="Q111" s="51">
        <v>5662285.9197262954</v>
      </c>
      <c r="R111" s="67">
        <v>2017</v>
      </c>
      <c r="S111" s="2">
        <f t="shared" si="3"/>
        <v>-6.3369041308760643E-3</v>
      </c>
      <c r="T111">
        <f>VLOOKUP(A111,'Groupe de branches'!$Z$27:$AM$86,14,FALSE)</f>
        <v>0</v>
      </c>
      <c r="U111">
        <f>VLOOKUP(A111,'Groupe de branches'!$Z$27:$AM$86,14,FALSE)</f>
        <v>0</v>
      </c>
      <c r="W111" s="2"/>
      <c r="X111" s="2"/>
    </row>
    <row r="112" spans="1:24" x14ac:dyDescent="0.25">
      <c r="A112" s="29" t="s">
        <v>25</v>
      </c>
      <c r="B112" t="s">
        <v>126</v>
      </c>
      <c r="D112" s="51">
        <v>162231.61857737391</v>
      </c>
      <c r="E112" s="51">
        <v>324958.49791016831</v>
      </c>
      <c r="F112" s="171">
        <v>0.39412071481575911</v>
      </c>
      <c r="G112" s="51">
        <v>337325.02746290388</v>
      </c>
      <c r="H112" s="171">
        <v>0.40911926231785178</v>
      </c>
      <c r="I112" s="51">
        <v>824515.14395044604</v>
      </c>
      <c r="J112" s="51">
        <v>0</v>
      </c>
      <c r="K112" s="51">
        <v>824515.1430635053</v>
      </c>
      <c r="L112" s="51">
        <v>824515.14717124088</v>
      </c>
      <c r="M112" s="51">
        <v>0</v>
      </c>
      <c r="N112" s="51">
        <v>0</v>
      </c>
      <c r="O112" s="51">
        <v>5554.2867899317935</v>
      </c>
      <c r="P112" s="51">
        <v>0</v>
      </c>
      <c r="Q112" s="51">
        <v>824515.14717124088</v>
      </c>
      <c r="R112" s="67">
        <v>2017</v>
      </c>
      <c r="S112" s="2">
        <f t="shared" si="3"/>
        <v>-4.1077355854213238E-3</v>
      </c>
      <c r="T112">
        <f>VLOOKUP(A112,'Groupe de branches'!$Z$27:$AM$86,14,FALSE)</f>
        <v>0</v>
      </c>
      <c r="U112">
        <f>VLOOKUP(A112,'Groupe de branches'!$Z$27:$AM$86,14,FALSE)</f>
        <v>0</v>
      </c>
      <c r="W112" s="2"/>
      <c r="X112" s="2"/>
    </row>
    <row r="113" spans="1:24" x14ac:dyDescent="0.25">
      <c r="A113" s="29" t="s">
        <v>26</v>
      </c>
      <c r="B113" t="s">
        <v>126</v>
      </c>
      <c r="D113" s="51">
        <v>52410.991254726374</v>
      </c>
      <c r="E113" s="51">
        <v>134404.82268190081</v>
      </c>
      <c r="F113" s="171">
        <v>0.47264371023894647</v>
      </c>
      <c r="G113" s="51">
        <v>97552.347048635973</v>
      </c>
      <c r="H113" s="171">
        <v>0.34304947048446621</v>
      </c>
      <c r="I113" s="51">
        <v>284368.16098526318</v>
      </c>
      <c r="J113" s="51">
        <v>0</v>
      </c>
      <c r="K113" s="51">
        <v>284368.1579258024</v>
      </c>
      <c r="L113" s="51">
        <v>284368.17732564057</v>
      </c>
      <c r="M113" s="51">
        <v>0</v>
      </c>
      <c r="N113" s="51">
        <v>0</v>
      </c>
      <c r="O113" s="51">
        <v>1654.2705880808257</v>
      </c>
      <c r="P113" s="51">
        <v>0</v>
      </c>
      <c r="Q113" s="51">
        <v>284368.17732564057</v>
      </c>
      <c r="R113" s="67">
        <v>2017</v>
      </c>
      <c r="S113" s="2">
        <f t="shared" si="3"/>
        <v>-1.9399838172830641E-2</v>
      </c>
      <c r="T113">
        <f>VLOOKUP(A113,'Groupe de branches'!$Z$27:$AM$86,14,FALSE)</f>
        <v>0</v>
      </c>
      <c r="U113">
        <f>VLOOKUP(A113,'Groupe de branches'!$Z$27:$AM$86,14,FALSE)</f>
        <v>0</v>
      </c>
      <c r="W113" s="2"/>
      <c r="X113" s="2"/>
    </row>
    <row r="114" spans="1:24" x14ac:dyDescent="0.25">
      <c r="A114" s="29" t="s">
        <v>27</v>
      </c>
      <c r="B114" t="s">
        <v>126</v>
      </c>
      <c r="D114" s="51">
        <v>0</v>
      </c>
      <c r="E114" s="51">
        <f>F114*I114</f>
        <v>941456.86123483407</v>
      </c>
      <c r="F114" s="171">
        <v>0.60594936389125109</v>
      </c>
      <c r="G114" s="51">
        <v>599114</v>
      </c>
      <c r="H114" s="171">
        <f>G114/I114</f>
        <v>0.3856074156410968</v>
      </c>
      <c r="I114" s="51">
        <v>1553689</v>
      </c>
      <c r="J114" s="51">
        <v>0</v>
      </c>
      <c r="K114" s="51">
        <f>I114</f>
        <v>1553689</v>
      </c>
      <c r="L114" s="51">
        <f>I114</f>
        <v>1553689</v>
      </c>
      <c r="M114" s="51">
        <v>0</v>
      </c>
      <c r="N114" s="51">
        <v>0</v>
      </c>
      <c r="O114" s="51">
        <v>8936</v>
      </c>
      <c r="P114" s="51">
        <v>0</v>
      </c>
      <c r="Q114" s="51">
        <f>L114</f>
        <v>1553689</v>
      </c>
      <c r="R114" s="67">
        <v>2017</v>
      </c>
      <c r="S114" s="2">
        <f t="shared" si="3"/>
        <v>0</v>
      </c>
      <c r="T114">
        <f>VLOOKUP(A114,'Groupe de branches'!$Z$27:$AM$86,14,FALSE)</f>
        <v>1</v>
      </c>
      <c r="U114">
        <f>VLOOKUP(A114,'Groupe de branches'!$Z$27:$AM$86,14,FALSE)</f>
        <v>1</v>
      </c>
      <c r="W114" s="2"/>
      <c r="X114" s="2"/>
    </row>
    <row r="115" spans="1:24" x14ac:dyDescent="0.25">
      <c r="A115" s="29" t="s">
        <v>104</v>
      </c>
      <c r="B115" t="s">
        <v>112</v>
      </c>
      <c r="D115" s="51">
        <v>0</v>
      </c>
      <c r="E115" s="51">
        <v>0</v>
      </c>
      <c r="F115" s="171">
        <v>0</v>
      </c>
      <c r="G115" s="51">
        <v>1589234.7</v>
      </c>
      <c r="H115" s="171">
        <v>1</v>
      </c>
      <c r="I115" s="51">
        <v>1589234.7</v>
      </c>
      <c r="J115" s="51">
        <v>0</v>
      </c>
      <c r="K115" s="51">
        <v>1589234.7</v>
      </c>
      <c r="L115" s="51">
        <v>312011.62481193093</v>
      </c>
      <c r="M115" s="51">
        <v>0</v>
      </c>
      <c r="N115" s="51">
        <v>0</v>
      </c>
      <c r="O115" s="51">
        <v>12986.950665395949</v>
      </c>
      <c r="P115" s="51">
        <v>1277223.0777759142</v>
      </c>
      <c r="Q115" s="51">
        <v>1589234.7025878453</v>
      </c>
      <c r="R115" s="67">
        <v>2017</v>
      </c>
      <c r="S115" s="2">
        <f t="shared" si="3"/>
        <v>-2.587845316156745E-3</v>
      </c>
      <c r="T115">
        <f>VLOOKUP(A115,'Groupe de branches'!$Z$27:$AM$86,14,FALSE)</f>
        <v>0</v>
      </c>
      <c r="U115">
        <f>VLOOKUP(A115,'Groupe de branches'!$Z$27:$AM$86,14,FALSE)</f>
        <v>0</v>
      </c>
      <c r="W115" s="2"/>
      <c r="X115" s="2"/>
    </row>
    <row r="116" spans="1:24" x14ac:dyDescent="0.25">
      <c r="A116" s="29" t="s">
        <v>105</v>
      </c>
      <c r="B116" t="s">
        <v>112</v>
      </c>
      <c r="D116" s="51">
        <v>0</v>
      </c>
      <c r="E116" s="51">
        <v>0</v>
      </c>
      <c r="F116" s="171">
        <v>0</v>
      </c>
      <c r="G116" s="51">
        <v>2008880</v>
      </c>
      <c r="H116" s="171">
        <v>1</v>
      </c>
      <c r="I116" s="51">
        <v>2008880</v>
      </c>
      <c r="J116" s="51">
        <v>0</v>
      </c>
      <c r="K116" s="51">
        <v>2008880</v>
      </c>
      <c r="L116" s="51">
        <v>1814308.5071942699</v>
      </c>
      <c r="M116" s="51">
        <v>0</v>
      </c>
      <c r="N116" s="51">
        <v>0</v>
      </c>
      <c r="O116" s="51">
        <v>37522.226870581733</v>
      </c>
      <c r="P116" s="51">
        <v>194571.49293428793</v>
      </c>
      <c r="Q116" s="51">
        <v>2008880.0001285579</v>
      </c>
      <c r="R116" s="67">
        <v>2017</v>
      </c>
      <c r="S116" s="2">
        <f t="shared" si="3"/>
        <v>-1.2855790555477142E-4</v>
      </c>
      <c r="T116">
        <f>VLOOKUP(A116,'Groupe de branches'!$Z$27:$AM$86,14,FALSE)</f>
        <v>0</v>
      </c>
      <c r="U116">
        <f>VLOOKUP(A116,'Groupe de branches'!$Z$27:$AM$86,14,FALSE)</f>
        <v>0</v>
      </c>
      <c r="W116" s="2"/>
      <c r="X116" s="2"/>
    </row>
    <row r="117" spans="1:24" x14ac:dyDescent="0.25">
      <c r="A117" s="29" t="s">
        <v>106</v>
      </c>
      <c r="B117" t="s">
        <v>125</v>
      </c>
      <c r="D117" s="51">
        <v>0</v>
      </c>
      <c r="E117" s="51">
        <v>210682.6868094778</v>
      </c>
      <c r="F117" s="171">
        <v>0.48900000000000005</v>
      </c>
      <c r="G117" s="51">
        <v>220161.25349620276</v>
      </c>
      <c r="H117" s="171">
        <v>0.51100000000000001</v>
      </c>
      <c r="I117" s="51">
        <v>430843.94030568056</v>
      </c>
      <c r="J117" s="51">
        <v>0</v>
      </c>
      <c r="K117" s="51">
        <v>430843.94030568056</v>
      </c>
      <c r="L117" s="51">
        <v>0</v>
      </c>
      <c r="M117" s="51">
        <v>40688.336725755966</v>
      </c>
      <c r="N117" s="51">
        <v>0</v>
      </c>
      <c r="O117" s="51">
        <v>2907.3486203823991</v>
      </c>
      <c r="P117" s="51">
        <v>390155.60666781664</v>
      </c>
      <c r="Q117" s="51">
        <v>430843.94339357258</v>
      </c>
      <c r="R117" s="67">
        <v>2017</v>
      </c>
      <c r="S117" s="2">
        <f t="shared" si="3"/>
        <v>-3.0878920224495232E-3</v>
      </c>
      <c r="T117">
        <f>VLOOKUP(A117,'Groupe de branches'!$Z$27:$AM$86,14,FALSE)</f>
        <v>0</v>
      </c>
      <c r="U117">
        <f>VLOOKUP(A117,'Groupe de branches'!$Z$27:$AM$86,14,FALSE)</f>
        <v>0</v>
      </c>
      <c r="W117" s="2"/>
      <c r="X117" s="2"/>
    </row>
    <row r="118" spans="1:24" ht="15.75" thickBot="1" x14ac:dyDescent="0.3">
      <c r="A118" s="29" t="s">
        <v>107</v>
      </c>
      <c r="B118" t="s">
        <v>112</v>
      </c>
      <c r="D118" s="51">
        <v>0</v>
      </c>
      <c r="E118" s="51">
        <v>0</v>
      </c>
      <c r="F118" s="171">
        <v>0</v>
      </c>
      <c r="G118" s="51">
        <v>646496.6960545294</v>
      </c>
      <c r="H118" s="171">
        <v>1</v>
      </c>
      <c r="I118" s="51">
        <v>646496.6960545294</v>
      </c>
      <c r="J118" s="51">
        <v>0</v>
      </c>
      <c r="K118" s="51">
        <v>646496.6960545294</v>
      </c>
      <c r="L118" s="51">
        <v>646495.69605654629</v>
      </c>
      <c r="M118" s="51">
        <v>0</v>
      </c>
      <c r="N118" s="51">
        <v>0</v>
      </c>
      <c r="O118" s="51">
        <v>10774.944934242156</v>
      </c>
      <c r="P118" s="51">
        <v>0.99999798307277066</v>
      </c>
      <c r="Q118" s="51">
        <v>646496.6960545294</v>
      </c>
      <c r="R118" s="67">
        <v>2017</v>
      </c>
      <c r="S118" s="2">
        <f t="shared" si="3"/>
        <v>0</v>
      </c>
      <c r="T118">
        <f>VLOOKUP(A118,'Groupe de branches'!$Z$27:$AM$86,14,FALSE)</f>
        <v>0</v>
      </c>
      <c r="U118">
        <f>VLOOKUP(A118,'Groupe de branches'!$Z$27:$AM$86,14,FALSE)</f>
        <v>0</v>
      </c>
      <c r="W118" s="2"/>
      <c r="X118" s="2"/>
    </row>
    <row r="119" spans="1:24" x14ac:dyDescent="0.25">
      <c r="A119" s="24" t="s">
        <v>80</v>
      </c>
      <c r="B119" t="s">
        <v>125</v>
      </c>
      <c r="D119" s="164">
        <v>0</v>
      </c>
      <c r="E119" s="164">
        <v>12539.392973179791</v>
      </c>
      <c r="F119" s="172">
        <v>0.48000000000000004</v>
      </c>
      <c r="G119" s="164">
        <v>13584.342387611438</v>
      </c>
      <c r="H119" s="172">
        <v>0.51999999999999991</v>
      </c>
      <c r="I119" s="164">
        <v>26123.73536079123</v>
      </c>
      <c r="J119" s="164">
        <v>9553.659999999998</v>
      </c>
      <c r="K119" s="164">
        <v>35677.395360791226</v>
      </c>
      <c r="L119" s="164">
        <v>1854.8654529086814</v>
      </c>
      <c r="M119" s="164">
        <v>4263.3310000000001</v>
      </c>
      <c r="N119" s="164">
        <v>655.09237035882381</v>
      </c>
      <c r="O119" s="164">
        <v>175.14507823904009</v>
      </c>
      <c r="P119" s="164">
        <v>29559.18176622289</v>
      </c>
      <c r="Q119" s="217">
        <v>35677.378219131569</v>
      </c>
      <c r="R119" s="67">
        <v>2018</v>
      </c>
      <c r="S119" s="2">
        <f t="shared" si="3"/>
        <v>1.714165965677239E-2</v>
      </c>
      <c r="T119">
        <f>VLOOKUP(A119,'Groupe de branches'!$Z$27:$AM$86,14,FALSE)</f>
        <v>0</v>
      </c>
      <c r="U119">
        <f>VLOOKUP(A119,'Groupe de branches'!$Z$27:$AM$86,14,FALSE)</f>
        <v>0</v>
      </c>
      <c r="V119" s="117"/>
      <c r="X119" s="2"/>
    </row>
    <row r="120" spans="1:24" x14ac:dyDescent="0.25">
      <c r="A120" s="29" t="s">
        <v>0</v>
      </c>
      <c r="B120" t="s">
        <v>125</v>
      </c>
      <c r="D120" s="163">
        <v>485801.21430465934</v>
      </c>
      <c r="E120" s="163">
        <v>0</v>
      </c>
      <c r="F120" s="172">
        <v>0</v>
      </c>
      <c r="G120" s="163">
        <v>804030.62020011945</v>
      </c>
      <c r="H120" s="172">
        <v>0.62336081238746988</v>
      </c>
      <c r="I120" s="163">
        <v>1289831.8345047787</v>
      </c>
      <c r="J120" s="163">
        <v>56171.988999999994</v>
      </c>
      <c r="K120" s="163">
        <v>1346003.8235047788</v>
      </c>
      <c r="L120" s="163">
        <v>592.40946591327906</v>
      </c>
      <c r="M120" s="163">
        <v>170475.98799999995</v>
      </c>
      <c r="N120" s="163">
        <v>0</v>
      </c>
      <c r="O120" s="163">
        <v>6277.997395237835</v>
      </c>
      <c r="P120" s="164">
        <v>1174935.4232839728</v>
      </c>
      <c r="Q120" s="164">
        <v>1346003.8207498859</v>
      </c>
      <c r="R120" s="67">
        <v>2018</v>
      </c>
      <c r="S120" s="2">
        <f t="shared" si="3"/>
        <v>2.7548929210752249E-3</v>
      </c>
      <c r="T120">
        <f>VLOOKUP(A120,'Groupe de branches'!$Z$27:$AM$86,14,FALSE)</f>
        <v>0</v>
      </c>
      <c r="U120">
        <f>VLOOKUP(A120,'Groupe de branches'!$Z$27:$AM$86,14,FALSE)</f>
        <v>0</v>
      </c>
      <c r="V120" s="117"/>
      <c r="X120" s="2"/>
    </row>
    <row r="121" spans="1:24" x14ac:dyDescent="0.25">
      <c r="A121" s="29" t="s">
        <v>1</v>
      </c>
      <c r="B121" t="s">
        <v>125</v>
      </c>
      <c r="D121" s="163">
        <v>0</v>
      </c>
      <c r="E121" s="163">
        <v>0</v>
      </c>
      <c r="F121" s="172">
        <v>0</v>
      </c>
      <c r="G121" s="163">
        <v>185714.69816883432</v>
      </c>
      <c r="H121" s="172">
        <v>1</v>
      </c>
      <c r="I121" s="163">
        <v>185714.69816883432</v>
      </c>
      <c r="J121" s="163">
        <v>61086.568999999996</v>
      </c>
      <c r="K121" s="163">
        <v>246801.26716883431</v>
      </c>
      <c r="L121" s="163">
        <v>0</v>
      </c>
      <c r="M121" s="163">
        <v>139710.93400000001</v>
      </c>
      <c r="N121" s="163">
        <v>0</v>
      </c>
      <c r="O121" s="163">
        <v>0</v>
      </c>
      <c r="P121" s="164">
        <v>107090.29615067504</v>
      </c>
      <c r="Q121" s="164">
        <v>246801.23015067505</v>
      </c>
      <c r="R121" s="67">
        <v>2018</v>
      </c>
      <c r="S121" s="2">
        <f t="shared" si="3"/>
        <v>3.7018159258877859E-2</v>
      </c>
      <c r="T121">
        <f>VLOOKUP(A121,'Groupe de branches'!$Z$27:$AM$86,14,FALSE)</f>
        <v>0</v>
      </c>
      <c r="U121">
        <f>VLOOKUP(A121,'Groupe de branches'!$Z$27:$AM$86,14,FALSE)</f>
        <v>0</v>
      </c>
      <c r="V121" s="117"/>
      <c r="X121" s="2"/>
    </row>
    <row r="122" spans="1:24" x14ac:dyDescent="0.25">
      <c r="A122" s="29" t="s">
        <v>2</v>
      </c>
      <c r="B122" t="s">
        <v>125</v>
      </c>
      <c r="D122" s="164">
        <v>156858.50870575607</v>
      </c>
      <c r="E122" s="164">
        <v>0</v>
      </c>
      <c r="F122" s="172">
        <v>0</v>
      </c>
      <c r="G122" s="164">
        <v>175473.69607571105</v>
      </c>
      <c r="H122" s="172">
        <v>0.5280068965663377</v>
      </c>
      <c r="I122" s="164">
        <v>332332.2047814671</v>
      </c>
      <c r="J122" s="164">
        <v>13074.516999999996</v>
      </c>
      <c r="K122" s="164">
        <v>345406.72178146709</v>
      </c>
      <c r="L122" s="164">
        <v>261543.91591898538</v>
      </c>
      <c r="M122" s="164">
        <v>19986.687999999998</v>
      </c>
      <c r="N122" s="164">
        <v>13074.517</v>
      </c>
      <c r="O122" s="164">
        <v>4741.4907465300103</v>
      </c>
      <c r="P122" s="164">
        <v>63876.116968064947</v>
      </c>
      <c r="Q122" s="164">
        <v>345406.72088705032</v>
      </c>
      <c r="R122" s="67">
        <v>2018</v>
      </c>
      <c r="S122" s="2">
        <f t="shared" si="3"/>
        <v>8.9441676391288638E-4</v>
      </c>
      <c r="T122">
        <f>VLOOKUP(A122,'Groupe de branches'!$Z$27:$AM$86,14,FALSE)</f>
        <v>0</v>
      </c>
      <c r="U122">
        <f>VLOOKUP(A122,'Groupe de branches'!$Z$27:$AM$86,14,FALSE)</f>
        <v>0</v>
      </c>
      <c r="V122" s="117"/>
      <c r="X122" s="2"/>
    </row>
    <row r="123" spans="1:24" x14ac:dyDescent="0.25">
      <c r="A123" s="29" t="s">
        <v>81</v>
      </c>
      <c r="B123" t="s">
        <v>125</v>
      </c>
      <c r="D123" s="164">
        <v>17086.308071208416</v>
      </c>
      <c r="E123" s="164">
        <v>289729.81752816564</v>
      </c>
      <c r="F123" s="172">
        <v>0.25947693841141256</v>
      </c>
      <c r="G123" s="164">
        <v>809775.65824842895</v>
      </c>
      <c r="H123" s="172">
        <v>0.72522086402778452</v>
      </c>
      <c r="I123" s="164">
        <v>1116591.783847803</v>
      </c>
      <c r="J123" s="164">
        <v>0</v>
      </c>
      <c r="K123" s="164">
        <v>1116591.783847803</v>
      </c>
      <c r="L123" s="164">
        <v>19.871761449923273</v>
      </c>
      <c r="M123" s="164">
        <v>78931.94966465779</v>
      </c>
      <c r="N123" s="164">
        <v>0</v>
      </c>
      <c r="O123" s="164">
        <v>21481.841971825485</v>
      </c>
      <c r="P123" s="164">
        <v>1037639.9595998524</v>
      </c>
      <c r="Q123" s="164">
        <v>1116591.7810259601</v>
      </c>
      <c r="R123" s="67">
        <v>2018</v>
      </c>
      <c r="S123" s="2">
        <f t="shared" si="3"/>
        <v>2.8218429069966078E-3</v>
      </c>
      <c r="T123">
        <f>VLOOKUP(A123,'Groupe de branches'!$Z$27:$AM$86,14,FALSE)</f>
        <v>0</v>
      </c>
      <c r="U123">
        <f>VLOOKUP(A123,'Groupe de branches'!$Z$27:$AM$86,14,FALSE)</f>
        <v>0</v>
      </c>
      <c r="V123" s="117"/>
      <c r="X123" s="2"/>
    </row>
    <row r="124" spans="1:24" x14ac:dyDescent="0.25">
      <c r="A124" s="29" t="s">
        <v>3</v>
      </c>
      <c r="B124" t="s">
        <v>125</v>
      </c>
      <c r="D124" s="164">
        <v>172588.45791823009</v>
      </c>
      <c r="E124" s="164">
        <v>15676.746556463464</v>
      </c>
      <c r="F124" s="172">
        <v>6.4811470186909567E-2</v>
      </c>
      <c r="G124" s="164">
        <v>53617.081349919747</v>
      </c>
      <c r="H124" s="172">
        <v>0.22166601066767253</v>
      </c>
      <c r="I124" s="164">
        <v>241882.2858246133</v>
      </c>
      <c r="J124" s="164">
        <v>0</v>
      </c>
      <c r="K124" s="164">
        <v>241882.2858246133</v>
      </c>
      <c r="L124" s="164">
        <v>0</v>
      </c>
      <c r="M124" s="164">
        <v>19732.987416164451</v>
      </c>
      <c r="N124" s="164">
        <v>0</v>
      </c>
      <c r="O124" s="164">
        <v>1102.9137419695164</v>
      </c>
      <c r="P124" s="164">
        <v>222149.2918542129</v>
      </c>
      <c r="Q124" s="164">
        <v>241882.27927037736</v>
      </c>
      <c r="R124" s="67">
        <v>2018</v>
      </c>
      <c r="S124" s="2">
        <f t="shared" si="3"/>
        <v>6.5542359370738268E-3</v>
      </c>
      <c r="T124">
        <f>VLOOKUP(A124,'Groupe de branches'!$Z$27:$AM$86,14,FALSE)</f>
        <v>0</v>
      </c>
      <c r="U124">
        <f>VLOOKUP(A124,'Groupe de branches'!$Z$27:$AM$86,14,FALSE)</f>
        <v>0</v>
      </c>
      <c r="V124" s="117"/>
      <c r="X124" s="2"/>
    </row>
    <row r="125" spans="1:24" x14ac:dyDescent="0.25">
      <c r="A125" s="29" t="s">
        <v>59</v>
      </c>
      <c r="B125" t="s">
        <v>125</v>
      </c>
      <c r="D125" s="164">
        <v>0.99999663214050893</v>
      </c>
      <c r="E125" s="164">
        <v>0.50000168393119937</v>
      </c>
      <c r="F125" s="172">
        <v>0.2500008419652362</v>
      </c>
      <c r="G125" s="164">
        <v>0.50000168393119937</v>
      </c>
      <c r="H125" s="172">
        <v>0.2500008419652362</v>
      </c>
      <c r="I125" s="164">
        <v>2.0000000000029079</v>
      </c>
      <c r="J125" s="164">
        <v>52349.78499999996</v>
      </c>
      <c r="K125" s="164">
        <v>52351.78499999996</v>
      </c>
      <c r="L125" s="164">
        <v>50616.927999999964</v>
      </c>
      <c r="M125" s="164">
        <v>1734.8569999999993</v>
      </c>
      <c r="N125" s="164">
        <v>50616.927999999964</v>
      </c>
      <c r="O125" s="164">
        <v>0.50000168393119937</v>
      </c>
      <c r="P125" s="164">
        <v>0</v>
      </c>
      <c r="Q125" s="164">
        <v>52351.78499999996</v>
      </c>
      <c r="R125" s="67">
        <v>2018</v>
      </c>
      <c r="S125" s="2">
        <f t="shared" si="3"/>
        <v>0</v>
      </c>
      <c r="T125">
        <f>VLOOKUP(A125,'Groupe de branches'!$Z$27:$AM$86,14,FALSE)</f>
        <v>0</v>
      </c>
      <c r="U125">
        <f>VLOOKUP(A125,'Groupe de branches'!$Z$27:$AM$86,14,FALSE)</f>
        <v>0</v>
      </c>
      <c r="V125" s="117"/>
      <c r="X125" s="2"/>
    </row>
    <row r="126" spans="1:24" x14ac:dyDescent="0.25">
      <c r="A126" s="29" t="s">
        <v>4</v>
      </c>
      <c r="B126" t="s">
        <v>125</v>
      </c>
      <c r="D126" s="164">
        <v>314137.56860148639</v>
      </c>
      <c r="E126" s="164">
        <v>78094.014884199176</v>
      </c>
      <c r="F126" s="172">
        <v>0.14861399173267964</v>
      </c>
      <c r="G126" s="164">
        <v>133250.66736907445</v>
      </c>
      <c r="H126" s="172">
        <v>0.25357786519397418</v>
      </c>
      <c r="I126" s="164">
        <v>525482.25085475994</v>
      </c>
      <c r="J126" s="164">
        <v>32895.419000000002</v>
      </c>
      <c r="K126" s="164">
        <v>558377.66985475994</v>
      </c>
      <c r="L126" s="164">
        <v>115281.68066236583</v>
      </c>
      <c r="M126" s="164">
        <v>122362.394</v>
      </c>
      <c r="N126" s="164">
        <v>2028.4488366718062</v>
      </c>
      <c r="O126" s="164">
        <v>2103.9579058274912</v>
      </c>
      <c r="P126" s="164">
        <v>320733.59452369582</v>
      </c>
      <c r="Q126" s="164">
        <v>558377.66918606171</v>
      </c>
      <c r="R126" s="67">
        <v>2018</v>
      </c>
      <c r="S126" s="2">
        <f t="shared" si="3"/>
        <v>6.6869822330772877E-4</v>
      </c>
      <c r="T126">
        <f>VLOOKUP(A126,'Groupe de branches'!$Z$27:$AM$86,14,FALSE)</f>
        <v>0</v>
      </c>
      <c r="U126">
        <f>VLOOKUP(A126,'Groupe de branches'!$Z$27:$AM$86,14,FALSE)</f>
        <v>0</v>
      </c>
      <c r="V126" s="117"/>
      <c r="X126" s="2"/>
    </row>
    <row r="127" spans="1:24" x14ac:dyDescent="0.25">
      <c r="A127" s="29" t="s">
        <v>5</v>
      </c>
      <c r="B127" t="s">
        <v>125</v>
      </c>
      <c r="D127" s="164">
        <v>56084.622704925343</v>
      </c>
      <c r="E127" s="164">
        <v>16908.667452895414</v>
      </c>
      <c r="F127" s="172">
        <v>0.17095774533256286</v>
      </c>
      <c r="G127" s="164">
        <v>25912.245944115464</v>
      </c>
      <c r="H127" s="172">
        <v>0.26198984369701217</v>
      </c>
      <c r="I127" s="164">
        <v>98905.536101936217</v>
      </c>
      <c r="J127" s="164">
        <v>24029.571999999996</v>
      </c>
      <c r="K127" s="164">
        <v>122935.10810193622</v>
      </c>
      <c r="L127" s="164">
        <v>2489.0379386980039</v>
      </c>
      <c r="M127" s="164">
        <v>32316.731</v>
      </c>
      <c r="N127" s="164">
        <v>1287.7748133485063</v>
      </c>
      <c r="O127" s="164">
        <v>409.14072543340205</v>
      </c>
      <c r="P127" s="164">
        <v>88129.340228304951</v>
      </c>
      <c r="Q127" s="164">
        <v>122935.10916700296</v>
      </c>
      <c r="R127" s="67">
        <v>2018</v>
      </c>
      <c r="S127" s="2">
        <f t="shared" si="3"/>
        <v>-1.0650667391018942E-3</v>
      </c>
      <c r="T127">
        <f>VLOOKUP(A127,'Groupe de branches'!$Z$27:$AM$86,14,FALSE)</f>
        <v>0</v>
      </c>
      <c r="U127">
        <f>VLOOKUP(A127,'Groupe de branches'!$Z$27:$AM$86,14,FALSE)</f>
        <v>0</v>
      </c>
      <c r="V127" s="117"/>
      <c r="X127" s="2"/>
    </row>
    <row r="128" spans="1:24" x14ac:dyDescent="0.25">
      <c r="A128" s="29" t="s">
        <v>82</v>
      </c>
      <c r="B128" t="s">
        <v>125</v>
      </c>
      <c r="D128" s="164">
        <v>55630.561137785953</v>
      </c>
      <c r="E128" s="164">
        <v>10233.142170882191</v>
      </c>
      <c r="F128" s="172">
        <v>0.10148562324436937</v>
      </c>
      <c r="G128" s="164">
        <v>34969.713718703249</v>
      </c>
      <c r="H128" s="172">
        <v>0.34680679034422357</v>
      </c>
      <c r="I128" s="164">
        <v>100833.41702737138</v>
      </c>
      <c r="J128" s="164">
        <v>12677.561999999998</v>
      </c>
      <c r="K128" s="164">
        <v>113510.97902737139</v>
      </c>
      <c r="L128" s="164">
        <v>4028.2653350457699</v>
      </c>
      <c r="M128" s="164">
        <v>16977.39599999999</v>
      </c>
      <c r="N128" s="164">
        <v>0</v>
      </c>
      <c r="O128" s="164">
        <v>552.15337450584082</v>
      </c>
      <c r="P128" s="164">
        <v>92505.317167153655</v>
      </c>
      <c r="Q128" s="164">
        <v>113510.97850219942</v>
      </c>
      <c r="R128" s="67">
        <v>2018</v>
      </c>
      <c r="S128" s="2">
        <f t="shared" si="3"/>
        <v>5.2517197036650032E-4</v>
      </c>
      <c r="T128">
        <f>VLOOKUP(A128,'Groupe de branches'!$Z$27:$AM$86,14,FALSE)</f>
        <v>0</v>
      </c>
      <c r="U128">
        <f>VLOOKUP(A128,'Groupe de branches'!$Z$27:$AM$86,14,FALSE)</f>
        <v>0</v>
      </c>
      <c r="V128" s="117"/>
      <c r="X128" s="2"/>
    </row>
    <row r="129" spans="1:24" x14ac:dyDescent="0.25">
      <c r="A129" s="29" t="s">
        <v>6</v>
      </c>
      <c r="B129" t="s">
        <v>125</v>
      </c>
      <c r="D129" s="164">
        <v>8131.8592202567925</v>
      </c>
      <c r="E129" s="164">
        <v>1444.3384692469383</v>
      </c>
      <c r="F129" s="172">
        <v>0.112671695448973</v>
      </c>
      <c r="G129" s="164">
        <v>3242.8023574162467</v>
      </c>
      <c r="H129" s="172">
        <v>0.25296843322778484</v>
      </c>
      <c r="I129" s="164">
        <v>12819.000046919977</v>
      </c>
      <c r="J129" s="164">
        <v>64700.718000000015</v>
      </c>
      <c r="K129" s="164">
        <v>77519.718046919996</v>
      </c>
      <c r="L129" s="164">
        <v>2759.9745689043971</v>
      </c>
      <c r="M129" s="164">
        <v>2325.6809999999996</v>
      </c>
      <c r="N129" s="164">
        <v>2634.2056587711477</v>
      </c>
      <c r="O129" s="164">
        <v>51.202142485519687</v>
      </c>
      <c r="P129" s="164">
        <v>72434.074932507196</v>
      </c>
      <c r="Q129" s="164">
        <v>77519.730501411585</v>
      </c>
      <c r="R129" s="67">
        <v>2018</v>
      </c>
      <c r="S129" s="2">
        <f t="shared" si="3"/>
        <v>-1.2454491588869132E-2</v>
      </c>
      <c r="T129">
        <f>VLOOKUP(A129,'Groupe de branches'!$Z$27:$AM$86,14,FALSE)</f>
        <v>0</v>
      </c>
      <c r="U129">
        <f>VLOOKUP(A129,'Groupe de branches'!$Z$27:$AM$86,14,FALSE)</f>
        <v>0</v>
      </c>
      <c r="V129" s="117"/>
      <c r="X129" s="2"/>
    </row>
    <row r="130" spans="1:24" x14ac:dyDescent="0.25">
      <c r="A130" s="29" t="s">
        <v>7</v>
      </c>
      <c r="B130" t="s">
        <v>125</v>
      </c>
      <c r="D130" s="164">
        <v>519880.2039571713</v>
      </c>
      <c r="E130" s="164">
        <v>65080.489333729747</v>
      </c>
      <c r="F130" s="172">
        <v>8.5060048511771291E-2</v>
      </c>
      <c r="G130" s="164">
        <v>180151.60645959096</v>
      </c>
      <c r="H130" s="172">
        <v>0.23545773152299282</v>
      </c>
      <c r="I130" s="164">
        <v>765112.29975049198</v>
      </c>
      <c r="J130" s="164">
        <v>319208.83300000004</v>
      </c>
      <c r="K130" s="164">
        <v>1084321.1327504921</v>
      </c>
      <c r="L130" s="164">
        <v>103713.2766577772</v>
      </c>
      <c r="M130" s="164">
        <v>41468.04800000001</v>
      </c>
      <c r="N130" s="164">
        <v>17987.271802881842</v>
      </c>
      <c r="O130" s="164">
        <v>3275.4837538107445</v>
      </c>
      <c r="P130" s="164">
        <v>939139.80663473182</v>
      </c>
      <c r="Q130" s="164">
        <v>1084321.1312925089</v>
      </c>
      <c r="R130" s="67">
        <v>2018</v>
      </c>
      <c r="S130" s="2">
        <f t="shared" si="3"/>
        <v>1.4579831622540951E-3</v>
      </c>
      <c r="T130">
        <f>VLOOKUP(A130,'Groupe de branches'!$Z$27:$AM$86,14,FALSE)</f>
        <v>0</v>
      </c>
      <c r="U130">
        <f>VLOOKUP(A130,'Groupe de branches'!$Z$27:$AM$86,14,FALSE)</f>
        <v>0</v>
      </c>
      <c r="V130" s="117"/>
      <c r="X130" s="2"/>
    </row>
    <row r="131" spans="1:24" x14ac:dyDescent="0.25">
      <c r="A131" s="29" t="s">
        <v>8</v>
      </c>
      <c r="B131" t="s">
        <v>125</v>
      </c>
      <c r="D131" s="164">
        <v>170952.60285520845</v>
      </c>
      <c r="E131" s="164">
        <v>25474.071214971158</v>
      </c>
      <c r="F131" s="172">
        <v>9.0996374800478799E-2</v>
      </c>
      <c r="G131" s="164">
        <v>83519.326754867769</v>
      </c>
      <c r="H131" s="172">
        <v>0.29834084612290385</v>
      </c>
      <c r="I131" s="164">
        <v>279946.00082504738</v>
      </c>
      <c r="J131" s="164">
        <v>0</v>
      </c>
      <c r="K131" s="164">
        <v>279946.00082504738</v>
      </c>
      <c r="L131" s="164">
        <v>85498.58962771474</v>
      </c>
      <c r="M131" s="164">
        <v>29044.612649631617</v>
      </c>
      <c r="N131" s="164">
        <v>0</v>
      </c>
      <c r="O131" s="164">
        <v>1518.5332137248688</v>
      </c>
      <c r="P131" s="164">
        <v>165402.79740029885</v>
      </c>
      <c r="Q131" s="164">
        <v>279945.99967764522</v>
      </c>
      <c r="R131" s="67">
        <v>2018</v>
      </c>
      <c r="S131" s="2">
        <f t="shared" si="3"/>
        <v>1.1474021594040096E-3</v>
      </c>
      <c r="T131">
        <f>VLOOKUP(A131,'Groupe de branches'!$Z$27:$AM$86,14,FALSE)</f>
        <v>0</v>
      </c>
      <c r="U131">
        <f>VLOOKUP(A131,'Groupe de branches'!$Z$27:$AM$86,14,FALSE)</f>
        <v>0</v>
      </c>
      <c r="V131" s="117"/>
      <c r="X131" s="2"/>
    </row>
    <row r="132" spans="1:24" x14ac:dyDescent="0.25">
      <c r="A132" s="29" t="s">
        <v>83</v>
      </c>
      <c r="B132" t="s">
        <v>125</v>
      </c>
      <c r="D132" s="164">
        <v>78454.887947860887</v>
      </c>
      <c r="E132" s="164">
        <v>18451.380634402442</v>
      </c>
      <c r="F132" s="172">
        <v>0.14513209469546831</v>
      </c>
      <c r="G132" s="164">
        <v>30228.812552747517</v>
      </c>
      <c r="H132" s="172">
        <v>0.23776924734602631</v>
      </c>
      <c r="I132" s="164">
        <v>127135.08113501084</v>
      </c>
      <c r="J132" s="164">
        <v>148167.30900000004</v>
      </c>
      <c r="K132" s="164">
        <v>275302.39013501088</v>
      </c>
      <c r="L132" s="164">
        <v>3321.1930357728252</v>
      </c>
      <c r="M132" s="164">
        <v>73060.673999999999</v>
      </c>
      <c r="N132" s="164">
        <v>2208.8443496714344</v>
      </c>
      <c r="O132" s="164">
        <v>549.61477368631859</v>
      </c>
      <c r="P132" s="164">
        <v>198920.5144280759</v>
      </c>
      <c r="Q132" s="164">
        <v>275302.38146384869</v>
      </c>
      <c r="R132" s="67">
        <v>2018</v>
      </c>
      <c r="S132" s="2">
        <f t="shared" si="3"/>
        <v>8.6711621843278408E-3</v>
      </c>
      <c r="T132">
        <f>VLOOKUP(A132,'Groupe de branches'!$Z$27:$AM$86,14,FALSE)</f>
        <v>0</v>
      </c>
      <c r="U132">
        <f>VLOOKUP(A132,'Groupe de branches'!$Z$27:$AM$86,14,FALSE)</f>
        <v>0</v>
      </c>
      <c r="V132" s="117"/>
      <c r="X132" s="2"/>
    </row>
    <row r="133" spans="1:24" x14ac:dyDescent="0.25">
      <c r="A133" s="29" t="s">
        <v>9</v>
      </c>
      <c r="B133" t="s">
        <v>125</v>
      </c>
      <c r="D133" s="164">
        <v>181798.5659215927</v>
      </c>
      <c r="E133" s="164">
        <v>24558.801562205255</v>
      </c>
      <c r="F133" s="172">
        <v>9.3338452787439477E-2</v>
      </c>
      <c r="G133" s="164">
        <v>56758.217023835168</v>
      </c>
      <c r="H133" s="172">
        <v>0.21571590725059686</v>
      </c>
      <c r="I133" s="164">
        <v>263115.58450763312</v>
      </c>
      <c r="J133" s="164">
        <v>0</v>
      </c>
      <c r="K133" s="164">
        <v>263115.58450763312</v>
      </c>
      <c r="L133" s="164">
        <v>56579.506799095587</v>
      </c>
      <c r="M133" s="164">
        <v>0</v>
      </c>
      <c r="N133" s="164">
        <v>0</v>
      </c>
      <c r="O133" s="164">
        <v>1031.9675822515485</v>
      </c>
      <c r="P133" s="164">
        <v>206536.07584665</v>
      </c>
      <c r="Q133" s="164">
        <v>263115.5826457456</v>
      </c>
      <c r="R133" s="67">
        <v>2018</v>
      </c>
      <c r="S133" s="2">
        <f t="shared" si="3"/>
        <v>1.8618875183165073E-3</v>
      </c>
      <c r="T133">
        <f>VLOOKUP(A133,'Groupe de branches'!$Z$27:$AM$86,14,FALSE)</f>
        <v>0</v>
      </c>
      <c r="U133">
        <f>VLOOKUP(A133,'Groupe de branches'!$Z$27:$AM$86,14,FALSE)</f>
        <v>0</v>
      </c>
      <c r="V133" s="117"/>
      <c r="X133" s="2"/>
    </row>
    <row r="134" spans="1:24" x14ac:dyDescent="0.25">
      <c r="A134" s="29" t="s">
        <v>10</v>
      </c>
      <c r="B134" t="s">
        <v>125</v>
      </c>
      <c r="D134" s="164">
        <v>142092.5578796996</v>
      </c>
      <c r="E134" s="164">
        <v>44741.96561995575</v>
      </c>
      <c r="F134" s="172">
        <v>0.18573454297538086</v>
      </c>
      <c r="G134" s="164">
        <v>54057.477003914435</v>
      </c>
      <c r="H134" s="172">
        <v>0.22440544680151533</v>
      </c>
      <c r="I134" s="164">
        <v>240892.00050356978</v>
      </c>
      <c r="J134" s="164">
        <v>0</v>
      </c>
      <c r="K134" s="164">
        <v>240892.00050356978</v>
      </c>
      <c r="L134" s="164">
        <v>0</v>
      </c>
      <c r="M134" s="164">
        <v>23389.626346552039</v>
      </c>
      <c r="N134" s="164">
        <v>0</v>
      </c>
      <c r="O134" s="164">
        <v>894.56817736974244</v>
      </c>
      <c r="P134" s="164">
        <v>217502.37323667353</v>
      </c>
      <c r="Q134" s="164">
        <v>240891.99958322558</v>
      </c>
      <c r="R134" s="67">
        <v>2018</v>
      </c>
      <c r="S134" s="2">
        <f t="shared" ref="S134:S197" si="6">K134-Q134</f>
        <v>9.2034420231357217E-4</v>
      </c>
      <c r="T134">
        <f>VLOOKUP(A134,'Groupe de branches'!$Z$27:$AM$86,14,FALSE)</f>
        <v>0</v>
      </c>
      <c r="U134">
        <f>VLOOKUP(A134,'Groupe de branches'!$Z$27:$AM$86,14,FALSE)</f>
        <v>0</v>
      </c>
      <c r="V134" s="117"/>
      <c r="X134" s="2"/>
    </row>
    <row r="135" spans="1:24" x14ac:dyDescent="0.25">
      <c r="A135" s="29" t="s">
        <v>84</v>
      </c>
      <c r="B135" t="s">
        <v>125</v>
      </c>
      <c r="D135" s="164">
        <v>24619.530074860108</v>
      </c>
      <c r="E135" s="164">
        <v>7779.5078763452611</v>
      </c>
      <c r="F135" s="172">
        <v>0.18404759609677923</v>
      </c>
      <c r="G135" s="164">
        <v>9869.9622494519645</v>
      </c>
      <c r="H135" s="172">
        <v>0.23350356532205072</v>
      </c>
      <c r="I135" s="164">
        <v>42269.000200657334</v>
      </c>
      <c r="J135" s="164">
        <v>11725.615000000002</v>
      </c>
      <c r="K135" s="164">
        <v>53994.615200657339</v>
      </c>
      <c r="L135" s="164">
        <v>0</v>
      </c>
      <c r="M135" s="164">
        <v>20817.022999999997</v>
      </c>
      <c r="N135" s="164">
        <v>0</v>
      </c>
      <c r="O135" s="164">
        <v>155.84150920187312</v>
      </c>
      <c r="P135" s="164">
        <v>33177.361742578039</v>
      </c>
      <c r="Q135" s="164">
        <v>53994.38474257804</v>
      </c>
      <c r="R135" s="67">
        <v>2018</v>
      </c>
      <c r="S135" s="2">
        <f t="shared" si="6"/>
        <v>0.23045807929884177</v>
      </c>
      <c r="T135">
        <f>VLOOKUP(A135,'Groupe de branches'!$Z$27:$AM$86,14,FALSE)</f>
        <v>0</v>
      </c>
      <c r="U135">
        <f>VLOOKUP(A135,'Groupe de branches'!$Z$27:$AM$86,14,FALSE)</f>
        <v>0</v>
      </c>
      <c r="V135" s="117"/>
      <c r="X135" s="2"/>
    </row>
    <row r="136" spans="1:24" x14ac:dyDescent="0.25">
      <c r="A136" s="29" t="s">
        <v>11</v>
      </c>
      <c r="B136" t="s">
        <v>125</v>
      </c>
      <c r="D136" s="164">
        <v>0</v>
      </c>
      <c r="E136" s="164">
        <v>0</v>
      </c>
      <c r="F136" s="172">
        <v>0</v>
      </c>
      <c r="G136" s="164">
        <v>103646.175</v>
      </c>
      <c r="H136" s="172">
        <v>1</v>
      </c>
      <c r="I136" s="164">
        <v>103646.175</v>
      </c>
      <c r="J136" s="164">
        <v>26406.402000000002</v>
      </c>
      <c r="K136" s="164">
        <v>130052.577</v>
      </c>
      <c r="L136" s="164">
        <v>0</v>
      </c>
      <c r="M136" s="164">
        <v>8171.45</v>
      </c>
      <c r="N136" s="164">
        <v>0</v>
      </c>
      <c r="O136" s="164">
        <v>1909.2716447368423</v>
      </c>
      <c r="P136" s="164">
        <v>121881.04459183376</v>
      </c>
      <c r="Q136" s="164">
        <v>130052.49459183376</v>
      </c>
      <c r="R136" s="67">
        <v>2018</v>
      </c>
      <c r="S136" s="2">
        <f t="shared" si="6"/>
        <v>8.2408166243112646E-2</v>
      </c>
      <c r="T136">
        <f>VLOOKUP(A136,'Groupe de branches'!$Z$27:$AM$86,14,FALSE)</f>
        <v>0</v>
      </c>
      <c r="U136">
        <f>VLOOKUP(A136,'Groupe de branches'!$Z$27:$AM$86,14,FALSE)</f>
        <v>0</v>
      </c>
      <c r="V136" s="117"/>
      <c r="X136" s="2"/>
    </row>
    <row r="137" spans="1:24" x14ac:dyDescent="0.25">
      <c r="A137" s="29" t="s">
        <v>12</v>
      </c>
      <c r="B137" t="s">
        <v>125</v>
      </c>
      <c r="D137" s="164">
        <v>0</v>
      </c>
      <c r="E137" s="164">
        <v>0</v>
      </c>
      <c r="F137" s="172">
        <v>0</v>
      </c>
      <c r="G137" s="164">
        <v>163418.54999999999</v>
      </c>
      <c r="H137" s="172">
        <v>1</v>
      </c>
      <c r="I137" s="164">
        <v>163418.54999999999</v>
      </c>
      <c r="J137" s="164">
        <v>70975.717000000004</v>
      </c>
      <c r="K137" s="164">
        <v>234394.26699999999</v>
      </c>
      <c r="L137" s="164">
        <v>36966.94513663141</v>
      </c>
      <c r="M137" s="164">
        <v>48426.721999999994</v>
      </c>
      <c r="N137" s="164">
        <v>17293.342216468453</v>
      </c>
      <c r="O137" s="164">
        <v>3010.3417105263152</v>
      </c>
      <c r="P137" s="164">
        <v>149000.59956708096</v>
      </c>
      <c r="Q137" s="164">
        <v>234394.26670371238</v>
      </c>
      <c r="R137" s="67">
        <v>2018</v>
      </c>
      <c r="S137" s="2">
        <f t="shared" si="6"/>
        <v>2.9628761694766581E-4</v>
      </c>
      <c r="T137">
        <f>VLOOKUP(A137,'Groupe de branches'!$Z$27:$AM$86,14,FALSE)</f>
        <v>0</v>
      </c>
      <c r="U137">
        <f>VLOOKUP(A137,'Groupe de branches'!$Z$27:$AM$86,14,FALSE)</f>
        <v>0</v>
      </c>
      <c r="V137" s="117"/>
      <c r="X137" s="2"/>
    </row>
    <row r="138" spans="1:24" x14ac:dyDescent="0.25">
      <c r="A138" s="29" t="s">
        <v>13</v>
      </c>
      <c r="B138" t="s">
        <v>125</v>
      </c>
      <c r="D138" s="164">
        <v>397673.01279615256</v>
      </c>
      <c r="E138" s="164">
        <v>176083.58609324813</v>
      </c>
      <c r="F138" s="172">
        <v>0.25368619203463838</v>
      </c>
      <c r="G138" s="164">
        <v>120343.40190688088</v>
      </c>
      <c r="H138" s="172">
        <v>0.17338049527275781</v>
      </c>
      <c r="I138" s="164">
        <v>694100.0007962815</v>
      </c>
      <c r="J138" s="164">
        <v>278678.2969999999</v>
      </c>
      <c r="K138" s="164">
        <v>972778.2977962814</v>
      </c>
      <c r="L138" s="164">
        <v>389327.86684984074</v>
      </c>
      <c r="M138" s="164">
        <v>73012.944999999978</v>
      </c>
      <c r="N138" s="164">
        <v>148862.17567066921</v>
      </c>
      <c r="O138" s="164">
        <v>1579.449505885261</v>
      </c>
      <c r="P138" s="164">
        <v>510437.4739205222</v>
      </c>
      <c r="Q138" s="164">
        <v>972778.28577036294</v>
      </c>
      <c r="R138" s="67">
        <v>2018</v>
      </c>
      <c r="S138" s="2">
        <f t="shared" si="6"/>
        <v>1.2025918462313712E-2</v>
      </c>
      <c r="T138">
        <f>VLOOKUP(A138,'Groupe de branches'!$Z$27:$AM$86,14,FALSE)</f>
        <v>0</v>
      </c>
      <c r="U138">
        <f>VLOOKUP(A138,'Groupe de branches'!$Z$27:$AM$86,14,FALSE)</f>
        <v>0</v>
      </c>
      <c r="V138" s="117"/>
      <c r="X138" s="2"/>
    </row>
    <row r="139" spans="1:24" x14ac:dyDescent="0.25">
      <c r="A139" s="29" t="s">
        <v>14</v>
      </c>
      <c r="B139" t="s">
        <v>125</v>
      </c>
      <c r="D139" s="164">
        <v>85237.142612843294</v>
      </c>
      <c r="E139" s="164">
        <v>49295.533002456796</v>
      </c>
      <c r="F139" s="172">
        <v>0.27710323955713012</v>
      </c>
      <c r="G139" s="164">
        <v>43363.234520003753</v>
      </c>
      <c r="H139" s="172">
        <v>0.24375621950511733</v>
      </c>
      <c r="I139" s="164">
        <v>177895.91013530386</v>
      </c>
      <c r="J139" s="164">
        <v>407422.99757053488</v>
      </c>
      <c r="K139" s="164">
        <v>585318.90770583879</v>
      </c>
      <c r="L139" s="164">
        <v>76856.75696797861</v>
      </c>
      <c r="M139" s="164">
        <v>48426.811784803293</v>
      </c>
      <c r="N139" s="164">
        <v>63051.391355720902</v>
      </c>
      <c r="O139" s="164">
        <v>587.49527681867039</v>
      </c>
      <c r="P139" s="164">
        <v>460035.33677707898</v>
      </c>
      <c r="Q139" s="164">
        <v>585318.90552986087</v>
      </c>
      <c r="R139" s="67">
        <v>2018</v>
      </c>
      <c r="S139" s="2">
        <f t="shared" si="6"/>
        <v>2.1759779192507267E-3</v>
      </c>
      <c r="T139">
        <f>VLOOKUP(A139,'Groupe de branches'!$Z$27:$AM$86,14,FALSE)</f>
        <v>0</v>
      </c>
      <c r="U139">
        <f>VLOOKUP(A139,'Groupe de branches'!$Z$27:$AM$86,14,FALSE)</f>
        <v>0</v>
      </c>
      <c r="V139" s="117"/>
      <c r="X139" s="2"/>
    </row>
    <row r="140" spans="1:24" x14ac:dyDescent="0.25">
      <c r="A140" s="29" t="s">
        <v>85</v>
      </c>
      <c r="B140" t="s">
        <v>125</v>
      </c>
      <c r="D140" s="164">
        <v>203191.19060165106</v>
      </c>
      <c r="E140" s="164">
        <v>58059.286065179178</v>
      </c>
      <c r="F140" s="172">
        <v>0.21277058248211234</v>
      </c>
      <c r="G140" s="164">
        <v>11622.236223638229</v>
      </c>
      <c r="H140" s="172">
        <v>4.2592152584723313E-2</v>
      </c>
      <c r="I140" s="164">
        <v>272872.71289046848</v>
      </c>
      <c r="J140" s="164">
        <v>194790</v>
      </c>
      <c r="K140" s="164">
        <v>467662.71289046848</v>
      </c>
      <c r="L140" s="164">
        <v>104277.0126173656</v>
      </c>
      <c r="M140" s="164">
        <v>12450</v>
      </c>
      <c r="N140" s="164">
        <v>39439.983948296729</v>
      </c>
      <c r="O140" s="164">
        <v>179.44430592779557</v>
      </c>
      <c r="P140" s="164">
        <v>350935.64078797767</v>
      </c>
      <c r="Q140" s="164">
        <v>467662.6534053433</v>
      </c>
      <c r="R140" s="67">
        <v>2018</v>
      </c>
      <c r="S140" s="2">
        <f t="shared" si="6"/>
        <v>5.9485125180799514E-2</v>
      </c>
      <c r="T140">
        <f>VLOOKUP(A140,'Groupe de branches'!$Z$27:$AM$86,14,FALSE)</f>
        <v>0</v>
      </c>
      <c r="U140">
        <f>VLOOKUP(A140,'Groupe de branches'!$Z$27:$AM$86,14,FALSE)</f>
        <v>0</v>
      </c>
      <c r="V140" s="117"/>
      <c r="X140" s="2"/>
    </row>
    <row r="141" spans="1:24" x14ac:dyDescent="0.25">
      <c r="A141" s="29" t="s">
        <v>86</v>
      </c>
      <c r="B141" t="s">
        <v>125</v>
      </c>
      <c r="D141" s="164">
        <v>271372.95181044709</v>
      </c>
      <c r="E141" s="164">
        <v>117989.0431053652</v>
      </c>
      <c r="F141" s="172">
        <v>0.24660255082497495</v>
      </c>
      <c r="G141" s="164">
        <v>89096.328855166837</v>
      </c>
      <c r="H141" s="172">
        <v>0.18621544328657988</v>
      </c>
      <c r="I141" s="164">
        <v>478458.32377097913</v>
      </c>
      <c r="J141" s="164">
        <v>115488.07300000002</v>
      </c>
      <c r="K141" s="164">
        <v>593946.39677097916</v>
      </c>
      <c r="L141" s="164">
        <v>321762.76704918029</v>
      </c>
      <c r="M141" s="164">
        <v>50164.84199999999</v>
      </c>
      <c r="N141" s="164">
        <v>82847.919122342646</v>
      </c>
      <c r="O141" s="164">
        <v>759.26955874118835</v>
      </c>
      <c r="P141" s="164">
        <v>222018.78716815187</v>
      </c>
      <c r="Q141" s="164">
        <v>593946.39621733222</v>
      </c>
      <c r="R141" s="67">
        <v>2018</v>
      </c>
      <c r="S141" s="2">
        <f t="shared" si="6"/>
        <v>5.5364693980664015E-4</v>
      </c>
      <c r="T141">
        <f>VLOOKUP(A141,'Groupe de branches'!$Z$27:$AM$86,14,FALSE)</f>
        <v>1</v>
      </c>
      <c r="U141">
        <f>VLOOKUP(A141,'Groupe de branches'!$Z$27:$AM$86,14,FALSE)</f>
        <v>1</v>
      </c>
      <c r="V141" s="117"/>
      <c r="X141" s="2"/>
    </row>
    <row r="142" spans="1:24" x14ac:dyDescent="0.25">
      <c r="A142" s="29" t="s">
        <v>87</v>
      </c>
      <c r="B142" t="s">
        <v>125</v>
      </c>
      <c r="D142" s="164">
        <v>306569.01758537802</v>
      </c>
      <c r="E142" s="164">
        <v>865465.99847557861</v>
      </c>
      <c r="F142" s="172">
        <v>0.54653255254606425</v>
      </c>
      <c r="G142" s="164">
        <v>411522.98875273304</v>
      </c>
      <c r="H142" s="172">
        <v>0.25987238074120939</v>
      </c>
      <c r="I142" s="164">
        <v>1583558.0048136897</v>
      </c>
      <c r="J142" s="164">
        <v>1119196.7820000001</v>
      </c>
      <c r="K142" s="164">
        <v>2702754.7868136899</v>
      </c>
      <c r="L142" s="164">
        <v>221506.62941323742</v>
      </c>
      <c r="M142" s="164">
        <v>882211.64600000042</v>
      </c>
      <c r="N142" s="164">
        <v>155508.18394107078</v>
      </c>
      <c r="O142" s="164">
        <v>4129.2694034992282</v>
      </c>
      <c r="P142" s="164">
        <v>1599036.5092012445</v>
      </c>
      <c r="Q142" s="164">
        <v>2702754.7846144824</v>
      </c>
      <c r="R142" s="67">
        <v>2018</v>
      </c>
      <c r="S142" s="2">
        <f t="shared" si="6"/>
        <v>2.1992074325680733E-3</v>
      </c>
      <c r="T142">
        <f>VLOOKUP(A142,'Groupe de branches'!$Z$27:$AM$86,14,FALSE)</f>
        <v>0</v>
      </c>
      <c r="U142">
        <f>VLOOKUP(A142,'Groupe de branches'!$Z$27:$AM$86,14,FALSE)</f>
        <v>0</v>
      </c>
      <c r="V142" s="117"/>
      <c r="X142" s="2"/>
    </row>
    <row r="143" spans="1:24" x14ac:dyDescent="0.25">
      <c r="A143" s="29" t="s">
        <v>88</v>
      </c>
      <c r="B143" t="s">
        <v>125</v>
      </c>
      <c r="D143" s="164">
        <v>0</v>
      </c>
      <c r="E143" s="164">
        <v>0</v>
      </c>
      <c r="F143" s="172">
        <v>0</v>
      </c>
      <c r="G143" s="164">
        <v>1</v>
      </c>
      <c r="H143" s="172">
        <v>1</v>
      </c>
      <c r="I143" s="164">
        <v>1</v>
      </c>
      <c r="J143" s="164">
        <v>0</v>
      </c>
      <c r="K143" s="164">
        <v>1</v>
      </c>
      <c r="L143" s="164">
        <v>1</v>
      </c>
      <c r="M143" s="164">
        <v>0</v>
      </c>
      <c r="N143" s="164">
        <v>0</v>
      </c>
      <c r="O143" s="164">
        <v>0</v>
      </c>
      <c r="P143" s="164">
        <v>0</v>
      </c>
      <c r="Q143" s="164">
        <v>1</v>
      </c>
      <c r="R143" s="67">
        <v>2018</v>
      </c>
      <c r="S143" s="2">
        <f t="shared" si="6"/>
        <v>0</v>
      </c>
      <c r="T143">
        <f>VLOOKUP(A143,'Groupe de branches'!$Z$27:$AM$86,14,FALSE)</f>
        <v>0</v>
      </c>
      <c r="U143">
        <f>VLOOKUP(A143,'Groupe de branches'!$Z$27:$AM$86,14,FALSE)</f>
        <v>0</v>
      </c>
      <c r="V143" s="117"/>
      <c r="X143" s="2"/>
    </row>
    <row r="144" spans="1:24" x14ac:dyDescent="0.25">
      <c r="A144" s="29" t="s">
        <v>89</v>
      </c>
      <c r="B144" t="s">
        <v>125</v>
      </c>
      <c r="D144" s="164">
        <v>14146.196576366146</v>
      </c>
      <c r="E144" s="164">
        <v>37601.046465200699</v>
      </c>
      <c r="F144" s="172">
        <v>0.53748797979731255</v>
      </c>
      <c r="G144" s="164">
        <v>18209.756702650888</v>
      </c>
      <c r="H144" s="172">
        <v>0.2602992805470622</v>
      </c>
      <c r="I144" s="164">
        <v>69956.999744217726</v>
      </c>
      <c r="J144" s="164">
        <v>116647.78000000003</v>
      </c>
      <c r="K144" s="164">
        <v>186604.77974421775</v>
      </c>
      <c r="L144" s="164">
        <v>117741.59292196024</v>
      </c>
      <c r="M144" s="164">
        <v>17202.512999999999</v>
      </c>
      <c r="N144" s="164">
        <v>83765.804223070183</v>
      </c>
      <c r="O144" s="164">
        <v>477.40935175489216</v>
      </c>
      <c r="P144" s="164">
        <v>51660.673959203152</v>
      </c>
      <c r="Q144" s="164">
        <v>186604.77988116338</v>
      </c>
      <c r="R144" s="67">
        <v>2018</v>
      </c>
      <c r="S144" s="2">
        <f t="shared" si="6"/>
        <v>-1.3694562949240208E-4</v>
      </c>
      <c r="T144">
        <f>VLOOKUP(A144,'Groupe de branches'!$Z$27:$AM$86,14,FALSE)</f>
        <v>0</v>
      </c>
      <c r="U144">
        <f>VLOOKUP(A144,'Groupe de branches'!$Z$27:$AM$86,14,FALSE)</f>
        <v>0</v>
      </c>
      <c r="V144" s="117"/>
      <c r="X144" s="2"/>
    </row>
    <row r="145" spans="1:24" x14ac:dyDescent="0.25">
      <c r="A145" s="29" t="s">
        <v>90</v>
      </c>
      <c r="B145" t="s">
        <v>125</v>
      </c>
      <c r="D145" s="164">
        <v>107357.86615770406</v>
      </c>
      <c r="E145" s="164">
        <v>443330.66044884914</v>
      </c>
      <c r="F145" s="172">
        <v>0.5663743566996613</v>
      </c>
      <c r="G145" s="164">
        <v>232063.47338192762</v>
      </c>
      <c r="H145" s="172">
        <v>0.29647126214349206</v>
      </c>
      <c r="I145" s="164">
        <v>782751.99998848082</v>
      </c>
      <c r="J145" s="164">
        <v>175157.06199999995</v>
      </c>
      <c r="K145" s="164">
        <v>957909.06198848074</v>
      </c>
      <c r="L145" s="164">
        <v>337426.87631295039</v>
      </c>
      <c r="M145" s="164">
        <v>27255.463999999996</v>
      </c>
      <c r="N145" s="164">
        <v>112090.44017488674</v>
      </c>
      <c r="O145" s="164">
        <v>4418.3864193724312</v>
      </c>
      <c r="P145" s="164">
        <v>593226.72168882506</v>
      </c>
      <c r="Q145" s="164">
        <v>957909.06200177548</v>
      </c>
      <c r="R145" s="67">
        <v>2018</v>
      </c>
      <c r="S145" s="2">
        <f t="shared" si="6"/>
        <v>-1.3294746167957783E-5</v>
      </c>
      <c r="T145">
        <f>VLOOKUP(A145,'Groupe de branches'!$Z$27:$AM$86,14,FALSE)</f>
        <v>0</v>
      </c>
      <c r="U145">
        <f>VLOOKUP(A145,'Groupe de branches'!$Z$27:$AM$86,14,FALSE)</f>
        <v>0</v>
      </c>
      <c r="V145" s="117"/>
      <c r="X145" s="2"/>
    </row>
    <row r="146" spans="1:24" x14ac:dyDescent="0.25">
      <c r="A146" s="29" t="s">
        <v>15</v>
      </c>
      <c r="B146" t="s">
        <v>125</v>
      </c>
      <c r="D146" s="164">
        <v>199862.09564882226</v>
      </c>
      <c r="E146" s="164">
        <v>180377.73488687465</v>
      </c>
      <c r="F146" s="172">
        <v>0.29411683128703731</v>
      </c>
      <c r="G146" s="164">
        <v>233046.16910448912</v>
      </c>
      <c r="H146" s="172">
        <v>0.37999590605560363</v>
      </c>
      <c r="I146" s="164">
        <v>613285.99964018608</v>
      </c>
      <c r="J146" s="164">
        <v>71781.737999999998</v>
      </c>
      <c r="K146" s="164">
        <v>685067.7376401861</v>
      </c>
      <c r="L146" s="164">
        <v>42099.948311538283</v>
      </c>
      <c r="M146" s="164">
        <v>4480.6459999999988</v>
      </c>
      <c r="N146" s="164">
        <v>9911.0257400044538</v>
      </c>
      <c r="O146" s="164">
        <v>4401.9831941959046</v>
      </c>
      <c r="P146" s="164">
        <v>638487.75670120388</v>
      </c>
      <c r="Q146" s="164">
        <v>685068.35101274215</v>
      </c>
      <c r="R146" s="67">
        <v>2018</v>
      </c>
      <c r="S146" s="2">
        <f t="shared" si="6"/>
        <v>-0.61337255605030805</v>
      </c>
      <c r="T146">
        <f>VLOOKUP(A146,'Groupe de branches'!$Z$27:$AM$86,14,FALSE)</f>
        <v>0</v>
      </c>
      <c r="U146">
        <f>VLOOKUP(A146,'Groupe de branches'!$Z$27:$AM$86,14,FALSE)</f>
        <v>0</v>
      </c>
      <c r="V146" s="117"/>
      <c r="X146" s="2"/>
    </row>
    <row r="147" spans="1:24" x14ac:dyDescent="0.25">
      <c r="A147" s="29" t="s">
        <v>16</v>
      </c>
      <c r="B147" t="s">
        <v>125</v>
      </c>
      <c r="D147" s="164">
        <v>175398.57392255423</v>
      </c>
      <c r="E147" s="164">
        <v>169551.04518588245</v>
      </c>
      <c r="F147" s="172">
        <v>0.3160641729255067</v>
      </c>
      <c r="G147" s="164">
        <v>191495.38070444629</v>
      </c>
      <c r="H147" s="172">
        <v>0.3569711354775264</v>
      </c>
      <c r="I147" s="164">
        <v>536444.99981288298</v>
      </c>
      <c r="J147" s="164">
        <v>98513.316999999995</v>
      </c>
      <c r="K147" s="164">
        <v>634958.31681288301</v>
      </c>
      <c r="L147" s="164">
        <v>125633.62348882208</v>
      </c>
      <c r="M147" s="164">
        <v>28720.730000000007</v>
      </c>
      <c r="N147" s="164">
        <v>29281.482571353423</v>
      </c>
      <c r="O147" s="164">
        <v>3869.0533301349979</v>
      </c>
      <c r="P147" s="164">
        <v>480603.96506411373</v>
      </c>
      <c r="Q147" s="164">
        <v>634958.31855293573</v>
      </c>
      <c r="R147" s="67">
        <v>2018</v>
      </c>
      <c r="S147" s="2">
        <f t="shared" si="6"/>
        <v>-1.7400527140125632E-3</v>
      </c>
      <c r="T147">
        <f>VLOOKUP(A147,'Groupe de branches'!$Z$27:$AM$86,14,FALSE)</f>
        <v>0</v>
      </c>
      <c r="U147">
        <f>VLOOKUP(A147,'Groupe de branches'!$Z$27:$AM$86,14,FALSE)</f>
        <v>0</v>
      </c>
      <c r="X147" s="2"/>
    </row>
    <row r="148" spans="1:24" x14ac:dyDescent="0.25">
      <c r="A148" s="29" t="s">
        <v>91</v>
      </c>
      <c r="B148" t="s">
        <v>125</v>
      </c>
      <c r="D148" s="164">
        <v>656318.91528793331</v>
      </c>
      <c r="E148" s="164">
        <v>275516.26456463127</v>
      </c>
      <c r="F148" s="172">
        <v>0.18846914933283862</v>
      </c>
      <c r="G148" s="164">
        <v>530028.82038264873</v>
      </c>
      <c r="H148" s="172">
        <v>0.36257054028101604</v>
      </c>
      <c r="I148" s="164">
        <v>1461864.0002352134</v>
      </c>
      <c r="J148" s="164">
        <v>250298.13299999994</v>
      </c>
      <c r="K148" s="164">
        <v>1712162.1332352133</v>
      </c>
      <c r="L148" s="164">
        <v>1578447.7018027615</v>
      </c>
      <c r="M148" s="164">
        <v>111825.05699999996</v>
      </c>
      <c r="N148" s="164">
        <v>241430.10638760705</v>
      </c>
      <c r="O148" s="164">
        <v>10574.141055015438</v>
      </c>
      <c r="P148" s="164">
        <v>21889.374195428682</v>
      </c>
      <c r="Q148" s="164">
        <v>1712162.1329981901</v>
      </c>
      <c r="R148" s="67">
        <v>2018</v>
      </c>
      <c r="S148" s="2">
        <f t="shared" si="6"/>
        <v>2.3702322505414486E-4</v>
      </c>
      <c r="T148">
        <f>VLOOKUP(A148,'Groupe de branches'!$Z$27:$AM$86,14,FALSE)</f>
        <v>0</v>
      </c>
      <c r="U148">
        <f>VLOOKUP(A148,'Groupe de branches'!$Z$27:$AM$86,14,FALSE)</f>
        <v>0</v>
      </c>
      <c r="X148" s="2"/>
    </row>
    <row r="149" spans="1:24" x14ac:dyDescent="0.25">
      <c r="A149" s="29" t="s">
        <v>17</v>
      </c>
      <c r="B149" t="s">
        <v>125</v>
      </c>
      <c r="D149" s="164">
        <v>220605.72125987624</v>
      </c>
      <c r="E149" s="164">
        <v>312949.29873860534</v>
      </c>
      <c r="F149" s="172">
        <v>0.4165503757390836</v>
      </c>
      <c r="G149" s="164">
        <v>217732.98012236986</v>
      </c>
      <c r="H149" s="172">
        <v>0.28981293470326364</v>
      </c>
      <c r="I149" s="164">
        <v>751288.00012085144</v>
      </c>
      <c r="J149" s="164">
        <v>38422.601000000002</v>
      </c>
      <c r="K149" s="164">
        <v>789710.60112085147</v>
      </c>
      <c r="L149" s="164">
        <v>353961.9829763918</v>
      </c>
      <c r="M149" s="164">
        <v>432645.27000000008</v>
      </c>
      <c r="N149" s="164">
        <v>37064.494755518135</v>
      </c>
      <c r="O149" s="164">
        <v>2424.8472255695738</v>
      </c>
      <c r="P149" s="164">
        <v>3103.3480232027032</v>
      </c>
      <c r="Q149" s="164">
        <v>789710.60099959455</v>
      </c>
      <c r="R149" s="67">
        <v>2018</v>
      </c>
      <c r="S149" s="2">
        <f t="shared" si="6"/>
        <v>1.2125691864639521E-4</v>
      </c>
      <c r="T149">
        <f>VLOOKUP(A149,'Groupe de branches'!$Z$27:$AM$86,14,FALSE)</f>
        <v>0</v>
      </c>
      <c r="U149">
        <f>VLOOKUP(A149,'Groupe de branches'!$Z$27:$AM$86,14,FALSE)</f>
        <v>0</v>
      </c>
      <c r="X149" s="2"/>
    </row>
    <row r="150" spans="1:24" x14ac:dyDescent="0.25">
      <c r="A150" s="29" t="s">
        <v>18</v>
      </c>
      <c r="B150" t="s">
        <v>125</v>
      </c>
      <c r="D150" s="164">
        <v>5363.9882813103122</v>
      </c>
      <c r="E150" s="164">
        <v>11185.249536250698</v>
      </c>
      <c r="F150" s="172">
        <v>0.41790155648053834</v>
      </c>
      <c r="G150" s="164">
        <v>10216.035876200871</v>
      </c>
      <c r="H150" s="172">
        <v>0.38168994620002328</v>
      </c>
      <c r="I150" s="164">
        <v>26765.273693761883</v>
      </c>
      <c r="J150" s="164">
        <v>14812.131999999996</v>
      </c>
      <c r="K150" s="164">
        <v>41577.405693761881</v>
      </c>
      <c r="L150" s="164">
        <v>698.00017410311193</v>
      </c>
      <c r="M150" s="164">
        <v>2520.8029999999999</v>
      </c>
      <c r="N150" s="164">
        <v>0</v>
      </c>
      <c r="O150" s="164">
        <v>190.8728571349632</v>
      </c>
      <c r="P150" s="164">
        <v>38358.59602858896</v>
      </c>
      <c r="Q150" s="164">
        <v>41577.399202692075</v>
      </c>
      <c r="R150" s="67">
        <v>2018</v>
      </c>
      <c r="S150" s="2">
        <f t="shared" si="6"/>
        <v>6.4910698056337424E-3</v>
      </c>
      <c r="T150">
        <f>VLOOKUP(A150,'Groupe de branches'!$Z$27:$AM$86,14,FALSE)</f>
        <v>0</v>
      </c>
      <c r="U150">
        <f>VLOOKUP(A150,'Groupe de branches'!$Z$27:$AM$86,14,FALSE)</f>
        <v>0</v>
      </c>
      <c r="X150" s="2"/>
    </row>
    <row r="151" spans="1:24" x14ac:dyDescent="0.25">
      <c r="A151" s="29" t="s">
        <v>92</v>
      </c>
      <c r="B151" t="s">
        <v>125</v>
      </c>
      <c r="D151" s="164">
        <v>85344.148714216411</v>
      </c>
      <c r="E151" s="164">
        <v>76052.462726614191</v>
      </c>
      <c r="F151" s="172">
        <v>0.33482784673871646</v>
      </c>
      <c r="G151" s="164">
        <v>65742.389891880754</v>
      </c>
      <c r="H151" s="172">
        <v>0.28943681845101465</v>
      </c>
      <c r="I151" s="164">
        <v>227139.00133271137</v>
      </c>
      <c r="J151" s="164">
        <v>206862.76954545453</v>
      </c>
      <c r="K151" s="164">
        <v>434001.7708781659</v>
      </c>
      <c r="L151" s="164">
        <v>423406.50654545455</v>
      </c>
      <c r="M151" s="164">
        <v>10595.263000000003</v>
      </c>
      <c r="N151" s="164">
        <v>206862.76954545453</v>
      </c>
      <c r="O151" s="164">
        <v>939.5537298011543</v>
      </c>
      <c r="P151" s="164">
        <v>0</v>
      </c>
      <c r="Q151" s="164">
        <v>434001.76954545453</v>
      </c>
      <c r="R151" s="67">
        <v>2018</v>
      </c>
      <c r="S151" s="2">
        <f t="shared" si="6"/>
        <v>1.3327113701961935E-3</v>
      </c>
      <c r="T151">
        <f>VLOOKUP(A151,'Groupe de branches'!$Z$27:$AM$86,14,FALSE)</f>
        <v>0</v>
      </c>
      <c r="U151">
        <f>VLOOKUP(A151,'Groupe de branches'!$Z$27:$AM$86,14,FALSE)</f>
        <v>0</v>
      </c>
      <c r="X151" s="2"/>
    </row>
    <row r="152" spans="1:24" x14ac:dyDescent="0.25">
      <c r="A152" s="29" t="s">
        <v>93</v>
      </c>
      <c r="B152" t="s">
        <v>125</v>
      </c>
      <c r="D152" s="164">
        <v>46272.705054159451</v>
      </c>
      <c r="E152" s="164">
        <v>88219.834192803319</v>
      </c>
      <c r="F152" s="172">
        <v>0.39036534011218804</v>
      </c>
      <c r="G152" s="164">
        <v>91500.46045800492</v>
      </c>
      <c r="H152" s="172">
        <v>0.40488183517833803</v>
      </c>
      <c r="I152" s="164">
        <v>225992.99970496769</v>
      </c>
      <c r="J152" s="164">
        <v>202948.86200000002</v>
      </c>
      <c r="K152" s="164">
        <v>428941.86170496768</v>
      </c>
      <c r="L152" s="164">
        <v>371962.59499999997</v>
      </c>
      <c r="M152" s="164">
        <v>56979.267000000058</v>
      </c>
      <c r="N152" s="164">
        <v>202948.86199999996</v>
      </c>
      <c r="O152" s="164">
        <v>1787.9400319380272</v>
      </c>
      <c r="P152" s="164">
        <v>0</v>
      </c>
      <c r="Q152" s="164">
        <v>428941.86200000002</v>
      </c>
      <c r="R152" s="67">
        <v>2018</v>
      </c>
      <c r="S152" s="2">
        <f t="shared" si="6"/>
        <v>-2.9503233963623643E-4</v>
      </c>
      <c r="T152">
        <f>VLOOKUP(A152,'Groupe de branches'!$Z$27:$AM$86,14,FALSE)</f>
        <v>0</v>
      </c>
      <c r="U152">
        <f>VLOOKUP(A152,'Groupe de branches'!$Z$27:$AM$86,14,FALSE)</f>
        <v>0</v>
      </c>
      <c r="X152" s="2"/>
    </row>
    <row r="153" spans="1:24" x14ac:dyDescent="0.25">
      <c r="A153" s="29" t="s">
        <v>94</v>
      </c>
      <c r="B153" t="s">
        <v>125</v>
      </c>
      <c r="D153" s="164">
        <v>23428.958003861644</v>
      </c>
      <c r="E153" s="164">
        <v>248906.44380495659</v>
      </c>
      <c r="F153" s="172">
        <v>0.72264702728633778</v>
      </c>
      <c r="G153" s="164">
        <v>72101.694597213514</v>
      </c>
      <c r="H153" s="172">
        <v>0.20933196612544339</v>
      </c>
      <c r="I153" s="164">
        <v>344437.09640603175</v>
      </c>
      <c r="J153" s="164">
        <v>284835.60100000008</v>
      </c>
      <c r="K153" s="164">
        <v>629272.69740603189</v>
      </c>
      <c r="L153" s="164">
        <v>539830.56401189533</v>
      </c>
      <c r="M153" s="164">
        <v>88466.763999999952</v>
      </c>
      <c r="N153" s="164">
        <v>284285.40260635089</v>
      </c>
      <c r="O153" s="164">
        <v>1167.9540161535667</v>
      </c>
      <c r="P153" s="164">
        <v>975.36935952334636</v>
      </c>
      <c r="Q153" s="164">
        <v>629272.69737141859</v>
      </c>
      <c r="R153" s="67">
        <v>2018</v>
      </c>
      <c r="S153" s="2">
        <f t="shared" si="6"/>
        <v>3.4613301977515221E-5</v>
      </c>
      <c r="T153">
        <f>VLOOKUP(A153,'Groupe de branches'!$Z$27:$AM$86,14,FALSE)</f>
        <v>0</v>
      </c>
      <c r="U153">
        <f>VLOOKUP(A153,'Groupe de branches'!$Z$27:$AM$86,14,FALSE)</f>
        <v>0</v>
      </c>
      <c r="X153" s="2"/>
    </row>
    <row r="154" spans="1:24" x14ac:dyDescent="0.25">
      <c r="A154" s="29" t="s">
        <v>95</v>
      </c>
      <c r="B154" t="s">
        <v>125</v>
      </c>
      <c r="D154" s="164">
        <v>224301.69666270202</v>
      </c>
      <c r="E154" s="164">
        <v>266706.52928240987</v>
      </c>
      <c r="F154" s="172">
        <v>0.44965947367252979</v>
      </c>
      <c r="G154" s="164">
        <v>102121.78664891236</v>
      </c>
      <c r="H154" s="172">
        <v>0.17217437067850921</v>
      </c>
      <c r="I154" s="164">
        <v>593130.01259402419</v>
      </c>
      <c r="J154" s="164">
        <v>1326076.2210000001</v>
      </c>
      <c r="K154" s="164">
        <v>1919206.2335940243</v>
      </c>
      <c r="L154" s="164">
        <v>0</v>
      </c>
      <c r="M154" s="164">
        <v>407628.96699999995</v>
      </c>
      <c r="N154" s="164">
        <v>0</v>
      </c>
      <c r="O154" s="164">
        <v>903.42615321273627</v>
      </c>
      <c r="P154" s="164">
        <v>1511577.2528506846</v>
      </c>
      <c r="Q154" s="164">
        <v>1919206.2198506845</v>
      </c>
      <c r="R154" s="67">
        <v>2018</v>
      </c>
      <c r="S154" s="2">
        <f t="shared" si="6"/>
        <v>1.3743339804932475E-2</v>
      </c>
      <c r="T154">
        <f>VLOOKUP(A154,'Groupe de branches'!$Z$27:$AM$86,14,FALSE)</f>
        <v>0</v>
      </c>
      <c r="U154">
        <f>VLOOKUP(A154,'Groupe de branches'!$Z$27:$AM$86,14,FALSE)</f>
        <v>0</v>
      </c>
      <c r="X154" s="2"/>
    </row>
    <row r="155" spans="1:24" x14ac:dyDescent="0.25">
      <c r="A155" s="29" t="s">
        <v>96</v>
      </c>
      <c r="B155" t="s">
        <v>125</v>
      </c>
      <c r="D155" s="164">
        <v>1511577.2528506846</v>
      </c>
      <c r="E155" s="164">
        <v>2818625.0701936525</v>
      </c>
      <c r="F155" s="172">
        <v>0.49576914418444012</v>
      </c>
      <c r="G155" s="164">
        <v>1355155.677261234</v>
      </c>
      <c r="H155" s="172">
        <v>0.23835889968378396</v>
      </c>
      <c r="I155" s="164">
        <v>5685358.0003055707</v>
      </c>
      <c r="J155" s="164">
        <v>4241721.0860000048</v>
      </c>
      <c r="K155" s="164">
        <v>9927079.0863055754</v>
      </c>
      <c r="L155" s="164">
        <v>3549104.0095838401</v>
      </c>
      <c r="M155" s="164">
        <v>3841626.6049999939</v>
      </c>
      <c r="N155" s="164">
        <v>2376642.6586506735</v>
      </c>
      <c r="O155" s="164">
        <v>16687.51962165138</v>
      </c>
      <c r="P155" s="164">
        <v>2536348.4714161707</v>
      </c>
      <c r="Q155" s="164">
        <v>9927079.0860000048</v>
      </c>
      <c r="R155" s="67">
        <v>2018</v>
      </c>
      <c r="S155" s="2">
        <f t="shared" si="6"/>
        <v>3.0557066202163696E-4</v>
      </c>
      <c r="T155">
        <f>VLOOKUP(A155,'Groupe de branches'!$Z$27:$AM$86,14,FALSE)</f>
        <v>0</v>
      </c>
      <c r="U155">
        <f>VLOOKUP(A155,'Groupe de branches'!$Z$27:$AM$86,14,FALSE)</f>
        <v>0</v>
      </c>
      <c r="X155" s="2"/>
    </row>
    <row r="156" spans="1:24" x14ac:dyDescent="0.25">
      <c r="A156" s="29" t="s">
        <v>97</v>
      </c>
      <c r="B156" t="s">
        <v>125</v>
      </c>
      <c r="D156" s="164">
        <v>3534482.6341481614</v>
      </c>
      <c r="E156" s="164">
        <v>3202068.5885571758</v>
      </c>
      <c r="F156" s="172">
        <v>0.33349562570356489</v>
      </c>
      <c r="G156" s="164">
        <v>2864979.7772946637</v>
      </c>
      <c r="H156" s="172">
        <v>0.2983878068294174</v>
      </c>
      <c r="I156" s="164">
        <v>9601531.0000000019</v>
      </c>
      <c r="J156" s="164">
        <v>3799545.5400000033</v>
      </c>
      <c r="K156" s="164">
        <v>13401076.540000005</v>
      </c>
      <c r="L156" s="164">
        <v>10281365.481268018</v>
      </c>
      <c r="M156" s="164">
        <v>2121576.8959999941</v>
      </c>
      <c r="N156" s="164">
        <v>3193421.6047938531</v>
      </c>
      <c r="O156" s="164">
        <v>41120.396396658667</v>
      </c>
      <c r="P156" s="164">
        <v>998134.16273199068</v>
      </c>
      <c r="Q156" s="164">
        <v>13401076.540000003</v>
      </c>
      <c r="R156" s="67">
        <v>2018</v>
      </c>
      <c r="S156" s="2">
        <f t="shared" si="6"/>
        <v>0</v>
      </c>
      <c r="T156">
        <f>VLOOKUP(A156,'Groupe de branches'!$Z$27:$AM$86,14,FALSE)</f>
        <v>0</v>
      </c>
      <c r="U156">
        <f>VLOOKUP(A156,'Groupe de branches'!$Z$27:$AM$86,14,FALSE)</f>
        <v>0</v>
      </c>
      <c r="X156" s="2"/>
    </row>
    <row r="157" spans="1:24" x14ac:dyDescent="0.25">
      <c r="A157" s="29" t="s">
        <v>98</v>
      </c>
      <c r="B157" t="s">
        <v>125</v>
      </c>
      <c r="D157" s="164">
        <v>38434.808940117684</v>
      </c>
      <c r="E157" s="164">
        <v>81302.510082463894</v>
      </c>
      <c r="F157" s="172">
        <v>0.43816177103679288</v>
      </c>
      <c r="G157" s="164">
        <v>65816.317685804024</v>
      </c>
      <c r="H157" s="172">
        <v>0.35470238607740329</v>
      </c>
      <c r="I157" s="164">
        <v>185553.6367083856</v>
      </c>
      <c r="J157" s="164">
        <v>27833.044982698957</v>
      </c>
      <c r="K157" s="164">
        <v>213386.68169108455</v>
      </c>
      <c r="L157" s="164">
        <v>213386.678200692</v>
      </c>
      <c r="M157" s="164">
        <v>0</v>
      </c>
      <c r="N157" s="164">
        <v>27833.044982698957</v>
      </c>
      <c r="O157" s="164">
        <v>344.26996943343642</v>
      </c>
      <c r="P157" s="164">
        <v>0</v>
      </c>
      <c r="Q157" s="164">
        <v>213386.678200692</v>
      </c>
      <c r="R157" s="67">
        <v>2018</v>
      </c>
      <c r="S157" s="2">
        <f t="shared" si="6"/>
        <v>3.4903925552498549E-3</v>
      </c>
      <c r="T157">
        <f>VLOOKUP(A157,'Groupe de branches'!$Z$27:$AM$86,14,FALSE)</f>
        <v>0</v>
      </c>
      <c r="U157">
        <f>VLOOKUP(A157,'Groupe de branches'!$Z$27:$AM$86,14,FALSE)</f>
        <v>0</v>
      </c>
      <c r="X157" s="2"/>
    </row>
    <row r="158" spans="1:24" x14ac:dyDescent="0.25">
      <c r="A158" s="29" t="s">
        <v>99</v>
      </c>
      <c r="B158" t="s">
        <v>125</v>
      </c>
      <c r="D158" s="164">
        <v>670219.34219671111</v>
      </c>
      <c r="E158" s="164">
        <v>1567790.1784607922</v>
      </c>
      <c r="F158" s="172">
        <v>0.47789170909632994</v>
      </c>
      <c r="G158" s="164">
        <v>1042629.4789715286</v>
      </c>
      <c r="H158" s="172">
        <v>0.31781292580178039</v>
      </c>
      <c r="I158" s="164">
        <v>3280638.9996290319</v>
      </c>
      <c r="J158" s="164">
        <v>3530516.7140000039</v>
      </c>
      <c r="K158" s="164">
        <v>6811155.7136290353</v>
      </c>
      <c r="L158" s="164">
        <v>5871598.1873574508</v>
      </c>
      <c r="M158" s="164">
        <v>879152.4600000002</v>
      </c>
      <c r="N158" s="164">
        <v>3493492.9236498484</v>
      </c>
      <c r="O158" s="164">
        <v>20799.991898767024</v>
      </c>
      <c r="P158" s="164">
        <v>60405.06664582419</v>
      </c>
      <c r="Q158" s="164">
        <v>6811155.7140032751</v>
      </c>
      <c r="R158" s="67">
        <v>2018</v>
      </c>
      <c r="S158" s="2">
        <f t="shared" si="6"/>
        <v>-3.7423986941576004E-4</v>
      </c>
      <c r="T158">
        <f>VLOOKUP(A158,'Groupe de branches'!$Z$27:$AM$86,14,FALSE)</f>
        <v>0</v>
      </c>
      <c r="U158">
        <f>VLOOKUP(A158,'Groupe de branches'!$Z$27:$AM$86,14,FALSE)</f>
        <v>0</v>
      </c>
      <c r="X158" s="2"/>
    </row>
    <row r="159" spans="1:24" x14ac:dyDescent="0.25">
      <c r="A159" s="29" t="s">
        <v>100</v>
      </c>
      <c r="B159" t="s">
        <v>125</v>
      </c>
      <c r="D159" s="164">
        <v>99157.600907230415</v>
      </c>
      <c r="E159" s="164">
        <v>201675.02871012897</v>
      </c>
      <c r="F159" s="172">
        <v>0.42405050719353127</v>
      </c>
      <c r="G159" s="164">
        <v>174759.37013017788</v>
      </c>
      <c r="H159" s="172">
        <v>0.36745649679335851</v>
      </c>
      <c r="I159" s="164">
        <v>475591.99974753725</v>
      </c>
      <c r="J159" s="164">
        <v>427335.13499999943</v>
      </c>
      <c r="K159" s="164">
        <v>902927.13474753662</v>
      </c>
      <c r="L159" s="164">
        <v>786419.43499999936</v>
      </c>
      <c r="M159" s="164">
        <v>116507.70000000007</v>
      </c>
      <c r="N159" s="164">
        <v>427335.13499999919</v>
      </c>
      <c r="O159" s="164">
        <v>2306.8236857183488</v>
      </c>
      <c r="P159" s="164">
        <v>0</v>
      </c>
      <c r="Q159" s="164">
        <v>902927.13499999943</v>
      </c>
      <c r="R159" s="67">
        <v>2018</v>
      </c>
      <c r="S159" s="2">
        <f t="shared" si="6"/>
        <v>-2.5246280711144209E-4</v>
      </c>
      <c r="T159">
        <f>VLOOKUP(A159,'Groupe de branches'!$Z$27:$AM$86,14,FALSE)</f>
        <v>0</v>
      </c>
      <c r="U159">
        <f>VLOOKUP(A159,'Groupe de branches'!$Z$27:$AM$86,14,FALSE)</f>
        <v>0</v>
      </c>
      <c r="X159" s="2"/>
    </row>
    <row r="160" spans="1:24" x14ac:dyDescent="0.25">
      <c r="A160" s="29" t="s">
        <v>101</v>
      </c>
      <c r="B160" t="s">
        <v>125</v>
      </c>
      <c r="D160" s="164">
        <v>351280.31793371856</v>
      </c>
      <c r="E160" s="164">
        <v>1199873.6274375145</v>
      </c>
      <c r="F160" s="172">
        <v>0.57252904184989251</v>
      </c>
      <c r="G160" s="164">
        <v>544588.87242647284</v>
      </c>
      <c r="H160" s="172">
        <v>0.25985481987658654</v>
      </c>
      <c r="I160" s="164">
        <v>2095742.817797706</v>
      </c>
      <c r="J160" s="164">
        <v>0</v>
      </c>
      <c r="K160" s="164">
        <v>2095742.817797706</v>
      </c>
      <c r="L160" s="164">
        <v>2095742.8177858237</v>
      </c>
      <c r="M160" s="164">
        <v>0</v>
      </c>
      <c r="N160" s="164">
        <v>0</v>
      </c>
      <c r="O160" s="164">
        <v>3560.4722987900946</v>
      </c>
      <c r="P160" s="164">
        <v>0</v>
      </c>
      <c r="Q160" s="164">
        <v>2095742.8177858237</v>
      </c>
      <c r="R160" s="67">
        <v>2018</v>
      </c>
      <c r="S160" s="2">
        <f t="shared" si="6"/>
        <v>1.1882279068231583E-5</v>
      </c>
      <c r="T160">
        <f>VLOOKUP(A160,'Groupe de branches'!$Z$27:$AM$86,14,FALSE)</f>
        <v>1</v>
      </c>
      <c r="U160">
        <f>VLOOKUP(A160,'Groupe de branches'!$Z$27:$AM$86,14,FALSE)</f>
        <v>1</v>
      </c>
      <c r="X160" s="2"/>
    </row>
    <row r="161" spans="1:28" x14ac:dyDescent="0.25">
      <c r="A161" s="29" t="s">
        <v>102</v>
      </c>
      <c r="B161" t="s">
        <v>125</v>
      </c>
      <c r="D161" s="164">
        <v>11834.73795055626</v>
      </c>
      <c r="E161" s="164">
        <v>105721.69235513214</v>
      </c>
      <c r="F161" s="172">
        <v>0.49377279134015173</v>
      </c>
      <c r="G161" s="164">
        <v>96553.569696928695</v>
      </c>
      <c r="H161" s="172">
        <v>0.45095310679439776</v>
      </c>
      <c r="I161" s="164">
        <v>214110.0000026171</v>
      </c>
      <c r="J161" s="164">
        <v>0</v>
      </c>
      <c r="K161" s="164">
        <v>214110.0000026171</v>
      </c>
      <c r="L161" s="164">
        <v>73591.143408031523</v>
      </c>
      <c r="M161" s="164">
        <v>50000</v>
      </c>
      <c r="N161" s="164">
        <v>0</v>
      </c>
      <c r="O161" s="164">
        <v>1904.9758345610253</v>
      </c>
      <c r="P161" s="164">
        <v>90518.856519739886</v>
      </c>
      <c r="Q161" s="164">
        <v>214109.99992777142</v>
      </c>
      <c r="R161" s="67">
        <v>2018</v>
      </c>
      <c r="S161" s="2">
        <f t="shared" si="6"/>
        <v>7.4845680501312017E-5</v>
      </c>
      <c r="T161">
        <f>VLOOKUP(A161,'Groupe de branches'!$Z$27:$AM$86,14,FALSE)</f>
        <v>0</v>
      </c>
      <c r="U161">
        <f>VLOOKUP(A161,'Groupe de branches'!$Z$27:$AM$86,14,FALSE)</f>
        <v>0</v>
      </c>
      <c r="X161" s="2"/>
    </row>
    <row r="162" spans="1:28" x14ac:dyDescent="0.25">
      <c r="A162" s="29" t="s">
        <v>103</v>
      </c>
      <c r="B162" t="s">
        <v>112</v>
      </c>
      <c r="D162" s="164">
        <v>0</v>
      </c>
      <c r="E162" s="164">
        <v>1864418.8851321847</v>
      </c>
      <c r="F162" s="172">
        <v>0.87081888800869889</v>
      </c>
      <c r="G162" s="164">
        <v>276576.11486781592</v>
      </c>
      <c r="H162" s="172">
        <v>0.12918111199130117</v>
      </c>
      <c r="I162" s="164">
        <v>2140995.0000000005</v>
      </c>
      <c r="J162" s="164">
        <v>0</v>
      </c>
      <c r="K162" s="164">
        <v>2140995.0000000005</v>
      </c>
      <c r="L162" s="164">
        <v>2140995.0000000005</v>
      </c>
      <c r="M162" s="164">
        <v>0</v>
      </c>
      <c r="N162" s="164">
        <v>0</v>
      </c>
      <c r="O162" s="164">
        <v>1198.8963233322993</v>
      </c>
      <c r="P162" s="164">
        <v>0</v>
      </c>
      <c r="Q162" s="164">
        <v>2140995.0000000005</v>
      </c>
      <c r="R162" s="67">
        <v>2018</v>
      </c>
      <c r="S162" s="2">
        <f t="shared" si="6"/>
        <v>0</v>
      </c>
      <c r="T162">
        <f>VLOOKUP(A162,'Groupe de branches'!$Z$27:$AM$86,14,FALSE)</f>
        <v>0</v>
      </c>
      <c r="U162">
        <f>VLOOKUP(A162,'Groupe de branches'!$Z$27:$AM$86,14,FALSE)</f>
        <v>0</v>
      </c>
      <c r="X162" s="2"/>
    </row>
    <row r="163" spans="1:28" x14ac:dyDescent="0.25">
      <c r="A163" s="29" t="s">
        <v>19</v>
      </c>
      <c r="B163" t="s">
        <v>126</v>
      </c>
      <c r="D163" s="164">
        <v>218196.19295191954</v>
      </c>
      <c r="E163" s="164">
        <v>145983.72852237007</v>
      </c>
      <c r="F163" s="172">
        <v>0.28269895430419428</v>
      </c>
      <c r="G163" s="164">
        <v>152212.96325243035</v>
      </c>
      <c r="H163" s="172">
        <v>0.29476192982980953</v>
      </c>
      <c r="I163" s="164">
        <v>516392.88472671993</v>
      </c>
      <c r="J163" s="164">
        <v>0</v>
      </c>
      <c r="K163" s="164">
        <v>516392.88472671993</v>
      </c>
      <c r="L163" s="164">
        <v>516392.88467729924</v>
      </c>
      <c r="M163" s="164">
        <v>0</v>
      </c>
      <c r="N163" s="164">
        <v>0</v>
      </c>
      <c r="O163" s="164">
        <v>2485.8640114902387</v>
      </c>
      <c r="P163" s="164">
        <v>0</v>
      </c>
      <c r="Q163" s="164">
        <v>516392.88467729924</v>
      </c>
      <c r="R163" s="67">
        <v>2018</v>
      </c>
      <c r="S163" s="2">
        <f t="shared" si="6"/>
        <v>4.9420690629631281E-5</v>
      </c>
      <c r="T163">
        <f>VLOOKUP(A163,'Groupe de branches'!$Z$27:$AM$86,14,FALSE)</f>
        <v>0</v>
      </c>
      <c r="U163">
        <f>VLOOKUP(A163,'Groupe de branches'!$Z$27:$AM$86,14,FALSE)</f>
        <v>0</v>
      </c>
      <c r="X163" s="2"/>
    </row>
    <row r="164" spans="1:28" x14ac:dyDescent="0.25">
      <c r="A164" s="29" t="s">
        <v>20</v>
      </c>
      <c r="B164" t="s">
        <v>126</v>
      </c>
      <c r="D164" s="164">
        <v>36750.441026715736</v>
      </c>
      <c r="E164" s="164">
        <v>18148.931709436682</v>
      </c>
      <c r="F164" s="172">
        <v>0.20930034939973</v>
      </c>
      <c r="G164" s="164">
        <v>31813.008592820632</v>
      </c>
      <c r="H164" s="172">
        <v>0.36687965553762286</v>
      </c>
      <c r="I164" s="164">
        <v>86712.381328973046</v>
      </c>
      <c r="J164" s="164">
        <v>0</v>
      </c>
      <c r="K164" s="164">
        <v>86712.381328973046</v>
      </c>
      <c r="L164" s="164">
        <v>86712.381291858022</v>
      </c>
      <c r="M164" s="164">
        <v>0</v>
      </c>
      <c r="N164" s="164">
        <v>0</v>
      </c>
      <c r="O164" s="164">
        <v>472.17477074902462</v>
      </c>
      <c r="P164" s="164">
        <v>0</v>
      </c>
      <c r="Q164" s="164">
        <v>86712.381291858022</v>
      </c>
      <c r="R164" s="67">
        <v>2018</v>
      </c>
      <c r="S164" s="2">
        <f t="shared" si="6"/>
        <v>3.7115023587830365E-5</v>
      </c>
      <c r="T164">
        <f>VLOOKUP(A164,'Groupe de branches'!$Z$27:$AM$86,14,FALSE)</f>
        <v>0</v>
      </c>
      <c r="U164">
        <f>VLOOKUP(A164,'Groupe de branches'!$Z$27:$AM$86,14,FALSE)</f>
        <v>0</v>
      </c>
      <c r="X164" s="2"/>
    </row>
    <row r="165" spans="1:28" x14ac:dyDescent="0.25">
      <c r="A165" s="29" t="s">
        <v>21</v>
      </c>
      <c r="B165" t="s">
        <v>126</v>
      </c>
      <c r="D165" s="164">
        <v>2425758.7140480131</v>
      </c>
      <c r="E165" s="164">
        <v>6701777.3442600323</v>
      </c>
      <c r="F165" s="172">
        <v>0.46514432665875233</v>
      </c>
      <c r="G165" s="164">
        <v>5280416.3989444589</v>
      </c>
      <c r="H165" s="172">
        <v>0.3664931859409673</v>
      </c>
      <c r="I165" s="164">
        <v>14407952.457252504</v>
      </c>
      <c r="J165" s="164">
        <v>0</v>
      </c>
      <c r="K165" s="164">
        <v>14407952.457252504</v>
      </c>
      <c r="L165" s="164">
        <v>14407952.486768885</v>
      </c>
      <c r="M165" s="164">
        <v>0</v>
      </c>
      <c r="N165" s="164">
        <v>0</v>
      </c>
      <c r="O165" s="164">
        <v>80586.53400563098</v>
      </c>
      <c r="P165" s="164">
        <v>0</v>
      </c>
      <c r="Q165" s="164">
        <v>14407952.486768885</v>
      </c>
      <c r="R165" s="67">
        <v>2018</v>
      </c>
      <c r="S165" s="2">
        <f t="shared" si="6"/>
        <v>-2.9516380280256271E-2</v>
      </c>
      <c r="T165">
        <f>VLOOKUP(A165,'Groupe de branches'!$Z$27:$AM$86,14,FALSE)</f>
        <v>0</v>
      </c>
      <c r="U165">
        <f>VLOOKUP(A165,'Groupe de branches'!$Z$27:$AM$86,14,FALSE)</f>
        <v>0</v>
      </c>
      <c r="X165" s="2"/>
    </row>
    <row r="166" spans="1:28" x14ac:dyDescent="0.25">
      <c r="A166" s="29" t="s">
        <v>22</v>
      </c>
      <c r="B166" t="s">
        <v>126</v>
      </c>
      <c r="D166" s="164">
        <v>655424.22843434988</v>
      </c>
      <c r="E166" s="164">
        <v>971018.64257616433</v>
      </c>
      <c r="F166" s="172">
        <v>0.44704448016199744</v>
      </c>
      <c r="G166" s="164">
        <v>545642.20254702552</v>
      </c>
      <c r="H166" s="172">
        <v>0.25120664433891066</v>
      </c>
      <c r="I166" s="164">
        <v>2172085.0735575398</v>
      </c>
      <c r="J166" s="164">
        <v>0</v>
      </c>
      <c r="K166" s="164">
        <v>2172085.0735575398</v>
      </c>
      <c r="L166" s="164">
        <v>2172085.0739857988</v>
      </c>
      <c r="M166" s="164">
        <v>0</v>
      </c>
      <c r="N166" s="164">
        <v>0</v>
      </c>
      <c r="O166" s="164">
        <v>7923.883667076715</v>
      </c>
      <c r="P166" s="164">
        <v>0</v>
      </c>
      <c r="Q166" s="164">
        <v>2172085.0739857988</v>
      </c>
      <c r="R166" s="67">
        <v>2018</v>
      </c>
      <c r="S166" s="2">
        <f t="shared" si="6"/>
        <v>-4.2825890704989433E-4</v>
      </c>
      <c r="T166">
        <f>VLOOKUP(A166,'Groupe de branches'!$Z$27:$AM$86,14,FALSE)</f>
        <v>0</v>
      </c>
      <c r="U166">
        <f>VLOOKUP(A166,'Groupe de branches'!$Z$27:$AM$86,14,FALSE)</f>
        <v>0</v>
      </c>
      <c r="X166" s="2"/>
    </row>
    <row r="167" spans="1:28" x14ac:dyDescent="0.25">
      <c r="A167" s="29" t="s">
        <v>23</v>
      </c>
      <c r="B167" t="s">
        <v>126</v>
      </c>
      <c r="D167" s="164">
        <v>140729.72199300563</v>
      </c>
      <c r="E167" s="164">
        <v>73411.966313182391</v>
      </c>
      <c r="F167" s="172">
        <v>0.21675355047159198</v>
      </c>
      <c r="G167" s="164">
        <v>124546.95671697096</v>
      </c>
      <c r="H167" s="172">
        <v>0.36773289729998077</v>
      </c>
      <c r="I167" s="164">
        <v>338688.64502315898</v>
      </c>
      <c r="J167" s="164">
        <v>0</v>
      </c>
      <c r="K167" s="164">
        <v>338688.64502315898</v>
      </c>
      <c r="L167" s="164">
        <v>338688.64408257377</v>
      </c>
      <c r="M167" s="164">
        <v>0</v>
      </c>
      <c r="N167" s="164">
        <v>0</v>
      </c>
      <c r="O167" s="164">
        <v>1941.4398271761545</v>
      </c>
      <c r="P167" s="164">
        <v>0</v>
      </c>
      <c r="Q167" s="164">
        <v>338688.64408257377</v>
      </c>
      <c r="R167" s="67">
        <v>2018</v>
      </c>
      <c r="S167" s="2">
        <f t="shared" si="6"/>
        <v>9.405852179042995E-4</v>
      </c>
      <c r="T167">
        <f>VLOOKUP(A167,'Groupe de branches'!$Z$27:$AM$86,14,FALSE)</f>
        <v>0</v>
      </c>
      <c r="U167">
        <f>VLOOKUP(A167,'Groupe de branches'!$Z$27:$AM$86,14,FALSE)</f>
        <v>0</v>
      </c>
      <c r="X167" s="2"/>
    </row>
    <row r="168" spans="1:28" x14ac:dyDescent="0.25">
      <c r="A168" s="29" t="s">
        <v>24</v>
      </c>
      <c r="B168" t="s">
        <v>126</v>
      </c>
      <c r="D168" s="164">
        <v>2021761.600352685</v>
      </c>
      <c r="E168" s="164">
        <v>1658656.0760005622</v>
      </c>
      <c r="F168" s="172">
        <v>0.27497794978259438</v>
      </c>
      <c r="G168" s="164">
        <v>2351542.6219613785</v>
      </c>
      <c r="H168" s="172">
        <v>0.38984716504490541</v>
      </c>
      <c r="I168" s="164">
        <v>6031960.2983146254</v>
      </c>
      <c r="J168" s="164">
        <v>0</v>
      </c>
      <c r="K168" s="164">
        <v>6031960.2983146254</v>
      </c>
      <c r="L168" s="164">
        <v>6031960.2982942313</v>
      </c>
      <c r="M168" s="164">
        <v>0</v>
      </c>
      <c r="N168" s="164">
        <v>0</v>
      </c>
      <c r="O168" s="164">
        <v>40078.26389816228</v>
      </c>
      <c r="P168" s="164">
        <v>0</v>
      </c>
      <c r="Q168" s="164">
        <v>6031960.2982942313</v>
      </c>
      <c r="R168" s="67">
        <v>2018</v>
      </c>
      <c r="S168" s="2">
        <f t="shared" si="6"/>
        <v>2.0394101738929749E-5</v>
      </c>
      <c r="T168">
        <f>VLOOKUP(A168,'Groupe de branches'!$Z$27:$AM$86,14,FALSE)</f>
        <v>0</v>
      </c>
      <c r="U168">
        <f>VLOOKUP(A168,'Groupe de branches'!$Z$27:$AM$86,14,FALSE)</f>
        <v>0</v>
      </c>
      <c r="X168" s="2"/>
    </row>
    <row r="169" spans="1:28" x14ac:dyDescent="0.25">
      <c r="A169" s="29" t="s">
        <v>25</v>
      </c>
      <c r="B169" t="s">
        <v>126</v>
      </c>
      <c r="D169" s="164">
        <v>185259.15078030949</v>
      </c>
      <c r="E169" s="164">
        <v>373200.19695074862</v>
      </c>
      <c r="F169" s="172">
        <v>0.39456095914049927</v>
      </c>
      <c r="G169" s="164">
        <v>387402.5990862794</v>
      </c>
      <c r="H169" s="172">
        <v>0.40957626045727114</v>
      </c>
      <c r="I169" s="164">
        <v>945861.94681733754</v>
      </c>
      <c r="J169" s="164">
        <v>0</v>
      </c>
      <c r="K169" s="164">
        <v>945861.94681733754</v>
      </c>
      <c r="L169" s="164">
        <v>945861.9467580826</v>
      </c>
      <c r="M169" s="164">
        <v>0</v>
      </c>
      <c r="N169" s="164">
        <v>0</v>
      </c>
      <c r="O169" s="164">
        <v>6378.8481829347656</v>
      </c>
      <c r="P169" s="164">
        <v>0</v>
      </c>
      <c r="Q169" s="164">
        <v>945861.9467580826</v>
      </c>
      <c r="R169" s="67">
        <v>2018</v>
      </c>
      <c r="S169" s="2">
        <f t="shared" si="6"/>
        <v>5.9254933148622513E-5</v>
      </c>
      <c r="T169">
        <f>VLOOKUP(A169,'Groupe de branches'!$Z$27:$AM$86,14,FALSE)</f>
        <v>0</v>
      </c>
      <c r="U169">
        <f>VLOOKUP(A169,'Groupe de branches'!$Z$27:$AM$86,14,FALSE)</f>
        <v>0</v>
      </c>
      <c r="X169" s="2"/>
    </row>
    <row r="170" spans="1:28" x14ac:dyDescent="0.25">
      <c r="A170" s="29" t="s">
        <v>26</v>
      </c>
      <c r="B170" t="s">
        <v>126</v>
      </c>
      <c r="D170" s="164">
        <v>57018.497146632108</v>
      </c>
      <c r="E170" s="164">
        <v>145562.16537111369</v>
      </c>
      <c r="F170" s="172">
        <v>0.47225006297369532</v>
      </c>
      <c r="G170" s="164">
        <v>105650.45650959374</v>
      </c>
      <c r="H170" s="172">
        <v>0.34276375741354892</v>
      </c>
      <c r="I170" s="164">
        <v>308231.11902733956</v>
      </c>
      <c r="J170" s="164">
        <v>0</v>
      </c>
      <c r="K170" s="164">
        <v>308231.11902733956</v>
      </c>
      <c r="L170" s="164">
        <v>308231.1185303636</v>
      </c>
      <c r="M170" s="164">
        <v>0</v>
      </c>
      <c r="N170" s="164">
        <v>0</v>
      </c>
      <c r="O170" s="164">
        <v>1791.5964926399702</v>
      </c>
      <c r="P170" s="164">
        <v>0</v>
      </c>
      <c r="Q170" s="164">
        <v>308231.1185303636</v>
      </c>
      <c r="R170" s="67">
        <v>2018</v>
      </c>
      <c r="S170" s="2">
        <f t="shared" si="6"/>
        <v>4.9697596114128828E-4</v>
      </c>
      <c r="T170">
        <f>VLOOKUP(A170,'Groupe de branches'!$Z$27:$AM$86,14,FALSE)</f>
        <v>0</v>
      </c>
      <c r="U170">
        <f>VLOOKUP(A170,'Groupe de branches'!$Z$27:$AM$86,14,FALSE)</f>
        <v>0</v>
      </c>
      <c r="X170" s="2"/>
    </row>
    <row r="171" spans="1:28" x14ac:dyDescent="0.25">
      <c r="A171" s="29" t="s">
        <v>27</v>
      </c>
      <c r="B171" t="s">
        <v>126</v>
      </c>
      <c r="D171" s="164">
        <v>0</v>
      </c>
      <c r="E171" s="164">
        <v>1146801.6872646713</v>
      </c>
      <c r="F171" s="172">
        <v>0.60594936389125098</v>
      </c>
      <c r="G171" s="164">
        <v>745768.4771797728</v>
      </c>
      <c r="H171" s="172">
        <v>0.39405063610874891</v>
      </c>
      <c r="I171" s="164">
        <v>1892570.1644444442</v>
      </c>
      <c r="J171" s="164">
        <v>0</v>
      </c>
      <c r="K171" s="164">
        <v>1892570.1644444442</v>
      </c>
      <c r="L171" s="164">
        <v>1892570.1644444442</v>
      </c>
      <c r="M171" s="164">
        <v>0</v>
      </c>
      <c r="N171" s="164">
        <v>0</v>
      </c>
      <c r="O171" s="164">
        <v>11028.13441687552</v>
      </c>
      <c r="P171" s="164">
        <v>0</v>
      </c>
      <c r="Q171" s="164">
        <v>1892570.1644444442</v>
      </c>
      <c r="R171" s="67">
        <v>2018</v>
      </c>
      <c r="S171" s="2">
        <f t="shared" si="6"/>
        <v>0</v>
      </c>
      <c r="T171">
        <f>VLOOKUP(A171,'Groupe de branches'!$Z$27:$AM$86,14,FALSE)</f>
        <v>1</v>
      </c>
      <c r="U171">
        <f>VLOOKUP(A171,'Groupe de branches'!$Z$27:$AM$86,14,FALSE)</f>
        <v>1</v>
      </c>
      <c r="X171" s="2"/>
    </row>
    <row r="172" spans="1:28" x14ac:dyDescent="0.25">
      <c r="A172" s="29" t="s">
        <v>104</v>
      </c>
      <c r="B172" t="s">
        <v>112</v>
      </c>
      <c r="D172" s="164">
        <v>0</v>
      </c>
      <c r="E172" s="164">
        <v>0</v>
      </c>
      <c r="F172" s="172">
        <v>0</v>
      </c>
      <c r="G172" s="164">
        <v>1589234.7</v>
      </c>
      <c r="H172" s="172">
        <v>1</v>
      </c>
      <c r="I172" s="164">
        <v>1589234.7</v>
      </c>
      <c r="J172" s="164">
        <v>0</v>
      </c>
      <c r="K172" s="164">
        <v>1589234.7</v>
      </c>
      <c r="L172" s="164">
        <v>267335.89551448933</v>
      </c>
      <c r="M172" s="164">
        <v>0</v>
      </c>
      <c r="N172" s="164">
        <v>0</v>
      </c>
      <c r="O172" s="164">
        <v>12986.950665395949</v>
      </c>
      <c r="P172" s="164">
        <v>1321898.8089975638</v>
      </c>
      <c r="Q172" s="164">
        <v>1589234.7045120532</v>
      </c>
      <c r="R172" s="67">
        <v>2018</v>
      </c>
      <c r="S172" s="2">
        <f t="shared" si="6"/>
        <v>-4.5120532158762217E-3</v>
      </c>
      <c r="T172">
        <f>VLOOKUP(A172,'Groupe de branches'!$Z$27:$AM$86,14,FALSE)</f>
        <v>0</v>
      </c>
      <c r="U172">
        <f>VLOOKUP(A172,'Groupe de branches'!$Z$27:$AM$86,14,FALSE)</f>
        <v>0</v>
      </c>
      <c r="X172" s="2"/>
    </row>
    <row r="173" spans="1:28" x14ac:dyDescent="0.25">
      <c r="A173" s="29" t="s">
        <v>105</v>
      </c>
      <c r="B173" t="s">
        <v>112</v>
      </c>
      <c r="D173" s="164">
        <v>0</v>
      </c>
      <c r="E173" s="164">
        <v>0</v>
      </c>
      <c r="F173" s="172">
        <v>0</v>
      </c>
      <c r="G173" s="164">
        <v>2008880</v>
      </c>
      <c r="H173" s="172">
        <v>1</v>
      </c>
      <c r="I173" s="164">
        <v>2008880</v>
      </c>
      <c r="J173" s="164">
        <v>0</v>
      </c>
      <c r="K173" s="164">
        <v>2008880</v>
      </c>
      <c r="L173" s="164">
        <v>1800824.3084856353</v>
      </c>
      <c r="M173" s="164">
        <v>0</v>
      </c>
      <c r="N173" s="164">
        <v>0</v>
      </c>
      <c r="O173" s="164">
        <v>37522.226870581733</v>
      </c>
      <c r="P173" s="164">
        <v>208055.69172349872</v>
      </c>
      <c r="Q173" s="164">
        <v>2008880.0002091341</v>
      </c>
      <c r="R173" s="67">
        <v>2018</v>
      </c>
      <c r="S173" s="2">
        <f t="shared" si="6"/>
        <v>-2.0913407206535339E-4</v>
      </c>
      <c r="T173">
        <f>VLOOKUP(A173,'Groupe de branches'!$Z$27:$AM$86,14,FALSE)</f>
        <v>0</v>
      </c>
      <c r="U173">
        <f>VLOOKUP(A173,'Groupe de branches'!$Z$27:$AM$86,14,FALSE)</f>
        <v>0</v>
      </c>
      <c r="X173" s="2"/>
    </row>
    <row r="174" spans="1:28" x14ac:dyDescent="0.25">
      <c r="A174" s="29" t="s">
        <v>106</v>
      </c>
      <c r="B174" t="s">
        <v>125</v>
      </c>
      <c r="D174" s="164">
        <v>0</v>
      </c>
      <c r="E174" s="164">
        <v>230106.4918698121</v>
      </c>
      <c r="F174" s="172">
        <v>0.48900000000000005</v>
      </c>
      <c r="G174" s="164">
        <v>240458.93117683838</v>
      </c>
      <c r="H174" s="172">
        <v>0.51100000000000001</v>
      </c>
      <c r="I174" s="164">
        <v>470565.42304665048</v>
      </c>
      <c r="J174" s="164">
        <v>0</v>
      </c>
      <c r="K174" s="164">
        <v>470565.42304665048</v>
      </c>
      <c r="L174" s="164">
        <v>0</v>
      </c>
      <c r="M174" s="164">
        <v>44439.581466169868</v>
      </c>
      <c r="N174" s="164">
        <v>0</v>
      </c>
      <c r="O174" s="164">
        <v>3175.3904500169688</v>
      </c>
      <c r="P174" s="164">
        <v>426125.8382543663</v>
      </c>
      <c r="Q174" s="164">
        <v>470565.41972053616</v>
      </c>
      <c r="R174" s="67">
        <v>2018</v>
      </c>
      <c r="S174" s="2">
        <f t="shared" si="6"/>
        <v>3.3261143253184855E-3</v>
      </c>
      <c r="T174">
        <f>VLOOKUP(A174,'Groupe de branches'!$Z$27:$AM$86,14,FALSE)</f>
        <v>0</v>
      </c>
      <c r="U174">
        <f>VLOOKUP(A174,'Groupe de branches'!$Z$27:$AM$86,14,FALSE)</f>
        <v>0</v>
      </c>
      <c r="X174" s="2"/>
    </row>
    <row r="175" spans="1:28" ht="15.75" thickBot="1" x14ac:dyDescent="0.3">
      <c r="A175" s="29" t="s">
        <v>107</v>
      </c>
      <c r="B175" t="s">
        <v>112</v>
      </c>
      <c r="D175" s="164">
        <v>0</v>
      </c>
      <c r="E175" s="164">
        <v>0</v>
      </c>
      <c r="F175" s="172">
        <v>0</v>
      </c>
      <c r="G175" s="164">
        <v>646496.6960545294</v>
      </c>
      <c r="H175" s="172">
        <v>1</v>
      </c>
      <c r="I175" s="164">
        <v>646496.6960545294</v>
      </c>
      <c r="J175" s="164">
        <v>0</v>
      </c>
      <c r="K175" s="164">
        <v>646496.6960545294</v>
      </c>
      <c r="L175" s="164">
        <v>646495.69605789729</v>
      </c>
      <c r="M175" s="164">
        <v>0</v>
      </c>
      <c r="N175" s="164">
        <v>0</v>
      </c>
      <c r="O175" s="164">
        <v>10774.944934242156</v>
      </c>
      <c r="P175" s="164">
        <v>0.99999663214050893</v>
      </c>
      <c r="Q175" s="164">
        <v>646496.6960545294</v>
      </c>
      <c r="R175" s="67">
        <v>2018</v>
      </c>
      <c r="S175" s="2">
        <f t="shared" si="6"/>
        <v>0</v>
      </c>
      <c r="T175">
        <f>VLOOKUP(A175,'Groupe de branches'!$Z$27:$AM$86,14,FALSE)</f>
        <v>0</v>
      </c>
      <c r="U175">
        <f>VLOOKUP(A175,'Groupe de branches'!$Z$27:$AM$86,14,FALSE)</f>
        <v>0</v>
      </c>
      <c r="X175" s="2"/>
    </row>
    <row r="176" spans="1:28" x14ac:dyDescent="0.25">
      <c r="A176" s="24" t="s">
        <v>80</v>
      </c>
      <c r="B176" t="s">
        <v>125</v>
      </c>
      <c r="D176" s="165">
        <v>0</v>
      </c>
      <c r="E176" s="165">
        <v>12544.734676601323</v>
      </c>
      <c r="F176" s="173"/>
      <c r="G176" s="165">
        <v>13590.129232984771</v>
      </c>
      <c r="H176" s="173"/>
      <c r="I176" s="165">
        <v>26134.863909586093</v>
      </c>
      <c r="J176" s="165">
        <v>9450.8449999999993</v>
      </c>
      <c r="K176" s="165">
        <f>J176+I176</f>
        <v>35585.708909586094</v>
      </c>
      <c r="L176" s="165">
        <v>1172.843644134043</v>
      </c>
      <c r="M176" s="165">
        <v>5864.5019999999995</v>
      </c>
      <c r="N176" s="165">
        <v>433.04431848868609</v>
      </c>
      <c r="O176" s="165">
        <f>Y5*G176</f>
        <v>175.21968895310707</v>
      </c>
      <c r="P176" s="165">
        <v>28548.323813810646</v>
      </c>
      <c r="Q176" s="165">
        <f>P176+M176+L176</f>
        <v>35585.669457944692</v>
      </c>
      <c r="R176" s="67">
        <v>2019</v>
      </c>
      <c r="S176" s="2">
        <f t="shared" si="6"/>
        <v>3.9451641401683446E-2</v>
      </c>
      <c r="T176">
        <f>VLOOKUP(A176,'Groupe de branches'!$Z$27:$AM$86,14,FALSE)</f>
        <v>0</v>
      </c>
      <c r="U176">
        <f>VLOOKUP(A176,'Groupe de branches'!$Z$27:$AM$86,14,FALSE)</f>
        <v>0</v>
      </c>
      <c r="V176" s="117"/>
      <c r="W176" s="2"/>
      <c r="Z176" s="2"/>
      <c r="AA176" s="117"/>
      <c r="AB176" s="117"/>
    </row>
    <row r="177" spans="1:28" x14ac:dyDescent="0.25">
      <c r="A177" s="29" t="s">
        <v>0</v>
      </c>
      <c r="B177" t="s">
        <v>125</v>
      </c>
      <c r="D177" s="165">
        <v>447305.94830717595</v>
      </c>
      <c r="E177" s="165">
        <v>0</v>
      </c>
      <c r="F177" s="173"/>
      <c r="G177" s="165">
        <v>703937.08603527106</v>
      </c>
      <c r="H177" s="173"/>
      <c r="I177" s="165">
        <v>1151243.0343424471</v>
      </c>
      <c r="J177" s="165">
        <v>54686.49500000001</v>
      </c>
      <c r="K177" s="165">
        <f t="shared" ref="K177:K240" si="7">J177+I177</f>
        <v>1205929.5293424472</v>
      </c>
      <c r="L177" s="165">
        <v>484.21467182672558</v>
      </c>
      <c r="M177" s="165">
        <v>154094.67600000004</v>
      </c>
      <c r="N177" s="165">
        <v>0</v>
      </c>
      <c r="O177" s="165">
        <f t="shared" ref="O177:O232" si="8">Y6*G177</f>
        <v>5496.4513558461204</v>
      </c>
      <c r="P177" s="165">
        <v>1051350.6495636844</v>
      </c>
      <c r="Q177" s="165">
        <f t="shared" ref="Q177:Q232" si="9">P177+M177+L177</f>
        <v>1205929.540235511</v>
      </c>
      <c r="R177" s="67">
        <v>2019</v>
      </c>
      <c r="S177" s="2">
        <f t="shared" si="6"/>
        <v>-1.08930638525635E-2</v>
      </c>
      <c r="T177">
        <f>VLOOKUP(A177,'Groupe de branches'!$Z$27:$AM$86,14,FALSE)</f>
        <v>0</v>
      </c>
      <c r="U177">
        <f>VLOOKUP(A177,'Groupe de branches'!$Z$27:$AM$86,14,FALSE)</f>
        <v>0</v>
      </c>
      <c r="V177" s="117"/>
      <c r="W177" s="2"/>
      <c r="Y177" s="236"/>
      <c r="Z177" s="2"/>
      <c r="AA177" s="117"/>
      <c r="AB177" s="117"/>
    </row>
    <row r="178" spans="1:28" x14ac:dyDescent="0.25">
      <c r="A178" s="29" t="s">
        <v>1</v>
      </c>
      <c r="B178" t="s">
        <v>125</v>
      </c>
      <c r="D178" s="165">
        <v>0</v>
      </c>
      <c r="E178" s="165">
        <v>0</v>
      </c>
      <c r="F178" s="173"/>
      <c r="G178" s="165">
        <v>194737.04210647114</v>
      </c>
      <c r="H178" s="173"/>
      <c r="I178" s="165">
        <v>194737.04210647114</v>
      </c>
      <c r="J178" s="165">
        <v>58511.6</v>
      </c>
      <c r="K178" s="165">
        <f t="shared" si="7"/>
        <v>253248.64210647115</v>
      </c>
      <c r="L178" s="165">
        <v>0</v>
      </c>
      <c r="M178" s="165">
        <v>131715.83100000001</v>
      </c>
      <c r="N178" s="165">
        <v>0</v>
      </c>
      <c r="O178" s="165">
        <f t="shared" si="8"/>
        <v>0</v>
      </c>
      <c r="P178" s="165">
        <v>121532.78216814644</v>
      </c>
      <c r="Q178" s="165">
        <f t="shared" si="9"/>
        <v>253248.61316814646</v>
      </c>
      <c r="R178" s="67">
        <v>2019</v>
      </c>
      <c r="S178" s="2">
        <f t="shared" si="6"/>
        <v>2.893832468544133E-2</v>
      </c>
      <c r="T178">
        <f>VLOOKUP(A178,'Groupe de branches'!$Z$27:$AM$86,14,FALSE)</f>
        <v>0</v>
      </c>
      <c r="U178">
        <f>VLOOKUP(A178,'Groupe de branches'!$Z$27:$AM$86,14,FALSE)</f>
        <v>0</v>
      </c>
      <c r="V178" s="117"/>
      <c r="W178" s="2"/>
      <c r="Z178" s="2"/>
      <c r="AA178" s="117"/>
      <c r="AB178" s="117"/>
    </row>
    <row r="179" spans="1:28" x14ac:dyDescent="0.25">
      <c r="A179" s="29" t="s">
        <v>2</v>
      </c>
      <c r="B179" t="s">
        <v>125</v>
      </c>
      <c r="D179" s="165">
        <v>156584.21093250054</v>
      </c>
      <c r="E179" s="165">
        <v>0</v>
      </c>
      <c r="F179" s="173"/>
      <c r="G179" s="165">
        <v>163304.61276639815</v>
      </c>
      <c r="H179" s="173"/>
      <c r="I179" s="165">
        <v>319888.82369889866</v>
      </c>
      <c r="J179" s="165">
        <v>15056.373999999998</v>
      </c>
      <c r="K179" s="165">
        <f t="shared" si="7"/>
        <v>334945.19769889867</v>
      </c>
      <c r="L179" s="165">
        <v>246357.26348525193</v>
      </c>
      <c r="M179" s="165">
        <v>19199.227999999999</v>
      </c>
      <c r="N179" s="165">
        <v>15056.373999999998</v>
      </c>
      <c r="O179" s="165">
        <f t="shared" si="8"/>
        <v>4412.6688364930524</v>
      </c>
      <c r="P179" s="165">
        <v>69388.705733931303</v>
      </c>
      <c r="Q179" s="165">
        <f t="shared" si="9"/>
        <v>334945.1972191832</v>
      </c>
      <c r="R179" s="67">
        <v>2019</v>
      </c>
      <c r="S179" s="2">
        <f t="shared" si="6"/>
        <v>4.7971546882763505E-4</v>
      </c>
      <c r="T179">
        <f>VLOOKUP(A179,'Groupe de branches'!$Z$27:$AM$86,14,FALSE)</f>
        <v>0</v>
      </c>
      <c r="U179">
        <f>VLOOKUP(A179,'Groupe de branches'!$Z$27:$AM$86,14,FALSE)</f>
        <v>0</v>
      </c>
      <c r="V179" s="117"/>
      <c r="W179" s="2"/>
      <c r="Z179" s="2"/>
      <c r="AA179" s="117"/>
      <c r="AB179" s="117"/>
    </row>
    <row r="180" spans="1:28" x14ac:dyDescent="0.25">
      <c r="A180" s="29" t="s">
        <v>81</v>
      </c>
      <c r="B180" t="s">
        <v>125</v>
      </c>
      <c r="D180" s="165">
        <v>16700.582488345797</v>
      </c>
      <c r="E180" s="165">
        <v>286904.1271536827</v>
      </c>
      <c r="F180" s="173"/>
      <c r="G180" s="165">
        <v>801878.04072833702</v>
      </c>
      <c r="H180" s="173"/>
      <c r="I180" s="165">
        <v>1105482.7503703656</v>
      </c>
      <c r="J180" s="165">
        <v>0</v>
      </c>
      <c r="K180" s="165">
        <f t="shared" si="7"/>
        <v>1105482.7503703656</v>
      </c>
      <c r="L180" s="165">
        <v>21.792107233861035</v>
      </c>
      <c r="M180" s="165">
        <v>72916.224437957397</v>
      </c>
      <c r="N180" s="165">
        <v>0</v>
      </c>
      <c r="O180" s="165">
        <f t="shared" si="8"/>
        <v>21272.332869159312</v>
      </c>
      <c r="P180" s="165">
        <v>1032544.7318527688</v>
      </c>
      <c r="Q180" s="165">
        <f t="shared" si="9"/>
        <v>1105482.7483979599</v>
      </c>
      <c r="R180" s="67">
        <v>2019</v>
      </c>
      <c r="S180" s="2">
        <f t="shared" si="6"/>
        <v>1.9724057056009769E-3</v>
      </c>
      <c r="T180">
        <f>VLOOKUP(A180,'Groupe de branches'!$Z$27:$AM$86,14,FALSE)</f>
        <v>0</v>
      </c>
      <c r="U180">
        <f>VLOOKUP(A180,'Groupe de branches'!$Z$27:$AM$86,14,FALSE)</f>
        <v>0</v>
      </c>
      <c r="V180" s="117"/>
      <c r="W180" s="2"/>
      <c r="Z180" s="2"/>
      <c r="AA180" s="117"/>
      <c r="AB180" s="117"/>
    </row>
    <row r="181" spans="1:28" x14ac:dyDescent="0.25">
      <c r="A181" s="29" t="s">
        <v>3</v>
      </c>
      <c r="B181" t="s">
        <v>125</v>
      </c>
      <c r="D181" s="165">
        <v>174680.02457045284</v>
      </c>
      <c r="E181" s="165">
        <v>15015.545981329442</v>
      </c>
      <c r="F181" s="173"/>
      <c r="G181" s="165">
        <v>51355.665379591468</v>
      </c>
      <c r="H181" s="173"/>
      <c r="I181" s="165">
        <v>241051.23593137373</v>
      </c>
      <c r="J181" s="165">
        <v>0</v>
      </c>
      <c r="K181" s="165">
        <f t="shared" si="7"/>
        <v>241051.23593137373</v>
      </c>
      <c r="L181" s="165">
        <v>0</v>
      </c>
      <c r="M181" s="165">
        <v>18229.056109489353</v>
      </c>
      <c r="N181" s="165">
        <v>0</v>
      </c>
      <c r="O181" s="165">
        <f t="shared" si="8"/>
        <v>1056.3959777199686</v>
      </c>
      <c r="P181" s="165">
        <v>222822.17375724352</v>
      </c>
      <c r="Q181" s="165">
        <f t="shared" si="9"/>
        <v>241051.22986673287</v>
      </c>
      <c r="R181" s="67">
        <v>2019</v>
      </c>
      <c r="S181" s="2">
        <f t="shared" si="6"/>
        <v>6.0646408528555185E-3</v>
      </c>
      <c r="T181">
        <f>VLOOKUP(A181,'Groupe de branches'!$Z$27:$AM$86,14,FALSE)</f>
        <v>0</v>
      </c>
      <c r="U181">
        <f>VLOOKUP(A181,'Groupe de branches'!$Z$27:$AM$86,14,FALSE)</f>
        <v>0</v>
      </c>
      <c r="V181" s="117"/>
      <c r="W181" s="2"/>
      <c r="Z181" s="2"/>
      <c r="AA181" s="117"/>
      <c r="AB181" s="117"/>
    </row>
    <row r="182" spans="1:28" x14ac:dyDescent="0.25">
      <c r="A182" s="29" t="s">
        <v>59</v>
      </c>
      <c r="B182" t="s">
        <v>125</v>
      </c>
      <c r="D182" s="165">
        <v>0.99999663214050882</v>
      </c>
      <c r="E182" s="165">
        <v>0.50000168392974564</v>
      </c>
      <c r="F182" s="173"/>
      <c r="G182" s="165">
        <v>0.50000168392974564</v>
      </c>
      <c r="H182" s="173"/>
      <c r="I182" s="165">
        <v>2</v>
      </c>
      <c r="J182" s="165">
        <v>0</v>
      </c>
      <c r="K182" s="165">
        <f t="shared" si="7"/>
        <v>2</v>
      </c>
      <c r="L182" s="165">
        <v>2</v>
      </c>
      <c r="M182" s="165">
        <v>0</v>
      </c>
      <c r="N182" s="165">
        <v>0</v>
      </c>
      <c r="O182" s="165"/>
      <c r="P182" s="165">
        <v>0</v>
      </c>
      <c r="Q182" s="165">
        <f t="shared" si="9"/>
        <v>2</v>
      </c>
      <c r="R182" s="67">
        <v>2019</v>
      </c>
      <c r="S182" s="2">
        <f t="shared" si="6"/>
        <v>0</v>
      </c>
      <c r="T182">
        <f>VLOOKUP(A182,'Groupe de branches'!$Z$27:$AM$86,14,FALSE)</f>
        <v>0</v>
      </c>
      <c r="U182">
        <f>VLOOKUP(A182,'Groupe de branches'!$Z$27:$AM$86,14,FALSE)</f>
        <v>0</v>
      </c>
      <c r="V182" s="117"/>
      <c r="W182" s="2"/>
      <c r="Z182" s="2"/>
      <c r="AA182" s="117"/>
      <c r="AB182" s="117"/>
    </row>
    <row r="183" spans="1:28" x14ac:dyDescent="0.25">
      <c r="A183" s="29" t="s">
        <v>4</v>
      </c>
      <c r="B183" t="s">
        <v>125</v>
      </c>
      <c r="D183" s="165">
        <v>276863.59042729565</v>
      </c>
      <c r="E183" s="165">
        <v>76435.880766290808</v>
      </c>
      <c r="F183" s="173"/>
      <c r="G183" s="165">
        <v>130421.417545943</v>
      </c>
      <c r="H183" s="173"/>
      <c r="I183" s="165">
        <v>483720.88873952947</v>
      </c>
      <c r="J183" s="165">
        <v>36331.406000000003</v>
      </c>
      <c r="K183" s="165">
        <f t="shared" si="7"/>
        <v>520052.29473952949</v>
      </c>
      <c r="L183" s="165">
        <v>94714.234237206387</v>
      </c>
      <c r="M183" s="165">
        <v>110725.36600000007</v>
      </c>
      <c r="N183" s="165">
        <v>1948.1464151745313</v>
      </c>
      <c r="O183" s="165">
        <f>$Y$12*G183</f>
        <v>2059.2855401991001</v>
      </c>
      <c r="P183" s="165">
        <v>314612.69976320583</v>
      </c>
      <c r="Q183" s="165">
        <f t="shared" si="9"/>
        <v>520052.30000041227</v>
      </c>
      <c r="R183" s="67">
        <v>2019</v>
      </c>
      <c r="S183" s="2">
        <f t="shared" si="6"/>
        <v>-5.2608827827498317E-3</v>
      </c>
      <c r="T183">
        <f>VLOOKUP(A183,'Groupe de branches'!$Z$27:$AM$86,14,FALSE)</f>
        <v>0</v>
      </c>
      <c r="U183">
        <f>VLOOKUP(A183,'Groupe de branches'!$Z$27:$AM$86,14,FALSE)</f>
        <v>0</v>
      </c>
      <c r="V183" s="117"/>
      <c r="W183" s="2"/>
      <c r="Z183" s="2"/>
      <c r="AA183" s="117"/>
      <c r="AB183" s="117"/>
    </row>
    <row r="184" spans="1:28" x14ac:dyDescent="0.25">
      <c r="A184" s="29" t="s">
        <v>5</v>
      </c>
      <c r="B184" t="s">
        <v>125</v>
      </c>
      <c r="D184" s="165">
        <v>52531.106513040693</v>
      </c>
      <c r="E184" s="165">
        <v>17284.687833523883</v>
      </c>
      <c r="F184" s="173"/>
      <c r="G184" s="165">
        <v>26488.490796643819</v>
      </c>
      <c r="H184" s="173"/>
      <c r="I184" s="165">
        <v>96304.285143208399</v>
      </c>
      <c r="J184" s="165">
        <v>23454.205000000016</v>
      </c>
      <c r="K184" s="165">
        <f t="shared" si="7"/>
        <v>119758.49014320842</v>
      </c>
      <c r="L184" s="165">
        <v>1078.3373828743781</v>
      </c>
      <c r="M184" s="165">
        <v>34437.25499999999</v>
      </c>
      <c r="N184" s="165">
        <v>607.53432337277638</v>
      </c>
      <c r="O184" s="165">
        <f t="shared" si="8"/>
        <v>418.23932836806028</v>
      </c>
      <c r="P184" s="165">
        <v>84242.938984732275</v>
      </c>
      <c r="Q184" s="165">
        <f t="shared" si="9"/>
        <v>119758.53136760664</v>
      </c>
      <c r="R184" s="67">
        <v>2019</v>
      </c>
      <c r="S184" s="2">
        <f t="shared" si="6"/>
        <v>-4.1224398228223436E-2</v>
      </c>
      <c r="T184">
        <f>VLOOKUP(A184,'Groupe de branches'!$Z$27:$AM$86,14,FALSE)</f>
        <v>0</v>
      </c>
      <c r="U184">
        <f>VLOOKUP(A184,'Groupe de branches'!$Z$27:$AM$86,14,FALSE)</f>
        <v>0</v>
      </c>
      <c r="V184" s="117"/>
      <c r="W184" s="2"/>
      <c r="Z184" s="2"/>
      <c r="AA184" s="117"/>
      <c r="AB184" s="117"/>
    </row>
    <row r="185" spans="1:28" x14ac:dyDescent="0.25">
      <c r="A185" s="29" t="s">
        <v>82</v>
      </c>
      <c r="B185" t="s">
        <v>125</v>
      </c>
      <c r="D185" s="165">
        <v>47329.368610130819</v>
      </c>
      <c r="E185" s="165">
        <v>9533.6541185384685</v>
      </c>
      <c r="F185" s="173"/>
      <c r="G185" s="165">
        <v>32579.353403988247</v>
      </c>
      <c r="H185" s="173"/>
      <c r="I185" s="165">
        <v>89442.376132657533</v>
      </c>
      <c r="J185" s="165">
        <v>10896.133999999998</v>
      </c>
      <c r="K185" s="165">
        <f t="shared" si="7"/>
        <v>100338.51013265754</v>
      </c>
      <c r="L185" s="165">
        <v>1224.5804468179197</v>
      </c>
      <c r="M185" s="165">
        <v>15098.605999999987</v>
      </c>
      <c r="N185" s="165">
        <v>0</v>
      </c>
      <c r="O185" s="165">
        <f>$Y$14*G185</f>
        <v>514.41084322086704</v>
      </c>
      <c r="P185" s="165">
        <v>84015.360529202269</v>
      </c>
      <c r="Q185" s="165">
        <f t="shared" si="9"/>
        <v>100338.54697602018</v>
      </c>
      <c r="R185" s="67">
        <v>2019</v>
      </c>
      <c r="S185" s="2">
        <f t="shared" si="6"/>
        <v>-3.6843362642684951E-2</v>
      </c>
      <c r="T185">
        <f>VLOOKUP(A185,'Groupe de branches'!$Z$27:$AM$86,14,FALSE)</f>
        <v>0</v>
      </c>
      <c r="U185">
        <f>VLOOKUP(A185,'Groupe de branches'!$Z$27:$AM$86,14,FALSE)</f>
        <v>0</v>
      </c>
      <c r="V185" s="117"/>
      <c r="W185" s="2"/>
      <c r="Z185" s="2"/>
      <c r="AA185" s="117"/>
      <c r="AB185" s="117"/>
    </row>
    <row r="186" spans="1:28" x14ac:dyDescent="0.25">
      <c r="A186" s="29" t="s">
        <v>6</v>
      </c>
      <c r="B186" t="s">
        <v>125</v>
      </c>
      <c r="D186" s="165">
        <v>6406.234106508693</v>
      </c>
      <c r="E186" s="165">
        <v>1427.4986962594535</v>
      </c>
      <c r="F186" s="173"/>
      <c r="G186" s="165">
        <v>3204.9940066003628</v>
      </c>
      <c r="H186" s="173"/>
      <c r="I186" s="165">
        <v>11038.726809368509</v>
      </c>
      <c r="J186" s="165">
        <v>74412.103999999992</v>
      </c>
      <c r="K186" s="165">
        <f t="shared" si="7"/>
        <v>85450.830809368505</v>
      </c>
      <c r="L186" s="165">
        <v>4985.713618589356</v>
      </c>
      <c r="M186" s="165">
        <v>2363.1860000000006</v>
      </c>
      <c r="N186" s="165">
        <v>4908.3305784715012</v>
      </c>
      <c r="O186" s="165">
        <f t="shared" si="8"/>
        <v>50.605168525268887</v>
      </c>
      <c r="P186" s="165">
        <v>78101.936466653628</v>
      </c>
      <c r="Q186" s="165">
        <f t="shared" si="9"/>
        <v>85450.836085242991</v>
      </c>
      <c r="R186" s="67">
        <v>2019</v>
      </c>
      <c r="S186" s="2">
        <f t="shared" si="6"/>
        <v>-5.2758744859602302E-3</v>
      </c>
      <c r="T186">
        <f>VLOOKUP(A186,'Groupe de branches'!$Z$27:$AM$86,14,FALSE)</f>
        <v>0</v>
      </c>
      <c r="U186">
        <f>VLOOKUP(A186,'Groupe de branches'!$Z$27:$AM$86,14,FALSE)</f>
        <v>0</v>
      </c>
      <c r="V186" s="117"/>
      <c r="W186" s="2"/>
      <c r="Z186" s="2"/>
      <c r="AA186" s="117"/>
      <c r="AB186" s="117"/>
    </row>
    <row r="187" spans="1:28" x14ac:dyDescent="0.25">
      <c r="A187" s="29" t="s">
        <v>7</v>
      </c>
      <c r="B187" t="s">
        <v>125</v>
      </c>
      <c r="D187" s="165">
        <v>473790.61921237921</v>
      </c>
      <c r="E187" s="165">
        <v>63357.153143225536</v>
      </c>
      <c r="F187" s="173"/>
      <c r="G187" s="165">
        <v>175381.17854228936</v>
      </c>
      <c r="H187" s="173"/>
      <c r="I187" s="165">
        <v>712528.9508978941</v>
      </c>
      <c r="J187" s="165">
        <v>307946.90499999991</v>
      </c>
      <c r="K187" s="165">
        <f t="shared" si="7"/>
        <v>1020475.855897894</v>
      </c>
      <c r="L187" s="165">
        <v>85525.422312138471</v>
      </c>
      <c r="M187" s="165">
        <v>45674.381000000023</v>
      </c>
      <c r="N187" s="165">
        <v>15446.365523999526</v>
      </c>
      <c r="O187" s="165">
        <f t="shared" si="8"/>
        <v>3188.7487007688974</v>
      </c>
      <c r="P187" s="165">
        <v>889276.06443980942</v>
      </c>
      <c r="Q187" s="165">
        <f t="shared" si="9"/>
        <v>1020475.867751948</v>
      </c>
      <c r="R187" s="67">
        <v>2019</v>
      </c>
      <c r="S187" s="2">
        <f t="shared" si="6"/>
        <v>-1.1854053940623999E-2</v>
      </c>
      <c r="T187">
        <f>VLOOKUP(A187,'Groupe de branches'!$Z$27:$AM$86,14,FALSE)</f>
        <v>0</v>
      </c>
      <c r="U187">
        <f>VLOOKUP(A187,'Groupe de branches'!$Z$27:$AM$86,14,FALSE)</f>
        <v>0</v>
      </c>
      <c r="V187" s="117"/>
      <c r="W187" s="2"/>
      <c r="Z187" s="2"/>
      <c r="AA187" s="117"/>
      <c r="AB187" s="117"/>
    </row>
    <row r="188" spans="1:28" x14ac:dyDescent="0.25">
      <c r="A188" s="29" t="s">
        <v>8</v>
      </c>
      <c r="B188" t="s">
        <v>125</v>
      </c>
      <c r="D188" s="165">
        <v>182362.11647922342</v>
      </c>
      <c r="E188" s="165">
        <v>29533.772523873664</v>
      </c>
      <c r="F188" s="173"/>
      <c r="G188" s="165">
        <v>96829.469341975317</v>
      </c>
      <c r="H188" s="173"/>
      <c r="I188" s="165">
        <v>308725.35834507237</v>
      </c>
      <c r="J188" s="165">
        <v>0</v>
      </c>
      <c r="K188" s="165">
        <f t="shared" si="7"/>
        <v>308725.35834507237</v>
      </c>
      <c r="L188" s="165">
        <v>102586.21534190247</v>
      </c>
      <c r="M188" s="165">
        <v>32030.493367714043</v>
      </c>
      <c r="N188" s="165">
        <v>0</v>
      </c>
      <c r="O188" s="165">
        <f t="shared" si="8"/>
        <v>1760.5358062177334</v>
      </c>
      <c r="P188" s="165">
        <v>174108.65502069044</v>
      </c>
      <c r="Q188" s="165">
        <f t="shared" si="9"/>
        <v>308725.36373030697</v>
      </c>
      <c r="R188" s="67">
        <v>2019</v>
      </c>
      <c r="S188" s="2">
        <f t="shared" si="6"/>
        <v>-5.3852346027269959E-3</v>
      </c>
      <c r="T188">
        <f>VLOOKUP(A188,'Groupe de branches'!$Z$27:$AM$86,14,FALSE)</f>
        <v>0</v>
      </c>
      <c r="U188">
        <f>VLOOKUP(A188,'Groupe de branches'!$Z$27:$AM$86,14,FALSE)</f>
        <v>0</v>
      </c>
      <c r="V188" s="117"/>
      <c r="W188" s="2"/>
      <c r="Z188" s="2"/>
      <c r="AA188" s="117"/>
      <c r="AB188" s="117"/>
    </row>
    <row r="189" spans="1:28" x14ac:dyDescent="0.25">
      <c r="A189" s="29" t="s">
        <v>83</v>
      </c>
      <c r="B189" t="s">
        <v>125</v>
      </c>
      <c r="D189" s="165">
        <v>61256.18436105299</v>
      </c>
      <c r="E189" s="165">
        <v>15819.301547081648</v>
      </c>
      <c r="F189" s="173"/>
      <c r="G189" s="165">
        <v>25916.689415128243</v>
      </c>
      <c r="H189" s="173"/>
      <c r="I189" s="165">
        <v>102992.17532326288</v>
      </c>
      <c r="J189" s="165">
        <v>137768.81200000012</v>
      </c>
      <c r="K189" s="165">
        <f t="shared" si="7"/>
        <v>240760.98732326302</v>
      </c>
      <c r="L189" s="165">
        <v>1204.3282878609425</v>
      </c>
      <c r="M189" s="165">
        <v>76686.603999999978</v>
      </c>
      <c r="N189" s="165">
        <v>966.83242670895538</v>
      </c>
      <c r="O189" s="165">
        <f t="shared" si="8"/>
        <v>471.21253482051355</v>
      </c>
      <c r="P189" s="165">
        <v>162870.14206688438</v>
      </c>
      <c r="Q189" s="165">
        <f t="shared" si="9"/>
        <v>240761.0743547453</v>
      </c>
      <c r="R189" s="67">
        <v>2019</v>
      </c>
      <c r="S189" s="2">
        <f t="shared" si="6"/>
        <v>-8.7031482282327488E-2</v>
      </c>
      <c r="T189">
        <f>VLOOKUP(A189,'Groupe de branches'!$Z$27:$AM$86,14,FALSE)</f>
        <v>0</v>
      </c>
      <c r="U189">
        <f>VLOOKUP(A189,'Groupe de branches'!$Z$27:$AM$86,14,FALSE)</f>
        <v>0</v>
      </c>
      <c r="V189" s="117"/>
      <c r="W189" s="2"/>
      <c r="Z189" s="2"/>
      <c r="AA189" s="117"/>
      <c r="AB189" s="117"/>
    </row>
    <row r="190" spans="1:28" x14ac:dyDescent="0.25">
      <c r="A190" s="29" t="s">
        <v>9</v>
      </c>
      <c r="B190" t="s">
        <v>125</v>
      </c>
      <c r="D190" s="165">
        <v>152824.77167139272</v>
      </c>
      <c r="E190" s="165">
        <v>22533.35501387596</v>
      </c>
      <c r="F190" s="173"/>
      <c r="G190" s="165">
        <v>52077.176930365378</v>
      </c>
      <c r="H190" s="173"/>
      <c r="I190" s="165">
        <v>227435.30361563407</v>
      </c>
      <c r="J190" s="165">
        <v>0</v>
      </c>
      <c r="K190" s="165">
        <f t="shared" si="7"/>
        <v>227435.30361563407</v>
      </c>
      <c r="L190" s="165">
        <v>32626.085395898153</v>
      </c>
      <c r="M190" s="165">
        <v>0</v>
      </c>
      <c r="N190" s="165">
        <v>0</v>
      </c>
      <c r="O190" s="165">
        <f t="shared" si="8"/>
        <v>946.8577623702796</v>
      </c>
      <c r="P190" s="165">
        <v>194809.22988812506</v>
      </c>
      <c r="Q190" s="165">
        <f t="shared" si="9"/>
        <v>227435.31528402321</v>
      </c>
      <c r="R190" s="67">
        <v>2019</v>
      </c>
      <c r="S190" s="2">
        <f t="shared" si="6"/>
        <v>-1.1668389139231294E-2</v>
      </c>
      <c r="T190">
        <f>VLOOKUP(A190,'Groupe de branches'!$Z$27:$AM$86,14,FALSE)</f>
        <v>0</v>
      </c>
      <c r="U190">
        <f>VLOOKUP(A190,'Groupe de branches'!$Z$27:$AM$86,14,FALSE)</f>
        <v>0</v>
      </c>
      <c r="V190" s="117"/>
      <c r="W190" s="2"/>
      <c r="Z190" s="2"/>
      <c r="AA190" s="117"/>
      <c r="AB190" s="117"/>
    </row>
    <row r="191" spans="1:28" x14ac:dyDescent="0.25">
      <c r="A191" s="29" t="s">
        <v>10</v>
      </c>
      <c r="B191" t="s">
        <v>125</v>
      </c>
      <c r="D191" s="165">
        <v>135740.63268188035</v>
      </c>
      <c r="E191" s="165">
        <v>49606.503702341477</v>
      </c>
      <c r="F191" s="173"/>
      <c r="G191" s="165">
        <v>59934.837371961003</v>
      </c>
      <c r="H191" s="173"/>
      <c r="I191" s="165">
        <v>245281.97375618285</v>
      </c>
      <c r="J191" s="165">
        <v>0</v>
      </c>
      <c r="K191" s="165">
        <f t="shared" si="7"/>
        <v>245281.97375618285</v>
      </c>
      <c r="L191" s="165">
        <v>0</v>
      </c>
      <c r="M191" s="165">
        <v>19376.734800100432</v>
      </c>
      <c r="N191" s="165">
        <v>0</v>
      </c>
      <c r="O191" s="165">
        <f t="shared" si="8"/>
        <v>991.82946005609222</v>
      </c>
      <c r="P191" s="165">
        <v>225905.24076598769</v>
      </c>
      <c r="Q191" s="165">
        <f t="shared" si="9"/>
        <v>245281.97556608813</v>
      </c>
      <c r="R191" s="67">
        <v>2019</v>
      </c>
      <c r="S191" s="2">
        <f t="shared" si="6"/>
        <v>-1.8099052831530571E-3</v>
      </c>
      <c r="T191">
        <f>VLOOKUP(A191,'Groupe de branches'!$Z$27:$AM$86,14,FALSE)</f>
        <v>0</v>
      </c>
      <c r="U191">
        <f>VLOOKUP(A191,'Groupe de branches'!$Z$27:$AM$86,14,FALSE)</f>
        <v>0</v>
      </c>
      <c r="V191" s="117"/>
      <c r="W191" s="2"/>
      <c r="Z191" s="2"/>
      <c r="AA191" s="117"/>
      <c r="AB191" s="117"/>
    </row>
    <row r="192" spans="1:28" x14ac:dyDescent="0.25">
      <c r="A192" s="29" t="s">
        <v>84</v>
      </c>
      <c r="B192" t="s">
        <v>125</v>
      </c>
      <c r="D192" s="165">
        <v>23372.885620822977</v>
      </c>
      <c r="E192" s="165">
        <v>8223.7249115235609</v>
      </c>
      <c r="F192" s="173"/>
      <c r="G192" s="165">
        <v>10433.546146719398</v>
      </c>
      <c r="H192" s="173"/>
      <c r="I192" s="165">
        <v>42030.156679065934</v>
      </c>
      <c r="J192" s="165">
        <v>8017.6229999999996</v>
      </c>
      <c r="K192" s="165">
        <f t="shared" si="7"/>
        <v>50047.779679065934</v>
      </c>
      <c r="L192" s="165">
        <v>0</v>
      </c>
      <c r="M192" s="165">
        <v>23026.502999999997</v>
      </c>
      <c r="N192" s="165">
        <v>0</v>
      </c>
      <c r="O192" s="165">
        <f t="shared" si="8"/>
        <v>164.74020231662209</v>
      </c>
      <c r="P192" s="165">
        <v>27024.082239710584</v>
      </c>
      <c r="Q192" s="165">
        <f t="shared" si="9"/>
        <v>50050.585239710577</v>
      </c>
      <c r="R192" s="67">
        <v>2019</v>
      </c>
      <c r="S192" s="2">
        <f t="shared" si="6"/>
        <v>-2.8055606446432648</v>
      </c>
      <c r="T192">
        <f>VLOOKUP(A192,'Groupe de branches'!$Z$27:$AM$86,14,FALSE)</f>
        <v>0</v>
      </c>
      <c r="U192">
        <f>VLOOKUP(A192,'Groupe de branches'!$Z$27:$AM$86,14,FALSE)</f>
        <v>0</v>
      </c>
      <c r="V192" s="117"/>
      <c r="W192" s="2"/>
      <c r="Z192" s="2"/>
      <c r="AA192" s="117"/>
      <c r="AB192" s="117"/>
    </row>
    <row r="193" spans="1:26" x14ac:dyDescent="0.25">
      <c r="A193" s="29" t="s">
        <v>11</v>
      </c>
      <c r="B193" t="s">
        <v>125</v>
      </c>
      <c r="D193" s="165">
        <v>0</v>
      </c>
      <c r="E193" s="165">
        <v>0</v>
      </c>
      <c r="F193" s="173"/>
      <c r="G193" s="165">
        <v>97125.5</v>
      </c>
      <c r="H193" s="173"/>
      <c r="I193" s="165">
        <v>97125.5</v>
      </c>
      <c r="J193" s="165">
        <v>50000.895999999979</v>
      </c>
      <c r="K193" s="165">
        <f t="shared" si="7"/>
        <v>147126.39599999998</v>
      </c>
      <c r="L193" s="165">
        <v>0</v>
      </c>
      <c r="M193" s="165">
        <v>10557.550999999992</v>
      </c>
      <c r="N193" s="165">
        <v>0</v>
      </c>
      <c r="O193" s="165">
        <f t="shared" si="8"/>
        <v>1789.1539473684213</v>
      </c>
      <c r="P193" s="165">
        <v>136568.79958601372</v>
      </c>
      <c r="Q193" s="165">
        <f t="shared" si="9"/>
        <v>147126.35058601369</v>
      </c>
      <c r="R193" s="67">
        <v>2019</v>
      </c>
      <c r="S193" s="2">
        <f t="shared" si="6"/>
        <v>4.5413986284984276E-2</v>
      </c>
      <c r="T193">
        <f>VLOOKUP(A193,'Groupe de branches'!$Z$27:$AM$86,14,FALSE)</f>
        <v>0</v>
      </c>
      <c r="U193">
        <f>VLOOKUP(A193,'Groupe de branches'!$Z$27:$AM$86,14,FALSE)</f>
        <v>0</v>
      </c>
      <c r="V193" s="117"/>
      <c r="W193" s="2"/>
      <c r="Z193" s="2"/>
    </row>
    <row r="194" spans="1:26" x14ac:dyDescent="0.25">
      <c r="A194" s="29" t="s">
        <v>12</v>
      </c>
      <c r="B194" t="s">
        <v>125</v>
      </c>
      <c r="D194" s="165">
        <v>0</v>
      </c>
      <c r="E194" s="165">
        <v>0</v>
      </c>
      <c r="F194" s="173"/>
      <c r="G194" s="165">
        <v>152343.39124999999</v>
      </c>
      <c r="H194" s="173"/>
      <c r="I194" s="165">
        <v>152343.39124999999</v>
      </c>
      <c r="J194" s="165">
        <v>58967.51399999993</v>
      </c>
      <c r="K194" s="165">
        <f t="shared" si="7"/>
        <v>211310.90524999992</v>
      </c>
      <c r="L194" s="165">
        <v>22742.09566781998</v>
      </c>
      <c r="M194" s="165">
        <v>44198.450999999994</v>
      </c>
      <c r="N194" s="165">
        <v>10168.542667619291</v>
      </c>
      <c r="O194" s="165">
        <f t="shared" si="8"/>
        <v>2806.3256282894731</v>
      </c>
      <c r="P194" s="165">
        <v>144370.35830233083</v>
      </c>
      <c r="Q194" s="165">
        <f t="shared" si="9"/>
        <v>211310.90497015082</v>
      </c>
      <c r="R194" s="67">
        <v>2019</v>
      </c>
      <c r="S194" s="2">
        <f t="shared" si="6"/>
        <v>2.7984910411760211E-4</v>
      </c>
      <c r="T194">
        <f>VLOOKUP(A194,'Groupe de branches'!$Z$27:$AM$86,14,FALSE)</f>
        <v>0</v>
      </c>
      <c r="U194">
        <f>VLOOKUP(A194,'Groupe de branches'!$Z$27:$AM$86,14,FALSE)</f>
        <v>0</v>
      </c>
      <c r="V194" s="117"/>
      <c r="W194" s="2"/>
      <c r="Z194" s="2"/>
    </row>
    <row r="195" spans="1:26" x14ac:dyDescent="0.25">
      <c r="A195" s="29" t="s">
        <v>13</v>
      </c>
      <c r="B195" t="s">
        <v>125</v>
      </c>
      <c r="D195" s="165">
        <v>377040.03423413297</v>
      </c>
      <c r="E195" s="165">
        <v>188339.9837166247</v>
      </c>
      <c r="F195" s="173"/>
      <c r="G195" s="165">
        <v>128719.97247683418</v>
      </c>
      <c r="H195" s="173"/>
      <c r="I195" s="165">
        <v>694099.99042759184</v>
      </c>
      <c r="J195" s="165">
        <v>293522.59299999924</v>
      </c>
      <c r="K195" s="165">
        <f t="shared" si="7"/>
        <v>987622.58342759102</v>
      </c>
      <c r="L195" s="165">
        <v>399370.42744947819</v>
      </c>
      <c r="M195" s="165">
        <v>74154.592999999993</v>
      </c>
      <c r="N195" s="165">
        <v>157577.32825780148</v>
      </c>
      <c r="O195" s="165">
        <f t="shared" si="8"/>
        <v>1689.3879822627457</v>
      </c>
      <c r="P195" s="165">
        <v>514097.68699064461</v>
      </c>
      <c r="Q195" s="165">
        <f t="shared" si="9"/>
        <v>987622.70744012285</v>
      </c>
      <c r="R195" s="67">
        <v>2019</v>
      </c>
      <c r="S195" s="2">
        <f t="shared" si="6"/>
        <v>-0.12401253182906657</v>
      </c>
      <c r="T195">
        <f>VLOOKUP(A195,'Groupe de branches'!$Z$27:$AM$86,14,FALSE)</f>
        <v>0</v>
      </c>
      <c r="U195">
        <f>VLOOKUP(A195,'Groupe de branches'!$Z$27:$AM$86,14,FALSE)</f>
        <v>0</v>
      </c>
      <c r="V195" s="117"/>
      <c r="W195" s="2"/>
      <c r="Z195" s="2"/>
    </row>
    <row r="196" spans="1:26" x14ac:dyDescent="0.25">
      <c r="A196" s="29" t="s">
        <v>14</v>
      </c>
      <c r="B196" t="s">
        <v>125</v>
      </c>
      <c r="D196" s="165">
        <v>80371.912331308209</v>
      </c>
      <c r="E196" s="165">
        <v>56389.833855742807</v>
      </c>
      <c r="F196" s="173"/>
      <c r="G196" s="165">
        <v>49603.796553102547</v>
      </c>
      <c r="H196" s="173"/>
      <c r="I196" s="165">
        <v>186365.54274015356</v>
      </c>
      <c r="J196" s="165">
        <v>445319.010490541</v>
      </c>
      <c r="K196" s="165">
        <f t="shared" si="7"/>
        <v>631684.5532306945</v>
      </c>
      <c r="L196" s="165">
        <v>94823.783823358957</v>
      </c>
      <c r="M196" s="165">
        <v>50639.00243584648</v>
      </c>
      <c r="N196" s="165">
        <v>78489.145778554783</v>
      </c>
      <c r="O196" s="165">
        <f t="shared" si="8"/>
        <v>672.04387564259287</v>
      </c>
      <c r="P196" s="165">
        <v>486221.79489791323</v>
      </c>
      <c r="Q196" s="165">
        <f t="shared" si="9"/>
        <v>631684.58115711866</v>
      </c>
      <c r="R196" s="67">
        <v>2019</v>
      </c>
      <c r="S196" s="2">
        <f t="shared" si="6"/>
        <v>-2.7926424168981612E-2</v>
      </c>
      <c r="T196">
        <f>VLOOKUP(A196,'Groupe de branches'!$Z$27:$AM$86,14,FALSE)</f>
        <v>0</v>
      </c>
      <c r="U196">
        <f>VLOOKUP(A196,'Groupe de branches'!$Z$27:$AM$86,14,FALSE)</f>
        <v>0</v>
      </c>
      <c r="V196" s="117"/>
      <c r="W196" s="2"/>
      <c r="Z196" s="2"/>
    </row>
    <row r="197" spans="1:26" x14ac:dyDescent="0.25">
      <c r="A197" s="29" t="s">
        <v>85</v>
      </c>
      <c r="B197" t="s">
        <v>125</v>
      </c>
      <c r="D197" s="165">
        <v>197048.7128278692</v>
      </c>
      <c r="E197" s="165">
        <v>63176.71534809428</v>
      </c>
      <c r="F197" s="173"/>
      <c r="G197" s="165">
        <v>12646.636901197955</v>
      </c>
      <c r="H197" s="173"/>
      <c r="I197" s="165">
        <v>272872.06507716142</v>
      </c>
      <c r="J197" s="165">
        <v>194790</v>
      </c>
      <c r="K197" s="165">
        <f t="shared" si="7"/>
        <v>467662.06507716142</v>
      </c>
      <c r="L197" s="165">
        <v>104526.66778006474</v>
      </c>
      <c r="M197" s="165">
        <v>12450</v>
      </c>
      <c r="N197" s="165">
        <v>39763.892942546445</v>
      </c>
      <c r="O197" s="165">
        <f t="shared" si="8"/>
        <v>195.26078608182954</v>
      </c>
      <c r="P197" s="165">
        <v>350685.9867629928</v>
      </c>
      <c r="Q197" s="165">
        <f t="shared" si="9"/>
        <v>467662.65454305755</v>
      </c>
      <c r="R197" s="67">
        <v>2019</v>
      </c>
      <c r="S197" s="2">
        <f t="shared" si="6"/>
        <v>-0.58946589613333344</v>
      </c>
      <c r="T197">
        <f>VLOOKUP(A197,'Groupe de branches'!$Z$27:$AM$86,14,FALSE)</f>
        <v>0</v>
      </c>
      <c r="U197">
        <f>VLOOKUP(A197,'Groupe de branches'!$Z$27:$AM$86,14,FALSE)</f>
        <v>0</v>
      </c>
      <c r="V197" s="117"/>
      <c r="W197" s="2"/>
      <c r="Z197" s="2"/>
    </row>
    <row r="198" spans="1:26" x14ac:dyDescent="0.25">
      <c r="A198" s="29" t="s">
        <v>86</v>
      </c>
      <c r="B198" t="s">
        <v>125</v>
      </c>
      <c r="D198" s="165">
        <v>293723.19573658262</v>
      </c>
      <c r="E198" s="165">
        <v>130209.56336297476</v>
      </c>
      <c r="F198" s="173"/>
      <c r="G198" s="165">
        <v>98324.333956292161</v>
      </c>
      <c r="H198" s="173"/>
      <c r="I198" s="165">
        <v>522257.09305584955</v>
      </c>
      <c r="J198" s="165">
        <v>148790.32499999981</v>
      </c>
      <c r="K198" s="165">
        <f t="shared" si="7"/>
        <v>671047.41805584938</v>
      </c>
      <c r="L198" s="165">
        <v>414976.94607185881</v>
      </c>
      <c r="M198" s="165">
        <v>36039.286000000015</v>
      </c>
      <c r="N198" s="165">
        <v>113948.55140399857</v>
      </c>
      <c r="O198" s="165">
        <f t="shared" si="8"/>
        <v>837.90964920532576</v>
      </c>
      <c r="P198" s="165">
        <v>220031.18565986698</v>
      </c>
      <c r="Q198" s="165">
        <f t="shared" si="9"/>
        <v>671047.41773172584</v>
      </c>
      <c r="R198" s="67">
        <v>2019</v>
      </c>
      <c r="S198" s="2">
        <f t="shared" ref="S198:S261" si="10">K198-Q198</f>
        <v>3.2412353903055191E-4</v>
      </c>
      <c r="T198">
        <f>VLOOKUP(A198,'Groupe de branches'!$Z$27:$AM$86,14,FALSE)</f>
        <v>1</v>
      </c>
      <c r="U198">
        <f>VLOOKUP(A198,'Groupe de branches'!$Z$27:$AM$86,14,FALSE)</f>
        <v>1</v>
      </c>
      <c r="V198" s="117"/>
      <c r="W198" s="2"/>
      <c r="Z198" s="2"/>
    </row>
    <row r="199" spans="1:26" x14ac:dyDescent="0.25">
      <c r="A199" s="29" t="s">
        <v>87</v>
      </c>
      <c r="B199" t="s">
        <v>125</v>
      </c>
      <c r="D199" s="165">
        <v>315212.34116223926</v>
      </c>
      <c r="E199" s="165">
        <v>858542.66803172813</v>
      </c>
      <c r="F199" s="173"/>
      <c r="G199" s="165">
        <v>408230.99387206201</v>
      </c>
      <c r="H199" s="173"/>
      <c r="I199" s="165">
        <v>1581986.0030660294</v>
      </c>
      <c r="J199" s="165">
        <v>1133231.0590000004</v>
      </c>
      <c r="K199" s="165">
        <f t="shared" si="7"/>
        <v>2715217.0620660298</v>
      </c>
      <c r="L199" s="165">
        <v>228176.86761091423</v>
      </c>
      <c r="M199" s="165">
        <v>847227.47999999928</v>
      </c>
      <c r="N199" s="165">
        <v>158398.15840692742</v>
      </c>
      <c r="O199" s="165">
        <f t="shared" si="8"/>
        <v>4096.237145013667</v>
      </c>
      <c r="P199" s="165">
        <v>1639812.7132716267</v>
      </c>
      <c r="Q199" s="165">
        <f t="shared" si="9"/>
        <v>2715217.06088254</v>
      </c>
      <c r="R199" s="67">
        <v>2019</v>
      </c>
      <c r="S199" s="2">
        <f t="shared" si="10"/>
        <v>1.183489803224802E-3</v>
      </c>
      <c r="T199">
        <f>VLOOKUP(A199,'Groupe de branches'!$Z$27:$AM$86,14,FALSE)</f>
        <v>0</v>
      </c>
      <c r="U199">
        <f>VLOOKUP(A199,'Groupe de branches'!$Z$27:$AM$86,14,FALSE)</f>
        <v>0</v>
      </c>
      <c r="V199" s="117"/>
      <c r="W199" s="2"/>
      <c r="Z199" s="2"/>
    </row>
    <row r="200" spans="1:26" x14ac:dyDescent="0.25">
      <c r="A200" s="29" t="s">
        <v>88</v>
      </c>
      <c r="B200" t="s">
        <v>125</v>
      </c>
      <c r="D200" s="165">
        <v>0</v>
      </c>
      <c r="E200" s="165">
        <v>0</v>
      </c>
      <c r="F200" s="173"/>
      <c r="G200" s="165">
        <v>1</v>
      </c>
      <c r="H200" s="173"/>
      <c r="I200" s="165">
        <v>1</v>
      </c>
      <c r="J200" s="165">
        <v>0</v>
      </c>
      <c r="K200" s="165">
        <f t="shared" si="7"/>
        <v>1</v>
      </c>
      <c r="L200" s="165">
        <v>1</v>
      </c>
      <c r="M200" s="165">
        <v>0</v>
      </c>
      <c r="N200" s="165">
        <v>0</v>
      </c>
      <c r="O200" s="165"/>
      <c r="P200" s="165">
        <v>0</v>
      </c>
      <c r="Q200" s="165">
        <f t="shared" si="9"/>
        <v>1</v>
      </c>
      <c r="R200" s="67">
        <v>2019</v>
      </c>
      <c r="S200" s="2">
        <f t="shared" si="10"/>
        <v>0</v>
      </c>
      <c r="T200">
        <f>VLOOKUP(A200,'Groupe de branches'!$Z$27:$AM$86,14,FALSE)</f>
        <v>0</v>
      </c>
      <c r="U200">
        <f>VLOOKUP(A200,'Groupe de branches'!$Z$27:$AM$86,14,FALSE)</f>
        <v>0</v>
      </c>
      <c r="V200" s="117"/>
      <c r="W200" s="2"/>
      <c r="Z200" s="2"/>
    </row>
    <row r="201" spans="1:26" x14ac:dyDescent="0.25">
      <c r="A201" s="29" t="s">
        <v>89</v>
      </c>
      <c r="B201" t="s">
        <v>125</v>
      </c>
      <c r="D201" s="165">
        <v>14805.71757632439</v>
      </c>
      <c r="E201" s="165">
        <v>40153.63690623382</v>
      </c>
      <c r="F201" s="173"/>
      <c r="G201" s="165">
        <v>19445.947055377979</v>
      </c>
      <c r="H201" s="173"/>
      <c r="I201" s="165">
        <v>74405.30153793619</v>
      </c>
      <c r="J201" s="165">
        <v>123199.01399999997</v>
      </c>
      <c r="K201" s="165">
        <f t="shared" si="7"/>
        <v>197604.31553793617</v>
      </c>
      <c r="L201" s="165">
        <v>127485.7497770465</v>
      </c>
      <c r="M201" s="165">
        <v>16681.795999999991</v>
      </c>
      <c r="N201" s="165">
        <v>89404.298973693338</v>
      </c>
      <c r="O201" s="165">
        <f t="shared" si="8"/>
        <v>509.8188366578496</v>
      </c>
      <c r="P201" s="165">
        <v>53436.771497467598</v>
      </c>
      <c r="Q201" s="165">
        <f t="shared" si="9"/>
        <v>197604.31727451409</v>
      </c>
      <c r="R201" s="67">
        <v>2019</v>
      </c>
      <c r="S201" s="2">
        <f t="shared" si="10"/>
        <v>-1.7365779203828424E-3</v>
      </c>
      <c r="T201">
        <f>VLOOKUP(A201,'Groupe de branches'!$Z$27:$AM$86,14,FALSE)</f>
        <v>0</v>
      </c>
      <c r="U201">
        <f>VLOOKUP(A201,'Groupe de branches'!$Z$27:$AM$86,14,FALSE)</f>
        <v>0</v>
      </c>
      <c r="V201" s="117"/>
      <c r="W201" s="2"/>
      <c r="Z201" s="2"/>
    </row>
    <row r="202" spans="1:26" x14ac:dyDescent="0.25">
      <c r="A202" s="29" t="s">
        <v>90</v>
      </c>
      <c r="B202" t="s">
        <v>125</v>
      </c>
      <c r="D202" s="165">
        <v>104768.15659495478</v>
      </c>
      <c r="E202" s="165">
        <v>449962.10777345026</v>
      </c>
      <c r="F202" s="173"/>
      <c r="G202" s="165">
        <v>235534.73498638821</v>
      </c>
      <c r="H202" s="173"/>
      <c r="I202" s="165">
        <v>790264.99935479334</v>
      </c>
      <c r="J202" s="165">
        <v>178179.01899999965</v>
      </c>
      <c r="K202" s="165">
        <f t="shared" si="7"/>
        <v>968444.01835479296</v>
      </c>
      <c r="L202" s="165">
        <v>362860.76422751666</v>
      </c>
      <c r="M202" s="165">
        <v>19570.246000000003</v>
      </c>
      <c r="N202" s="165">
        <v>117775.93853619564</v>
      </c>
      <c r="O202" s="165">
        <f t="shared" si="8"/>
        <v>4484.4777128781334</v>
      </c>
      <c r="P202" s="165">
        <v>586013.00972338009</v>
      </c>
      <c r="Q202" s="165">
        <f t="shared" si="9"/>
        <v>968444.01995089673</v>
      </c>
      <c r="R202" s="67">
        <v>2019</v>
      </c>
      <c r="S202" s="2">
        <f t="shared" si="10"/>
        <v>-1.5961037715896964E-3</v>
      </c>
      <c r="T202">
        <f>VLOOKUP(A202,'Groupe de branches'!$Z$27:$AM$86,14,FALSE)</f>
        <v>0</v>
      </c>
      <c r="U202">
        <f>VLOOKUP(A202,'Groupe de branches'!$Z$27:$AM$86,14,FALSE)</f>
        <v>0</v>
      </c>
      <c r="V202" s="117"/>
      <c r="W202" s="2"/>
      <c r="Z202" s="2"/>
    </row>
    <row r="203" spans="1:26" x14ac:dyDescent="0.25">
      <c r="A203" s="29" t="s">
        <v>15</v>
      </c>
      <c r="B203" t="s">
        <v>125</v>
      </c>
      <c r="D203" s="165">
        <v>218354.69229241982</v>
      </c>
      <c r="E203" s="165">
        <v>186602.25489969651</v>
      </c>
      <c r="F203" s="173"/>
      <c r="G203" s="165">
        <v>241088.18462493099</v>
      </c>
      <c r="H203" s="173"/>
      <c r="I203" s="165">
        <v>646045.13181704725</v>
      </c>
      <c r="J203" s="165">
        <v>67203.898999999976</v>
      </c>
      <c r="K203" s="165">
        <f t="shared" si="7"/>
        <v>713249.03081704723</v>
      </c>
      <c r="L203" s="165">
        <v>56364.096028916203</v>
      </c>
      <c r="M203" s="165">
        <v>5347.99</v>
      </c>
      <c r="N203" s="165">
        <v>11856.590376517725</v>
      </c>
      <c r="O203" s="165">
        <f t="shared" si="8"/>
        <v>4553.8879318042509</v>
      </c>
      <c r="P203" s="165">
        <v>651537.01142168953</v>
      </c>
      <c r="Q203" s="165">
        <f t="shared" si="9"/>
        <v>713249.09745060571</v>
      </c>
      <c r="R203" s="67">
        <v>2019</v>
      </c>
      <c r="S203" s="2">
        <f t="shared" si="10"/>
        <v>-6.6633558482863009E-2</v>
      </c>
      <c r="T203">
        <f>VLOOKUP(A203,'Groupe de branches'!$Z$27:$AM$86,14,FALSE)</f>
        <v>0</v>
      </c>
      <c r="U203">
        <f>VLOOKUP(A203,'Groupe de branches'!$Z$27:$AM$86,14,FALSE)</f>
        <v>0</v>
      </c>
      <c r="V203" s="117"/>
      <c r="W203" s="2"/>
      <c r="Z203" s="2"/>
    </row>
    <row r="204" spans="1:26" x14ac:dyDescent="0.25">
      <c r="A204" s="29" t="s">
        <v>16</v>
      </c>
      <c r="B204" t="s">
        <v>125</v>
      </c>
      <c r="D204" s="165">
        <v>198015.03686951846</v>
      </c>
      <c r="E204" s="165">
        <v>189219.5065276502</v>
      </c>
      <c r="F204" s="173"/>
      <c r="G204" s="165">
        <v>213709.45486944608</v>
      </c>
      <c r="H204" s="173"/>
      <c r="I204" s="165">
        <v>600943.99826661474</v>
      </c>
      <c r="J204" s="165">
        <v>97555.487999999998</v>
      </c>
      <c r="K204" s="165">
        <f t="shared" si="7"/>
        <v>698499.48626661475</v>
      </c>
      <c r="L204" s="165">
        <v>176392.2001204211</v>
      </c>
      <c r="M204" s="165">
        <v>32876.455000000024</v>
      </c>
      <c r="N204" s="165">
        <v>36005.005891144043</v>
      </c>
      <c r="O204" s="165">
        <f t="shared" si="8"/>
        <v>4317.8758411939434</v>
      </c>
      <c r="P204" s="165">
        <v>489230.83344225748</v>
      </c>
      <c r="Q204" s="165">
        <f t="shared" si="9"/>
        <v>698499.48856267857</v>
      </c>
      <c r="R204" s="67">
        <v>2019</v>
      </c>
      <c r="S204" s="2">
        <f t="shared" si="10"/>
        <v>-2.2960638161748648E-3</v>
      </c>
      <c r="T204">
        <f>VLOOKUP(A204,'Groupe de branches'!$Z$27:$AM$86,14,FALSE)</f>
        <v>0</v>
      </c>
      <c r="U204">
        <f>VLOOKUP(A204,'Groupe de branches'!$Z$27:$AM$86,14,FALSE)</f>
        <v>0</v>
      </c>
      <c r="W204" s="2"/>
      <c r="Z204" s="2"/>
    </row>
    <row r="205" spans="1:26" x14ac:dyDescent="0.25">
      <c r="A205" s="29" t="s">
        <v>91</v>
      </c>
      <c r="B205" t="s">
        <v>125</v>
      </c>
      <c r="D205" s="165">
        <v>639005.59693357046</v>
      </c>
      <c r="E205" s="165">
        <v>277073.95167098352</v>
      </c>
      <c r="F205" s="173"/>
      <c r="G205" s="165">
        <v>533025.44586612051</v>
      </c>
      <c r="H205" s="173"/>
      <c r="I205" s="165">
        <v>1449104.9944706745</v>
      </c>
      <c r="J205" s="165">
        <v>253530.81900000016</v>
      </c>
      <c r="K205" s="165">
        <f t="shared" si="7"/>
        <v>1702635.8134706747</v>
      </c>
      <c r="L205" s="165">
        <v>1569222.0469300968</v>
      </c>
      <c r="M205" s="165">
        <v>111627.45699999997</v>
      </c>
      <c r="N205" s="165">
        <v>244587.23292150893</v>
      </c>
      <c r="O205" s="165">
        <f t="shared" si="8"/>
        <v>10633.924107054774</v>
      </c>
      <c r="P205" s="165">
        <v>21786.315113200078</v>
      </c>
      <c r="Q205" s="165">
        <f t="shared" si="9"/>
        <v>1702635.8190432969</v>
      </c>
      <c r="R205" s="67">
        <v>2019</v>
      </c>
      <c r="S205" s="2">
        <f t="shared" si="10"/>
        <v>-5.5726221762597561E-3</v>
      </c>
      <c r="T205">
        <f>VLOOKUP(A205,'Groupe de branches'!$Z$27:$AM$86,14,FALSE)</f>
        <v>0</v>
      </c>
      <c r="U205">
        <f>VLOOKUP(A205,'Groupe de branches'!$Z$27:$AM$86,14,FALSE)</f>
        <v>0</v>
      </c>
      <c r="W205" s="2"/>
      <c r="Z205" s="2"/>
    </row>
    <row r="206" spans="1:26" x14ac:dyDescent="0.25">
      <c r="A206" s="29" t="s">
        <v>17</v>
      </c>
      <c r="B206" t="s">
        <v>125</v>
      </c>
      <c r="D206" s="165">
        <v>229104.75104528596</v>
      </c>
      <c r="E206" s="165">
        <v>324770.63246814581</v>
      </c>
      <c r="F206" s="173"/>
      <c r="G206" s="165">
        <v>225957.61661246084</v>
      </c>
      <c r="H206" s="173"/>
      <c r="I206" s="165">
        <v>779833.00012589258</v>
      </c>
      <c r="J206" s="165">
        <v>40122.146999999983</v>
      </c>
      <c r="K206" s="165">
        <f t="shared" si="7"/>
        <v>819955.14712589257</v>
      </c>
      <c r="L206" s="165">
        <v>356123.68172027764</v>
      </c>
      <c r="M206" s="165">
        <v>460631.95500000037</v>
      </c>
      <c r="N206" s="165">
        <v>38689.42514260656</v>
      </c>
      <c r="O206" s="165">
        <f t="shared" si="8"/>
        <v>2516.4433033117089</v>
      </c>
      <c r="P206" s="165">
        <v>3199.510279298252</v>
      </c>
      <c r="Q206" s="165">
        <f t="shared" si="9"/>
        <v>819955.14699957625</v>
      </c>
      <c r="R206" s="67">
        <v>2019</v>
      </c>
      <c r="S206" s="2">
        <f t="shared" si="10"/>
        <v>1.2631632853299379E-4</v>
      </c>
      <c r="T206">
        <f>VLOOKUP(A206,'Groupe de branches'!$Z$27:$AM$86,14,FALSE)</f>
        <v>0</v>
      </c>
      <c r="U206">
        <f>VLOOKUP(A206,'Groupe de branches'!$Z$27:$AM$86,14,FALSE)</f>
        <v>0</v>
      </c>
      <c r="W206" s="2"/>
      <c r="Z206" s="2"/>
    </row>
    <row r="207" spans="1:26" x14ac:dyDescent="0.25">
      <c r="A207" s="29" t="s">
        <v>18</v>
      </c>
      <c r="B207" t="s">
        <v>125</v>
      </c>
      <c r="D207" s="165">
        <v>5258.2452257338628</v>
      </c>
      <c r="E207" s="165">
        <v>11257.259329204886</v>
      </c>
      <c r="F207" s="173"/>
      <c r="G207" s="165">
        <v>10281.805944707045</v>
      </c>
      <c r="H207" s="173"/>
      <c r="I207" s="165">
        <v>26797.310499645795</v>
      </c>
      <c r="J207" s="165">
        <v>16666.793999999998</v>
      </c>
      <c r="K207" s="165">
        <f t="shared" si="7"/>
        <v>43464.104499645793</v>
      </c>
      <c r="L207" s="165">
        <v>1255.1265824622053</v>
      </c>
      <c r="M207" s="165">
        <v>1895.9730000000004</v>
      </c>
      <c r="N207" s="165">
        <v>0</v>
      </c>
      <c r="O207" s="165">
        <f t="shared" si="8"/>
        <v>192.1016821941019</v>
      </c>
      <c r="P207" s="165">
        <v>40312.995479155885</v>
      </c>
      <c r="Q207" s="165">
        <f t="shared" si="9"/>
        <v>43464.095061618085</v>
      </c>
      <c r="R207" s="67">
        <v>2019</v>
      </c>
      <c r="S207" s="2">
        <f t="shared" si="10"/>
        <v>9.4380277078016661E-3</v>
      </c>
      <c r="T207">
        <f>VLOOKUP(A207,'Groupe de branches'!$Z$27:$AM$86,14,FALSE)</f>
        <v>0</v>
      </c>
      <c r="U207">
        <f>VLOOKUP(A207,'Groupe de branches'!$Z$27:$AM$86,14,FALSE)</f>
        <v>0</v>
      </c>
      <c r="W207" s="2"/>
      <c r="Z207" s="2"/>
    </row>
    <row r="208" spans="1:26" x14ac:dyDescent="0.25">
      <c r="A208" s="29" t="s">
        <v>92</v>
      </c>
      <c r="B208" t="s">
        <v>125</v>
      </c>
      <c r="D208" s="165">
        <v>71199.774687680358</v>
      </c>
      <c r="E208" s="165">
        <v>86335.666093797539</v>
      </c>
      <c r="F208" s="173"/>
      <c r="G208" s="165">
        <v>74631.547992296662</v>
      </c>
      <c r="H208" s="173"/>
      <c r="I208" s="165">
        <v>232166.98877377456</v>
      </c>
      <c r="J208" s="165">
        <v>30163.742000000027</v>
      </c>
      <c r="K208" s="165">
        <f t="shared" si="7"/>
        <v>262330.73077377456</v>
      </c>
      <c r="L208" s="165">
        <v>252185.242</v>
      </c>
      <c r="M208" s="165">
        <v>10145.5</v>
      </c>
      <c r="N208" s="165">
        <v>30163.742000000027</v>
      </c>
      <c r="O208" s="165">
        <f t="shared" si="8"/>
        <v>1066.5926412519436</v>
      </c>
      <c r="P208" s="165">
        <v>0</v>
      </c>
      <c r="Q208" s="165">
        <f t="shared" si="9"/>
        <v>262330.74199999997</v>
      </c>
      <c r="R208" s="67">
        <v>2019</v>
      </c>
      <c r="S208" s="2">
        <f t="shared" si="10"/>
        <v>-1.1226225411519408E-2</v>
      </c>
      <c r="T208">
        <f>VLOOKUP(A208,'Groupe de branches'!$Z$27:$AM$86,14,FALSE)</f>
        <v>0</v>
      </c>
      <c r="U208">
        <f>VLOOKUP(A208,'Groupe de branches'!$Z$27:$AM$86,14,FALSE)</f>
        <v>0</v>
      </c>
      <c r="W208" s="2"/>
      <c r="Z208" s="2"/>
    </row>
    <row r="209" spans="1:26" x14ac:dyDescent="0.25">
      <c r="A209" s="29" t="s">
        <v>93</v>
      </c>
      <c r="B209" t="s">
        <v>125</v>
      </c>
      <c r="D209" s="165">
        <v>42983.467762769083</v>
      </c>
      <c r="E209" s="165">
        <v>98912.751541205187</v>
      </c>
      <c r="F209" s="173"/>
      <c r="G209" s="165">
        <v>102591.01475308405</v>
      </c>
      <c r="H209" s="173"/>
      <c r="I209" s="165">
        <v>244487.23405705832</v>
      </c>
      <c r="J209" s="165">
        <v>208205.40899999964</v>
      </c>
      <c r="K209" s="165">
        <f t="shared" si="7"/>
        <v>452692.64305705798</v>
      </c>
      <c r="L209" s="165">
        <v>383523.94257278752</v>
      </c>
      <c r="M209" s="165">
        <v>69168.70399999994</v>
      </c>
      <c r="N209" s="165">
        <v>208205.40899999964</v>
      </c>
      <c r="O209" s="165">
        <f t="shared" si="8"/>
        <v>2004.6520124165847</v>
      </c>
      <c r="P209" s="165">
        <v>0</v>
      </c>
      <c r="Q209" s="165">
        <f t="shared" si="9"/>
        <v>452692.64657278743</v>
      </c>
      <c r="R209" s="67">
        <v>2019</v>
      </c>
      <c r="S209" s="2">
        <f t="shared" si="10"/>
        <v>-3.5157294478267431E-3</v>
      </c>
      <c r="T209">
        <f>VLOOKUP(A209,'Groupe de branches'!$Z$27:$AM$86,14,FALSE)</f>
        <v>0</v>
      </c>
      <c r="U209">
        <f>VLOOKUP(A209,'Groupe de branches'!$Z$27:$AM$86,14,FALSE)</f>
        <v>0</v>
      </c>
      <c r="W209" s="2"/>
      <c r="Z209" s="2"/>
    </row>
    <row r="210" spans="1:26" x14ac:dyDescent="0.25">
      <c r="A210" s="29" t="s">
        <v>94</v>
      </c>
      <c r="B210" t="s">
        <v>125</v>
      </c>
      <c r="D210" s="165">
        <v>23681.725011108607</v>
      </c>
      <c r="E210" s="165">
        <v>270504.50504542724</v>
      </c>
      <c r="F210" s="173"/>
      <c r="G210" s="165">
        <v>78358.088733287208</v>
      </c>
      <c r="H210" s="173"/>
      <c r="I210" s="165">
        <v>372544.3187898231</v>
      </c>
      <c r="J210" s="165">
        <v>282140.29199999938</v>
      </c>
      <c r="K210" s="165">
        <f t="shared" si="7"/>
        <v>654684.61078982241</v>
      </c>
      <c r="L210" s="165">
        <v>559918.78076538001</v>
      </c>
      <c r="M210" s="165">
        <v>93790.878999999753</v>
      </c>
      <c r="N210" s="165">
        <v>281613.16937490716</v>
      </c>
      <c r="O210" s="165">
        <f t="shared" si="8"/>
        <v>1269.2994935197712</v>
      </c>
      <c r="P210" s="165">
        <v>974.9512393356822</v>
      </c>
      <c r="Q210" s="165">
        <f t="shared" si="9"/>
        <v>654684.61100471544</v>
      </c>
      <c r="R210" s="67">
        <v>2019</v>
      </c>
      <c r="S210" s="2">
        <f t="shared" si="10"/>
        <v>-2.1489302162081003E-4</v>
      </c>
      <c r="T210">
        <f>VLOOKUP(A210,'Groupe de branches'!$Z$27:$AM$86,14,FALSE)</f>
        <v>0</v>
      </c>
      <c r="U210">
        <f>VLOOKUP(A210,'Groupe de branches'!$Z$27:$AM$86,14,FALSE)</f>
        <v>0</v>
      </c>
      <c r="W210" s="2"/>
      <c r="Z210" s="2"/>
    </row>
    <row r="211" spans="1:26" x14ac:dyDescent="0.25">
      <c r="A211" s="29" t="s">
        <v>95</v>
      </c>
      <c r="B211" t="s">
        <v>125</v>
      </c>
      <c r="D211" s="165">
        <v>236605.43332649957</v>
      </c>
      <c r="E211" s="165">
        <v>248105.22029474284</v>
      </c>
      <c r="F211" s="173"/>
      <c r="G211" s="165">
        <v>94999.355439822582</v>
      </c>
      <c r="H211" s="173"/>
      <c r="I211" s="165">
        <v>579710.00906106492</v>
      </c>
      <c r="J211" s="165">
        <v>1029512.7240000004</v>
      </c>
      <c r="K211" s="165">
        <f t="shared" si="7"/>
        <v>1609222.7330610654</v>
      </c>
      <c r="L211" s="165">
        <v>0</v>
      </c>
      <c r="M211" s="165">
        <v>389373.52999999968</v>
      </c>
      <c r="N211" s="165">
        <v>0</v>
      </c>
      <c r="O211" s="165">
        <f t="shared" si="8"/>
        <v>840.41716326163021</v>
      </c>
      <c r="P211" s="165">
        <v>1219849.2037626386</v>
      </c>
      <c r="Q211" s="165">
        <f t="shared" si="9"/>
        <v>1609222.7337626382</v>
      </c>
      <c r="R211" s="67">
        <v>2019</v>
      </c>
      <c r="S211" s="2">
        <f t="shared" si="10"/>
        <v>-7.0157274603843689E-4</v>
      </c>
      <c r="T211">
        <f>VLOOKUP(A211,'Groupe de branches'!$Z$27:$AM$86,14,FALSE)</f>
        <v>0</v>
      </c>
      <c r="U211">
        <f>VLOOKUP(A211,'Groupe de branches'!$Z$27:$AM$86,14,FALSE)</f>
        <v>0</v>
      </c>
      <c r="W211" s="2"/>
      <c r="Z211" s="2"/>
    </row>
    <row r="212" spans="1:26" x14ac:dyDescent="0.25">
      <c r="A212" s="29" t="s">
        <v>96</v>
      </c>
      <c r="B212" t="s">
        <v>125</v>
      </c>
      <c r="D212" s="165">
        <v>1219849.2037626386</v>
      </c>
      <c r="E212" s="165">
        <v>2617740.5811476582</v>
      </c>
      <c r="F212" s="173"/>
      <c r="G212" s="165">
        <v>1258573.2127528572</v>
      </c>
      <c r="H212" s="173"/>
      <c r="I212" s="165">
        <v>5096162.9976631543</v>
      </c>
      <c r="J212" s="165">
        <v>4187062.4789999877</v>
      </c>
      <c r="K212" s="165">
        <f t="shared" si="7"/>
        <v>9283225.4766631424</v>
      </c>
      <c r="L212" s="165">
        <v>3122228.0763589647</v>
      </c>
      <c r="M212" s="165">
        <v>3519867.1749999821</v>
      </c>
      <c r="N212" s="165">
        <v>2179481.4938661163</v>
      </c>
      <c r="O212" s="165">
        <f t="shared" si="8"/>
        <v>15498.193702397386</v>
      </c>
      <c r="P212" s="165">
        <v>2641130.2276410405</v>
      </c>
      <c r="Q212" s="165">
        <f t="shared" si="9"/>
        <v>9283225.4789999872</v>
      </c>
      <c r="R212" s="67">
        <v>2019</v>
      </c>
      <c r="S212" s="2">
        <f t="shared" si="10"/>
        <v>-2.336844801902771E-3</v>
      </c>
      <c r="T212">
        <f>VLOOKUP(A212,'Groupe de branches'!$Z$27:$AM$86,14,FALSE)</f>
        <v>0</v>
      </c>
      <c r="U212">
        <f>VLOOKUP(A212,'Groupe de branches'!$Z$27:$AM$86,14,FALSE)</f>
        <v>0</v>
      </c>
      <c r="W212" s="2"/>
      <c r="Z212" s="2"/>
    </row>
    <row r="213" spans="1:26" x14ac:dyDescent="0.25">
      <c r="A213" s="29" t="s">
        <v>97</v>
      </c>
      <c r="B213" t="s">
        <v>125</v>
      </c>
      <c r="D213" s="165">
        <v>3706655.2273731213</v>
      </c>
      <c r="E213" s="165">
        <v>3436263.9211229957</v>
      </c>
      <c r="F213" s="173"/>
      <c r="G213" s="165">
        <v>3074520.8515038826</v>
      </c>
      <c r="H213" s="173"/>
      <c r="I213" s="165">
        <v>10217440</v>
      </c>
      <c r="J213" s="165">
        <v>4039168.5950000114</v>
      </c>
      <c r="K213" s="165">
        <f t="shared" si="7"/>
        <v>14256608.595000012</v>
      </c>
      <c r="L213" s="165">
        <v>10983030.689267969</v>
      </c>
      <c r="M213" s="165">
        <v>2208052.9059999632</v>
      </c>
      <c r="N213" s="165">
        <v>3394001.0435935715</v>
      </c>
      <c r="O213" s="165">
        <f t="shared" si="8"/>
        <v>44127.891284109857</v>
      </c>
      <c r="P213" s="165">
        <v>1065524.9997320811</v>
      </c>
      <c r="Q213" s="165">
        <f t="shared" si="9"/>
        <v>14256608.595000014</v>
      </c>
      <c r="R213" s="67">
        <v>2019</v>
      </c>
      <c r="S213" s="2">
        <f t="shared" si="10"/>
        <v>0</v>
      </c>
      <c r="T213">
        <f>VLOOKUP(A213,'Groupe de branches'!$Z$27:$AM$86,14,FALSE)</f>
        <v>0</v>
      </c>
      <c r="U213">
        <f>VLOOKUP(A213,'Groupe de branches'!$Z$27:$AM$86,14,FALSE)</f>
        <v>0</v>
      </c>
      <c r="W213" s="2"/>
      <c r="Z213" s="2"/>
    </row>
    <row r="214" spans="1:26" x14ac:dyDescent="0.25">
      <c r="A214" s="29" t="s">
        <v>98</v>
      </c>
      <c r="B214" t="s">
        <v>125</v>
      </c>
      <c r="D214" s="165">
        <v>45782.55833408593</v>
      </c>
      <c r="E214" s="165">
        <v>77241.909862218017</v>
      </c>
      <c r="F214" s="173"/>
      <c r="G214" s="165">
        <v>62529.165126557476</v>
      </c>
      <c r="H214" s="173"/>
      <c r="I214" s="165">
        <v>185553.63332286142</v>
      </c>
      <c r="J214" s="165">
        <v>27833.0445</v>
      </c>
      <c r="K214" s="165">
        <f t="shared" si="7"/>
        <v>213386.67782286141</v>
      </c>
      <c r="L214" s="165">
        <v>213386.67449999999</v>
      </c>
      <c r="M214" s="165">
        <v>0</v>
      </c>
      <c r="N214" s="165">
        <v>27833.0445</v>
      </c>
      <c r="O214" s="165">
        <f t="shared" si="8"/>
        <v>327.07563296968527</v>
      </c>
      <c r="P214" s="165">
        <v>0</v>
      </c>
      <c r="Q214" s="165">
        <f t="shared" si="9"/>
        <v>213386.67449999999</v>
      </c>
      <c r="R214" s="67">
        <v>2019</v>
      </c>
      <c r="S214" s="2">
        <f t="shared" si="10"/>
        <v>3.3228614192921668E-3</v>
      </c>
      <c r="T214">
        <f>VLOOKUP(A214,'Groupe de branches'!$Z$27:$AM$86,14,FALSE)</f>
        <v>0</v>
      </c>
      <c r="U214">
        <f>VLOOKUP(A214,'Groupe de branches'!$Z$27:$AM$86,14,FALSE)</f>
        <v>0</v>
      </c>
      <c r="W214" s="2"/>
      <c r="Z214" s="2"/>
    </row>
    <row r="215" spans="1:26" x14ac:dyDescent="0.25">
      <c r="A215" s="29" t="s">
        <v>99</v>
      </c>
      <c r="B215" t="s">
        <v>125</v>
      </c>
      <c r="D215" s="165">
        <v>684136.40909010416</v>
      </c>
      <c r="E215" s="165">
        <v>1594190.8435822465</v>
      </c>
      <c r="F215" s="173"/>
      <c r="G215" s="165">
        <v>1060186.7465818564</v>
      </c>
      <c r="H215" s="173"/>
      <c r="I215" s="165">
        <v>3338513.9992542071</v>
      </c>
      <c r="J215" s="165">
        <v>3751407.2050000043</v>
      </c>
      <c r="K215" s="165">
        <f t="shared" si="7"/>
        <v>7089921.2042542119</v>
      </c>
      <c r="L215" s="165">
        <v>6135831.4526403593</v>
      </c>
      <c r="M215" s="165">
        <v>895271.15400000615</v>
      </c>
      <c r="N215" s="165">
        <v>3714751.6317987642</v>
      </c>
      <c r="O215" s="165">
        <f t="shared" si="8"/>
        <v>21150.251536946002</v>
      </c>
      <c r="P215" s="165">
        <v>58818.598367495877</v>
      </c>
      <c r="Q215" s="165">
        <f t="shared" si="9"/>
        <v>7089921.2050078614</v>
      </c>
      <c r="R215" s="67">
        <v>2019</v>
      </c>
      <c r="S215" s="2">
        <f t="shared" si="10"/>
        <v>-7.536495104432106E-4</v>
      </c>
      <c r="T215">
        <f>VLOOKUP(A215,'Groupe de branches'!$Z$27:$AM$86,14,FALSE)</f>
        <v>0</v>
      </c>
      <c r="U215">
        <f>VLOOKUP(A215,'Groupe de branches'!$Z$27:$AM$86,14,FALSE)</f>
        <v>0</v>
      </c>
      <c r="W215" s="2"/>
      <c r="Z215" s="2"/>
    </row>
    <row r="216" spans="1:26" x14ac:dyDescent="0.25">
      <c r="A216" s="29" t="s">
        <v>100</v>
      </c>
      <c r="B216" t="s">
        <v>125</v>
      </c>
      <c r="D216" s="165">
        <v>93845.946321596522</v>
      </c>
      <c r="E216" s="165">
        <v>209355.90171142865</v>
      </c>
      <c r="F216" s="173"/>
      <c r="G216" s="165">
        <v>181415.14965995957</v>
      </c>
      <c r="H216" s="173"/>
      <c r="I216" s="165">
        <v>484616.99769298476</v>
      </c>
      <c r="J216" s="165">
        <v>435412.22099999984</v>
      </c>
      <c r="K216" s="165">
        <f t="shared" si="7"/>
        <v>920029.21869298466</v>
      </c>
      <c r="L216" s="165">
        <v>814109.02599999961</v>
      </c>
      <c r="M216" s="165">
        <v>105920.19500000025</v>
      </c>
      <c r="N216" s="165">
        <v>435412.22099999984</v>
      </c>
      <c r="O216" s="165">
        <f t="shared" si="8"/>
        <v>2394.6799755114671</v>
      </c>
      <c r="P216" s="165">
        <v>0</v>
      </c>
      <c r="Q216" s="165">
        <f t="shared" si="9"/>
        <v>920029.2209999999</v>
      </c>
      <c r="R216" s="67">
        <v>2019</v>
      </c>
      <c r="S216" s="2">
        <f t="shared" si="10"/>
        <v>-2.3070152383297682E-3</v>
      </c>
      <c r="T216">
        <f>VLOOKUP(A216,'Groupe de branches'!$Z$27:$AM$86,14,FALSE)</f>
        <v>0</v>
      </c>
      <c r="U216">
        <f>VLOOKUP(A216,'Groupe de branches'!$Z$27:$AM$86,14,FALSE)</f>
        <v>0</v>
      </c>
      <c r="W216" s="2"/>
      <c r="Z216" s="2"/>
    </row>
    <row r="217" spans="1:26" x14ac:dyDescent="0.25">
      <c r="A217" s="29" t="s">
        <v>101</v>
      </c>
      <c r="B217" t="s">
        <v>125</v>
      </c>
      <c r="D217" s="165">
        <v>342484.87949762476</v>
      </c>
      <c r="E217" s="165">
        <v>1147265.0586300052</v>
      </c>
      <c r="F217" s="173"/>
      <c r="G217" s="165">
        <v>520711.32356489945</v>
      </c>
      <c r="H217" s="173"/>
      <c r="I217" s="165">
        <v>2010461.2616925293</v>
      </c>
      <c r="J217" s="165">
        <v>0</v>
      </c>
      <c r="K217" s="165">
        <f t="shared" si="7"/>
        <v>2010461.2616925293</v>
      </c>
      <c r="L217" s="165">
        <v>2010461.2616819716</v>
      </c>
      <c r="M217" s="165">
        <v>0</v>
      </c>
      <c r="N217" s="165">
        <v>0</v>
      </c>
      <c r="O217" s="165">
        <f t="shared" si="8"/>
        <v>3404.3630655884608</v>
      </c>
      <c r="P217" s="165">
        <v>0</v>
      </c>
      <c r="Q217" s="165">
        <f t="shared" si="9"/>
        <v>2010461.2616819716</v>
      </c>
      <c r="R217" s="67">
        <v>2019</v>
      </c>
      <c r="S217" s="2">
        <f t="shared" si="10"/>
        <v>1.0557705536484718E-5</v>
      </c>
      <c r="T217">
        <f>VLOOKUP(A217,'Groupe de branches'!$Z$27:$AM$86,14,FALSE)</f>
        <v>1</v>
      </c>
      <c r="U217">
        <f>VLOOKUP(A217,'Groupe de branches'!$Z$27:$AM$86,14,FALSE)</f>
        <v>1</v>
      </c>
      <c r="W217" s="2"/>
      <c r="Z217" s="2"/>
    </row>
    <row r="218" spans="1:26" x14ac:dyDescent="0.25">
      <c r="A218" s="29" t="s">
        <v>102</v>
      </c>
      <c r="B218" t="s">
        <v>125</v>
      </c>
      <c r="D218" s="165">
        <v>12427.401096936404</v>
      </c>
      <c r="E218" s="165">
        <v>107987.34898314667</v>
      </c>
      <c r="F218" s="173"/>
      <c r="G218" s="165">
        <v>98622.749921621609</v>
      </c>
      <c r="H218" s="173"/>
      <c r="I218" s="165">
        <v>219037.50000170467</v>
      </c>
      <c r="J218" s="165">
        <v>0</v>
      </c>
      <c r="K218" s="165">
        <f t="shared" si="7"/>
        <v>219037.50000170467</v>
      </c>
      <c r="L218" s="165">
        <v>80090.709142255946</v>
      </c>
      <c r="M218" s="165">
        <v>50375</v>
      </c>
      <c r="N218" s="165">
        <v>0</v>
      </c>
      <c r="O218" s="165">
        <f t="shared" si="8"/>
        <v>1945.8002011563178</v>
      </c>
      <c r="P218" s="165">
        <v>88571.790812741587</v>
      </c>
      <c r="Q218" s="165">
        <f t="shared" si="9"/>
        <v>219037.49995499753</v>
      </c>
      <c r="R218" s="67">
        <v>2019</v>
      </c>
      <c r="S218" s="2">
        <f t="shared" si="10"/>
        <v>4.6707136789336801E-5</v>
      </c>
      <c r="T218">
        <f>VLOOKUP(A218,'Groupe de branches'!$Z$27:$AM$86,14,FALSE)</f>
        <v>0</v>
      </c>
      <c r="U218">
        <f>VLOOKUP(A218,'Groupe de branches'!$Z$27:$AM$86,14,FALSE)</f>
        <v>0</v>
      </c>
      <c r="W218" s="2"/>
      <c r="Z218" s="2"/>
    </row>
    <row r="219" spans="1:26" x14ac:dyDescent="0.25">
      <c r="A219" s="29" t="s">
        <v>103</v>
      </c>
      <c r="B219" t="s">
        <v>112</v>
      </c>
      <c r="D219" s="165">
        <v>0</v>
      </c>
      <c r="E219" s="165">
        <v>1864418.8851321847</v>
      </c>
      <c r="F219" s="173"/>
      <c r="G219" s="165">
        <v>276576.11486781592</v>
      </c>
      <c r="H219" s="173"/>
      <c r="I219" s="165">
        <v>2140995.0000000005</v>
      </c>
      <c r="J219" s="165">
        <v>0</v>
      </c>
      <c r="K219" s="165">
        <f t="shared" si="7"/>
        <v>2140995.0000000005</v>
      </c>
      <c r="L219" s="165">
        <v>2140995.0000000005</v>
      </c>
      <c r="M219" s="165">
        <v>0</v>
      </c>
      <c r="N219" s="165">
        <v>0</v>
      </c>
      <c r="O219" s="165">
        <f t="shared" si="8"/>
        <v>1198.8963233322993</v>
      </c>
      <c r="P219" s="165">
        <v>0</v>
      </c>
      <c r="Q219" s="165">
        <f t="shared" si="9"/>
        <v>2140995.0000000005</v>
      </c>
      <c r="R219" s="67">
        <v>2019</v>
      </c>
      <c r="S219" s="2">
        <f t="shared" si="10"/>
        <v>0</v>
      </c>
      <c r="T219">
        <f>VLOOKUP(A219,'Groupe de branches'!$Z$27:$AM$86,14,FALSE)</f>
        <v>0</v>
      </c>
      <c r="U219">
        <f>VLOOKUP(A219,'Groupe de branches'!$Z$27:$AM$86,14,FALSE)</f>
        <v>0</v>
      </c>
      <c r="W219" s="2"/>
      <c r="Z219" s="2"/>
    </row>
    <row r="220" spans="1:26" x14ac:dyDescent="0.25">
      <c r="A220" s="29" t="s">
        <v>19</v>
      </c>
      <c r="B220" t="s">
        <v>126</v>
      </c>
      <c r="D220" s="165">
        <v>229073.2586873681</v>
      </c>
      <c r="E220" s="165">
        <v>156171.45107611382</v>
      </c>
      <c r="F220" s="173"/>
      <c r="G220" s="165">
        <v>162835.40353666581</v>
      </c>
      <c r="H220" s="173"/>
      <c r="I220" s="165">
        <v>548080.1133001477</v>
      </c>
      <c r="J220" s="165">
        <v>0</v>
      </c>
      <c r="K220" s="165">
        <f t="shared" si="7"/>
        <v>548080.1133001477</v>
      </c>
      <c r="L220" s="165">
        <v>548080.11481358414</v>
      </c>
      <c r="M220" s="165">
        <v>0</v>
      </c>
      <c r="N220" s="165">
        <v>0</v>
      </c>
      <c r="O220" s="165">
        <f t="shared" si="8"/>
        <v>2659.3442555676988</v>
      </c>
      <c r="P220" s="165">
        <v>0</v>
      </c>
      <c r="Q220" s="165">
        <f t="shared" si="9"/>
        <v>548080.11481358414</v>
      </c>
      <c r="R220" s="67">
        <v>2019</v>
      </c>
      <c r="S220" s="2">
        <f t="shared" si="10"/>
        <v>-1.5134364366531372E-3</v>
      </c>
      <c r="T220">
        <f>VLOOKUP(A220,'Groupe de branches'!$Z$27:$AM$86,14,FALSE)</f>
        <v>0</v>
      </c>
      <c r="U220">
        <f>VLOOKUP(A220,'Groupe de branches'!$Z$27:$AM$86,14,FALSE)</f>
        <v>0</v>
      </c>
      <c r="W220" s="2"/>
      <c r="Z220" s="2"/>
    </row>
    <row r="221" spans="1:26" x14ac:dyDescent="0.25">
      <c r="A221" s="29" t="s">
        <v>20</v>
      </c>
      <c r="B221" t="s">
        <v>126</v>
      </c>
      <c r="D221" s="165">
        <v>38136.499333459367</v>
      </c>
      <c r="E221" s="165">
        <v>17786.144445650396</v>
      </c>
      <c r="F221" s="173"/>
      <c r="G221" s="165">
        <v>31177.083871466446</v>
      </c>
      <c r="H221" s="173"/>
      <c r="I221" s="165">
        <v>87099.727650576213</v>
      </c>
      <c r="J221" s="165">
        <v>0</v>
      </c>
      <c r="K221" s="165">
        <f t="shared" si="7"/>
        <v>87099.727650576213</v>
      </c>
      <c r="L221" s="165">
        <v>87099.729114950751</v>
      </c>
      <c r="M221" s="165">
        <v>0</v>
      </c>
      <c r="N221" s="165">
        <v>0</v>
      </c>
      <c r="O221" s="165">
        <f t="shared" si="8"/>
        <v>462.73625415468996</v>
      </c>
      <c r="P221" s="165">
        <v>0</v>
      </c>
      <c r="Q221" s="165">
        <f t="shared" si="9"/>
        <v>87099.729114950751</v>
      </c>
      <c r="R221" s="67">
        <v>2019</v>
      </c>
      <c r="S221" s="2">
        <f t="shared" si="10"/>
        <v>-1.4643745380453765E-3</v>
      </c>
      <c r="T221">
        <f>VLOOKUP(A221,'Groupe de branches'!$Z$27:$AM$86,14,FALSE)</f>
        <v>0</v>
      </c>
      <c r="U221">
        <f>VLOOKUP(A221,'Groupe de branches'!$Z$27:$AM$86,14,FALSE)</f>
        <v>0</v>
      </c>
      <c r="W221" s="2"/>
      <c r="Z221" s="2"/>
    </row>
    <row r="222" spans="1:26" x14ac:dyDescent="0.25">
      <c r="A222" s="29" t="s">
        <v>21</v>
      </c>
      <c r="B222" t="s">
        <v>126</v>
      </c>
      <c r="D222" s="165">
        <v>2458709.4776103678</v>
      </c>
      <c r="E222" s="165">
        <v>6765370.043991603</v>
      </c>
      <c r="F222" s="173"/>
      <c r="G222" s="165">
        <v>5330521.9033899838</v>
      </c>
      <c r="H222" s="173"/>
      <c r="I222" s="165">
        <v>14554601.424991954</v>
      </c>
      <c r="J222" s="165">
        <v>0</v>
      </c>
      <c r="K222" s="165">
        <f t="shared" si="7"/>
        <v>14554601.424991954</v>
      </c>
      <c r="L222" s="165">
        <v>14554601.429646425</v>
      </c>
      <c r="M222" s="165">
        <v>0</v>
      </c>
      <c r="N222" s="165">
        <v>0</v>
      </c>
      <c r="O222" s="165">
        <f t="shared" si="8"/>
        <v>81351.214029478288</v>
      </c>
      <c r="P222" s="165">
        <v>0</v>
      </c>
      <c r="Q222" s="165">
        <f t="shared" si="9"/>
        <v>14554601.429646425</v>
      </c>
      <c r="R222" s="67">
        <v>2019</v>
      </c>
      <c r="S222" s="2">
        <f t="shared" si="10"/>
        <v>-4.654470831155777E-3</v>
      </c>
      <c r="T222">
        <f>VLOOKUP(A222,'Groupe de branches'!$Z$27:$AM$86,14,FALSE)</f>
        <v>0</v>
      </c>
      <c r="U222">
        <f>VLOOKUP(A222,'Groupe de branches'!$Z$27:$AM$86,14,FALSE)</f>
        <v>0</v>
      </c>
      <c r="W222" s="2"/>
      <c r="Z222" s="2"/>
    </row>
    <row r="223" spans="1:26" x14ac:dyDescent="0.25">
      <c r="A223" s="29" t="s">
        <v>22</v>
      </c>
      <c r="B223" t="s">
        <v>126</v>
      </c>
      <c r="D223" s="165">
        <v>650419.65779810166</v>
      </c>
      <c r="E223" s="165">
        <v>930121.41785518778</v>
      </c>
      <c r="F223" s="173"/>
      <c r="G223" s="165">
        <v>522660.92206860898</v>
      </c>
      <c r="H223" s="173"/>
      <c r="I223" s="165">
        <v>2103201.9977218984</v>
      </c>
      <c r="J223" s="165">
        <v>0</v>
      </c>
      <c r="K223" s="165">
        <f t="shared" si="7"/>
        <v>2103201.9977218984</v>
      </c>
      <c r="L223" s="165">
        <v>2103201.9987688423</v>
      </c>
      <c r="M223" s="165">
        <v>0</v>
      </c>
      <c r="N223" s="165">
        <v>0</v>
      </c>
      <c r="O223" s="165">
        <f t="shared" si="8"/>
        <v>7590.1466647308607</v>
      </c>
      <c r="P223" s="165">
        <v>0</v>
      </c>
      <c r="Q223" s="165">
        <f t="shared" si="9"/>
        <v>2103201.9987688423</v>
      </c>
      <c r="R223" s="67">
        <v>2019</v>
      </c>
      <c r="S223" s="2">
        <f t="shared" si="10"/>
        <v>-1.0469439439475536E-3</v>
      </c>
      <c r="T223">
        <f>VLOOKUP(A223,'Groupe de branches'!$Z$27:$AM$86,14,FALSE)</f>
        <v>0</v>
      </c>
      <c r="U223">
        <f>VLOOKUP(A223,'Groupe de branches'!$Z$27:$AM$86,14,FALSE)</f>
        <v>0</v>
      </c>
      <c r="W223" s="2"/>
      <c r="Z223" s="2"/>
    </row>
    <row r="224" spans="1:26" x14ac:dyDescent="0.25">
      <c r="A224" s="29" t="s">
        <v>23</v>
      </c>
      <c r="B224" t="s">
        <v>126</v>
      </c>
      <c r="D224" s="165">
        <v>145357.28264555067</v>
      </c>
      <c r="E224" s="165">
        <v>75748.396788771832</v>
      </c>
      <c r="F224" s="173"/>
      <c r="G224" s="165">
        <v>128510.82418884923</v>
      </c>
      <c r="H224" s="173"/>
      <c r="I224" s="165">
        <v>349616.50362317177</v>
      </c>
      <c r="J224" s="165">
        <v>0</v>
      </c>
      <c r="K224" s="165">
        <f t="shared" si="7"/>
        <v>349616.50362317177</v>
      </c>
      <c r="L224" s="165">
        <v>349616.51380141405</v>
      </c>
      <c r="M224" s="165">
        <v>0</v>
      </c>
      <c r="N224" s="165">
        <v>0</v>
      </c>
      <c r="O224" s="165">
        <f t="shared" si="8"/>
        <v>2003.2286527115755</v>
      </c>
      <c r="P224" s="165">
        <v>0</v>
      </c>
      <c r="Q224" s="165">
        <f t="shared" si="9"/>
        <v>349616.51380141405</v>
      </c>
      <c r="R224" s="67">
        <v>2019</v>
      </c>
      <c r="S224" s="2">
        <f t="shared" si="10"/>
        <v>-1.0178242286201566E-2</v>
      </c>
      <c r="T224">
        <f>VLOOKUP(A224,'Groupe de branches'!$Z$27:$AM$86,14,FALSE)</f>
        <v>0</v>
      </c>
      <c r="U224">
        <f>VLOOKUP(A224,'Groupe de branches'!$Z$27:$AM$86,14,FALSE)</f>
        <v>0</v>
      </c>
      <c r="W224" s="2"/>
      <c r="Z224" s="2"/>
    </row>
    <row r="225" spans="1:28" x14ac:dyDescent="0.25">
      <c r="A225" s="29" t="s">
        <v>24</v>
      </c>
      <c r="B225" t="s">
        <v>126</v>
      </c>
      <c r="D225" s="165">
        <v>1985815.5629771864</v>
      </c>
      <c r="E225" s="165">
        <v>1623072.7836519671</v>
      </c>
      <c r="F225" s="173"/>
      <c r="G225" s="165">
        <v>2301094.7745756833</v>
      </c>
      <c r="H225" s="173"/>
      <c r="I225" s="165">
        <v>5909983.1212048363</v>
      </c>
      <c r="J225" s="165">
        <v>0</v>
      </c>
      <c r="K225" s="165">
        <f t="shared" si="7"/>
        <v>5909983.1212048363</v>
      </c>
      <c r="L225" s="165">
        <v>5909983.1256054053</v>
      </c>
      <c r="M225" s="165">
        <v>0</v>
      </c>
      <c r="N225" s="165">
        <v>0</v>
      </c>
      <c r="O225" s="165">
        <f t="shared" si="8"/>
        <v>39218.461434139019</v>
      </c>
      <c r="P225" s="165">
        <v>0</v>
      </c>
      <c r="Q225" s="165">
        <f t="shared" si="9"/>
        <v>5909983.1256054053</v>
      </c>
      <c r="R225" s="67">
        <v>2019</v>
      </c>
      <c r="S225" s="2">
        <f t="shared" si="10"/>
        <v>-4.4005690142512321E-3</v>
      </c>
      <c r="T225">
        <f>VLOOKUP(A225,'Groupe de branches'!$Z$27:$AM$86,14,FALSE)</f>
        <v>0</v>
      </c>
      <c r="U225">
        <f>VLOOKUP(A225,'Groupe de branches'!$Z$27:$AM$86,14,FALSE)</f>
        <v>0</v>
      </c>
      <c r="W225" s="2"/>
      <c r="Z225" s="2"/>
    </row>
    <row r="226" spans="1:28" x14ac:dyDescent="0.25">
      <c r="A226" s="29" t="s">
        <v>25</v>
      </c>
      <c r="B226" t="s">
        <v>126</v>
      </c>
      <c r="D226" s="165">
        <v>167584.18839467486</v>
      </c>
      <c r="E226" s="165">
        <v>353554.49608526868</v>
      </c>
      <c r="F226" s="173"/>
      <c r="G226" s="165">
        <v>367009.26693280542</v>
      </c>
      <c r="H226" s="173"/>
      <c r="I226" s="165">
        <v>888147.95141274901</v>
      </c>
      <c r="J226" s="165">
        <v>0</v>
      </c>
      <c r="K226" s="165">
        <f t="shared" si="7"/>
        <v>888147.95141274901</v>
      </c>
      <c r="L226" s="165">
        <v>888147.95304111228</v>
      </c>
      <c r="M226" s="165">
        <v>0</v>
      </c>
      <c r="N226" s="165">
        <v>0</v>
      </c>
      <c r="O226" s="165">
        <f t="shared" si="8"/>
        <v>6043.05805127847</v>
      </c>
      <c r="P226" s="165">
        <v>0</v>
      </c>
      <c r="Q226" s="165">
        <f t="shared" si="9"/>
        <v>888147.95304111228</v>
      </c>
      <c r="R226" s="67">
        <v>2019</v>
      </c>
      <c r="S226" s="2">
        <f t="shared" si="10"/>
        <v>-1.6283632721751928E-3</v>
      </c>
      <c r="T226">
        <f>VLOOKUP(A226,'Groupe de branches'!$Z$27:$AM$86,14,FALSE)</f>
        <v>0</v>
      </c>
      <c r="U226">
        <f>VLOOKUP(A226,'Groupe de branches'!$Z$27:$AM$86,14,FALSE)</f>
        <v>0</v>
      </c>
      <c r="W226" s="2"/>
      <c r="Z226" s="2"/>
    </row>
    <row r="227" spans="1:28" x14ac:dyDescent="0.25">
      <c r="A227" s="29" t="s">
        <v>26</v>
      </c>
      <c r="B227" t="s">
        <v>126</v>
      </c>
      <c r="D227" s="165">
        <v>55927.591421761361</v>
      </c>
      <c r="E227" s="165">
        <v>141502.12550787724</v>
      </c>
      <c r="F227" s="173"/>
      <c r="G227" s="165">
        <v>102703.63949911247</v>
      </c>
      <c r="H227" s="173"/>
      <c r="I227" s="165">
        <v>300133.35642875102</v>
      </c>
      <c r="J227" s="165">
        <v>0</v>
      </c>
      <c r="K227" s="165">
        <f t="shared" si="7"/>
        <v>300133.35642875102</v>
      </c>
      <c r="L227" s="165">
        <v>300133.35637605679</v>
      </c>
      <c r="M227" s="165">
        <v>0</v>
      </c>
      <c r="N227" s="165">
        <v>0</v>
      </c>
      <c r="O227" s="165">
        <f t="shared" si="8"/>
        <v>1741.6250377608269</v>
      </c>
      <c r="P227" s="165">
        <v>0</v>
      </c>
      <c r="Q227" s="165">
        <f t="shared" si="9"/>
        <v>300133.35637605679</v>
      </c>
      <c r="R227" s="67">
        <v>2019</v>
      </c>
      <c r="S227" s="2">
        <f t="shared" si="10"/>
        <v>5.2694231271743774E-5</v>
      </c>
      <c r="T227">
        <f>VLOOKUP(A227,'Groupe de branches'!$Z$27:$AM$86,14,FALSE)</f>
        <v>0</v>
      </c>
      <c r="U227">
        <f>VLOOKUP(A227,'Groupe de branches'!$Z$27:$AM$86,14,FALSE)</f>
        <v>0</v>
      </c>
      <c r="W227" s="2"/>
      <c r="Z227" s="2"/>
      <c r="AA227" s="117"/>
    </row>
    <row r="228" spans="1:28" x14ac:dyDescent="0.25">
      <c r="A228" s="29" t="s">
        <v>27</v>
      </c>
      <c r="B228" t="s">
        <v>126</v>
      </c>
      <c r="D228" s="165">
        <v>0</v>
      </c>
      <c r="E228" s="165">
        <v>1267078.7766382582</v>
      </c>
      <c r="F228" s="173"/>
      <c r="G228" s="165">
        <v>823985.01869507483</v>
      </c>
      <c r="H228" s="173"/>
      <c r="I228" s="165">
        <v>2091063.7953333331</v>
      </c>
      <c r="J228" s="165">
        <v>0</v>
      </c>
      <c r="K228" s="165">
        <f t="shared" si="7"/>
        <v>2091063.7953333331</v>
      </c>
      <c r="L228" s="165">
        <v>2091063.7953333331</v>
      </c>
      <c r="M228" s="165">
        <v>0</v>
      </c>
      <c r="N228" s="165">
        <v>0</v>
      </c>
      <c r="O228" s="165">
        <f t="shared" si="8"/>
        <v>12184.770235964914</v>
      </c>
      <c r="P228" s="165">
        <v>0</v>
      </c>
      <c r="Q228" s="165">
        <f t="shared" si="9"/>
        <v>2091063.7953333331</v>
      </c>
      <c r="R228" s="67">
        <v>2019</v>
      </c>
      <c r="S228" s="2">
        <f t="shared" si="10"/>
        <v>0</v>
      </c>
      <c r="T228">
        <f>VLOOKUP(A228,'Groupe de branches'!$Z$27:$AM$86,14,FALSE)</f>
        <v>1</v>
      </c>
      <c r="U228">
        <f>VLOOKUP(A228,'Groupe de branches'!$Z$27:$AM$86,14,FALSE)</f>
        <v>1</v>
      </c>
      <c r="W228" s="2"/>
      <c r="Z228" s="2"/>
      <c r="AA228" s="117"/>
    </row>
    <row r="229" spans="1:28" x14ac:dyDescent="0.25">
      <c r="A229" s="29" t="s">
        <v>104</v>
      </c>
      <c r="B229" t="s">
        <v>112</v>
      </c>
      <c r="D229" s="165">
        <v>0</v>
      </c>
      <c r="E229" s="165">
        <v>0</v>
      </c>
      <c r="F229" s="173"/>
      <c r="G229" s="165">
        <v>1589234.7</v>
      </c>
      <c r="H229" s="173"/>
      <c r="I229" s="165">
        <v>1589234.7</v>
      </c>
      <c r="J229" s="165">
        <v>0</v>
      </c>
      <c r="K229" s="165">
        <f t="shared" si="7"/>
        <v>1589234.7</v>
      </c>
      <c r="L229" s="165">
        <v>271007.43657876295</v>
      </c>
      <c r="M229" s="165">
        <v>0</v>
      </c>
      <c r="N229" s="165">
        <v>0</v>
      </c>
      <c r="O229" s="165">
        <f t="shared" si="8"/>
        <v>12986.950665395949</v>
      </c>
      <c r="P229" s="165">
        <v>1318227.2656182002</v>
      </c>
      <c r="Q229" s="165">
        <f t="shared" si="9"/>
        <v>1589234.7021969631</v>
      </c>
      <c r="R229" s="67">
        <v>2019</v>
      </c>
      <c r="S229" s="2">
        <f t="shared" si="10"/>
        <v>-2.1969631779938936E-3</v>
      </c>
      <c r="T229">
        <f>VLOOKUP(A229,'Groupe de branches'!$Z$27:$AM$86,14,FALSE)</f>
        <v>0</v>
      </c>
      <c r="U229">
        <f>VLOOKUP(A229,'Groupe de branches'!$Z$27:$AM$86,14,FALSE)</f>
        <v>0</v>
      </c>
      <c r="W229" s="2"/>
      <c r="Z229" s="2"/>
    </row>
    <row r="230" spans="1:28" x14ac:dyDescent="0.25">
      <c r="A230" s="29" t="s">
        <v>105</v>
      </c>
      <c r="B230" t="s">
        <v>112</v>
      </c>
      <c r="D230" s="165">
        <v>0</v>
      </c>
      <c r="E230" s="165">
        <v>0</v>
      </c>
      <c r="F230" s="173"/>
      <c r="G230" s="165">
        <v>2008880</v>
      </c>
      <c r="H230" s="173"/>
      <c r="I230" s="165">
        <v>2008880</v>
      </c>
      <c r="J230" s="165">
        <v>0</v>
      </c>
      <c r="K230" s="165">
        <f t="shared" si="7"/>
        <v>2008880</v>
      </c>
      <c r="L230" s="165">
        <v>1801956.9410795965</v>
      </c>
      <c r="M230" s="165">
        <v>0</v>
      </c>
      <c r="N230" s="165">
        <v>0</v>
      </c>
      <c r="O230" s="165">
        <f t="shared" si="8"/>
        <v>37522.226870581733</v>
      </c>
      <c r="P230" s="165">
        <v>206923.05902615353</v>
      </c>
      <c r="Q230" s="165">
        <f t="shared" si="9"/>
        <v>2008880.00010575</v>
      </c>
      <c r="R230" s="67">
        <v>2019</v>
      </c>
      <c r="S230" s="2">
        <f t="shared" si="10"/>
        <v>-1.0575004853308201E-4</v>
      </c>
      <c r="T230">
        <f>VLOOKUP(A230,'Groupe de branches'!$Z$27:$AM$86,14,FALSE)</f>
        <v>0</v>
      </c>
      <c r="U230">
        <f>VLOOKUP(A230,'Groupe de branches'!$Z$27:$AM$86,14,FALSE)</f>
        <v>0</v>
      </c>
      <c r="W230" s="2"/>
      <c r="Z230" s="2"/>
    </row>
    <row r="231" spans="1:28" x14ac:dyDescent="0.25">
      <c r="A231" s="29" t="s">
        <v>106</v>
      </c>
      <c r="B231" t="s">
        <v>125</v>
      </c>
      <c r="D231" s="165">
        <v>0</v>
      </c>
      <c r="E231" s="165">
        <v>212031.50451669379</v>
      </c>
      <c r="F231" s="173"/>
      <c r="G231" s="165">
        <v>221570.75420865137</v>
      </c>
      <c r="H231" s="173"/>
      <c r="I231" s="165">
        <v>433602.25872534513</v>
      </c>
      <c r="J231" s="165">
        <v>0</v>
      </c>
      <c r="K231" s="165">
        <f t="shared" si="7"/>
        <v>433602.25872534513</v>
      </c>
      <c r="L231" s="165">
        <v>0</v>
      </c>
      <c r="M231" s="165">
        <v>40948.828700127335</v>
      </c>
      <c r="N231" s="165">
        <v>0</v>
      </c>
      <c r="O231" s="165">
        <f t="shared" si="8"/>
        <v>2925.9618408591627</v>
      </c>
      <c r="P231" s="165">
        <v>392653.42826266692</v>
      </c>
      <c r="Q231" s="165">
        <f t="shared" si="9"/>
        <v>433602.25696279423</v>
      </c>
      <c r="R231" s="67">
        <v>2019</v>
      </c>
      <c r="S231" s="2">
        <f t="shared" si="10"/>
        <v>1.762550906278193E-3</v>
      </c>
      <c r="T231">
        <f>VLOOKUP(A231,'Groupe de branches'!$Z$27:$AM$86,14,FALSE)</f>
        <v>0</v>
      </c>
      <c r="U231">
        <f>VLOOKUP(A231,'Groupe de branches'!$Z$27:$AM$86,14,FALSE)</f>
        <v>0</v>
      </c>
      <c r="W231" s="2"/>
      <c r="Z231" s="2"/>
    </row>
    <row r="232" spans="1:28" ht="15.75" thickBot="1" x14ac:dyDescent="0.3">
      <c r="A232" s="29" t="s">
        <v>107</v>
      </c>
      <c r="B232" t="s">
        <v>112</v>
      </c>
      <c r="D232" s="165">
        <v>0</v>
      </c>
      <c r="E232" s="165">
        <v>0</v>
      </c>
      <c r="F232" s="173"/>
      <c r="G232" s="165">
        <v>646496.6960545294</v>
      </c>
      <c r="H232" s="173"/>
      <c r="I232" s="165">
        <v>646496.6960545294</v>
      </c>
      <c r="J232" s="165">
        <v>0</v>
      </c>
      <c r="K232" s="165">
        <f t="shared" si="7"/>
        <v>646496.6960545294</v>
      </c>
      <c r="L232" s="165">
        <v>646495.69605789729</v>
      </c>
      <c r="M232" s="165">
        <v>0</v>
      </c>
      <c r="N232" s="165">
        <v>0</v>
      </c>
      <c r="O232" s="165">
        <f t="shared" si="8"/>
        <v>10774.944934242156</v>
      </c>
      <c r="P232" s="165">
        <v>0.99999663214050882</v>
      </c>
      <c r="Q232" s="165">
        <f t="shared" si="9"/>
        <v>646496.6960545294</v>
      </c>
      <c r="R232" s="67">
        <v>2019</v>
      </c>
      <c r="S232" s="2">
        <f t="shared" si="10"/>
        <v>0</v>
      </c>
      <c r="T232">
        <f>VLOOKUP(A232,'Groupe de branches'!$Z$27:$AM$86,14,FALSE)</f>
        <v>0</v>
      </c>
      <c r="U232">
        <f>VLOOKUP(A232,'Groupe de branches'!$Z$27:$AM$86,14,FALSE)</f>
        <v>0</v>
      </c>
      <c r="W232" s="2"/>
      <c r="Z232" s="2"/>
    </row>
    <row r="233" spans="1:28" ht="15.75" thickBot="1" x14ac:dyDescent="0.3">
      <c r="A233" s="24" t="s">
        <v>80</v>
      </c>
      <c r="B233" t="s">
        <v>125</v>
      </c>
      <c r="D233" s="238">
        <v>0</v>
      </c>
      <c r="E233" s="218">
        <v>11302.248297346761</v>
      </c>
      <c r="F233" s="239"/>
      <c r="G233" s="218">
        <v>12244.102322125656</v>
      </c>
      <c r="H233" s="239"/>
      <c r="I233" s="238">
        <v>23546.350619472421</v>
      </c>
      <c r="J233" s="238">
        <v>9091.5410000000011</v>
      </c>
      <c r="K233" s="205">
        <v>32637.891619472422</v>
      </c>
      <c r="L233" s="238">
        <v>860.21029229469582</v>
      </c>
      <c r="M233" s="238">
        <v>8619.0590649999995</v>
      </c>
      <c r="N233" s="308">
        <v>286.26097671174728</v>
      </c>
      <c r="O233" s="205">
        <v>173.11705268566979</v>
      </c>
      <c r="P233" s="205">
        <v>23158.622262177727</v>
      </c>
      <c r="Q233" s="238">
        <v>32637.891619472422</v>
      </c>
      <c r="R233" s="67">
        <v>2020</v>
      </c>
      <c r="S233" s="2">
        <f t="shared" si="10"/>
        <v>0</v>
      </c>
      <c r="T233">
        <f>VLOOKUP(A233,'Groupe de branches'!$Z$27:$AM$86,14,FALSE)</f>
        <v>0</v>
      </c>
      <c r="U233">
        <f>VLOOKUP(A233,'Groupe de branches'!$Z$27:$AM$86,14,FALSE)</f>
        <v>0</v>
      </c>
      <c r="W233" s="2"/>
      <c r="Z233" s="117">
        <f>G233/G176-1</f>
        <v>-9.9044452615811518E-2</v>
      </c>
      <c r="AA233" s="189">
        <v>1.2E-2</v>
      </c>
      <c r="AB233" t="s">
        <v>303</v>
      </c>
    </row>
    <row r="234" spans="1:28" ht="15.75" thickBot="1" x14ac:dyDescent="0.3">
      <c r="A234" s="24" t="s">
        <v>0</v>
      </c>
      <c r="B234" t="s">
        <v>125</v>
      </c>
      <c r="D234" s="238">
        <v>414260.43194341817</v>
      </c>
      <c r="E234" s="218">
        <v>0</v>
      </c>
      <c r="F234" s="239"/>
      <c r="G234" s="218">
        <v>675792.74067562923</v>
      </c>
      <c r="H234" s="239"/>
      <c r="I234" s="238">
        <v>1090053.1726190476</v>
      </c>
      <c r="J234" s="238">
        <v>40426.373999999989</v>
      </c>
      <c r="K234" s="205">
        <v>1130479.5466190476</v>
      </c>
      <c r="L234" s="238">
        <v>372.79738853359152</v>
      </c>
      <c r="M234" s="238">
        <v>119766.67549999991</v>
      </c>
      <c r="N234" s="308"/>
      <c r="O234" s="205">
        <v>5430.4939395759666</v>
      </c>
      <c r="P234" s="205">
        <v>1010340.0737305142</v>
      </c>
      <c r="Q234" s="238">
        <v>1130479.5466190476</v>
      </c>
      <c r="R234" s="67">
        <v>2020</v>
      </c>
      <c r="S234" s="2">
        <f t="shared" si="10"/>
        <v>0</v>
      </c>
      <c r="T234">
        <f>VLOOKUP(A234,'Groupe de branches'!$Z$27:$AM$86,14,FALSE)</f>
        <v>0</v>
      </c>
      <c r="U234">
        <f>VLOOKUP(A234,'Groupe de branches'!$Z$27:$AM$86,14,FALSE)</f>
        <v>0</v>
      </c>
      <c r="W234" s="2"/>
      <c r="Z234" s="117">
        <f t="shared" ref="Z234:Z289" si="11">G234/G177-1</f>
        <v>-3.9981336284123037E-2</v>
      </c>
      <c r="AA234" s="189"/>
    </row>
    <row r="235" spans="1:28" ht="15.75" thickBot="1" x14ac:dyDescent="0.3">
      <c r="A235" s="24" t="s">
        <v>1</v>
      </c>
      <c r="B235" t="s">
        <v>125</v>
      </c>
      <c r="D235" s="238">
        <v>0</v>
      </c>
      <c r="E235" s="218">
        <v>0</v>
      </c>
      <c r="F235" s="239"/>
      <c r="G235" s="218">
        <v>153289.96732641209</v>
      </c>
      <c r="H235" s="239"/>
      <c r="I235" s="238">
        <v>153289.96732641209</v>
      </c>
      <c r="J235" s="238">
        <v>35954.783999999971</v>
      </c>
      <c r="K235" s="205">
        <v>189244.75132641208</v>
      </c>
      <c r="L235" s="238">
        <v>0</v>
      </c>
      <c r="M235" s="238">
        <v>108596.38040300008</v>
      </c>
      <c r="N235" s="308"/>
      <c r="O235" s="205">
        <v>0</v>
      </c>
      <c r="P235" s="205">
        <v>80648.370923412032</v>
      </c>
      <c r="Q235" s="238">
        <v>189244.75132641211</v>
      </c>
      <c r="R235" s="67">
        <v>2020</v>
      </c>
      <c r="S235" s="2">
        <f t="shared" si="10"/>
        <v>0</v>
      </c>
      <c r="T235">
        <f>VLOOKUP(A235,'Groupe de branches'!$Z$27:$AM$86,14,FALSE)</f>
        <v>0</v>
      </c>
      <c r="U235">
        <f>VLOOKUP(A235,'Groupe de branches'!$Z$27:$AM$86,14,FALSE)</f>
        <v>0</v>
      </c>
      <c r="W235" s="2"/>
      <c r="Z235" s="117">
        <f t="shared" si="11"/>
        <v>-0.21283611136189562</v>
      </c>
      <c r="AA235" s="189"/>
    </row>
    <row r="236" spans="1:28" ht="15.75" thickBot="1" x14ac:dyDescent="0.3">
      <c r="A236" s="24" t="s">
        <v>2</v>
      </c>
      <c r="B236" t="s">
        <v>125</v>
      </c>
      <c r="D236" s="238">
        <v>156733.19491956115</v>
      </c>
      <c r="E236" s="218">
        <v>0</v>
      </c>
      <c r="F236" s="239"/>
      <c r="G236" s="218">
        <v>156519.83496807635</v>
      </c>
      <c r="H236" s="239"/>
      <c r="I236" s="238">
        <v>313253.02988763747</v>
      </c>
      <c r="J236" s="238">
        <v>13752.685000000012</v>
      </c>
      <c r="K236" s="205">
        <v>327005.71488763747</v>
      </c>
      <c r="L236" s="238">
        <v>241395.45220931541</v>
      </c>
      <c r="M236" s="238">
        <v>14127.876052</v>
      </c>
      <c r="N236" s="308">
        <v>17338.644175373815</v>
      </c>
      <c r="O236" s="205">
        <v>4359.7168104551356</v>
      </c>
      <c r="P236" s="205">
        <v>71482.386626321997</v>
      </c>
      <c r="Q236" s="238">
        <v>327005.71488763741</v>
      </c>
      <c r="R236" s="67">
        <v>2020</v>
      </c>
      <c r="S236" s="2">
        <f t="shared" si="10"/>
        <v>0</v>
      </c>
      <c r="T236">
        <f>VLOOKUP(A236,'Groupe de branches'!$Z$27:$AM$86,14,FALSE)</f>
        <v>0</v>
      </c>
      <c r="U236">
        <f>VLOOKUP(A236,'Groupe de branches'!$Z$27:$AM$86,14,FALSE)</f>
        <v>0</v>
      </c>
      <c r="W236" s="2"/>
      <c r="Z236" s="117">
        <f t="shared" si="11"/>
        <v>-4.1546761499181906E-2</v>
      </c>
      <c r="AA236" s="189"/>
    </row>
    <row r="237" spans="1:28" ht="15.75" thickBot="1" x14ac:dyDescent="0.3">
      <c r="A237" s="24" t="s">
        <v>81</v>
      </c>
      <c r="B237" t="s">
        <v>125</v>
      </c>
      <c r="D237" s="238">
        <v>13787.223735160194</v>
      </c>
      <c r="E237" s="218">
        <v>281912.48143192352</v>
      </c>
      <c r="F237" s="239"/>
      <c r="G237" s="218">
        <v>787926.72141103237</v>
      </c>
      <c r="H237" s="239"/>
      <c r="I237" s="238">
        <v>1083626.4265781161</v>
      </c>
      <c r="J237" s="238">
        <v>0</v>
      </c>
      <c r="K237" s="205">
        <v>1083626.4265781161</v>
      </c>
      <c r="L237" s="238">
        <v>22.050036917279339</v>
      </c>
      <c r="M237" s="238">
        <v>57970.356974344555</v>
      </c>
      <c r="N237" s="308"/>
      <c r="O237" s="205">
        <v>21017.0648747294</v>
      </c>
      <c r="P237" s="205">
        <v>1025634.0195668539</v>
      </c>
      <c r="Q237" s="238">
        <v>1083626.4265781157</v>
      </c>
      <c r="R237" s="67">
        <v>2020</v>
      </c>
      <c r="S237" s="2">
        <f t="shared" si="10"/>
        <v>0</v>
      </c>
      <c r="T237">
        <f>VLOOKUP(A237,'Groupe de branches'!$Z$27:$AM$86,14,FALSE)</f>
        <v>0</v>
      </c>
      <c r="U237">
        <f>VLOOKUP(A237,'Groupe de branches'!$Z$27:$AM$86,14,FALSE)</f>
        <v>0</v>
      </c>
      <c r="W237" s="2"/>
      <c r="Z237" s="117">
        <f t="shared" si="11"/>
        <v>-1.7398305738155373E-2</v>
      </c>
      <c r="AA237" s="189"/>
    </row>
    <row r="238" spans="1:28" ht="15.75" thickBot="1" x14ac:dyDescent="0.3">
      <c r="A238" s="24" t="s">
        <v>3</v>
      </c>
      <c r="B238" t="s">
        <v>125</v>
      </c>
      <c r="D238" s="238">
        <v>166018.56775289742</v>
      </c>
      <c r="E238" s="218">
        <v>13055.10391831977</v>
      </c>
      <c r="F238" s="239"/>
      <c r="G238" s="218">
        <v>44650.62736704186</v>
      </c>
      <c r="H238" s="239"/>
      <c r="I238" s="238">
        <v>223724.29903825905</v>
      </c>
      <c r="J238" s="238">
        <v>0</v>
      </c>
      <c r="K238" s="205">
        <v>223724.29903825905</v>
      </c>
      <c r="L238" s="238">
        <v>0</v>
      </c>
      <c r="M238" s="238">
        <v>14492.589243586141</v>
      </c>
      <c r="N238" s="308"/>
      <c r="O238" s="205">
        <v>1043.7192259873291</v>
      </c>
      <c r="P238" s="205">
        <v>209231.70979467293</v>
      </c>
      <c r="Q238" s="238">
        <v>223724.29903825908</v>
      </c>
      <c r="R238" s="67">
        <v>2020</v>
      </c>
      <c r="S238" s="2">
        <f t="shared" si="10"/>
        <v>0</v>
      </c>
      <c r="T238">
        <f>VLOOKUP(A238,'Groupe de branches'!$Z$27:$AM$86,14,FALSE)</f>
        <v>0</v>
      </c>
      <c r="U238">
        <f>VLOOKUP(A238,'Groupe de branches'!$Z$27:$AM$86,14,FALSE)</f>
        <v>0</v>
      </c>
      <c r="W238" s="2"/>
      <c r="Z238" s="117">
        <f t="shared" si="11"/>
        <v>-0.13056082445801909</v>
      </c>
      <c r="AA238" s="189"/>
    </row>
    <row r="239" spans="1:28" ht="15.75" thickBot="1" x14ac:dyDescent="0.3">
      <c r="A239" s="24" t="s">
        <v>59</v>
      </c>
      <c r="B239" t="s">
        <v>125</v>
      </c>
      <c r="D239" s="238">
        <v>0</v>
      </c>
      <c r="E239" s="218">
        <v>0</v>
      </c>
      <c r="F239" s="239"/>
      <c r="G239" s="218">
        <v>1</v>
      </c>
      <c r="H239" s="239"/>
      <c r="I239" s="238">
        <v>1</v>
      </c>
      <c r="J239" s="238">
        <v>0</v>
      </c>
      <c r="K239" s="205">
        <v>1</v>
      </c>
      <c r="L239" s="238">
        <v>1</v>
      </c>
      <c r="M239" s="238">
        <v>0</v>
      </c>
      <c r="N239" s="308">
        <v>0</v>
      </c>
      <c r="O239" s="205">
        <v>0</v>
      </c>
      <c r="P239" s="205">
        <v>0</v>
      </c>
      <c r="Q239" s="238">
        <v>1</v>
      </c>
      <c r="R239" s="67">
        <v>2020</v>
      </c>
      <c r="S239" s="2">
        <f t="shared" si="10"/>
        <v>0</v>
      </c>
      <c r="T239">
        <f>VLOOKUP(A239,'Groupe de branches'!$Z$27:$AM$86,14,FALSE)</f>
        <v>0</v>
      </c>
      <c r="U239">
        <f>VLOOKUP(A239,'Groupe de branches'!$Z$27:$AM$86,14,FALSE)</f>
        <v>0</v>
      </c>
      <c r="W239" s="2"/>
      <c r="Z239" s="117">
        <f t="shared" si="11"/>
        <v>0.99999326430370239</v>
      </c>
      <c r="AA239" s="189"/>
    </row>
    <row r="240" spans="1:28" ht="15.75" thickBot="1" x14ac:dyDescent="0.3">
      <c r="A240" s="24" t="s">
        <v>4</v>
      </c>
      <c r="B240" t="s">
        <v>125</v>
      </c>
      <c r="D240" s="238">
        <v>309016.03014992899</v>
      </c>
      <c r="E240" s="218">
        <v>94897.883362776571</v>
      </c>
      <c r="F240" s="239"/>
      <c r="G240" s="218">
        <v>161922.86065396114</v>
      </c>
      <c r="H240" s="239"/>
      <c r="I240" s="238">
        <v>565836.77416666667</v>
      </c>
      <c r="J240" s="238">
        <v>29351.64499999999</v>
      </c>
      <c r="K240" s="205">
        <v>595188.41916666669</v>
      </c>
      <c r="L240" s="238">
        <v>106732.07036341407</v>
      </c>
      <c r="M240" s="238">
        <v>90178.702222000007</v>
      </c>
      <c r="N240" s="308">
        <v>1871.0230134197047</v>
      </c>
      <c r="O240" s="205">
        <v>2556.6767471678077</v>
      </c>
      <c r="P240" s="205">
        <v>398277.6465812524</v>
      </c>
      <c r="Q240" s="238">
        <v>595188.41916666646</v>
      </c>
      <c r="R240" s="67">
        <v>2020</v>
      </c>
      <c r="S240" s="2">
        <f t="shared" si="10"/>
        <v>0</v>
      </c>
      <c r="T240">
        <f>VLOOKUP(A240,'Groupe de branches'!$Z$27:$AM$86,14,FALSE)</f>
        <v>0</v>
      </c>
      <c r="U240">
        <f>VLOOKUP(A240,'Groupe de branches'!$Z$27:$AM$86,14,FALSE)</f>
        <v>0</v>
      </c>
      <c r="W240" s="2"/>
      <c r="Z240" s="117">
        <f t="shared" si="11"/>
        <v>0.24153581291141291</v>
      </c>
      <c r="AA240" s="189"/>
    </row>
    <row r="241" spans="1:27" ht="15.75" thickBot="1" x14ac:dyDescent="0.3">
      <c r="A241" s="24" t="s">
        <v>5</v>
      </c>
      <c r="B241" t="s">
        <v>125</v>
      </c>
      <c r="D241" s="238">
        <v>40149.489856157874</v>
      </c>
      <c r="E241" s="218">
        <v>13629.653768982938</v>
      </c>
      <c r="F241" s="239"/>
      <c r="G241" s="218">
        <v>20887.213115930619</v>
      </c>
      <c r="H241" s="239"/>
      <c r="I241" s="238">
        <v>74666.356741071431</v>
      </c>
      <c r="J241" s="238">
        <v>21869.446000000004</v>
      </c>
      <c r="K241" s="205">
        <v>96535.802741071442</v>
      </c>
      <c r="L241" s="238">
        <v>1936.4363035079934</v>
      </c>
      <c r="M241" s="238">
        <v>28263.118897000004</v>
      </c>
      <c r="N241" s="308">
        <v>286.61684500279898</v>
      </c>
      <c r="O241" s="205">
        <v>413.22045642764357</v>
      </c>
      <c r="P241" s="205">
        <v>66336.247540563432</v>
      </c>
      <c r="Q241" s="238">
        <v>96535.802741071428</v>
      </c>
      <c r="R241" s="67">
        <v>2020</v>
      </c>
      <c r="S241" s="2">
        <f t="shared" si="10"/>
        <v>0</v>
      </c>
      <c r="T241">
        <f>VLOOKUP(A241,'Groupe de branches'!$Z$27:$AM$86,14,FALSE)</f>
        <v>0</v>
      </c>
      <c r="U241">
        <f>VLOOKUP(A241,'Groupe de branches'!$Z$27:$AM$86,14,FALSE)</f>
        <v>0</v>
      </c>
      <c r="W241" s="2"/>
      <c r="Z241" s="117">
        <f t="shared" si="11"/>
        <v>-0.21146080853435789</v>
      </c>
      <c r="AA241" s="189"/>
    </row>
    <row r="242" spans="1:27" ht="15.75" thickBot="1" x14ac:dyDescent="0.3">
      <c r="A242" s="24" t="s">
        <v>82</v>
      </c>
      <c r="B242" t="s">
        <v>125</v>
      </c>
      <c r="D242" s="238">
        <v>47851.759283527717</v>
      </c>
      <c r="E242" s="218">
        <v>10013.559086323023</v>
      </c>
      <c r="F242" s="239"/>
      <c r="G242" s="218">
        <v>34219.332508682201</v>
      </c>
      <c r="H242" s="239"/>
      <c r="I242" s="238">
        <v>92084.650878532935</v>
      </c>
      <c r="J242" s="238">
        <v>10573.907000000008</v>
      </c>
      <c r="K242" s="205">
        <v>102658.55787853294</v>
      </c>
      <c r="L242" s="238">
        <v>1639.7520942730487</v>
      </c>
      <c r="M242" s="238">
        <v>14047.958249999996</v>
      </c>
      <c r="N242" s="308"/>
      <c r="O242" s="205">
        <v>540.30525013708734</v>
      </c>
      <c r="P242" s="205">
        <v>86970.847534259898</v>
      </c>
      <c r="Q242" s="238">
        <v>102658.55787853294</v>
      </c>
      <c r="R242" s="67">
        <v>2020</v>
      </c>
      <c r="S242" s="2">
        <f t="shared" si="10"/>
        <v>0</v>
      </c>
      <c r="T242">
        <f>VLOOKUP(A242,'Groupe de branches'!$Z$27:$AM$86,14,FALSE)</f>
        <v>0</v>
      </c>
      <c r="U242">
        <f>VLOOKUP(A242,'Groupe de branches'!$Z$27:$AM$86,14,FALSE)</f>
        <v>0</v>
      </c>
      <c r="W242" s="2"/>
      <c r="Z242" s="117">
        <f t="shared" si="11"/>
        <v>5.0337988122661548E-2</v>
      </c>
      <c r="AA242" s="189"/>
    </row>
    <row r="243" spans="1:27" ht="15.75" thickBot="1" x14ac:dyDescent="0.3">
      <c r="A243" s="24" t="s">
        <v>6</v>
      </c>
      <c r="B243" t="s">
        <v>125</v>
      </c>
      <c r="D243" s="238">
        <v>6245.5631532311245</v>
      </c>
      <c r="E243" s="218">
        <v>1517.7691856762792</v>
      </c>
      <c r="F243" s="239"/>
      <c r="G243" s="218">
        <v>3407.6676610926006</v>
      </c>
      <c r="H243" s="239"/>
      <c r="I243" s="238">
        <v>11171</v>
      </c>
      <c r="J243" s="238">
        <v>67966.233999999953</v>
      </c>
      <c r="K243" s="205">
        <v>79137.233999999953</v>
      </c>
      <c r="L243" s="238">
        <v>9541.4144410385998</v>
      </c>
      <c r="M243" s="238">
        <v>1498.4234970000002</v>
      </c>
      <c r="N243" s="308">
        <v>9145.7206415679484</v>
      </c>
      <c r="O243" s="205">
        <v>53.805278859356854</v>
      </c>
      <c r="P243" s="205">
        <v>68097.396061961321</v>
      </c>
      <c r="Q243" s="238">
        <v>79137.233999999909</v>
      </c>
      <c r="R243" s="67">
        <v>2020</v>
      </c>
      <c r="S243" s="2">
        <f t="shared" si="10"/>
        <v>0</v>
      </c>
      <c r="T243">
        <f>VLOOKUP(A243,'Groupe de branches'!$Z$27:$AM$86,14,FALSE)</f>
        <v>0</v>
      </c>
      <c r="U243">
        <f>VLOOKUP(A243,'Groupe de branches'!$Z$27:$AM$86,14,FALSE)</f>
        <v>0</v>
      </c>
      <c r="W243" s="2"/>
      <c r="Z243" s="117">
        <f t="shared" si="11"/>
        <v>6.3236827923812688E-2</v>
      </c>
      <c r="AA243" s="189"/>
    </row>
    <row r="244" spans="1:27" ht="15.75" thickBot="1" x14ac:dyDescent="0.3">
      <c r="A244" s="24" t="s">
        <v>7</v>
      </c>
      <c r="B244" t="s">
        <v>125</v>
      </c>
      <c r="D244" s="238">
        <v>493310.1415614768</v>
      </c>
      <c r="E244" s="218">
        <v>70244.02561810828</v>
      </c>
      <c r="F244" s="239"/>
      <c r="G244" s="218">
        <v>194444.97404435306</v>
      </c>
      <c r="H244" s="239"/>
      <c r="I244" s="238">
        <v>757999.14122393832</v>
      </c>
      <c r="J244" s="238">
        <v>286110.21899999998</v>
      </c>
      <c r="K244" s="205">
        <v>1044109.3602239382</v>
      </c>
      <c r="L244" s="238">
        <v>79498.899645547848</v>
      </c>
      <c r="M244" s="238">
        <v>49892.280186999997</v>
      </c>
      <c r="N244" s="308">
        <v>13264.391093638518</v>
      </c>
      <c r="O244" s="205">
        <v>3535.3631644427828</v>
      </c>
      <c r="P244" s="205">
        <v>914718.18039139081</v>
      </c>
      <c r="Q244" s="238">
        <v>1044109.3602239387</v>
      </c>
      <c r="R244" s="67">
        <v>2020</v>
      </c>
      <c r="S244" s="2">
        <f t="shared" si="10"/>
        <v>0</v>
      </c>
      <c r="T244">
        <f>VLOOKUP(A244,'Groupe de branches'!$Z$27:$AM$86,14,FALSE)</f>
        <v>0</v>
      </c>
      <c r="U244">
        <f>VLOOKUP(A244,'Groupe de branches'!$Z$27:$AM$86,14,FALSE)</f>
        <v>0</v>
      </c>
      <c r="W244" s="2"/>
      <c r="Z244" s="117">
        <f t="shared" si="11"/>
        <v>0.10869920969009161</v>
      </c>
      <c r="AA244" s="189"/>
    </row>
    <row r="245" spans="1:27" ht="15.75" thickBot="1" x14ac:dyDescent="0.3">
      <c r="A245" s="24" t="s">
        <v>8</v>
      </c>
      <c r="B245" t="s">
        <v>125</v>
      </c>
      <c r="D245" s="238">
        <v>212131.26055998809</v>
      </c>
      <c r="E245" s="218">
        <v>36297.984209338465</v>
      </c>
      <c r="F245" s="239"/>
      <c r="G245" s="218">
        <v>119006.62356400682</v>
      </c>
      <c r="H245" s="239"/>
      <c r="I245" s="238">
        <v>367435.86833333335</v>
      </c>
      <c r="J245" s="238"/>
      <c r="K245" s="205">
        <v>367435.86833333335</v>
      </c>
      <c r="L245" s="238">
        <v>124920.26909438227</v>
      </c>
      <c r="M245" s="238">
        <v>0</v>
      </c>
      <c r="N245" s="308"/>
      <c r="O245" s="205">
        <v>2163.7567920728516</v>
      </c>
      <c r="P245" s="205">
        <v>242515.59923895114</v>
      </c>
      <c r="Q245" s="238">
        <v>367435.8683333334</v>
      </c>
      <c r="R245" s="67">
        <v>2020</v>
      </c>
      <c r="S245" s="2">
        <f t="shared" si="10"/>
        <v>0</v>
      </c>
      <c r="T245">
        <f>VLOOKUP(A245,'Groupe de branches'!$Z$27:$AM$86,14,FALSE)</f>
        <v>0</v>
      </c>
      <c r="U245">
        <f>VLOOKUP(A245,'Groupe de branches'!$Z$27:$AM$86,14,FALSE)</f>
        <v>0</v>
      </c>
      <c r="W245" s="2"/>
      <c r="Z245" s="117">
        <f t="shared" si="11"/>
        <v>0.22903310709787972</v>
      </c>
      <c r="AA245" s="189"/>
    </row>
    <row r="246" spans="1:27" ht="15.75" thickBot="1" x14ac:dyDescent="0.3">
      <c r="A246" s="24" t="s">
        <v>83</v>
      </c>
      <c r="B246" t="s">
        <v>125</v>
      </c>
      <c r="D246" s="238">
        <v>61782.315541466458</v>
      </c>
      <c r="E246" s="218">
        <v>16198.690276965064</v>
      </c>
      <c r="F246" s="239"/>
      <c r="G246" s="218">
        <v>26538.24023712405</v>
      </c>
      <c r="H246" s="239"/>
      <c r="I246" s="238">
        <v>104519.24605555556</v>
      </c>
      <c r="J246" s="238">
        <v>130560.78000000004</v>
      </c>
      <c r="K246" s="205">
        <v>235080.02605555562</v>
      </c>
      <c r="L246" s="238">
        <v>1166.6576343774238</v>
      </c>
      <c r="M246" s="238">
        <v>83940.936585999938</v>
      </c>
      <c r="N246" s="308">
        <v>423.1918566262824</v>
      </c>
      <c r="O246" s="205">
        <v>482.51345885680098</v>
      </c>
      <c r="P246" s="205">
        <v>149972.43183517834</v>
      </c>
      <c r="Q246" s="238">
        <v>235080.0260555557</v>
      </c>
      <c r="R246" s="67">
        <v>2020</v>
      </c>
      <c r="S246" s="2">
        <f t="shared" si="10"/>
        <v>0</v>
      </c>
      <c r="T246">
        <f>VLOOKUP(A246,'Groupe de branches'!$Z$27:$AM$86,14,FALSE)</f>
        <v>0</v>
      </c>
      <c r="U246">
        <f>VLOOKUP(A246,'Groupe de branches'!$Z$27:$AM$86,14,FALSE)</f>
        <v>0</v>
      </c>
      <c r="W246" s="2"/>
      <c r="Z246" s="117">
        <f t="shared" si="11"/>
        <v>2.3982647321960426E-2</v>
      </c>
      <c r="AA246" s="189"/>
    </row>
    <row r="247" spans="1:27" ht="15.75" thickBot="1" x14ac:dyDescent="0.3">
      <c r="A247" s="24" t="s">
        <v>9</v>
      </c>
      <c r="B247" t="s">
        <v>125</v>
      </c>
      <c r="D247" s="238">
        <v>156006.46787793457</v>
      </c>
      <c r="E247" s="218">
        <v>23133.397634072659</v>
      </c>
      <c r="F247" s="239"/>
      <c r="G247" s="218">
        <v>53463.94448799274</v>
      </c>
      <c r="H247" s="239"/>
      <c r="I247" s="238">
        <v>232603.81</v>
      </c>
      <c r="J247" s="238"/>
      <c r="K247" s="205">
        <v>232603.81</v>
      </c>
      <c r="L247" s="238">
        <v>56084.439150652033</v>
      </c>
      <c r="M247" s="238">
        <v>0</v>
      </c>
      <c r="N247" s="308"/>
      <c r="O247" s="205">
        <v>972.07171796350428</v>
      </c>
      <c r="P247" s="205">
        <v>176519.37084934796</v>
      </c>
      <c r="Q247" s="238">
        <v>232603.81</v>
      </c>
      <c r="R247" s="67">
        <v>2020</v>
      </c>
      <c r="S247" s="2">
        <f t="shared" si="10"/>
        <v>0</v>
      </c>
      <c r="T247">
        <f>VLOOKUP(A247,'Groupe de branches'!$Z$27:$AM$86,14,FALSE)</f>
        <v>0</v>
      </c>
      <c r="U247">
        <f>VLOOKUP(A247,'Groupe de branches'!$Z$27:$AM$86,14,FALSE)</f>
        <v>0</v>
      </c>
      <c r="W247" s="2"/>
      <c r="Z247" s="117">
        <f t="shared" si="11"/>
        <v>2.6629084742471054E-2</v>
      </c>
      <c r="AA247" s="189"/>
    </row>
    <row r="248" spans="1:27" ht="15.75" thickBot="1" x14ac:dyDescent="0.3">
      <c r="A248" s="24" t="s">
        <v>10</v>
      </c>
      <c r="B248" t="s">
        <v>125</v>
      </c>
      <c r="D248" s="238">
        <v>118232.46481206109</v>
      </c>
      <c r="E248" s="218">
        <v>48290.590741567983</v>
      </c>
      <c r="F248" s="239"/>
      <c r="G248" s="218">
        <v>58344.944446370922</v>
      </c>
      <c r="H248" s="239"/>
      <c r="I248" s="238">
        <v>224868</v>
      </c>
      <c r="J248" s="238">
        <v>0</v>
      </c>
      <c r="K248" s="205">
        <v>224868</v>
      </c>
      <c r="L248" s="238">
        <v>0</v>
      </c>
      <c r="M248" s="238">
        <v>224.86799999999999</v>
      </c>
      <c r="N248" s="308"/>
      <c r="O248" s="205">
        <v>979.92750653541907</v>
      </c>
      <c r="P248" s="205">
        <v>224643.1320000001</v>
      </c>
      <c r="Q248" s="238">
        <v>224868.00000000009</v>
      </c>
      <c r="R248" s="67">
        <v>2020</v>
      </c>
      <c r="S248" s="2">
        <f t="shared" si="10"/>
        <v>0</v>
      </c>
      <c r="T248">
        <f>VLOOKUP(A248,'Groupe de branches'!$Z$27:$AM$86,14,FALSE)</f>
        <v>0</v>
      </c>
      <c r="U248">
        <f>VLOOKUP(A248,'Groupe de branches'!$Z$27:$AM$86,14,FALSE)</f>
        <v>0</v>
      </c>
      <c r="W248" s="2"/>
      <c r="Z248" s="117">
        <f t="shared" si="11"/>
        <v>-2.6527024937484378E-2</v>
      </c>
      <c r="AA248" s="189"/>
    </row>
    <row r="249" spans="1:27" ht="15.75" thickBot="1" x14ac:dyDescent="0.3">
      <c r="A249" s="24" t="s">
        <v>84</v>
      </c>
      <c r="B249" t="s">
        <v>125</v>
      </c>
      <c r="D249" s="238">
        <v>23960.285505509724</v>
      </c>
      <c r="E249" s="218">
        <v>8643.9823282657399</v>
      </c>
      <c r="F249" s="239"/>
      <c r="G249" s="218">
        <v>10966.732166224541</v>
      </c>
      <c r="H249" s="239"/>
      <c r="I249" s="238">
        <v>43571</v>
      </c>
      <c r="J249" s="238">
        <v>12814.785</v>
      </c>
      <c r="K249" s="205">
        <v>56385.785000000003</v>
      </c>
      <c r="L249" s="238">
        <v>0</v>
      </c>
      <c r="M249" s="238">
        <v>15582.460954999997</v>
      </c>
      <c r="N249" s="308"/>
      <c r="O249" s="205">
        <v>173.15892894038751</v>
      </c>
      <c r="P249" s="205">
        <v>40803.324045000001</v>
      </c>
      <c r="Q249" s="238">
        <v>56385.784999999996</v>
      </c>
      <c r="R249" s="67">
        <v>2020</v>
      </c>
      <c r="S249" s="2">
        <f t="shared" si="10"/>
        <v>0</v>
      </c>
      <c r="T249">
        <f>VLOOKUP(A249,'Groupe de branches'!$Z$27:$AM$86,14,FALSE)</f>
        <v>0</v>
      </c>
      <c r="U249">
        <f>VLOOKUP(A249,'Groupe de branches'!$Z$27:$AM$86,14,FALSE)</f>
        <v>0</v>
      </c>
      <c r="W249" s="2"/>
      <c r="Z249" s="117">
        <f t="shared" si="11"/>
        <v>5.110304895452944E-2</v>
      </c>
      <c r="AA249" s="189"/>
    </row>
    <row r="250" spans="1:27" ht="15.75" thickBot="1" x14ac:dyDescent="0.3">
      <c r="A250" s="24" t="s">
        <v>11</v>
      </c>
      <c r="B250" t="s">
        <v>125</v>
      </c>
      <c r="D250" s="238">
        <v>0</v>
      </c>
      <c r="E250" s="218">
        <v>0</v>
      </c>
      <c r="F250" s="239"/>
      <c r="G250" s="218">
        <v>75049.134999999995</v>
      </c>
      <c r="H250" s="239"/>
      <c r="I250" s="238">
        <v>75049.134999999995</v>
      </c>
      <c r="J250" s="238">
        <v>49921.599999999984</v>
      </c>
      <c r="K250" s="205">
        <v>124970.73499999999</v>
      </c>
      <c r="L250" s="238">
        <v>0</v>
      </c>
      <c r="M250" s="238">
        <v>6706.8952429999999</v>
      </c>
      <c r="N250" s="308"/>
      <c r="O250" s="205">
        <v>1767.6841000000002</v>
      </c>
      <c r="P250" s="205">
        <v>118263.83975699998</v>
      </c>
      <c r="Q250" s="238">
        <v>124970.73499999999</v>
      </c>
      <c r="R250" s="67">
        <v>2020</v>
      </c>
      <c r="S250" s="2">
        <f t="shared" si="10"/>
        <v>0</v>
      </c>
      <c r="T250">
        <f>VLOOKUP(A250,'Groupe de branches'!$Z$27:$AM$86,14,FALSE)</f>
        <v>0</v>
      </c>
      <c r="U250">
        <f>VLOOKUP(A250,'Groupe de branches'!$Z$27:$AM$86,14,FALSE)</f>
        <v>0</v>
      </c>
      <c r="W250" s="2"/>
      <c r="Z250" s="117">
        <f t="shared" si="11"/>
        <v>-0.22729731121075314</v>
      </c>
      <c r="AA250" s="189"/>
    </row>
    <row r="251" spans="1:27" ht="15.75" thickBot="1" x14ac:dyDescent="0.3">
      <c r="A251" s="24" t="s">
        <v>12</v>
      </c>
      <c r="B251" t="s">
        <v>125</v>
      </c>
      <c r="D251" s="238">
        <v>2.9103830456733704E-11</v>
      </c>
      <c r="E251" s="218">
        <v>0</v>
      </c>
      <c r="F251" s="239"/>
      <c r="G251" s="218">
        <v>187484.63874999998</v>
      </c>
      <c r="H251" s="239"/>
      <c r="I251" s="238">
        <v>187484.63875000001</v>
      </c>
      <c r="J251" s="238">
        <v>51163.56900000001</v>
      </c>
      <c r="K251" s="205">
        <v>238648.20775000003</v>
      </c>
      <c r="L251" s="238">
        <v>38264.61902084227</v>
      </c>
      <c r="M251" s="238">
        <v>32925.017552000005</v>
      </c>
      <c r="N251" s="308">
        <v>5979.1368660204344</v>
      </c>
      <c r="O251" s="205">
        <v>3453.6643980263152</v>
      </c>
      <c r="P251" s="205">
        <v>167458.57117715784</v>
      </c>
      <c r="Q251" s="238">
        <v>238648.20775000012</v>
      </c>
      <c r="R251" s="67">
        <v>2020</v>
      </c>
      <c r="S251" s="2">
        <f t="shared" si="10"/>
        <v>0</v>
      </c>
      <c r="T251">
        <f>VLOOKUP(A251,'Groupe de branches'!$Z$27:$AM$86,14,FALSE)</f>
        <v>0</v>
      </c>
      <c r="U251">
        <f>VLOOKUP(A251,'Groupe de branches'!$Z$27:$AM$86,14,FALSE)</f>
        <v>0</v>
      </c>
      <c r="W251" s="2"/>
      <c r="Z251" s="117">
        <f t="shared" si="11"/>
        <v>0.23067129602184178</v>
      </c>
      <c r="AA251" s="189"/>
    </row>
    <row r="252" spans="1:27" ht="15.75" thickBot="1" x14ac:dyDescent="0.3">
      <c r="A252" s="24" t="s">
        <v>13</v>
      </c>
      <c r="B252" t="s">
        <v>125</v>
      </c>
      <c r="D252" s="238">
        <v>402534.13300686155</v>
      </c>
      <c r="E252" s="218">
        <v>168204.70681787227</v>
      </c>
      <c r="F252" s="239"/>
      <c r="G252" s="218">
        <v>114958.62325573379</v>
      </c>
      <c r="H252" s="239"/>
      <c r="I252" s="238">
        <v>685697.46308046754</v>
      </c>
      <c r="J252" s="238">
        <v>289969.30900000012</v>
      </c>
      <c r="K252" s="205">
        <v>975666.77208046766</v>
      </c>
      <c r="L252" s="238">
        <v>447083.72244703613</v>
      </c>
      <c r="M252" s="238">
        <v>61357.904335999963</v>
      </c>
      <c r="N252" s="308">
        <v>166802.71041987312</v>
      </c>
      <c r="O252" s="205">
        <v>1669.1153264755928</v>
      </c>
      <c r="P252" s="205">
        <v>467225.14529743174</v>
      </c>
      <c r="Q252" s="238">
        <v>975666.77208046778</v>
      </c>
      <c r="R252" s="67">
        <v>2020</v>
      </c>
      <c r="S252" s="2">
        <f t="shared" si="10"/>
        <v>0</v>
      </c>
      <c r="T252">
        <f>VLOOKUP(A252,'Groupe de branches'!$Z$27:$AM$86,14,FALSE)</f>
        <v>0</v>
      </c>
      <c r="U252">
        <f>VLOOKUP(A252,'Groupe de branches'!$Z$27:$AM$86,14,FALSE)</f>
        <v>0</v>
      </c>
      <c r="W252" s="2"/>
      <c r="Z252" s="117">
        <f t="shared" si="11"/>
        <v>-0.10690919953060918</v>
      </c>
      <c r="AA252" s="189"/>
    </row>
    <row r="253" spans="1:27" ht="15.75" thickBot="1" x14ac:dyDescent="0.3">
      <c r="A253" s="24" t="s">
        <v>14</v>
      </c>
      <c r="B253" t="s">
        <v>125</v>
      </c>
      <c r="D253" s="238">
        <v>80190.104663015838</v>
      </c>
      <c r="E253" s="218">
        <v>51296.002410436333</v>
      </c>
      <c r="F253" s="239"/>
      <c r="G253" s="218">
        <v>45122.96443476063</v>
      </c>
      <c r="H253" s="239"/>
      <c r="I253" s="238">
        <v>176609.07150821277</v>
      </c>
      <c r="J253" s="238">
        <v>339564.20599999977</v>
      </c>
      <c r="K253" s="205">
        <v>516173.27750821254</v>
      </c>
      <c r="L253" s="238">
        <v>57607.29147552931</v>
      </c>
      <c r="M253" s="238">
        <v>70543.110792999942</v>
      </c>
      <c r="N253" s="308">
        <v>97706.741637006766</v>
      </c>
      <c r="O253" s="205">
        <v>663.97934913488177</v>
      </c>
      <c r="P253" s="205">
        <v>388022.87523968332</v>
      </c>
      <c r="Q253" s="238">
        <v>516173.2775082126</v>
      </c>
      <c r="R253" s="67">
        <v>2020</v>
      </c>
      <c r="S253" s="2">
        <f t="shared" si="10"/>
        <v>0</v>
      </c>
      <c r="T253">
        <f>VLOOKUP(A253,'Groupe de branches'!$Z$27:$AM$86,14,FALSE)</f>
        <v>0</v>
      </c>
      <c r="U253">
        <f>VLOOKUP(A253,'Groupe de branches'!$Z$27:$AM$86,14,FALSE)</f>
        <v>0</v>
      </c>
      <c r="W253" s="2"/>
      <c r="Z253" s="117">
        <f t="shared" si="11"/>
        <v>-9.0332442871485341E-2</v>
      </c>
      <c r="AA253" s="189"/>
    </row>
    <row r="254" spans="1:27" ht="15.75" thickBot="1" x14ac:dyDescent="0.3">
      <c r="A254" s="24" t="s">
        <v>85</v>
      </c>
      <c r="B254" t="s">
        <v>125</v>
      </c>
      <c r="D254" s="238">
        <v>159418.48764558448</v>
      </c>
      <c r="E254" s="218">
        <v>41812.339202114068</v>
      </c>
      <c r="F254" s="239"/>
      <c r="G254" s="218">
        <v>8369.9424537241721</v>
      </c>
      <c r="H254" s="239"/>
      <c r="I254" s="238">
        <v>209600.7693014227</v>
      </c>
      <c r="J254" s="238">
        <v>19650.199999999975</v>
      </c>
      <c r="K254" s="205">
        <v>229250.96930142268</v>
      </c>
      <c r="L254" s="238">
        <v>28640.764904894644</v>
      </c>
      <c r="M254" s="238">
        <v>23710.574750000007</v>
      </c>
      <c r="N254" s="308">
        <v>40090.462106148494</v>
      </c>
      <c r="O254" s="205">
        <v>192.91765664884758</v>
      </c>
      <c r="P254" s="205">
        <v>176899.62964652813</v>
      </c>
      <c r="Q254" s="238">
        <v>229250.96930142277</v>
      </c>
      <c r="R254" s="67">
        <v>2020</v>
      </c>
      <c r="S254" s="2">
        <f t="shared" si="10"/>
        <v>0</v>
      </c>
      <c r="T254">
        <f>VLOOKUP(A254,'Groupe de branches'!$Z$27:$AM$86,14,FALSE)</f>
        <v>0</v>
      </c>
      <c r="U254">
        <f>VLOOKUP(A254,'Groupe de branches'!$Z$27:$AM$86,14,FALSE)</f>
        <v>0</v>
      </c>
      <c r="W254" s="2"/>
      <c r="Z254" s="117">
        <f t="shared" si="11"/>
        <v>-0.33816851712321028</v>
      </c>
      <c r="AA254" s="189"/>
    </row>
    <row r="255" spans="1:27" ht="15.75" thickBot="1" x14ac:dyDescent="0.3">
      <c r="A255" s="24" t="s">
        <v>86</v>
      </c>
      <c r="B255" t="s">
        <v>125</v>
      </c>
      <c r="D255" s="238">
        <v>318955.56559994887</v>
      </c>
      <c r="E255" s="218">
        <v>130940.64941398118</v>
      </c>
      <c r="F255" s="239"/>
      <c r="G255" s="218">
        <v>98876.394397732773</v>
      </c>
      <c r="H255" s="239"/>
      <c r="I255" s="238">
        <v>548772.60941166291</v>
      </c>
      <c r="J255" s="238">
        <v>147758.59100000007</v>
      </c>
      <c r="K255" s="205">
        <v>696531.20041166293</v>
      </c>
      <c r="L255" s="238">
        <v>455229.69302172761</v>
      </c>
      <c r="M255" s="238">
        <v>26463.573904000012</v>
      </c>
      <c r="N255" s="308">
        <v>156724.18214747982</v>
      </c>
      <c r="O255" s="205">
        <v>842.61425031692102</v>
      </c>
      <c r="P255" s="205">
        <v>214837.9334859353</v>
      </c>
      <c r="Q255" s="238">
        <v>696531.20041166293</v>
      </c>
      <c r="R255" s="67">
        <v>2020</v>
      </c>
      <c r="S255" s="2">
        <f t="shared" si="10"/>
        <v>0</v>
      </c>
      <c r="T255">
        <f>VLOOKUP(A255,'Groupe de branches'!$Z$27:$AM$86,14,FALSE)</f>
        <v>1</v>
      </c>
      <c r="U255">
        <f>VLOOKUP(A255,'Groupe de branches'!$Z$27:$AM$86,14,FALSE)</f>
        <v>1</v>
      </c>
      <c r="W255" s="2"/>
      <c r="Z255" s="117">
        <f t="shared" si="11"/>
        <v>5.6146878318648064E-3</v>
      </c>
      <c r="AA255" s="189"/>
    </row>
    <row r="256" spans="1:27" ht="15.75" thickBot="1" x14ac:dyDescent="0.3">
      <c r="A256" s="24" t="s">
        <v>87</v>
      </c>
      <c r="B256" t="s">
        <v>125</v>
      </c>
      <c r="D256" s="238">
        <v>266233.64190250728</v>
      </c>
      <c r="E256" s="218">
        <v>773028.66878519207</v>
      </c>
      <c r="F256" s="239"/>
      <c r="G256" s="218">
        <v>367569.68931230076</v>
      </c>
      <c r="H256" s="239"/>
      <c r="I256" s="238">
        <v>1406832</v>
      </c>
      <c r="J256" s="238">
        <v>1026232.7400000012</v>
      </c>
      <c r="K256" s="205">
        <v>2433064.7400000012</v>
      </c>
      <c r="L256" s="238">
        <v>273725.05378354801</v>
      </c>
      <c r="M256" s="238">
        <v>682838.43552600034</v>
      </c>
      <c r="N256" s="308">
        <v>161341.84035107648</v>
      </c>
      <c r="O256" s="205">
        <v>4047.0822992735029</v>
      </c>
      <c r="P256" s="205">
        <v>1476501.2506904528</v>
      </c>
      <c r="Q256" s="238">
        <v>2433064.7400000012</v>
      </c>
      <c r="R256" s="67">
        <v>2020</v>
      </c>
      <c r="S256" s="2">
        <f t="shared" si="10"/>
        <v>0</v>
      </c>
      <c r="T256">
        <f>VLOOKUP(A256,'Groupe de branches'!$Z$27:$AM$86,14,FALSE)</f>
        <v>0</v>
      </c>
      <c r="U256">
        <f>VLOOKUP(A256,'Groupe de branches'!$Z$27:$AM$86,14,FALSE)</f>
        <v>0</v>
      </c>
      <c r="W256" s="2"/>
      <c r="Z256" s="117">
        <f t="shared" si="11"/>
        <v>-9.9603668438032256E-2</v>
      </c>
      <c r="AA256" s="189"/>
    </row>
    <row r="257" spans="1:27" ht="15.75" thickBot="1" x14ac:dyDescent="0.3">
      <c r="A257" s="24" t="s">
        <v>88</v>
      </c>
      <c r="B257" t="s">
        <v>125</v>
      </c>
      <c r="D257" s="238">
        <v>0</v>
      </c>
      <c r="E257" s="218">
        <v>0</v>
      </c>
      <c r="F257" s="239"/>
      <c r="G257" s="218">
        <v>1</v>
      </c>
      <c r="H257" s="239"/>
      <c r="I257" s="238">
        <v>1</v>
      </c>
      <c r="J257" s="238">
        <v>0</v>
      </c>
      <c r="K257" s="205">
        <v>1</v>
      </c>
      <c r="L257" s="238">
        <v>1</v>
      </c>
      <c r="M257" s="238">
        <v>0</v>
      </c>
      <c r="N257" s="308"/>
      <c r="O257" s="205">
        <v>0</v>
      </c>
      <c r="P257" s="205">
        <v>0</v>
      </c>
      <c r="Q257" s="238">
        <v>1</v>
      </c>
      <c r="R257" s="67">
        <v>2020</v>
      </c>
      <c r="S257" s="2">
        <f t="shared" si="10"/>
        <v>0</v>
      </c>
      <c r="T257">
        <f>VLOOKUP(A257,'Groupe de branches'!$Z$27:$AM$86,14,FALSE)</f>
        <v>0</v>
      </c>
      <c r="U257">
        <f>VLOOKUP(A257,'Groupe de branches'!$Z$27:$AM$86,14,FALSE)</f>
        <v>0</v>
      </c>
      <c r="W257" s="2"/>
      <c r="Z257" s="117">
        <f t="shared" si="11"/>
        <v>0</v>
      </c>
      <c r="AA257" s="189"/>
    </row>
    <row r="258" spans="1:27" ht="15.75" thickBot="1" x14ac:dyDescent="0.3">
      <c r="A258" s="24" t="s">
        <v>89</v>
      </c>
      <c r="B258" t="s">
        <v>125</v>
      </c>
      <c r="D258" s="238">
        <v>16064.85547897783</v>
      </c>
      <c r="E258" s="218">
        <v>41272.439275604775</v>
      </c>
      <c r="F258" s="239"/>
      <c r="G258" s="218">
        <v>19987.7702454174</v>
      </c>
      <c r="H258" s="239"/>
      <c r="I258" s="238">
        <v>77325.065000000002</v>
      </c>
      <c r="J258" s="238">
        <v>117266.83600000007</v>
      </c>
      <c r="K258" s="205">
        <v>194591.90100000007</v>
      </c>
      <c r="L258" s="238">
        <v>126822.28798607312</v>
      </c>
      <c r="M258" s="238">
        <v>15786.973867999997</v>
      </c>
      <c r="N258" s="308">
        <v>95422.335511656594</v>
      </c>
      <c r="O258" s="205">
        <v>524.02393901843368</v>
      </c>
      <c r="P258" s="205">
        <v>51982.639145926951</v>
      </c>
      <c r="Q258" s="238">
        <v>194591.90100000007</v>
      </c>
      <c r="R258" s="67">
        <v>2020</v>
      </c>
      <c r="S258" s="2">
        <f t="shared" si="10"/>
        <v>0</v>
      </c>
      <c r="T258">
        <f>VLOOKUP(A258,'Groupe de branches'!$Z$27:$AM$86,14,FALSE)</f>
        <v>0</v>
      </c>
      <c r="U258">
        <f>VLOOKUP(A258,'Groupe de branches'!$Z$27:$AM$86,14,FALSE)</f>
        <v>0</v>
      </c>
      <c r="W258" s="2"/>
      <c r="Z258" s="117">
        <f t="shared" si="11"/>
        <v>2.7863039454772753E-2</v>
      </c>
      <c r="AA258" s="189"/>
    </row>
    <row r="259" spans="1:27" ht="15.75" thickBot="1" x14ac:dyDescent="0.3">
      <c r="A259" s="24" t="s">
        <v>90</v>
      </c>
      <c r="B259" t="s">
        <v>125</v>
      </c>
      <c r="D259" s="238">
        <v>106425.17622546741</v>
      </c>
      <c r="E259" s="218">
        <v>451249.30137615581</v>
      </c>
      <c r="F259" s="239"/>
      <c r="G259" s="218">
        <v>236208.52239837675</v>
      </c>
      <c r="H259" s="239"/>
      <c r="I259" s="238">
        <v>793883</v>
      </c>
      <c r="J259" s="238">
        <v>184216.92799999987</v>
      </c>
      <c r="K259" s="205">
        <v>978099.92799999984</v>
      </c>
      <c r="L259" s="238">
        <v>396536.39847705519</v>
      </c>
      <c r="M259" s="238">
        <v>14478.285508000004</v>
      </c>
      <c r="N259" s="308">
        <v>123749.81913211805</v>
      </c>
      <c r="O259" s="205">
        <v>4497.3063287188288</v>
      </c>
      <c r="P259" s="205">
        <v>567085.24401494511</v>
      </c>
      <c r="Q259" s="238">
        <v>978099.92800000031</v>
      </c>
      <c r="R259" s="67">
        <v>2020</v>
      </c>
      <c r="S259" s="2">
        <f t="shared" si="10"/>
        <v>0</v>
      </c>
      <c r="T259">
        <f>VLOOKUP(A259,'Groupe de branches'!$Z$27:$AM$86,14,FALSE)</f>
        <v>0</v>
      </c>
      <c r="U259">
        <f>VLOOKUP(A259,'Groupe de branches'!$Z$27:$AM$86,14,FALSE)</f>
        <v>0</v>
      </c>
      <c r="W259" s="2"/>
      <c r="Z259" s="117">
        <f t="shared" si="11"/>
        <v>2.8606711108978278E-3</v>
      </c>
      <c r="AA259" s="189"/>
    </row>
    <row r="260" spans="1:27" ht="15.75" thickBot="1" x14ac:dyDescent="0.3">
      <c r="A260" s="24" t="s">
        <v>15</v>
      </c>
      <c r="B260" t="s">
        <v>125</v>
      </c>
      <c r="D260" s="238">
        <v>167786.07047069093</v>
      </c>
      <c r="E260" s="218">
        <v>178317.69253040696</v>
      </c>
      <c r="F260" s="239"/>
      <c r="G260" s="218">
        <v>230384.61567236023</v>
      </c>
      <c r="H260" s="239"/>
      <c r="I260" s="238">
        <v>576488.37867345812</v>
      </c>
      <c r="J260" s="238">
        <v>73878.060000000041</v>
      </c>
      <c r="K260" s="205">
        <v>650366.43867345818</v>
      </c>
      <c r="L260" s="238">
        <v>72599.675530664434</v>
      </c>
      <c r="M260" s="238">
        <v>3771.4770179999996</v>
      </c>
      <c r="N260" s="308">
        <v>14184.075295971288</v>
      </c>
      <c r="O260" s="205">
        <v>4499.2412766225998</v>
      </c>
      <c r="P260" s="205">
        <v>573995.28612479393</v>
      </c>
      <c r="Q260" s="238">
        <v>650366.43867345829</v>
      </c>
      <c r="R260" s="67">
        <v>2020</v>
      </c>
      <c r="S260" s="2">
        <f t="shared" si="10"/>
        <v>0</v>
      </c>
      <c r="T260">
        <f>VLOOKUP(A260,'Groupe de branches'!$Z$27:$AM$86,14,FALSE)</f>
        <v>0</v>
      </c>
      <c r="U260">
        <f>VLOOKUP(A260,'Groupe de branches'!$Z$27:$AM$86,14,FALSE)</f>
        <v>0</v>
      </c>
      <c r="W260" s="2"/>
      <c r="Z260" s="117">
        <f t="shared" si="11"/>
        <v>-4.4396903851686709E-2</v>
      </c>
      <c r="AA260" s="189"/>
    </row>
    <row r="261" spans="1:27" ht="15.75" thickBot="1" x14ac:dyDescent="0.3">
      <c r="A261" s="24" t="s">
        <v>16</v>
      </c>
      <c r="B261" t="s">
        <v>125</v>
      </c>
      <c r="D261" s="238">
        <v>170222.12319902764</v>
      </c>
      <c r="E261" s="218">
        <v>178423.13079128228</v>
      </c>
      <c r="F261" s="239"/>
      <c r="G261" s="218">
        <v>201515.74600969002</v>
      </c>
      <c r="H261" s="239"/>
      <c r="I261" s="238">
        <v>550161</v>
      </c>
      <c r="J261" s="238">
        <v>88744.74599999997</v>
      </c>
      <c r="K261" s="205">
        <v>638905.74599999993</v>
      </c>
      <c r="L261" s="238">
        <v>159898.8533246915</v>
      </c>
      <c r="M261" s="238">
        <v>26292.790082000003</v>
      </c>
      <c r="N261" s="308">
        <v>44272.363807479094</v>
      </c>
      <c r="O261" s="205">
        <v>4266.0613310996159</v>
      </c>
      <c r="P261" s="205">
        <v>452714.10259330837</v>
      </c>
      <c r="Q261" s="238">
        <v>638905.74599999993</v>
      </c>
      <c r="R261" s="67">
        <v>2020</v>
      </c>
      <c r="S261" s="2">
        <f t="shared" si="10"/>
        <v>0</v>
      </c>
      <c r="T261">
        <f>VLOOKUP(A261,'Groupe de branches'!$Z$27:$AM$86,14,FALSE)</f>
        <v>0</v>
      </c>
      <c r="U261">
        <f>VLOOKUP(A261,'Groupe de branches'!$Z$27:$AM$86,14,FALSE)</f>
        <v>0</v>
      </c>
      <c r="W261" s="2"/>
      <c r="Z261" s="117">
        <f t="shared" si="11"/>
        <v>-5.7057414082147817E-2</v>
      </c>
      <c r="AA261" s="189"/>
    </row>
    <row r="262" spans="1:27" ht="15.75" thickBot="1" x14ac:dyDescent="0.3">
      <c r="A262" s="24" t="s">
        <v>91</v>
      </c>
      <c r="B262" t="s">
        <v>125</v>
      </c>
      <c r="D262" s="238">
        <v>518226.21546274057</v>
      </c>
      <c r="E262" s="218">
        <v>208530.63683113057</v>
      </c>
      <c r="F262" s="239"/>
      <c r="G262" s="218">
        <v>401164.14770612883</v>
      </c>
      <c r="H262" s="239"/>
      <c r="I262" s="238">
        <v>1127921</v>
      </c>
      <c r="J262" s="238">
        <v>229038.72899999996</v>
      </c>
      <c r="K262" s="205">
        <v>1356959.7290000001</v>
      </c>
      <c r="L262" s="238">
        <v>1246654.1102386909</v>
      </c>
      <c r="M262" s="238">
        <v>94117.430028999996</v>
      </c>
      <c r="N262" s="308">
        <v>247785.64448029941</v>
      </c>
      <c r="O262" s="205">
        <v>10506.317017770116</v>
      </c>
      <c r="P262" s="205">
        <v>16188.188732309194</v>
      </c>
      <c r="Q262" s="238">
        <v>1356959.7290000001</v>
      </c>
      <c r="R262" s="67">
        <v>2020</v>
      </c>
      <c r="S262" s="2">
        <f t="shared" ref="S262:S289" si="12">K262-Q262</f>
        <v>0</v>
      </c>
      <c r="T262">
        <f>VLOOKUP(A262,'Groupe de branches'!$Z$27:$AM$86,14,FALSE)</f>
        <v>0</v>
      </c>
      <c r="U262">
        <f>VLOOKUP(A262,'Groupe de branches'!$Z$27:$AM$86,14,FALSE)</f>
        <v>0</v>
      </c>
      <c r="W262" s="2"/>
      <c r="Z262" s="117">
        <f t="shared" si="11"/>
        <v>-0.24738274538794003</v>
      </c>
      <c r="AA262" s="189"/>
    </row>
    <row r="263" spans="1:27" ht="15.75" thickBot="1" x14ac:dyDescent="0.3">
      <c r="A263" s="24" t="s">
        <v>17</v>
      </c>
      <c r="B263" t="s">
        <v>125</v>
      </c>
      <c r="D263" s="238">
        <v>227567.37560510202</v>
      </c>
      <c r="E263" s="218">
        <v>297959.63278045162</v>
      </c>
      <c r="F263" s="239"/>
      <c r="G263" s="218">
        <v>207303.99161444625</v>
      </c>
      <c r="H263" s="239"/>
      <c r="I263" s="238">
        <v>732831</v>
      </c>
      <c r="J263" s="238">
        <v>31146.096000000001</v>
      </c>
      <c r="K263" s="205">
        <v>763977.09600000002</v>
      </c>
      <c r="L263" s="238">
        <v>401229.70582589792</v>
      </c>
      <c r="M263" s="238">
        <v>359823.14656900003</v>
      </c>
      <c r="N263" s="308">
        <v>40385.5934834375</v>
      </c>
      <c r="O263" s="205">
        <v>2486.2459836719681</v>
      </c>
      <c r="P263" s="205">
        <v>2924.243605102296</v>
      </c>
      <c r="Q263" s="238">
        <v>763977.09600000025</v>
      </c>
      <c r="R263" s="67">
        <v>2020</v>
      </c>
      <c r="S263" s="2">
        <f t="shared" si="12"/>
        <v>0</v>
      </c>
      <c r="T263">
        <f>VLOOKUP(A263,'Groupe de branches'!$Z$27:$AM$86,14,FALSE)</f>
        <v>0</v>
      </c>
      <c r="U263">
        <f>VLOOKUP(A263,'Groupe de branches'!$Z$27:$AM$86,14,FALSE)</f>
        <v>0</v>
      </c>
      <c r="W263" s="2"/>
      <c r="Z263" s="117">
        <f t="shared" si="11"/>
        <v>-8.2553645580389357E-2</v>
      </c>
      <c r="AA263" s="189"/>
    </row>
    <row r="264" spans="1:27" ht="15.75" thickBot="1" x14ac:dyDescent="0.3">
      <c r="A264" s="24" t="s">
        <v>18</v>
      </c>
      <c r="B264" t="s">
        <v>125</v>
      </c>
      <c r="D264" s="238">
        <v>5198.6532820789816</v>
      </c>
      <c r="E264" s="218">
        <v>11576.411906306825</v>
      </c>
      <c r="F264" s="239"/>
      <c r="G264" s="218">
        <v>10573.303614659631</v>
      </c>
      <c r="H264" s="239"/>
      <c r="I264" s="238">
        <v>27348.368803045432</v>
      </c>
      <c r="J264" s="238">
        <v>14982.660999999989</v>
      </c>
      <c r="K264" s="205">
        <v>42331.029803045421</v>
      </c>
      <c r="L264" s="238">
        <v>454.53279895617908</v>
      </c>
      <c r="M264" s="238">
        <v>1775.0407740000005</v>
      </c>
      <c r="N264" s="308"/>
      <c r="O264" s="205">
        <v>197.54792316136891</v>
      </c>
      <c r="P264" s="205">
        <v>40101.45623008925</v>
      </c>
      <c r="Q264" s="238">
        <v>42331.029803045429</v>
      </c>
      <c r="R264" s="67">
        <v>2020</v>
      </c>
      <c r="S264" s="2">
        <f t="shared" si="12"/>
        <v>0</v>
      </c>
      <c r="T264">
        <f>VLOOKUP(A264,'Groupe de branches'!$Z$27:$AM$86,14,FALSE)</f>
        <v>0</v>
      </c>
      <c r="U264">
        <f>VLOOKUP(A264,'Groupe de branches'!$Z$27:$AM$86,14,FALSE)</f>
        <v>0</v>
      </c>
      <c r="W264" s="2"/>
      <c r="Z264" s="117">
        <f t="shared" si="11"/>
        <v>2.8350823923364077E-2</v>
      </c>
      <c r="AA264" s="189"/>
    </row>
    <row r="265" spans="1:27" ht="15.75" thickBot="1" x14ac:dyDescent="0.3">
      <c r="A265" s="24" t="s">
        <v>92</v>
      </c>
      <c r="B265" t="s">
        <v>125</v>
      </c>
      <c r="D265" s="238">
        <v>77340.238207216957</v>
      </c>
      <c r="E265" s="218">
        <v>90941.645364661323</v>
      </c>
      <c r="F265" s="239"/>
      <c r="G265" s="218">
        <v>78613.116428121706</v>
      </c>
      <c r="H265" s="239"/>
      <c r="I265" s="238">
        <v>246895</v>
      </c>
      <c r="J265" s="238">
        <v>28676.149000000001</v>
      </c>
      <c r="K265" s="205">
        <v>275571.14899999998</v>
      </c>
      <c r="L265" s="238">
        <v>265218.953637</v>
      </c>
      <c r="M265" s="238">
        <v>10352.195363000003</v>
      </c>
      <c r="N265" s="308">
        <v>4398.3329307724534</v>
      </c>
      <c r="O265" s="205">
        <v>1123.4950063848542</v>
      </c>
      <c r="P265" s="205">
        <v>-2.5465851649641991E-11</v>
      </c>
      <c r="Q265" s="238">
        <v>275571.14899999998</v>
      </c>
      <c r="R265" s="67">
        <v>2020</v>
      </c>
      <c r="S265" s="2">
        <f t="shared" si="12"/>
        <v>0</v>
      </c>
      <c r="T265">
        <f>VLOOKUP(A265,'Groupe de branches'!$Z$27:$AM$86,14,FALSE)</f>
        <v>0</v>
      </c>
      <c r="U265">
        <f>VLOOKUP(A265,'Groupe de branches'!$Z$27:$AM$86,14,FALSE)</f>
        <v>0</v>
      </c>
      <c r="W265" s="2"/>
      <c r="Z265" s="117">
        <f t="shared" si="11"/>
        <v>5.3349669716565629E-2</v>
      </c>
      <c r="AA265" s="189"/>
    </row>
    <row r="266" spans="1:27" ht="15.75" thickBot="1" x14ac:dyDescent="0.3">
      <c r="A266" s="24" t="s">
        <v>93</v>
      </c>
      <c r="B266" t="s">
        <v>125</v>
      </c>
      <c r="D266" s="238">
        <v>45281.137709975221</v>
      </c>
      <c r="E266" s="218">
        <v>94385.79720330202</v>
      </c>
      <c r="F266" s="239"/>
      <c r="G266" s="218">
        <v>97895.716805853473</v>
      </c>
      <c r="H266" s="239"/>
      <c r="I266" s="238">
        <v>237562.65171913072</v>
      </c>
      <c r="J266" s="238">
        <v>198336.40800000026</v>
      </c>
      <c r="K266" s="205">
        <v>435899.05971913098</v>
      </c>
      <c r="L266" s="238">
        <v>383020.09478413087</v>
      </c>
      <c r="M266" s="238">
        <v>52878.964935000171</v>
      </c>
      <c r="N266" s="308">
        <v>213598.10500862595</v>
      </c>
      <c r="O266" s="205">
        <v>1980.5961882675856</v>
      </c>
      <c r="P266" s="205">
        <v>-5.8207660913467407E-11</v>
      </c>
      <c r="Q266" s="238">
        <v>435899.05971913098</v>
      </c>
      <c r="R266" s="67">
        <v>2020</v>
      </c>
      <c r="S266" s="2">
        <f t="shared" si="12"/>
        <v>0</v>
      </c>
      <c r="T266">
        <f>VLOOKUP(A266,'Groupe de branches'!$Z$27:$AM$86,14,FALSE)</f>
        <v>0</v>
      </c>
      <c r="U266">
        <f>VLOOKUP(A266,'Groupe de branches'!$Z$27:$AM$86,14,FALSE)</f>
        <v>0</v>
      </c>
      <c r="W266" s="2"/>
      <c r="Z266" s="117">
        <f t="shared" si="11"/>
        <v>-4.5767145968204082E-2</v>
      </c>
      <c r="AA266" s="189"/>
    </row>
    <row r="267" spans="1:27" ht="15.75" thickBot="1" x14ac:dyDescent="0.3">
      <c r="A267" s="24" t="s">
        <v>94</v>
      </c>
      <c r="B267" t="s">
        <v>125</v>
      </c>
      <c r="D267" s="238">
        <v>19564.650056221755</v>
      </c>
      <c r="E267" s="218">
        <v>265515.29202990874</v>
      </c>
      <c r="F267" s="239"/>
      <c r="G267" s="218">
        <v>76912.844055703827</v>
      </c>
      <c r="H267" s="239"/>
      <c r="I267" s="238">
        <v>361992.78614183434</v>
      </c>
      <c r="J267" s="238">
        <v>256448.17199999999</v>
      </c>
      <c r="K267" s="205">
        <v>618440.95814183436</v>
      </c>
      <c r="L267" s="238">
        <v>535942.41818142124</v>
      </c>
      <c r="M267" s="238">
        <v>81641.546081999855</v>
      </c>
      <c r="N267" s="308">
        <v>278966.05467004888</v>
      </c>
      <c r="O267" s="205">
        <v>1254.0678995975338</v>
      </c>
      <c r="P267" s="205">
        <v>856.99387841350108</v>
      </c>
      <c r="Q267" s="238">
        <v>618440.95814183459</v>
      </c>
      <c r="R267" s="67">
        <v>2020</v>
      </c>
      <c r="S267" s="2">
        <f t="shared" si="12"/>
        <v>0</v>
      </c>
      <c r="T267">
        <f>VLOOKUP(A267,'Groupe de branches'!$Z$27:$AM$86,14,FALSE)</f>
        <v>0</v>
      </c>
      <c r="U267">
        <f>VLOOKUP(A267,'Groupe de branches'!$Z$27:$AM$86,14,FALSE)</f>
        <v>0</v>
      </c>
      <c r="W267" s="2"/>
      <c r="Z267" s="117">
        <f t="shared" si="11"/>
        <v>-1.8444103231035403E-2</v>
      </c>
      <c r="AA267" s="189"/>
    </row>
    <row r="268" spans="1:27" ht="15.75" thickBot="1" x14ac:dyDescent="0.3">
      <c r="A268" s="24" t="s">
        <v>95</v>
      </c>
      <c r="B268" t="s">
        <v>125</v>
      </c>
      <c r="D268" s="238">
        <v>201415.31233825348</v>
      </c>
      <c r="E268" s="218">
        <v>247947.66142747729</v>
      </c>
      <c r="F268" s="239"/>
      <c r="G268" s="218">
        <v>94939.026234269128</v>
      </c>
      <c r="H268" s="239"/>
      <c r="I268" s="238">
        <v>544302</v>
      </c>
      <c r="J268" s="238">
        <v>825976.24400000041</v>
      </c>
      <c r="K268" s="205">
        <v>1370278.2440000004</v>
      </c>
      <c r="L268" s="238">
        <v>0</v>
      </c>
      <c r="M268" s="238">
        <v>334907.16783899994</v>
      </c>
      <c r="N268" s="308"/>
      <c r="O268" s="205">
        <v>830.3321573024906</v>
      </c>
      <c r="P268" s="205">
        <v>1035371.0761609995</v>
      </c>
      <c r="Q268" s="238">
        <v>1370278.2439999995</v>
      </c>
      <c r="R268" s="67">
        <v>2020</v>
      </c>
      <c r="S268" s="2">
        <f t="shared" si="12"/>
        <v>0</v>
      </c>
      <c r="T268">
        <f>VLOOKUP(A268,'Groupe de branches'!$Z$27:$AM$86,14,FALSE)</f>
        <v>0</v>
      </c>
      <c r="U268">
        <f>VLOOKUP(A268,'Groupe de branches'!$Z$27:$AM$86,14,FALSE)</f>
        <v>0</v>
      </c>
      <c r="W268" s="2"/>
      <c r="Z268" s="117">
        <f t="shared" si="11"/>
        <v>-6.3504857768925671E-4</v>
      </c>
      <c r="AA268" s="189"/>
    </row>
    <row r="269" spans="1:27" ht="15.75" thickBot="1" x14ac:dyDescent="0.3">
      <c r="A269" s="24" t="s">
        <v>96</v>
      </c>
      <c r="B269" t="s">
        <v>125</v>
      </c>
      <c r="D269" s="238">
        <v>1035371.0761610038</v>
      </c>
      <c r="E269" s="218">
        <v>2347027.020617533</v>
      </c>
      <c r="F269" s="239"/>
      <c r="G269" s="218">
        <v>1128417.9032214629</v>
      </c>
      <c r="H269" s="239"/>
      <c r="I269" s="238">
        <v>4510816</v>
      </c>
      <c r="J269" s="238">
        <v>3665435.5650000046</v>
      </c>
      <c r="K269" s="205">
        <v>8176251.5650000051</v>
      </c>
      <c r="L269" s="238">
        <v>3065688.2342900359</v>
      </c>
      <c r="M269" s="238">
        <v>2780752.1200989964</v>
      </c>
      <c r="N269" s="308">
        <v>1998676.3953827813</v>
      </c>
      <c r="O269" s="205">
        <v>15312.215377968618</v>
      </c>
      <c r="P269" s="205">
        <v>2329811.2106109713</v>
      </c>
      <c r="Q269" s="238">
        <v>8176251.5650000032</v>
      </c>
      <c r="R269" s="67">
        <v>2020</v>
      </c>
      <c r="S269" s="2">
        <f t="shared" si="12"/>
        <v>0</v>
      </c>
      <c r="T269">
        <f>VLOOKUP(A269,'Groupe de branches'!$Z$27:$AM$86,14,FALSE)</f>
        <v>0</v>
      </c>
      <c r="U269">
        <f>VLOOKUP(A269,'Groupe de branches'!$Z$27:$AM$86,14,FALSE)</f>
        <v>0</v>
      </c>
      <c r="W269" s="2"/>
      <c r="Z269" s="117">
        <f t="shared" si="11"/>
        <v>-0.10341496880162238</v>
      </c>
      <c r="AA269" s="189"/>
    </row>
    <row r="270" spans="1:27" ht="15.75" thickBot="1" x14ac:dyDescent="0.3">
      <c r="A270" s="24" t="s">
        <v>97</v>
      </c>
      <c r="B270" t="s">
        <v>125</v>
      </c>
      <c r="D270" s="238">
        <v>3385105.4862742173</v>
      </c>
      <c r="E270" s="218">
        <v>3311631.1062405757</v>
      </c>
      <c r="F270" s="239"/>
      <c r="G270" s="218">
        <v>2963008.4074852066</v>
      </c>
      <c r="H270" s="239"/>
      <c r="I270" s="238">
        <v>9659745</v>
      </c>
      <c r="J270" s="238">
        <v>3980430.2779999874</v>
      </c>
      <c r="K270" s="205">
        <v>13640175.277999988</v>
      </c>
      <c r="L270" s="238">
        <v>10675038.01054973</v>
      </c>
      <c r="M270" s="238">
        <v>1909842.9917870127</v>
      </c>
      <c r="N270" s="308">
        <v>3607178.9163767062</v>
      </c>
      <c r="O270" s="205">
        <v>43598.356588700539</v>
      </c>
      <c r="P270" s="205">
        <v>1055294.2756632455</v>
      </c>
      <c r="Q270" s="238">
        <v>13640175.277999988</v>
      </c>
      <c r="R270" s="67">
        <v>2020</v>
      </c>
      <c r="S270" s="2">
        <f t="shared" si="12"/>
        <v>0</v>
      </c>
      <c r="T270">
        <f>VLOOKUP(A270,'Groupe de branches'!$Z$27:$AM$86,14,FALSE)</f>
        <v>0</v>
      </c>
      <c r="U270">
        <f>VLOOKUP(A270,'Groupe de branches'!$Z$27:$AM$86,14,FALSE)</f>
        <v>0</v>
      </c>
      <c r="W270" s="2"/>
      <c r="Z270" s="117">
        <f t="shared" si="11"/>
        <v>-3.6269861030257866E-2</v>
      </c>
      <c r="AA270" s="189"/>
    </row>
    <row r="271" spans="1:27" ht="15.75" thickBot="1" x14ac:dyDescent="0.3">
      <c r="A271" s="24" t="s">
        <v>98</v>
      </c>
      <c r="B271" t="s">
        <v>125</v>
      </c>
      <c r="D271" s="238">
        <v>37031.762622062699</v>
      </c>
      <c r="E271" s="218">
        <v>75814.515530019969</v>
      </c>
      <c r="F271" s="239"/>
      <c r="G271" s="218">
        <v>61373.655429063852</v>
      </c>
      <c r="H271" s="239"/>
      <c r="I271" s="238">
        <v>174219.93358114647</v>
      </c>
      <c r="J271" s="238">
        <v>163578.50426865314</v>
      </c>
      <c r="K271" s="205">
        <v>337798.43784979964</v>
      </c>
      <c r="L271" s="238">
        <v>337798.43784979964</v>
      </c>
      <c r="M271" s="238">
        <v>0</v>
      </c>
      <c r="N271" s="308">
        <v>27833.04401730105</v>
      </c>
      <c r="O271" s="205">
        <v>323.15072537404905</v>
      </c>
      <c r="P271" s="205">
        <v>0</v>
      </c>
      <c r="Q271" s="238">
        <v>337798.43784979964</v>
      </c>
      <c r="R271" s="67">
        <v>2020</v>
      </c>
      <c r="S271" s="2">
        <f t="shared" si="12"/>
        <v>0</v>
      </c>
      <c r="T271">
        <f>VLOOKUP(A271,'Groupe de branches'!$Z$27:$AM$86,14,FALSE)</f>
        <v>0</v>
      </c>
      <c r="U271">
        <f>VLOOKUP(A271,'Groupe de branches'!$Z$27:$AM$86,14,FALSE)</f>
        <v>0</v>
      </c>
      <c r="W271" s="2"/>
      <c r="Z271" s="117">
        <f t="shared" si="11"/>
        <v>-1.8479531833743512E-2</v>
      </c>
      <c r="AA271" s="189"/>
    </row>
    <row r="272" spans="1:27" ht="15.75" thickBot="1" x14ac:dyDescent="0.3">
      <c r="A272" s="24" t="s">
        <v>99</v>
      </c>
      <c r="B272" t="s">
        <v>125</v>
      </c>
      <c r="D272" s="238">
        <v>631327.32437191345</v>
      </c>
      <c r="E272" s="218">
        <v>1406228.6581784405</v>
      </c>
      <c r="F272" s="239"/>
      <c r="G272" s="218">
        <v>935186.01744964533</v>
      </c>
      <c r="H272" s="239"/>
      <c r="I272" s="238">
        <v>2972742</v>
      </c>
      <c r="J272" s="238">
        <v>3530305.1120000039</v>
      </c>
      <c r="K272" s="205">
        <v>6503047.1120000035</v>
      </c>
      <c r="L272" s="238">
        <v>5706670.6220740089</v>
      </c>
      <c r="M272" s="238">
        <v>745389.98527900188</v>
      </c>
      <c r="N272" s="308">
        <v>3950023.6547021815</v>
      </c>
      <c r="O272" s="205">
        <v>20896.44851850265</v>
      </c>
      <c r="P272" s="205">
        <v>50986.50464699266</v>
      </c>
      <c r="Q272" s="238">
        <v>6503047.1120000035</v>
      </c>
      <c r="R272" s="67">
        <v>2020</v>
      </c>
      <c r="S272" s="2">
        <f t="shared" si="12"/>
        <v>0</v>
      </c>
      <c r="T272">
        <f>VLOOKUP(A272,'Groupe de branches'!$Z$27:$AM$86,14,FALSE)</f>
        <v>0</v>
      </c>
      <c r="U272">
        <f>VLOOKUP(A272,'Groupe de branches'!$Z$27:$AM$86,14,FALSE)</f>
        <v>0</v>
      </c>
      <c r="W272" s="2"/>
      <c r="Z272" s="117">
        <f t="shared" si="11"/>
        <v>-0.11790444422666613</v>
      </c>
      <c r="AA272" s="189"/>
    </row>
    <row r="273" spans="1:28" ht="15.75" thickBot="1" x14ac:dyDescent="0.3">
      <c r="A273" s="24" t="s">
        <v>100</v>
      </c>
      <c r="B273" t="s">
        <v>125</v>
      </c>
      <c r="D273" s="238">
        <v>95467.401407581929</v>
      </c>
      <c r="E273" s="218">
        <v>184599.68636671253</v>
      </c>
      <c r="F273" s="239"/>
      <c r="G273" s="218">
        <v>159962.91222570569</v>
      </c>
      <c r="H273" s="239"/>
      <c r="I273" s="238">
        <v>440030</v>
      </c>
      <c r="J273" s="238">
        <v>413599.23000000062</v>
      </c>
      <c r="K273" s="205">
        <v>853629.23000000068</v>
      </c>
      <c r="L273" s="238">
        <v>759555.71612500073</v>
      </c>
      <c r="M273" s="238">
        <v>94073.513874999946</v>
      </c>
      <c r="N273" s="308">
        <v>443641.97246770514</v>
      </c>
      <c r="O273" s="205">
        <v>2365.9438158053295</v>
      </c>
      <c r="P273" s="205">
        <v>0</v>
      </c>
      <c r="Q273" s="238">
        <v>853629.23000000068</v>
      </c>
      <c r="R273" s="67">
        <v>2020</v>
      </c>
      <c r="S273" s="2">
        <f t="shared" si="12"/>
        <v>0</v>
      </c>
      <c r="T273">
        <f>VLOOKUP(A273,'Groupe de branches'!$Z$27:$AM$86,14,FALSE)</f>
        <v>0</v>
      </c>
      <c r="U273">
        <f>VLOOKUP(A273,'Groupe de branches'!$Z$27:$AM$86,14,FALSE)</f>
        <v>0</v>
      </c>
      <c r="W273" s="2"/>
      <c r="Z273" s="117">
        <f t="shared" si="11"/>
        <v>-0.1182494266573848</v>
      </c>
      <c r="AA273" s="189"/>
    </row>
    <row r="274" spans="1:28" ht="15.75" thickBot="1" x14ac:dyDescent="0.3">
      <c r="A274" s="24" t="s">
        <v>101</v>
      </c>
      <c r="B274" t="s">
        <v>125</v>
      </c>
      <c r="D274" s="238">
        <v>333079.47229113354</v>
      </c>
      <c r="E274" s="218">
        <v>1032847.1005650692</v>
      </c>
      <c r="F274" s="239"/>
      <c r="G274" s="218">
        <v>468780.23237074137</v>
      </c>
      <c r="H274" s="239"/>
      <c r="I274" s="238">
        <v>1834706.8052269442</v>
      </c>
      <c r="J274" s="238"/>
      <c r="K274" s="205">
        <v>1834706.8052269442</v>
      </c>
      <c r="L274" s="238">
        <v>1834706.8052269442</v>
      </c>
      <c r="M274" s="238">
        <v>0</v>
      </c>
      <c r="N274" s="308"/>
      <c r="O274" s="205">
        <v>3363.5107088013992</v>
      </c>
      <c r="P274" s="205">
        <v>0</v>
      </c>
      <c r="Q274" s="238">
        <v>1834706.8052269442</v>
      </c>
      <c r="R274" s="67">
        <v>2020</v>
      </c>
      <c r="S274" s="2">
        <f t="shared" si="12"/>
        <v>0</v>
      </c>
      <c r="T274">
        <f>VLOOKUP(A274,'Groupe de branches'!$Z$27:$AM$86,14,FALSE)</f>
        <v>1</v>
      </c>
      <c r="U274">
        <f>VLOOKUP(A274,'Groupe de branches'!$Z$27:$AM$86,14,FALSE)</f>
        <v>1</v>
      </c>
      <c r="W274" s="2"/>
      <c r="Z274" s="117">
        <f t="shared" si="11"/>
        <v>-9.9731057966296666E-2</v>
      </c>
      <c r="AA274" s="189"/>
    </row>
    <row r="275" spans="1:28" ht="15.75" thickBot="1" x14ac:dyDescent="0.3">
      <c r="A275" s="24" t="s">
        <v>102</v>
      </c>
      <c r="B275" t="s">
        <v>125</v>
      </c>
      <c r="D275" s="238">
        <v>11986.427259084412</v>
      </c>
      <c r="E275" s="218">
        <v>102743.82839866613</v>
      </c>
      <c r="F275" s="239"/>
      <c r="G275" s="218">
        <v>93833.944342249451</v>
      </c>
      <c r="H275" s="239"/>
      <c r="I275" s="238">
        <v>208564.2</v>
      </c>
      <c r="J275" s="238"/>
      <c r="K275" s="205">
        <v>208564.2</v>
      </c>
      <c r="L275" s="238">
        <v>78232.858340984283</v>
      </c>
      <c r="M275" s="238">
        <v>49600</v>
      </c>
      <c r="N275" s="308"/>
      <c r="O275" s="205">
        <v>1922.450598742442</v>
      </c>
      <c r="P275" s="205">
        <v>80731.341659015729</v>
      </c>
      <c r="Q275" s="238">
        <v>208564.2</v>
      </c>
      <c r="R275" s="67">
        <v>2020</v>
      </c>
      <c r="S275" s="2">
        <f t="shared" si="12"/>
        <v>0</v>
      </c>
      <c r="T275">
        <f>VLOOKUP(A275,'Groupe de branches'!$Z$27:$AM$86,14,FALSE)</f>
        <v>0</v>
      </c>
      <c r="U275">
        <f>VLOOKUP(A275,'Groupe de branches'!$Z$27:$AM$86,14,FALSE)</f>
        <v>0</v>
      </c>
      <c r="W275" s="2"/>
      <c r="Z275" s="117">
        <f t="shared" si="11"/>
        <v>-4.8556804420663235E-2</v>
      </c>
      <c r="AA275" s="189"/>
    </row>
    <row r="276" spans="1:28" ht="15.75" thickBot="1" x14ac:dyDescent="0.3">
      <c r="A276" s="24" t="s">
        <v>103</v>
      </c>
      <c r="B276" t="s">
        <v>112</v>
      </c>
      <c r="D276" s="238">
        <v>4.6566128730773926E-10</v>
      </c>
      <c r="E276" s="218">
        <v>1531517.3771007287</v>
      </c>
      <c r="F276" s="239"/>
      <c r="G276" s="218">
        <v>227192.03789927074</v>
      </c>
      <c r="H276" s="239"/>
      <c r="I276" s="238">
        <v>1758709.4149999998</v>
      </c>
      <c r="J276" s="238"/>
      <c r="K276" s="205">
        <v>1758709.4149999998</v>
      </c>
      <c r="L276" s="238">
        <v>1758709.4149999998</v>
      </c>
      <c r="M276" s="238">
        <v>0</v>
      </c>
      <c r="N276" s="308"/>
      <c r="O276" s="205">
        <v>1184.5095674523118</v>
      </c>
      <c r="P276" s="205">
        <v>0</v>
      </c>
      <c r="Q276" s="238">
        <v>1758709.4149999998</v>
      </c>
      <c r="R276" s="67">
        <v>2020</v>
      </c>
      <c r="S276" s="2">
        <f t="shared" si="12"/>
        <v>0</v>
      </c>
      <c r="T276">
        <f>VLOOKUP(A276,'Groupe de branches'!$Z$27:$AM$86,14,FALSE)</f>
        <v>0</v>
      </c>
      <c r="U276">
        <f>VLOOKUP(A276,'Groupe de branches'!$Z$27:$AM$86,14,FALSE)</f>
        <v>0</v>
      </c>
      <c r="W276" s="2"/>
      <c r="Z276" s="117">
        <f t="shared" si="11"/>
        <v>-0.17855510405208819</v>
      </c>
      <c r="AA276" s="189"/>
    </row>
    <row r="277" spans="1:28" ht="15.75" thickBot="1" x14ac:dyDescent="0.3">
      <c r="A277" s="24" t="s">
        <v>19</v>
      </c>
      <c r="B277" t="s">
        <v>126</v>
      </c>
      <c r="D277" s="238">
        <v>202190.7347784015</v>
      </c>
      <c r="E277" s="218">
        <v>156669.99780422056</v>
      </c>
      <c r="F277" s="239"/>
      <c r="G277" s="218">
        <v>163355.22362602095</v>
      </c>
      <c r="H277" s="239"/>
      <c r="I277" s="238">
        <v>522215.95620864298</v>
      </c>
      <c r="J277" s="238"/>
      <c r="K277" s="205">
        <v>522215.95620864298</v>
      </c>
      <c r="L277" s="238">
        <v>522215.95620864298</v>
      </c>
      <c r="M277" s="238">
        <v>0</v>
      </c>
      <c r="N277" s="308"/>
      <c r="O277" s="205">
        <v>2667.8336905341189</v>
      </c>
      <c r="P277" s="205">
        <v>0</v>
      </c>
      <c r="Q277" s="238">
        <v>522215.95620864298</v>
      </c>
      <c r="R277" s="67">
        <v>2020</v>
      </c>
      <c r="S277" s="2">
        <f t="shared" si="12"/>
        <v>0</v>
      </c>
      <c r="T277">
        <f>VLOOKUP(A277,'Groupe de branches'!$Z$27:$AM$86,14,FALSE)</f>
        <v>0</v>
      </c>
      <c r="U277">
        <f>VLOOKUP(A277,'Groupe de branches'!$Z$27:$AM$86,14,FALSE)</f>
        <v>0</v>
      </c>
      <c r="W277" s="2"/>
      <c r="Z277" s="117">
        <f t="shared" si="11"/>
        <v>3.1923038728989273E-3</v>
      </c>
      <c r="AA277" s="189"/>
    </row>
    <row r="278" spans="1:28" ht="15.75" thickBot="1" x14ac:dyDescent="0.3">
      <c r="A278" s="24" t="s">
        <v>20</v>
      </c>
      <c r="B278" t="s">
        <v>126</v>
      </c>
      <c r="D278" s="238">
        <v>32065.497349751415</v>
      </c>
      <c r="E278" s="218">
        <v>17068.617661200373</v>
      </c>
      <c r="F278" s="239"/>
      <c r="G278" s="218">
        <v>29919.341205135395</v>
      </c>
      <c r="H278" s="239"/>
      <c r="I278" s="238">
        <v>79053.456216087186</v>
      </c>
      <c r="J278" s="238"/>
      <c r="K278" s="205">
        <v>79053.456216087186</v>
      </c>
      <c r="L278" s="238">
        <v>79053.456216087186</v>
      </c>
      <c r="M278" s="238">
        <v>0</v>
      </c>
      <c r="N278" s="308"/>
      <c r="O278" s="205">
        <v>457.18341910483366</v>
      </c>
      <c r="P278" s="205">
        <v>0</v>
      </c>
      <c r="Q278" s="238">
        <v>79053.456216087186</v>
      </c>
      <c r="R278" s="67">
        <v>2020</v>
      </c>
      <c r="S278" s="2">
        <f t="shared" si="12"/>
        <v>0</v>
      </c>
      <c r="T278">
        <f>VLOOKUP(A278,'Groupe de branches'!$Z$27:$AM$86,14,FALSE)</f>
        <v>0</v>
      </c>
      <c r="U278">
        <f>VLOOKUP(A278,'Groupe de branches'!$Z$27:$AM$86,14,FALSE)</f>
        <v>0</v>
      </c>
      <c r="W278" s="2"/>
      <c r="Z278" s="117">
        <f t="shared" si="11"/>
        <v>-4.0341895717904142E-2</v>
      </c>
      <c r="AA278" s="189"/>
    </row>
    <row r="279" spans="1:28" ht="15.75" thickBot="1" x14ac:dyDescent="0.3">
      <c r="A279" s="24" t="s">
        <v>21</v>
      </c>
      <c r="B279" t="s">
        <v>126</v>
      </c>
      <c r="D279" s="238">
        <v>2347405.4783058697</v>
      </c>
      <c r="E279" s="218">
        <v>6663503.502827011</v>
      </c>
      <c r="F279" s="239"/>
      <c r="G279" s="218">
        <v>5250259.9479655838</v>
      </c>
      <c r="H279" s="239"/>
      <c r="I279" s="238">
        <v>14261168.929098463</v>
      </c>
      <c r="J279" s="238"/>
      <c r="K279" s="205">
        <v>14261168.929098463</v>
      </c>
      <c r="L279" s="238">
        <v>14261168.929098463</v>
      </c>
      <c r="M279" s="238">
        <v>0</v>
      </c>
      <c r="N279" s="308"/>
      <c r="O279" s="205">
        <v>80374.999461124549</v>
      </c>
      <c r="P279" s="205">
        <v>0</v>
      </c>
      <c r="Q279" s="238">
        <v>14261168.929098463</v>
      </c>
      <c r="R279" s="67">
        <v>2020</v>
      </c>
      <c r="S279" s="2">
        <f t="shared" si="12"/>
        <v>0</v>
      </c>
      <c r="T279">
        <f>VLOOKUP(A279,'Groupe de branches'!$Z$27:$AM$86,14,FALSE)</f>
        <v>0</v>
      </c>
      <c r="U279">
        <f>VLOOKUP(A279,'Groupe de branches'!$Z$27:$AM$86,14,FALSE)</f>
        <v>0</v>
      </c>
      <c r="W279" s="2"/>
      <c r="Z279" s="117">
        <f t="shared" si="11"/>
        <v>-1.5057053864342418E-2</v>
      </c>
      <c r="AA279" s="189"/>
    </row>
    <row r="280" spans="1:28" ht="15.75" thickBot="1" x14ac:dyDescent="0.3">
      <c r="A280" s="24" t="s">
        <v>22</v>
      </c>
      <c r="B280" t="s">
        <v>126</v>
      </c>
      <c r="D280" s="238">
        <v>587649.45704318769</v>
      </c>
      <c r="E280" s="218">
        <v>856518.98168199963</v>
      </c>
      <c r="F280" s="239"/>
      <c r="G280" s="218">
        <v>481301.67969627125</v>
      </c>
      <c r="H280" s="239"/>
      <c r="I280" s="238">
        <v>1925470.1184214586</v>
      </c>
      <c r="J280" s="238"/>
      <c r="K280" s="205">
        <v>1925470.1184214586</v>
      </c>
      <c r="L280" s="238">
        <v>1925470.1184214586</v>
      </c>
      <c r="M280" s="238">
        <v>0</v>
      </c>
      <c r="N280" s="308"/>
      <c r="O280" s="205">
        <v>7499.0649047540901</v>
      </c>
      <c r="P280" s="205">
        <v>0</v>
      </c>
      <c r="Q280" s="238">
        <v>1925470.1184214586</v>
      </c>
      <c r="R280" s="67">
        <v>2020</v>
      </c>
      <c r="S280" s="2">
        <f t="shared" si="12"/>
        <v>0</v>
      </c>
      <c r="T280">
        <f>VLOOKUP(A280,'Groupe de branches'!$Z$27:$AM$86,14,FALSE)</f>
        <v>0</v>
      </c>
      <c r="U280">
        <f>VLOOKUP(A280,'Groupe de branches'!$Z$27:$AM$86,14,FALSE)</f>
        <v>0</v>
      </c>
      <c r="W280" s="2"/>
      <c r="Z280" s="117">
        <f t="shared" si="11"/>
        <v>-7.9132073254385316E-2</v>
      </c>
      <c r="AA280" s="189"/>
    </row>
    <row r="281" spans="1:28" ht="15.75" thickBot="1" x14ac:dyDescent="0.3">
      <c r="A281" s="24" t="s">
        <v>23</v>
      </c>
      <c r="B281" t="s">
        <v>126</v>
      </c>
      <c r="D281" s="238">
        <v>147808.84410800785</v>
      </c>
      <c r="E281" s="218">
        <v>76750.295680739204</v>
      </c>
      <c r="F281" s="239"/>
      <c r="G281" s="218">
        <v>130210.59418820195</v>
      </c>
      <c r="H281" s="239"/>
      <c r="I281" s="238">
        <v>354769.73397694901</v>
      </c>
      <c r="J281" s="238"/>
      <c r="K281" s="205">
        <v>354769.73397694901</v>
      </c>
      <c r="L281" s="238">
        <v>354769.73397694901</v>
      </c>
      <c r="M281" s="238">
        <v>0</v>
      </c>
      <c r="N281" s="308"/>
      <c r="O281" s="205">
        <v>2029.7246929262049</v>
      </c>
      <c r="P281" s="205">
        <v>0</v>
      </c>
      <c r="Q281" s="238">
        <v>354769.73397694901</v>
      </c>
      <c r="R281" s="67">
        <v>2020</v>
      </c>
      <c r="S281" s="2">
        <f t="shared" si="12"/>
        <v>0</v>
      </c>
      <c r="T281">
        <f>VLOOKUP(A281,'Groupe de branches'!$Z$27:$AM$86,14,FALSE)</f>
        <v>0</v>
      </c>
      <c r="U281">
        <f>VLOOKUP(A281,'Groupe de branches'!$Z$27:$AM$86,14,FALSE)</f>
        <v>0</v>
      </c>
      <c r="W281" s="2"/>
      <c r="Z281" s="117">
        <f t="shared" si="11"/>
        <v>1.3226667948645909E-2</v>
      </c>
      <c r="AA281" s="189"/>
    </row>
    <row r="282" spans="1:28" ht="15.75" thickBot="1" x14ac:dyDescent="0.3">
      <c r="A282" s="24" t="s">
        <v>24</v>
      </c>
      <c r="B282" t="s">
        <v>126</v>
      </c>
      <c r="D282" s="238">
        <v>1820109.0048597187</v>
      </c>
      <c r="E282" s="218">
        <v>1612641.3274103268</v>
      </c>
      <c r="F282" s="239"/>
      <c r="G282" s="218">
        <v>2286305.6845911657</v>
      </c>
      <c r="H282" s="239"/>
      <c r="I282" s="238">
        <v>5719056.0168612115</v>
      </c>
      <c r="J282" s="238"/>
      <c r="K282" s="205">
        <v>5719056.0168612115</v>
      </c>
      <c r="L282" s="238">
        <v>5719056.0168612115</v>
      </c>
      <c r="M282" s="238">
        <v>0</v>
      </c>
      <c r="N282" s="308"/>
      <c r="O282" s="205">
        <v>38747.839896929348</v>
      </c>
      <c r="P282" s="205">
        <v>0</v>
      </c>
      <c r="Q282" s="238">
        <v>5719056.0168612115</v>
      </c>
      <c r="R282" s="67">
        <v>2020</v>
      </c>
      <c r="S282" s="2">
        <f t="shared" si="12"/>
        <v>0</v>
      </c>
      <c r="T282">
        <f>VLOOKUP(A282,'Groupe de branches'!$Z$27:$AM$86,14,FALSE)</f>
        <v>0</v>
      </c>
      <c r="U282">
        <f>VLOOKUP(A282,'Groupe de branches'!$Z$27:$AM$86,14,FALSE)</f>
        <v>0</v>
      </c>
      <c r="W282" s="2"/>
      <c r="Z282" s="117">
        <f t="shared" si="11"/>
        <v>-6.426979952290135E-3</v>
      </c>
      <c r="AA282" s="189">
        <f>1700</f>
        <v>1700</v>
      </c>
      <c r="AB282">
        <v>1</v>
      </c>
    </row>
    <row r="283" spans="1:28" ht="15.75" thickBot="1" x14ac:dyDescent="0.3">
      <c r="A283" s="24" t="s">
        <v>25</v>
      </c>
      <c r="B283" t="s">
        <v>126</v>
      </c>
      <c r="D283" s="238">
        <v>184857.10442747013</v>
      </c>
      <c r="E283" s="218">
        <v>366606.22272871534</v>
      </c>
      <c r="F283" s="239"/>
      <c r="G283" s="218">
        <v>380557.6864286887</v>
      </c>
      <c r="H283" s="239"/>
      <c r="I283" s="238">
        <v>932021.0135848741</v>
      </c>
      <c r="J283" s="238"/>
      <c r="K283" s="205">
        <v>932021.0135848741</v>
      </c>
      <c r="L283" s="238">
        <v>932021.0135848741</v>
      </c>
      <c r="M283" s="238">
        <v>0</v>
      </c>
      <c r="N283" s="308"/>
      <c r="O283" s="205">
        <v>6266.1420246095458</v>
      </c>
      <c r="P283" s="205">
        <v>0</v>
      </c>
      <c r="Q283" s="238">
        <v>932021.0135848741</v>
      </c>
      <c r="R283" s="67">
        <v>2020</v>
      </c>
      <c r="S283" s="2">
        <f t="shared" si="12"/>
        <v>0</v>
      </c>
      <c r="T283">
        <f>VLOOKUP(A283,'Groupe de branches'!$Z$27:$AM$86,14,FALSE)</f>
        <v>0</v>
      </c>
      <c r="U283">
        <f>VLOOKUP(A283,'Groupe de branches'!$Z$27:$AM$86,14,FALSE)</f>
        <v>0</v>
      </c>
      <c r="W283" s="2"/>
      <c r="Z283" s="117">
        <f t="shared" si="11"/>
        <v>3.69157422348243E-2</v>
      </c>
      <c r="AA283" s="189">
        <f>AB283*AA282</f>
        <v>2890</v>
      </c>
      <c r="AB283">
        <v>1.7</v>
      </c>
    </row>
    <row r="284" spans="1:28" ht="15.75" thickBot="1" x14ac:dyDescent="0.3">
      <c r="A284" s="24" t="s">
        <v>26</v>
      </c>
      <c r="B284" t="s">
        <v>126</v>
      </c>
      <c r="D284" s="238">
        <v>56451.585822177236</v>
      </c>
      <c r="E284" s="218">
        <v>146186.81014448823</v>
      </c>
      <c r="F284" s="239"/>
      <c r="G284" s="218">
        <v>106103.82985214535</v>
      </c>
      <c r="H284" s="239"/>
      <c r="I284" s="238">
        <v>308742.22581881081</v>
      </c>
      <c r="J284" s="238"/>
      <c r="K284" s="205">
        <v>308742.22581881081</v>
      </c>
      <c r="L284" s="238">
        <v>308742.22581881081</v>
      </c>
      <c r="M284" s="238">
        <v>0</v>
      </c>
      <c r="N284" s="308"/>
      <c r="O284" s="205">
        <v>1799.2846950122728</v>
      </c>
      <c r="P284" s="205">
        <v>0</v>
      </c>
      <c r="Q284" s="238">
        <v>308742.22581881081</v>
      </c>
      <c r="R284" s="67">
        <v>2020</v>
      </c>
      <c r="S284" s="2">
        <f t="shared" si="12"/>
        <v>0</v>
      </c>
      <c r="T284">
        <f>VLOOKUP(A284,'Groupe de branches'!$Z$27:$AM$86,14,FALSE)</f>
        <v>0</v>
      </c>
      <c r="U284">
        <f>VLOOKUP(A284,'Groupe de branches'!$Z$27:$AM$86,14,FALSE)</f>
        <v>0</v>
      </c>
      <c r="W284" s="2"/>
      <c r="Z284" s="117">
        <f t="shared" si="11"/>
        <v>3.310681461353937E-2</v>
      </c>
      <c r="AA284" s="189"/>
    </row>
    <row r="285" spans="1:28" ht="15.75" thickBot="1" x14ac:dyDescent="0.3">
      <c r="A285" s="24" t="s">
        <v>27</v>
      </c>
      <c r="B285" t="s">
        <v>126</v>
      </c>
      <c r="D285" s="238">
        <v>0</v>
      </c>
      <c r="E285" s="218">
        <v>1346271.2001781494</v>
      </c>
      <c r="F285" s="239"/>
      <c r="G285" s="218">
        <v>875484.08236351679</v>
      </c>
      <c r="H285" s="239"/>
      <c r="I285" s="238">
        <v>2221755.2825416662</v>
      </c>
      <c r="J285" s="238"/>
      <c r="K285" s="205">
        <v>2221755.2825416662</v>
      </c>
      <c r="L285" s="238">
        <v>2221755.2825416662</v>
      </c>
      <c r="M285" s="238">
        <v>0</v>
      </c>
      <c r="N285" s="308"/>
      <c r="O285" s="205">
        <v>12946.318375712717</v>
      </c>
      <c r="P285" s="205">
        <v>0</v>
      </c>
      <c r="Q285" s="238">
        <v>2221755.2825416662</v>
      </c>
      <c r="R285" s="67">
        <v>2020</v>
      </c>
      <c r="S285" s="2">
        <f t="shared" si="12"/>
        <v>0</v>
      </c>
      <c r="T285">
        <f>VLOOKUP(A285,'Groupe de branches'!$Z$27:$AM$86,14,FALSE)</f>
        <v>1</v>
      </c>
      <c r="U285">
        <f>VLOOKUP(A285,'Groupe de branches'!$Z$27:$AM$86,14,FALSE)</f>
        <v>1</v>
      </c>
      <c r="W285" s="2"/>
      <c r="Z285" s="117">
        <f t="shared" si="11"/>
        <v>6.2499999999999778E-2</v>
      </c>
      <c r="AA285" s="189"/>
    </row>
    <row r="286" spans="1:28" ht="15.75" thickBot="1" x14ac:dyDescent="0.3">
      <c r="A286" s="24" t="s">
        <v>104</v>
      </c>
      <c r="B286" t="s">
        <v>112</v>
      </c>
      <c r="D286" s="238">
        <v>4.6566128730773936E-10</v>
      </c>
      <c r="E286" s="218">
        <v>0</v>
      </c>
      <c r="F286" s="239"/>
      <c r="G286" s="218">
        <v>1516406.7937040378</v>
      </c>
      <c r="H286" s="239"/>
      <c r="I286" s="238">
        <v>1516406.7937040383</v>
      </c>
      <c r="J286" s="238"/>
      <c r="K286" s="205">
        <v>1516406.7937040383</v>
      </c>
      <c r="L286" s="238">
        <v>278915.82960249006</v>
      </c>
      <c r="M286" s="238">
        <v>0</v>
      </c>
      <c r="N286" s="308"/>
      <c r="O286" s="205">
        <v>12831.107257411197</v>
      </c>
      <c r="P286" s="205">
        <v>1237490.9641015483</v>
      </c>
      <c r="Q286" s="238">
        <v>1516406.7937040385</v>
      </c>
      <c r="R286" s="67">
        <v>2020</v>
      </c>
      <c r="S286" s="2">
        <f t="shared" si="12"/>
        <v>0</v>
      </c>
      <c r="T286">
        <f>VLOOKUP(A286,'Groupe de branches'!$Z$27:$AM$86,14,FALSE)</f>
        <v>0</v>
      </c>
      <c r="U286">
        <f>VLOOKUP(A286,'Groupe de branches'!$Z$27:$AM$86,14,FALSE)</f>
        <v>0</v>
      </c>
      <c r="W286" s="2"/>
      <c r="Z286" s="117">
        <f t="shared" si="11"/>
        <v>-4.5825771546494809E-2</v>
      </c>
      <c r="AA286" s="189"/>
    </row>
    <row r="287" spans="1:28" ht="15.75" thickBot="1" x14ac:dyDescent="0.3">
      <c r="A287" s="24" t="s">
        <v>105</v>
      </c>
      <c r="B287" t="s">
        <v>112</v>
      </c>
      <c r="D287" s="238">
        <v>4.6566128730773926E-10</v>
      </c>
      <c r="E287" s="218">
        <v>0</v>
      </c>
      <c r="F287" s="239"/>
      <c r="G287" s="218">
        <v>1916821.5240556777</v>
      </c>
      <c r="H287" s="239"/>
      <c r="I287" s="238">
        <v>1916821.5240556782</v>
      </c>
      <c r="J287" s="238"/>
      <c r="K287" s="205">
        <v>1916821.5240556782</v>
      </c>
      <c r="L287" s="238">
        <v>1714830.161586774</v>
      </c>
      <c r="M287" s="238">
        <v>0</v>
      </c>
      <c r="N287" s="308"/>
      <c r="O287" s="205">
        <v>37071.960148134749</v>
      </c>
      <c r="P287" s="205">
        <v>201991.36246890458</v>
      </c>
      <c r="Q287" s="238">
        <v>1916821.5240556786</v>
      </c>
      <c r="R287" s="67">
        <v>2020</v>
      </c>
      <c r="S287" s="2">
        <f t="shared" si="12"/>
        <v>0</v>
      </c>
      <c r="T287">
        <f>VLOOKUP(A287,'Groupe de branches'!$Z$27:$AM$86,14,FALSE)</f>
        <v>0</v>
      </c>
      <c r="U287">
        <f>VLOOKUP(A287,'Groupe de branches'!$Z$27:$AM$86,14,FALSE)</f>
        <v>0</v>
      </c>
      <c r="W287" s="2"/>
      <c r="Z287" s="117">
        <f t="shared" si="11"/>
        <v>-4.5825771546494698E-2</v>
      </c>
      <c r="AA287" s="189"/>
    </row>
    <row r="288" spans="1:28" ht="15.75" thickBot="1" x14ac:dyDescent="0.3">
      <c r="A288" s="24" t="s">
        <v>106</v>
      </c>
      <c r="B288" t="s">
        <v>125</v>
      </c>
      <c r="D288" s="238">
        <v>0</v>
      </c>
      <c r="E288" s="218">
        <v>202314.99723005228</v>
      </c>
      <c r="F288" s="239"/>
      <c r="G288" s="218">
        <v>211417.10344490127</v>
      </c>
      <c r="H288" s="239"/>
      <c r="I288" s="238">
        <v>413732.10067495354</v>
      </c>
      <c r="J288" s="238"/>
      <c r="K288" s="205">
        <v>413732.10067495354</v>
      </c>
      <c r="L288" s="238">
        <v>0</v>
      </c>
      <c r="M288" s="238">
        <v>0</v>
      </c>
      <c r="N288" s="308"/>
      <c r="O288" s="205">
        <v>2890.8502987688526</v>
      </c>
      <c r="P288" s="205">
        <v>413732.10067495366</v>
      </c>
      <c r="Q288" s="238">
        <v>413732.10067495366</v>
      </c>
      <c r="R288" s="67">
        <v>2020</v>
      </c>
      <c r="S288" s="2">
        <f t="shared" si="12"/>
        <v>0</v>
      </c>
      <c r="T288">
        <f>VLOOKUP(A288,'Groupe de branches'!$Z$27:$AM$86,14,FALSE)</f>
        <v>0</v>
      </c>
      <c r="U288">
        <f>VLOOKUP(A288,'Groupe de branches'!$Z$27:$AM$86,14,FALSE)</f>
        <v>0</v>
      </c>
      <c r="W288" s="2"/>
      <c r="Z288" s="117">
        <f t="shared" si="11"/>
        <v>-4.5825771546494365E-2</v>
      </c>
      <c r="AA288" s="189"/>
    </row>
    <row r="289" spans="1:27" x14ac:dyDescent="0.25">
      <c r="A289" s="24" t="s">
        <v>107</v>
      </c>
      <c r="B289" t="s">
        <v>112</v>
      </c>
      <c r="D289" s="238">
        <v>-2.3283064365386963E-10</v>
      </c>
      <c r="E289" s="218">
        <v>0</v>
      </c>
      <c r="F289" s="239"/>
      <c r="G289" s="218">
        <v>616870.4861555713</v>
      </c>
      <c r="H289" s="239"/>
      <c r="I289" s="238">
        <v>616870.48615557107</v>
      </c>
      <c r="J289" s="238"/>
      <c r="K289" s="205">
        <v>616870.48615557107</v>
      </c>
      <c r="L289" s="238">
        <v>616870.48615557107</v>
      </c>
      <c r="M289" s="238">
        <v>0</v>
      </c>
      <c r="N289" s="308"/>
      <c r="O289" s="205">
        <v>10645.64559503125</v>
      </c>
      <c r="P289" s="205">
        <v>0</v>
      </c>
      <c r="Q289" s="238">
        <v>616870.48615557107</v>
      </c>
      <c r="R289" s="67">
        <v>2020</v>
      </c>
      <c r="S289" s="2">
        <f t="shared" si="12"/>
        <v>0</v>
      </c>
      <c r="T289">
        <f>VLOOKUP(A289,'Groupe de branches'!$Z$27:$AM$86,14,FALSE)</f>
        <v>0</v>
      </c>
      <c r="U289">
        <f>VLOOKUP(A289,'Groupe de branches'!$Z$27:$AM$86,14,FALSE)</f>
        <v>0</v>
      </c>
      <c r="W289" s="2"/>
      <c r="Z289" s="117">
        <f t="shared" si="11"/>
        <v>-4.5825771546494143E-2</v>
      </c>
      <c r="AA289" s="189"/>
    </row>
    <row r="290" spans="1:27" hidden="1" x14ac:dyDescent="0.25">
      <c r="H290" s="237"/>
    </row>
    <row r="291" spans="1:27" s="118" customFormat="1" ht="15.75" hidden="1" thickBot="1" x14ac:dyDescent="0.3">
      <c r="D291" s="2"/>
      <c r="E291" s="2"/>
      <c r="F291"/>
      <c r="G291" s="2"/>
      <c r="H291"/>
      <c r="I291" s="2"/>
      <c r="J291" s="2"/>
      <c r="K291" s="2"/>
      <c r="L291" s="2"/>
      <c r="M291" s="2"/>
      <c r="N291" s="2"/>
      <c r="O291" s="2"/>
      <c r="P291" s="2"/>
      <c r="Q291" s="2"/>
      <c r="R291"/>
      <c r="S291"/>
      <c r="V291"/>
      <c r="W291"/>
    </row>
    <row r="292" spans="1:27" hidden="1" x14ac:dyDescent="0.25">
      <c r="A292" s="24" t="s">
        <v>80</v>
      </c>
      <c r="F292"/>
      <c r="H292"/>
      <c r="R292"/>
      <c r="T292" s="2"/>
      <c r="U292" s="2"/>
    </row>
    <row r="293" spans="1:27" hidden="1" x14ac:dyDescent="0.25">
      <c r="A293" s="29" t="s">
        <v>0</v>
      </c>
      <c r="F293"/>
      <c r="H293" t="s">
        <v>61</v>
      </c>
      <c r="I293" s="2">
        <v>1553689</v>
      </c>
      <c r="R293"/>
      <c r="T293" s="2"/>
      <c r="U293" s="2"/>
    </row>
    <row r="294" spans="1:27" hidden="1" x14ac:dyDescent="0.25">
      <c r="A294" s="29" t="s">
        <v>1</v>
      </c>
      <c r="F294"/>
      <c r="H294"/>
      <c r="R294"/>
      <c r="T294" s="2"/>
      <c r="U294" s="2"/>
    </row>
    <row r="295" spans="1:27" hidden="1" x14ac:dyDescent="0.25">
      <c r="A295" s="29" t="s">
        <v>2</v>
      </c>
      <c r="F295"/>
      <c r="H295" t="s">
        <v>262</v>
      </c>
      <c r="I295" s="2">
        <v>599114</v>
      </c>
      <c r="R295"/>
      <c r="T295" s="2"/>
      <c r="U295" s="2"/>
    </row>
    <row r="296" spans="1:27" hidden="1" x14ac:dyDescent="0.25">
      <c r="A296" s="29" t="s">
        <v>81</v>
      </c>
      <c r="F296"/>
      <c r="H296" t="s">
        <v>263</v>
      </c>
      <c r="I296" s="2">
        <v>478912</v>
      </c>
      <c r="R296"/>
      <c r="T296" s="2"/>
      <c r="U296" s="2"/>
    </row>
    <row r="297" spans="1:27" hidden="1" x14ac:dyDescent="0.25">
      <c r="A297" s="29" t="s">
        <v>3</v>
      </c>
      <c r="F297"/>
      <c r="H297" t="s">
        <v>40</v>
      </c>
      <c r="I297" s="2">
        <v>8936</v>
      </c>
      <c r="R297"/>
      <c r="T297" s="2"/>
      <c r="U297" s="2"/>
    </row>
    <row r="298" spans="1:27" hidden="1" x14ac:dyDescent="0.25">
      <c r="A298" s="29" t="s">
        <v>59</v>
      </c>
      <c r="F298"/>
      <c r="H298" t="s">
        <v>264</v>
      </c>
      <c r="I298" s="2">
        <v>1553689</v>
      </c>
      <c r="R298"/>
      <c r="T298" s="2"/>
      <c r="U298" s="2"/>
    </row>
    <row r="299" spans="1:27" hidden="1" x14ac:dyDescent="0.25">
      <c r="A299" s="29" t="s">
        <v>4</v>
      </c>
      <c r="F299"/>
      <c r="H299"/>
      <c r="R299"/>
      <c r="T299" s="2"/>
      <c r="U299" s="2"/>
    </row>
    <row r="300" spans="1:27" hidden="1" x14ac:dyDescent="0.25">
      <c r="A300" s="29" t="s">
        <v>5</v>
      </c>
      <c r="F300"/>
      <c r="H300"/>
      <c r="R300"/>
      <c r="T300" s="2"/>
      <c r="U300" s="2"/>
    </row>
    <row r="301" spans="1:27" hidden="1" x14ac:dyDescent="0.25">
      <c r="A301" s="29" t="s">
        <v>82</v>
      </c>
      <c r="F301"/>
      <c r="H301"/>
      <c r="R301"/>
      <c r="T301" s="2"/>
      <c r="U301" s="2"/>
    </row>
    <row r="302" spans="1:27" hidden="1" x14ac:dyDescent="0.25">
      <c r="A302" s="29" t="s">
        <v>6</v>
      </c>
      <c r="F302"/>
      <c r="H302"/>
      <c r="R302"/>
      <c r="T302" s="2"/>
      <c r="U302" s="2"/>
    </row>
    <row r="303" spans="1:27" hidden="1" x14ac:dyDescent="0.25">
      <c r="A303" s="29" t="s">
        <v>7</v>
      </c>
      <c r="F303"/>
      <c r="H303"/>
      <c r="R303"/>
      <c r="T303" s="2"/>
      <c r="U303" s="2"/>
    </row>
    <row r="304" spans="1:27" hidden="1" x14ac:dyDescent="0.25">
      <c r="A304" s="29" t="s">
        <v>8</v>
      </c>
      <c r="F304"/>
      <c r="H304"/>
      <c r="R304"/>
      <c r="T304" s="2"/>
      <c r="U304" s="2"/>
    </row>
    <row r="305" spans="1:21" hidden="1" x14ac:dyDescent="0.25">
      <c r="A305" s="29" t="s">
        <v>83</v>
      </c>
      <c r="F305"/>
      <c r="H305"/>
      <c r="R305"/>
      <c r="T305" s="2"/>
      <c r="U305" s="2"/>
    </row>
    <row r="306" spans="1:21" hidden="1" x14ac:dyDescent="0.25">
      <c r="A306" s="29" t="s">
        <v>9</v>
      </c>
      <c r="F306"/>
      <c r="H306"/>
      <c r="R306"/>
      <c r="T306" s="2"/>
      <c r="U306" s="2"/>
    </row>
    <row r="307" spans="1:21" hidden="1" x14ac:dyDescent="0.25">
      <c r="A307" s="29" t="s">
        <v>10</v>
      </c>
      <c r="F307"/>
      <c r="H307"/>
      <c r="R307"/>
      <c r="T307" s="2"/>
      <c r="U307" s="2"/>
    </row>
    <row r="308" spans="1:21" hidden="1" x14ac:dyDescent="0.25">
      <c r="A308" s="29" t="s">
        <v>84</v>
      </c>
      <c r="F308"/>
      <c r="H308"/>
      <c r="R308"/>
      <c r="T308" s="2"/>
      <c r="U308" s="2"/>
    </row>
    <row r="309" spans="1:21" hidden="1" x14ac:dyDescent="0.25">
      <c r="A309" s="29" t="s">
        <v>11</v>
      </c>
      <c r="F309"/>
      <c r="H309"/>
      <c r="R309"/>
      <c r="T309" s="2"/>
      <c r="U309" s="2"/>
    </row>
    <row r="310" spans="1:21" hidden="1" x14ac:dyDescent="0.25">
      <c r="A310" s="29" t="s">
        <v>12</v>
      </c>
      <c r="F310"/>
      <c r="H310"/>
      <c r="R310"/>
      <c r="T310" s="2"/>
      <c r="U310" s="2"/>
    </row>
    <row r="311" spans="1:21" hidden="1" x14ac:dyDescent="0.25">
      <c r="A311" s="29" t="s">
        <v>13</v>
      </c>
      <c r="F311"/>
      <c r="H311"/>
      <c r="R311"/>
      <c r="T311" s="2"/>
      <c r="U311" s="2"/>
    </row>
    <row r="312" spans="1:21" hidden="1" x14ac:dyDescent="0.25">
      <c r="A312" s="29" t="s">
        <v>14</v>
      </c>
      <c r="F312"/>
      <c r="H312"/>
      <c r="R312"/>
      <c r="T312" s="2"/>
      <c r="U312" s="2"/>
    </row>
    <row r="313" spans="1:21" hidden="1" x14ac:dyDescent="0.25">
      <c r="A313" s="29" t="s">
        <v>85</v>
      </c>
      <c r="F313"/>
      <c r="H313"/>
      <c r="R313"/>
      <c r="T313" s="2"/>
      <c r="U313" s="2"/>
    </row>
    <row r="314" spans="1:21" hidden="1" x14ac:dyDescent="0.25">
      <c r="A314" s="29" t="s">
        <v>86</v>
      </c>
      <c r="F314"/>
      <c r="H314"/>
      <c r="R314"/>
      <c r="T314" s="2"/>
      <c r="U314" s="2"/>
    </row>
    <row r="315" spans="1:21" hidden="1" x14ac:dyDescent="0.25">
      <c r="A315" s="29" t="s">
        <v>87</v>
      </c>
      <c r="F315"/>
      <c r="H315"/>
      <c r="R315"/>
      <c r="T315" s="2"/>
      <c r="U315" s="2"/>
    </row>
    <row r="316" spans="1:21" hidden="1" x14ac:dyDescent="0.25">
      <c r="A316" s="29" t="s">
        <v>88</v>
      </c>
      <c r="F316"/>
      <c r="H316"/>
      <c r="R316"/>
      <c r="T316" s="2"/>
      <c r="U316" s="2"/>
    </row>
    <row r="317" spans="1:21" hidden="1" x14ac:dyDescent="0.25">
      <c r="A317" s="29" t="s">
        <v>89</v>
      </c>
      <c r="F317"/>
      <c r="H317"/>
      <c r="R317"/>
      <c r="T317" s="2"/>
      <c r="U317" s="2"/>
    </row>
    <row r="318" spans="1:21" hidden="1" x14ac:dyDescent="0.25">
      <c r="A318" s="29" t="s">
        <v>90</v>
      </c>
      <c r="F318"/>
      <c r="H318"/>
      <c r="R318"/>
      <c r="T318" s="2"/>
      <c r="U318" s="2"/>
    </row>
    <row r="319" spans="1:21" hidden="1" x14ac:dyDescent="0.25">
      <c r="A319" s="29" t="s">
        <v>15</v>
      </c>
      <c r="F319"/>
      <c r="H319"/>
      <c r="R319"/>
      <c r="T319" s="2"/>
      <c r="U319" s="2"/>
    </row>
    <row r="320" spans="1:21" hidden="1" x14ac:dyDescent="0.25">
      <c r="A320" s="29" t="s">
        <v>16</v>
      </c>
      <c r="F320"/>
      <c r="H320"/>
      <c r="R320"/>
      <c r="T320" s="2"/>
      <c r="U320" s="2"/>
    </row>
    <row r="321" spans="1:21" hidden="1" x14ac:dyDescent="0.25">
      <c r="A321" s="29" t="s">
        <v>91</v>
      </c>
      <c r="F321"/>
      <c r="H321"/>
      <c r="R321"/>
      <c r="T321" s="2"/>
      <c r="U321" s="2"/>
    </row>
    <row r="322" spans="1:21" hidden="1" x14ac:dyDescent="0.25">
      <c r="A322" s="29" t="s">
        <v>17</v>
      </c>
      <c r="F322"/>
      <c r="H322"/>
      <c r="R322"/>
      <c r="T322" s="2"/>
      <c r="U322" s="2"/>
    </row>
    <row r="323" spans="1:21" hidden="1" x14ac:dyDescent="0.25">
      <c r="A323" s="29" t="s">
        <v>18</v>
      </c>
      <c r="F323"/>
      <c r="H323"/>
      <c r="R323"/>
      <c r="T323" s="2"/>
      <c r="U323" s="2"/>
    </row>
    <row r="324" spans="1:21" hidden="1" x14ac:dyDescent="0.25">
      <c r="A324" s="29" t="s">
        <v>92</v>
      </c>
      <c r="F324"/>
      <c r="H324"/>
      <c r="R324"/>
      <c r="T324" s="2"/>
      <c r="U324" s="2"/>
    </row>
    <row r="325" spans="1:21" hidden="1" x14ac:dyDescent="0.25">
      <c r="A325" s="29" t="s">
        <v>93</v>
      </c>
      <c r="F325"/>
      <c r="H325"/>
      <c r="R325"/>
      <c r="T325" s="2"/>
      <c r="U325" s="2"/>
    </row>
    <row r="326" spans="1:21" hidden="1" x14ac:dyDescent="0.25">
      <c r="A326" s="29" t="s">
        <v>94</v>
      </c>
      <c r="F326"/>
      <c r="H326"/>
      <c r="R326"/>
      <c r="T326" s="2"/>
      <c r="U326" s="2"/>
    </row>
    <row r="327" spans="1:21" hidden="1" x14ac:dyDescent="0.25">
      <c r="A327" s="29" t="s">
        <v>95</v>
      </c>
      <c r="F327"/>
      <c r="H327"/>
      <c r="R327"/>
      <c r="T327" s="2"/>
      <c r="U327" s="2"/>
    </row>
    <row r="328" spans="1:21" hidden="1" x14ac:dyDescent="0.25">
      <c r="A328" s="29" t="s">
        <v>96</v>
      </c>
      <c r="F328"/>
      <c r="H328"/>
      <c r="R328"/>
      <c r="T328" s="2"/>
      <c r="U328" s="2"/>
    </row>
    <row r="329" spans="1:21" hidden="1" x14ac:dyDescent="0.25">
      <c r="A329" s="29" t="s">
        <v>97</v>
      </c>
      <c r="F329"/>
      <c r="H329"/>
      <c r="R329"/>
      <c r="T329" s="2"/>
      <c r="U329" s="2"/>
    </row>
    <row r="330" spans="1:21" hidden="1" x14ac:dyDescent="0.25">
      <c r="A330" s="29" t="s">
        <v>98</v>
      </c>
      <c r="F330"/>
      <c r="H330"/>
      <c r="R330"/>
      <c r="T330" s="2"/>
      <c r="U330" s="2"/>
    </row>
    <row r="331" spans="1:21" hidden="1" x14ac:dyDescent="0.25">
      <c r="A331" s="29" t="s">
        <v>99</v>
      </c>
      <c r="F331"/>
      <c r="H331"/>
      <c r="R331"/>
      <c r="T331" s="2"/>
      <c r="U331" s="2"/>
    </row>
    <row r="332" spans="1:21" hidden="1" x14ac:dyDescent="0.25">
      <c r="A332" s="29" t="s">
        <v>100</v>
      </c>
      <c r="F332"/>
      <c r="H332"/>
      <c r="R332"/>
      <c r="T332" s="2"/>
      <c r="U332" s="2"/>
    </row>
    <row r="333" spans="1:21" hidden="1" x14ac:dyDescent="0.25">
      <c r="A333" s="29" t="s">
        <v>101</v>
      </c>
      <c r="F333"/>
      <c r="H333"/>
      <c r="R333"/>
      <c r="T333" s="2"/>
      <c r="U333" s="2"/>
    </row>
    <row r="334" spans="1:21" hidden="1" x14ac:dyDescent="0.25">
      <c r="A334" s="29" t="s">
        <v>102</v>
      </c>
      <c r="F334"/>
      <c r="H334"/>
      <c r="R334"/>
      <c r="T334" s="2"/>
      <c r="U334" s="2"/>
    </row>
    <row r="335" spans="1:21" hidden="1" x14ac:dyDescent="0.25">
      <c r="A335" s="29" t="s">
        <v>103</v>
      </c>
      <c r="F335"/>
      <c r="H335"/>
      <c r="R335"/>
      <c r="T335" s="2"/>
      <c r="U335" s="2"/>
    </row>
    <row r="336" spans="1:21" hidden="1" x14ac:dyDescent="0.25">
      <c r="A336" s="29" t="s">
        <v>19</v>
      </c>
      <c r="F336"/>
      <c r="H336"/>
      <c r="R336"/>
      <c r="T336" s="2"/>
      <c r="U336" s="2"/>
    </row>
    <row r="337" spans="1:21" hidden="1" x14ac:dyDescent="0.25">
      <c r="A337" s="29" t="s">
        <v>20</v>
      </c>
      <c r="F337"/>
      <c r="H337"/>
      <c r="R337"/>
      <c r="T337" s="2"/>
      <c r="U337" s="2"/>
    </row>
    <row r="338" spans="1:21" hidden="1" x14ac:dyDescent="0.25">
      <c r="A338" s="29" t="s">
        <v>21</v>
      </c>
      <c r="F338"/>
      <c r="H338"/>
      <c r="R338"/>
      <c r="T338" s="2"/>
      <c r="U338" s="2"/>
    </row>
    <row r="339" spans="1:21" hidden="1" x14ac:dyDescent="0.25">
      <c r="A339" s="29" t="s">
        <v>22</v>
      </c>
      <c r="F339"/>
      <c r="H339"/>
      <c r="R339"/>
      <c r="T339" s="2"/>
      <c r="U339" s="2"/>
    </row>
    <row r="340" spans="1:21" hidden="1" x14ac:dyDescent="0.25">
      <c r="A340" s="29" t="s">
        <v>23</v>
      </c>
      <c r="F340"/>
      <c r="H340"/>
      <c r="R340"/>
      <c r="T340" s="2"/>
      <c r="U340" s="2"/>
    </row>
    <row r="341" spans="1:21" hidden="1" x14ac:dyDescent="0.25">
      <c r="A341" s="29" t="s">
        <v>24</v>
      </c>
      <c r="F341"/>
      <c r="H341"/>
      <c r="R341"/>
      <c r="T341" s="2"/>
      <c r="U341" s="2"/>
    </row>
    <row r="342" spans="1:21" hidden="1" x14ac:dyDescent="0.25">
      <c r="A342" s="29" t="s">
        <v>25</v>
      </c>
      <c r="F342"/>
      <c r="H342"/>
      <c r="R342"/>
      <c r="T342" s="2"/>
      <c r="U342" s="2"/>
    </row>
    <row r="343" spans="1:21" hidden="1" x14ac:dyDescent="0.25">
      <c r="A343" s="29" t="s">
        <v>26</v>
      </c>
      <c r="F343"/>
      <c r="H343"/>
      <c r="R343"/>
      <c r="T343" s="2"/>
      <c r="U343" s="2"/>
    </row>
    <row r="344" spans="1:21" hidden="1" x14ac:dyDescent="0.25">
      <c r="A344" s="29" t="s">
        <v>27</v>
      </c>
      <c r="F344"/>
      <c r="H344"/>
      <c r="R344"/>
      <c r="T344" s="2"/>
      <c r="U344" s="2"/>
    </row>
    <row r="345" spans="1:21" hidden="1" x14ac:dyDescent="0.25">
      <c r="A345" s="29" t="s">
        <v>104</v>
      </c>
      <c r="F345"/>
      <c r="H345"/>
      <c r="R345"/>
      <c r="T345" s="2"/>
      <c r="U345" s="2"/>
    </row>
    <row r="346" spans="1:21" hidden="1" x14ac:dyDescent="0.25">
      <c r="A346" s="29" t="s">
        <v>105</v>
      </c>
      <c r="F346"/>
      <c r="H346"/>
      <c r="R346"/>
      <c r="T346" s="2"/>
      <c r="U346" s="2"/>
    </row>
    <row r="347" spans="1:21" hidden="1" x14ac:dyDescent="0.25">
      <c r="A347" s="29" t="s">
        <v>106</v>
      </c>
      <c r="F347"/>
      <c r="H347"/>
      <c r="R347"/>
      <c r="T347" s="2"/>
      <c r="U347" s="2"/>
    </row>
    <row r="348" spans="1:21" hidden="1" x14ac:dyDescent="0.25">
      <c r="A348" s="29" t="s">
        <v>107</v>
      </c>
      <c r="F348"/>
      <c r="H348"/>
      <c r="R348"/>
      <c r="T348" s="2"/>
      <c r="U348" s="2"/>
    </row>
    <row r="349" spans="1:21" x14ac:dyDescent="0.25">
      <c r="F349"/>
      <c r="H349"/>
      <c r="R349"/>
      <c r="T349" s="2"/>
      <c r="U349" s="2"/>
    </row>
  </sheetData>
  <phoneticPr fontId="29" type="noConversion"/>
  <conditionalFormatting sqref="Z233">
    <cfRule type="cellIs" dxfId="1" priority="2" operator="greaterThan">
      <formula>0</formula>
    </cfRule>
  </conditionalFormatting>
  <conditionalFormatting sqref="Z234:Z289">
    <cfRule type="cellIs" dxfId="0" priority="1" operator="greaterThan">
      <formula>0</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3"/>
  <dimension ref="A1:U63"/>
  <sheetViews>
    <sheetView topLeftCell="M1" workbookViewId="0">
      <selection activeCell="X30" sqref="X30"/>
    </sheetView>
  </sheetViews>
  <sheetFormatPr baseColWidth="10" defaultRowHeight="15" x14ac:dyDescent="0.25"/>
  <cols>
    <col min="2" max="2" width="35.5703125" customWidth="1"/>
    <col min="3" max="3" width="30.42578125" customWidth="1"/>
    <col min="13" max="13" width="28.85546875" customWidth="1"/>
  </cols>
  <sheetData>
    <row r="1" spans="1:21" x14ac:dyDescent="0.25">
      <c r="B1" t="s">
        <v>150</v>
      </c>
      <c r="H1" t="s">
        <v>113</v>
      </c>
      <c r="M1" t="s">
        <v>149</v>
      </c>
    </row>
    <row r="3" spans="1:21" x14ac:dyDescent="0.25">
      <c r="A3" t="s">
        <v>154</v>
      </c>
      <c r="B3" t="s">
        <v>169</v>
      </c>
      <c r="C3" t="s">
        <v>41</v>
      </c>
      <c r="D3" t="s">
        <v>42</v>
      </c>
      <c r="E3" t="s">
        <v>170</v>
      </c>
      <c r="M3" t="s">
        <v>74</v>
      </c>
      <c r="N3" t="s">
        <v>148</v>
      </c>
      <c r="O3" t="s">
        <v>147</v>
      </c>
      <c r="P3" t="s">
        <v>146</v>
      </c>
      <c r="Q3" t="s">
        <v>113</v>
      </c>
      <c r="R3" s="180" t="s">
        <v>266</v>
      </c>
      <c r="S3" s="126" t="s">
        <v>278</v>
      </c>
      <c r="T3" s="180" t="s">
        <v>287</v>
      </c>
      <c r="U3" s="180" t="s">
        <v>288</v>
      </c>
    </row>
    <row r="4" spans="1:21" x14ac:dyDescent="0.25">
      <c r="A4" t="str">
        <f>LEFT(B4,3)</f>
        <v xml:space="preserve">01 </v>
      </c>
      <c r="B4" t="s">
        <v>80</v>
      </c>
      <c r="D4" t="s">
        <v>138</v>
      </c>
      <c r="E4" t="s">
        <v>80</v>
      </c>
      <c r="H4" t="s">
        <v>80</v>
      </c>
      <c r="M4" t="s">
        <v>80</v>
      </c>
      <c r="N4" t="s">
        <v>145</v>
      </c>
      <c r="O4" t="s">
        <v>145</v>
      </c>
      <c r="P4" t="s">
        <v>125</v>
      </c>
      <c r="Q4" t="s">
        <v>122</v>
      </c>
      <c r="R4" s="115" t="s">
        <v>265</v>
      </c>
      <c r="T4" s="115" t="s">
        <v>136</v>
      </c>
      <c r="U4" s="115" t="s">
        <v>142</v>
      </c>
    </row>
    <row r="5" spans="1:21" x14ac:dyDescent="0.25">
      <c r="A5" t="str">
        <f t="shared" ref="A5:A63" si="0">LEFT(B5,3)</f>
        <v xml:space="preserve">02 </v>
      </c>
      <c r="B5" t="s">
        <v>0</v>
      </c>
      <c r="C5" t="s">
        <v>136</v>
      </c>
      <c r="D5" t="s">
        <v>138</v>
      </c>
      <c r="E5" t="s">
        <v>0</v>
      </c>
      <c r="H5" t="s">
        <v>0</v>
      </c>
      <c r="M5" t="s">
        <v>0</v>
      </c>
      <c r="N5" t="s">
        <v>145</v>
      </c>
      <c r="O5" t="s">
        <v>145</v>
      </c>
      <c r="P5" t="s">
        <v>125</v>
      </c>
      <c r="Q5" t="s">
        <v>122</v>
      </c>
      <c r="R5" s="115" t="s">
        <v>265</v>
      </c>
      <c r="T5" s="115" t="s">
        <v>136</v>
      </c>
      <c r="U5" s="115" t="s">
        <v>142</v>
      </c>
    </row>
    <row r="6" spans="1:21" x14ac:dyDescent="0.25">
      <c r="A6" t="str">
        <f t="shared" si="0"/>
        <v xml:space="preserve">03 </v>
      </c>
      <c r="B6" t="s">
        <v>1</v>
      </c>
      <c r="C6" t="s">
        <v>136</v>
      </c>
      <c r="D6" t="s">
        <v>138</v>
      </c>
      <c r="E6" t="s">
        <v>1</v>
      </c>
      <c r="H6" t="s">
        <v>1</v>
      </c>
      <c r="M6" t="s">
        <v>1</v>
      </c>
      <c r="N6" t="s">
        <v>145</v>
      </c>
      <c r="O6" t="s">
        <v>145</v>
      </c>
      <c r="P6" t="s">
        <v>125</v>
      </c>
      <c r="Q6" t="s">
        <v>122</v>
      </c>
      <c r="R6" s="115" t="s">
        <v>265</v>
      </c>
      <c r="T6" s="115" t="s">
        <v>136</v>
      </c>
      <c r="U6" s="115" t="s">
        <v>142</v>
      </c>
    </row>
    <row r="7" spans="1:21" x14ac:dyDescent="0.25">
      <c r="A7" t="str">
        <f t="shared" si="0"/>
        <v xml:space="preserve">04 </v>
      </c>
      <c r="B7" t="s">
        <v>2</v>
      </c>
      <c r="C7" t="s">
        <v>136</v>
      </c>
      <c r="D7" t="s">
        <v>138</v>
      </c>
      <c r="E7" t="s">
        <v>2</v>
      </c>
      <c r="H7" t="s">
        <v>2</v>
      </c>
      <c r="M7" t="s">
        <v>2</v>
      </c>
      <c r="N7" t="s">
        <v>145</v>
      </c>
      <c r="O7" t="s">
        <v>145</v>
      </c>
      <c r="P7" t="s">
        <v>125</v>
      </c>
      <c r="Q7" t="s">
        <v>122</v>
      </c>
      <c r="R7" s="115" t="s">
        <v>265</v>
      </c>
      <c r="S7" t="s">
        <v>273</v>
      </c>
      <c r="T7" s="115" t="s">
        <v>136</v>
      </c>
      <c r="U7" s="115" t="s">
        <v>142</v>
      </c>
    </row>
    <row r="8" spans="1:21" x14ac:dyDescent="0.25">
      <c r="A8" t="str">
        <f t="shared" si="0"/>
        <v xml:space="preserve">05 </v>
      </c>
      <c r="B8" t="s">
        <v>81</v>
      </c>
      <c r="C8" t="s">
        <v>138</v>
      </c>
      <c r="D8" t="s">
        <v>138</v>
      </c>
      <c r="E8" t="s">
        <v>81</v>
      </c>
      <c r="H8" t="s">
        <v>81</v>
      </c>
      <c r="M8" t="s">
        <v>81</v>
      </c>
      <c r="N8" t="s">
        <v>141</v>
      </c>
      <c r="O8" t="s">
        <v>142</v>
      </c>
      <c r="P8" t="s">
        <v>125</v>
      </c>
      <c r="Q8" t="s">
        <v>122</v>
      </c>
      <c r="R8" s="115" t="s">
        <v>265</v>
      </c>
      <c r="T8" s="115" t="s">
        <v>142</v>
      </c>
      <c r="U8" s="115" t="s">
        <v>142</v>
      </c>
    </row>
    <row r="9" spans="1:21" x14ac:dyDescent="0.25">
      <c r="A9" t="str">
        <f t="shared" si="0"/>
        <v xml:space="preserve">06 </v>
      </c>
      <c r="B9" t="s">
        <v>3</v>
      </c>
      <c r="C9" t="s">
        <v>138</v>
      </c>
      <c r="D9" t="s">
        <v>138</v>
      </c>
      <c r="E9" t="s">
        <v>3</v>
      </c>
      <c r="H9" t="s">
        <v>3</v>
      </c>
      <c r="M9" t="s">
        <v>3</v>
      </c>
      <c r="N9" t="s">
        <v>141</v>
      </c>
      <c r="O9" t="s">
        <v>142</v>
      </c>
      <c r="P9" t="s">
        <v>125</v>
      </c>
      <c r="Q9" t="s">
        <v>122</v>
      </c>
      <c r="R9" s="115" t="s">
        <v>265</v>
      </c>
      <c r="T9" s="115" t="s">
        <v>142</v>
      </c>
      <c r="U9" s="115" t="s">
        <v>142</v>
      </c>
    </row>
    <row r="10" spans="1:21" x14ac:dyDescent="0.25">
      <c r="A10" t="str">
        <f t="shared" si="0"/>
        <v xml:space="preserve">07 </v>
      </c>
      <c r="B10" t="s">
        <v>59</v>
      </c>
      <c r="C10" t="s">
        <v>138</v>
      </c>
      <c r="D10" t="s">
        <v>138</v>
      </c>
      <c r="E10" t="s">
        <v>59</v>
      </c>
      <c r="H10" t="s">
        <v>59</v>
      </c>
      <c r="M10" t="s">
        <v>59</v>
      </c>
      <c r="N10" t="s">
        <v>143</v>
      </c>
      <c r="O10" t="s">
        <v>143</v>
      </c>
      <c r="P10" t="s">
        <v>125</v>
      </c>
      <c r="Q10" t="s">
        <v>122</v>
      </c>
      <c r="R10" s="115" t="s">
        <v>142</v>
      </c>
      <c r="S10" t="s">
        <v>274</v>
      </c>
      <c r="T10" s="115" t="s">
        <v>142</v>
      </c>
      <c r="U10" s="115" t="s">
        <v>142</v>
      </c>
    </row>
    <row r="11" spans="1:21" x14ac:dyDescent="0.25">
      <c r="A11" t="str">
        <f t="shared" si="0"/>
        <v xml:space="preserve">08 </v>
      </c>
      <c r="B11" t="s">
        <v>4</v>
      </c>
      <c r="C11" t="s">
        <v>138</v>
      </c>
      <c r="D11" t="s">
        <v>138</v>
      </c>
      <c r="E11" t="s">
        <v>4</v>
      </c>
      <c r="H11" t="s">
        <v>4</v>
      </c>
      <c r="M11" t="s">
        <v>4</v>
      </c>
      <c r="N11" t="s">
        <v>142</v>
      </c>
      <c r="O11" t="s">
        <v>142</v>
      </c>
      <c r="P11" t="s">
        <v>125</v>
      </c>
      <c r="Q11" t="s">
        <v>122</v>
      </c>
      <c r="R11" s="115" t="s">
        <v>142</v>
      </c>
      <c r="T11" s="115" t="s">
        <v>142</v>
      </c>
      <c r="U11" s="115" t="s">
        <v>142</v>
      </c>
    </row>
    <row r="12" spans="1:21" x14ac:dyDescent="0.25">
      <c r="A12" t="str">
        <f t="shared" si="0"/>
        <v xml:space="preserve">09 </v>
      </c>
      <c r="B12" t="s">
        <v>5</v>
      </c>
      <c r="C12" t="s">
        <v>138</v>
      </c>
      <c r="D12" t="s">
        <v>138</v>
      </c>
      <c r="E12" t="s">
        <v>5</v>
      </c>
      <c r="H12" t="s">
        <v>5</v>
      </c>
      <c r="M12" t="s">
        <v>5</v>
      </c>
      <c r="N12" t="s">
        <v>142</v>
      </c>
      <c r="O12" t="s">
        <v>142</v>
      </c>
      <c r="P12" t="s">
        <v>125</v>
      </c>
      <c r="Q12" t="s">
        <v>122</v>
      </c>
      <c r="R12" s="115" t="s">
        <v>142</v>
      </c>
      <c r="T12" s="115" t="s">
        <v>142</v>
      </c>
      <c r="U12" s="115" t="s">
        <v>142</v>
      </c>
    </row>
    <row r="13" spans="1:21" x14ac:dyDescent="0.25">
      <c r="A13" t="str">
        <f t="shared" si="0"/>
        <v xml:space="preserve">10 </v>
      </c>
      <c r="B13" t="s">
        <v>82</v>
      </c>
      <c r="C13" t="s">
        <v>138</v>
      </c>
      <c r="D13" t="s">
        <v>138</v>
      </c>
      <c r="E13" t="s">
        <v>82</v>
      </c>
      <c r="H13" t="s">
        <v>82</v>
      </c>
      <c r="M13" t="s">
        <v>82</v>
      </c>
      <c r="N13" t="s">
        <v>142</v>
      </c>
      <c r="O13" t="s">
        <v>142</v>
      </c>
      <c r="P13" t="s">
        <v>125</v>
      </c>
      <c r="Q13" t="s">
        <v>122</v>
      </c>
      <c r="R13" s="115" t="s">
        <v>142</v>
      </c>
      <c r="T13" s="115" t="s">
        <v>142</v>
      </c>
      <c r="U13" s="115" t="s">
        <v>142</v>
      </c>
    </row>
    <row r="14" spans="1:21" x14ac:dyDescent="0.25">
      <c r="A14" t="str">
        <f t="shared" si="0"/>
        <v xml:space="preserve">11 </v>
      </c>
      <c r="B14" t="s">
        <v>6</v>
      </c>
      <c r="C14" t="s">
        <v>138</v>
      </c>
      <c r="D14" t="s">
        <v>138</v>
      </c>
      <c r="E14" t="s">
        <v>6</v>
      </c>
      <c r="H14" t="s">
        <v>6</v>
      </c>
      <c r="M14" t="s">
        <v>6</v>
      </c>
      <c r="N14" t="s">
        <v>142</v>
      </c>
      <c r="O14" t="s">
        <v>142</v>
      </c>
      <c r="P14" t="s">
        <v>125</v>
      </c>
      <c r="Q14" t="s">
        <v>122</v>
      </c>
      <c r="R14" s="115" t="s">
        <v>142</v>
      </c>
      <c r="T14" s="115" t="s">
        <v>142</v>
      </c>
      <c r="U14" s="115" t="s">
        <v>142</v>
      </c>
    </row>
    <row r="15" spans="1:21" x14ac:dyDescent="0.25">
      <c r="A15" t="str">
        <f t="shared" si="0"/>
        <v xml:space="preserve">12 </v>
      </c>
      <c r="B15" t="s">
        <v>7</v>
      </c>
      <c r="C15" t="s">
        <v>138</v>
      </c>
      <c r="D15" t="s">
        <v>138</v>
      </c>
      <c r="E15" t="s">
        <v>7</v>
      </c>
      <c r="H15" t="s">
        <v>7</v>
      </c>
      <c r="M15" t="s">
        <v>7</v>
      </c>
      <c r="N15" t="s">
        <v>142</v>
      </c>
      <c r="O15" t="s">
        <v>142</v>
      </c>
      <c r="P15" t="s">
        <v>125</v>
      </c>
      <c r="Q15" t="s">
        <v>122</v>
      </c>
      <c r="R15" s="115" t="s">
        <v>142</v>
      </c>
      <c r="T15" s="115" t="s">
        <v>142</v>
      </c>
      <c r="U15" s="115" t="s">
        <v>142</v>
      </c>
    </row>
    <row r="16" spans="1:21" x14ac:dyDescent="0.25">
      <c r="A16" t="str">
        <f t="shared" si="0"/>
        <v xml:space="preserve">13 </v>
      </c>
      <c r="B16" t="s">
        <v>8</v>
      </c>
      <c r="C16" t="s">
        <v>138</v>
      </c>
      <c r="D16" t="s">
        <v>138</v>
      </c>
      <c r="E16" t="s">
        <v>8</v>
      </c>
      <c r="H16" t="s">
        <v>8</v>
      </c>
      <c r="M16" t="s">
        <v>8</v>
      </c>
      <c r="N16" t="s">
        <v>142</v>
      </c>
      <c r="O16" t="s">
        <v>142</v>
      </c>
      <c r="P16" t="s">
        <v>125</v>
      </c>
      <c r="Q16" t="s">
        <v>122</v>
      </c>
      <c r="R16" s="115" t="s">
        <v>142</v>
      </c>
      <c r="T16" s="115" t="s">
        <v>142</v>
      </c>
      <c r="U16" s="115" t="s">
        <v>142</v>
      </c>
    </row>
    <row r="17" spans="1:21" x14ac:dyDescent="0.25">
      <c r="A17" t="str">
        <f t="shared" si="0"/>
        <v xml:space="preserve">14 </v>
      </c>
      <c r="B17" t="s">
        <v>83</v>
      </c>
      <c r="C17" t="s">
        <v>138</v>
      </c>
      <c r="D17" t="s">
        <v>138</v>
      </c>
      <c r="E17" t="s">
        <v>83</v>
      </c>
      <c r="H17" t="s">
        <v>83</v>
      </c>
      <c r="M17" t="s">
        <v>83</v>
      </c>
      <c r="N17" t="s">
        <v>142</v>
      </c>
      <c r="O17" t="s">
        <v>142</v>
      </c>
      <c r="P17" t="s">
        <v>125</v>
      </c>
      <c r="Q17" t="s">
        <v>122</v>
      </c>
      <c r="R17" s="115" t="s">
        <v>142</v>
      </c>
      <c r="T17" s="115" t="s">
        <v>142</v>
      </c>
      <c r="U17" s="115" t="s">
        <v>142</v>
      </c>
    </row>
    <row r="18" spans="1:21" x14ac:dyDescent="0.25">
      <c r="A18" t="str">
        <f t="shared" si="0"/>
        <v xml:space="preserve">15 </v>
      </c>
      <c r="B18" t="s">
        <v>9</v>
      </c>
      <c r="C18" t="s">
        <v>138</v>
      </c>
      <c r="D18" t="s">
        <v>138</v>
      </c>
      <c r="E18" t="s">
        <v>9</v>
      </c>
      <c r="H18" t="s">
        <v>9</v>
      </c>
      <c r="M18" t="s">
        <v>9</v>
      </c>
      <c r="N18" t="s">
        <v>142</v>
      </c>
      <c r="O18" t="s">
        <v>142</v>
      </c>
      <c r="P18" t="s">
        <v>125</v>
      </c>
      <c r="Q18" t="s">
        <v>122</v>
      </c>
      <c r="R18" s="115" t="s">
        <v>142</v>
      </c>
      <c r="T18" s="115" t="s">
        <v>142</v>
      </c>
      <c r="U18" s="115" t="s">
        <v>142</v>
      </c>
    </row>
    <row r="19" spans="1:21" x14ac:dyDescent="0.25">
      <c r="A19" t="str">
        <f t="shared" si="0"/>
        <v xml:space="preserve">16 </v>
      </c>
      <c r="B19" t="s">
        <v>10</v>
      </c>
      <c r="C19" t="s">
        <v>138</v>
      </c>
      <c r="D19" t="s">
        <v>138</v>
      </c>
      <c r="E19" t="s">
        <v>10</v>
      </c>
      <c r="H19" t="s">
        <v>10</v>
      </c>
      <c r="M19" t="s">
        <v>10</v>
      </c>
      <c r="N19" t="s">
        <v>142</v>
      </c>
      <c r="O19" t="s">
        <v>142</v>
      </c>
      <c r="P19" t="s">
        <v>125</v>
      </c>
      <c r="Q19" t="s">
        <v>122</v>
      </c>
      <c r="R19" s="115" t="s">
        <v>142</v>
      </c>
      <c r="S19" t="s">
        <v>272</v>
      </c>
      <c r="T19" s="115" t="s">
        <v>142</v>
      </c>
      <c r="U19" s="115" t="s">
        <v>142</v>
      </c>
    </row>
    <row r="20" spans="1:21" x14ac:dyDescent="0.25">
      <c r="A20" t="str">
        <f t="shared" si="0"/>
        <v xml:space="preserve">17 </v>
      </c>
      <c r="B20" t="s">
        <v>84</v>
      </c>
      <c r="C20" t="s">
        <v>138</v>
      </c>
      <c r="D20" t="s">
        <v>138</v>
      </c>
      <c r="E20" t="s">
        <v>84</v>
      </c>
      <c r="H20" t="s">
        <v>84</v>
      </c>
      <c r="M20" t="s">
        <v>84</v>
      </c>
      <c r="N20" t="s">
        <v>142</v>
      </c>
      <c r="O20" t="s">
        <v>142</v>
      </c>
      <c r="P20" t="s">
        <v>125</v>
      </c>
      <c r="Q20" t="s">
        <v>122</v>
      </c>
      <c r="R20" s="115" t="s">
        <v>142</v>
      </c>
      <c r="S20" t="s">
        <v>269</v>
      </c>
      <c r="T20" s="115" t="s">
        <v>142</v>
      </c>
      <c r="U20" s="115" t="s">
        <v>142</v>
      </c>
    </row>
    <row r="21" spans="1:21" x14ac:dyDescent="0.25">
      <c r="A21" t="str">
        <f t="shared" si="0"/>
        <v xml:space="preserve">18 </v>
      </c>
      <c r="B21" t="s">
        <v>11</v>
      </c>
      <c r="C21" t="s">
        <v>153</v>
      </c>
      <c r="D21" t="s">
        <v>138</v>
      </c>
      <c r="E21" t="s">
        <v>11</v>
      </c>
      <c r="H21" t="s">
        <v>11</v>
      </c>
      <c r="M21" t="s">
        <v>11</v>
      </c>
      <c r="N21" t="s">
        <v>145</v>
      </c>
      <c r="O21" t="s">
        <v>145</v>
      </c>
      <c r="P21" t="s">
        <v>125</v>
      </c>
      <c r="Q21" t="s">
        <v>122</v>
      </c>
      <c r="R21" s="115" t="s">
        <v>265</v>
      </c>
      <c r="T21" s="115" t="s">
        <v>153</v>
      </c>
      <c r="U21" s="115" t="s">
        <v>142</v>
      </c>
    </row>
    <row r="22" spans="1:21" x14ac:dyDescent="0.25">
      <c r="A22" t="str">
        <f t="shared" si="0"/>
        <v xml:space="preserve">19 </v>
      </c>
      <c r="B22" t="s">
        <v>12</v>
      </c>
      <c r="C22" t="s">
        <v>153</v>
      </c>
      <c r="D22" t="s">
        <v>138</v>
      </c>
      <c r="E22" t="s">
        <v>12</v>
      </c>
      <c r="H22" t="s">
        <v>12</v>
      </c>
      <c r="M22" t="s">
        <v>12</v>
      </c>
      <c r="N22" t="s">
        <v>145</v>
      </c>
      <c r="O22" t="s">
        <v>145</v>
      </c>
      <c r="P22" t="s">
        <v>125</v>
      </c>
      <c r="Q22" t="s">
        <v>122</v>
      </c>
      <c r="R22" s="115" t="s">
        <v>265</v>
      </c>
      <c r="S22" t="s">
        <v>273</v>
      </c>
      <c r="T22" s="115" t="s">
        <v>153</v>
      </c>
      <c r="U22" s="115" t="s">
        <v>142</v>
      </c>
    </row>
    <row r="23" spans="1:21" x14ac:dyDescent="0.25">
      <c r="A23" t="str">
        <f t="shared" si="0"/>
        <v xml:space="preserve">20 </v>
      </c>
      <c r="B23" t="s">
        <v>13</v>
      </c>
      <c r="C23" t="s">
        <v>138</v>
      </c>
      <c r="D23" t="s">
        <v>138</v>
      </c>
      <c r="E23" t="s">
        <v>13</v>
      </c>
      <c r="H23" t="s">
        <v>13</v>
      </c>
      <c r="M23" t="s">
        <v>13</v>
      </c>
      <c r="N23" t="s">
        <v>142</v>
      </c>
      <c r="O23" t="s">
        <v>142</v>
      </c>
      <c r="P23" t="s">
        <v>125</v>
      </c>
      <c r="Q23" t="s">
        <v>122</v>
      </c>
      <c r="R23" s="115" t="s">
        <v>142</v>
      </c>
      <c r="T23" s="115" t="s">
        <v>142</v>
      </c>
      <c r="U23" s="115" t="s">
        <v>142</v>
      </c>
    </row>
    <row r="24" spans="1:21" x14ac:dyDescent="0.25">
      <c r="A24" t="str">
        <f t="shared" si="0"/>
        <v>20b</v>
      </c>
      <c r="B24" t="s">
        <v>14</v>
      </c>
      <c r="C24" t="s">
        <v>138</v>
      </c>
      <c r="D24" t="s">
        <v>138</v>
      </c>
      <c r="E24" t="s">
        <v>14</v>
      </c>
      <c r="H24" t="s">
        <v>14</v>
      </c>
      <c r="M24" t="s">
        <v>14</v>
      </c>
      <c r="N24" t="s">
        <v>142</v>
      </c>
      <c r="O24" t="s">
        <v>142</v>
      </c>
      <c r="P24" t="s">
        <v>125</v>
      </c>
      <c r="Q24" t="s">
        <v>122</v>
      </c>
      <c r="R24" s="115" t="s">
        <v>142</v>
      </c>
      <c r="T24" s="115" t="s">
        <v>142</v>
      </c>
      <c r="U24" s="115" t="s">
        <v>142</v>
      </c>
    </row>
    <row r="25" spans="1:21" x14ac:dyDescent="0.25">
      <c r="A25" t="str">
        <f t="shared" si="0"/>
        <v xml:space="preserve">29 </v>
      </c>
      <c r="B25" t="s">
        <v>85</v>
      </c>
      <c r="C25" t="s">
        <v>138</v>
      </c>
      <c r="D25" t="s">
        <v>138</v>
      </c>
      <c r="E25" t="s">
        <v>85</v>
      </c>
      <c r="H25" t="s">
        <v>85</v>
      </c>
      <c r="M25" t="s">
        <v>85</v>
      </c>
      <c r="N25" t="s">
        <v>142</v>
      </c>
      <c r="O25" t="s">
        <v>142</v>
      </c>
      <c r="P25" t="s">
        <v>125</v>
      </c>
      <c r="Q25" t="s">
        <v>122</v>
      </c>
      <c r="R25" s="115" t="s">
        <v>142</v>
      </c>
      <c r="S25" t="s">
        <v>269</v>
      </c>
      <c r="T25" s="115" t="s">
        <v>142</v>
      </c>
      <c r="U25" s="115" t="s">
        <v>142</v>
      </c>
    </row>
    <row r="26" spans="1:21" x14ac:dyDescent="0.25">
      <c r="A26" t="str">
        <f t="shared" si="0"/>
        <v xml:space="preserve">30 </v>
      </c>
      <c r="B26" t="s">
        <v>86</v>
      </c>
      <c r="C26" t="s">
        <v>138</v>
      </c>
      <c r="D26" t="s">
        <v>138</v>
      </c>
      <c r="E26" t="s">
        <v>86</v>
      </c>
      <c r="H26" t="s">
        <v>86</v>
      </c>
      <c r="M26" t="s">
        <v>86</v>
      </c>
      <c r="N26" t="s">
        <v>142</v>
      </c>
      <c r="O26" t="s">
        <v>142</v>
      </c>
      <c r="P26" t="s">
        <v>125</v>
      </c>
      <c r="Q26" t="s">
        <v>122</v>
      </c>
      <c r="R26" s="115" t="s">
        <v>142</v>
      </c>
      <c r="S26" t="s">
        <v>273</v>
      </c>
      <c r="T26" s="115" t="s">
        <v>142</v>
      </c>
      <c r="U26" s="115" t="s">
        <v>142</v>
      </c>
    </row>
    <row r="27" spans="1:21" x14ac:dyDescent="0.25">
      <c r="A27" t="str">
        <f t="shared" si="0"/>
        <v xml:space="preserve">31 </v>
      </c>
      <c r="B27" t="s">
        <v>87</v>
      </c>
      <c r="C27" t="s">
        <v>138</v>
      </c>
      <c r="D27" t="s">
        <v>138</v>
      </c>
      <c r="E27" t="s">
        <v>87</v>
      </c>
      <c r="H27" t="s">
        <v>87</v>
      </c>
      <c r="M27" t="s">
        <v>87</v>
      </c>
      <c r="N27" t="s">
        <v>142</v>
      </c>
      <c r="O27" t="s">
        <v>142</v>
      </c>
      <c r="P27" t="s">
        <v>125</v>
      </c>
      <c r="Q27" t="s">
        <v>122</v>
      </c>
      <c r="R27" s="115" t="s">
        <v>142</v>
      </c>
      <c r="T27" s="115" t="s">
        <v>142</v>
      </c>
      <c r="U27" s="115" t="s">
        <v>142</v>
      </c>
    </row>
    <row r="28" spans="1:21" x14ac:dyDescent="0.25">
      <c r="A28" t="str">
        <f t="shared" si="0"/>
        <v xml:space="preserve">32 </v>
      </c>
      <c r="B28" t="s">
        <v>88</v>
      </c>
      <c r="C28" t="s">
        <v>138</v>
      </c>
      <c r="D28" t="s">
        <v>138</v>
      </c>
      <c r="E28" t="s">
        <v>88</v>
      </c>
      <c r="H28" t="s">
        <v>88</v>
      </c>
      <c r="M28" t="s">
        <v>88</v>
      </c>
      <c r="N28" t="s">
        <v>143</v>
      </c>
      <c r="O28" t="s">
        <v>143</v>
      </c>
      <c r="P28" t="s">
        <v>125</v>
      </c>
      <c r="Q28" t="s">
        <v>122</v>
      </c>
      <c r="R28" s="115" t="s">
        <v>143</v>
      </c>
      <c r="S28" t="s">
        <v>269</v>
      </c>
      <c r="T28" s="115" t="s">
        <v>143</v>
      </c>
      <c r="U28" s="115" t="s">
        <v>143</v>
      </c>
    </row>
    <row r="29" spans="1:21" x14ac:dyDescent="0.25">
      <c r="A29" t="str">
        <f t="shared" si="0"/>
        <v xml:space="preserve">33 </v>
      </c>
      <c r="B29" t="s">
        <v>89</v>
      </c>
      <c r="C29" t="s">
        <v>138</v>
      </c>
      <c r="D29" t="s">
        <v>138</v>
      </c>
      <c r="E29" t="s">
        <v>89</v>
      </c>
      <c r="H29" t="s">
        <v>89</v>
      </c>
      <c r="M29" t="s">
        <v>89</v>
      </c>
      <c r="N29" t="s">
        <v>143</v>
      </c>
      <c r="O29" t="s">
        <v>143</v>
      </c>
      <c r="P29" t="s">
        <v>125</v>
      </c>
      <c r="Q29" t="s">
        <v>122</v>
      </c>
      <c r="R29" s="115" t="s">
        <v>143</v>
      </c>
      <c r="S29" t="s">
        <v>269</v>
      </c>
      <c r="T29" s="115" t="s">
        <v>143</v>
      </c>
      <c r="U29" s="115" t="s">
        <v>143</v>
      </c>
    </row>
    <row r="30" spans="1:21" x14ac:dyDescent="0.25">
      <c r="A30" t="str">
        <f t="shared" si="0"/>
        <v xml:space="preserve">34 </v>
      </c>
      <c r="B30" t="s">
        <v>90</v>
      </c>
      <c r="C30" t="s">
        <v>138</v>
      </c>
      <c r="D30" t="s">
        <v>138</v>
      </c>
      <c r="E30" t="s">
        <v>90</v>
      </c>
      <c r="H30" t="s">
        <v>90</v>
      </c>
      <c r="M30" t="s">
        <v>90</v>
      </c>
      <c r="N30" t="s">
        <v>143</v>
      </c>
      <c r="O30" t="s">
        <v>143</v>
      </c>
      <c r="P30" t="s">
        <v>125</v>
      </c>
      <c r="Q30" t="s">
        <v>122</v>
      </c>
      <c r="R30" s="115" t="s">
        <v>143</v>
      </c>
      <c r="S30" t="s">
        <v>269</v>
      </c>
      <c r="T30" s="115" t="s">
        <v>143</v>
      </c>
      <c r="U30" s="115" t="s">
        <v>143</v>
      </c>
    </row>
    <row r="31" spans="1:21" x14ac:dyDescent="0.25">
      <c r="A31" t="str">
        <f t="shared" si="0"/>
        <v xml:space="preserve">35 </v>
      </c>
      <c r="B31" t="s">
        <v>15</v>
      </c>
      <c r="C31" t="s">
        <v>138</v>
      </c>
      <c r="D31" t="s">
        <v>138</v>
      </c>
      <c r="E31" t="s">
        <v>15</v>
      </c>
      <c r="H31" t="s">
        <v>15</v>
      </c>
      <c r="M31" t="s">
        <v>15</v>
      </c>
      <c r="N31" t="s">
        <v>143</v>
      </c>
      <c r="O31" t="s">
        <v>143</v>
      </c>
      <c r="P31" t="s">
        <v>125</v>
      </c>
      <c r="Q31" t="s">
        <v>122</v>
      </c>
      <c r="R31" s="115" t="s">
        <v>143</v>
      </c>
      <c r="S31" t="s">
        <v>269</v>
      </c>
      <c r="T31" s="115" t="s">
        <v>143</v>
      </c>
      <c r="U31" s="115" t="s">
        <v>143</v>
      </c>
    </row>
    <row r="32" spans="1:21" x14ac:dyDescent="0.25">
      <c r="A32" t="str">
        <f t="shared" si="0"/>
        <v xml:space="preserve">36 </v>
      </c>
      <c r="B32" t="s">
        <v>16</v>
      </c>
      <c r="C32" t="s">
        <v>138</v>
      </c>
      <c r="D32" t="s">
        <v>138</v>
      </c>
      <c r="E32" t="s">
        <v>16</v>
      </c>
      <c r="H32" t="s">
        <v>16</v>
      </c>
      <c r="M32" t="s">
        <v>16</v>
      </c>
      <c r="N32" t="s">
        <v>143</v>
      </c>
      <c r="O32" t="s">
        <v>143</v>
      </c>
      <c r="P32" t="s">
        <v>125</v>
      </c>
      <c r="Q32" t="s">
        <v>122</v>
      </c>
      <c r="R32" s="115" t="s">
        <v>143</v>
      </c>
      <c r="S32" t="s">
        <v>269</v>
      </c>
      <c r="T32" s="115" t="s">
        <v>143</v>
      </c>
      <c r="U32" s="115" t="s">
        <v>143</v>
      </c>
    </row>
    <row r="33" spans="1:21" x14ac:dyDescent="0.25">
      <c r="A33" t="str">
        <f t="shared" si="0"/>
        <v xml:space="preserve">37 </v>
      </c>
      <c r="B33" t="s">
        <v>91</v>
      </c>
      <c r="C33" t="s">
        <v>138</v>
      </c>
      <c r="D33" t="s">
        <v>138</v>
      </c>
      <c r="E33" t="s">
        <v>91</v>
      </c>
      <c r="H33" t="s">
        <v>91</v>
      </c>
      <c r="M33" t="s">
        <v>91</v>
      </c>
      <c r="N33" t="s">
        <v>143</v>
      </c>
      <c r="O33" t="s">
        <v>143</v>
      </c>
      <c r="P33" t="s">
        <v>125</v>
      </c>
      <c r="Q33" t="s">
        <v>122</v>
      </c>
      <c r="R33" s="115" t="s">
        <v>143</v>
      </c>
      <c r="S33" t="s">
        <v>272</v>
      </c>
      <c r="T33" s="115" t="s">
        <v>143</v>
      </c>
      <c r="U33" s="115" t="s">
        <v>143</v>
      </c>
    </row>
    <row r="34" spans="1:21" x14ac:dyDescent="0.25">
      <c r="A34" t="str">
        <f t="shared" si="0"/>
        <v xml:space="preserve">38 </v>
      </c>
      <c r="B34" t="s">
        <v>17</v>
      </c>
      <c r="C34" t="s">
        <v>138</v>
      </c>
      <c r="D34" t="s">
        <v>138</v>
      </c>
      <c r="E34" t="s">
        <v>17</v>
      </c>
      <c r="H34" t="s">
        <v>17</v>
      </c>
      <c r="M34" t="s">
        <v>17</v>
      </c>
      <c r="N34" t="s">
        <v>143</v>
      </c>
      <c r="O34" t="s">
        <v>143</v>
      </c>
      <c r="P34" t="s">
        <v>125</v>
      </c>
      <c r="Q34" t="s">
        <v>122</v>
      </c>
      <c r="R34" s="115" t="s">
        <v>143</v>
      </c>
      <c r="S34" t="s">
        <v>272</v>
      </c>
      <c r="T34" s="115" t="s">
        <v>143</v>
      </c>
      <c r="U34" s="115" t="s">
        <v>143</v>
      </c>
    </row>
    <row r="35" spans="1:21" x14ac:dyDescent="0.25">
      <c r="A35" t="str">
        <f t="shared" si="0"/>
        <v xml:space="preserve">39 </v>
      </c>
      <c r="B35" t="s">
        <v>18</v>
      </c>
      <c r="C35" t="s">
        <v>138</v>
      </c>
      <c r="D35" t="s">
        <v>138</v>
      </c>
      <c r="E35" t="s">
        <v>18</v>
      </c>
      <c r="H35" t="s">
        <v>18</v>
      </c>
      <c r="M35" t="s">
        <v>18</v>
      </c>
      <c r="N35" t="s">
        <v>143</v>
      </c>
      <c r="O35" t="s">
        <v>143</v>
      </c>
      <c r="P35" t="s">
        <v>125</v>
      </c>
      <c r="Q35" t="s">
        <v>122</v>
      </c>
      <c r="R35" s="115" t="s">
        <v>143</v>
      </c>
      <c r="S35" t="s">
        <v>269</v>
      </c>
      <c r="T35" s="115" t="s">
        <v>143</v>
      </c>
      <c r="U35" s="115" t="s">
        <v>143</v>
      </c>
    </row>
    <row r="36" spans="1:21" x14ac:dyDescent="0.25">
      <c r="A36" t="str">
        <f t="shared" si="0"/>
        <v xml:space="preserve">40 </v>
      </c>
      <c r="B36" t="s">
        <v>92</v>
      </c>
      <c r="C36" t="s">
        <v>138</v>
      </c>
      <c r="D36" t="s">
        <v>138</v>
      </c>
      <c r="E36" t="s">
        <v>92</v>
      </c>
      <c r="H36" t="s">
        <v>92</v>
      </c>
      <c r="M36" t="s">
        <v>92</v>
      </c>
      <c r="N36" t="s">
        <v>143</v>
      </c>
      <c r="O36" t="s">
        <v>143</v>
      </c>
      <c r="P36" t="s">
        <v>125</v>
      </c>
      <c r="Q36" t="s">
        <v>122</v>
      </c>
      <c r="R36" s="115" t="s">
        <v>143</v>
      </c>
      <c r="S36" t="s">
        <v>269</v>
      </c>
      <c r="T36" s="115" t="s">
        <v>143</v>
      </c>
      <c r="U36" s="115" t="s">
        <v>143</v>
      </c>
    </row>
    <row r="37" spans="1:21" x14ac:dyDescent="0.25">
      <c r="A37" t="str">
        <f t="shared" si="0"/>
        <v xml:space="preserve">41 </v>
      </c>
      <c r="B37" t="s">
        <v>93</v>
      </c>
      <c r="C37" t="s">
        <v>138</v>
      </c>
      <c r="D37" t="s">
        <v>138</v>
      </c>
      <c r="E37" t="s">
        <v>93</v>
      </c>
      <c r="H37" t="s">
        <v>93</v>
      </c>
      <c r="M37" t="s">
        <v>93</v>
      </c>
      <c r="N37" t="s">
        <v>143</v>
      </c>
      <c r="O37" t="s">
        <v>143</v>
      </c>
      <c r="P37" t="s">
        <v>125</v>
      </c>
      <c r="Q37" t="s">
        <v>122</v>
      </c>
      <c r="R37" s="115" t="s">
        <v>143</v>
      </c>
      <c r="S37" t="s">
        <v>274</v>
      </c>
      <c r="T37" s="115" t="s">
        <v>143</v>
      </c>
      <c r="U37" s="115" t="s">
        <v>143</v>
      </c>
    </row>
    <row r="38" spans="1:21" x14ac:dyDescent="0.25">
      <c r="A38" t="str">
        <f t="shared" si="0"/>
        <v xml:space="preserve">42 </v>
      </c>
      <c r="B38" t="s">
        <v>94</v>
      </c>
      <c r="C38" t="s">
        <v>138</v>
      </c>
      <c r="D38" t="s">
        <v>138</v>
      </c>
      <c r="E38" t="s">
        <v>94</v>
      </c>
      <c r="H38" t="s">
        <v>94</v>
      </c>
      <c r="M38" t="s">
        <v>94</v>
      </c>
      <c r="N38" t="s">
        <v>143</v>
      </c>
      <c r="O38" t="s">
        <v>143</v>
      </c>
      <c r="P38" t="s">
        <v>125</v>
      </c>
      <c r="Q38" t="s">
        <v>122</v>
      </c>
      <c r="R38" s="115" t="s">
        <v>143</v>
      </c>
      <c r="S38" t="s">
        <v>274</v>
      </c>
      <c r="T38" s="115" t="s">
        <v>143</v>
      </c>
      <c r="U38" s="115" t="s">
        <v>143</v>
      </c>
    </row>
    <row r="39" spans="1:21" x14ac:dyDescent="0.25">
      <c r="A39" t="str">
        <f t="shared" si="0"/>
        <v xml:space="preserve">43 </v>
      </c>
      <c r="B39" t="s">
        <v>95</v>
      </c>
      <c r="C39" t="s">
        <v>138</v>
      </c>
      <c r="D39" t="s">
        <v>138</v>
      </c>
      <c r="E39" t="s">
        <v>95</v>
      </c>
      <c r="H39" t="s">
        <v>95</v>
      </c>
      <c r="M39" t="s">
        <v>95</v>
      </c>
      <c r="N39" t="s">
        <v>142</v>
      </c>
      <c r="O39" t="s">
        <v>142</v>
      </c>
      <c r="P39" t="s">
        <v>125</v>
      </c>
      <c r="Q39" t="s">
        <v>122</v>
      </c>
      <c r="R39" s="115" t="s">
        <v>142</v>
      </c>
      <c r="S39" t="s">
        <v>271</v>
      </c>
      <c r="T39" s="115" t="s">
        <v>142</v>
      </c>
      <c r="U39" s="115" t="s">
        <v>142</v>
      </c>
    </row>
    <row r="40" spans="1:21" x14ac:dyDescent="0.25">
      <c r="A40" t="str">
        <f t="shared" si="0"/>
        <v xml:space="preserve">44 </v>
      </c>
      <c r="B40" t="s">
        <v>96</v>
      </c>
      <c r="C40" t="s">
        <v>138</v>
      </c>
      <c r="D40" t="s">
        <v>138</v>
      </c>
      <c r="E40" t="s">
        <v>96</v>
      </c>
      <c r="H40" t="s">
        <v>96</v>
      </c>
      <c r="M40" t="s">
        <v>96</v>
      </c>
      <c r="N40" t="s">
        <v>143</v>
      </c>
      <c r="O40" t="s">
        <v>143</v>
      </c>
      <c r="P40" t="s">
        <v>125</v>
      </c>
      <c r="Q40" t="s">
        <v>122</v>
      </c>
      <c r="R40" s="115" t="s">
        <v>142</v>
      </c>
      <c r="S40" t="s">
        <v>271</v>
      </c>
      <c r="T40" s="115" t="s">
        <v>142</v>
      </c>
      <c r="U40" s="115" t="s">
        <v>142</v>
      </c>
    </row>
    <row r="41" spans="1:21" x14ac:dyDescent="0.25">
      <c r="A41" t="str">
        <f t="shared" si="0"/>
        <v xml:space="preserve">45 </v>
      </c>
      <c r="B41" t="s">
        <v>97</v>
      </c>
      <c r="C41" t="s">
        <v>138</v>
      </c>
      <c r="D41" t="s">
        <v>138</v>
      </c>
      <c r="E41" t="s">
        <v>97</v>
      </c>
      <c r="H41" t="s">
        <v>97</v>
      </c>
      <c r="M41" t="s">
        <v>97</v>
      </c>
      <c r="N41" t="s">
        <v>143</v>
      </c>
      <c r="O41" t="s">
        <v>143</v>
      </c>
      <c r="P41" t="s">
        <v>125</v>
      </c>
      <c r="Q41" t="s">
        <v>122</v>
      </c>
      <c r="R41" s="115" t="s">
        <v>143</v>
      </c>
      <c r="S41" t="s">
        <v>271</v>
      </c>
      <c r="T41" s="115" t="s">
        <v>143</v>
      </c>
      <c r="U41" s="115" t="s">
        <v>143</v>
      </c>
    </row>
    <row r="42" spans="1:21" x14ac:dyDescent="0.25">
      <c r="A42" t="str">
        <f t="shared" si="0"/>
        <v xml:space="preserve">46 </v>
      </c>
      <c r="B42" t="s">
        <v>98</v>
      </c>
      <c r="C42" t="s">
        <v>138</v>
      </c>
      <c r="D42" t="s">
        <v>138</v>
      </c>
      <c r="E42" t="s">
        <v>98</v>
      </c>
      <c r="H42" t="s">
        <v>98</v>
      </c>
      <c r="M42" t="s">
        <v>98</v>
      </c>
      <c r="N42" t="s">
        <v>142</v>
      </c>
      <c r="O42" t="s">
        <v>142</v>
      </c>
      <c r="P42" t="s">
        <v>125</v>
      </c>
      <c r="Q42" t="s">
        <v>122</v>
      </c>
      <c r="R42" s="115" t="s">
        <v>142</v>
      </c>
      <c r="S42" t="s">
        <v>274</v>
      </c>
      <c r="T42" s="115" t="s">
        <v>142</v>
      </c>
      <c r="U42" s="115" t="s">
        <v>142</v>
      </c>
    </row>
    <row r="43" spans="1:21" x14ac:dyDescent="0.25">
      <c r="A43" t="str">
        <f t="shared" si="0"/>
        <v xml:space="preserve">47 </v>
      </c>
      <c r="B43" t="s">
        <v>99</v>
      </c>
      <c r="C43" t="s">
        <v>138</v>
      </c>
      <c r="D43" t="s">
        <v>138</v>
      </c>
      <c r="E43" t="s">
        <v>99</v>
      </c>
      <c r="H43" t="s">
        <v>99</v>
      </c>
      <c r="M43" t="s">
        <v>99</v>
      </c>
      <c r="N43" t="s">
        <v>143</v>
      </c>
      <c r="O43" t="s">
        <v>143</v>
      </c>
      <c r="P43" t="s">
        <v>125</v>
      </c>
      <c r="Q43" t="s">
        <v>122</v>
      </c>
      <c r="R43" s="115" t="s">
        <v>143</v>
      </c>
      <c r="S43" t="s">
        <v>270</v>
      </c>
      <c r="T43" s="115" t="s">
        <v>143</v>
      </c>
      <c r="U43" s="115" t="s">
        <v>143</v>
      </c>
    </row>
    <row r="44" spans="1:21" x14ac:dyDescent="0.25">
      <c r="A44" t="str">
        <f t="shared" si="0"/>
        <v xml:space="preserve">48 </v>
      </c>
      <c r="B44" t="s">
        <v>100</v>
      </c>
      <c r="C44" t="s">
        <v>138</v>
      </c>
      <c r="D44" t="s">
        <v>138</v>
      </c>
      <c r="E44" t="s">
        <v>100</v>
      </c>
      <c r="H44" t="s">
        <v>100</v>
      </c>
      <c r="M44" t="s">
        <v>100</v>
      </c>
      <c r="N44" t="s">
        <v>143</v>
      </c>
      <c r="O44" t="s">
        <v>143</v>
      </c>
      <c r="P44" t="s">
        <v>125</v>
      </c>
      <c r="Q44" t="s">
        <v>122</v>
      </c>
      <c r="R44" s="115" t="s">
        <v>143</v>
      </c>
      <c r="S44" t="s">
        <v>274</v>
      </c>
      <c r="T44" s="115" t="s">
        <v>143</v>
      </c>
      <c r="U44" s="115" t="s">
        <v>143</v>
      </c>
    </row>
    <row r="45" spans="1:21" x14ac:dyDescent="0.25">
      <c r="A45" t="str">
        <f t="shared" si="0"/>
        <v xml:space="preserve">49 </v>
      </c>
      <c r="B45" t="s">
        <v>101</v>
      </c>
      <c r="C45" t="s">
        <v>138</v>
      </c>
      <c r="D45" t="s">
        <v>138</v>
      </c>
      <c r="E45" t="s">
        <v>101</v>
      </c>
      <c r="H45" t="s">
        <v>101</v>
      </c>
      <c r="M45" t="s">
        <v>101</v>
      </c>
      <c r="N45" t="s">
        <v>143</v>
      </c>
      <c r="O45" t="s">
        <v>143</v>
      </c>
      <c r="P45" t="s">
        <v>125</v>
      </c>
      <c r="Q45" t="s">
        <v>122</v>
      </c>
      <c r="R45" s="115" t="s">
        <v>143</v>
      </c>
      <c r="S45" t="s">
        <v>273</v>
      </c>
      <c r="T45" s="115" t="s">
        <v>143</v>
      </c>
      <c r="U45" s="115" t="s">
        <v>143</v>
      </c>
    </row>
    <row r="46" spans="1:21" x14ac:dyDescent="0.25">
      <c r="A46" t="str">
        <f t="shared" si="0"/>
        <v xml:space="preserve">50 </v>
      </c>
      <c r="B46" t="s">
        <v>102</v>
      </c>
      <c r="C46" t="s">
        <v>137</v>
      </c>
      <c r="D46" t="s">
        <v>138</v>
      </c>
      <c r="E46" t="s">
        <v>102</v>
      </c>
      <c r="H46" t="s">
        <v>102</v>
      </c>
      <c r="M46" t="s">
        <v>102</v>
      </c>
      <c r="N46" t="s">
        <v>145</v>
      </c>
      <c r="O46" t="s">
        <v>145</v>
      </c>
      <c r="P46" t="s">
        <v>125</v>
      </c>
      <c r="Q46" t="s">
        <v>122</v>
      </c>
      <c r="R46" s="115" t="s">
        <v>265</v>
      </c>
      <c r="T46" s="115" t="s">
        <v>137</v>
      </c>
      <c r="U46" s="115" t="s">
        <v>142</v>
      </c>
    </row>
    <row r="47" spans="1:21" x14ac:dyDescent="0.25">
      <c r="A47" t="str">
        <f t="shared" si="0"/>
        <v xml:space="preserve">51 </v>
      </c>
      <c r="B47" t="s">
        <v>103</v>
      </c>
      <c r="C47" t="s">
        <v>138</v>
      </c>
      <c r="D47" t="s">
        <v>138</v>
      </c>
      <c r="E47" t="s">
        <v>103</v>
      </c>
      <c r="H47" t="s">
        <v>19</v>
      </c>
      <c r="M47" t="s">
        <v>103</v>
      </c>
      <c r="N47" t="s">
        <v>141</v>
      </c>
      <c r="O47" t="s">
        <v>141</v>
      </c>
      <c r="P47" t="s">
        <v>112</v>
      </c>
      <c r="Q47" t="s">
        <v>122</v>
      </c>
      <c r="R47" s="181" t="s">
        <v>112</v>
      </c>
      <c r="S47" t="s">
        <v>112</v>
      </c>
      <c r="T47" s="115" t="s">
        <v>143</v>
      </c>
      <c r="U47" s="115" t="s">
        <v>286</v>
      </c>
    </row>
    <row r="48" spans="1:21" x14ac:dyDescent="0.25">
      <c r="A48" t="str">
        <f t="shared" si="0"/>
        <v xml:space="preserve">52 </v>
      </c>
      <c r="B48" t="s">
        <v>19</v>
      </c>
      <c r="C48" t="s">
        <v>138</v>
      </c>
      <c r="D48" t="s">
        <v>138</v>
      </c>
      <c r="E48" t="s">
        <v>19</v>
      </c>
      <c r="H48" t="s">
        <v>20</v>
      </c>
      <c r="M48" t="s">
        <v>19</v>
      </c>
      <c r="N48" t="s">
        <v>144</v>
      </c>
      <c r="O48" t="s">
        <v>144</v>
      </c>
      <c r="P48" t="s">
        <v>126</v>
      </c>
      <c r="Q48" t="s">
        <v>122</v>
      </c>
      <c r="R48" s="115" t="s">
        <v>144</v>
      </c>
      <c r="S48" t="s">
        <v>269</v>
      </c>
      <c r="T48" s="115" t="s">
        <v>144</v>
      </c>
      <c r="U48" s="115" t="s">
        <v>144</v>
      </c>
    </row>
    <row r="49" spans="1:21" x14ac:dyDescent="0.25">
      <c r="A49" t="str">
        <f t="shared" si="0"/>
        <v xml:space="preserve">53 </v>
      </c>
      <c r="B49" t="s">
        <v>20</v>
      </c>
      <c r="C49" t="s">
        <v>138</v>
      </c>
      <c r="D49" t="s">
        <v>138</v>
      </c>
      <c r="E49" t="s">
        <v>20</v>
      </c>
      <c r="H49" t="s">
        <v>21</v>
      </c>
      <c r="M49" t="s">
        <v>20</v>
      </c>
      <c r="N49" t="s">
        <v>144</v>
      </c>
      <c r="O49" t="s">
        <v>144</v>
      </c>
      <c r="P49" t="s">
        <v>126</v>
      </c>
      <c r="Q49" t="s">
        <v>122</v>
      </c>
      <c r="R49" s="115" t="s">
        <v>144</v>
      </c>
      <c r="S49" t="s">
        <v>269</v>
      </c>
      <c r="T49" s="115" t="s">
        <v>144</v>
      </c>
      <c r="U49" s="115" t="s">
        <v>144</v>
      </c>
    </row>
    <row r="50" spans="1:21" x14ac:dyDescent="0.25">
      <c r="A50" t="str">
        <f t="shared" si="0"/>
        <v xml:space="preserve">54 </v>
      </c>
      <c r="B50" t="s">
        <v>21</v>
      </c>
      <c r="C50" t="s">
        <v>138</v>
      </c>
      <c r="D50" t="s">
        <v>138</v>
      </c>
      <c r="E50" t="s">
        <v>21</v>
      </c>
      <c r="H50" t="s">
        <v>22</v>
      </c>
      <c r="M50" t="s">
        <v>21</v>
      </c>
      <c r="N50" t="s">
        <v>144</v>
      </c>
      <c r="O50" t="s">
        <v>144</v>
      </c>
      <c r="P50" t="s">
        <v>126</v>
      </c>
      <c r="Q50" t="s">
        <v>122</v>
      </c>
      <c r="R50" s="115" t="s">
        <v>144</v>
      </c>
      <c r="S50" t="s">
        <v>269</v>
      </c>
      <c r="T50" s="115" t="s">
        <v>144</v>
      </c>
      <c r="U50" s="115" t="s">
        <v>144</v>
      </c>
    </row>
    <row r="51" spans="1:21" x14ac:dyDescent="0.25">
      <c r="A51" t="str">
        <f t="shared" si="0"/>
        <v xml:space="preserve">55 </v>
      </c>
      <c r="B51" t="s">
        <v>22</v>
      </c>
      <c r="C51" t="s">
        <v>138</v>
      </c>
      <c r="D51" t="s">
        <v>138</v>
      </c>
      <c r="E51" t="s">
        <v>22</v>
      </c>
      <c r="H51" t="s">
        <v>23</v>
      </c>
      <c r="M51" t="s">
        <v>22</v>
      </c>
      <c r="N51" t="s">
        <v>144</v>
      </c>
      <c r="O51" t="s">
        <v>144</v>
      </c>
      <c r="P51" t="s">
        <v>126</v>
      </c>
      <c r="Q51" t="s">
        <v>122</v>
      </c>
      <c r="R51" s="115" t="s">
        <v>144</v>
      </c>
      <c r="S51" t="s">
        <v>269</v>
      </c>
      <c r="T51" s="115" t="s">
        <v>144</v>
      </c>
      <c r="U51" s="115" t="s">
        <v>144</v>
      </c>
    </row>
    <row r="52" spans="1:21" x14ac:dyDescent="0.25">
      <c r="A52" t="str">
        <f t="shared" si="0"/>
        <v xml:space="preserve">56 </v>
      </c>
      <c r="B52" t="s">
        <v>23</v>
      </c>
      <c r="C52" t="s">
        <v>138</v>
      </c>
      <c r="D52" t="s">
        <v>138</v>
      </c>
      <c r="E52" t="s">
        <v>23</v>
      </c>
      <c r="H52" t="s">
        <v>24</v>
      </c>
      <c r="M52" t="s">
        <v>23</v>
      </c>
      <c r="N52" t="s">
        <v>144</v>
      </c>
      <c r="O52" t="s">
        <v>144</v>
      </c>
      <c r="P52" t="s">
        <v>126</v>
      </c>
      <c r="Q52" t="s">
        <v>122</v>
      </c>
      <c r="R52" s="115" t="s">
        <v>144</v>
      </c>
      <c r="S52" t="s">
        <v>269</v>
      </c>
      <c r="T52" s="115" t="s">
        <v>144</v>
      </c>
      <c r="U52" s="115" t="s">
        <v>144</v>
      </c>
    </row>
    <row r="53" spans="1:21" x14ac:dyDescent="0.25">
      <c r="A53" t="str">
        <f t="shared" si="0"/>
        <v xml:space="preserve">57 </v>
      </c>
      <c r="B53" t="s">
        <v>24</v>
      </c>
      <c r="C53" t="s">
        <v>138</v>
      </c>
      <c r="D53" t="s">
        <v>138</v>
      </c>
      <c r="E53" t="s">
        <v>24</v>
      </c>
      <c r="H53" t="s">
        <v>25</v>
      </c>
      <c r="M53" t="s">
        <v>24</v>
      </c>
      <c r="N53" t="s">
        <v>144</v>
      </c>
      <c r="O53" t="s">
        <v>144</v>
      </c>
      <c r="P53" t="s">
        <v>126</v>
      </c>
      <c r="Q53" t="s">
        <v>122</v>
      </c>
      <c r="R53" s="115" t="s">
        <v>144</v>
      </c>
      <c r="S53" t="s">
        <v>269</v>
      </c>
      <c r="T53" s="115" t="s">
        <v>144</v>
      </c>
      <c r="U53" s="115" t="s">
        <v>144</v>
      </c>
    </row>
    <row r="54" spans="1:21" x14ac:dyDescent="0.25">
      <c r="A54" t="str">
        <f t="shared" si="0"/>
        <v xml:space="preserve">58 </v>
      </c>
      <c r="B54" t="s">
        <v>25</v>
      </c>
      <c r="C54" t="s">
        <v>138</v>
      </c>
      <c r="D54" t="s">
        <v>138</v>
      </c>
      <c r="E54" t="s">
        <v>25</v>
      </c>
      <c r="H54" t="s">
        <v>26</v>
      </c>
      <c r="M54" t="s">
        <v>25</v>
      </c>
      <c r="N54" t="s">
        <v>144</v>
      </c>
      <c r="O54" t="s">
        <v>144</v>
      </c>
      <c r="P54" t="s">
        <v>126</v>
      </c>
      <c r="Q54" t="s">
        <v>122</v>
      </c>
      <c r="R54" s="115" t="s">
        <v>144</v>
      </c>
      <c r="S54" t="s">
        <v>269</v>
      </c>
      <c r="T54" s="115" t="s">
        <v>144</v>
      </c>
      <c r="U54" s="115" t="s">
        <v>144</v>
      </c>
    </row>
    <row r="55" spans="1:21" x14ac:dyDescent="0.25">
      <c r="A55" t="str">
        <f t="shared" si="0"/>
        <v xml:space="preserve">59 </v>
      </c>
      <c r="B55" t="s">
        <v>26</v>
      </c>
      <c r="C55" t="s">
        <v>138</v>
      </c>
      <c r="D55" t="s">
        <v>138</v>
      </c>
      <c r="E55" t="s">
        <v>26</v>
      </c>
      <c r="H55" t="s">
        <v>54</v>
      </c>
      <c r="M55" t="s">
        <v>26</v>
      </c>
      <c r="N55" t="s">
        <v>144</v>
      </c>
      <c r="O55" t="s">
        <v>144</v>
      </c>
      <c r="P55" t="s">
        <v>126</v>
      </c>
      <c r="Q55" t="s">
        <v>122</v>
      </c>
      <c r="R55" s="115" t="s">
        <v>144</v>
      </c>
      <c r="S55" t="s">
        <v>269</v>
      </c>
      <c r="T55" s="115" t="s">
        <v>144</v>
      </c>
      <c r="U55" s="115" t="s">
        <v>144</v>
      </c>
    </row>
    <row r="56" spans="1:21" x14ac:dyDescent="0.25">
      <c r="A56" t="str">
        <f t="shared" si="0"/>
        <v xml:space="preserve">60 </v>
      </c>
      <c r="B56" t="s">
        <v>27</v>
      </c>
      <c r="C56" t="s">
        <v>138</v>
      </c>
      <c r="D56" t="s">
        <v>138</v>
      </c>
      <c r="E56" t="s">
        <v>27</v>
      </c>
      <c r="H56" t="s">
        <v>53</v>
      </c>
      <c r="M56" t="s">
        <v>27</v>
      </c>
      <c r="N56" t="s">
        <v>144</v>
      </c>
      <c r="O56" t="s">
        <v>144</v>
      </c>
      <c r="P56" t="s">
        <v>126</v>
      </c>
      <c r="Q56" t="s">
        <v>122</v>
      </c>
      <c r="R56" s="115" t="s">
        <v>144</v>
      </c>
      <c r="S56" t="s">
        <v>273</v>
      </c>
      <c r="T56" s="115" t="s">
        <v>144</v>
      </c>
      <c r="U56" s="115" t="s">
        <v>144</v>
      </c>
    </row>
    <row r="57" spans="1:21" x14ac:dyDescent="0.25">
      <c r="A57" t="str">
        <f t="shared" si="0"/>
        <v xml:space="preserve">61 </v>
      </c>
      <c r="B57" t="s">
        <v>104</v>
      </c>
      <c r="C57" t="s">
        <v>138</v>
      </c>
      <c r="D57" t="s">
        <v>138</v>
      </c>
      <c r="E57" t="s">
        <v>104</v>
      </c>
      <c r="M57" t="s">
        <v>104</v>
      </c>
      <c r="N57" t="s">
        <v>141</v>
      </c>
      <c r="O57" t="s">
        <v>144</v>
      </c>
      <c r="P57" t="s">
        <v>112</v>
      </c>
      <c r="Q57" t="s">
        <v>112</v>
      </c>
      <c r="R57" s="181" t="s">
        <v>112</v>
      </c>
      <c r="S57" t="s">
        <v>112</v>
      </c>
      <c r="T57" s="115" t="s">
        <v>144</v>
      </c>
      <c r="U57" s="115" t="s">
        <v>144</v>
      </c>
    </row>
    <row r="58" spans="1:21" x14ac:dyDescent="0.25">
      <c r="A58" t="str">
        <f t="shared" si="0"/>
        <v xml:space="preserve">62 </v>
      </c>
      <c r="B58" t="s">
        <v>105</v>
      </c>
      <c r="C58" t="s">
        <v>138</v>
      </c>
      <c r="D58" t="s">
        <v>138</v>
      </c>
      <c r="E58" t="s">
        <v>105</v>
      </c>
      <c r="M58" t="s">
        <v>105</v>
      </c>
      <c r="N58" t="s">
        <v>141</v>
      </c>
      <c r="O58" t="s">
        <v>143</v>
      </c>
      <c r="P58" t="s">
        <v>112</v>
      </c>
      <c r="Q58" t="s">
        <v>112</v>
      </c>
      <c r="R58" s="181" t="s">
        <v>112</v>
      </c>
      <c r="S58" t="s">
        <v>112</v>
      </c>
      <c r="T58" s="115" t="s">
        <v>286</v>
      </c>
      <c r="U58" s="115" t="s">
        <v>286</v>
      </c>
    </row>
    <row r="59" spans="1:21" x14ac:dyDescent="0.25">
      <c r="A59" t="str">
        <f t="shared" si="0"/>
        <v xml:space="preserve">63 </v>
      </c>
      <c r="B59" t="s">
        <v>106</v>
      </c>
      <c r="C59" t="s">
        <v>138</v>
      </c>
      <c r="D59" t="s">
        <v>138</v>
      </c>
      <c r="E59" t="s">
        <v>106</v>
      </c>
      <c r="M59" t="s">
        <v>106</v>
      </c>
      <c r="N59" t="s">
        <v>141</v>
      </c>
      <c r="O59" t="s">
        <v>142</v>
      </c>
      <c r="P59" t="s">
        <v>125</v>
      </c>
      <c r="Q59" t="s">
        <v>122</v>
      </c>
      <c r="R59" s="115" t="s">
        <v>265</v>
      </c>
      <c r="T59" s="115" t="s">
        <v>142</v>
      </c>
      <c r="U59" s="115" t="s">
        <v>142</v>
      </c>
    </row>
    <row r="60" spans="1:21" x14ac:dyDescent="0.25">
      <c r="A60" t="str">
        <f t="shared" si="0"/>
        <v xml:space="preserve">64 </v>
      </c>
      <c r="B60" t="s">
        <v>107</v>
      </c>
      <c r="C60" t="s">
        <v>138</v>
      </c>
      <c r="D60" t="s">
        <v>138</v>
      </c>
      <c r="E60" t="s">
        <v>107</v>
      </c>
      <c r="M60" t="s">
        <v>107</v>
      </c>
      <c r="N60" t="s">
        <v>141</v>
      </c>
      <c r="O60" t="s">
        <v>140</v>
      </c>
      <c r="P60" t="s">
        <v>112</v>
      </c>
      <c r="Q60" t="s">
        <v>112</v>
      </c>
      <c r="R60" s="181" t="s">
        <v>112</v>
      </c>
      <c r="S60" t="s">
        <v>112</v>
      </c>
      <c r="T60" s="115" t="s">
        <v>143</v>
      </c>
      <c r="U60" s="115" t="s">
        <v>286</v>
      </c>
    </row>
    <row r="61" spans="1:21" x14ac:dyDescent="0.25">
      <c r="A61" t="str">
        <f t="shared" si="0"/>
        <v>Imp</v>
      </c>
      <c r="B61" t="s">
        <v>52</v>
      </c>
      <c r="C61" t="s">
        <v>52</v>
      </c>
      <c r="D61" t="s">
        <v>138</v>
      </c>
      <c r="E61" t="s">
        <v>52</v>
      </c>
      <c r="M61" t="s">
        <v>53</v>
      </c>
      <c r="N61" t="s">
        <v>53</v>
      </c>
      <c r="O61" t="s">
        <v>53</v>
      </c>
      <c r="P61" t="s">
        <v>53</v>
      </c>
      <c r="Q61" t="s">
        <v>53</v>
      </c>
      <c r="R61" s="115" t="s">
        <v>53</v>
      </c>
      <c r="S61" t="s">
        <v>53</v>
      </c>
      <c r="T61" s="115" t="s">
        <v>53</v>
      </c>
      <c r="U61" s="115" t="s">
        <v>53</v>
      </c>
    </row>
    <row r="62" spans="1:21" x14ac:dyDescent="0.25">
      <c r="A62" t="str">
        <f t="shared" si="0"/>
        <v>Con</v>
      </c>
      <c r="B62" t="s">
        <v>54</v>
      </c>
      <c r="D62" t="s">
        <v>54</v>
      </c>
      <c r="E62" t="s">
        <v>54</v>
      </c>
      <c r="M62" t="s">
        <v>54</v>
      </c>
      <c r="N62" t="s">
        <v>54</v>
      </c>
      <c r="O62" t="s">
        <v>54</v>
      </c>
      <c r="P62" t="s">
        <v>54</v>
      </c>
      <c r="Q62" t="s">
        <v>54</v>
      </c>
      <c r="R62" s="115" t="s">
        <v>54</v>
      </c>
      <c r="S62" t="s">
        <v>54</v>
      </c>
      <c r="T62" s="115" t="s">
        <v>54</v>
      </c>
      <c r="U62" s="115" t="s">
        <v>286</v>
      </c>
    </row>
    <row r="63" spans="1:21" x14ac:dyDescent="0.25">
      <c r="A63" t="str">
        <f t="shared" si="0"/>
        <v>Exp</v>
      </c>
      <c r="B63" t="s">
        <v>53</v>
      </c>
      <c r="D63" t="s">
        <v>53</v>
      </c>
      <c r="E63" t="s">
        <v>53</v>
      </c>
      <c r="M63" s="115" t="s">
        <v>52</v>
      </c>
      <c r="N63" s="115" t="s">
        <v>52</v>
      </c>
      <c r="O63" s="115" t="s">
        <v>52</v>
      </c>
      <c r="P63" s="115" t="s">
        <v>52</v>
      </c>
      <c r="Q63" s="115" t="s">
        <v>52</v>
      </c>
      <c r="R63" s="115" t="s">
        <v>52</v>
      </c>
      <c r="S63" t="s">
        <v>52</v>
      </c>
      <c r="T63" s="115" t="s">
        <v>52</v>
      </c>
      <c r="U63" s="115" t="s">
        <v>52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7"/>
  <dimension ref="A1:U26"/>
  <sheetViews>
    <sheetView tabSelected="1" topLeftCell="C1" zoomScale="70" zoomScaleNormal="70" workbookViewId="0">
      <selection activeCell="E40" sqref="E40"/>
    </sheetView>
  </sheetViews>
  <sheetFormatPr baseColWidth="10" defaultRowHeight="15" x14ac:dyDescent="0.25"/>
  <cols>
    <col min="1" max="2" width="11.42578125" style="4" hidden="1" customWidth="1"/>
    <col min="3" max="3" width="65.7109375" style="4" customWidth="1"/>
    <col min="4" max="4" width="11.7109375" style="6" customWidth="1"/>
    <col min="5" max="5" width="65.7109375" style="6" customWidth="1"/>
    <col min="6" max="6" width="11.7109375" customWidth="1"/>
    <col min="7" max="7" width="28.85546875" bestFit="1" customWidth="1"/>
    <col min="8" max="8" width="9.42578125" customWidth="1"/>
    <col min="9" max="9" width="7.7109375" customWidth="1"/>
    <col min="10" max="11" width="11.7109375" customWidth="1"/>
    <col min="12" max="12" width="12.5703125" customWidth="1"/>
    <col min="13" max="13" width="11.42578125" style="4"/>
    <col min="14" max="14" width="11.42578125" style="4" customWidth="1"/>
    <col min="15" max="16384" width="11.42578125" style="4"/>
  </cols>
  <sheetData>
    <row r="1" spans="1:14" ht="48" customHeight="1" x14ac:dyDescent="0.25">
      <c r="A1" s="4">
        <v>2016</v>
      </c>
      <c r="C1" s="245" t="s">
        <v>139</v>
      </c>
      <c r="D1" s="245"/>
      <c r="E1" s="245"/>
    </row>
    <row r="2" spans="1:14" ht="18" x14ac:dyDescent="0.25">
      <c r="A2" s="4">
        <v>2017</v>
      </c>
      <c r="C2" s="258"/>
      <c r="D2" s="258"/>
      <c r="E2" s="71" t="s">
        <v>173</v>
      </c>
    </row>
    <row r="3" spans="1:14" ht="23.25" x14ac:dyDescent="0.25">
      <c r="A3" s="4">
        <v>2018</v>
      </c>
      <c r="C3" s="53" t="s">
        <v>157</v>
      </c>
      <c r="D3"/>
      <c r="E3" s="70" t="s">
        <v>194</v>
      </c>
    </row>
    <row r="4" spans="1:14" ht="18" x14ac:dyDescent="0.25">
      <c r="A4" s="4">
        <v>2019</v>
      </c>
      <c r="C4" s="258" t="s">
        <v>132</v>
      </c>
      <c r="D4" s="258"/>
      <c r="E4" s="4"/>
    </row>
    <row r="5" spans="1:14" ht="23.25" x14ac:dyDescent="0.25">
      <c r="A5" s="4">
        <v>2020</v>
      </c>
      <c r="B5" s="4">
        <v>13</v>
      </c>
      <c r="C5" s="53">
        <v>2020</v>
      </c>
      <c r="D5" s="5"/>
      <c r="M5"/>
      <c r="N5"/>
    </row>
    <row r="6" spans="1:14" x14ac:dyDescent="0.25">
      <c r="E6" s="7"/>
      <c r="M6"/>
      <c r="N6"/>
    </row>
    <row r="7" spans="1:14" x14ac:dyDescent="0.25">
      <c r="B7" s="4" t="s">
        <v>155</v>
      </c>
      <c r="C7" s="72" t="s">
        <v>75</v>
      </c>
      <c r="D7" s="73" t="s">
        <v>195</v>
      </c>
      <c r="E7" s="74" t="s">
        <v>76</v>
      </c>
      <c r="G7" s="306" t="s">
        <v>150</v>
      </c>
      <c r="H7" s="306"/>
      <c r="I7" s="306"/>
      <c r="M7"/>
      <c r="N7"/>
    </row>
    <row r="8" spans="1:14" x14ac:dyDescent="0.25">
      <c r="A8" s="14"/>
      <c r="B8" s="4" t="s">
        <v>156</v>
      </c>
      <c r="C8" s="75" t="s">
        <v>136</v>
      </c>
      <c r="D8" s="76">
        <f>SUMIFS('Val-Vol (2)'!$J$4:$J$2000,'Val-Vol (2)'!$V$4:$V$2000,$C$5,'Val-Vol (2)'!$B$4:$B$2000,C8,'Val-Vol (2)'!$E$4:$E$2000,E8)</f>
        <v>17089.217513112788</v>
      </c>
      <c r="E8" s="77" t="s">
        <v>138</v>
      </c>
      <c r="G8" s="79" t="s">
        <v>136</v>
      </c>
      <c r="H8" s="183">
        <f>SUM(D8:D10)</f>
        <v>18584</v>
      </c>
      <c r="I8" s="184">
        <f>H8/$D$17</f>
        <v>0.63262084190856893</v>
      </c>
      <c r="M8"/>
      <c r="N8"/>
    </row>
    <row r="9" spans="1:14" customFormat="1" ht="15" customHeight="1" x14ac:dyDescent="0.25">
      <c r="C9" s="78" t="s">
        <v>136</v>
      </c>
      <c r="D9" s="76">
        <f>SUMIFS('Val-Vol (2)'!$J$4:$J$2000,'Val-Vol (2)'!$V$4:$V$2000,$C$5,'Val-Vol (2)'!$B$4:$B$2000,C9,'Val-Vol (2)'!$E$4:$E$2000,E9)</f>
        <v>1488.0219760221735</v>
      </c>
      <c r="E9" s="79" t="s">
        <v>53</v>
      </c>
      <c r="G9" s="79" t="s">
        <v>52</v>
      </c>
      <c r="H9" s="183">
        <f>D13+D14</f>
        <v>10792.205728432036</v>
      </c>
      <c r="I9" s="184">
        <f>H9/$D$17</f>
        <v>0.36737915809143107</v>
      </c>
    </row>
    <row r="10" spans="1:14" customFormat="1" ht="15" customHeight="1" x14ac:dyDescent="0.25">
      <c r="C10" s="78" t="s">
        <v>136</v>
      </c>
      <c r="D10" s="76">
        <f>SUMIFS('Val-Vol (2)'!$J$4:$J$2000,'Val-Vol (2)'!$V$4:$V$2000,$C$5,'Val-Vol (2)'!$B$4:$B$2000,C10,'Val-Vol (2)'!$E$4:$E$2000,E10)</f>
        <v>6.7605108650391514</v>
      </c>
      <c r="E10" s="79" t="s">
        <v>54</v>
      </c>
    </row>
    <row r="11" spans="1:14" customFormat="1" x14ac:dyDescent="0.25">
      <c r="C11" s="78" t="s">
        <v>138</v>
      </c>
      <c r="D11" s="76">
        <f>SUMIFS('Val-Vol (2)'!$J$4:$J$2000,'Val-Vol (2)'!$V$4:$V$2000,$C$5,'Val-Vol (2)'!$B$4:$B$2000,C11,'Val-Vol (2)'!$E$4:$E$2000,E11)</f>
        <v>3392.2767449211306</v>
      </c>
      <c r="E11" s="79" t="s">
        <v>53</v>
      </c>
      <c r="G11" s="306" t="s">
        <v>113</v>
      </c>
      <c r="H11" s="306"/>
      <c r="I11" s="306"/>
    </row>
    <row r="12" spans="1:14" customFormat="1" x14ac:dyDescent="0.25">
      <c r="A12" t="s">
        <v>174</v>
      </c>
      <c r="B12" t="s">
        <v>175</v>
      </c>
      <c r="C12" s="78" t="s">
        <v>138</v>
      </c>
      <c r="D12" s="76">
        <f>SUMIFS('Val-Vol (2)'!$J$4:$J$2000,'Val-Vol (2)'!$V$4:$V$2000,$C$5,'Val-Vol (2)'!$B$4:$B$2000,C12,'Val-Vol (2)'!$E$4:$E$2000,E12)</f>
        <v>20511.72169223805</v>
      </c>
      <c r="E12" s="79" t="s">
        <v>54</v>
      </c>
      <c r="G12" s="79" t="s">
        <v>53</v>
      </c>
      <c r="H12" s="183">
        <f>D9+D11</f>
        <v>4880.298720943304</v>
      </c>
      <c r="I12" s="184">
        <f>H12/$D$16</f>
        <v>0.16613462948249583</v>
      </c>
    </row>
    <row r="13" spans="1:14" customFormat="1" x14ac:dyDescent="0.25">
      <c r="A13" t="s">
        <v>176</v>
      </c>
      <c r="B13" t="s">
        <v>184</v>
      </c>
      <c r="C13" s="78" t="s">
        <v>52</v>
      </c>
      <c r="D13" s="76">
        <f>SUMIFS('Val-Vol (2)'!$K$4:$K$2000,'Val-Vol (2)'!$V$4:$V$2000,$C$5,'Val-Vol (2)'!$B$4:$B$2000,E13,'Val-Vol (2)'!$E$4:$E$2000,E13)+SUMIFS('Val-Vol (2)'!$K$4:$K$2000,'Val-Vol (2)'!$V$4:$V$2000,$C$5,'Val-Vol (2)'!$B$4:$B$2000,C8,'Val-Vol (2)'!$E$4:$E$2000,E13)</f>
        <v>6815.4209673152473</v>
      </c>
      <c r="E13" s="79" t="s">
        <v>138</v>
      </c>
      <c r="G13" s="79" t="s">
        <v>286</v>
      </c>
      <c r="H13" s="183">
        <f>D10+D12+D14</f>
        <v>24495.266964219878</v>
      </c>
      <c r="I13" s="184">
        <f>H13/$D$16</f>
        <v>0.83386537051750409</v>
      </c>
    </row>
    <row r="14" spans="1:14" customFormat="1" x14ac:dyDescent="0.25">
      <c r="A14" t="s">
        <v>177</v>
      </c>
      <c r="B14" t="s">
        <v>185</v>
      </c>
      <c r="C14" s="78" t="s">
        <v>52</v>
      </c>
      <c r="D14" s="76">
        <f>SUMIFS('Val-Vol (2)'!$K$4:$K$2000,'Val-Vol (2)'!$V$4:$V$2000,$C$5,'Val-Vol (2)'!$B$4:$B$2000,E13,'Val-Vol (2)'!$E$4:$E$2000,E14)</f>
        <v>3976.784761116789</v>
      </c>
      <c r="E14" s="79" t="s">
        <v>54</v>
      </c>
    </row>
    <row r="15" spans="1:14" customFormat="1" x14ac:dyDescent="0.25">
      <c r="A15" t="s">
        <v>178</v>
      </c>
      <c r="B15" t="s">
        <v>186</v>
      </c>
      <c r="C15" s="4"/>
      <c r="D15" s="6"/>
      <c r="E15" s="6"/>
      <c r="G15" s="79" t="s">
        <v>138</v>
      </c>
      <c r="H15" s="183">
        <f>D8+D13</f>
        <v>23904.638480428035</v>
      </c>
      <c r="I15" s="184">
        <f>H15/D17</f>
        <v>0.81374152609816819</v>
      </c>
    </row>
    <row r="16" spans="1:14" customFormat="1" x14ac:dyDescent="0.25">
      <c r="A16" t="s">
        <v>179</v>
      </c>
      <c r="B16" t="s">
        <v>187</v>
      </c>
      <c r="C16" s="72" t="s">
        <v>113</v>
      </c>
      <c r="D16" s="80">
        <f>D14+D12+D9+D10+D11</f>
        <v>29375.565685163183</v>
      </c>
      <c r="E16" s="6"/>
    </row>
    <row r="17" spans="1:21" customFormat="1" x14ac:dyDescent="0.25">
      <c r="A17" t="s">
        <v>180</v>
      </c>
      <c r="B17" t="s">
        <v>188</v>
      </c>
      <c r="C17" s="72" t="s">
        <v>150</v>
      </c>
      <c r="D17" s="80">
        <f>+D8+D9+D13+D14+D10</f>
        <v>29376.205728432036</v>
      </c>
      <c r="E17" s="6"/>
    </row>
    <row r="18" spans="1:21" customFormat="1" x14ac:dyDescent="0.25">
      <c r="A18" t="s">
        <v>181</v>
      </c>
      <c r="B18" t="s">
        <v>189</v>
      </c>
      <c r="C18" s="4"/>
    </row>
    <row r="19" spans="1:21" customFormat="1" x14ac:dyDescent="0.25">
      <c r="C19" s="210" t="s">
        <v>293</v>
      </c>
      <c r="D19" s="211">
        <f>D22*D25</f>
        <v>0.59864803878469974</v>
      </c>
      <c r="I19" s="2"/>
      <c r="J19" s="2"/>
      <c r="K19" s="2"/>
    </row>
    <row r="20" spans="1:21" customFormat="1" x14ac:dyDescent="0.25">
      <c r="C20" s="4"/>
      <c r="D20" s="6"/>
      <c r="I20" s="2"/>
      <c r="J20" s="2"/>
      <c r="K20" s="2"/>
    </row>
    <row r="21" spans="1:21" x14ac:dyDescent="0.25">
      <c r="C21" s="207" t="s">
        <v>289</v>
      </c>
      <c r="D21" s="209">
        <f>D14/(D10+D12+D14)</f>
        <v>0.16234910878602221</v>
      </c>
      <c r="P21"/>
      <c r="Q21"/>
      <c r="R21"/>
      <c r="S21"/>
      <c r="T21"/>
      <c r="U21"/>
    </row>
    <row r="22" spans="1:21" x14ac:dyDescent="0.25">
      <c r="C22" s="207" t="s">
        <v>290</v>
      </c>
      <c r="D22" s="209">
        <f>D12/(D10+D12+D14)</f>
        <v>0.83737489867734149</v>
      </c>
    </row>
    <row r="23" spans="1:21" x14ac:dyDescent="0.25">
      <c r="C23" s="79"/>
      <c r="D23" s="208"/>
    </row>
    <row r="24" spans="1:21" x14ac:dyDescent="0.25">
      <c r="C24" s="207" t="s">
        <v>292</v>
      </c>
      <c r="D24" s="209">
        <f>D13/(D11+D12)</f>
        <v>0.28511635763498699</v>
      </c>
    </row>
    <row r="25" spans="1:21" x14ac:dyDescent="0.25">
      <c r="C25" s="207" t="s">
        <v>291</v>
      </c>
      <c r="D25" s="209">
        <f>D8/(D11+D12)</f>
        <v>0.71491041793858645</v>
      </c>
    </row>
    <row r="26" spans="1:21" x14ac:dyDescent="0.25">
      <c r="D26" s="4"/>
    </row>
  </sheetData>
  <mergeCells count="5">
    <mergeCell ref="C2:D2"/>
    <mergeCell ref="C4:D4"/>
    <mergeCell ref="C1:E1"/>
    <mergeCell ref="G11:I11"/>
    <mergeCell ref="G7:I7"/>
  </mergeCells>
  <dataValidations count="1">
    <dataValidation type="list" allowBlank="1" showInputMessage="1" showErrorMessage="1" sqref="C5" xr:uid="{00000000-0002-0000-0300-000000000000}">
      <formula1>$A$1:$A$5</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8"/>
  <dimension ref="A1:V69"/>
  <sheetViews>
    <sheetView topLeftCell="C1" zoomScale="70" zoomScaleNormal="70" workbookViewId="0">
      <selection activeCell="L38" sqref="L38"/>
    </sheetView>
  </sheetViews>
  <sheetFormatPr baseColWidth="10" defaultRowHeight="15" x14ac:dyDescent="0.25"/>
  <cols>
    <col min="1" max="2" width="11.42578125" style="4" hidden="1" customWidth="1"/>
    <col min="3" max="3" width="65.7109375" style="4" customWidth="1"/>
    <col min="4" max="4" width="11.7109375" style="6" customWidth="1"/>
    <col min="5" max="5" width="65.7109375" style="6" customWidth="1"/>
    <col min="6" max="6" width="15.140625" style="6" customWidth="1"/>
    <col min="7" max="7" width="28.85546875" bestFit="1" customWidth="1"/>
    <col min="8" max="8" width="8.42578125" customWidth="1"/>
    <col min="9" max="9" width="11.7109375" customWidth="1"/>
    <col min="10" max="10" width="11.140625" customWidth="1"/>
    <col min="11" max="12" width="11.7109375" customWidth="1"/>
    <col min="13" max="13" width="10.7109375" customWidth="1"/>
    <col min="14" max="14" width="11.42578125" style="4"/>
    <col min="15" max="15" width="27.5703125" style="4" bestFit="1" customWidth="1"/>
    <col min="16" max="16" width="11.42578125" style="4"/>
    <col min="17" max="17" width="27.5703125" style="4" bestFit="1" customWidth="1"/>
    <col min="18" max="16384" width="11.42578125" style="4"/>
  </cols>
  <sheetData>
    <row r="1" spans="1:22" ht="48" customHeight="1" x14ac:dyDescent="0.25">
      <c r="A1" s="4">
        <v>2016</v>
      </c>
      <c r="C1" s="245" t="s">
        <v>139</v>
      </c>
      <c r="D1" s="245"/>
      <c r="E1" s="245"/>
      <c r="F1" s="174"/>
    </row>
    <row r="2" spans="1:22" ht="18" x14ac:dyDescent="0.25">
      <c r="A2" s="4">
        <v>2017</v>
      </c>
      <c r="C2" s="258"/>
      <c r="D2" s="258"/>
      <c r="E2" s="71" t="s">
        <v>173</v>
      </c>
      <c r="F2" s="71"/>
    </row>
    <row r="3" spans="1:22" ht="23.25" x14ac:dyDescent="0.25">
      <c r="A3" s="4">
        <v>2018</v>
      </c>
      <c r="C3" s="53" t="s">
        <v>199</v>
      </c>
      <c r="D3"/>
      <c r="E3" s="70" t="s">
        <v>193</v>
      </c>
      <c r="F3" s="70"/>
    </row>
    <row r="4" spans="1:22" ht="18" x14ac:dyDescent="0.25">
      <c r="A4" s="4">
        <v>2019</v>
      </c>
      <c r="C4" s="258" t="s">
        <v>132</v>
      </c>
      <c r="D4" s="258"/>
      <c r="E4" s="4"/>
      <c r="F4" s="4"/>
    </row>
    <row r="5" spans="1:22" ht="23.25" x14ac:dyDescent="0.25">
      <c r="A5" s="4">
        <v>2020</v>
      </c>
      <c r="B5" s="4">
        <v>13</v>
      </c>
      <c r="C5" s="53">
        <v>2020</v>
      </c>
      <c r="D5" s="5"/>
    </row>
    <row r="6" spans="1:22" x14ac:dyDescent="0.25">
      <c r="E6" s="7"/>
      <c r="F6" s="7"/>
      <c r="L6" s="307"/>
      <c r="M6" s="307"/>
      <c r="N6" s="307"/>
      <c r="O6" s="307"/>
      <c r="P6" s="307"/>
      <c r="Q6" s="307"/>
      <c r="R6" s="307"/>
      <c r="S6" s="307"/>
      <c r="T6" s="307"/>
    </row>
    <row r="7" spans="1:22" x14ac:dyDescent="0.25">
      <c r="B7" s="4" t="s">
        <v>155</v>
      </c>
      <c r="C7" s="72" t="s">
        <v>75</v>
      </c>
      <c r="D7" s="73" t="s">
        <v>196</v>
      </c>
      <c r="E7" s="74" t="s">
        <v>76</v>
      </c>
      <c r="F7" s="7"/>
      <c r="G7" s="306" t="s">
        <v>150</v>
      </c>
      <c r="H7" s="306"/>
      <c r="I7" s="306"/>
      <c r="N7"/>
      <c r="O7"/>
      <c r="P7"/>
    </row>
    <row r="8" spans="1:22" x14ac:dyDescent="0.25">
      <c r="A8" s="14"/>
      <c r="B8" s="4" t="s">
        <v>156</v>
      </c>
      <c r="C8" s="75" t="s">
        <v>136</v>
      </c>
      <c r="D8" s="76">
        <f>SUMIFS('Val-Vol (2)'!$M$4:$M$2000,'Val-Vol (2)'!$B$4:$B$2000,C8,'Val-Vol (2)'!$E$4:$E$2000,E8,'Val-Vol (2)'!$V$4:$V$2000,'Filière bois d''industrie'!$C$5)</f>
        <v>5728.303706107512</v>
      </c>
      <c r="E8" s="77" t="s">
        <v>138</v>
      </c>
      <c r="F8" s="7"/>
      <c r="G8" s="79" t="s">
        <v>136</v>
      </c>
      <c r="H8" s="183">
        <f>D8+D13</f>
        <v>9541.0000000000018</v>
      </c>
      <c r="I8" s="184">
        <f>H8/$D$19</f>
        <v>0.28025849827555666</v>
      </c>
      <c r="M8" s="2"/>
      <c r="N8"/>
      <c r="O8"/>
      <c r="Q8" s="17"/>
      <c r="R8" s="241"/>
      <c r="S8"/>
      <c r="T8" s="117"/>
      <c r="U8"/>
      <c r="V8"/>
    </row>
    <row r="9" spans="1:22" customFormat="1" ht="15" customHeight="1" x14ac:dyDescent="0.25">
      <c r="C9" s="78" t="s">
        <v>153</v>
      </c>
      <c r="D9" s="76">
        <f>SUMIFS('Val-Vol (2)'!$M$4:$M$2000,'Val-Vol (2)'!$B$4:$B$2000,C9,'Val-Vol (2)'!$E$4:$E$2000,E9,'Val-Vol (2)'!$V$4:$V$2000,'Filière bois d''industrie'!$C$5)</f>
        <v>2503.7207849838915</v>
      </c>
      <c r="E9" s="79" t="s">
        <v>138</v>
      </c>
      <c r="F9" s="7"/>
      <c r="G9" s="79" t="s">
        <v>153</v>
      </c>
      <c r="H9" s="2">
        <f>D9+D14</f>
        <v>2754.0000000000009</v>
      </c>
      <c r="I9" s="184">
        <f t="shared" ref="I9:I10" si="0">H9/$D$19</f>
        <v>8.0896332066961868E-2</v>
      </c>
      <c r="M9" s="2"/>
      <c r="P9" s="4"/>
      <c r="Q9" s="17"/>
      <c r="R9" s="241"/>
      <c r="T9" s="117"/>
    </row>
    <row r="10" spans="1:22" customFormat="1" ht="15" customHeight="1" x14ac:dyDescent="0.25">
      <c r="A10" t="s">
        <v>174</v>
      </c>
      <c r="B10" t="s">
        <v>175</v>
      </c>
      <c r="C10" s="78" t="s">
        <v>137</v>
      </c>
      <c r="D10" s="76">
        <f>SUMIFS('Val-Vol (2)'!$R$4:$R$2000,'Val-Vol (2)'!$B$4:$B$2000,C10,'Val-Vol (2)'!$E$4:$E$2000,E10,'Val-Vol (2)'!$V$4:$V$2000,$C$5,'Val-Vol (2)'!$S$4:$S$2000,"BI")</f>
        <v>809.61296758370054</v>
      </c>
      <c r="E10" s="79" t="s">
        <v>138</v>
      </c>
      <c r="F10" s="7"/>
      <c r="G10" s="79" t="s">
        <v>137</v>
      </c>
      <c r="H10" s="2">
        <f>D10</f>
        <v>809.61296758370054</v>
      </c>
      <c r="I10" s="184">
        <f t="shared" si="0"/>
        <v>2.3781670105798638E-2</v>
      </c>
      <c r="M10" s="2"/>
      <c r="P10" s="4"/>
      <c r="Q10" s="17"/>
      <c r="R10" s="241"/>
      <c r="T10" s="117"/>
    </row>
    <row r="11" spans="1:22" customFormat="1" x14ac:dyDescent="0.25">
      <c r="A11" t="s">
        <v>176</v>
      </c>
      <c r="B11" t="s">
        <v>184</v>
      </c>
      <c r="C11" s="78" t="s">
        <v>52</v>
      </c>
      <c r="D11" s="76">
        <f>SUMIFS('Val-Vol (2)'!$N$4:$N$2000,'Val-Vol (2)'!$V$4:$V$2000,$C$5,'Val-Vol (2)'!$B$4:$B$2000,C8,'Val-Vol (2)'!$E$4:$E$2000,E11)+SUMIFS('Val-Vol (2)'!$N$4:$N$2000,'Val-Vol (2)'!$V$4:$V$2000,$C$5,'Val-Vol (2)'!$B$4:$B$2000,C9,'Val-Vol (2)'!$E$4:$E$2000,'Filière bois d''industrie'!E11)+SUMIFS('Val-Vol (2)'!$N$4:$N$2000,'Val-Vol (2)'!$V$4:$V$2000,$C$5,'Val-Vol (2)'!$B$4:$B$2000,C15,'Val-Vol (2)'!$E$4:$E$2000,E11)+SUMIFS('Val-Vol (2)'!$Q$4:$Q$2000,'Val-Vol (2)'!$V$4:$V$2000,$C$5,'Val-Vol (2)'!$B$4:$B$2000,C15,'Val-Vol (2)'!$E$4:$E$2000,E11,'Val-Vol (2)'!$S$4:$S$2000,"BI")</f>
        <v>13214.316328460789</v>
      </c>
      <c r="E11" s="79" t="s">
        <v>138</v>
      </c>
      <c r="F11" s="7"/>
      <c r="G11" s="79" t="s">
        <v>52</v>
      </c>
      <c r="H11" s="183">
        <f>D11+D12</f>
        <v>20938.957731275423</v>
      </c>
      <c r="I11" s="184">
        <f>H11/$D$19</f>
        <v>0.61506349955168282</v>
      </c>
      <c r="M11" s="2"/>
      <c r="P11" s="4"/>
      <c r="Q11" s="17"/>
      <c r="R11" s="241"/>
      <c r="T11" s="117"/>
    </row>
    <row r="12" spans="1:22" customFormat="1" x14ac:dyDescent="0.25">
      <c r="A12" t="s">
        <v>177</v>
      </c>
      <c r="B12" t="s">
        <v>185</v>
      </c>
      <c r="C12" s="78" t="s">
        <v>52</v>
      </c>
      <c r="D12" s="76">
        <f>SUMIFS('Val-Vol (2)'!$N$4:$N$2000,'Val-Vol (2)'!$V$4:$V$2000,$C$5,'Val-Vol (2)'!$B$4:$B$2000,C9,'Val-Vol (2)'!$E$4:$E$2000,E12)+SUMIFS('Val-Vol (2)'!$N$4:$N$2000,'Val-Vol (2)'!$V$4:$V$2000,$C$5,'Val-Vol (2)'!$B$4:$B$2000,C10,'Val-Vol (2)'!$E$4:$E$2000,'Filière bois d''industrie'!E12)+SUMIFS('Val-Vol (2)'!$N$4:$N$2000,'Val-Vol (2)'!$V$4:$V$2000,$C$5,'Val-Vol (2)'!$B$4:$B$2000,C16,'Val-Vol (2)'!$E$4:$E$2000,E12)+SUMIFS('Val-Vol (2)'!$Q$4:$Q$2000,'Val-Vol (2)'!$V$4:$V$2000,$C$5,'Val-Vol (2)'!$B$4:$B$2000,C16,'Val-Vol (2)'!$E$4:$E$2000,E12,'Val-Vol (2)'!$S$4:$S$2000,"BI")</f>
        <v>7724.6414028146328</v>
      </c>
      <c r="E12" s="79" t="s">
        <v>54</v>
      </c>
      <c r="F12" s="7"/>
      <c r="M12" s="2"/>
      <c r="P12" s="4"/>
      <c r="Q12" s="4"/>
      <c r="R12" s="4"/>
      <c r="T12" s="117"/>
    </row>
    <row r="13" spans="1:22" customFormat="1" x14ac:dyDescent="0.25">
      <c r="A13" t="s">
        <v>178</v>
      </c>
      <c r="B13" t="s">
        <v>186</v>
      </c>
      <c r="C13" s="78" t="s">
        <v>136</v>
      </c>
      <c r="D13" s="76">
        <f>SUMIFS('Val-Vol (2)'!$M$4:$M$2000,'Val-Vol (2)'!$B$4:$B$2000,C13,'Val-Vol (2)'!$E$4:$E$2000,E13,'Val-Vol (2)'!$V$4:$V$2000,'Filière bois d''industrie'!$C$5)</f>
        <v>3812.6962938924898</v>
      </c>
      <c r="E13" s="79" t="s">
        <v>53</v>
      </c>
      <c r="F13" s="7"/>
      <c r="M13" s="2"/>
      <c r="P13" s="4"/>
      <c r="Q13" s="4"/>
      <c r="R13" s="4"/>
      <c r="T13" s="117"/>
    </row>
    <row r="14" spans="1:22" customFormat="1" x14ac:dyDescent="0.25">
      <c r="A14" t="s">
        <v>179</v>
      </c>
      <c r="B14" t="s">
        <v>187</v>
      </c>
      <c r="C14" s="78" t="s">
        <v>153</v>
      </c>
      <c r="D14" s="76">
        <f>SUMIFS('Val-Vol (2)'!$M$4:$M$2000,'Val-Vol (2)'!$B$4:$B$2000,C14,'Val-Vol (2)'!$E$4:$E$2000,E14,'Val-Vol (2)'!$V$4:$V$2000,'Filière bois d''industrie'!$C$5)</f>
        <v>250.27921501610925</v>
      </c>
      <c r="E14" s="79" t="s">
        <v>53</v>
      </c>
      <c r="F14" s="7"/>
      <c r="G14" s="306" t="s">
        <v>113</v>
      </c>
      <c r="H14" s="306"/>
      <c r="I14" s="306"/>
      <c r="M14" s="2"/>
      <c r="P14" s="4"/>
      <c r="Q14" s="4"/>
      <c r="R14" s="4"/>
      <c r="T14" s="117"/>
    </row>
    <row r="15" spans="1:22" customFormat="1" x14ac:dyDescent="0.25">
      <c r="A15" t="s">
        <v>180</v>
      </c>
      <c r="B15" t="s">
        <v>188</v>
      </c>
      <c r="C15" s="78" t="s">
        <v>138</v>
      </c>
      <c r="D15" s="76">
        <f>SUMIFS('Val-Vol (2)'!$M$4:$M$2000,'Val-Vol (2)'!$B$4:$B$2000,C15,'Val-Vol (2)'!$E$4:$E$2000,E15,'Val-Vol (2)'!$V$4:$V$2000,'Filière bois d''industrie'!$C$5)+SUMIFS('Val-Vol (2)'!$P$4:$P$2000,'Val-Vol (2)'!$V$4:$V$2000,$C$5,'Val-Vol (2)'!$B$4:$B$2000,C15,'Val-Vol (2)'!$E$4:$E$2000,E15,'Val-Vol (2)'!$S$4:$S$2000,"BI")</f>
        <v>11250.167189992315</v>
      </c>
      <c r="E15" s="79" t="s">
        <v>54</v>
      </c>
      <c r="F15" s="7"/>
      <c r="G15" s="79" t="s">
        <v>53</v>
      </c>
      <c r="H15" s="183">
        <f>D13+D14+D16</f>
        <v>15066.890970223589</v>
      </c>
      <c r="I15" s="184">
        <f>H15/$D$18</f>
        <v>0.44260102061961415</v>
      </c>
      <c r="M15" s="2"/>
      <c r="P15" s="4"/>
      <c r="Q15" s="17"/>
      <c r="R15" s="241"/>
      <c r="T15" s="117"/>
    </row>
    <row r="16" spans="1:22" customFormat="1" x14ac:dyDescent="0.25">
      <c r="A16" t="s">
        <v>181</v>
      </c>
      <c r="B16" t="s">
        <v>189</v>
      </c>
      <c r="C16" s="78" t="s">
        <v>138</v>
      </c>
      <c r="D16" s="76">
        <f>SUMIFS('Val-Vol (2)'!$M$4:$M$2000,'Val-Vol (2)'!$B$4:$B$2000,C16,'Val-Vol (2)'!$E$4:$E$2000,E16,'Val-Vol (2)'!$V$4:$V$2000,'Filière bois d''industrie'!$C$5)+SUMIFS('Val-Vol (2)'!$P$4:$P$2000,'Val-Vol (2)'!$V$4:$V$2000,$C$5,'Val-Vol (2)'!$B$4:$B$2000,C16,'Val-Vol (2)'!$E$4:$E$2000,E16,'Val-Vol (2)'!$S$4:$S$2000,"BI")</f>
        <v>11003.915461314989</v>
      </c>
      <c r="E16" s="79" t="s">
        <v>53</v>
      </c>
      <c r="F16" s="7"/>
      <c r="G16" s="79" t="s">
        <v>286</v>
      </c>
      <c r="H16" s="183">
        <f>D12+D15</f>
        <v>18974.808592806949</v>
      </c>
      <c r="I16" s="184">
        <f>H16/$D$18</f>
        <v>0.55739897938038585</v>
      </c>
      <c r="M16" s="2"/>
      <c r="P16" s="4"/>
      <c r="Q16" s="17"/>
      <c r="R16" s="241"/>
      <c r="T16" s="117"/>
    </row>
    <row r="17" spans="1:22" customFormat="1" x14ac:dyDescent="0.25">
      <c r="A17" t="s">
        <v>182</v>
      </c>
      <c r="B17" t="s">
        <v>190</v>
      </c>
      <c r="F17" s="7"/>
      <c r="O17" s="4"/>
      <c r="P17" s="4"/>
      <c r="Q17" s="4"/>
      <c r="R17" s="4"/>
      <c r="S17" s="4"/>
    </row>
    <row r="18" spans="1:22" customFormat="1" x14ac:dyDescent="0.25">
      <c r="A18" t="s">
        <v>183</v>
      </c>
      <c r="B18" t="s">
        <v>191</v>
      </c>
      <c r="C18" s="72" t="s">
        <v>113</v>
      </c>
      <c r="D18" s="80">
        <f>+D12+D13+D14+D15+D16</f>
        <v>34041.699563030539</v>
      </c>
      <c r="F18" s="7"/>
      <c r="M18" s="2"/>
      <c r="O18" s="4"/>
      <c r="P18" s="4"/>
      <c r="Q18" s="4"/>
      <c r="R18" s="4"/>
    </row>
    <row r="19" spans="1:22" customFormat="1" x14ac:dyDescent="0.25">
      <c r="C19" s="72" t="s">
        <v>150</v>
      </c>
      <c r="D19" s="80">
        <f>+D8+D9+D10+D11+D12+D13+D14</f>
        <v>34043.570698859126</v>
      </c>
      <c r="M19" s="2"/>
      <c r="T19" s="4"/>
      <c r="U19" s="4"/>
      <c r="V19" s="4"/>
    </row>
    <row r="20" spans="1:22" customFormat="1" x14ac:dyDescent="0.25"/>
    <row r="21" spans="1:22" customFormat="1" x14ac:dyDescent="0.25">
      <c r="C21" s="210" t="s">
        <v>293</v>
      </c>
      <c r="D21" s="211">
        <f>D24*D27</f>
        <v>0.24086985503219616</v>
      </c>
      <c r="E21" s="6"/>
      <c r="F21" s="6"/>
      <c r="M21" s="206"/>
    </row>
    <row r="22" spans="1:22" customFormat="1" x14ac:dyDescent="0.25">
      <c r="C22" s="4"/>
      <c r="D22" s="6"/>
      <c r="E22" s="6"/>
      <c r="F22" s="6"/>
    </row>
    <row r="23" spans="1:22" customFormat="1" x14ac:dyDescent="0.25">
      <c r="C23" s="207" t="s">
        <v>289</v>
      </c>
      <c r="D23" s="209">
        <f>D12/H16</f>
        <v>0.40709983265617355</v>
      </c>
      <c r="M23" s="206"/>
    </row>
    <row r="24" spans="1:22" customFormat="1" x14ac:dyDescent="0.25">
      <c r="C24" s="207" t="s">
        <v>290</v>
      </c>
      <c r="D24" s="209">
        <f>D15/H16</f>
        <v>0.59290016734382645</v>
      </c>
      <c r="M24" s="206"/>
    </row>
    <row r="25" spans="1:22" customFormat="1" x14ac:dyDescent="0.25">
      <c r="C25" s="79"/>
    </row>
    <row r="26" spans="1:22" customFormat="1" x14ac:dyDescent="0.25">
      <c r="C26" s="207" t="s">
        <v>292</v>
      </c>
      <c r="D26" s="209">
        <f>D11/SUM(D8:D11)</f>
        <v>0.59374298018621707</v>
      </c>
      <c r="M26" s="206"/>
    </row>
    <row r="27" spans="1:22" customFormat="1" x14ac:dyDescent="0.25">
      <c r="C27" s="207" t="s">
        <v>291</v>
      </c>
      <c r="D27" s="209">
        <f>(D8+D9+D10)/SUM(D8:D11)</f>
        <v>0.40625701981378298</v>
      </c>
      <c r="M27" s="206"/>
    </row>
    <row r="28" spans="1:22" customFormat="1" x14ac:dyDescent="0.25"/>
    <row r="29" spans="1:22" customFormat="1" x14ac:dyDescent="0.25"/>
    <row r="30" spans="1:22" customFormat="1" x14ac:dyDescent="0.25"/>
    <row r="31" spans="1:22" customFormat="1" x14ac:dyDescent="0.25"/>
    <row r="32" spans="1:22"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sheetData>
  <mergeCells count="6">
    <mergeCell ref="G14:I14"/>
    <mergeCell ref="L6:T6"/>
    <mergeCell ref="C2:D2"/>
    <mergeCell ref="C4:D4"/>
    <mergeCell ref="C1:E1"/>
    <mergeCell ref="G7:I7"/>
  </mergeCells>
  <dataValidations count="1">
    <dataValidation type="list" allowBlank="1" showInputMessage="1" showErrorMessage="1" sqref="C5" xr:uid="{00000000-0002-0000-0400-000000000000}">
      <formula1>$A$1:$A$5</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9 F y E V M h R U S 2 k A A A A 9 g A A A B I A H A B D b 2 5 m a W c v U G F j a 2 F n Z S 5 4 b W w g o h g A K K A U A A A A A A A A A A A A A A A A A A A A A A A A A A A A h Y 8 x D o I w G I W v Q r r T l r o Y 8 l M G E y d J j C b G t S k F G q G Y t l j u 5 u C R v I I Y R d 0 c 3 / e + 4 b 3 7 9 Q b 5 2 L X R R V m n e 5 O h B F M U K S P 7 U p s 6 Q 4 O v 4 i X K O W y F P I l a R Z N s X D q 6 M k O N 9 + e U k B A C D g v c 2 5 o w S h N y L D Z 7 2 a h O o I + s / 8 u x N s 4 L I x X i c H i N 4 Q w n l G F G p 0 1 A Z g i F N l + B T d 2 z / Y G w G l o / W M U r G 6 9 3 Q O Y I 5 P 2 B P w B Q S w M E F A A C A A g A 9 F y E 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R c h F Q o i k e 4 D g A A A B E A A A A T A B w A R m 9 y b X V s Y X M v U 2 V j d G l v b j E u b S C i G A A o o B Q A A A A A A A A A A A A A A A A A A A A A A A A A A A A r T k 0 u y c z P U w i G 0 I b W A F B L A Q I t A B Q A A g A I A P R c h F T I U V E t p A A A A P Y A A A A S A A A A A A A A A A A A A A A A A A A A A A B D b 2 5 m a W c v U G F j a 2 F n Z S 5 4 b W x Q S w E C L Q A U A A I A C A D 0 X I R U D 8 r p q 6 Q A A A D p A A A A E w A A A A A A A A A A A A A A A A D w A A A A W 0 N v b n R l b n R f V H l w Z X N d L n h t b F B L A Q I t A B Q A A g A I A P R c h F 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y E 0 6 x S I f m R Z P w P d q 4 K u M m A A A A A A I A A A A A A A N m A A D A A A A A E A A A A F H f 1 R Y i 5 r b W W Y s e Q 1 i y t J s A A A A A B I A A A K A A A A A Q A A A A e y + l x d Q y H W q 6 m x z e V 3 s 7 S F A A A A B i O Y V 7 g h F I T Z t 5 t r H 6 N t x F H t a n H E t t U r v E T V R c P 6 r + / 6 m W h W 3 c k t l g z K r 7 R Z M 9 w z 6 v D G M i 6 B M J h n G B E n v f N X s Y P W B Y K d v X m + V A o 6 C j O + H m 4 B Q A A A C a Y f m H H I C m 3 Q X o d H 2 a m q Y 6 U J y j j g = = < / D a t a M a s h u p > 
</file>

<file path=customXml/itemProps1.xml><?xml version="1.0" encoding="utf-8"?>
<ds:datastoreItem xmlns:ds="http://schemas.openxmlformats.org/officeDocument/2006/customXml" ds:itemID="{5105589C-EC78-40B9-B856-17DFC289988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2</vt:i4>
      </vt:variant>
    </vt:vector>
  </HeadingPairs>
  <TitlesOfParts>
    <vt:vector size="12" baseType="lpstr">
      <vt:lpstr>Branche - valeurs</vt:lpstr>
      <vt:lpstr>Tableaux de bord</vt:lpstr>
      <vt:lpstr>Groupe de branches</vt:lpstr>
      <vt:lpstr>Tableaux de bord Groupe</vt:lpstr>
      <vt:lpstr>Val-Vol (2)</vt:lpstr>
      <vt:lpstr>Comp2016-2017 (3)</vt:lpstr>
      <vt:lpstr>Table corresp.</vt:lpstr>
      <vt:lpstr>Filière bois d'oeuvre</vt:lpstr>
      <vt:lpstr>Filière bois d'industrie</vt:lpstr>
      <vt:lpstr>Filière bois énergie</vt:lpstr>
      <vt:lpstr>Branche</vt:lpstr>
      <vt:lpstr>Groupe</vt:lpstr>
    </vt:vector>
  </TitlesOfParts>
  <Company>FCBA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BOUVET Alain</dc:creator>
  <cp:lastModifiedBy>BA Haroun</cp:lastModifiedBy>
  <dcterms:created xsi:type="dcterms:W3CDTF">2019-08-27T08:30:36Z</dcterms:created>
  <dcterms:modified xsi:type="dcterms:W3CDTF">2022-04-08T12:38:04Z</dcterms:modified>
</cp:coreProperties>
</file>